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comments1.xml" ContentType="application/vnd.openxmlformats-officedocument.spreadsheetml.comments+xml"/>
  <Override PartName="/xl/customProperty3.bin" ContentType="application/vnd.openxmlformats-officedocument.spreadsheetml.customProperty"/>
  <Override PartName="/xl/comments2.xml" ContentType="application/vnd.openxmlformats-officedocument.spreadsheetml.comments+xml"/>
  <Override PartName="/xl/customProperty4.bin" ContentType="application/vnd.openxmlformats-officedocument.spreadsheetml.customProperty"/>
  <Override PartName="/xl/comments3.xml" ContentType="application/vnd.openxmlformats-officedocument.spreadsheetml.comments+xml"/>
  <Override PartName="/xl/customProperty5.bin" ContentType="application/vnd.openxmlformats-officedocument.spreadsheetml.customProperty"/>
  <Override PartName="/xl/comments4.xml" ContentType="application/vnd.openxmlformats-officedocument.spreadsheetml.comments+xml"/>
  <Override PartName="/xl/customProperty6.bin" ContentType="application/vnd.openxmlformats-officedocument.spreadsheetml.customProperty"/>
  <Override PartName="/xl/comments5.xml" ContentType="application/vnd.openxmlformats-officedocument.spreadsheetml.comments+xml"/>
  <Override PartName="/xl/customProperty7.bin" ContentType="application/vnd.openxmlformats-officedocument.spreadsheetml.customProperty"/>
  <Override PartName="/xl/comments6.xml" ContentType="application/vnd.openxmlformats-officedocument.spreadsheetml.comments+xml"/>
  <Override PartName="/xl/customProperty8.bin" ContentType="application/vnd.openxmlformats-officedocument.spreadsheetml.customProperty"/>
  <Override PartName="/xl/comments7.xml" ContentType="application/vnd.openxmlformats-officedocument.spreadsheetml.comments+xml"/>
  <Override PartName="/xl/customProperty9.bin" ContentType="application/vnd.openxmlformats-officedocument.spreadsheetml.customProperty"/>
  <Override PartName="/xl/drawings/drawing2.xml" ContentType="application/vnd.openxmlformats-officedocument.drawing+xml"/>
  <Override PartName="/xl/comments8.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codeName="ThisWorkbook"/>
  <mc:AlternateContent xmlns:mc="http://schemas.openxmlformats.org/markup-compatibility/2006">
    <mc:Choice Requires="x15">
      <x15ac:absPath xmlns:x15ac="http://schemas.microsoft.com/office/spreadsheetml/2010/11/ac" url="M:\ADmodels\CLEARED models\In process\"/>
    </mc:Choice>
  </mc:AlternateContent>
  <xr:revisionPtr revIDLastSave="0" documentId="13_ncr:1_{AC1E3013-1CC0-47C3-8A3C-1BF3795D2131}" xr6:coauthVersionLast="47" xr6:coauthVersionMax="47" xr10:uidLastSave="{00000000-0000-0000-0000-000000000000}"/>
  <bookViews>
    <workbookView xWindow="5280" yWindow="5055" windowWidth="28800" windowHeight="11700" tabRatio="834" xr2:uid="{00000000-000D-0000-FFFF-FFFF00000000}"/>
  </bookViews>
  <sheets>
    <sheet name="Cover" sheetId="42" r:id="rId1"/>
    <sheet name="Data" sheetId="1" r:id="rId2"/>
    <sheet name="BCA margin" sheetId="17" r:id="rId3"/>
    <sheet name="Commercial" sheetId="12" r:id="rId4"/>
    <sheet name="SEG" sheetId="2" r:id="rId5"/>
    <sheet name="IS" sheetId="3" r:id="rId6"/>
    <sheet name="BS" sheetId="4" r:id="rId7"/>
    <sheet name="CFLO" sheetId="5" r:id="rId8"/>
    <sheet name="FCF build" sheetId="30" r:id="rId9"/>
  </sheets>
  <externalReferences>
    <externalReference r:id="rId10"/>
  </externalReferences>
  <definedNames>
    <definedName name="__FDS_HYPERLINK_TOGGLE_STATE__" hidden="1">"ON"</definedName>
    <definedName name="_bdm.899c699747404577ae3ebfbc25157986.edm" localSheetId="8" hidden="1">'FCF build'!#REF!</definedName>
    <definedName name="_bdm.8ee3264595034344b6a7474ee1f0786a.edm" hidden="1">'FCF build'!$1:$1048576</definedName>
    <definedName name="_xlnm._FilterDatabase" localSheetId="6" hidden="1">BS!#REF!</definedName>
    <definedName name="_xlnm._FilterDatabase" localSheetId="4" hidden="1">SEG!$B$6:$CF$36</definedName>
    <definedName name="A_ALL_BA">#REF!</definedName>
    <definedName name="A_ALL_BA_">#REF!</definedName>
    <definedName name="A_ALL_KEYWORDS_TYPE_ScalarContributed_EQTY_200000881">#REF!,#REF!,#REF!,#REF!,#REF!</definedName>
    <definedName name="A_ALL_KEYWORDS_TYPE_ScalarContributed_ISSR_208000201">#REF!,#REF!</definedName>
    <definedName name="A_ALL_KEYWORDS_TYPE_ScalarReference_EQTY_200000881">#REF!</definedName>
    <definedName name="A_ALL_KEYWORDS_TYPE_ScalarReference_ISSR_208000201">#REF!</definedName>
    <definedName name="A_ALL_KEYWORDS_TYPE_Vector_EQTY_200000881">#REF!,#REF!,#REF!,#REF!,#REF!,#REF!,#REF!</definedName>
    <definedName name="A_ALL_KEYWORDS_TYPE_Vector_ISSR_208000201">#REF!,#REF!,#REF!,#REF!,#REF!,#REF!,#REF!,#REF!,#REF!</definedName>
    <definedName name="A_ALL_SECTION_KEYWORDS_EQTY_200000881_1314">#REF!</definedName>
    <definedName name="A_ALL_SECTION_KEYWORDS_EQTY_200000881_1319">#REF!</definedName>
    <definedName name="A_ALL_SECTION_KEYWORDS_EQTY_200000881_131E">#REF!</definedName>
    <definedName name="A_ALL_SECTION_KEYWORDS_EQTY_200000881_131O">#REF!</definedName>
    <definedName name="A_ALL_SECTION_KEYWORDS_EQTY_200000881_13A">#REF!</definedName>
    <definedName name="A_ALL_SECTION_KEYWORDS_EQTY_200000881_13K">#REF!</definedName>
    <definedName name="A_ALL_SECTION_KEYWORDS_EQTY_200000881_13U">#REF!</definedName>
    <definedName name="A_ALL_SECTION_KEYWORDS_EQTY_200000881_13V">#REF!</definedName>
    <definedName name="A_ALL_SECTION_KEYWORDS_EQTY_200000881_13W">#REF!</definedName>
    <definedName name="A_ALL_SECTION_KEYWORDS_EQTY_200000881_Reference_Data">#REF!</definedName>
    <definedName name="A_ALL_SECTION_KEYWORDS_ISSR_208000201_1314">#REF!</definedName>
    <definedName name="A_ALL_SECTION_KEYWORDS_ISSR_208000201_13168">#REF!</definedName>
    <definedName name="A_ALL_SECTION_KEYWORDS_ISSR_208000201_1316S">#REF!</definedName>
    <definedName name="A_ALL_SECTION_KEYWORDS_ISSR_208000201_1316T">#REF!</definedName>
    <definedName name="A_ALL_SECTION_KEYWORDS_ISSR_208000201_1316U">#REF!</definedName>
    <definedName name="A_ALL_SECTION_KEYWORDS_ISSR_208000201_1319">#REF!</definedName>
    <definedName name="A_ALL_SECTION_KEYWORDS_ISSR_208000201_131E">#REF!</definedName>
    <definedName name="A_ALL_SECTION_KEYWORDS_ISSR_208000201_131J">#REF!</definedName>
    <definedName name="A_ALL_SECTION_KEYWORDS_ISSR_208000201_131O">#REF!</definedName>
    <definedName name="A_ALL_SECTION_KEYWORDS_ISSR_208000201_136E">#REF!,#REF!</definedName>
    <definedName name="A_ALL_SECTION_KEYWORDS_ISSR_208000201_13A">#REF!</definedName>
    <definedName name="A_ALL_SECTION_KEYWORDS_ISSR_208000201_13U">#REF!</definedName>
    <definedName name="A_ALL_SECTION_KEYWORDS_ISSR_208000201_13V">#REF!</definedName>
    <definedName name="A_ALL_SECTION_KEYWORDS_ISSR_208000201_Reference_Data">#REF!</definedName>
    <definedName name="A_ALL_SECTIONS_EQTY_200000881">#REF!,#REF!,#REF!,#REF!,#REF!,#REF!,#REF!,#REF!,#REF!,#REF!</definedName>
    <definedName name="A_CURRENCY_EQTY_200000881_PRI">#REF!</definedName>
    <definedName name="A_CURRENCY_EQTY_200000881_PUB">#REF!</definedName>
    <definedName name="A_CURRENCY_EQTY_200000881_REP">#REF!</definedName>
    <definedName name="A_CURRENCY_ISSR_208000201_REP">#REF!</definedName>
    <definedName name="A_KEYWORD_EQTY_200000881_AMER_CONVICTION">#REF!</definedName>
    <definedName name="A_KEYWORD_EQTY_200000881_AMER_LIST">#REF!</definedName>
    <definedName name="A_KEYWORD_EQTY_200000881_BETA_ANALYST">#REF!</definedName>
    <definedName name="A_KEYWORD_EQTY_200000881_BVPS">#REF!</definedName>
    <definedName name="A_KEYWORD_EQTY_200000881_BVPS_PUB">#REF!</definedName>
    <definedName name="A_KEYWORD_EQTY_200000881_CEEE_EPS">#REF!</definedName>
    <definedName name="A_KEYWORD_EQTY_200000881_CF_NI_PRE_PREF">#REF!</definedName>
    <definedName name="A_KEYWORD_EQTY_200000881_COMMON_DIV_PAID">#REF!</definedName>
    <definedName name="A_KEYWORD_EQTY_200000881_CURRENCY_ISO">#REF!</definedName>
    <definedName name="A_KEYWORD_EQTY_200000881_DILUTE_SHARES">#REF!</definedName>
    <definedName name="A_KEYWORD_EQTY_200000881_DPS">#REF!</definedName>
    <definedName name="A_KEYWORD_EQTY_200000881_DPS_PUB">#REF!</definedName>
    <definedName name="A_KEYWORD_EQTY_200000881_EBIT_PUB">#REF!</definedName>
    <definedName name="A_KEYWORD_EQTY_200000881_EBITDA_PUB">#REF!</definedName>
    <definedName name="A_KEYWORD_EQTY_200000881_EPS">#REF!</definedName>
    <definedName name="A_KEYWORD_EQTY_200000881_EPS_EX_ESO_B">#REF!</definedName>
    <definedName name="A_KEYWORD_EQTY_200000881_EPS_EX_ESO_D">#REF!</definedName>
    <definedName name="A_KEYWORD_EQTY_200000881_EPS_FUL_DIL">#REF!</definedName>
    <definedName name="A_KEYWORD_EQTY_200000881_EPS_POST_BASIC">#REF!</definedName>
    <definedName name="A_KEYWORD_EQTY_200000881_EPS_PUB">#REF!</definedName>
    <definedName name="A_KEYWORD_EQTY_200000881_EPS_PUB_EX_ESO">#REF!</definedName>
    <definedName name="A_KEYWORD_EQTY_200000881_EQ_PUB">#REF!</definedName>
    <definedName name="A_KEYWORD_EQTY_200000881_ESO_POST_TAX">#REF!</definedName>
    <definedName name="A_KEYWORD_EQTY_200000881_ESO_YEAR">#REF!</definedName>
    <definedName name="A_KEYWORD_EQTY_200000881_EV_ADJ_PUB">#REF!</definedName>
    <definedName name="A_KEYWORD_EQTY_200000881_FREE_FLOAT">#REF!</definedName>
    <definedName name="A_KEYWORD_EQTY_200000881_FULLY_DIL_EPS">#REF!</definedName>
    <definedName name="A_KEYWORD_EQTY_200000881_FV_GRANT">#REF!</definedName>
    <definedName name="A_KEYWORD_EQTY_200000881_INC_MINORITY">#REF!</definedName>
    <definedName name="A_KEYWORD_EQTY_200000881_Interim_Type">#REF!</definedName>
    <definedName name="A_KEYWORD_EQTY_200000881_LEGAL_RATING">#REF!</definedName>
    <definedName name="A_KEYWORD_EQTY_200000881_MARGIN_TAX_RATE">#REF!</definedName>
    <definedName name="A_KEYWORD_EQTY_200000881_MKT_EQ_RISK_PREM">#REF!</definedName>
    <definedName name="A_KEYWORD_EQTY_200000881_NET_DEBT_PUB">#REF!</definedName>
    <definedName name="A_KEYWORD_EQTY_200000881_NET_EARNING">#REF!</definedName>
    <definedName name="A_KEYWORD_EQTY_200000881_NET_INC">#REF!</definedName>
    <definedName name="A_KEYWORD_EQTY_200000881_NI_PRE_PREF">#REF!</definedName>
    <definedName name="A_KEYWORD_EQTY_200000881_NI_PUB">#REF!</definedName>
    <definedName name="A_KEYWORD_EQTY_200000881_NON_OP_ADD">#REF!</definedName>
    <definedName name="A_KEYWORD_EQTY_200000881_NUM_SH">#REF!</definedName>
    <definedName name="A_KEYWORD_EQTY_200000881_PREF_DIV">#REF!</definedName>
    <definedName name="A_KEYWORD_EQTY_200000881_PRICE_CURRENCY_ISO">#REF!</definedName>
    <definedName name="A_KEYWORD_EQTY_200000881_PROV_INC_TAX">#REF!</definedName>
    <definedName name="A_KEYWORD_EQTY_200000881_PTP_PUB">#REF!</definedName>
    <definedName name="A_KEYWORD_EQTY_200000881_PUB_CURRENCY_ISO">#REF!</definedName>
    <definedName name="A_KEYWORD_EQTY_200000881_REPUR_ACTUAL">#REF!</definedName>
    <definedName name="A_KEYWORD_EQTY_200000881_REPUR_REMAINING">#REF!</definedName>
    <definedName name="A_KEYWORD_EQTY_200000881_REPUR_SUSPENDED">#REF!</definedName>
    <definedName name="A_KEYWORD_EQTY_200000881_REPUR_TOT_AUTH">#REF!</definedName>
    <definedName name="A_KEYWORD_EQTY_200000881_REVS_PUB">#REF!</definedName>
    <definedName name="A_KEYWORD_EQTY_200000881_RISK_FR_RATE">#REF!</definedName>
    <definedName name="A_KEYWORD_EQTY_200000881_Security_Name">#REF!</definedName>
    <definedName name="A_KEYWORD_EQTY_200000881_SH">#REF!</definedName>
    <definedName name="A_KEYWORD_EQTY_200000881_TARGET_PRICE">#REF!</definedName>
    <definedName name="A_KEYWORD_EQTY_200000881_TAX_EXC">#REF!</definedName>
    <definedName name="A_KEYWORD_EQTY_200000881_Ticker">#REF!</definedName>
    <definedName name="A_KEYWORD_EQTY_200000881_TP_PERIOD">#REF!</definedName>
    <definedName name="A_KEYWORD_ISSR_208000201_ACC_AMORT">#REF!</definedName>
    <definedName name="A_KEYWORD_ISSR_208000201_ACC_DDA">#REF!</definedName>
    <definedName name="A_KEYWORD_ISSR_208000201_ACC_END_DATE">#REF!</definedName>
    <definedName name="A_KEYWORD_ISSR_208000201_ACC_PAY_GQ">#REF!</definedName>
    <definedName name="A_KEYWORD_ISSR_208000201_ACQ">#REF!</definedName>
    <definedName name="A_KEYWORD_ISSR_208000201_ADJ_UNF_PENS_GOOD">#REF!</definedName>
    <definedName name="A_KEYWORD_ISSR_208000201_ASSOC_JV_ADDBK">#REF!</definedName>
    <definedName name="A_KEYWORD_ISSR_208000201_ASSOCIATE">#REF!</definedName>
    <definedName name="A_KEYWORD_ISSR_208000201_ASSOCIATE_OP">#REF!</definedName>
    <definedName name="A_KEYWORD_ISSR_208000201_BAL_MINO_INT">#REF!</definedName>
    <definedName name="A_KEYWORD_ISSR_208000201_CAP_LEASES">#REF!</definedName>
    <definedName name="A_KEYWORD_ISSR_208000201_CAPEX">#REF!</definedName>
    <definedName name="A_KEYWORD_ISSR_208000201_CAPEX_EXPANSION">#REF!</definedName>
    <definedName name="A_KEYWORD_ISSR_208000201_CAPEX_MAINTENANCE">#REF!</definedName>
    <definedName name="A_KEYWORD_ISSR_208000201_CASH_EQ">#REF!</definedName>
    <definedName name="A_KEYWORD_ISSR_208000201_CASH_INT_EXP">#REF!</definedName>
    <definedName name="A_KEYWORD_ISSR_208000201_CASH_PCT_OS_US">#REF!</definedName>
    <definedName name="A_KEYWORD_ISSR_208000201_CASH_TAX_EXP">#REF!</definedName>
    <definedName name="A_KEYWORD_ISSR_208000201_CF_FIN">#REF!</definedName>
    <definedName name="A_KEYWORD_ISSR_208000201_CF_INC_MINORITY">#REF!</definedName>
    <definedName name="A_KEYWORD_ISSR_208000201_CF_INV">#REF!</definedName>
    <definedName name="A_KEYWORD_ISSR_208000201_CF_OPS">#REF!</definedName>
    <definedName name="A_KEYWORD_ISSR_208000201_CHG_LT_DEBT">#REF!</definedName>
    <definedName name="A_KEYWORD_ISSR_208000201_CO_BOR_MARGIN">#REF!</definedName>
    <definedName name="A_KEYWORD_ISSR_208000201_COST_GD_SD">#REF!</definedName>
    <definedName name="A_KEYWORD_ISSR_208000201_CUR_ASS">#REF!</definedName>
    <definedName name="A_KEYWORD_ISSR_208000201_CURRENCY_ISO">#REF!</definedName>
    <definedName name="A_KEYWORD_ISSR_208000201_DEBTORS">#REF!</definedName>
    <definedName name="A_KEYWORD_ISSR_208000201_DEF_INC_TAX">#REF!</definedName>
    <definedName name="A_KEYWORD_ISSR_208000201_DEPR_AMORT">#REF!</definedName>
    <definedName name="A_KEYWORD_ISSR_208000201_DEPREC">#REF!</definedName>
    <definedName name="A_KEYWORD_ISSR_208000201_DIV_PAID">#REF!</definedName>
    <definedName name="A_KEYWORD_ISSR_208000201_DIVDS_ASSOC_JV">#REF!</definedName>
    <definedName name="A_KEYWORD_ISSR_208000201_DIVDS_PD_MINORITIES">#REF!</definedName>
    <definedName name="A_KEYWORD_ISSR_208000201_DIVEST">#REF!</definedName>
    <definedName name="A_KEYWORD_ISSR_208000201_EBIT">#REF!</definedName>
    <definedName name="A_KEYWORD_ISSR_208000201_EBIT_FIN_SEGMENT">#REF!</definedName>
    <definedName name="A_KEYWORD_ISSR_208000201_EBITDA_CALC">#REF!</definedName>
    <definedName name="A_KEYWORD_ISSR_208000201_EMPLOYEES">#REF!</definedName>
    <definedName name="A_KEYWORD_ISSR_208000201_EQ">#REF!</definedName>
    <definedName name="A_KEYWORD_ISSR_208000201_ESO_PRE_TAX">#REF!</definedName>
    <definedName name="A_KEYWORD_ISSR_208000201_EXP_ALUMINIUM">#REF!</definedName>
    <definedName name="A_KEYWORD_ISSR_208000201_EXP_COPPER">#REF!</definedName>
    <definedName name="A_KEYWORD_ISSR_208000201_EXP_GLASS">#REF!</definedName>
    <definedName name="A_KEYWORD_ISSR_208000201_EXP_GOLD">#REF!</definedName>
    <definedName name="A_KEYWORD_ISSR_208000201_EXP_NAT_GAS">#REF!</definedName>
    <definedName name="A_KEYWORD_ISSR_208000201_EXP_NICKEL">#REF!</definedName>
    <definedName name="A_KEYWORD_ISSR_208000201_EXP_OIL_DERIV_NGLS_PLASTICS">#REF!</definedName>
    <definedName name="A_KEYWORD_ISSR_208000201_EXP_OIL_PETRO_FUEL">#REF!</definedName>
    <definedName name="A_KEYWORD_ISSR_208000201_EXP_OTH_COMMODITY">#REF!</definedName>
    <definedName name="A_KEYWORD_ISSR_208000201_EXP_OTH_COST">#REF!</definedName>
    <definedName name="A_KEYWORD_ISSR_208000201_EXP_PALLADIUM">#REF!</definedName>
    <definedName name="A_KEYWORD_ISSR_208000201_EXP_PLATINUM">#REF!</definedName>
    <definedName name="A_KEYWORD_ISSR_208000201_EXP_RUBBER">#REF!</definedName>
    <definedName name="A_KEYWORD_ISSR_208000201_EXP_SILVER">#REF!</definedName>
    <definedName name="A_KEYWORD_ISSR_208000201_EXP_STEEL">#REF!</definedName>
    <definedName name="A_KEYWORD_ISSR_208000201_EXP_WATER">#REF!</definedName>
    <definedName name="A_KEYWORD_ISSR_208000201_EXP_ZINC">#REF!</definedName>
    <definedName name="A_KEYWORD_ISSR_208000201_FIX_ASS_INV">#REF!</definedName>
    <definedName name="A_KEYWORD_ISSR_208000201_GCI_INFL">#REF!</definedName>
    <definedName name="A_KEYWORD_ISSR_208000201_GOODWILL_AMORT">#REF!</definedName>
    <definedName name="A_KEYWORD_ISSR_208000201_GR_FIX_ASS">#REF!</definedName>
    <definedName name="A_KEYWORD_ISSR_208000201_GR_INTANG">#REF!</definedName>
    <definedName name="A_KEYWORD_ISSR_208000201_INT_EXP_IND">#REF!</definedName>
    <definedName name="A_KEYWORD_ISSR_208000201_INT_INC_IND">#REF!</definedName>
    <definedName name="A_KEYWORD_ISSR_208000201_INV_SECUR">#REF!</definedName>
    <definedName name="A_KEYWORD_ISSR_208000201_Issuer_Name">#REF!</definedName>
    <definedName name="A_KEYWORD_ISSR_208000201_LEASE_DEEM_DEPR">#REF!</definedName>
    <definedName name="A_KEYWORD_ISSR_208000201_LEASE_DEEM_INT">#REF!</definedName>
    <definedName name="A_KEYWORD_ISSR_208000201_LEASE_PAY">#REF!</definedName>
    <definedName name="A_KEYWORD_ISSR_208000201_LT_DEBT">#REF!</definedName>
    <definedName name="A_KEYWORD_ISSR_208000201_MA_PROB">#REF!</definedName>
    <definedName name="A_KEYWORD_ISSR_208000201_MINORITIES">#REF!</definedName>
    <definedName name="A_KEYWORD_ISSR_208000201_MV_ASSOCIATES">#REF!</definedName>
    <definedName name="A_KEYWORD_ISSR_208000201_NET_DEBT">#REF!</definedName>
    <definedName name="A_KEYWORD_ISSR_208000201_NET_DEBT_ADJ">#REF!</definedName>
    <definedName name="A_KEYWORD_ISSR_208000201_NET_FIX_ASS">#REF!</definedName>
    <definedName name="A_KEYWORD_ISSR_208000201_NET_INT_CH">#REF!</definedName>
    <definedName name="A_KEYWORD_ISSR_208000201_NET_INT_EXP">#REF!</definedName>
    <definedName name="A_KEYWORD_ISSR_208000201_NET_INTANG">#REF!</definedName>
    <definedName name="A_KEYWORD_ISSR_208000201_NONPPE_CAPEX">#REF!</definedName>
    <definedName name="A_KEYWORD_ISSR_208000201_OP_COST">#REF!</definedName>
    <definedName name="A_KEYWORD_ISSR_208000201_ORD_SH_FUND">#REF!</definedName>
    <definedName name="A_KEYWORD_ISSR_208000201_OTH_COST_INC">#REF!</definedName>
    <definedName name="A_KEYWORD_ISSR_208000201_OTH_CUR_ASS">#REF!</definedName>
    <definedName name="A_KEYWORD_ISSR_208000201_OTH_CUR_LIABS">#REF!</definedName>
    <definedName name="A_KEYWORD_ISSR_208000201_OTH_DACF_ADJ">#REF!</definedName>
    <definedName name="A_KEYWORD_ISSR_208000201_OTH_FIN_CF">#REF!</definedName>
    <definedName name="A_KEYWORD_ISSR_208000201_OTH_GCI_ADJ">#REF!</definedName>
    <definedName name="A_KEYWORD_ISSR_208000201_OTH_INV_CF">#REF!</definedName>
    <definedName name="A_KEYWORD_ISSR_208000201_OTH_LT_ASS">#REF!</definedName>
    <definedName name="A_KEYWORD_ISSR_208000201_OTH_LT_CRED_GQ">#REF!</definedName>
    <definedName name="A_KEYWORD_ISSR_208000201_OTH_NONCASH_ADJ">#REF!</definedName>
    <definedName name="A_KEYWORD_ISSR_208000201_OTH_OP_CF">#REF!</definedName>
    <definedName name="A_KEYWORD_ISSR_208000201_OTH_OP_INC_EXP">#REF!</definedName>
    <definedName name="A_KEYWORD_ISSR_208000201_PERIOD_MILESTONE">#REF!</definedName>
    <definedName name="A_KEYWORD_ISSR_208000201_PL_SALE_ASSETS">#REF!</definedName>
    <definedName name="A_KEYWORD_ISSR_208000201_PREF_SH">#REF!</definedName>
    <definedName name="A_KEYWORD_ISSR_208000201_PROFIT_ON_DISP">#REF!</definedName>
    <definedName name="A_KEYWORD_ISSR_208000201_PT_PROF">#REF!</definedName>
    <definedName name="A_KEYWORD_ISSR_208000201_RD_EXP">#REF!</definedName>
    <definedName name="A_KEYWORD_ISSR_208000201_REV_FIN_SEGMENT">#REF!</definedName>
    <definedName name="A_KEYWORD_ISSR_208000201_SALES">#REF!</definedName>
    <definedName name="A_KEYWORD_ISSR_208000201_SALES_ARGENTINA">#REF!</definedName>
    <definedName name="A_KEYWORD_ISSR_208000201_SALES_BRAZIL">#REF!</definedName>
    <definedName name="A_KEYWORD_ISSR_208000201_SALES_CANADA">#REF!</definedName>
    <definedName name="A_KEYWORD_ISSR_208000201_SALES_CEE">#REF!</definedName>
    <definedName name="A_KEYWORD_ISSR_208000201_SALES_CHILE">#REF!</definedName>
    <definedName name="A_KEYWORD_ISSR_208000201_SALES_CHINA">#REF!</definedName>
    <definedName name="A_KEYWORD_ISSR_208000201_SALES_COLOMBIA">#REF!</definedName>
    <definedName name="A_KEYWORD_ISSR_208000201_SALES_CONS">#REF!</definedName>
    <definedName name="A_KEYWORD_ISSR_208000201_SALES_EU_EX_UK">#REF!</definedName>
    <definedName name="A_KEYWORD_ISSR_208000201_SALES_FINAN">#REF!</definedName>
    <definedName name="A_KEYWORD_ISSR_208000201_SALES_FX_ARS">#REF!</definedName>
    <definedName name="A_KEYWORD_ISSR_208000201_SALES_FX_BRL">#REF!</definedName>
    <definedName name="A_KEYWORD_ISSR_208000201_SALES_FX_CAD">#REF!</definedName>
    <definedName name="A_KEYWORD_ISSR_208000201_SALES_FX_CLP">#REF!</definedName>
    <definedName name="A_KEYWORD_ISSR_208000201_SALES_FX_CNY">#REF!</definedName>
    <definedName name="A_KEYWORD_ISSR_208000201_SALES_FX_COP">#REF!</definedName>
    <definedName name="A_KEYWORD_ISSR_208000201_SALES_FX_EUR">#REF!</definedName>
    <definedName name="A_KEYWORD_ISSR_208000201_SALES_FX_GPB">#REF!</definedName>
    <definedName name="A_KEYWORD_ISSR_208000201_SALES_FX_INR">#REF!</definedName>
    <definedName name="A_KEYWORD_ISSR_208000201_SALES_FX_MXN">#REF!</definedName>
    <definedName name="A_KEYWORD_ISSR_208000201_SALES_FX_OTH">#REF!</definedName>
    <definedName name="A_KEYWORD_ISSR_208000201_SALES_FX_RUB">#REF!</definedName>
    <definedName name="A_KEYWORD_ISSR_208000201_SALES_FX_USD">#REF!</definedName>
    <definedName name="A_KEYWORD_ISSR_208000201_SALES_FX_VEF">#REF!</definedName>
    <definedName name="A_KEYWORD_ISSR_208000201_SALES_FX_YEN">#REF!</definedName>
    <definedName name="A_KEYWORD_ISSR_208000201_SALES_GOV">#REF!</definedName>
    <definedName name="A_KEYWORD_ISSR_208000201_SALES_IND">#REF!</definedName>
    <definedName name="A_KEYWORD_ISSR_208000201_SALES_INDIA">#REF!</definedName>
    <definedName name="A_KEYWORD_ISSR_208000201_SALES_JAPAN">#REF!</definedName>
    <definedName name="A_KEYWORD_ISSR_208000201_SALES_ME">#REF!</definedName>
    <definedName name="A_KEYWORD_ISSR_208000201_SALES_MEXICO">#REF!</definedName>
    <definedName name="A_KEYWORD_ISSR_208000201_SALES_OTH_AEJ">#REF!</definedName>
    <definedName name="A_KEYWORD_ISSR_208000201_SALES_OTH_AM">#REF!</definedName>
    <definedName name="A_KEYWORD_ISSR_208000201_SALES_OTH_COMMODITY">#REF!</definedName>
    <definedName name="A_KEYWORD_ISSR_208000201_SALES_OTH_EMEA">#REF!</definedName>
    <definedName name="A_KEYWORD_ISSR_208000201_SALES_OTH_SALES_SOURCES">#REF!</definedName>
    <definedName name="A_KEYWORD_ISSR_208000201_SALES_OTHER">#REF!</definedName>
    <definedName name="A_KEYWORD_ISSR_208000201_SALES_RUSSIA">#REF!</definedName>
    <definedName name="A_KEYWORD_ISSR_208000201_SALES_SMB">#REF!</definedName>
    <definedName name="A_KEYWORD_ISSR_208000201_SALES_TOT_AFRICA">#REF!</definedName>
    <definedName name="A_KEYWORD_ISSR_208000201_SALES_TOT_AM">#REF!</definedName>
    <definedName name="A_KEYWORD_ISSR_208000201_SALES_TOT_ASIA">#REF!</definedName>
    <definedName name="A_KEYWORD_ISSR_208000201_SALES_TOT_EMEA">#REF!</definedName>
    <definedName name="A_KEYWORD_ISSR_208000201_SALES_UK">#REF!</definedName>
    <definedName name="A_KEYWORD_ISSR_208000201_SALES_US">#REF!</definedName>
    <definedName name="A_KEYWORD_ISSR_208000201_SALES_VENEZUELA">#REF!</definedName>
    <definedName name="A_KEYWORD_ISSR_208000201_SEL_GL_AD">#REF!</definedName>
    <definedName name="A_KEYWORD_ISSR_208000201_SH_REPUR">#REF!</definedName>
    <definedName name="A_KEYWORD_ISSR_208000201_SHORT_T_DEBT">#REF!</definedName>
    <definedName name="A_KEYWORD_ISSR_208000201_SHORT_TERM_LIABS">#REF!</definedName>
    <definedName name="A_KEYWORD_ISSR_208000201_STOCKS">#REF!</definedName>
    <definedName name="A_KEYWORD_ISSR_208000201_TOT_ASSET">#REF!</definedName>
    <definedName name="A_KEYWORD_ISSR_208000201_TOT_CF">#REF!</definedName>
    <definedName name="A_KEYWORD_ISSR_208000201_TOT_LIAB">#REF!</definedName>
    <definedName name="A_KEYWORD_ISSR_208000201_TOT_LIAB_EQ">#REF!</definedName>
    <definedName name="A_KEYWORD_ISSR_208000201_TOT_LT_LIAB">#REF!</definedName>
    <definedName name="A_KEYWORD_ISSR_208000201_TOT_OPS_EXP">#REF!</definedName>
    <definedName name="A_KEYWORD_ISSR_208000201_TOT_OPS_EXP_DDA">#REF!</definedName>
    <definedName name="A_KEYWORD_ISSR_208000201_UNF_PENS">#REF!</definedName>
    <definedName name="A_KEYWORD_ISSR_208000201_UNF_PENS_LIAB_OTH">#REF!</definedName>
    <definedName name="A_KEYWORD_ISSR_208000201_UNF_PENS_OFF">#REF!</definedName>
    <definedName name="A_KEYWORD_ISSR_208000201_WORK_CAP">#REF!</definedName>
    <definedName name="A_LIVEDATA_EQTY_200000881">#REF!</definedName>
    <definedName name="A_LIVEDATA_ISSR_208000201">#REF!</definedName>
    <definedName name="A_PERIOD_1994">#REF!</definedName>
    <definedName name="A_PERIOD_1995">#REF!</definedName>
    <definedName name="A_PERIOD_1996">#REF!</definedName>
    <definedName name="A_PERIOD_1997">#REF!</definedName>
    <definedName name="A_PERIOD_1998">#REF!</definedName>
    <definedName name="A_PERIOD_1999">#REF!</definedName>
    <definedName name="A_PERIOD_2000">#REF!</definedName>
    <definedName name="A_PERIOD_2001">#REF!</definedName>
    <definedName name="A_PERIOD_2002">#REF!</definedName>
    <definedName name="A_PERIOD_2003">#REF!</definedName>
    <definedName name="A_PERIOD_2003_Q1">#REF!</definedName>
    <definedName name="A_PERIOD_2003_Q2">#REF!</definedName>
    <definedName name="A_PERIOD_2003_Q3">#REF!</definedName>
    <definedName name="A_PERIOD_2003_Q4">#REF!</definedName>
    <definedName name="A_PERIOD_2004">#REF!</definedName>
    <definedName name="A_PERIOD_2004_Q1">#REF!</definedName>
    <definedName name="A_PERIOD_2004_Q2">#REF!</definedName>
    <definedName name="A_PERIOD_2004_Q3">#REF!</definedName>
    <definedName name="A_PERIOD_2004_Q4">#REF!</definedName>
    <definedName name="A_PERIOD_2005">#REF!</definedName>
    <definedName name="A_PERIOD_2005_Q1">#REF!</definedName>
    <definedName name="A_PERIOD_2005_Q2">#REF!</definedName>
    <definedName name="A_PERIOD_2005_Q3">#REF!</definedName>
    <definedName name="A_PERIOD_2005_Q4">#REF!</definedName>
    <definedName name="A_PERIOD_2006">#REF!</definedName>
    <definedName name="A_PERIOD_2006_Q1">#REF!</definedName>
    <definedName name="A_PERIOD_2006_Q2">#REF!</definedName>
    <definedName name="A_PERIOD_2006_Q3">#REF!</definedName>
    <definedName name="A_PERIOD_2006_Q4">#REF!</definedName>
    <definedName name="A_PERIOD_2007">#REF!</definedName>
    <definedName name="A_PERIOD_2007_Q1">#REF!</definedName>
    <definedName name="A_PERIOD_2007_Q2">#REF!</definedName>
    <definedName name="A_PERIOD_2007_Q3">#REF!</definedName>
    <definedName name="A_PERIOD_2007_Q4">#REF!</definedName>
    <definedName name="A_PERIOD_2008">#REF!</definedName>
    <definedName name="A_PERIOD_2008_Q1">#REF!</definedName>
    <definedName name="A_PERIOD_2008_Q2">#REF!</definedName>
    <definedName name="A_PERIOD_2008_Q3">#REF!</definedName>
    <definedName name="A_PERIOD_2008_Q4">#REF!</definedName>
    <definedName name="A_PERIOD_2009">#REF!</definedName>
    <definedName name="A_PERIOD_2009_Q1">#REF!</definedName>
    <definedName name="A_PERIOD_2009_Q2">#REF!</definedName>
    <definedName name="A_PERIOD_2009_Q3">#REF!</definedName>
    <definedName name="A_PERIOD_2009_Q4">#REF!</definedName>
    <definedName name="A_PERIOD_2010">#REF!</definedName>
    <definedName name="A_PERIOD_2010_Q1">#REF!</definedName>
    <definedName name="A_PERIOD_2010_Q2">#REF!</definedName>
    <definedName name="A_PERIOD_2010_Q3">#REF!</definedName>
    <definedName name="A_PERIOD_2010_Q4">#REF!</definedName>
    <definedName name="A_PERIOD_2011">#REF!</definedName>
    <definedName name="A_PERIOD_2011_Q1">#REF!</definedName>
    <definedName name="A_PERIOD_2011_Q2">#REF!</definedName>
    <definedName name="A_PERIOD_2011_Q3">#REF!</definedName>
    <definedName name="A_PERIOD_2011_Q4">#REF!</definedName>
    <definedName name="A_PERIOD_2012">#REF!</definedName>
    <definedName name="A_PERIOD_2012_Q1">#REF!</definedName>
    <definedName name="A_PERIOD_2012_Q2">#REF!</definedName>
    <definedName name="A_PERIOD_2012_Q3">#REF!</definedName>
    <definedName name="A_PERIOD_2012_Q4">#REF!</definedName>
    <definedName name="A_PERIOD_2013">#REF!</definedName>
    <definedName name="A_PERIOD_2013_Q1">#REF!</definedName>
    <definedName name="A_PERIOD_2013_Q2">#REF!</definedName>
    <definedName name="A_PERIOD_2013_Q3">#REF!</definedName>
    <definedName name="A_PERIOD_2013_Q4">#REF!</definedName>
    <definedName name="A_PERIOD_2014">#REF!</definedName>
    <definedName name="A_PERIOD_2014_Q1">#REF!</definedName>
    <definedName name="A_PERIOD_2014_Q2">#REF!</definedName>
    <definedName name="A_PERIOD_2014_Q3">#REF!</definedName>
    <definedName name="A_PERIOD_2014_Q4">#REF!</definedName>
    <definedName name="A_PERIOD_2015">#REF!</definedName>
    <definedName name="A_PERIOD_2016">#REF!</definedName>
    <definedName name="A_SECTION_EQTY_200000881_1314">#REF!</definedName>
    <definedName name="A_SECTION_EQTY_200000881_1319">#REF!</definedName>
    <definedName name="A_SECTION_EQTY_200000881_131E">#REF!</definedName>
    <definedName name="A_SECTION_EQTY_200000881_131O">#REF!</definedName>
    <definedName name="A_SECTION_EQTY_200000881_13A">#REF!</definedName>
    <definedName name="A_SECTION_EQTY_200000881_13K">#REF!</definedName>
    <definedName name="A_SECTION_EQTY_200000881_13U">#REF!</definedName>
    <definedName name="A_SECTION_EQTY_200000881_13V">#REF!</definedName>
    <definedName name="A_SECTION_EQTY_200000881_13W">#REF!</definedName>
    <definedName name="A_SECTION_EQTY_200000881_Reference_Data">#REF!</definedName>
    <definedName name="A_SECTION_ISSR_208000201_1314">#REF!</definedName>
    <definedName name="A_SECTION_ISSR_208000201_13168">#REF!</definedName>
    <definedName name="A_SECTION_ISSR_208000201_1316S">#REF!</definedName>
    <definedName name="A_SECTION_ISSR_208000201_1316T">#REF!</definedName>
    <definedName name="A_SECTION_ISSR_208000201_1316U">#REF!</definedName>
    <definedName name="A_SECTION_ISSR_208000201_1319">#REF!</definedName>
    <definedName name="A_SECTION_ISSR_208000201_131E">#REF!</definedName>
    <definedName name="A_SECTION_ISSR_208000201_131J">#REF!</definedName>
    <definedName name="A_SECTION_ISSR_208000201_131O">#REF!</definedName>
    <definedName name="A_SECTION_ISSR_208000201_13A">#REF!</definedName>
    <definedName name="A_SECTION_ISSR_208000201_13U">#REF!</definedName>
    <definedName name="A_SECTION_ISSR_208000201_13V">#REF!</definedName>
    <definedName name="A_SECTION_ISSR_208000201_Reference_Data">#REF!</definedName>
    <definedName name="accumotherinc">BS!$43:$43</definedName>
    <definedName name="acq">CFLO!$35:$35</definedName>
    <definedName name="ap">BS!$27:$27</definedName>
    <definedName name="ar">BS!$9:$9</definedName>
    <definedName name="book">BS!$48:$48</definedName>
    <definedName name="by.00">BS!$F:$F</definedName>
    <definedName name="by.01">BS!$G:$G</definedName>
    <definedName name="by.02">BS!$H:$H</definedName>
    <definedName name="by.03">BS!$I:$I</definedName>
    <definedName name="by.04">BS!$N:$N</definedName>
    <definedName name="by.05">BS!$S:$S</definedName>
    <definedName name="by.06">BS!$X:$X</definedName>
    <definedName name="by.07">BS!$AC:$AC</definedName>
    <definedName name="by.08">BS!$AH:$AH</definedName>
    <definedName name="by.09">BS!$AM:$AM</definedName>
    <definedName name="by.10">BS!$AR:$AR</definedName>
    <definedName name="by.11">BS!$AW:$AW</definedName>
    <definedName name="by.12">BS!$BB:$BB</definedName>
    <definedName name="by.13">BS!$BG:$BG</definedName>
    <definedName name="by.14">BS!$BL:$BL</definedName>
    <definedName name="by.15">BS!$BQ:$BQ</definedName>
    <definedName name="by.16">BS!$BV:$BV</definedName>
    <definedName name="by.17">BS!$CA:$CA</definedName>
    <definedName name="by.18">BS!$CF:$CF</definedName>
    <definedName name="by.19">BS!$CK:$CK</definedName>
    <definedName name="by.1q04">BS!$J:$J</definedName>
    <definedName name="by.1q05">BS!$O:$O</definedName>
    <definedName name="by.1q06">BS!$T:$T</definedName>
    <definedName name="by.1q07">BS!$Y:$Y</definedName>
    <definedName name="by.1q08">BS!$AD:$AD</definedName>
    <definedName name="by.1q09">BS!$AI:$AI</definedName>
    <definedName name="by.1q10">BS!$AN:$AN</definedName>
    <definedName name="by.1q11">BS!$AS:$AS</definedName>
    <definedName name="by.1q12">BS!$AX:$AX</definedName>
    <definedName name="by.1q13">BS!$BC:$BC</definedName>
    <definedName name="by.1q14">BS!$BH:$BH</definedName>
    <definedName name="by.20">BS!$CP:$CP</definedName>
    <definedName name="by.21">BS!$CU:$CU</definedName>
    <definedName name="by.22">BS!$CZ:$CZ</definedName>
    <definedName name="by.23">BS!$DE:$DE</definedName>
    <definedName name="by.24">BS!$DJ:$DJ</definedName>
    <definedName name="by.25">BS!$DO:$DO</definedName>
    <definedName name="by.26">BS!$DT:$DT</definedName>
    <definedName name="by.27">BS!$DY:$DY</definedName>
    <definedName name="by.28">BS!$DZ:$DZ</definedName>
    <definedName name="by.29">BS!$EA:$EA</definedName>
    <definedName name="by.2q04">BS!$K:$K</definedName>
    <definedName name="by.2q05">BS!$P:$P</definedName>
    <definedName name="by.2q06">BS!$U:$U</definedName>
    <definedName name="by.2q07">BS!$Z:$Z</definedName>
    <definedName name="by.2q08">BS!$AE:$AE</definedName>
    <definedName name="by.2q09">BS!$AJ:$AJ</definedName>
    <definedName name="by.2q10">BS!$AO:$AO</definedName>
    <definedName name="by.2q11">BS!$AT:$AT</definedName>
    <definedName name="by.2q12">BS!$AY:$AY</definedName>
    <definedName name="by.2q13">BS!$BD:$BD</definedName>
    <definedName name="by.2q14">BS!$BI:$BI</definedName>
    <definedName name="by.30">BS!$EB:$EB</definedName>
    <definedName name="by.3q04">BS!$L:$L</definedName>
    <definedName name="by.3q05">BS!$Q:$Q</definedName>
    <definedName name="by.3q06">BS!$V:$V</definedName>
    <definedName name="by.3q07">BS!$AA:$AA</definedName>
    <definedName name="by.3q08">BS!$AF:$AF</definedName>
    <definedName name="by.3q09">BS!$AK:$AK</definedName>
    <definedName name="by.3q10">BS!$AP:$AP</definedName>
    <definedName name="by.3q11">BS!$AU:$AU</definedName>
    <definedName name="by.3q12">BS!$AZ:$AZ</definedName>
    <definedName name="by.3q13">BS!$BE:$BE</definedName>
    <definedName name="by.3q14">BS!$BJ:$BJ</definedName>
    <definedName name="by.4q04">BS!$M:$M</definedName>
    <definedName name="by.4q05">BS!$R:$R</definedName>
    <definedName name="by.4q06">BS!$W:$W</definedName>
    <definedName name="by.4q07">BS!$AB:$AB</definedName>
    <definedName name="by.4q08">BS!$AG:$AG</definedName>
    <definedName name="by.4q09">BS!$AL:$AL</definedName>
    <definedName name="by.4q10">BS!$AQ:$AQ</definedName>
    <definedName name="by.4q11">BS!$AV:$AV</definedName>
    <definedName name="by.4q12">BS!$BA:$BA</definedName>
    <definedName name="by.4q13">BS!$BF:$BF</definedName>
    <definedName name="by.4q14">BS!$BK:$BK</definedName>
    <definedName name="by.97">BS!$C:$C</definedName>
    <definedName name="by.98">BS!$D:$D</definedName>
    <definedName name="by.99">BS!$E:$E</definedName>
    <definedName name="ca">BS!$15:$15</definedName>
    <definedName name="capex">CFLO!$55:$55</definedName>
    <definedName name="cash">BS!$60:$60</definedName>
    <definedName name="cashequiv">BS!$8:$8</definedName>
    <definedName name="cff">CFLO!$48:$48</definedName>
    <definedName name="cfi">CFLO!$39:$39</definedName>
    <definedName name="cfo">CFLO!$32:$32</definedName>
    <definedName name="cl">BS!$33:$33</definedName>
    <definedName name="cogs">IS!$12:$12</definedName>
    <definedName name="common">BS!$40:$40</definedName>
    <definedName name="cy.00">CFLO!$F:$F</definedName>
    <definedName name="cy.01">CFLO!$G:$G</definedName>
    <definedName name="cy.02">CFLO!$H:$H</definedName>
    <definedName name="cy.03">CFLO!$I:$I</definedName>
    <definedName name="cy.04">CFLO!$N:$N</definedName>
    <definedName name="cy.05">CFLO!$S:$S</definedName>
    <definedName name="cy.06">CFLO!$X:$X</definedName>
    <definedName name="cy.07">CFLO!$AC:$AC</definedName>
    <definedName name="cy.08">CFLO!$AH:$AH</definedName>
    <definedName name="cy.09">CFLO!$AM:$AM</definedName>
    <definedName name="cy.10">CFLO!$AR:$AR</definedName>
    <definedName name="cy.11">CFLO!$AW:$AW</definedName>
    <definedName name="cy.12">CFLO!$BB:$BB</definedName>
    <definedName name="cy.13">CFLO!$BG:$BG</definedName>
    <definedName name="cy.14">CFLO!$BL:$BL</definedName>
    <definedName name="cy.15">CFLO!$BQ:$BQ</definedName>
    <definedName name="cy.16">CFLO!$BV:$BV</definedName>
    <definedName name="cy.17">CFLO!$CA:$CA</definedName>
    <definedName name="cy.18">CFLO!$CF:$CF</definedName>
    <definedName name="cy.19">CFLO!$CK:$CK</definedName>
    <definedName name="cy.1q04">CFLO!$J:$J</definedName>
    <definedName name="cy.1q05">CFLO!$O:$O</definedName>
    <definedName name="cy.1q06">CFLO!$T:$T</definedName>
    <definedName name="cy.1q07">CFLO!$Y:$Y</definedName>
    <definedName name="cy.1q08">CFLO!$AD:$AD</definedName>
    <definedName name="cy.1q09">CFLO!$AI:$AI</definedName>
    <definedName name="cy.1q10">CFLO!$AN:$AN</definedName>
    <definedName name="cy.1q11">CFLO!$AS:$AS</definedName>
    <definedName name="cy.1q12">CFLO!$AX:$AX</definedName>
    <definedName name="cy.1q13">CFLO!$BC:$BC</definedName>
    <definedName name="cy.1q14">CFLO!$BH:$BH</definedName>
    <definedName name="cy.20">CFLO!$CP:$CP</definedName>
    <definedName name="cy.21">CFLO!$CU:$CU</definedName>
    <definedName name="cy.22">CFLO!$CZ:$CZ</definedName>
    <definedName name="cy.23">CFLO!$DE:$DE</definedName>
    <definedName name="cy.24">CFLO!$DJ:$DJ</definedName>
    <definedName name="cy.25">CFLO!$DO:$DO</definedName>
    <definedName name="cy.26">CFLO!$DT:$DT</definedName>
    <definedName name="cy.27">CFLO!$DY:$DY</definedName>
    <definedName name="cy.28">CFLO!$DZ:$DZ</definedName>
    <definedName name="cy.29">CFLO!$EA:$EA</definedName>
    <definedName name="cy.2q04">CFLO!$K:$K</definedName>
    <definedName name="cy.2q05">CFLO!$P:$P</definedName>
    <definedName name="cy.2q06">CFLO!$U:$U</definedName>
    <definedName name="cy.2q07">CFLO!$Z:$Z</definedName>
    <definedName name="cy.2q08">CFLO!$AE:$AE</definedName>
    <definedName name="cy.2q09">CFLO!$AJ:$AJ</definedName>
    <definedName name="cy.2q10">CFLO!$AO:$AO</definedName>
    <definedName name="cy.2q11">CFLO!$AT:$AT</definedName>
    <definedName name="cy.2q12">CFLO!$AY:$AY</definedName>
    <definedName name="cy.2q13">CFLO!$BD:$BD</definedName>
    <definedName name="cy.2q14">CFLO!$BI:$BI</definedName>
    <definedName name="cy.30">CFLO!$EB:$EB</definedName>
    <definedName name="cy.3q04">CFLO!$L:$L</definedName>
    <definedName name="cy.3q05">CFLO!$Q:$Q</definedName>
    <definedName name="cy.3q06">CFLO!$V:$V</definedName>
    <definedName name="cy.3q07">CFLO!$AA:$AA</definedName>
    <definedName name="cy.3q08">CFLO!$AF:$AF</definedName>
    <definedName name="cy.3q09">CFLO!$AK:$AK</definedName>
    <definedName name="cy.3q10">CFLO!$AP:$AP</definedName>
    <definedName name="cy.3q11">CFLO!$AU:$AU</definedName>
    <definedName name="cy.3q12">CFLO!$AZ:$AZ</definedName>
    <definedName name="cy.3q13">CFLO!$BE:$BE</definedName>
    <definedName name="cy.3q14">CFLO!$BJ:$BJ</definedName>
    <definedName name="cy.4q04">CFLO!$M:$M</definedName>
    <definedName name="cy.4q05">CFLO!$R:$R</definedName>
    <definedName name="cy.4q06">CFLO!$W:$W</definedName>
    <definedName name="cy.4q07">CFLO!$AB:$AB</definedName>
    <definedName name="cy.4q08">CFLO!$AG:$AG</definedName>
    <definedName name="cy.4q09">CFLO!$AL:$AL</definedName>
    <definedName name="cy.4q10">CFLO!$AQ:$AQ</definedName>
    <definedName name="cy.4q11">CFLO!$AV:$AV</definedName>
    <definedName name="cy.4q12">CFLO!$BA:$BA</definedName>
    <definedName name="cy.4q13">CFLO!$BF:$BF</definedName>
    <definedName name="cy.4q14">CFLO!$BK:$BK</definedName>
    <definedName name="cy.97">CFLO!$C:$C</definedName>
    <definedName name="cy.98">CFLO!$D:$D</definedName>
    <definedName name="cy.99">CFLO!$E:$E</definedName>
    <definedName name="da">IS!$54:$54</definedName>
    <definedName name="date">IS!$4:$4</definedName>
    <definedName name="debt">BS!$63:$63</definedName>
    <definedName name="debttocap">BS!$65:$65</definedName>
    <definedName name="deftax">BS!$12:$12</definedName>
    <definedName name="div">IS!$42:$42</definedName>
    <definedName name="divcf">CFLO!$46:$46</definedName>
    <definedName name="E_ALL_BA">#REF!</definedName>
    <definedName name="E_ALL_KEYWORDS_TYPE_ScalarContributed_ISSR_208000201">#REF!,#REF!</definedName>
    <definedName name="E_ALL_KEYWORDS_TYPE_ScalarReference_EQTY_200000881">#REF!</definedName>
    <definedName name="E_ALL_KEYWORDS_TYPE_ScalarReference_ISSR_208000201">#REF!</definedName>
    <definedName name="E_ALL_KEYWORDS_TYPE_Vector_EQTY_200000881">#REF!,#REF!,#REF!,#REF!,#REF!,#REF!,#REF!</definedName>
    <definedName name="E_ALL_KEYWORDS_TYPE_Vector_ISSR_208000201">#REF!,#REF!,#REF!,#REF!,#REF!,#REF!,#REF!,#REF!,#REF!</definedName>
    <definedName name="E_ALL_SECTION_KEYWORDS_EQTY_200000881_1314">#REF!</definedName>
    <definedName name="E_ALL_SECTION_KEYWORDS_EQTY_200000881_1319">#REF!</definedName>
    <definedName name="E_ALL_SECTION_KEYWORDS_EQTY_200000881_131E">#REF!</definedName>
    <definedName name="E_ALL_SECTION_KEYWORDS_EQTY_200000881_131O">#REF!</definedName>
    <definedName name="E_ALL_SECTION_KEYWORDS_EQTY_200000881_13A">#REF!</definedName>
    <definedName name="E_ALL_SECTION_KEYWORDS_EQTY_200000881_13K">#REF!</definedName>
    <definedName name="E_ALL_SECTION_KEYWORDS_EQTY_200000881_13U">#REF!</definedName>
    <definedName name="E_ALL_SECTION_KEYWORDS_EQTY_200000881_13V">#REF!</definedName>
    <definedName name="E_ALL_SECTION_KEYWORDS_EQTY_200000881_13W">#REF!</definedName>
    <definedName name="E_ALL_SECTION_KEYWORDS_EQTY_200000881_Reference_Data">#REF!</definedName>
    <definedName name="E_ALL_SECTION_KEYWORDS_ISSR_208000201_1314">#REF!</definedName>
    <definedName name="E_ALL_SECTION_KEYWORDS_ISSR_208000201_13168">#REF!</definedName>
    <definedName name="E_ALL_SECTION_KEYWORDS_ISSR_208000201_1316S">#REF!</definedName>
    <definedName name="E_ALL_SECTION_KEYWORDS_ISSR_208000201_1316T">#REF!</definedName>
    <definedName name="E_ALL_SECTION_KEYWORDS_ISSR_208000201_1316U">#REF!</definedName>
    <definedName name="E_ALL_SECTION_KEYWORDS_ISSR_208000201_1319">#REF!</definedName>
    <definedName name="E_ALL_SECTION_KEYWORDS_ISSR_208000201_131E">#REF!</definedName>
    <definedName name="E_ALL_SECTION_KEYWORDS_ISSR_208000201_131J">#REF!</definedName>
    <definedName name="E_ALL_SECTION_KEYWORDS_ISSR_208000201_131O">#REF!</definedName>
    <definedName name="E_ALL_SECTION_KEYWORDS_ISSR_208000201_136E">#REF!,#REF!</definedName>
    <definedName name="E_ALL_SECTION_KEYWORDS_ISSR_208000201_13A">#REF!</definedName>
    <definedName name="E_ALL_SECTION_KEYWORDS_ISSR_208000201_13U">#REF!</definedName>
    <definedName name="E_ALL_SECTION_KEYWORDS_ISSR_208000201_13V">#REF!</definedName>
    <definedName name="E_ALL_SECTION_KEYWORDS_ISSR_208000201_Reference_Data">#REF!</definedName>
    <definedName name="E_ALL_SECTIONS_EQTY_200000881">#REF!,#REF!,#REF!,#REF!,#REF!,#REF!,#REF!,#REF!,#REF!,#REF!</definedName>
    <definedName name="E_CURRENCY_EQTY_200000881_PRI">#REF!</definedName>
    <definedName name="E_CURRENCY_EQTY_200000881_PUB">#REF!</definedName>
    <definedName name="E_CURRENCY_EQTY_200000881_REP">#REF!</definedName>
    <definedName name="E_CURRENCY_ISSR_208000201_REP">#REF!</definedName>
    <definedName name="E_KEYWORD_EQTY_200000881_AMER_CONVICTION">#REF!</definedName>
    <definedName name="E_KEYWORD_EQTY_200000881_AMER_LIST">#REF!</definedName>
    <definedName name="E_KEYWORD_EQTY_200000881_BETA_ANALYST">#REF!</definedName>
    <definedName name="E_KEYWORD_EQTY_200000881_BVPS">#REF!</definedName>
    <definedName name="E_KEYWORD_EQTY_200000881_BVPS_PUB">#REF!</definedName>
    <definedName name="E_KEYWORD_EQTY_200000881_CEEE_EPS">#REF!</definedName>
    <definedName name="E_KEYWORD_EQTY_200000881_CF_NI_PRE_PREF">#REF!</definedName>
    <definedName name="E_KEYWORD_EQTY_200000881_COMMON_DIV_PAID">#REF!</definedName>
    <definedName name="E_KEYWORD_EQTY_200000881_CURRENCY_ISO">#REF!</definedName>
    <definedName name="E_KEYWORD_EQTY_200000881_DILUTE_SHARES">#REF!</definedName>
    <definedName name="E_KEYWORD_EQTY_200000881_DPS">#REF!</definedName>
    <definedName name="E_KEYWORD_EQTY_200000881_DPS_PUB">#REF!</definedName>
    <definedName name="E_KEYWORD_EQTY_200000881_EBIT_PUB">#REF!</definedName>
    <definedName name="E_KEYWORD_EQTY_200000881_EBITDA_PUB">#REF!</definedName>
    <definedName name="E_KEYWORD_EQTY_200000881_EPS">#REF!</definedName>
    <definedName name="E_KEYWORD_EQTY_200000881_EPS_EX_ESO_B">#REF!</definedName>
    <definedName name="E_KEYWORD_EQTY_200000881_EPS_EX_ESO_D">#REF!</definedName>
    <definedName name="E_KEYWORD_EQTY_200000881_EPS_FUL_DIL">#REF!</definedName>
    <definedName name="E_KEYWORD_EQTY_200000881_EPS_POST_BASIC">#REF!</definedName>
    <definedName name="E_KEYWORD_EQTY_200000881_EPS_PUB">#REF!</definedName>
    <definedName name="E_KEYWORD_EQTY_200000881_EPS_PUB_EX_ESO">#REF!</definedName>
    <definedName name="E_KEYWORD_EQTY_200000881_EQ_PUB">#REF!</definedName>
    <definedName name="E_KEYWORD_EQTY_200000881_ESO_POST_TAX">#REF!</definedName>
    <definedName name="E_KEYWORD_EQTY_200000881_ESO_YEAR">#REF!</definedName>
    <definedName name="E_KEYWORD_EQTY_200000881_EV_ADJ_PUB">#REF!</definedName>
    <definedName name="E_KEYWORD_EQTY_200000881_FREE_FLOAT">#REF!</definedName>
    <definedName name="E_KEYWORD_EQTY_200000881_FULLY_DIL_EPS">#REF!</definedName>
    <definedName name="E_KEYWORD_EQTY_200000881_FV_GRANT">#REF!</definedName>
    <definedName name="E_KEYWORD_EQTY_200000881_INC_MINORITY">#REF!</definedName>
    <definedName name="E_KEYWORD_EQTY_200000881_Interim_Type">#REF!</definedName>
    <definedName name="E_KEYWORD_EQTY_200000881_LEGAL_RATING">#REF!</definedName>
    <definedName name="E_KEYWORD_EQTY_200000881_MARGIN_TAX_RATE">#REF!</definedName>
    <definedName name="E_KEYWORD_EQTY_200000881_MKT_EQ_RISK_PREM">#REF!</definedName>
    <definedName name="E_KEYWORD_EQTY_200000881_NET_DEBT_PUB">#REF!</definedName>
    <definedName name="E_KEYWORD_EQTY_200000881_NET_EARNING">#REF!</definedName>
    <definedName name="E_KEYWORD_EQTY_200000881_NET_INC">#REF!</definedName>
    <definedName name="E_KEYWORD_EQTY_200000881_NI_PRE_PREF">#REF!</definedName>
    <definedName name="E_KEYWORD_EQTY_200000881_NI_PUB">#REF!</definedName>
    <definedName name="E_KEYWORD_EQTY_200000881_NON_OP_ADD">#REF!</definedName>
    <definedName name="E_KEYWORD_EQTY_200000881_NUM_SH">#REF!</definedName>
    <definedName name="E_KEYWORD_EQTY_200000881_PREF_DIV">#REF!</definedName>
    <definedName name="E_KEYWORD_EQTY_200000881_PRICE_CURRENCY_ISO">#REF!</definedName>
    <definedName name="E_KEYWORD_EQTY_200000881_PROV_INC_TAX">#REF!</definedName>
    <definedName name="E_KEYWORD_EQTY_200000881_PTP_PUB">#REF!</definedName>
    <definedName name="E_KEYWORD_EQTY_200000881_PUB_CURRENCY_ISO">#REF!</definedName>
    <definedName name="E_KEYWORD_EQTY_200000881_REPUR_ACTUAL">#REF!</definedName>
    <definedName name="E_KEYWORD_EQTY_200000881_REPUR_REMAINING">#REF!</definedName>
    <definedName name="E_KEYWORD_EQTY_200000881_REPUR_SUSPENDED">#REF!</definedName>
    <definedName name="E_KEYWORD_EQTY_200000881_REPUR_TOT_AUTH">#REF!</definedName>
    <definedName name="E_KEYWORD_EQTY_200000881_REVS_PUB">#REF!</definedName>
    <definedName name="E_KEYWORD_EQTY_200000881_RISK_FR_RATE">#REF!</definedName>
    <definedName name="E_KEYWORD_EQTY_200000881_Security_Name">#REF!</definedName>
    <definedName name="E_KEYWORD_EQTY_200000881_SH">#REF!</definedName>
    <definedName name="E_KEYWORD_EQTY_200000881_TARGET_PRICE">#REF!</definedName>
    <definedName name="E_KEYWORD_EQTY_200000881_TAX_EXC">#REF!</definedName>
    <definedName name="E_KEYWORD_EQTY_200000881_Ticker">#REF!</definedName>
    <definedName name="E_KEYWORD_EQTY_200000881_TP_PERIOD">#REF!</definedName>
    <definedName name="E_KEYWORD_ISSR_208000201_ACC_AMORT">#REF!</definedName>
    <definedName name="E_KEYWORD_ISSR_208000201_ACC_DDA">#REF!</definedName>
    <definedName name="E_KEYWORD_ISSR_208000201_ACC_END_DATE">#REF!</definedName>
    <definedName name="E_KEYWORD_ISSR_208000201_ACC_PAY_GQ">#REF!</definedName>
    <definedName name="E_KEYWORD_ISSR_208000201_ACQ">#REF!</definedName>
    <definedName name="E_KEYWORD_ISSR_208000201_ADJ_UNF_PENS_GOOD">#REF!</definedName>
    <definedName name="E_KEYWORD_ISSR_208000201_ASSOC_JV_ADDBK">#REF!</definedName>
    <definedName name="E_KEYWORD_ISSR_208000201_ASSOCIATE">#REF!</definedName>
    <definedName name="E_KEYWORD_ISSR_208000201_ASSOCIATE_OP">#REF!</definedName>
    <definedName name="E_KEYWORD_ISSR_208000201_BAL_MINO_INT">#REF!</definedName>
    <definedName name="E_KEYWORD_ISSR_208000201_CAP_LEASES">#REF!</definedName>
    <definedName name="E_KEYWORD_ISSR_208000201_CAPEX">#REF!</definedName>
    <definedName name="E_KEYWORD_ISSR_208000201_CAPEX_EXPANSION">#REF!</definedName>
    <definedName name="E_KEYWORD_ISSR_208000201_CAPEX_MAINTENANCE">#REF!</definedName>
    <definedName name="E_KEYWORD_ISSR_208000201_CASH_EQ">#REF!</definedName>
    <definedName name="E_KEYWORD_ISSR_208000201_CASH_INT_EXP">#REF!</definedName>
    <definedName name="E_KEYWORD_ISSR_208000201_CASH_PCT_OS_US">#REF!</definedName>
    <definedName name="E_KEYWORD_ISSR_208000201_CASH_TAX_EXP">#REF!</definedName>
    <definedName name="E_KEYWORD_ISSR_208000201_CF_FIN">#REF!</definedName>
    <definedName name="E_KEYWORD_ISSR_208000201_CF_INC_MINORITY">#REF!</definedName>
    <definedName name="E_KEYWORD_ISSR_208000201_CF_INV">#REF!</definedName>
    <definedName name="E_KEYWORD_ISSR_208000201_CF_OPS">#REF!</definedName>
    <definedName name="E_KEYWORD_ISSR_208000201_CHG_LT_DEBT">#REF!</definedName>
    <definedName name="E_KEYWORD_ISSR_208000201_CO_BOR_MARGIN">#REF!</definedName>
    <definedName name="E_KEYWORD_ISSR_208000201_COST_GD_SD">#REF!</definedName>
    <definedName name="E_KEYWORD_ISSR_208000201_CUR_ASS">#REF!</definedName>
    <definedName name="E_KEYWORD_ISSR_208000201_CURRENCY_ISO">#REF!</definedName>
    <definedName name="E_KEYWORD_ISSR_208000201_DEBTORS">#REF!</definedName>
    <definedName name="E_KEYWORD_ISSR_208000201_DEF_INC_TAX">#REF!</definedName>
    <definedName name="E_KEYWORD_ISSR_208000201_DEPR_AMORT">#REF!</definedName>
    <definedName name="E_KEYWORD_ISSR_208000201_DEPREC">#REF!</definedName>
    <definedName name="E_KEYWORD_ISSR_208000201_DIV_PAID">#REF!</definedName>
    <definedName name="E_KEYWORD_ISSR_208000201_DIVDS_ASSOC_JV">#REF!</definedName>
    <definedName name="E_KEYWORD_ISSR_208000201_DIVDS_PD_MINORITIES">#REF!</definedName>
    <definedName name="E_KEYWORD_ISSR_208000201_DIVEST">#REF!</definedName>
    <definedName name="E_KEYWORD_ISSR_208000201_EBIT">#REF!</definedName>
    <definedName name="E_KEYWORD_ISSR_208000201_EBIT_FIN_SEGMENT">#REF!</definedName>
    <definedName name="E_KEYWORD_ISSR_208000201_EBITDA_CALC">#REF!</definedName>
    <definedName name="E_KEYWORD_ISSR_208000201_EMPLOYEES">#REF!</definedName>
    <definedName name="E_KEYWORD_ISSR_208000201_EQ">#REF!</definedName>
    <definedName name="E_KEYWORD_ISSR_208000201_ESO_PRE_TAX">#REF!</definedName>
    <definedName name="E_KEYWORD_ISSR_208000201_EXP_ALUMINIUM">#REF!</definedName>
    <definedName name="E_KEYWORD_ISSR_208000201_EXP_COPPER">#REF!</definedName>
    <definedName name="E_KEYWORD_ISSR_208000201_EXP_GLASS">#REF!</definedName>
    <definedName name="E_KEYWORD_ISSR_208000201_EXP_GOLD">#REF!</definedName>
    <definedName name="E_KEYWORD_ISSR_208000201_EXP_NAT_GAS">#REF!</definedName>
    <definedName name="E_KEYWORD_ISSR_208000201_EXP_NICKEL">#REF!</definedName>
    <definedName name="E_KEYWORD_ISSR_208000201_EXP_OIL_DERIV_NGLS_PLASTICS">#REF!</definedName>
    <definedName name="E_KEYWORD_ISSR_208000201_EXP_OIL_PETRO_FUEL">#REF!</definedName>
    <definedName name="E_KEYWORD_ISSR_208000201_EXP_OTH_COMMODITY">#REF!</definedName>
    <definedName name="E_KEYWORD_ISSR_208000201_EXP_OTH_COST">#REF!</definedName>
    <definedName name="E_KEYWORD_ISSR_208000201_EXP_PALLADIUM">#REF!</definedName>
    <definedName name="E_KEYWORD_ISSR_208000201_EXP_PLATINUM">#REF!</definedName>
    <definedName name="E_KEYWORD_ISSR_208000201_EXP_RUBBER">#REF!</definedName>
    <definedName name="E_KEYWORD_ISSR_208000201_EXP_SILVER">#REF!</definedName>
    <definedName name="E_KEYWORD_ISSR_208000201_EXP_STEEL">#REF!</definedName>
    <definedName name="E_KEYWORD_ISSR_208000201_EXP_WATER">#REF!</definedName>
    <definedName name="E_KEYWORD_ISSR_208000201_EXP_ZINC">#REF!</definedName>
    <definedName name="E_KEYWORD_ISSR_208000201_FIX_ASS_INV">#REF!</definedName>
    <definedName name="E_KEYWORD_ISSR_208000201_GCI_INFL">#REF!</definedName>
    <definedName name="E_KEYWORD_ISSR_208000201_GOODWILL_AMORT">#REF!</definedName>
    <definedName name="E_KEYWORD_ISSR_208000201_GR_FIX_ASS">#REF!</definedName>
    <definedName name="E_KEYWORD_ISSR_208000201_GR_INTANG">#REF!</definedName>
    <definedName name="E_KEYWORD_ISSR_208000201_INT_EXP_IND">#REF!</definedName>
    <definedName name="E_KEYWORD_ISSR_208000201_INT_INC_IND">#REF!</definedName>
    <definedName name="E_KEYWORD_ISSR_208000201_INV_SECUR">#REF!</definedName>
    <definedName name="E_KEYWORD_ISSR_208000201_Issuer_Name">#REF!</definedName>
    <definedName name="E_KEYWORD_ISSR_208000201_LEASE_DEEM_DEPR">#REF!</definedName>
    <definedName name="E_KEYWORD_ISSR_208000201_LEASE_DEEM_INT">#REF!</definedName>
    <definedName name="E_KEYWORD_ISSR_208000201_LEASE_PAY">#REF!</definedName>
    <definedName name="E_KEYWORD_ISSR_208000201_LT_DEBT">#REF!</definedName>
    <definedName name="E_KEYWORD_ISSR_208000201_MA_PROB">#REF!</definedName>
    <definedName name="E_KEYWORD_ISSR_208000201_MINORITIES">#REF!</definedName>
    <definedName name="E_KEYWORD_ISSR_208000201_MV_ASSOCIATES">#REF!</definedName>
    <definedName name="E_KEYWORD_ISSR_208000201_NET_DEBT">#REF!</definedName>
    <definedName name="E_KEYWORD_ISSR_208000201_NET_DEBT_ADJ">#REF!</definedName>
    <definedName name="E_KEYWORD_ISSR_208000201_NET_FIX_ASS">#REF!</definedName>
    <definedName name="E_KEYWORD_ISSR_208000201_NET_INT_CH">#REF!</definedName>
    <definedName name="E_KEYWORD_ISSR_208000201_NET_INT_EXP">#REF!</definedName>
    <definedName name="E_KEYWORD_ISSR_208000201_NET_INTANG">#REF!</definedName>
    <definedName name="E_KEYWORD_ISSR_208000201_NONPPE_CAPEX">#REF!</definedName>
    <definedName name="E_KEYWORD_ISSR_208000201_OP_COST">#REF!</definedName>
    <definedName name="E_KEYWORD_ISSR_208000201_ORD_SH_FUND">#REF!</definedName>
    <definedName name="E_KEYWORD_ISSR_208000201_OTH_COST_INC">#REF!</definedName>
    <definedName name="E_KEYWORD_ISSR_208000201_OTH_CUR_ASS">#REF!</definedName>
    <definedName name="E_KEYWORD_ISSR_208000201_OTH_CUR_LIABS">#REF!</definedName>
    <definedName name="E_KEYWORD_ISSR_208000201_OTH_DACF_ADJ">#REF!</definedName>
    <definedName name="E_KEYWORD_ISSR_208000201_OTH_FIN_CF">#REF!</definedName>
    <definedName name="E_KEYWORD_ISSR_208000201_OTH_GCI_ADJ">#REF!</definedName>
    <definedName name="E_KEYWORD_ISSR_208000201_OTH_INV_CF">#REF!</definedName>
    <definedName name="E_KEYWORD_ISSR_208000201_OTH_LT_ASS">#REF!</definedName>
    <definedName name="E_KEYWORD_ISSR_208000201_OTH_LT_CRED_GQ">#REF!</definedName>
    <definedName name="E_KEYWORD_ISSR_208000201_OTH_NONCASH_ADJ">#REF!</definedName>
    <definedName name="E_KEYWORD_ISSR_208000201_OTH_OP_CF">#REF!</definedName>
    <definedName name="E_KEYWORD_ISSR_208000201_OTH_OP_INC_EXP">#REF!</definedName>
    <definedName name="E_KEYWORD_ISSR_208000201_PERIOD_MILESTONE">#REF!</definedName>
    <definedName name="E_KEYWORD_ISSR_208000201_PL_SALE_ASSETS">#REF!</definedName>
    <definedName name="E_KEYWORD_ISSR_208000201_PREF_SH">#REF!</definedName>
    <definedName name="E_KEYWORD_ISSR_208000201_PROFIT_ON_DISP">#REF!</definedName>
    <definedName name="E_KEYWORD_ISSR_208000201_PT_PROF">#REF!</definedName>
    <definedName name="E_KEYWORD_ISSR_208000201_RD_EXP">#REF!</definedName>
    <definedName name="E_KEYWORD_ISSR_208000201_REV_FIN_SEGMENT">#REF!</definedName>
    <definedName name="E_KEYWORD_ISSR_208000201_SALES">#REF!</definedName>
    <definedName name="E_KEYWORD_ISSR_208000201_SALES_ARGENTINA">#REF!</definedName>
    <definedName name="E_KEYWORD_ISSR_208000201_SALES_BRAZIL">#REF!</definedName>
    <definedName name="E_KEYWORD_ISSR_208000201_SALES_CANADA">#REF!</definedName>
    <definedName name="E_KEYWORD_ISSR_208000201_SALES_CEE">#REF!</definedName>
    <definedName name="E_KEYWORD_ISSR_208000201_SALES_CHILE">#REF!</definedName>
    <definedName name="E_KEYWORD_ISSR_208000201_SALES_CHINA">#REF!</definedName>
    <definedName name="E_KEYWORD_ISSR_208000201_SALES_COLOMBIA">#REF!</definedName>
    <definedName name="E_KEYWORD_ISSR_208000201_SALES_CONS">#REF!</definedName>
    <definedName name="E_KEYWORD_ISSR_208000201_SALES_EU_EX_UK">#REF!</definedName>
    <definedName name="E_KEYWORD_ISSR_208000201_SALES_FINAN">#REF!</definedName>
    <definedName name="E_KEYWORD_ISSR_208000201_SALES_FX_ARS">#REF!</definedName>
    <definedName name="E_KEYWORD_ISSR_208000201_SALES_FX_BRL">#REF!</definedName>
    <definedName name="E_KEYWORD_ISSR_208000201_SALES_FX_CAD">#REF!</definedName>
    <definedName name="E_KEYWORD_ISSR_208000201_SALES_FX_CLP">#REF!</definedName>
    <definedName name="E_KEYWORD_ISSR_208000201_SALES_FX_CNY">#REF!</definedName>
    <definedName name="E_KEYWORD_ISSR_208000201_SALES_FX_COP">#REF!</definedName>
    <definedName name="E_KEYWORD_ISSR_208000201_SALES_FX_EUR">#REF!</definedName>
    <definedName name="E_KEYWORD_ISSR_208000201_SALES_FX_GPB">#REF!</definedName>
    <definedName name="E_KEYWORD_ISSR_208000201_SALES_FX_INR">#REF!</definedName>
    <definedName name="E_KEYWORD_ISSR_208000201_SALES_FX_MXN">#REF!</definedName>
    <definedName name="E_KEYWORD_ISSR_208000201_SALES_FX_OTH">#REF!</definedName>
    <definedName name="E_KEYWORD_ISSR_208000201_SALES_FX_RUB">#REF!</definedName>
    <definedName name="E_KEYWORD_ISSR_208000201_SALES_FX_USD">#REF!</definedName>
    <definedName name="E_KEYWORD_ISSR_208000201_SALES_FX_VEF">#REF!</definedName>
    <definedName name="E_KEYWORD_ISSR_208000201_SALES_FX_YEN">#REF!</definedName>
    <definedName name="E_KEYWORD_ISSR_208000201_SALES_GOV">#REF!</definedName>
    <definedName name="E_KEYWORD_ISSR_208000201_SALES_IND">#REF!</definedName>
    <definedName name="E_KEYWORD_ISSR_208000201_SALES_INDIA">#REF!</definedName>
    <definedName name="E_KEYWORD_ISSR_208000201_SALES_JAPAN">#REF!</definedName>
    <definedName name="E_KEYWORD_ISSR_208000201_SALES_ME">#REF!</definedName>
    <definedName name="E_KEYWORD_ISSR_208000201_SALES_MEXICO">#REF!</definedName>
    <definedName name="E_KEYWORD_ISSR_208000201_SALES_OTH_AEJ">#REF!</definedName>
    <definedName name="E_KEYWORD_ISSR_208000201_SALES_OTH_AM">#REF!</definedName>
    <definedName name="E_KEYWORD_ISSR_208000201_SALES_OTH_COMMODITY">#REF!</definedName>
    <definedName name="E_KEYWORD_ISSR_208000201_SALES_OTH_EMEA">#REF!</definedName>
    <definedName name="E_KEYWORD_ISSR_208000201_SALES_OTH_SALES_SOURCES">#REF!</definedName>
    <definedName name="E_KEYWORD_ISSR_208000201_SALES_OTHER">#REF!</definedName>
    <definedName name="E_KEYWORD_ISSR_208000201_SALES_RUSSIA">#REF!</definedName>
    <definedName name="E_KEYWORD_ISSR_208000201_SALES_SMB">#REF!</definedName>
    <definedName name="E_KEYWORD_ISSR_208000201_SALES_TOT_AFRICA">#REF!</definedName>
    <definedName name="E_KEYWORD_ISSR_208000201_SALES_TOT_AM">#REF!</definedName>
    <definedName name="E_KEYWORD_ISSR_208000201_SALES_TOT_ASIA">#REF!</definedName>
    <definedName name="E_KEYWORD_ISSR_208000201_SALES_TOT_EMEA">#REF!</definedName>
    <definedName name="E_KEYWORD_ISSR_208000201_SALES_UK">#REF!</definedName>
    <definedName name="E_KEYWORD_ISSR_208000201_SALES_US">#REF!</definedName>
    <definedName name="E_KEYWORD_ISSR_208000201_SALES_VENEZUELA">#REF!</definedName>
    <definedName name="E_KEYWORD_ISSR_208000201_SEL_GL_AD">#REF!</definedName>
    <definedName name="E_KEYWORD_ISSR_208000201_SH_REPUR">#REF!</definedName>
    <definedName name="E_KEYWORD_ISSR_208000201_SHORT_T_DEBT">#REF!</definedName>
    <definedName name="E_KEYWORD_ISSR_208000201_SHORT_TERM_LIABS">#REF!</definedName>
    <definedName name="E_KEYWORD_ISSR_208000201_STOCKS">#REF!</definedName>
    <definedName name="E_KEYWORD_ISSR_208000201_TOT_ASSET">#REF!</definedName>
    <definedName name="E_KEYWORD_ISSR_208000201_TOT_CF">#REF!</definedName>
    <definedName name="E_KEYWORD_ISSR_208000201_TOT_LIAB">#REF!</definedName>
    <definedName name="E_KEYWORD_ISSR_208000201_TOT_LIAB_EQ">#REF!</definedName>
    <definedName name="E_KEYWORD_ISSR_208000201_TOT_LT_LIAB">#REF!</definedName>
    <definedName name="E_KEYWORD_ISSR_208000201_TOT_OPS_EXP">#REF!</definedName>
    <definedName name="E_KEYWORD_ISSR_208000201_TOT_OPS_EXP_DDA">#REF!</definedName>
    <definedName name="E_KEYWORD_ISSR_208000201_UNF_PENS">#REF!</definedName>
    <definedName name="E_KEYWORD_ISSR_208000201_UNF_PENS_LIAB_OTH">#REF!</definedName>
    <definedName name="E_KEYWORD_ISSR_208000201_UNF_PENS_OFF">#REF!</definedName>
    <definedName name="E_KEYWORD_ISSR_208000201_WORK_CAP">#REF!</definedName>
    <definedName name="E_LIVEDATA_EQTY_200000881">#REF!</definedName>
    <definedName name="E_LIVEDATA_ISSR_208000201">#REF!</definedName>
    <definedName name="E_PERIOD_1994">#REF!</definedName>
    <definedName name="E_PERIOD_1995">#REF!</definedName>
    <definedName name="E_PERIOD_1996">#REF!</definedName>
    <definedName name="E_PERIOD_1997">#REF!</definedName>
    <definedName name="E_PERIOD_1998">#REF!</definedName>
    <definedName name="E_PERIOD_1999">#REF!</definedName>
    <definedName name="E_PERIOD_2000">#REF!</definedName>
    <definedName name="E_PERIOD_2001">#REF!</definedName>
    <definedName name="E_PERIOD_2002">#REF!</definedName>
    <definedName name="E_PERIOD_2003">#REF!</definedName>
    <definedName name="E_PERIOD_2003_Q1">#REF!</definedName>
    <definedName name="E_PERIOD_2003_Q2">#REF!</definedName>
    <definedName name="E_PERIOD_2003_Q3">#REF!</definedName>
    <definedName name="E_PERIOD_2003_Q4">#REF!</definedName>
    <definedName name="E_PERIOD_2004">#REF!</definedName>
    <definedName name="E_PERIOD_2004_Q1">#REF!</definedName>
    <definedName name="E_PERIOD_2004_Q2">#REF!</definedName>
    <definedName name="E_PERIOD_2004_Q3">#REF!</definedName>
    <definedName name="E_PERIOD_2004_Q4">#REF!</definedName>
    <definedName name="E_PERIOD_2005">#REF!</definedName>
    <definedName name="E_PERIOD_2005_Q1">#REF!</definedName>
    <definedName name="E_PERIOD_2005_Q2">#REF!</definedName>
    <definedName name="E_PERIOD_2005_Q3">#REF!</definedName>
    <definedName name="E_PERIOD_2005_Q4">#REF!</definedName>
    <definedName name="E_PERIOD_2006">#REF!</definedName>
    <definedName name="E_PERIOD_2006_Q1">#REF!</definedName>
    <definedName name="E_PERIOD_2006_Q2">#REF!</definedName>
    <definedName name="E_PERIOD_2006_Q3">#REF!</definedName>
    <definedName name="E_PERIOD_2006_Q4">#REF!</definedName>
    <definedName name="E_PERIOD_2007">#REF!</definedName>
    <definedName name="E_PERIOD_2007_Q1">#REF!</definedName>
    <definedName name="E_PERIOD_2007_Q2">#REF!</definedName>
    <definedName name="E_PERIOD_2007_Q3">#REF!</definedName>
    <definedName name="E_PERIOD_2007_Q4">#REF!</definedName>
    <definedName name="E_PERIOD_2008">#REF!</definedName>
    <definedName name="E_PERIOD_2008_Q1">#REF!</definedName>
    <definedName name="E_PERIOD_2008_Q2">#REF!</definedName>
    <definedName name="E_PERIOD_2008_Q3">#REF!</definedName>
    <definedName name="E_PERIOD_2008_Q4">#REF!</definedName>
    <definedName name="E_PERIOD_2009">#REF!</definedName>
    <definedName name="E_PERIOD_2009_Q1">#REF!</definedName>
    <definedName name="E_PERIOD_2009_Q2">#REF!</definedName>
    <definedName name="E_PERIOD_2009_Q3">#REF!</definedName>
    <definedName name="E_PERIOD_2009_Q4">#REF!</definedName>
    <definedName name="E_PERIOD_2010">#REF!</definedName>
    <definedName name="E_PERIOD_2010_Q1">#REF!</definedName>
    <definedName name="E_PERIOD_2010_Q2">#REF!</definedName>
    <definedName name="E_PERIOD_2010_Q3">#REF!</definedName>
    <definedName name="E_PERIOD_2010_Q4">#REF!</definedName>
    <definedName name="E_PERIOD_2011">#REF!</definedName>
    <definedName name="E_PERIOD_2011_Q1">#REF!</definedName>
    <definedName name="E_PERIOD_2011_Q2">#REF!</definedName>
    <definedName name="E_PERIOD_2011_Q3">#REF!</definedName>
    <definedName name="E_PERIOD_2011_Q4">#REF!</definedName>
    <definedName name="E_PERIOD_2012">#REF!</definedName>
    <definedName name="E_PERIOD_2012_Q1">#REF!</definedName>
    <definedName name="E_PERIOD_2012_Q2">#REF!</definedName>
    <definedName name="E_PERIOD_2012_Q3">#REF!</definedName>
    <definedName name="E_PERIOD_2012_Q4">#REF!</definedName>
    <definedName name="E_PERIOD_2013">#REF!</definedName>
    <definedName name="E_PERIOD_2013_Q1">#REF!</definedName>
    <definedName name="E_PERIOD_2013_Q2">#REF!</definedName>
    <definedName name="E_PERIOD_2013_Q3">#REF!</definedName>
    <definedName name="E_PERIOD_2013_Q4">#REF!</definedName>
    <definedName name="E_PERIOD_2014">#REF!</definedName>
    <definedName name="E_PERIOD_2014_Q1">#REF!</definedName>
    <definedName name="E_PERIOD_2014_Q2">#REF!</definedName>
    <definedName name="E_PERIOD_2014_Q3">#REF!</definedName>
    <definedName name="E_PERIOD_2014_Q4">#REF!</definedName>
    <definedName name="E_PERIOD_2015">#REF!</definedName>
    <definedName name="E_PERIOD_2016">#REF!</definedName>
    <definedName name="E_SECTION_EQTY_200000881_1314">#REF!</definedName>
    <definedName name="E_SECTION_EQTY_200000881_1319">#REF!</definedName>
    <definedName name="E_SECTION_EQTY_200000881_131E">#REF!</definedName>
    <definedName name="E_SECTION_EQTY_200000881_131O">#REF!</definedName>
    <definedName name="E_SECTION_EQTY_200000881_13A">#REF!</definedName>
    <definedName name="E_SECTION_EQTY_200000881_13K">#REF!</definedName>
    <definedName name="E_SECTION_EQTY_200000881_13U">#REF!</definedName>
    <definedName name="E_SECTION_EQTY_200000881_13V">#REF!</definedName>
    <definedName name="E_SECTION_EQTY_200000881_13W">#REF!</definedName>
    <definedName name="E_SECTION_EQTY_200000881_Reference_Data">#REF!</definedName>
    <definedName name="E_SECTION_ISSR_208000201_1314">#REF!</definedName>
    <definedName name="E_SECTION_ISSR_208000201_13168">#REF!</definedName>
    <definedName name="E_SECTION_ISSR_208000201_1316S">#REF!</definedName>
    <definedName name="E_SECTION_ISSR_208000201_1316T">#REF!</definedName>
    <definedName name="E_SECTION_ISSR_208000201_1316U">#REF!</definedName>
    <definedName name="E_SECTION_ISSR_208000201_1319">#REF!</definedName>
    <definedName name="E_SECTION_ISSR_208000201_131E">#REF!</definedName>
    <definedName name="E_SECTION_ISSR_208000201_131J">#REF!</definedName>
    <definedName name="E_SECTION_ISSR_208000201_131O">#REF!</definedName>
    <definedName name="E_SECTION_ISSR_208000201_13A">#REF!</definedName>
    <definedName name="E_SECTION_ISSR_208000201_13U">#REF!</definedName>
    <definedName name="E_SECTION_ISSR_208000201_13V">#REF!</definedName>
    <definedName name="E_SECTION_ISSR_208000201_Reference_Data">#REF!</definedName>
    <definedName name="ebitda">IS!$55:$55</definedName>
    <definedName name="eps">IS!$34:$34</definedName>
    <definedName name="epsbas">IS!$30:$30</definedName>
    <definedName name="epsbasop">IS!$28:$28</definedName>
    <definedName name="epscore">IS!$36:$36</definedName>
    <definedName name="epsop">IS!$32:$32</definedName>
    <definedName name="espcore">IS!$36:$36</definedName>
    <definedName name="fcf">CFLO!$56:$56</definedName>
    <definedName name="fcfni">CFLO!$57:$57</definedName>
    <definedName name="fcfsh">CFLO!$59:$59</definedName>
    <definedName name="fy.00">IS!$F:$F</definedName>
    <definedName name="fy.01">IS!$G:$G</definedName>
    <definedName name="fy.02">IS!$H:$H</definedName>
    <definedName name="fy.03">IS!$I:$I</definedName>
    <definedName name="fy.04">IS!$N:$N</definedName>
    <definedName name="fy.05">IS!$S:$S</definedName>
    <definedName name="fy.06">IS!$X:$X</definedName>
    <definedName name="fy.07">IS!$AC:$AC</definedName>
    <definedName name="fy.08">IS!$AH:$AH</definedName>
    <definedName name="fy.09">IS!$AM:$AM</definedName>
    <definedName name="fy.10">IS!$AR:$AR</definedName>
    <definedName name="fy.11">IS!$AW:$AW</definedName>
    <definedName name="fy.12">IS!$BB:$BB</definedName>
    <definedName name="fy.13">IS!$BG:$BG</definedName>
    <definedName name="fy.14">IS!$BL:$BL</definedName>
    <definedName name="fy.15">IS!$BQ:$BQ</definedName>
    <definedName name="fy.16">IS!$BV:$BV</definedName>
    <definedName name="fy.17">IS!$CA:$CA</definedName>
    <definedName name="fy.18">IS!$CF:$CF</definedName>
    <definedName name="fy.19">IS!$CK:$CK</definedName>
    <definedName name="fy.20">IS!$CP:$CP</definedName>
    <definedName name="fy.21">IS!$CU:$CU</definedName>
    <definedName name="fy.22">IS!$CZ:$CZ</definedName>
    <definedName name="fy.23">IS!$DE:$DE</definedName>
    <definedName name="fy.24">IS!$DJ:$DJ</definedName>
    <definedName name="fy.25">IS!$DO:$DO</definedName>
    <definedName name="fy.26">IS!$DT:$DT</definedName>
    <definedName name="fy.27">IS!$DY:$DY</definedName>
    <definedName name="fy.28">IS!$DZ:$DZ</definedName>
    <definedName name="fy.29">IS!$EA:$EA</definedName>
    <definedName name="fy.30">IS!$EB:$EB</definedName>
    <definedName name="fy.97">IS!$C:$C</definedName>
    <definedName name="fy.98">IS!$D:$D</definedName>
    <definedName name="fy.99">IS!$E:$E</definedName>
    <definedName name="goodwill">BS!$18:$18</definedName>
    <definedName name="grossprofit">IS!$13:$13</definedName>
    <definedName name="intexp">IS!$20:$20</definedName>
    <definedName name="inv">BS!$13:$13</definedName>
    <definedName name="L_ALL_BA">#REF!</definedName>
    <definedName name="L_ALL_BA_">#REF!</definedName>
    <definedName name="L_ALL_KEYWORDS_TYPE_ScalarContributed_EQTY_200000881">#REF!,#REF!,#REF!,#REF!,#REF!</definedName>
    <definedName name="L_ALL_KEYWORDS_TYPE_ScalarContributed_ISSR_208000201">#REF!,#REF!</definedName>
    <definedName name="L_ALL_KEYWORDS_TYPE_ScalarReference_EQTY_200000881">#REF!</definedName>
    <definedName name="L_ALL_KEYWORDS_TYPE_ScalarReference_ISSR_208000201">#REF!</definedName>
    <definedName name="L_ALL_KEYWORDS_TYPE_Vector_EQTY_200000881">#REF!,#REF!,#REF!,#REF!,#REF!,#REF!,#REF!</definedName>
    <definedName name="L_ALL_KEYWORDS_TYPE_Vector_ISSR_208000201">#REF!,#REF!,#REF!,#REF!,#REF!,#REF!,#REF!,#REF!,#REF!</definedName>
    <definedName name="L_ALL_SECTION_KEYWORDS_EQTY_200000881_1314">#REF!</definedName>
    <definedName name="L_ALL_SECTION_KEYWORDS_EQTY_200000881_1319">#REF!</definedName>
    <definedName name="L_ALL_SECTION_KEYWORDS_EQTY_200000881_131E">#REF!</definedName>
    <definedName name="L_ALL_SECTION_KEYWORDS_EQTY_200000881_131O">#REF!</definedName>
    <definedName name="L_ALL_SECTION_KEYWORDS_EQTY_200000881_13A">#REF!</definedName>
    <definedName name="L_ALL_SECTION_KEYWORDS_EQTY_200000881_13K">#REF!</definedName>
    <definedName name="L_ALL_SECTION_KEYWORDS_EQTY_200000881_13U">#REF!</definedName>
    <definedName name="L_ALL_SECTION_KEYWORDS_EQTY_200000881_13V">#REF!</definedName>
    <definedName name="L_ALL_SECTION_KEYWORDS_EQTY_200000881_13W">#REF!</definedName>
    <definedName name="L_ALL_SECTION_KEYWORDS_EQTY_200000881_Reference_Data">#REF!</definedName>
    <definedName name="L_ALL_SECTION_KEYWORDS_ISSR_208000201_1314">#REF!</definedName>
    <definedName name="L_ALL_SECTION_KEYWORDS_ISSR_208000201_13168">#REF!</definedName>
    <definedName name="L_ALL_SECTION_KEYWORDS_ISSR_208000201_1316S">#REF!</definedName>
    <definedName name="L_ALL_SECTION_KEYWORDS_ISSR_208000201_1316T">#REF!</definedName>
    <definedName name="L_ALL_SECTION_KEYWORDS_ISSR_208000201_1316U">#REF!</definedName>
    <definedName name="L_ALL_SECTION_KEYWORDS_ISSR_208000201_1319">#REF!</definedName>
    <definedName name="L_ALL_SECTION_KEYWORDS_ISSR_208000201_131E">#REF!</definedName>
    <definedName name="L_ALL_SECTION_KEYWORDS_ISSR_208000201_131J">#REF!</definedName>
    <definedName name="L_ALL_SECTION_KEYWORDS_ISSR_208000201_131O">#REF!</definedName>
    <definedName name="L_ALL_SECTION_KEYWORDS_ISSR_208000201_136E">#REF!,#REF!</definedName>
    <definedName name="L_ALL_SECTION_KEYWORDS_ISSR_208000201_13A">#REF!</definedName>
    <definedName name="L_ALL_SECTION_KEYWORDS_ISSR_208000201_13U">#REF!</definedName>
    <definedName name="L_ALL_SECTION_KEYWORDS_ISSR_208000201_13V">#REF!</definedName>
    <definedName name="L_ALL_SECTION_KEYWORDS_ISSR_208000201_Reference_Data">#REF!</definedName>
    <definedName name="L_ALL_SECTIONS_EQTY_200000881">#REF!,#REF!,#REF!,#REF!,#REF!,#REF!,#REF!,#REF!,#REF!,#REF!</definedName>
    <definedName name="L_CURRENCY_EQTY_200000881_PRI">#REF!</definedName>
    <definedName name="L_CURRENCY_EQTY_200000881_PUB">#REF!</definedName>
    <definedName name="L_CURRENCY_EQTY_200000881_REP">#REF!</definedName>
    <definedName name="L_CURRENCY_ISSR_208000201_REP">#REF!</definedName>
    <definedName name="L_KEYWORD_EQTY_200000881_AMER_CONVICTION">#REF!</definedName>
    <definedName name="L_KEYWORD_EQTY_200000881_AMER_LIST">#REF!</definedName>
    <definedName name="L_KEYWORD_EQTY_200000881_BETA_ANALYST">#REF!</definedName>
    <definedName name="L_KEYWORD_EQTY_200000881_BVPS">#REF!</definedName>
    <definedName name="L_KEYWORD_EQTY_200000881_BVPS_PUB">#REF!</definedName>
    <definedName name="L_KEYWORD_EQTY_200000881_CEEE_EPS">#REF!</definedName>
    <definedName name="L_KEYWORD_EQTY_200000881_CF_NI_PRE_PREF">#REF!</definedName>
    <definedName name="L_KEYWORD_EQTY_200000881_COMMON_DIV_PAID">#REF!</definedName>
    <definedName name="L_KEYWORD_EQTY_200000881_CURRENCY_ISO">#REF!</definedName>
    <definedName name="L_KEYWORD_EQTY_200000881_DILUTE_SHARES">#REF!</definedName>
    <definedName name="L_KEYWORD_EQTY_200000881_DPS">#REF!</definedName>
    <definedName name="L_KEYWORD_EQTY_200000881_DPS_PUB">#REF!</definedName>
    <definedName name="L_KEYWORD_EQTY_200000881_EBIT_PUB">#REF!</definedName>
    <definedName name="L_KEYWORD_EQTY_200000881_EBITDA_PUB">#REF!</definedName>
    <definedName name="L_KEYWORD_EQTY_200000881_EPS">#REF!</definedName>
    <definedName name="L_KEYWORD_EQTY_200000881_EPS_EX_ESO_B">#REF!</definedName>
    <definedName name="L_KEYWORD_EQTY_200000881_EPS_EX_ESO_D">#REF!</definedName>
    <definedName name="L_KEYWORD_EQTY_200000881_EPS_FUL_DIL">#REF!</definedName>
    <definedName name="L_KEYWORD_EQTY_200000881_EPS_POST_BASIC">#REF!</definedName>
    <definedName name="L_KEYWORD_EQTY_200000881_EPS_PUB">#REF!</definedName>
    <definedName name="L_KEYWORD_EQTY_200000881_EPS_PUB_EX_ESO">#REF!</definedName>
    <definedName name="L_KEYWORD_EQTY_200000881_EQ_PUB">#REF!</definedName>
    <definedName name="L_KEYWORD_EQTY_200000881_ESO_POST_TAX">#REF!</definedName>
    <definedName name="L_KEYWORD_EQTY_200000881_ESO_YEAR">#REF!</definedName>
    <definedName name="L_KEYWORD_EQTY_200000881_EV_ADJ_PUB">#REF!</definedName>
    <definedName name="L_KEYWORD_EQTY_200000881_FREE_FLOAT">#REF!</definedName>
    <definedName name="L_KEYWORD_EQTY_200000881_FULLY_DIL_EPS">#REF!</definedName>
    <definedName name="L_KEYWORD_EQTY_200000881_FV_GRANT">#REF!</definedName>
    <definedName name="L_KEYWORD_EQTY_200000881_INC_MINORITY">#REF!</definedName>
    <definedName name="L_KEYWORD_EQTY_200000881_Interim_Type">#REF!</definedName>
    <definedName name="L_KEYWORD_EQTY_200000881_LEGAL_RATING">#REF!</definedName>
    <definedName name="L_KEYWORD_EQTY_200000881_MARGIN_TAX_RATE">#REF!</definedName>
    <definedName name="L_KEYWORD_EQTY_200000881_MKT_EQ_RISK_PREM">#REF!</definedName>
    <definedName name="L_KEYWORD_EQTY_200000881_NET_DEBT_PUB">#REF!</definedName>
    <definedName name="L_KEYWORD_EQTY_200000881_NET_EARNING">#REF!</definedName>
    <definedName name="L_KEYWORD_EQTY_200000881_NET_INC">#REF!</definedName>
    <definedName name="L_KEYWORD_EQTY_200000881_NI_PRE_PREF">#REF!</definedName>
    <definedName name="L_KEYWORD_EQTY_200000881_NI_PUB">#REF!</definedName>
    <definedName name="L_KEYWORD_EQTY_200000881_NON_OP_ADD">#REF!</definedName>
    <definedName name="L_KEYWORD_EQTY_200000881_NUM_SH">#REF!</definedName>
    <definedName name="L_KEYWORD_EQTY_200000881_PREF_DIV">#REF!</definedName>
    <definedName name="L_KEYWORD_EQTY_200000881_PRICE_CURRENCY_ISO">#REF!</definedName>
    <definedName name="L_KEYWORD_EQTY_200000881_PROV_INC_TAX">#REF!</definedName>
    <definedName name="L_KEYWORD_EQTY_200000881_PTP_PUB">#REF!</definedName>
    <definedName name="L_KEYWORD_EQTY_200000881_PUB_CURRENCY_ISO">#REF!</definedName>
    <definedName name="L_KEYWORD_EQTY_200000881_REPUR_ACTUAL">#REF!</definedName>
    <definedName name="L_KEYWORD_EQTY_200000881_REPUR_REMAINING">#REF!</definedName>
    <definedName name="L_KEYWORD_EQTY_200000881_REPUR_SUSPENDED">#REF!</definedName>
    <definedName name="L_KEYWORD_EQTY_200000881_REPUR_TOT_AUTH">#REF!</definedName>
    <definedName name="L_KEYWORD_EQTY_200000881_REVS_PUB">#REF!</definedName>
    <definedName name="L_KEYWORD_EQTY_200000881_RISK_FR_RATE">#REF!</definedName>
    <definedName name="L_KEYWORD_EQTY_200000881_Security_Name">#REF!</definedName>
    <definedName name="L_KEYWORD_EQTY_200000881_SH">#REF!</definedName>
    <definedName name="L_KEYWORD_EQTY_200000881_TARGET_PRICE">#REF!</definedName>
    <definedName name="L_KEYWORD_EQTY_200000881_TAX_EXC">#REF!</definedName>
    <definedName name="L_KEYWORD_EQTY_200000881_Ticker">#REF!</definedName>
    <definedName name="L_KEYWORD_EQTY_200000881_TP_PERIOD">#REF!</definedName>
    <definedName name="L_KEYWORD_ISSR_208000201_ACC_AMORT">#REF!</definedName>
    <definedName name="L_KEYWORD_ISSR_208000201_ACC_DDA">#REF!</definedName>
    <definedName name="L_KEYWORD_ISSR_208000201_ACC_END_DATE">#REF!</definedName>
    <definedName name="L_KEYWORD_ISSR_208000201_ACC_PAY_GQ">#REF!</definedName>
    <definedName name="L_KEYWORD_ISSR_208000201_ACQ">#REF!</definedName>
    <definedName name="L_KEYWORD_ISSR_208000201_ADJ_UNF_PENS_GOOD">#REF!</definedName>
    <definedName name="L_KEYWORD_ISSR_208000201_ASSOC_JV_ADDBK">#REF!</definedName>
    <definedName name="L_KEYWORD_ISSR_208000201_ASSOCIATE">#REF!</definedName>
    <definedName name="L_KEYWORD_ISSR_208000201_ASSOCIATE_OP">#REF!</definedName>
    <definedName name="L_KEYWORD_ISSR_208000201_BAL_MINO_INT">#REF!</definedName>
    <definedName name="L_KEYWORD_ISSR_208000201_CAP_LEASES">#REF!</definedName>
    <definedName name="L_KEYWORD_ISSR_208000201_CAPEX">#REF!</definedName>
    <definedName name="L_KEYWORD_ISSR_208000201_CAPEX_EXPANSION">#REF!</definedName>
    <definedName name="L_KEYWORD_ISSR_208000201_CAPEX_MAINTENANCE">#REF!</definedName>
    <definedName name="L_KEYWORD_ISSR_208000201_CASH_EQ">#REF!</definedName>
    <definedName name="L_KEYWORD_ISSR_208000201_CASH_INT_EXP">#REF!</definedName>
    <definedName name="L_KEYWORD_ISSR_208000201_CASH_PCT_OS_US">#REF!</definedName>
    <definedName name="L_KEYWORD_ISSR_208000201_CASH_TAX_EXP">#REF!</definedName>
    <definedName name="L_KEYWORD_ISSR_208000201_CF_FIN">#REF!</definedName>
    <definedName name="L_KEYWORD_ISSR_208000201_CF_INC_MINORITY">#REF!</definedName>
    <definedName name="L_KEYWORD_ISSR_208000201_CF_INV">#REF!</definedName>
    <definedName name="L_KEYWORD_ISSR_208000201_CF_OPS">#REF!</definedName>
    <definedName name="L_KEYWORD_ISSR_208000201_CHG_LT_DEBT">#REF!</definedName>
    <definedName name="L_KEYWORD_ISSR_208000201_CO_BOR_MARGIN">#REF!</definedName>
    <definedName name="L_KEYWORD_ISSR_208000201_COST_GD_SD">#REF!</definedName>
    <definedName name="L_KEYWORD_ISSR_208000201_CUR_ASS">#REF!</definedName>
    <definedName name="L_KEYWORD_ISSR_208000201_CURRENCY_ISO">#REF!</definedName>
    <definedName name="L_KEYWORD_ISSR_208000201_DEBTORS">#REF!</definedName>
    <definedName name="L_KEYWORD_ISSR_208000201_DEF_INC_TAX">#REF!</definedName>
    <definedName name="L_KEYWORD_ISSR_208000201_DEPR_AMORT">#REF!</definedName>
    <definedName name="L_KEYWORD_ISSR_208000201_DEPREC">#REF!</definedName>
    <definedName name="L_KEYWORD_ISSR_208000201_DIV_PAID">#REF!</definedName>
    <definedName name="L_KEYWORD_ISSR_208000201_DIVDS_ASSOC_JV">#REF!</definedName>
    <definedName name="L_KEYWORD_ISSR_208000201_DIVDS_PD_MINORITIES">#REF!</definedName>
    <definedName name="L_KEYWORD_ISSR_208000201_DIVEST">#REF!</definedName>
    <definedName name="L_KEYWORD_ISSR_208000201_EBIT">#REF!</definedName>
    <definedName name="L_KEYWORD_ISSR_208000201_EBIT_FIN_SEGMENT">#REF!</definedName>
    <definedName name="L_KEYWORD_ISSR_208000201_EBITDA_CALC">#REF!</definedName>
    <definedName name="L_KEYWORD_ISSR_208000201_EMPLOYEES">#REF!</definedName>
    <definedName name="L_KEYWORD_ISSR_208000201_EQ">#REF!</definedName>
    <definedName name="L_KEYWORD_ISSR_208000201_ESO_PRE_TAX">#REF!</definedName>
    <definedName name="L_KEYWORD_ISSR_208000201_EXP_ALUMINIUM">#REF!</definedName>
    <definedName name="L_KEYWORD_ISSR_208000201_EXP_COPPER">#REF!</definedName>
    <definedName name="L_KEYWORD_ISSR_208000201_EXP_GLASS">#REF!</definedName>
    <definedName name="L_KEYWORD_ISSR_208000201_EXP_GOLD">#REF!</definedName>
    <definedName name="L_KEYWORD_ISSR_208000201_EXP_NAT_GAS">#REF!</definedName>
    <definedName name="L_KEYWORD_ISSR_208000201_EXP_NICKEL">#REF!</definedName>
    <definedName name="L_KEYWORD_ISSR_208000201_EXP_OIL_DERIV_NGLS_PLASTICS">#REF!</definedName>
    <definedName name="L_KEYWORD_ISSR_208000201_EXP_OIL_PETRO_FUEL">#REF!</definedName>
    <definedName name="L_KEYWORD_ISSR_208000201_EXP_OTH_COMMODITY">#REF!</definedName>
    <definedName name="L_KEYWORD_ISSR_208000201_EXP_OTH_COST">#REF!</definedName>
    <definedName name="L_KEYWORD_ISSR_208000201_EXP_PALLADIUM">#REF!</definedName>
    <definedName name="L_KEYWORD_ISSR_208000201_EXP_PLATINUM">#REF!</definedName>
    <definedName name="L_KEYWORD_ISSR_208000201_EXP_RUBBER">#REF!</definedName>
    <definedName name="L_KEYWORD_ISSR_208000201_EXP_SILVER">#REF!</definedName>
    <definedName name="L_KEYWORD_ISSR_208000201_EXP_STEEL">#REF!</definedName>
    <definedName name="L_KEYWORD_ISSR_208000201_EXP_WATER">#REF!</definedName>
    <definedName name="L_KEYWORD_ISSR_208000201_EXP_ZINC">#REF!</definedName>
    <definedName name="L_KEYWORD_ISSR_208000201_FIX_ASS_INV">#REF!</definedName>
    <definedName name="L_KEYWORD_ISSR_208000201_GCI_INFL">#REF!</definedName>
    <definedName name="L_KEYWORD_ISSR_208000201_GOODWILL_AMORT">#REF!</definedName>
    <definedName name="L_KEYWORD_ISSR_208000201_GR_FIX_ASS">#REF!</definedName>
    <definedName name="L_KEYWORD_ISSR_208000201_GR_INTANG">#REF!</definedName>
    <definedName name="L_KEYWORD_ISSR_208000201_INT_EXP_IND">#REF!</definedName>
    <definedName name="L_KEYWORD_ISSR_208000201_INT_INC_IND">#REF!</definedName>
    <definedName name="L_KEYWORD_ISSR_208000201_INV_SECUR">#REF!</definedName>
    <definedName name="L_KEYWORD_ISSR_208000201_Issuer_Name">#REF!</definedName>
    <definedName name="L_KEYWORD_ISSR_208000201_LEASE_DEEM_DEPR">#REF!</definedName>
    <definedName name="L_KEYWORD_ISSR_208000201_LEASE_DEEM_INT">#REF!</definedName>
    <definedName name="L_KEYWORD_ISSR_208000201_LEASE_PAY">#REF!</definedName>
    <definedName name="L_KEYWORD_ISSR_208000201_LT_DEBT">#REF!</definedName>
    <definedName name="L_KEYWORD_ISSR_208000201_MA_PROB">#REF!</definedName>
    <definedName name="L_KEYWORD_ISSR_208000201_MINORITIES">#REF!</definedName>
    <definedName name="L_KEYWORD_ISSR_208000201_MV_ASSOCIATES">#REF!</definedName>
    <definedName name="L_KEYWORD_ISSR_208000201_NET_DEBT">#REF!</definedName>
    <definedName name="L_KEYWORD_ISSR_208000201_NET_DEBT_ADJ">#REF!</definedName>
    <definedName name="L_KEYWORD_ISSR_208000201_NET_FIX_ASS">#REF!</definedName>
    <definedName name="L_KEYWORD_ISSR_208000201_NET_INT_CH">#REF!</definedName>
    <definedName name="L_KEYWORD_ISSR_208000201_NET_INT_EXP">#REF!</definedName>
    <definedName name="L_KEYWORD_ISSR_208000201_NET_INTANG">#REF!</definedName>
    <definedName name="L_KEYWORD_ISSR_208000201_NONPPE_CAPEX">#REF!</definedName>
    <definedName name="L_KEYWORD_ISSR_208000201_OP_COST">#REF!</definedName>
    <definedName name="L_KEYWORD_ISSR_208000201_ORD_SH_FUND">#REF!</definedName>
    <definedName name="L_KEYWORD_ISSR_208000201_OTH_COST_INC">#REF!</definedName>
    <definedName name="L_KEYWORD_ISSR_208000201_OTH_CUR_ASS">#REF!</definedName>
    <definedName name="L_KEYWORD_ISSR_208000201_OTH_CUR_LIABS">#REF!</definedName>
    <definedName name="L_KEYWORD_ISSR_208000201_OTH_DACF_ADJ">#REF!</definedName>
    <definedName name="L_KEYWORD_ISSR_208000201_OTH_FIN_CF">#REF!</definedName>
    <definedName name="L_KEYWORD_ISSR_208000201_OTH_GCI_ADJ">#REF!</definedName>
    <definedName name="L_KEYWORD_ISSR_208000201_OTH_INV_CF">#REF!</definedName>
    <definedName name="L_KEYWORD_ISSR_208000201_OTH_LT_ASS">#REF!</definedName>
    <definedName name="L_KEYWORD_ISSR_208000201_OTH_LT_CRED_GQ">#REF!</definedName>
    <definedName name="L_KEYWORD_ISSR_208000201_OTH_NONCASH_ADJ">#REF!</definedName>
    <definedName name="L_KEYWORD_ISSR_208000201_OTH_OP_CF">#REF!</definedName>
    <definedName name="L_KEYWORD_ISSR_208000201_OTH_OP_INC_EXP">#REF!</definedName>
    <definedName name="L_KEYWORD_ISSR_208000201_PERIOD_MILESTONE">#REF!</definedName>
    <definedName name="L_KEYWORD_ISSR_208000201_PL_SALE_ASSETS">#REF!</definedName>
    <definedName name="L_KEYWORD_ISSR_208000201_PREF_SH">#REF!</definedName>
    <definedName name="L_KEYWORD_ISSR_208000201_PROFIT_ON_DISP">#REF!</definedName>
    <definedName name="L_KEYWORD_ISSR_208000201_PT_PROF">#REF!</definedName>
    <definedName name="L_KEYWORD_ISSR_208000201_RD_EXP">#REF!</definedName>
    <definedName name="L_KEYWORD_ISSR_208000201_REV_FIN_SEGMENT">#REF!</definedName>
    <definedName name="L_KEYWORD_ISSR_208000201_SALES">#REF!</definedName>
    <definedName name="L_KEYWORD_ISSR_208000201_SALES_ARGENTINA">#REF!</definedName>
    <definedName name="L_KEYWORD_ISSR_208000201_SALES_BRAZIL">#REF!</definedName>
    <definedName name="L_KEYWORD_ISSR_208000201_SALES_CANADA">#REF!</definedName>
    <definedName name="L_KEYWORD_ISSR_208000201_SALES_CEE">#REF!</definedName>
    <definedName name="L_KEYWORD_ISSR_208000201_SALES_CHILE">#REF!</definedName>
    <definedName name="L_KEYWORD_ISSR_208000201_SALES_CHINA">#REF!</definedName>
    <definedName name="L_KEYWORD_ISSR_208000201_SALES_COLOMBIA">#REF!</definedName>
    <definedName name="L_KEYWORD_ISSR_208000201_SALES_CONS">#REF!</definedName>
    <definedName name="L_KEYWORD_ISSR_208000201_SALES_EU_EX_UK">#REF!</definedName>
    <definedName name="L_KEYWORD_ISSR_208000201_SALES_FINAN">#REF!</definedName>
    <definedName name="L_KEYWORD_ISSR_208000201_SALES_FX_ARS">#REF!</definedName>
    <definedName name="L_KEYWORD_ISSR_208000201_SALES_FX_BRL">#REF!</definedName>
    <definedName name="L_KEYWORD_ISSR_208000201_SALES_FX_CAD">#REF!</definedName>
    <definedName name="L_KEYWORD_ISSR_208000201_SALES_FX_CLP">#REF!</definedName>
    <definedName name="L_KEYWORD_ISSR_208000201_SALES_FX_CNY">#REF!</definedName>
    <definedName name="L_KEYWORD_ISSR_208000201_SALES_FX_COP">#REF!</definedName>
    <definedName name="L_KEYWORD_ISSR_208000201_SALES_FX_EUR">#REF!</definedName>
    <definedName name="L_KEYWORD_ISSR_208000201_SALES_FX_GPB">#REF!</definedName>
    <definedName name="L_KEYWORD_ISSR_208000201_SALES_FX_INR">#REF!</definedName>
    <definedName name="L_KEYWORD_ISSR_208000201_SALES_FX_MXN">#REF!</definedName>
    <definedName name="L_KEYWORD_ISSR_208000201_SALES_FX_OTH">#REF!</definedName>
    <definedName name="L_KEYWORD_ISSR_208000201_SALES_FX_RUB">#REF!</definedName>
    <definedName name="L_KEYWORD_ISSR_208000201_SALES_FX_USD">#REF!</definedName>
    <definedName name="L_KEYWORD_ISSR_208000201_SALES_FX_VEF">#REF!</definedName>
    <definedName name="L_KEYWORD_ISSR_208000201_SALES_FX_YEN">#REF!</definedName>
    <definedName name="L_KEYWORD_ISSR_208000201_SALES_GOV">#REF!</definedName>
    <definedName name="L_KEYWORD_ISSR_208000201_SALES_IND">#REF!</definedName>
    <definedName name="L_KEYWORD_ISSR_208000201_SALES_INDIA">#REF!</definedName>
    <definedName name="L_KEYWORD_ISSR_208000201_SALES_JAPAN">#REF!</definedName>
    <definedName name="L_KEYWORD_ISSR_208000201_SALES_ME">#REF!</definedName>
    <definedName name="L_KEYWORD_ISSR_208000201_SALES_MEXICO">#REF!</definedName>
    <definedName name="L_KEYWORD_ISSR_208000201_SALES_OTH_AEJ">#REF!</definedName>
    <definedName name="L_KEYWORD_ISSR_208000201_SALES_OTH_AM">#REF!</definedName>
    <definedName name="L_KEYWORD_ISSR_208000201_SALES_OTH_COMMODITY">#REF!</definedName>
    <definedName name="L_KEYWORD_ISSR_208000201_SALES_OTH_EMEA">#REF!</definedName>
    <definedName name="L_KEYWORD_ISSR_208000201_SALES_OTH_SALES_SOURCES">#REF!</definedName>
    <definedName name="L_KEYWORD_ISSR_208000201_SALES_OTHER">#REF!</definedName>
    <definedName name="L_KEYWORD_ISSR_208000201_SALES_RUSSIA">#REF!</definedName>
    <definedName name="L_KEYWORD_ISSR_208000201_SALES_SMB">#REF!</definedName>
    <definedName name="L_KEYWORD_ISSR_208000201_SALES_TOT_AFRICA">#REF!</definedName>
    <definedName name="L_KEYWORD_ISSR_208000201_SALES_TOT_AM">#REF!</definedName>
    <definedName name="L_KEYWORD_ISSR_208000201_SALES_TOT_ASIA">#REF!</definedName>
    <definedName name="L_KEYWORD_ISSR_208000201_SALES_TOT_EMEA">#REF!</definedName>
    <definedName name="L_KEYWORD_ISSR_208000201_SALES_UK">#REF!</definedName>
    <definedName name="L_KEYWORD_ISSR_208000201_SALES_US">#REF!</definedName>
    <definedName name="L_KEYWORD_ISSR_208000201_SALES_VENEZUELA">#REF!</definedName>
    <definedName name="L_KEYWORD_ISSR_208000201_SEL_GL_AD">#REF!</definedName>
    <definedName name="L_KEYWORD_ISSR_208000201_SH_REPUR">#REF!</definedName>
    <definedName name="L_KEYWORD_ISSR_208000201_SHORT_T_DEBT">#REF!</definedName>
    <definedName name="L_KEYWORD_ISSR_208000201_SHORT_TERM_LIABS">#REF!</definedName>
    <definedName name="L_KEYWORD_ISSR_208000201_STOCKS">#REF!</definedName>
    <definedName name="L_KEYWORD_ISSR_208000201_TOT_ASSET">#REF!</definedName>
    <definedName name="L_KEYWORD_ISSR_208000201_TOT_CF">#REF!</definedName>
    <definedName name="L_KEYWORD_ISSR_208000201_TOT_LIAB">#REF!</definedName>
    <definedName name="L_KEYWORD_ISSR_208000201_TOT_LIAB_EQ">#REF!</definedName>
    <definedName name="L_KEYWORD_ISSR_208000201_TOT_LT_LIAB">#REF!</definedName>
    <definedName name="L_KEYWORD_ISSR_208000201_TOT_OPS_EXP">#REF!</definedName>
    <definedName name="L_KEYWORD_ISSR_208000201_TOT_OPS_EXP_DDA">#REF!</definedName>
    <definedName name="L_KEYWORD_ISSR_208000201_UNF_PENS">#REF!</definedName>
    <definedName name="L_KEYWORD_ISSR_208000201_UNF_PENS_LIAB_OTH">#REF!</definedName>
    <definedName name="L_KEYWORD_ISSR_208000201_UNF_PENS_OFF">#REF!</definedName>
    <definedName name="L_KEYWORD_ISSR_208000201_WORK_CAP">#REF!</definedName>
    <definedName name="L_LIVEDATA_EQTY_200000881">#REF!</definedName>
    <definedName name="L_LIVEDATA_ISSR_208000201">#REF!</definedName>
    <definedName name="L_PERIOD_1994">#REF!</definedName>
    <definedName name="L_PERIOD_1995">#REF!</definedName>
    <definedName name="L_PERIOD_1996">#REF!</definedName>
    <definedName name="L_PERIOD_1997">#REF!</definedName>
    <definedName name="L_PERIOD_1998">#REF!</definedName>
    <definedName name="L_PERIOD_1999">#REF!</definedName>
    <definedName name="L_PERIOD_2000">#REF!</definedName>
    <definedName name="L_PERIOD_2001">#REF!</definedName>
    <definedName name="L_PERIOD_2002">#REF!</definedName>
    <definedName name="L_PERIOD_2003">#REF!</definedName>
    <definedName name="L_PERIOD_2003_Q1">#REF!</definedName>
    <definedName name="L_PERIOD_2003_Q2">#REF!</definedName>
    <definedName name="L_PERIOD_2003_Q3">#REF!</definedName>
    <definedName name="L_PERIOD_2003_Q4">#REF!</definedName>
    <definedName name="L_PERIOD_2004">#REF!</definedName>
    <definedName name="L_PERIOD_2004_Q1">#REF!</definedName>
    <definedName name="L_PERIOD_2004_Q2">#REF!</definedName>
    <definedName name="L_PERIOD_2004_Q3">#REF!</definedName>
    <definedName name="L_PERIOD_2004_Q4">#REF!</definedName>
    <definedName name="L_PERIOD_2005">#REF!</definedName>
    <definedName name="L_PERIOD_2005_Q1">#REF!</definedName>
    <definedName name="L_PERIOD_2005_Q2">#REF!</definedName>
    <definedName name="L_PERIOD_2005_Q3">#REF!</definedName>
    <definedName name="L_PERIOD_2005_Q4">#REF!</definedName>
    <definedName name="L_PERIOD_2006">#REF!</definedName>
    <definedName name="L_PERIOD_2006_Q1">#REF!</definedName>
    <definedName name="L_PERIOD_2006_Q2">#REF!</definedName>
    <definedName name="L_PERIOD_2006_Q3">#REF!</definedName>
    <definedName name="L_PERIOD_2006_Q4">#REF!</definedName>
    <definedName name="L_PERIOD_2007">#REF!</definedName>
    <definedName name="L_PERIOD_2007_Q1">#REF!</definedName>
    <definedName name="L_PERIOD_2007_Q2">#REF!</definedName>
    <definedName name="L_PERIOD_2007_Q3">#REF!</definedName>
    <definedName name="L_PERIOD_2007_Q4">#REF!</definedName>
    <definedName name="L_PERIOD_2008">#REF!</definedName>
    <definedName name="L_PERIOD_2008_Q1">#REF!</definedName>
    <definedName name="L_PERIOD_2008_Q2">#REF!</definedName>
    <definedName name="L_PERIOD_2008_Q3">#REF!</definedName>
    <definedName name="L_PERIOD_2008_Q4">#REF!</definedName>
    <definedName name="L_PERIOD_2009">#REF!</definedName>
    <definedName name="L_PERIOD_2009_Q1">#REF!</definedName>
    <definedName name="L_PERIOD_2009_Q2">#REF!</definedName>
    <definedName name="L_PERIOD_2009_Q3">#REF!</definedName>
    <definedName name="L_PERIOD_2009_Q4">#REF!</definedName>
    <definedName name="L_PERIOD_2010">#REF!</definedName>
    <definedName name="L_PERIOD_2010_Q1">#REF!</definedName>
    <definedName name="L_PERIOD_2010_Q2">#REF!</definedName>
    <definedName name="L_PERIOD_2010_Q3">#REF!</definedName>
    <definedName name="L_PERIOD_2010_Q4">#REF!</definedName>
    <definedName name="L_PERIOD_2011">#REF!</definedName>
    <definedName name="L_PERIOD_2011_Q1">#REF!</definedName>
    <definedName name="L_PERIOD_2011_Q2">#REF!</definedName>
    <definedName name="L_PERIOD_2011_Q3">#REF!</definedName>
    <definedName name="L_PERIOD_2011_Q4">#REF!</definedName>
    <definedName name="L_PERIOD_2012">#REF!</definedName>
    <definedName name="L_PERIOD_2012_Q1">#REF!</definedName>
    <definedName name="L_PERIOD_2012_Q2">#REF!</definedName>
    <definedName name="L_PERIOD_2012_Q3">#REF!</definedName>
    <definedName name="L_PERIOD_2012_Q4">#REF!</definedName>
    <definedName name="L_PERIOD_2013">#REF!</definedName>
    <definedName name="L_PERIOD_2013_Q1">#REF!</definedName>
    <definedName name="L_PERIOD_2013_Q2">#REF!</definedName>
    <definedName name="L_PERIOD_2013_Q3">#REF!</definedName>
    <definedName name="L_PERIOD_2013_Q4">#REF!</definedName>
    <definedName name="L_PERIOD_2014">#REF!</definedName>
    <definedName name="L_PERIOD_2014_Q1">#REF!</definedName>
    <definedName name="L_PERIOD_2014_Q2">#REF!</definedName>
    <definedName name="L_PERIOD_2014_Q3">#REF!</definedName>
    <definedName name="L_PERIOD_2014_Q4">#REF!</definedName>
    <definedName name="L_PERIOD_2015">#REF!</definedName>
    <definedName name="L_PERIOD_2016">#REF!</definedName>
    <definedName name="L_SECTION_EQTY_200000881_1314">#REF!</definedName>
    <definedName name="L_SECTION_EQTY_200000881_1319">#REF!</definedName>
    <definedName name="L_SECTION_EQTY_200000881_131E">#REF!</definedName>
    <definedName name="L_SECTION_EQTY_200000881_131O">#REF!</definedName>
    <definedName name="L_SECTION_EQTY_200000881_13A">#REF!</definedName>
    <definedName name="L_SECTION_EQTY_200000881_13K">#REF!</definedName>
    <definedName name="L_SECTION_EQTY_200000881_13U">#REF!</definedName>
    <definedName name="L_SECTION_EQTY_200000881_13V">#REF!</definedName>
    <definedName name="L_SECTION_EQTY_200000881_13W">#REF!</definedName>
    <definedName name="L_SECTION_EQTY_200000881_Reference_Data">#REF!</definedName>
    <definedName name="L_SECTION_ISSR_208000201_1314">#REF!</definedName>
    <definedName name="L_SECTION_ISSR_208000201_13168">#REF!</definedName>
    <definedName name="L_SECTION_ISSR_208000201_1316S">#REF!</definedName>
    <definedName name="L_SECTION_ISSR_208000201_1316T">#REF!</definedName>
    <definedName name="L_SECTION_ISSR_208000201_1316U">#REF!</definedName>
    <definedName name="L_SECTION_ISSR_208000201_1319">#REF!</definedName>
    <definedName name="L_SECTION_ISSR_208000201_131E">#REF!</definedName>
    <definedName name="L_SECTION_ISSR_208000201_131J">#REF!</definedName>
    <definedName name="L_SECTION_ISSR_208000201_131O">#REF!</definedName>
    <definedName name="L_SECTION_ISSR_208000201_13A">#REF!</definedName>
    <definedName name="L_SECTION_ISSR_208000201_13U">#REF!</definedName>
    <definedName name="L_SECTION_ISSR_208000201_13V">#REF!</definedName>
    <definedName name="L_SECTION_ISSR_208000201_Reference_Data">#REF!</definedName>
    <definedName name="lands">BS!$49:$49</definedName>
    <definedName name="leverage">BS!$86:$86</definedName>
    <definedName name="ltdebt">BS!$38:$38</definedName>
    <definedName name="ltdefinc">BS!$20:$20</definedName>
    <definedName name="netdebt">BS!$64:$64</definedName>
    <definedName name="netdebttocap">BS!$66:$66</definedName>
    <definedName name="netinc">IS!$24:$24</definedName>
    <definedName name="opinc">IS!$18:$18</definedName>
    <definedName name="pension">BS!$35:$35</definedName>
    <definedName name="pensionadj">BS!$57:$57</definedName>
    <definedName name="pensionequity">BS!$68:$68</definedName>
    <definedName name="pensionexpense">IS!$45:$45</definedName>
    <definedName name="pensionshare">IS!$46:$46</definedName>
    <definedName name="pensionstatus">BS!$56:$56</definedName>
    <definedName name="pic">BS!$41:$41</definedName>
    <definedName name="ppe">BS!$17:$17</definedName>
    <definedName name="pretax">IS!$21:$21</definedName>
    <definedName name="_xlnm.Print_Area" localSheetId="2">'BCA margin'!$B$2:$BQ$94</definedName>
    <definedName name="_xlnm.Print_Area" localSheetId="6">BS!$A$2:$DO$93</definedName>
    <definedName name="_xlnm.Print_Area" localSheetId="7">CFLO!$B$2:$DO$60</definedName>
    <definedName name="_xlnm.Print_Area" localSheetId="3">Commercial!$A$2:$DO$137</definedName>
    <definedName name="_xlnm.Print_Area" localSheetId="1">Data!$A$2:$BQ$434</definedName>
    <definedName name="_xlnm.Print_Area" localSheetId="8">'FCF build'!$A$1:$X$39</definedName>
    <definedName name="_xlnm.Print_Area" localSheetId="5">IS!$B$2:$DO$79</definedName>
    <definedName name="_xlnm.Print_Area" localSheetId="4">SEG!$B$2:$DO$407</definedName>
    <definedName name="_xlnm.Print_Titles" localSheetId="1">Data!$2:$4</definedName>
    <definedName name="q1.04">IS!$J:$J</definedName>
    <definedName name="q1.05">IS!$O:$O</definedName>
    <definedName name="q1.06">IS!$T:$T</definedName>
    <definedName name="q1.07">IS!$Y:$Y</definedName>
    <definedName name="q1.08">IS!$AD:$AD</definedName>
    <definedName name="q1.09">IS!$AI:$AI</definedName>
    <definedName name="q1.10">IS!$AN:$AN</definedName>
    <definedName name="q1.11">IS!$AS:$AS</definedName>
    <definedName name="q1.12">IS!$AX:$AX</definedName>
    <definedName name="q1.13">IS!$BC:$BC</definedName>
    <definedName name="q1.14">IS!$BH:$BH</definedName>
    <definedName name="q1.15">IS!$BM:$BM</definedName>
    <definedName name="q1.16">IS!$BR:$BR</definedName>
    <definedName name="q1.17">IS!$BW:$BW</definedName>
    <definedName name="q1.18">IS!$CB:$CB</definedName>
    <definedName name="q1.19">IS!$CG:$CG</definedName>
    <definedName name="q1.20">IS!$CL:$CL</definedName>
    <definedName name="q1.21">IS!$CQ:$CQ</definedName>
    <definedName name="q1.22">IS!$CV:$CV</definedName>
    <definedName name="q1.23">IS!$DA:$DA</definedName>
    <definedName name="q1.24">IS!$DF:$DF</definedName>
    <definedName name="q1.25">IS!$DK:$DK</definedName>
    <definedName name="q2.04">IS!$K:$K</definedName>
    <definedName name="q2.05">IS!$P:$P</definedName>
    <definedName name="q2.06">IS!$U:$U</definedName>
    <definedName name="q2.07">IS!$Z:$Z</definedName>
    <definedName name="q2.08">IS!$AE:$AE</definedName>
    <definedName name="q2.09">IS!$AJ:$AJ</definedName>
    <definedName name="q2.10">IS!$AO:$AO</definedName>
    <definedName name="q2.11">IS!$AT:$AT</definedName>
    <definedName name="q2.12">IS!$AY:$AY</definedName>
    <definedName name="q2.13">IS!$BD:$BD</definedName>
    <definedName name="q2.14">IS!$BI:$BI</definedName>
    <definedName name="q2.15">IS!$BN:$BN</definedName>
    <definedName name="q2.16">IS!$BS:$BS</definedName>
    <definedName name="q2.17">IS!$BX:$BX</definedName>
    <definedName name="q2.18">IS!$CC:$CC</definedName>
    <definedName name="q2.19">IS!$CH:$CH</definedName>
    <definedName name="q2.20">IS!$CM:$CM</definedName>
    <definedName name="q2.21">IS!$CR:$CR</definedName>
    <definedName name="q2.22">IS!$CW:$CW</definedName>
    <definedName name="q2.23">IS!$DB:$DB</definedName>
    <definedName name="q2.24">IS!$DG:$DG</definedName>
    <definedName name="q2.25">IS!$DL:$DL</definedName>
    <definedName name="q3.04">IS!$L:$L</definedName>
    <definedName name="q3.05">IS!$Q:$Q</definedName>
    <definedName name="q3.06">IS!$V:$V</definedName>
    <definedName name="q3.07">IS!$AA:$AA</definedName>
    <definedName name="q3.08">IS!$AF:$AF</definedName>
    <definedName name="q3.09">IS!$AK:$AK</definedName>
    <definedName name="q3.10">IS!$AP:$AP</definedName>
    <definedName name="q3.11">IS!$AU:$AU</definedName>
    <definedName name="q3.12">IS!$AZ:$AZ</definedName>
    <definedName name="q3.13">IS!$BE:$BE</definedName>
    <definedName name="q3.14">IS!$BJ:$BJ</definedName>
    <definedName name="q3.15">IS!$BO:$BO</definedName>
    <definedName name="q3.16">IS!$BT:$BT</definedName>
    <definedName name="q3.17">IS!$BY:$BY</definedName>
    <definedName name="q3.18">IS!$CD:$CD</definedName>
    <definedName name="q3.19">IS!$CI:$CI</definedName>
    <definedName name="q3.20">IS!$CN:$CN</definedName>
    <definedName name="q3.21">IS!$CS:$CS</definedName>
    <definedName name="q3.22">IS!$CX:$CX</definedName>
    <definedName name="q3.23">IS!$DC:$DC</definedName>
    <definedName name="q3.24">IS!$DH:$DH</definedName>
    <definedName name="q3.25">IS!$DM:$DM</definedName>
    <definedName name="q4.04">IS!$M:$M</definedName>
    <definedName name="q4.05">IS!$R:$R</definedName>
    <definedName name="q4.06">IS!$W:$W</definedName>
    <definedName name="q4.07">IS!$AB:$AB</definedName>
    <definedName name="q4.08">IS!$AG:$AG</definedName>
    <definedName name="q4.09">IS!$AL:$AL</definedName>
    <definedName name="q4.10">IS!$AQ:$AQ</definedName>
    <definedName name="q4.11">IS!$AV:$AV</definedName>
    <definedName name="q4.12">IS!$BA:$BA</definedName>
    <definedName name="q4.13">IS!$BF:$BF</definedName>
    <definedName name="q4.14">IS!$BK:$BK</definedName>
    <definedName name="q4.15">IS!$BP:$BP</definedName>
    <definedName name="q4.16">IS!$BU:$BU</definedName>
    <definedName name="q4.17">IS!$BZ:$BZ</definedName>
    <definedName name="q4.18">IS!$CE:$CE</definedName>
    <definedName name="q4.19">IS!$CJ:$CJ</definedName>
    <definedName name="q4.20">IS!$CO:$CO</definedName>
    <definedName name="q4.21">IS!$CT:$CT</definedName>
    <definedName name="q4.22">IS!$CY:$CY</definedName>
    <definedName name="q4.23">IS!$DD:$DD</definedName>
    <definedName name="q4.24">IS!$DI:$DI</definedName>
    <definedName name="q4.25">IS!$DN:$DN</definedName>
    <definedName name="rd">IS!$16:$16</definedName>
    <definedName name="re">BS!$42:$42</definedName>
    <definedName name="ROIC">BS!$91:$91</definedName>
    <definedName name="sales">IS!$8:$8</definedName>
    <definedName name="sga">IS!$15:$15</definedName>
    <definedName name="sharebb">CFLO!$45:$45</definedName>
    <definedName name="shares">IS!$39:$39</definedName>
    <definedName name="sharesfd">IS!$40:$40</definedName>
    <definedName name="stdebt">BS!$31:$31</definedName>
    <definedName name="taxes">IS!$22:$22</definedName>
    <definedName name="taxrate">IS!$63:$63</definedName>
    <definedName name="totalassets">BS!$24:$24</definedName>
    <definedName name="treasury">BS!$44:$44</definedName>
    <definedName name="V_ALL_BA">#REF!</definedName>
    <definedName name="V_ALL_BA_">#REF!</definedName>
    <definedName name="V_ALL_KEYWORDS_TYPE_ScalarContributed_EQTY_200000881" localSheetId="0">#REF!,#REF!,#REF!,#REF!</definedName>
    <definedName name="V_ALL_KEYWORDS_TYPE_ScalarContributed_EQTY_200000881">#REF!,#REF!,#REF!,#REF!,#REF!</definedName>
    <definedName name="V_ALL_KEYWORDS_TYPE_ScalarContributed_ISSR_208000201" localSheetId="0">#REF!,#REF!</definedName>
    <definedName name="V_ALL_KEYWORDS_TYPE_ScalarContributed_ISSR_208000201">#REF!,#REF!</definedName>
    <definedName name="V_ALL_KEYWORDS_TYPE_ScalarReference_EQTY_200000881">#REF!</definedName>
    <definedName name="V_ALL_KEYWORDS_TYPE_ScalarReference_ISSR_208000201">#REF!</definedName>
    <definedName name="V_ALL_KEYWORDS_TYPE_Vector_EQTY_200000881" localSheetId="0">#REF!,#REF!,#REF!,#REF!,#REF!,#REF!,#REF!</definedName>
    <definedName name="V_ALL_KEYWORDS_TYPE_Vector_EQTY_200000881">#REF!,#REF!,#REF!,#REF!,#REF!,#REF!,#REF!</definedName>
    <definedName name="V_ALL_KEYWORDS_TYPE_Vector_ISSR_208000201" localSheetId="0">#REF!,#REF!,#REF!,#REF!,#REF!,#REF!,#REF!,#REF!,#REF!</definedName>
    <definedName name="V_ALL_KEYWORDS_TYPE_Vector_ISSR_208000201">#REF!,#REF!,#REF!,#REF!,#REF!,#REF!,#REF!,#REF!,#REF!</definedName>
    <definedName name="V_ALL_SECTION_KEYWORDS_EQTY_200000881_1314">#REF!</definedName>
    <definedName name="V_ALL_SECTION_KEYWORDS_EQTY_200000881_1319">#REF!</definedName>
    <definedName name="V_ALL_SECTION_KEYWORDS_EQTY_200000881_131E">#REF!</definedName>
    <definedName name="V_ALL_SECTION_KEYWORDS_EQTY_200000881_131O">#REF!</definedName>
    <definedName name="V_ALL_SECTION_KEYWORDS_EQTY_200000881_13A">#REF!</definedName>
    <definedName name="V_ALL_SECTION_KEYWORDS_EQTY_200000881_13K">#REF!</definedName>
    <definedName name="V_ALL_SECTION_KEYWORDS_EQTY_200000881_13U">#REF!</definedName>
    <definedName name="V_ALL_SECTION_KEYWORDS_EQTY_200000881_13V">#REF!</definedName>
    <definedName name="V_ALL_SECTION_KEYWORDS_EQTY_200000881_13W">#REF!</definedName>
    <definedName name="V_ALL_SECTION_KEYWORDS_EQTY_200000881_Reference_Data">#REF!</definedName>
    <definedName name="V_ALL_SECTION_KEYWORDS_ISSR_208000201_1314">#REF!</definedName>
    <definedName name="V_ALL_SECTION_KEYWORDS_ISSR_208000201_13168">#REF!</definedName>
    <definedName name="V_ALL_SECTION_KEYWORDS_ISSR_208000201_1316S">#REF!</definedName>
    <definedName name="V_ALL_SECTION_KEYWORDS_ISSR_208000201_1316T">#REF!</definedName>
    <definedName name="V_ALL_SECTION_KEYWORDS_ISSR_208000201_1316U">#REF!</definedName>
    <definedName name="V_ALL_SECTION_KEYWORDS_ISSR_208000201_1319">#REF!</definedName>
    <definedName name="V_ALL_SECTION_KEYWORDS_ISSR_208000201_131E">#REF!</definedName>
    <definedName name="V_ALL_SECTION_KEYWORDS_ISSR_208000201_131J">#REF!</definedName>
    <definedName name="V_ALL_SECTION_KEYWORDS_ISSR_208000201_131O">#REF!</definedName>
    <definedName name="V_ALL_SECTION_KEYWORDS_ISSR_208000201_136E" localSheetId="0">#REF!,#REF!</definedName>
    <definedName name="V_ALL_SECTION_KEYWORDS_ISSR_208000201_136E">#REF!,#REF!</definedName>
    <definedName name="V_ALL_SECTION_KEYWORDS_ISSR_208000201_13A">#REF!</definedName>
    <definedName name="V_ALL_SECTION_KEYWORDS_ISSR_208000201_13U">#REF!</definedName>
    <definedName name="V_ALL_SECTION_KEYWORDS_ISSR_208000201_13V">#REF!</definedName>
    <definedName name="V_ALL_SECTION_KEYWORDS_ISSR_208000201_Reference_Data">#REF!</definedName>
    <definedName name="V_ALL_SECTIONS_EQTY_200000881" localSheetId="0">#REF!,#REF!,#REF!,#REF!,#REF!,#REF!,#REF!,#REF!,#REF!,#REF!</definedName>
    <definedName name="V_ALL_SECTIONS_EQTY_200000881">#REF!,#REF!,#REF!,#REF!,#REF!,#REF!,#REF!,#REF!,#REF!,#REF!</definedName>
    <definedName name="V_CURRENCY_EQTY_200000881_PRI">#REF!</definedName>
    <definedName name="V_CURRENCY_EQTY_200000881_PUB">#REF!</definedName>
    <definedName name="V_CURRENCY_EQTY_200000881_REP">#REF!</definedName>
    <definedName name="V_CURRENCY_ISSR_208000201_REP">#REF!</definedName>
    <definedName name="V_KEYWORD_EQTY_200000881_AMER_CONVICTION">#REF!</definedName>
    <definedName name="V_KEYWORD_EQTY_200000881_AMER_LIST">#REF!</definedName>
    <definedName name="V_KEYWORD_EQTY_200000881_BETA_ANALYST">#REF!</definedName>
    <definedName name="V_KEYWORD_EQTY_200000881_BVPS">#REF!</definedName>
    <definedName name="V_KEYWORD_EQTY_200000881_BVPS_PUB">#REF!</definedName>
    <definedName name="V_KEYWORD_EQTY_200000881_CEEE_EPS">#REF!</definedName>
    <definedName name="V_KEYWORD_EQTY_200000881_CF_NI_PRE_PREF">#REF!</definedName>
    <definedName name="V_KEYWORD_EQTY_200000881_COMMON_DIV_PAID">#REF!</definedName>
    <definedName name="V_KEYWORD_EQTY_200000881_CURRENCY_ISO">#REF!</definedName>
    <definedName name="V_KEYWORD_EQTY_200000881_DILUTE_SHARES">#REF!</definedName>
    <definedName name="V_KEYWORD_EQTY_200000881_DPS">#REF!</definedName>
    <definedName name="V_KEYWORD_EQTY_200000881_DPS_PUB">#REF!</definedName>
    <definedName name="V_KEYWORD_EQTY_200000881_EBIT_PUB">#REF!</definedName>
    <definedName name="V_KEYWORD_EQTY_200000881_EBITDA_PUB">#REF!</definedName>
    <definedName name="V_KEYWORD_EQTY_200000881_EPS">#REF!</definedName>
    <definedName name="V_KEYWORD_EQTY_200000881_EPS_EX_ESO_B">#REF!</definedName>
    <definedName name="V_KEYWORD_EQTY_200000881_EPS_EX_ESO_D">#REF!</definedName>
    <definedName name="V_KEYWORD_EQTY_200000881_EPS_FUL_DIL">#REF!</definedName>
    <definedName name="V_KEYWORD_EQTY_200000881_EPS_POST_BASIC">#REF!</definedName>
    <definedName name="V_KEYWORD_EQTY_200000881_EPS_PUB">#REF!</definedName>
    <definedName name="V_KEYWORD_EQTY_200000881_EPS_PUB_EX_ESO">#REF!</definedName>
    <definedName name="V_KEYWORD_EQTY_200000881_EQ_PUB">#REF!</definedName>
    <definedName name="V_KEYWORD_EQTY_200000881_ESO_POST_TAX">#REF!</definedName>
    <definedName name="V_KEYWORD_EQTY_200000881_ESO_YEAR">#REF!</definedName>
    <definedName name="V_KEYWORD_EQTY_200000881_EV_ADJ_PUB">#REF!</definedName>
    <definedName name="V_KEYWORD_EQTY_200000881_FREE_FLOAT">#REF!</definedName>
    <definedName name="V_KEYWORD_EQTY_200000881_FULLY_DIL_EPS">#REF!</definedName>
    <definedName name="V_KEYWORD_EQTY_200000881_FV_GRANT">#REF!</definedName>
    <definedName name="V_KEYWORD_EQTY_200000881_INC_MINORITY">#REF!</definedName>
    <definedName name="V_KEYWORD_EQTY_200000881_Interim_Type">#REF!</definedName>
    <definedName name="V_KEYWORD_EQTY_200000881_LEGAL_RATING">#REF!</definedName>
    <definedName name="V_KEYWORD_EQTY_200000881_MARGIN_TAX_RATE">#REF!</definedName>
    <definedName name="V_KEYWORD_EQTY_200000881_MKT_EQ_RISK_PREM">#REF!</definedName>
    <definedName name="V_KEYWORD_EQTY_200000881_NET_DEBT_PUB">#REF!</definedName>
    <definedName name="V_KEYWORD_EQTY_200000881_NET_EARNING">#REF!</definedName>
    <definedName name="V_KEYWORD_EQTY_200000881_NET_INC">#REF!</definedName>
    <definedName name="V_KEYWORD_EQTY_200000881_NI_PRE_PREF">#REF!</definedName>
    <definedName name="V_KEYWORD_EQTY_200000881_NI_PUB">#REF!</definedName>
    <definedName name="V_KEYWORD_EQTY_200000881_NON_OP_ADD">#REF!</definedName>
    <definedName name="V_KEYWORD_EQTY_200000881_NUM_SH">#REF!</definedName>
    <definedName name="V_KEYWORD_EQTY_200000881_PREF_DIV">#REF!</definedName>
    <definedName name="V_KEYWORD_EQTY_200000881_PRICE_CURRENCY_ISO">#REF!</definedName>
    <definedName name="V_KEYWORD_EQTY_200000881_PROV_INC_TAX">#REF!</definedName>
    <definedName name="V_KEYWORD_EQTY_200000881_PTP_PUB">#REF!</definedName>
    <definedName name="V_KEYWORD_EQTY_200000881_PUB_CURRENCY_ISO">#REF!</definedName>
    <definedName name="V_KEYWORD_EQTY_200000881_REPUR_ACTUAL">#REF!</definedName>
    <definedName name="V_KEYWORD_EQTY_200000881_REPUR_REMAINING">#REF!</definedName>
    <definedName name="V_KEYWORD_EQTY_200000881_REPUR_SUSPENDED">#REF!</definedName>
    <definedName name="V_KEYWORD_EQTY_200000881_REPUR_TOT_AUTH">#REF!</definedName>
    <definedName name="V_KEYWORD_EQTY_200000881_REVS_PUB">#REF!</definedName>
    <definedName name="V_KEYWORD_EQTY_200000881_RISK_FR_RATE">#REF!</definedName>
    <definedName name="V_KEYWORD_EQTY_200000881_Security_Name">#REF!</definedName>
    <definedName name="V_KEYWORD_EQTY_200000881_SH">#REF!</definedName>
    <definedName name="V_KEYWORD_EQTY_200000881_TARGET_PRICE">#REF!</definedName>
    <definedName name="V_KEYWORD_EQTY_200000881_TAX_EXC">#REF!</definedName>
    <definedName name="V_KEYWORD_EQTY_200000881_Ticker">#REF!</definedName>
    <definedName name="V_KEYWORD_EQTY_200000881_TP_PERIOD">#REF!</definedName>
    <definedName name="V_KEYWORD_ISSR_208000201_ACC_AMORT">#REF!</definedName>
    <definedName name="V_KEYWORD_ISSR_208000201_ACC_DDA">#REF!</definedName>
    <definedName name="V_KEYWORD_ISSR_208000201_ACC_END_DATE">#REF!</definedName>
    <definedName name="V_KEYWORD_ISSR_208000201_ACC_PAY_GQ">#REF!</definedName>
    <definedName name="V_KEYWORD_ISSR_208000201_ACQ">#REF!</definedName>
    <definedName name="V_KEYWORD_ISSR_208000201_ADJ_UNF_PENS_GOOD">#REF!</definedName>
    <definedName name="V_KEYWORD_ISSR_208000201_ASSOC_JV_ADDBK">#REF!</definedName>
    <definedName name="V_KEYWORD_ISSR_208000201_ASSOCIATE">#REF!</definedName>
    <definedName name="V_KEYWORD_ISSR_208000201_ASSOCIATE_OP">#REF!</definedName>
    <definedName name="V_KEYWORD_ISSR_208000201_BAL_MINO_INT">#REF!</definedName>
    <definedName name="V_KEYWORD_ISSR_208000201_CAP_LEASES">#REF!</definedName>
    <definedName name="V_KEYWORD_ISSR_208000201_CAPEX">#REF!</definedName>
    <definedName name="V_KEYWORD_ISSR_208000201_CAPEX_EXPANSION">#REF!</definedName>
    <definedName name="V_KEYWORD_ISSR_208000201_CAPEX_MAINTENANCE">#REF!</definedName>
    <definedName name="V_KEYWORD_ISSR_208000201_CASH_EQ">#REF!</definedName>
    <definedName name="V_KEYWORD_ISSR_208000201_CASH_INT_EXP">#REF!</definedName>
    <definedName name="V_KEYWORD_ISSR_208000201_CASH_PCT_OS_US">#REF!</definedName>
    <definedName name="V_KEYWORD_ISSR_208000201_CASH_TAX_EXP">#REF!</definedName>
    <definedName name="V_KEYWORD_ISSR_208000201_CF_FIN">#REF!</definedName>
    <definedName name="V_KEYWORD_ISSR_208000201_CF_INC_MINORITY">#REF!</definedName>
    <definedName name="V_KEYWORD_ISSR_208000201_CF_INV">#REF!</definedName>
    <definedName name="V_KEYWORD_ISSR_208000201_CF_OPS">#REF!</definedName>
    <definedName name="V_KEYWORD_ISSR_208000201_CHG_LT_DEBT">#REF!</definedName>
    <definedName name="V_KEYWORD_ISSR_208000201_CO_BOR_MARGIN">#REF!</definedName>
    <definedName name="V_KEYWORD_ISSR_208000201_COST_GD_SD">#REF!</definedName>
    <definedName name="V_KEYWORD_ISSR_208000201_CUR_ASS">#REF!</definedName>
    <definedName name="V_KEYWORD_ISSR_208000201_CURRENCY_ISO">#REF!</definedName>
    <definedName name="V_KEYWORD_ISSR_208000201_DEBTORS">#REF!</definedName>
    <definedName name="V_KEYWORD_ISSR_208000201_DEF_INC_TAX">#REF!</definedName>
    <definedName name="V_KEYWORD_ISSR_208000201_DEPR_AMORT">#REF!</definedName>
    <definedName name="V_KEYWORD_ISSR_208000201_DEPREC">#REF!</definedName>
    <definedName name="V_KEYWORD_ISSR_208000201_DIV_PAID">#REF!</definedName>
    <definedName name="V_KEYWORD_ISSR_208000201_DIVDS_ASSOC_JV">#REF!</definedName>
    <definedName name="V_KEYWORD_ISSR_208000201_DIVDS_PD_MINORITIES">#REF!</definedName>
    <definedName name="V_KEYWORD_ISSR_208000201_DIVEST">#REF!</definedName>
    <definedName name="V_KEYWORD_ISSR_208000201_EBIT">#REF!</definedName>
    <definedName name="V_KEYWORD_ISSR_208000201_EBIT_FIN_SEGMENT">#REF!</definedName>
    <definedName name="V_KEYWORD_ISSR_208000201_EBITDA_CALC">#REF!</definedName>
    <definedName name="V_KEYWORD_ISSR_208000201_EMPLOYEES">#REF!</definedName>
    <definedName name="V_KEYWORD_ISSR_208000201_EQ">#REF!</definedName>
    <definedName name="V_KEYWORD_ISSR_208000201_ESO_PRE_TAX">#REF!</definedName>
    <definedName name="V_KEYWORD_ISSR_208000201_EXP_ALUMINIUM">#REF!</definedName>
    <definedName name="V_KEYWORD_ISSR_208000201_EXP_COPPER">#REF!</definedName>
    <definedName name="V_KEYWORD_ISSR_208000201_EXP_GLASS">#REF!</definedName>
    <definedName name="V_KEYWORD_ISSR_208000201_EXP_GOLD">#REF!</definedName>
    <definedName name="V_KEYWORD_ISSR_208000201_EXP_NAT_GAS">#REF!</definedName>
    <definedName name="V_KEYWORD_ISSR_208000201_EXP_NICKEL">#REF!</definedName>
    <definedName name="V_KEYWORD_ISSR_208000201_EXP_OIL_DERIV_NGLS_PLASTICS">#REF!</definedName>
    <definedName name="V_KEYWORD_ISSR_208000201_EXP_OIL_PETRO_FUEL">#REF!</definedName>
    <definedName name="V_KEYWORD_ISSR_208000201_EXP_OTH_COMMODITY">#REF!</definedName>
    <definedName name="V_KEYWORD_ISSR_208000201_EXP_OTH_COST">#REF!</definedName>
    <definedName name="V_KEYWORD_ISSR_208000201_EXP_PALLADIUM">#REF!</definedName>
    <definedName name="V_KEYWORD_ISSR_208000201_EXP_PLATINUM">#REF!</definedName>
    <definedName name="V_KEYWORD_ISSR_208000201_EXP_RUBBER">#REF!</definedName>
    <definedName name="V_KEYWORD_ISSR_208000201_EXP_SILVER">#REF!</definedName>
    <definedName name="V_KEYWORD_ISSR_208000201_EXP_STEEL">#REF!</definedName>
    <definedName name="V_KEYWORD_ISSR_208000201_EXP_WATER">#REF!</definedName>
    <definedName name="V_KEYWORD_ISSR_208000201_EXP_ZINC">#REF!</definedName>
    <definedName name="V_KEYWORD_ISSR_208000201_FIX_ASS_INV">#REF!</definedName>
    <definedName name="V_KEYWORD_ISSR_208000201_GCI_INFL">#REF!</definedName>
    <definedName name="V_KEYWORD_ISSR_208000201_GOODWILL_AMORT">#REF!</definedName>
    <definedName name="V_KEYWORD_ISSR_208000201_GR_FIX_ASS">#REF!</definedName>
    <definedName name="V_KEYWORD_ISSR_208000201_GR_INTANG">#REF!</definedName>
    <definedName name="V_KEYWORD_ISSR_208000201_INT_EXP_IND">#REF!</definedName>
    <definedName name="V_KEYWORD_ISSR_208000201_INT_INC_IND">#REF!</definedName>
    <definedName name="V_KEYWORD_ISSR_208000201_INV_SECUR">#REF!</definedName>
    <definedName name="V_KEYWORD_ISSR_208000201_Issuer_Name">#REF!</definedName>
    <definedName name="V_KEYWORD_ISSR_208000201_LEASE_DEEM_DEPR">#REF!</definedName>
    <definedName name="V_KEYWORD_ISSR_208000201_LEASE_DEEM_INT">#REF!</definedName>
    <definedName name="V_KEYWORD_ISSR_208000201_LEASE_PAY">#REF!</definedName>
    <definedName name="V_KEYWORD_ISSR_208000201_LT_DEBT">#REF!</definedName>
    <definedName name="V_KEYWORD_ISSR_208000201_MA_PROB">#REF!</definedName>
    <definedName name="V_KEYWORD_ISSR_208000201_MINORITIES">#REF!</definedName>
    <definedName name="V_KEYWORD_ISSR_208000201_MV_ASSOCIATES">#REF!</definedName>
    <definedName name="V_KEYWORD_ISSR_208000201_NET_DEBT">#REF!</definedName>
    <definedName name="V_KEYWORD_ISSR_208000201_NET_DEBT_ADJ">#REF!</definedName>
    <definedName name="V_KEYWORD_ISSR_208000201_NET_FIX_ASS">#REF!</definedName>
    <definedName name="V_KEYWORD_ISSR_208000201_NET_INT_CH">#REF!</definedName>
    <definedName name="V_KEYWORD_ISSR_208000201_NET_INT_EXP">#REF!</definedName>
    <definedName name="V_KEYWORD_ISSR_208000201_NET_INTANG">#REF!</definedName>
    <definedName name="V_KEYWORD_ISSR_208000201_NONPPE_CAPEX">#REF!</definedName>
    <definedName name="V_KEYWORD_ISSR_208000201_OP_COST">#REF!</definedName>
    <definedName name="V_KEYWORD_ISSR_208000201_ORD_SH_FUND">#REF!</definedName>
    <definedName name="V_KEYWORD_ISSR_208000201_OTH_COST_INC">#REF!</definedName>
    <definedName name="V_KEYWORD_ISSR_208000201_OTH_CUR_ASS">#REF!</definedName>
    <definedName name="V_KEYWORD_ISSR_208000201_OTH_CUR_LIABS">#REF!</definedName>
    <definedName name="V_KEYWORD_ISSR_208000201_OTH_DACF_ADJ">#REF!</definedName>
    <definedName name="V_KEYWORD_ISSR_208000201_OTH_FIN_CF">#REF!</definedName>
    <definedName name="V_KEYWORD_ISSR_208000201_OTH_GCI_ADJ">#REF!</definedName>
    <definedName name="V_KEYWORD_ISSR_208000201_OTH_INV_CF">#REF!</definedName>
    <definedName name="V_KEYWORD_ISSR_208000201_OTH_LT_ASS">#REF!</definedName>
    <definedName name="V_KEYWORD_ISSR_208000201_OTH_LT_CRED_GQ">#REF!</definedName>
    <definedName name="V_KEYWORD_ISSR_208000201_OTH_NONCASH_ADJ">#REF!</definedName>
    <definedName name="V_KEYWORD_ISSR_208000201_OTH_OP_CF">#REF!</definedName>
    <definedName name="V_KEYWORD_ISSR_208000201_OTH_OP_INC_EXP">#REF!</definedName>
    <definedName name="V_KEYWORD_ISSR_208000201_PERIOD_MILESTONE">#REF!</definedName>
    <definedName name="V_KEYWORD_ISSR_208000201_PL_SALE_ASSETS">#REF!</definedName>
    <definedName name="V_KEYWORD_ISSR_208000201_PREF_SH">#REF!</definedName>
    <definedName name="V_KEYWORD_ISSR_208000201_PROFIT_ON_DISP">#REF!</definedName>
    <definedName name="V_KEYWORD_ISSR_208000201_PT_PROF">#REF!</definedName>
    <definedName name="V_KEYWORD_ISSR_208000201_RD_EXP">#REF!</definedName>
    <definedName name="V_KEYWORD_ISSR_208000201_REV_FIN_SEGMENT">#REF!</definedName>
    <definedName name="V_KEYWORD_ISSR_208000201_SALES">#REF!</definedName>
    <definedName name="V_KEYWORD_ISSR_208000201_SALES_ARGENTINA">#REF!</definedName>
    <definedName name="V_KEYWORD_ISSR_208000201_SALES_BRAZIL">#REF!</definedName>
    <definedName name="V_KEYWORD_ISSR_208000201_SALES_CANADA">#REF!</definedName>
    <definedName name="V_KEYWORD_ISSR_208000201_SALES_CEE">#REF!</definedName>
    <definedName name="V_KEYWORD_ISSR_208000201_SALES_CHILE">#REF!</definedName>
    <definedName name="V_KEYWORD_ISSR_208000201_SALES_CHINA">#REF!</definedName>
    <definedName name="V_KEYWORD_ISSR_208000201_SALES_COLOMBIA">#REF!</definedName>
    <definedName name="V_KEYWORD_ISSR_208000201_SALES_CONS">#REF!</definedName>
    <definedName name="V_KEYWORD_ISSR_208000201_SALES_EU_EX_UK">#REF!</definedName>
    <definedName name="V_KEYWORD_ISSR_208000201_SALES_FINAN">#REF!</definedName>
    <definedName name="V_KEYWORD_ISSR_208000201_SALES_FX_ARS">#REF!</definedName>
    <definedName name="V_KEYWORD_ISSR_208000201_SALES_FX_BRL">#REF!</definedName>
    <definedName name="V_KEYWORD_ISSR_208000201_SALES_FX_CAD">#REF!</definedName>
    <definedName name="V_KEYWORD_ISSR_208000201_SALES_FX_CLP">#REF!</definedName>
    <definedName name="V_KEYWORD_ISSR_208000201_SALES_FX_CNY">#REF!</definedName>
    <definedName name="V_KEYWORD_ISSR_208000201_SALES_FX_COP">#REF!</definedName>
    <definedName name="V_KEYWORD_ISSR_208000201_SALES_FX_EUR">#REF!</definedName>
    <definedName name="V_KEYWORD_ISSR_208000201_SALES_FX_GPB">#REF!</definedName>
    <definedName name="V_KEYWORD_ISSR_208000201_SALES_FX_INR">#REF!</definedName>
    <definedName name="V_KEYWORD_ISSR_208000201_SALES_FX_MXN">#REF!</definedName>
    <definedName name="V_KEYWORD_ISSR_208000201_SALES_FX_OTH">#REF!</definedName>
    <definedName name="V_KEYWORD_ISSR_208000201_SALES_FX_RUB">#REF!</definedName>
    <definedName name="V_KEYWORD_ISSR_208000201_SALES_FX_USD">#REF!</definedName>
    <definedName name="V_KEYWORD_ISSR_208000201_SALES_FX_VEF">#REF!</definedName>
    <definedName name="V_KEYWORD_ISSR_208000201_SALES_FX_YEN">#REF!</definedName>
    <definedName name="V_KEYWORD_ISSR_208000201_SALES_GOV">#REF!</definedName>
    <definedName name="V_KEYWORD_ISSR_208000201_SALES_IND">#REF!</definedName>
    <definedName name="V_KEYWORD_ISSR_208000201_SALES_INDIA">#REF!</definedName>
    <definedName name="V_KEYWORD_ISSR_208000201_SALES_JAPAN">#REF!</definedName>
    <definedName name="V_KEYWORD_ISSR_208000201_SALES_ME">#REF!</definedName>
    <definedName name="V_KEYWORD_ISSR_208000201_SALES_MEXICO">#REF!</definedName>
    <definedName name="V_KEYWORD_ISSR_208000201_SALES_OTH_AEJ">#REF!</definedName>
    <definedName name="V_KEYWORD_ISSR_208000201_SALES_OTH_AM">#REF!</definedName>
    <definedName name="V_KEYWORD_ISSR_208000201_SALES_OTH_COMMODITY">#REF!</definedName>
    <definedName name="V_KEYWORD_ISSR_208000201_SALES_OTH_EMEA">#REF!</definedName>
    <definedName name="V_KEYWORD_ISSR_208000201_SALES_OTH_SALES_SOURCES">#REF!</definedName>
    <definedName name="V_KEYWORD_ISSR_208000201_SALES_OTHER">#REF!</definedName>
    <definedName name="V_KEYWORD_ISSR_208000201_SALES_RUSSIA">#REF!</definedName>
    <definedName name="V_KEYWORD_ISSR_208000201_SALES_SMB">#REF!</definedName>
    <definedName name="V_KEYWORD_ISSR_208000201_SALES_TOT_AFRICA">#REF!</definedName>
    <definedName name="V_KEYWORD_ISSR_208000201_SALES_TOT_AM">#REF!</definedName>
    <definedName name="V_KEYWORD_ISSR_208000201_SALES_TOT_ASIA">#REF!</definedName>
    <definedName name="V_KEYWORD_ISSR_208000201_SALES_TOT_EMEA">#REF!</definedName>
    <definedName name="V_KEYWORD_ISSR_208000201_SALES_UK">#REF!</definedName>
    <definedName name="V_KEYWORD_ISSR_208000201_SALES_US">#REF!</definedName>
    <definedName name="V_KEYWORD_ISSR_208000201_SALES_VENEZUELA">#REF!</definedName>
    <definedName name="V_KEYWORD_ISSR_208000201_SEL_GL_AD">#REF!</definedName>
    <definedName name="V_KEYWORD_ISSR_208000201_SH_REPUR">#REF!</definedName>
    <definedName name="V_KEYWORD_ISSR_208000201_SHORT_T_DEBT">#REF!</definedName>
    <definedName name="V_KEYWORD_ISSR_208000201_SHORT_TERM_LIABS">#REF!</definedName>
    <definedName name="V_KEYWORD_ISSR_208000201_STOCKS">#REF!</definedName>
    <definedName name="V_KEYWORD_ISSR_208000201_TOT_ASSET">#REF!</definedName>
    <definedName name="V_KEYWORD_ISSR_208000201_TOT_CF">#REF!</definedName>
    <definedName name="V_KEYWORD_ISSR_208000201_TOT_LIAB">#REF!</definedName>
    <definedName name="V_KEYWORD_ISSR_208000201_TOT_LIAB_EQ">#REF!</definedName>
    <definedName name="V_KEYWORD_ISSR_208000201_TOT_LT_LIAB">#REF!</definedName>
    <definedName name="V_KEYWORD_ISSR_208000201_TOT_OPS_EXP">#REF!</definedName>
    <definedName name="V_KEYWORD_ISSR_208000201_TOT_OPS_EXP_DDA">#REF!</definedName>
    <definedName name="V_KEYWORD_ISSR_208000201_UNF_PENS">#REF!</definedName>
    <definedName name="V_KEYWORD_ISSR_208000201_UNF_PENS_LIAB_OTH">#REF!</definedName>
    <definedName name="V_KEYWORD_ISSR_208000201_UNF_PENS_OFF">#REF!</definedName>
    <definedName name="V_KEYWORD_ISSR_208000201_WORK_CAP">#REF!</definedName>
    <definedName name="V_LIVEDATA_EQTY_200000881">#REF!</definedName>
    <definedName name="V_LIVEDATA_ISSR_208000201">#REF!</definedName>
    <definedName name="V_PERIOD_1994">#REF!</definedName>
    <definedName name="V_PERIOD_1995">#REF!</definedName>
    <definedName name="V_PERIOD_1996">#REF!</definedName>
    <definedName name="V_PERIOD_1997">#REF!</definedName>
    <definedName name="V_PERIOD_1998">#REF!</definedName>
    <definedName name="V_PERIOD_1999">#REF!</definedName>
    <definedName name="V_PERIOD_2000">#REF!</definedName>
    <definedName name="V_PERIOD_2001">#REF!</definedName>
    <definedName name="V_PERIOD_2002">#REF!</definedName>
    <definedName name="V_PERIOD_2003">#REF!</definedName>
    <definedName name="V_PERIOD_2003_Q1">#REF!</definedName>
    <definedName name="V_PERIOD_2003_Q2">#REF!</definedName>
    <definedName name="V_PERIOD_2003_Q3">#REF!</definedName>
    <definedName name="V_PERIOD_2003_Q4">#REF!</definedName>
    <definedName name="V_PERIOD_2004">#REF!</definedName>
    <definedName name="V_PERIOD_2004_Q1">#REF!</definedName>
    <definedName name="V_PERIOD_2004_Q2">#REF!</definedName>
    <definedName name="V_PERIOD_2004_Q3">#REF!</definedName>
    <definedName name="V_PERIOD_2004_Q4">#REF!</definedName>
    <definedName name="V_PERIOD_2005">#REF!</definedName>
    <definedName name="V_PERIOD_2005_Q1">#REF!</definedName>
    <definedName name="V_PERIOD_2005_Q2">#REF!</definedName>
    <definedName name="V_PERIOD_2005_Q3">#REF!</definedName>
    <definedName name="V_PERIOD_2005_Q4">#REF!</definedName>
    <definedName name="V_PERIOD_2006">#REF!</definedName>
    <definedName name="V_PERIOD_2006_Q1">#REF!</definedName>
    <definedName name="V_PERIOD_2006_Q2">#REF!</definedName>
    <definedName name="V_PERIOD_2006_Q3">#REF!</definedName>
    <definedName name="V_PERIOD_2006_Q4">#REF!</definedName>
    <definedName name="V_PERIOD_2007">#REF!</definedName>
    <definedName name="V_PERIOD_2007_Q1">#REF!</definedName>
    <definedName name="V_PERIOD_2007_Q2">#REF!</definedName>
    <definedName name="V_PERIOD_2007_Q3">#REF!</definedName>
    <definedName name="V_PERIOD_2007_Q4">#REF!</definedName>
    <definedName name="V_PERIOD_2008">#REF!</definedName>
    <definedName name="V_PERIOD_2008_Q1">#REF!</definedName>
    <definedName name="V_PERIOD_2008_Q2">#REF!</definedName>
    <definedName name="V_PERIOD_2008_Q3">#REF!</definedName>
    <definedName name="V_PERIOD_2008_Q4">#REF!</definedName>
    <definedName name="V_PERIOD_2009">#REF!</definedName>
    <definedName name="V_PERIOD_2009_Q1">#REF!</definedName>
    <definedName name="V_PERIOD_2009_Q2">#REF!</definedName>
    <definedName name="V_PERIOD_2009_Q3">#REF!</definedName>
    <definedName name="V_PERIOD_2009_Q4">#REF!</definedName>
    <definedName name="V_PERIOD_2010">#REF!</definedName>
    <definedName name="V_PERIOD_2010_Q1">#REF!</definedName>
    <definedName name="V_PERIOD_2010_Q2">#REF!</definedName>
    <definedName name="V_PERIOD_2010_Q3">#REF!</definedName>
    <definedName name="V_PERIOD_2010_Q4">#REF!</definedName>
    <definedName name="V_PERIOD_2011">#REF!</definedName>
    <definedName name="V_PERIOD_2011_Q1">#REF!</definedName>
    <definedName name="V_PERIOD_2011_Q2">#REF!</definedName>
    <definedName name="V_PERIOD_2011_Q3">#REF!</definedName>
    <definedName name="V_PERIOD_2011_Q4">#REF!</definedName>
    <definedName name="V_PERIOD_2012">#REF!</definedName>
    <definedName name="V_PERIOD_2012_Q1">#REF!</definedName>
    <definedName name="V_PERIOD_2012_Q2">#REF!</definedName>
    <definedName name="V_PERIOD_2012_Q3">#REF!</definedName>
    <definedName name="V_PERIOD_2012_Q4">#REF!</definedName>
    <definedName name="V_PERIOD_2013">#REF!</definedName>
    <definedName name="V_PERIOD_2013_Q1">#REF!</definedName>
    <definedName name="V_PERIOD_2013_Q2">#REF!</definedName>
    <definedName name="V_PERIOD_2013_Q3">#REF!</definedName>
    <definedName name="V_PERIOD_2013_Q4">#REF!</definedName>
    <definedName name="V_PERIOD_2014">#REF!</definedName>
    <definedName name="V_PERIOD_2014_Q1">#REF!</definedName>
    <definedName name="V_PERIOD_2014_Q2">#REF!</definedName>
    <definedName name="V_PERIOD_2014_Q3">#REF!</definedName>
    <definedName name="V_PERIOD_2014_Q4">#REF!</definedName>
    <definedName name="V_PERIOD_2015">#REF!</definedName>
    <definedName name="V_PERIOD_2016">#REF!</definedName>
    <definedName name="V_SECTION_EQTY_200000881_1314">#REF!</definedName>
    <definedName name="V_SECTION_EQTY_200000881_1319">#REF!</definedName>
    <definedName name="V_SECTION_EQTY_200000881_131E">#REF!</definedName>
    <definedName name="V_SECTION_EQTY_200000881_131O">#REF!</definedName>
    <definedName name="V_SECTION_EQTY_200000881_13A">#REF!</definedName>
    <definedName name="V_SECTION_EQTY_200000881_13K">#REF!</definedName>
    <definedName name="V_SECTION_EQTY_200000881_13U">#REF!</definedName>
    <definedName name="V_SECTION_EQTY_200000881_13V">#REF!</definedName>
    <definedName name="V_SECTION_EQTY_200000881_13W">#REF!</definedName>
    <definedName name="V_SECTION_EQTY_200000881_Reference_Data">#REF!</definedName>
    <definedName name="V_SECTION_ISSR_208000201_1314">#REF!</definedName>
    <definedName name="V_SECTION_ISSR_208000201_13168">#REF!</definedName>
    <definedName name="V_SECTION_ISSR_208000201_1316S">#REF!</definedName>
    <definedName name="V_SECTION_ISSR_208000201_1316T">#REF!</definedName>
    <definedName name="V_SECTION_ISSR_208000201_1316U">#REF!</definedName>
    <definedName name="V_SECTION_ISSR_208000201_1319">#REF!</definedName>
    <definedName name="V_SECTION_ISSR_208000201_131E">#REF!</definedName>
    <definedName name="V_SECTION_ISSR_208000201_131J">#REF!</definedName>
    <definedName name="V_SECTION_ISSR_208000201_131O">#REF!</definedName>
    <definedName name="V_SECTION_ISSR_208000201_13A">#REF!</definedName>
    <definedName name="V_SECTION_ISSR_208000201_13U">#REF!</definedName>
    <definedName name="V_SECTION_ISSR_208000201_13V">#REF!</definedName>
    <definedName name="V_SECTION_ISSR_208000201_Reference_Data">#REF!</definedName>
    <definedName name="wc">CFLO!$18:$18</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6" i="30" l="1"/>
  <c r="AB36" i="30"/>
  <c r="AC25" i="30"/>
  <c r="AB25" i="30"/>
  <c r="AE24" i="30"/>
  <c r="AC24" i="30"/>
  <c r="AB24" i="30"/>
  <c r="AM23" i="30"/>
  <c r="AL23" i="30"/>
  <c r="AK23" i="30"/>
  <c r="AJ23" i="30"/>
  <c r="AI23" i="30"/>
  <c r="AH23" i="30"/>
  <c r="AG23" i="30"/>
  <c r="AM22" i="30"/>
  <c r="AM21" i="30"/>
  <c r="AL21" i="30"/>
  <c r="AK21" i="30"/>
  <c r="AJ21" i="30"/>
  <c r="AI21" i="30"/>
  <c r="AG21" i="30"/>
  <c r="AO20" i="30"/>
  <c r="AH20" i="30"/>
  <c r="AI20" i="30" s="1"/>
  <c r="AJ20" i="30" s="1"/>
  <c r="AK20" i="30" s="1"/>
  <c r="AL20" i="30" s="1"/>
  <c r="AM20" i="30" s="1"/>
  <c r="AH16" i="30"/>
  <c r="AI16" i="30" s="1"/>
  <c r="AJ16" i="30" s="1"/>
  <c r="AK16" i="30" s="1"/>
  <c r="AL16" i="30" s="1"/>
  <c r="AM16" i="30" s="1"/>
  <c r="AE15" i="30"/>
  <c r="AC15" i="30"/>
  <c r="AB15" i="30"/>
  <c r="AE14" i="30"/>
  <c r="AC14" i="30"/>
  <c r="AB14" i="30"/>
  <c r="AE9" i="30"/>
  <c r="AF42" i="30"/>
  <c r="AK42" i="30"/>
  <c r="AL43" i="30" s="1"/>
  <c r="AP42" i="30"/>
  <c r="AQ43" i="30" s="1"/>
  <c r="AB43" i="30"/>
  <c r="AC43" i="30"/>
  <c r="AD43" i="30"/>
  <c r="AE43" i="30"/>
  <c r="AG43" i="30"/>
  <c r="AH43" i="30"/>
  <c r="AI43" i="30"/>
  <c r="AJ43" i="30"/>
  <c r="AM43" i="30"/>
  <c r="AN43" i="30"/>
  <c r="AO43" i="30"/>
  <c r="AB44" i="30"/>
  <c r="AC44" i="30"/>
  <c r="AD44" i="30"/>
  <c r="AE44" i="30"/>
  <c r="AF44" i="30"/>
  <c r="AG44" i="30"/>
  <c r="AH44" i="30"/>
  <c r="AK44" i="30"/>
  <c r="AK43" i="30" l="1"/>
  <c r="AP43" i="30"/>
  <c r="AF43" i="30"/>
  <c r="DY87" i="2" l="1"/>
  <c r="EB87" i="2"/>
  <c r="EA87" i="2"/>
  <c r="DZ87" i="2"/>
  <c r="DX87" i="2"/>
  <c r="DW87" i="2"/>
  <c r="DV87" i="2"/>
  <c r="DU87" i="2"/>
  <c r="DS87" i="2"/>
  <c r="DR87" i="2"/>
  <c r="DQ87" i="2"/>
  <c r="DP87" i="2"/>
  <c r="DN87" i="2"/>
  <c r="DT7" i="2"/>
  <c r="DT87" i="2" s="1"/>
  <c r="DO7" i="2"/>
  <c r="DO87" i="2" s="1"/>
  <c r="DQ47" i="4" l="1"/>
  <c r="DQ45" i="4"/>
  <c r="DQ44" i="4"/>
  <c r="DQ43" i="4"/>
  <c r="DQ42" i="4"/>
  <c r="DQ41" i="4"/>
  <c r="DQ40" i="4"/>
  <c r="DQ38" i="4"/>
  <c r="DQ37" i="4"/>
  <c r="DQ36" i="4"/>
  <c r="DQ35" i="4"/>
  <c r="DQ34" i="4"/>
  <c r="DQ32" i="4"/>
  <c r="DQ31" i="4"/>
  <c r="DQ30" i="4"/>
  <c r="DQ29" i="4"/>
  <c r="DQ28" i="4"/>
  <c r="DQ27" i="4"/>
  <c r="DQ23" i="4"/>
  <c r="DQ22" i="4"/>
  <c r="DQ21" i="4"/>
  <c r="DQ20" i="4"/>
  <c r="DQ19" i="4"/>
  <c r="DQ18" i="4"/>
  <c r="DQ17" i="4"/>
  <c r="DQ16" i="4"/>
  <c r="DQ14" i="4"/>
  <c r="DQ13" i="4"/>
  <c r="DQ12" i="4"/>
  <c r="DQ11" i="4"/>
  <c r="DQ10" i="4"/>
  <c r="DQ9" i="4"/>
  <c r="DQ8" i="4"/>
  <c r="DQ7" i="4"/>
  <c r="DQ42" i="3"/>
  <c r="DQ40" i="3"/>
  <c r="DQ39" i="3"/>
  <c r="DQ25" i="3"/>
  <c r="DQ23" i="3"/>
  <c r="DQ22" i="3"/>
  <c r="DQ20" i="3"/>
  <c r="DQ19" i="3"/>
  <c r="DQ17" i="3"/>
  <c r="DQ16" i="3"/>
  <c r="DQ15" i="3"/>
  <c r="DQ14" i="3"/>
  <c r="DQ11" i="3"/>
  <c r="DQ10" i="3"/>
  <c r="DQ9" i="3"/>
  <c r="DQ187" i="2"/>
  <c r="DQ48" i="3" s="1"/>
  <c r="DQ184" i="2"/>
  <c r="DQ183" i="2"/>
  <c r="DQ181" i="2"/>
  <c r="DQ180" i="2"/>
  <c r="DQ179" i="2"/>
  <c r="DQ178" i="2"/>
  <c r="DQ168" i="2"/>
  <c r="DQ79" i="2"/>
  <c r="DQ81" i="2"/>
  <c r="DQ74" i="2"/>
  <c r="DQ69" i="2"/>
  <c r="DQ36" i="2"/>
  <c r="DQ206" i="1"/>
  <c r="DQ208" i="1" s="1"/>
  <c r="DQ188" i="1"/>
  <c r="DQ185" i="2" s="1"/>
  <c r="DQ127" i="1"/>
  <c r="DQ120" i="1"/>
  <c r="DQ105" i="1"/>
  <c r="DQ33" i="3" l="1"/>
  <c r="DQ232" i="2"/>
  <c r="DQ63" i="4"/>
  <c r="DQ64" i="4" s="1"/>
  <c r="DQ221" i="2"/>
  <c r="DQ46" i="4"/>
  <c r="DQ48" i="4" s="1"/>
  <c r="DQ231" i="2"/>
  <c r="DQ29" i="3"/>
  <c r="DQ60" i="4"/>
  <c r="DQ61" i="4" s="1"/>
  <c r="DQ56" i="4"/>
  <c r="DQ69" i="4" s="1"/>
  <c r="DQ33" i="4"/>
  <c r="DQ39" i="4" s="1"/>
  <c r="DQ15" i="4"/>
  <c r="DQ75" i="4" s="1"/>
  <c r="DQ186" i="2"/>
  <c r="DQ188" i="2" s="1"/>
  <c r="DQ212" i="1"/>
  <c r="DQ210" i="1"/>
  <c r="DQ189" i="1"/>
  <c r="DQ183" i="1"/>
  <c r="DQ165" i="1"/>
  <c r="DQ137" i="1"/>
  <c r="DQ128" i="1"/>
  <c r="DQ107" i="1"/>
  <c r="DQ86" i="1"/>
  <c r="DQ88" i="1" s="1"/>
  <c r="DQ73" i="1"/>
  <c r="DQ79" i="1" s="1"/>
  <c r="DQ55" i="1"/>
  <c r="DQ64" i="1" s="1"/>
  <c r="DQ36" i="1"/>
  <c r="DQ32" i="1"/>
  <c r="DQ13" i="1"/>
  <c r="DQ12" i="3" s="1"/>
  <c r="DQ9" i="1"/>
  <c r="DP69" i="2"/>
  <c r="DP18" i="17"/>
  <c r="DP19" i="17"/>
  <c r="DP36" i="17"/>
  <c r="DP37" i="17"/>
  <c r="DP20" i="17" l="1"/>
  <c r="DQ49" i="4"/>
  <c r="DQ62" i="4"/>
  <c r="DQ65" i="4" s="1"/>
  <c r="DQ24" i="4"/>
  <c r="DQ18" i="1"/>
  <c r="DQ24" i="1" s="1"/>
  <c r="DQ27" i="1" s="1"/>
  <c r="DQ29" i="1" s="1"/>
  <c r="DQ8" i="3"/>
  <c r="DQ84" i="4"/>
  <c r="DP38" i="17"/>
  <c r="DQ70" i="4"/>
  <c r="DQ66" i="4"/>
  <c r="DQ190" i="1"/>
  <c r="DQ191" i="1" s="1"/>
  <c r="DQ121" i="1"/>
  <c r="DQ139" i="1" s="1"/>
  <c r="DQ89" i="1"/>
  <c r="DQ213" i="1"/>
  <c r="DP49" i="5"/>
  <c r="DQ49" i="5" s="1"/>
  <c r="DP47" i="5"/>
  <c r="DQ47" i="5" s="1"/>
  <c r="DP46" i="5"/>
  <c r="DQ46" i="5" s="1"/>
  <c r="DP45" i="5"/>
  <c r="DQ45" i="5" s="1"/>
  <c r="DP44" i="5"/>
  <c r="DQ44" i="5" s="1"/>
  <c r="DP43" i="5"/>
  <c r="DQ43" i="5" s="1"/>
  <c r="DP42" i="5"/>
  <c r="DQ42" i="5" s="1"/>
  <c r="DP41" i="5"/>
  <c r="DQ41" i="5" s="1"/>
  <c r="DP40" i="5"/>
  <c r="DQ40" i="5" s="1"/>
  <c r="DP37" i="5"/>
  <c r="DQ37" i="5" s="1"/>
  <c r="DP36" i="5"/>
  <c r="DQ36" i="5" s="1"/>
  <c r="DP35" i="5"/>
  <c r="DQ35" i="5" s="1"/>
  <c r="DP34" i="5"/>
  <c r="DQ34" i="5" s="1"/>
  <c r="DP33" i="5"/>
  <c r="DP30" i="5"/>
  <c r="DQ30" i="5" s="1"/>
  <c r="DP29" i="5"/>
  <c r="DQ29" i="5" s="1"/>
  <c r="DP28" i="5"/>
  <c r="DQ28" i="5" s="1"/>
  <c r="DP27" i="5"/>
  <c r="DQ27" i="5" s="1"/>
  <c r="DP26" i="5"/>
  <c r="DQ26" i="5" s="1"/>
  <c r="DP25" i="5"/>
  <c r="DQ25" i="5" s="1"/>
  <c r="DP24" i="5"/>
  <c r="DQ24" i="5" s="1"/>
  <c r="DP23" i="5"/>
  <c r="DQ23" i="5" s="1"/>
  <c r="DP22" i="5"/>
  <c r="DQ22" i="5" s="1"/>
  <c r="DP21" i="5"/>
  <c r="DQ21" i="5" s="1"/>
  <c r="DP20" i="5"/>
  <c r="DQ20" i="5" s="1"/>
  <c r="DP19" i="5"/>
  <c r="DQ19" i="5" s="1"/>
  <c r="DP17" i="5"/>
  <c r="DQ17" i="5" s="1"/>
  <c r="DP15" i="5"/>
  <c r="DQ15" i="5" s="1"/>
  <c r="DP14" i="5"/>
  <c r="DQ14" i="5" s="1"/>
  <c r="DP13" i="5"/>
  <c r="DQ13" i="5" s="1"/>
  <c r="DP12" i="5"/>
  <c r="DQ12" i="5" s="1"/>
  <c r="DP11" i="5"/>
  <c r="DQ11" i="5" s="1"/>
  <c r="DP10" i="5"/>
  <c r="DQ10" i="5" s="1"/>
  <c r="DP9" i="5"/>
  <c r="DQ9" i="5" s="1"/>
  <c r="DP8" i="5"/>
  <c r="DQ8" i="5" s="1"/>
  <c r="DP7" i="5"/>
  <c r="DQ7" i="5" s="1"/>
  <c r="DP47" i="4"/>
  <c r="DP45" i="4"/>
  <c r="DP44" i="4"/>
  <c r="DP43" i="4"/>
  <c r="DP42" i="4"/>
  <c r="DP41" i="4"/>
  <c r="DP40" i="4"/>
  <c r="DP38" i="4"/>
  <c r="DP37" i="4"/>
  <c r="DP36" i="4"/>
  <c r="DP35" i="4"/>
  <c r="DP34" i="4"/>
  <c r="DP32" i="4"/>
  <c r="DP31" i="4"/>
  <c r="DP30" i="4"/>
  <c r="DP29" i="4"/>
  <c r="DP28" i="4"/>
  <c r="DP27" i="4"/>
  <c r="DQ77" i="4" s="1"/>
  <c r="DP23" i="4"/>
  <c r="DP22" i="4"/>
  <c r="DP21" i="4"/>
  <c r="DP20" i="4"/>
  <c r="DP19" i="4"/>
  <c r="DP18" i="4"/>
  <c r="DP17" i="4"/>
  <c r="DP16" i="4"/>
  <c r="DP14" i="4"/>
  <c r="DP13" i="4"/>
  <c r="DQ78" i="4" s="1"/>
  <c r="DQ79" i="4" s="1"/>
  <c r="DP12" i="4"/>
  <c r="DP11" i="4"/>
  <c r="DP10" i="4"/>
  <c r="DP9" i="4"/>
  <c r="DP8" i="4"/>
  <c r="DP7" i="4"/>
  <c r="DP42" i="3"/>
  <c r="DP40" i="3"/>
  <c r="DP39" i="3"/>
  <c r="DP25" i="3"/>
  <c r="DP23" i="3"/>
  <c r="DP22" i="3"/>
  <c r="DP20" i="3"/>
  <c r="DP19" i="3"/>
  <c r="DP17" i="3"/>
  <c r="DP16" i="3"/>
  <c r="DP15" i="3"/>
  <c r="DP14" i="3"/>
  <c r="DP11" i="3"/>
  <c r="DP10" i="3"/>
  <c r="DP9" i="3"/>
  <c r="DP90" i="2"/>
  <c r="DP88" i="2"/>
  <c r="DP73" i="2"/>
  <c r="DP102" i="2" s="1"/>
  <c r="DP104" i="2" s="1"/>
  <c r="DP359" i="2"/>
  <c r="DP358" i="2"/>
  <c r="DP357" i="2"/>
  <c r="DP356" i="2"/>
  <c r="DP355" i="2"/>
  <c r="DP354" i="2"/>
  <c r="DP320" i="2"/>
  <c r="DP319" i="2"/>
  <c r="DP318" i="2"/>
  <c r="DP328" i="2" s="1"/>
  <c r="DP317" i="2"/>
  <c r="DP327" i="2" s="1"/>
  <c r="DP316" i="2"/>
  <c r="DP326" i="2" s="1"/>
  <c r="DP315" i="2"/>
  <c r="DP314" i="2"/>
  <c r="DP324" i="2" s="1"/>
  <c r="DP303" i="2"/>
  <c r="DP301" i="2"/>
  <c r="DP300" i="2"/>
  <c r="DP309" i="2" s="1"/>
  <c r="DP290" i="2"/>
  <c r="DP275" i="2"/>
  <c r="DP274" i="2"/>
  <c r="DP273" i="2"/>
  <c r="DP257" i="2"/>
  <c r="DP256" i="2"/>
  <c r="DP255" i="2"/>
  <c r="DP241" i="2"/>
  <c r="DP240" i="2"/>
  <c r="DP239" i="2"/>
  <c r="DP187" i="2"/>
  <c r="DP48" i="3" s="1"/>
  <c r="DP184" i="2"/>
  <c r="DP183" i="2"/>
  <c r="DP181" i="2"/>
  <c r="DU267" i="2" s="1"/>
  <c r="DP180" i="2"/>
  <c r="DP179" i="2"/>
  <c r="DP198" i="2" s="1"/>
  <c r="DP178" i="2"/>
  <c r="DP194" i="2" s="1"/>
  <c r="DP195" i="2" s="1"/>
  <c r="DP168" i="2"/>
  <c r="DP190" i="2" s="1"/>
  <c r="DP92" i="2"/>
  <c r="DP81" i="2"/>
  <c r="DP79" i="2"/>
  <c r="DU113" i="2" s="1"/>
  <c r="DP74" i="2"/>
  <c r="DP36" i="2"/>
  <c r="DP127" i="1"/>
  <c r="DP38" i="5" s="1"/>
  <c r="DQ38" i="5" s="1"/>
  <c r="DP120" i="1"/>
  <c r="DP31" i="5" s="1"/>
  <c r="DQ31" i="5" s="1"/>
  <c r="DP105" i="1"/>
  <c r="DP16" i="5" s="1"/>
  <c r="DQ16" i="5" s="1"/>
  <c r="DP188" i="1"/>
  <c r="DP185" i="2" s="1"/>
  <c r="DP226" i="1"/>
  <c r="DP321" i="2" s="1"/>
  <c r="DP212" i="1"/>
  <c r="DP210" i="1"/>
  <c r="DP206" i="1"/>
  <c r="DP208" i="1" s="1"/>
  <c r="DP183" i="1"/>
  <c r="DP165" i="1"/>
  <c r="DP137" i="1"/>
  <c r="DP86" i="1"/>
  <c r="DP88" i="1" s="1"/>
  <c r="DP73" i="1"/>
  <c r="DP79" i="1" s="1"/>
  <c r="DP55" i="1"/>
  <c r="DP64" i="1" s="1"/>
  <c r="DP36" i="1"/>
  <c r="DP32" i="1"/>
  <c r="DP13" i="1"/>
  <c r="DP12" i="3" s="1"/>
  <c r="DP9" i="1"/>
  <c r="AA26" i="30"/>
  <c r="BG49" i="30"/>
  <c r="BH49" i="30"/>
  <c r="BG50" i="30"/>
  <c r="BH50" i="30"/>
  <c r="BG51" i="30"/>
  <c r="BH51" i="30"/>
  <c r="DU102" i="2"/>
  <c r="DV102" i="2"/>
  <c r="DW102" i="2"/>
  <c r="DX102" i="2"/>
  <c r="EA81" i="12"/>
  <c r="EB81" i="12"/>
  <c r="EB70" i="12"/>
  <c r="EA70" i="12"/>
  <c r="EB55" i="12"/>
  <c r="EA55" i="12"/>
  <c r="EB35" i="12"/>
  <c r="EA35" i="12"/>
  <c r="EB54" i="3"/>
  <c r="EA54" i="3"/>
  <c r="EB48" i="3"/>
  <c r="EA48" i="3"/>
  <c r="EB11" i="3"/>
  <c r="EA11" i="3"/>
  <c r="EB10" i="3"/>
  <c r="EA10" i="3"/>
  <c r="EB9" i="3"/>
  <c r="EA9" i="3"/>
  <c r="EB7" i="3"/>
  <c r="EA7" i="3"/>
  <c r="EB6" i="3"/>
  <c r="EA6" i="3"/>
  <c r="EB55" i="5"/>
  <c r="EA55" i="5"/>
  <c r="EB54" i="5"/>
  <c r="EA54" i="5"/>
  <c r="EB39" i="5"/>
  <c r="EA39" i="5"/>
  <c r="DX55" i="5"/>
  <c r="DW55" i="5"/>
  <c r="DV55" i="5"/>
  <c r="DU55" i="5"/>
  <c r="DX54" i="5"/>
  <c r="DW54" i="5"/>
  <c r="DV54" i="5"/>
  <c r="DU54" i="5"/>
  <c r="DY49" i="5"/>
  <c r="DY47" i="5"/>
  <c r="DY45" i="5"/>
  <c r="DY44" i="5"/>
  <c r="DY43" i="5"/>
  <c r="DY42" i="5"/>
  <c r="DY41" i="5"/>
  <c r="DY40" i="5"/>
  <c r="DX39" i="5"/>
  <c r="DW39" i="5"/>
  <c r="DV39" i="5"/>
  <c r="DU39" i="5"/>
  <c r="DY38" i="5"/>
  <c r="DY37" i="5"/>
  <c r="DY36" i="5"/>
  <c r="DY35" i="5"/>
  <c r="DY34" i="5"/>
  <c r="DY33" i="5"/>
  <c r="DY55" i="5" s="1"/>
  <c r="DY32" i="5"/>
  <c r="DY29" i="5"/>
  <c r="DY28" i="5"/>
  <c r="DY27" i="5"/>
  <c r="DY25" i="5"/>
  <c r="DY24" i="5"/>
  <c r="DY23" i="5"/>
  <c r="DY17" i="5"/>
  <c r="DY15" i="5"/>
  <c r="DY14" i="5"/>
  <c r="DY13" i="5"/>
  <c r="DY12" i="5"/>
  <c r="DY11" i="5"/>
  <c r="DY10" i="5"/>
  <c r="DY9" i="5"/>
  <c r="DY8" i="5"/>
  <c r="EB79" i="4"/>
  <c r="EB80" i="4" s="1"/>
  <c r="EA79" i="4"/>
  <c r="EA80" i="4" s="1"/>
  <c r="DX79" i="4"/>
  <c r="DX80" i="4" s="1"/>
  <c r="DW79" i="4"/>
  <c r="DW80" i="4" s="1"/>
  <c r="DV79" i="4"/>
  <c r="DV80" i="4" s="1"/>
  <c r="DU79" i="4"/>
  <c r="DU80" i="4" s="1"/>
  <c r="DX54" i="3"/>
  <c r="DW54" i="3"/>
  <c r="DV54" i="3"/>
  <c r="DU54" i="3"/>
  <c r="DX48" i="3"/>
  <c r="DW48" i="3"/>
  <c r="DV48" i="3"/>
  <c r="DU48" i="3"/>
  <c r="DY45" i="3"/>
  <c r="DY25" i="3"/>
  <c r="DY23" i="3"/>
  <c r="DY19" i="3"/>
  <c r="DY17" i="3"/>
  <c r="DY14" i="3"/>
  <c r="DY11" i="3"/>
  <c r="DX11" i="3"/>
  <c r="DW11" i="3"/>
  <c r="DV11" i="3"/>
  <c r="DU11" i="3"/>
  <c r="DY10" i="3"/>
  <c r="DX10" i="3"/>
  <c r="DW10" i="3"/>
  <c r="DV10" i="3"/>
  <c r="DU10" i="3"/>
  <c r="DY9" i="3"/>
  <c r="DX9" i="3"/>
  <c r="DW9" i="3"/>
  <c r="DV9" i="3"/>
  <c r="DU9" i="3"/>
  <c r="DY7" i="3"/>
  <c r="DY6" i="3"/>
  <c r="EB393" i="2"/>
  <c r="EA393" i="2"/>
  <c r="EB391" i="2"/>
  <c r="EA391" i="2"/>
  <c r="EB381" i="2"/>
  <c r="EA381" i="2"/>
  <c r="EB359" i="2"/>
  <c r="EB375" i="2" s="1"/>
  <c r="EA359" i="2"/>
  <c r="EA375" i="2" s="1"/>
  <c r="EB358" i="2"/>
  <c r="EB374" i="2" s="1"/>
  <c r="EA358" i="2"/>
  <c r="EA374" i="2" s="1"/>
  <c r="EB357" i="2"/>
  <c r="EB373" i="2" s="1"/>
  <c r="EA357" i="2"/>
  <c r="EA373" i="2" s="1"/>
  <c r="EB356" i="2"/>
  <c r="EB372" i="2" s="1"/>
  <c r="EA356" i="2"/>
  <c r="EA372" i="2" s="1"/>
  <c r="EB355" i="2"/>
  <c r="EB371" i="2" s="1"/>
  <c r="EA355" i="2"/>
  <c r="EA371" i="2" s="1"/>
  <c r="EB354" i="2"/>
  <c r="EB370" i="2" s="1"/>
  <c r="EA354" i="2"/>
  <c r="EA370" i="2" s="1"/>
  <c r="EB321" i="2"/>
  <c r="EA321" i="2"/>
  <c r="EB320" i="2"/>
  <c r="EA320" i="2"/>
  <c r="EB319" i="2"/>
  <c r="EA319" i="2"/>
  <c r="EB318" i="2"/>
  <c r="EB328" i="2" s="1"/>
  <c r="EA318" i="2"/>
  <c r="EA328" i="2" s="1"/>
  <c r="EB317" i="2"/>
  <c r="EB327" i="2" s="1"/>
  <c r="EA317" i="2"/>
  <c r="EA327" i="2" s="1"/>
  <c r="EB316" i="2"/>
  <c r="EB326" i="2" s="1"/>
  <c r="EA316" i="2"/>
  <c r="EA326" i="2" s="1"/>
  <c r="EB315" i="2"/>
  <c r="EA315" i="2"/>
  <c r="EB314" i="2"/>
  <c r="EB324" i="2" s="1"/>
  <c r="EA314" i="2"/>
  <c r="EA324" i="2" s="1"/>
  <c r="EB303" i="2"/>
  <c r="EA303" i="2"/>
  <c r="EB301" i="2"/>
  <c r="EA301" i="2"/>
  <c r="EB300" i="2"/>
  <c r="EB344" i="2" s="1"/>
  <c r="EA300" i="2"/>
  <c r="EA344" i="2" s="1"/>
  <c r="EB290" i="2"/>
  <c r="EB302" i="2" s="1"/>
  <c r="EB346" i="2" s="1"/>
  <c r="EA290" i="2"/>
  <c r="EB267" i="2"/>
  <c r="EA267" i="2"/>
  <c r="EB257" i="2"/>
  <c r="EA257" i="2"/>
  <c r="EB256" i="2"/>
  <c r="EA256" i="2"/>
  <c r="EB255" i="2"/>
  <c r="EA255" i="2"/>
  <c r="EB241" i="2"/>
  <c r="EA241" i="2"/>
  <c r="EB240" i="2"/>
  <c r="EA240" i="2"/>
  <c r="EB239" i="2"/>
  <c r="EA239" i="2"/>
  <c r="EB186" i="2"/>
  <c r="EA186" i="2"/>
  <c r="EB180" i="2"/>
  <c r="EA180" i="2"/>
  <c r="EB129" i="2"/>
  <c r="EA129" i="2"/>
  <c r="EB103" i="2"/>
  <c r="EA103" i="2"/>
  <c r="EB101" i="2"/>
  <c r="EA101" i="2"/>
  <c r="EB97" i="2"/>
  <c r="EA97" i="2"/>
  <c r="EB93" i="2"/>
  <c r="EA93" i="2"/>
  <c r="EB92" i="2"/>
  <c r="EA92" i="2"/>
  <c r="EB90" i="2"/>
  <c r="EA90" i="2"/>
  <c r="EB89" i="2"/>
  <c r="EA89" i="2"/>
  <c r="EB88" i="2"/>
  <c r="EA88" i="2"/>
  <c r="DY393" i="2"/>
  <c r="DY391" i="2"/>
  <c r="DY381" i="2"/>
  <c r="DY359" i="2"/>
  <c r="DY375" i="2" s="1"/>
  <c r="DX359" i="2"/>
  <c r="DW359" i="2"/>
  <c r="DV359" i="2"/>
  <c r="DU359" i="2"/>
  <c r="DY358" i="2"/>
  <c r="DY374" i="2" s="1"/>
  <c r="DX358" i="2"/>
  <c r="DW358" i="2"/>
  <c r="DV358" i="2"/>
  <c r="DU358" i="2"/>
  <c r="DY357" i="2"/>
  <c r="DY373" i="2" s="1"/>
  <c r="DX357" i="2"/>
  <c r="DW357" i="2"/>
  <c r="DV357" i="2"/>
  <c r="DU357" i="2"/>
  <c r="DY356" i="2"/>
  <c r="DY372" i="2" s="1"/>
  <c r="DX356" i="2"/>
  <c r="DW356" i="2"/>
  <c r="DV356" i="2"/>
  <c r="DU356" i="2"/>
  <c r="DY355" i="2"/>
  <c r="DY371" i="2" s="1"/>
  <c r="DX355" i="2"/>
  <c r="DW355" i="2"/>
  <c r="DV355" i="2"/>
  <c r="DU355" i="2"/>
  <c r="DY354" i="2"/>
  <c r="DY370" i="2" s="1"/>
  <c r="DX354" i="2"/>
  <c r="DW354" i="2"/>
  <c r="DV354" i="2"/>
  <c r="DU354" i="2"/>
  <c r="DY321" i="2"/>
  <c r="DX321" i="2"/>
  <c r="DW321" i="2"/>
  <c r="DV321" i="2"/>
  <c r="DU321" i="2"/>
  <c r="DY320" i="2"/>
  <c r="DX320" i="2"/>
  <c r="DW320" i="2"/>
  <c r="DV320" i="2"/>
  <c r="DU320" i="2"/>
  <c r="DY319" i="2"/>
  <c r="DX319" i="2"/>
  <c r="DW319" i="2"/>
  <c r="DV319" i="2"/>
  <c r="DU319" i="2"/>
  <c r="DY318" i="2"/>
  <c r="DX318" i="2"/>
  <c r="DW318" i="2"/>
  <c r="DW328" i="2" s="1"/>
  <c r="DV318" i="2"/>
  <c r="DV328" i="2" s="1"/>
  <c r="DU318" i="2"/>
  <c r="DU328" i="2" s="1"/>
  <c r="DY317" i="2"/>
  <c r="DY327" i="2" s="1"/>
  <c r="DX317" i="2"/>
  <c r="DX327" i="2" s="1"/>
  <c r="DW317" i="2"/>
  <c r="DW327" i="2" s="1"/>
  <c r="DV317" i="2"/>
  <c r="DV327" i="2" s="1"/>
  <c r="DU317" i="2"/>
  <c r="DU327" i="2" s="1"/>
  <c r="DY316" i="2"/>
  <c r="DX316" i="2"/>
  <c r="DW316" i="2"/>
  <c r="DW326" i="2" s="1"/>
  <c r="DV316" i="2"/>
  <c r="DV326" i="2" s="1"/>
  <c r="DU316" i="2"/>
  <c r="DU326" i="2" s="1"/>
  <c r="DY315" i="2"/>
  <c r="DX315" i="2"/>
  <c r="DW315" i="2"/>
  <c r="DV315" i="2"/>
  <c r="DU315" i="2"/>
  <c r="DY314" i="2"/>
  <c r="DY324" i="2" s="1"/>
  <c r="DX314" i="2"/>
  <c r="DX324" i="2" s="1"/>
  <c r="DW314" i="2"/>
  <c r="DW324" i="2" s="1"/>
  <c r="DV314" i="2"/>
  <c r="DV324" i="2" s="1"/>
  <c r="DU314" i="2"/>
  <c r="DU324" i="2" s="1"/>
  <c r="DY303" i="2"/>
  <c r="DX303" i="2"/>
  <c r="DW303" i="2"/>
  <c r="DV303" i="2"/>
  <c r="DU303" i="2"/>
  <c r="DY301" i="2"/>
  <c r="DX301" i="2"/>
  <c r="DX345" i="2" s="1"/>
  <c r="DW301" i="2"/>
  <c r="DW345" i="2" s="1"/>
  <c r="DV301" i="2"/>
  <c r="DV345" i="2" s="1"/>
  <c r="DU301" i="2"/>
  <c r="DU345" i="2" s="1"/>
  <c r="DY300" i="2"/>
  <c r="DY344" i="2" s="1"/>
  <c r="DX300" i="2"/>
  <c r="DX344" i="2" s="1"/>
  <c r="DW300" i="2"/>
  <c r="DW344" i="2" s="1"/>
  <c r="DV300" i="2"/>
  <c r="DV344" i="2" s="1"/>
  <c r="DU300" i="2"/>
  <c r="DU344" i="2" s="1"/>
  <c r="DY290" i="2"/>
  <c r="DX290" i="2"/>
  <c r="DW290" i="2"/>
  <c r="DW334" i="2" s="1"/>
  <c r="DV290" i="2"/>
  <c r="DU290" i="2"/>
  <c r="DU334" i="2" s="1"/>
  <c r="DX285" i="2"/>
  <c r="DW285" i="2"/>
  <c r="DV285" i="2"/>
  <c r="DU285" i="2"/>
  <c r="DX275" i="2"/>
  <c r="DW275" i="2"/>
  <c r="DV275" i="2"/>
  <c r="DU275" i="2"/>
  <c r="DX274" i="2"/>
  <c r="DW274" i="2"/>
  <c r="DV274" i="2"/>
  <c r="DU274" i="2"/>
  <c r="DX273" i="2"/>
  <c r="DW273" i="2"/>
  <c r="DV273" i="2"/>
  <c r="DU273" i="2"/>
  <c r="DX267" i="2"/>
  <c r="DW267" i="2"/>
  <c r="DV267" i="2"/>
  <c r="DY257" i="2"/>
  <c r="DX257" i="2"/>
  <c r="DW257" i="2"/>
  <c r="DV257" i="2"/>
  <c r="DU257" i="2"/>
  <c r="DY256" i="2"/>
  <c r="DX256" i="2"/>
  <c r="DW256" i="2"/>
  <c r="DV256" i="2"/>
  <c r="DU256" i="2"/>
  <c r="DY255" i="2"/>
  <c r="DX255" i="2"/>
  <c r="DW255" i="2"/>
  <c r="DV255" i="2"/>
  <c r="DU255" i="2"/>
  <c r="DY241" i="2"/>
  <c r="DX241" i="2"/>
  <c r="DW241" i="2"/>
  <c r="DV241" i="2"/>
  <c r="DU241" i="2"/>
  <c r="DY240" i="2"/>
  <c r="DX240" i="2"/>
  <c r="DW240" i="2"/>
  <c r="DV240" i="2"/>
  <c r="DU240" i="2"/>
  <c r="DY239" i="2"/>
  <c r="DX239" i="2"/>
  <c r="DW239" i="2"/>
  <c r="DV239" i="2"/>
  <c r="DU239" i="2"/>
  <c r="DY187" i="2"/>
  <c r="DX186" i="2"/>
  <c r="DW186" i="2"/>
  <c r="DV186" i="2"/>
  <c r="DU186" i="2"/>
  <c r="DY185" i="2"/>
  <c r="DY184" i="2"/>
  <c r="DY183" i="2"/>
  <c r="DY181" i="2"/>
  <c r="DX180" i="2"/>
  <c r="DW180" i="2"/>
  <c r="DV180" i="2"/>
  <c r="DU180" i="2"/>
  <c r="DX129" i="2"/>
  <c r="DW129" i="2"/>
  <c r="DV129" i="2"/>
  <c r="DX113" i="2"/>
  <c r="DW113" i="2"/>
  <c r="DV113" i="2"/>
  <c r="DY103" i="2"/>
  <c r="DY101" i="2"/>
  <c r="DY97" i="2"/>
  <c r="DY93" i="2"/>
  <c r="DX92" i="2"/>
  <c r="DW92" i="2"/>
  <c r="DV92" i="2"/>
  <c r="DU92" i="2"/>
  <c r="DX90" i="2"/>
  <c r="DW90" i="2"/>
  <c r="DV90" i="2"/>
  <c r="DU90" i="2"/>
  <c r="DY89" i="2"/>
  <c r="DX88" i="2"/>
  <c r="DW88" i="2"/>
  <c r="DV88" i="2"/>
  <c r="DU88" i="2"/>
  <c r="DY81" i="2"/>
  <c r="DY80" i="2"/>
  <c r="DY79" i="2"/>
  <c r="DY71" i="2"/>
  <c r="DY48" i="2"/>
  <c r="DY112" i="12"/>
  <c r="DY61" i="17" s="1"/>
  <c r="DY111" i="12"/>
  <c r="DY60" i="17" s="1"/>
  <c r="DX78" i="12"/>
  <c r="DX30" i="17" s="1"/>
  <c r="DW78" i="12"/>
  <c r="DW79" i="12" s="1"/>
  <c r="DV78" i="12"/>
  <c r="DV79" i="12" s="1"/>
  <c r="DU78" i="12"/>
  <c r="DU79" i="12" s="1"/>
  <c r="DY76" i="12"/>
  <c r="DY77" i="12" s="1"/>
  <c r="DY74" i="12"/>
  <c r="DY75" i="12" s="1"/>
  <c r="DY72" i="12"/>
  <c r="DX67" i="12"/>
  <c r="DX42" i="17" s="1"/>
  <c r="DW67" i="12"/>
  <c r="DW42" i="17" s="1"/>
  <c r="DV67" i="12"/>
  <c r="DU67" i="12"/>
  <c r="DU42" i="17" s="1"/>
  <c r="DY65" i="12"/>
  <c r="DY63" i="12"/>
  <c r="DY61" i="12"/>
  <c r="DY59" i="12"/>
  <c r="DY60" i="12" s="1"/>
  <c r="DX55" i="12"/>
  <c r="DW55" i="12"/>
  <c r="DV55" i="12"/>
  <c r="DU55" i="12"/>
  <c r="DX53" i="12"/>
  <c r="DW53" i="12"/>
  <c r="DV53" i="12"/>
  <c r="DU53" i="12"/>
  <c r="DY52" i="12"/>
  <c r="DY36" i="17" s="1"/>
  <c r="DY45" i="12"/>
  <c r="DY42" i="12"/>
  <c r="DY43" i="12" s="1"/>
  <c r="DX35" i="12"/>
  <c r="DW35" i="12"/>
  <c r="DV35" i="12"/>
  <c r="DU35" i="12"/>
  <c r="DX32" i="12"/>
  <c r="DX6" i="17" s="1"/>
  <c r="DW32" i="12"/>
  <c r="DW33" i="12" s="1"/>
  <c r="DV32" i="12"/>
  <c r="DU32" i="12"/>
  <c r="DY30" i="12"/>
  <c r="DY31" i="12" s="1"/>
  <c r="DY28" i="12"/>
  <c r="DY29" i="12" s="1"/>
  <c r="DY27" i="12"/>
  <c r="DY26" i="12"/>
  <c r="DY24" i="12"/>
  <c r="DY25" i="12" s="1"/>
  <c r="DY22" i="12"/>
  <c r="DY23" i="12" s="1"/>
  <c r="DY20" i="12"/>
  <c r="DY21" i="12" s="1"/>
  <c r="DY16" i="12"/>
  <c r="DY17" i="12" s="1"/>
  <c r="EB61" i="17"/>
  <c r="EA61" i="17"/>
  <c r="EB60" i="17"/>
  <c r="EA60" i="17"/>
  <c r="EB37" i="17"/>
  <c r="EA37" i="17"/>
  <c r="EB36" i="17"/>
  <c r="EA36" i="17"/>
  <c r="EB19" i="17"/>
  <c r="EA19" i="17"/>
  <c r="EB18" i="17"/>
  <c r="EA18" i="17"/>
  <c r="DY87" i="17"/>
  <c r="DX61" i="17"/>
  <c r="DW61" i="17"/>
  <c r="DV61" i="17"/>
  <c r="DU61" i="17"/>
  <c r="DX60" i="17"/>
  <c r="DW60" i="17"/>
  <c r="DV60" i="17"/>
  <c r="DU60" i="17"/>
  <c r="DX37" i="17"/>
  <c r="DW37" i="17"/>
  <c r="DV37" i="17"/>
  <c r="DU37" i="17"/>
  <c r="DX36" i="17"/>
  <c r="DW36" i="17"/>
  <c r="DV36" i="17"/>
  <c r="DU36" i="17"/>
  <c r="DX19" i="17"/>
  <c r="DW19" i="17"/>
  <c r="DV19" i="17"/>
  <c r="DU19" i="17"/>
  <c r="DX18" i="17"/>
  <c r="DW18" i="17"/>
  <c r="DV18" i="17"/>
  <c r="DU18" i="17"/>
  <c r="DO307" i="1"/>
  <c r="DO225" i="1"/>
  <c r="DO224" i="1"/>
  <c r="DO223" i="1"/>
  <c r="DO222" i="1"/>
  <c r="DO220" i="1"/>
  <c r="DO219" i="1"/>
  <c r="DN226" i="1"/>
  <c r="DQ76" i="4" l="1"/>
  <c r="DP107" i="1"/>
  <c r="DP128" i="1"/>
  <c r="DQ31" i="1"/>
  <c r="DQ33" i="1" s="1"/>
  <c r="DU329" i="2"/>
  <c r="DP231" i="2"/>
  <c r="DQ80" i="4"/>
  <c r="DQ35" i="1"/>
  <c r="DQ37" i="1" s="1"/>
  <c r="DP189" i="1"/>
  <c r="DP55" i="5"/>
  <c r="DQ33" i="5"/>
  <c r="DU129" i="2"/>
  <c r="DP191" i="2"/>
  <c r="DQ58" i="3"/>
  <c r="DQ60" i="3"/>
  <c r="DQ59" i="3"/>
  <c r="DQ13" i="3"/>
  <c r="DQ18" i="3" s="1"/>
  <c r="DQ48" i="5"/>
  <c r="DP54" i="3"/>
  <c r="DQ18" i="5"/>
  <c r="DQ32" i="5" s="1"/>
  <c r="DY394" i="2"/>
  <c r="DP60" i="4"/>
  <c r="DP61" i="4" s="1"/>
  <c r="DQ54" i="3"/>
  <c r="EB334" i="2"/>
  <c r="DW56" i="5"/>
  <c r="DV302" i="2"/>
  <c r="DV346" i="2" s="1"/>
  <c r="EA302" i="2"/>
  <c r="EA346" i="2" s="1"/>
  <c r="EB394" i="2"/>
  <c r="DP199" i="2"/>
  <c r="DP33" i="3"/>
  <c r="DP48" i="5"/>
  <c r="DP63" i="4"/>
  <c r="DX302" i="2"/>
  <c r="DX346" i="2" s="1"/>
  <c r="DP46" i="4"/>
  <c r="DP48" i="4" s="1"/>
  <c r="DP62" i="4" s="1"/>
  <c r="DY302" i="2"/>
  <c r="DY346" i="2" s="1"/>
  <c r="DY334" i="2"/>
  <c r="EA334" i="2"/>
  <c r="DP121" i="1"/>
  <c r="DP232" i="2"/>
  <c r="DP33" i="4"/>
  <c r="DP39" i="4" s="1"/>
  <c r="DP49" i="4" s="1"/>
  <c r="DP56" i="4"/>
  <c r="DU38" i="17"/>
  <c r="EA394" i="2"/>
  <c r="DY54" i="3"/>
  <c r="DY186" i="2"/>
  <c r="EB250" i="2"/>
  <c r="DV286" i="2"/>
  <c r="EA20" i="17"/>
  <c r="EA22" i="17" s="1"/>
  <c r="EB20" i="17"/>
  <c r="EB22" i="17" s="1"/>
  <c r="DP18" i="5"/>
  <c r="DP32" i="5" s="1"/>
  <c r="DP54" i="5" s="1"/>
  <c r="DP186" i="2"/>
  <c r="DU268" i="2" s="1"/>
  <c r="DO226" i="1"/>
  <c r="EA38" i="17"/>
  <c r="EA40" i="17" s="1"/>
  <c r="DW302" i="2"/>
  <c r="DW304" i="2" s="1"/>
  <c r="DX20" i="17"/>
  <c r="DX334" i="2"/>
  <c r="DP18" i="1"/>
  <c r="DP24" i="1" s="1"/>
  <c r="DP27" i="1" s="1"/>
  <c r="DP31" i="1" s="1"/>
  <c r="DP33" i="1" s="1"/>
  <c r="DP221" i="2"/>
  <c r="DP302" i="2"/>
  <c r="DP8" i="3"/>
  <c r="DP60" i="3" s="1"/>
  <c r="DP39" i="5"/>
  <c r="DP82" i="2"/>
  <c r="DP233" i="2"/>
  <c r="DP29" i="3"/>
  <c r="DP15" i="4"/>
  <c r="EB38" i="17"/>
  <c r="EB40" i="17" s="1"/>
  <c r="DV334" i="2"/>
  <c r="DX56" i="5"/>
  <c r="DW20" i="17"/>
  <c r="DY44" i="12"/>
  <c r="DY19" i="17" s="1"/>
  <c r="DX284" i="2"/>
  <c r="DW286" i="2"/>
  <c r="EA56" i="5"/>
  <c r="EB113" i="2"/>
  <c r="DP91" i="2"/>
  <c r="DP213" i="1"/>
  <c r="DP190" i="1"/>
  <c r="DP89" i="1"/>
  <c r="DV30" i="17"/>
  <c r="DY326" i="2"/>
  <c r="DX326" i="2"/>
  <c r="DU330" i="2"/>
  <c r="DU20" i="17"/>
  <c r="EB56" i="5"/>
  <c r="BH53" i="30"/>
  <c r="AC7" i="30" s="1"/>
  <c r="BG53" i="30"/>
  <c r="AB7" i="30" s="1"/>
  <c r="DV56" i="5"/>
  <c r="DU56" i="5"/>
  <c r="DY39" i="5"/>
  <c r="DY48" i="3"/>
  <c r="DW91" i="2"/>
  <c r="DW94" i="2" s="1"/>
  <c r="DX91" i="2"/>
  <c r="DX94" i="2" s="1"/>
  <c r="DU91" i="2"/>
  <c r="DU94" i="2" s="1"/>
  <c r="EA91" i="2"/>
  <c r="EA94" i="2" s="1"/>
  <c r="EB91" i="2"/>
  <c r="EB94" i="2" s="1"/>
  <c r="DY92" i="2"/>
  <c r="EA113" i="2"/>
  <c r="EA104" i="2"/>
  <c r="EB104" i="2"/>
  <c r="EB114" i="12"/>
  <c r="EA114" i="12"/>
  <c r="DW330" i="2"/>
  <c r="DV330" i="2"/>
  <c r="DU30" i="17"/>
  <c r="DV42" i="17"/>
  <c r="DW38" i="17"/>
  <c r="DY328" i="2"/>
  <c r="DX328" i="2"/>
  <c r="DY53" i="12"/>
  <c r="DX34" i="12"/>
  <c r="DX7" i="17" s="1"/>
  <c r="DX8" i="17" s="1"/>
  <c r="DY35" i="12"/>
  <c r="DV329" i="2"/>
  <c r="DW329" i="2"/>
  <c r="DU325" i="2"/>
  <c r="DU6" i="17"/>
  <c r="DV325" i="2"/>
  <c r="DW325" i="2"/>
  <c r="DU33" i="12"/>
  <c r="DY54" i="5"/>
  <c r="DY56" i="5" s="1"/>
  <c r="EB268" i="2"/>
  <c r="EB266" i="2"/>
  <c r="EB304" i="2"/>
  <c r="DV91" i="2"/>
  <c r="DY180" i="2"/>
  <c r="DU250" i="2"/>
  <c r="DV284" i="2"/>
  <c r="DY73" i="2"/>
  <c r="DW284" i="2"/>
  <c r="DU266" i="2"/>
  <c r="DY90" i="2"/>
  <c r="DX286" i="2"/>
  <c r="DU302" i="2"/>
  <c r="DY88" i="2"/>
  <c r="DV6" i="17"/>
  <c r="DV20" i="17"/>
  <c r="DX38" i="17"/>
  <c r="DY55" i="12"/>
  <c r="DY54" i="12" s="1"/>
  <c r="DY37" i="17" s="1"/>
  <c r="DY38" i="17" s="1"/>
  <c r="DY40" i="17" s="1"/>
  <c r="DY78" i="12"/>
  <c r="DY30" i="17" s="1"/>
  <c r="DW30" i="17"/>
  <c r="DW34" i="12"/>
  <c r="DW7" i="17" s="1"/>
  <c r="DY67" i="12"/>
  <c r="DX79" i="12"/>
  <c r="DV34" i="12"/>
  <c r="DV7" i="17" s="1"/>
  <c r="DV33" i="12"/>
  <c r="DV38" i="17"/>
  <c r="DX33" i="12"/>
  <c r="DX108" i="12"/>
  <c r="DY32" i="12"/>
  <c r="DX325" i="2" s="1"/>
  <c r="DU34" i="12"/>
  <c r="DU7" i="17" s="1"/>
  <c r="DY18" i="17"/>
  <c r="DW108" i="12"/>
  <c r="DW6" i="17"/>
  <c r="DU108" i="12"/>
  <c r="DV108" i="12"/>
  <c r="EB432" i="1"/>
  <c r="EA432" i="1"/>
  <c r="EB415" i="1"/>
  <c r="EA415" i="1"/>
  <c r="DP75" i="4" l="1"/>
  <c r="DP56" i="5"/>
  <c r="DP59" i="5" s="1"/>
  <c r="DP139" i="1"/>
  <c r="DP50" i="5"/>
  <c r="DP65" i="4"/>
  <c r="DP69" i="4"/>
  <c r="DP70" i="4" s="1"/>
  <c r="DV304" i="2"/>
  <c r="DV347" i="2" s="1"/>
  <c r="DY304" i="2"/>
  <c r="DY347" i="2" s="1"/>
  <c r="EA304" i="2"/>
  <c r="DX304" i="2"/>
  <c r="DX347" i="2" s="1"/>
  <c r="DQ54" i="5"/>
  <c r="DW346" i="2"/>
  <c r="DP64" i="4"/>
  <c r="DP66" i="4" s="1"/>
  <c r="DQ85" i="4"/>
  <c r="DQ53" i="3"/>
  <c r="DQ62" i="3" s="1"/>
  <c r="DQ21" i="3"/>
  <c r="DP84" i="4"/>
  <c r="DQ39" i="5"/>
  <c r="DQ50" i="5" s="1"/>
  <c r="DQ55" i="5"/>
  <c r="DP191" i="1"/>
  <c r="DP35" i="1"/>
  <c r="DP37" i="1" s="1"/>
  <c r="DP29" i="1"/>
  <c r="DP24" i="4"/>
  <c r="DP188" i="2"/>
  <c r="DP216" i="2" s="1"/>
  <c r="DY20" i="17"/>
  <c r="DY22" i="17" s="1"/>
  <c r="DP144" i="2"/>
  <c r="DP134" i="2"/>
  <c r="DP145" i="2"/>
  <c r="DP136" i="2"/>
  <c r="DP135" i="2"/>
  <c r="DP304" i="2"/>
  <c r="DP133" i="2"/>
  <c r="DP94" i="2"/>
  <c r="EB36" i="2"/>
  <c r="EB308" i="2" s="1"/>
  <c r="DP143" i="2"/>
  <c r="DP13" i="3"/>
  <c r="DP18" i="3" s="1"/>
  <c r="DP58" i="3"/>
  <c r="DP146" i="2"/>
  <c r="DP59" i="3"/>
  <c r="EB115" i="12"/>
  <c r="EA36" i="2"/>
  <c r="DY79" i="12"/>
  <c r="DY330" i="2"/>
  <c r="DX330" i="2"/>
  <c r="DU8" i="17"/>
  <c r="DY68" i="12"/>
  <c r="DY329" i="2"/>
  <c r="DX329" i="2"/>
  <c r="DV8" i="17"/>
  <c r="DY325" i="2"/>
  <c r="DU331" i="2"/>
  <c r="DW331" i="2"/>
  <c r="DV331" i="2"/>
  <c r="EB347" i="2"/>
  <c r="EA347" i="2"/>
  <c r="DV94" i="2"/>
  <c r="DY91" i="2"/>
  <c r="DY94" i="2" s="1"/>
  <c r="DY102" i="2"/>
  <c r="DY104" i="2" s="1"/>
  <c r="DU346" i="2"/>
  <c r="DU304" i="2"/>
  <c r="DW347" i="2"/>
  <c r="DY42" i="17"/>
  <c r="DW8" i="17"/>
  <c r="DY6" i="17"/>
  <c r="DY108" i="12"/>
  <c r="DY33" i="12"/>
  <c r="DY34" i="12"/>
  <c r="DY7" i="17" s="1"/>
  <c r="DQ56" i="5" l="1"/>
  <c r="DQ24" i="3"/>
  <c r="DQ63" i="3"/>
  <c r="DQ46" i="3" s="1"/>
  <c r="DQ55" i="3"/>
  <c r="DQ61" i="3" s="1"/>
  <c r="DP214" i="2"/>
  <c r="DP213" i="2"/>
  <c r="DP215" i="2"/>
  <c r="DP217" i="2"/>
  <c r="DP212" i="2"/>
  <c r="DP234" i="2"/>
  <c r="EB168" i="2"/>
  <c r="EB350" i="2"/>
  <c r="EB366" i="2" s="1"/>
  <c r="DP202" i="2"/>
  <c r="DP85" i="4"/>
  <c r="DP21" i="3"/>
  <c r="DP53" i="3"/>
  <c r="DP147" i="2"/>
  <c r="DP311" i="2"/>
  <c r="EA350" i="2"/>
  <c r="EA366" i="2" s="1"/>
  <c r="EA308" i="2"/>
  <c r="EB107" i="2"/>
  <c r="EA168" i="2"/>
  <c r="EB117" i="2"/>
  <c r="DX331" i="2"/>
  <c r="DY8" i="17"/>
  <c r="DY10" i="17" s="1"/>
  <c r="DY331" i="2"/>
  <c r="DU347" i="2"/>
  <c r="DQ89" i="4" l="1"/>
  <c r="DQ26" i="3"/>
  <c r="DQ64" i="3"/>
  <c r="DQ32" i="3"/>
  <c r="DQ28" i="3"/>
  <c r="DQ59" i="5"/>
  <c r="DQ57" i="5"/>
  <c r="EB190" i="2"/>
  <c r="EB191" i="2" s="1"/>
  <c r="DP218" i="2"/>
  <c r="DP55" i="3"/>
  <c r="DP62" i="3"/>
  <c r="DP63" i="3"/>
  <c r="DP46" i="3" s="1"/>
  <c r="DP24" i="3"/>
  <c r="EB254" i="2"/>
  <c r="EA190" i="2"/>
  <c r="EA191" i="2" s="1"/>
  <c r="DQ43" i="3" l="1"/>
  <c r="DQ30" i="3"/>
  <c r="DQ36" i="3"/>
  <c r="DQ34" i="3"/>
  <c r="DP57" i="5"/>
  <c r="DP26" i="3"/>
  <c r="DP28" i="3"/>
  <c r="DP64" i="3"/>
  <c r="DP32" i="3"/>
  <c r="DP61" i="3"/>
  <c r="Z26" i="30"/>
  <c r="DP36" i="3" l="1"/>
  <c r="DP34" i="3"/>
  <c r="DP30" i="3"/>
  <c r="DP43" i="3"/>
  <c r="Y26" i="30"/>
  <c r="X20" i="30"/>
  <c r="DI39" i="3" l="1"/>
  <c r="DN47" i="4"/>
  <c r="DN45" i="4"/>
  <c r="DN44" i="4"/>
  <c r="DN43" i="4"/>
  <c r="DN42" i="4"/>
  <c r="DN41" i="4"/>
  <c r="DN40" i="4"/>
  <c r="DN38" i="4"/>
  <c r="DN37" i="4"/>
  <c r="DN36" i="4"/>
  <c r="DN35" i="4"/>
  <c r="DN34" i="4"/>
  <c r="DN32" i="4"/>
  <c r="DN31" i="4"/>
  <c r="DN30" i="4"/>
  <c r="DN29" i="4"/>
  <c r="DN28" i="4"/>
  <c r="DN27" i="4"/>
  <c r="DN23" i="4"/>
  <c r="DN22" i="4"/>
  <c r="DN21" i="4"/>
  <c r="DN20" i="4"/>
  <c r="DN19" i="4"/>
  <c r="DN18" i="4"/>
  <c r="DN17" i="4"/>
  <c r="DN16" i="4"/>
  <c r="DN14" i="4"/>
  <c r="DN13" i="4"/>
  <c r="DN12" i="4"/>
  <c r="DN11" i="4"/>
  <c r="DN10" i="4"/>
  <c r="DN9" i="4"/>
  <c r="DN8" i="4"/>
  <c r="DN7" i="4"/>
  <c r="DO49" i="3"/>
  <c r="DN40" i="3"/>
  <c r="DM40" i="3"/>
  <c r="DL40" i="3"/>
  <c r="DK40" i="3"/>
  <c r="DN39" i="3"/>
  <c r="DM39" i="3"/>
  <c r="DL39" i="3"/>
  <c r="DK39" i="3"/>
  <c r="DI36" i="1"/>
  <c r="DI32" i="1"/>
  <c r="DN140" i="1"/>
  <c r="DM140" i="1"/>
  <c r="DL140" i="1"/>
  <c r="DK140" i="1"/>
  <c r="DN127" i="1"/>
  <c r="DN120" i="1"/>
  <c r="DN105" i="1"/>
  <c r="DN33" i="4" l="1"/>
  <c r="DN39" i="4" s="1"/>
  <c r="DN15" i="4"/>
  <c r="DN46" i="4"/>
  <c r="DN48" i="4" s="1"/>
  <c r="DN42" i="3"/>
  <c r="DN25" i="3"/>
  <c r="DN33" i="3" s="1"/>
  <c r="DN23" i="3"/>
  <c r="DN22" i="3"/>
  <c r="DN20" i="3"/>
  <c r="DN19" i="3"/>
  <c r="DN17" i="3"/>
  <c r="DN16" i="3"/>
  <c r="DN15" i="3"/>
  <c r="DN14" i="3"/>
  <c r="DN11" i="3"/>
  <c r="DN10" i="3"/>
  <c r="DN9" i="3"/>
  <c r="DN187" i="2"/>
  <c r="DN184" i="2"/>
  <c r="DN183" i="2"/>
  <c r="DN181" i="2"/>
  <c r="DP285" i="2" s="1"/>
  <c r="DN180" i="2"/>
  <c r="DP284" i="2" s="1"/>
  <c r="DN179" i="2"/>
  <c r="DP283" i="2" s="1"/>
  <c r="DN178" i="2"/>
  <c r="DP282" i="2" s="1"/>
  <c r="DN168" i="2"/>
  <c r="DP272" i="2" s="1"/>
  <c r="DN81" i="2"/>
  <c r="DN79" i="2"/>
  <c r="DN74" i="2"/>
  <c r="DN69" i="2"/>
  <c r="DN36" i="2"/>
  <c r="DN188" i="1"/>
  <c r="DN185" i="2" s="1"/>
  <c r="DM226" i="1"/>
  <c r="DN212" i="1"/>
  <c r="DN210" i="1"/>
  <c r="DO207" i="1"/>
  <c r="DN206" i="1"/>
  <c r="DO205" i="1"/>
  <c r="DO204" i="1"/>
  <c r="DO203" i="1"/>
  <c r="DO196" i="1"/>
  <c r="DO195" i="1"/>
  <c r="DO194" i="1"/>
  <c r="DO193" i="1"/>
  <c r="DO187" i="1"/>
  <c r="DO186" i="1"/>
  <c r="DO185" i="1"/>
  <c r="DN183" i="1"/>
  <c r="DO182" i="1"/>
  <c r="DO181" i="1"/>
  <c r="DO173" i="1"/>
  <c r="DO172" i="1"/>
  <c r="DO171" i="1"/>
  <c r="DO170" i="1"/>
  <c r="DO169" i="1"/>
  <c r="DO168" i="1"/>
  <c r="DN165" i="1"/>
  <c r="DO164" i="1"/>
  <c r="DO162" i="1"/>
  <c r="DO161" i="1"/>
  <c r="DO160" i="1"/>
  <c r="DO153" i="1"/>
  <c r="DO152" i="1"/>
  <c r="DO151" i="1"/>
  <c r="DO150" i="1"/>
  <c r="DO149" i="1"/>
  <c r="DO148" i="1"/>
  <c r="DO140" i="1"/>
  <c r="DO138" i="1"/>
  <c r="DO136" i="1"/>
  <c r="DO135" i="1"/>
  <c r="DN137" i="1"/>
  <c r="DO133" i="1"/>
  <c r="DO131" i="1"/>
  <c r="DO130" i="1"/>
  <c r="DO129" i="1"/>
  <c r="DN128" i="1"/>
  <c r="DO127" i="1"/>
  <c r="DO126" i="1"/>
  <c r="DO125" i="1"/>
  <c r="DO124" i="1"/>
  <c r="DO123" i="1"/>
  <c r="DO122" i="1"/>
  <c r="DO120" i="1"/>
  <c r="DO119" i="1"/>
  <c r="DO116" i="1"/>
  <c r="DO115" i="1"/>
  <c r="DO114" i="1"/>
  <c r="DO113" i="1"/>
  <c r="DO112" i="1"/>
  <c r="DO111" i="1"/>
  <c r="DO110" i="1"/>
  <c r="DO109" i="1"/>
  <c r="DO108" i="1"/>
  <c r="DN107" i="1"/>
  <c r="DO105" i="1"/>
  <c r="DO104" i="1"/>
  <c r="DO102" i="1"/>
  <c r="DO101" i="1"/>
  <c r="DO98" i="1"/>
  <c r="DO97" i="1"/>
  <c r="DO96" i="1"/>
  <c r="DO87" i="1"/>
  <c r="DN86" i="1"/>
  <c r="DN88" i="1" s="1"/>
  <c r="DO85" i="1"/>
  <c r="DO84" i="1"/>
  <c r="DO83" i="1"/>
  <c r="DO82" i="1"/>
  <c r="DO81" i="1"/>
  <c r="DO80" i="1"/>
  <c r="DO78" i="1"/>
  <c r="DO77" i="1"/>
  <c r="DO76" i="1"/>
  <c r="DO75" i="1"/>
  <c r="DO74" i="1"/>
  <c r="DN73" i="1"/>
  <c r="DN79" i="1" s="1"/>
  <c r="DO71" i="1"/>
  <c r="DO69" i="1"/>
  <c r="DO68" i="1"/>
  <c r="DO67" i="1"/>
  <c r="DO63" i="1"/>
  <c r="DO61" i="1"/>
  <c r="DO60" i="1"/>
  <c r="DO59" i="1"/>
  <c r="DO58" i="1"/>
  <c r="DO57" i="1"/>
  <c r="DO56" i="1"/>
  <c r="DN55" i="1"/>
  <c r="DN64" i="1" s="1"/>
  <c r="DO54" i="1"/>
  <c r="DO53" i="1"/>
  <c r="DO51" i="1"/>
  <c r="DO50" i="1"/>
  <c r="DO49" i="1"/>
  <c r="DO48" i="1"/>
  <c r="DO47" i="1"/>
  <c r="DN36" i="1"/>
  <c r="DN32" i="1"/>
  <c r="DO28" i="1"/>
  <c r="DO25" i="1"/>
  <c r="DO23" i="1"/>
  <c r="DO22" i="1"/>
  <c r="DO17" i="1"/>
  <c r="DO16" i="1"/>
  <c r="DO15" i="1"/>
  <c r="DO14" i="1"/>
  <c r="DN13" i="1"/>
  <c r="DN12" i="3" s="1"/>
  <c r="DO12" i="1"/>
  <c r="DO11" i="1"/>
  <c r="DO10" i="1"/>
  <c r="DN9" i="1"/>
  <c r="DN8" i="3" s="1"/>
  <c r="DO8" i="1"/>
  <c r="DO7" i="1"/>
  <c r="DC47" i="4"/>
  <c r="DC45" i="4"/>
  <c r="DC44" i="4"/>
  <c r="DC43" i="4"/>
  <c r="DC42" i="4"/>
  <c r="DC41" i="4"/>
  <c r="DC40" i="4"/>
  <c r="DC38" i="4"/>
  <c r="DC37" i="4"/>
  <c r="DC36" i="4"/>
  <c r="DC35" i="4"/>
  <c r="DC34" i="4"/>
  <c r="DC32" i="4"/>
  <c r="DC31" i="4"/>
  <c r="DC30" i="4"/>
  <c r="DC29" i="4"/>
  <c r="DC28" i="4"/>
  <c r="DC27" i="4"/>
  <c r="DC23" i="4"/>
  <c r="DC22" i="4"/>
  <c r="DC21" i="4"/>
  <c r="DC20" i="4"/>
  <c r="DC19" i="4"/>
  <c r="DC18" i="4"/>
  <c r="DC17" i="4"/>
  <c r="DC16" i="4"/>
  <c r="DC14" i="4"/>
  <c r="DC13" i="4"/>
  <c r="DC12" i="4"/>
  <c r="DC11" i="4"/>
  <c r="DC10" i="4"/>
  <c r="DC9" i="4"/>
  <c r="DC8" i="4"/>
  <c r="DC7" i="4"/>
  <c r="DS90" i="2"/>
  <c r="DR90" i="2"/>
  <c r="DQ90" i="2"/>
  <c r="DN90" i="2"/>
  <c r="DO90" i="2" s="1"/>
  <c r="DZ88" i="2"/>
  <c r="DZ89" i="2"/>
  <c r="DZ90" i="2"/>
  <c r="DZ92" i="2"/>
  <c r="DZ93" i="2"/>
  <c r="DT93" i="2"/>
  <c r="DT89" i="2"/>
  <c r="DS88" i="2"/>
  <c r="DR88" i="2"/>
  <c r="DQ88" i="2"/>
  <c r="DO89" i="2"/>
  <c r="DN88" i="2"/>
  <c r="DO88" i="2" s="1"/>
  <c r="DT48" i="2"/>
  <c r="DS73" i="2"/>
  <c r="DS102" i="2" s="1"/>
  <c r="DS104" i="2" s="1"/>
  <c r="DR73" i="2"/>
  <c r="DR102" i="2" s="1"/>
  <c r="DR104" i="2" s="1"/>
  <c r="DQ102" i="2"/>
  <c r="DQ104" i="2" s="1"/>
  <c r="DN73" i="2"/>
  <c r="DO73" i="2" s="1"/>
  <c r="DN92" i="2"/>
  <c r="DO48" i="2"/>
  <c r="DN49" i="4" l="1"/>
  <c r="DO9" i="1"/>
  <c r="DN189" i="1"/>
  <c r="DO180" i="1"/>
  <c r="DN231" i="2"/>
  <c r="DN48" i="3"/>
  <c r="DO212" i="1"/>
  <c r="DO73" i="1"/>
  <c r="DO79" i="1" s="1"/>
  <c r="DN232" i="2"/>
  <c r="DN221" i="2"/>
  <c r="DN186" i="2"/>
  <c r="DP286" i="2" s="1"/>
  <c r="DN102" i="2"/>
  <c r="DN104" i="2" s="1"/>
  <c r="DN58" i="3"/>
  <c r="DN60" i="3"/>
  <c r="DC46" i="4"/>
  <c r="DC48" i="4" s="1"/>
  <c r="DC15" i="4"/>
  <c r="DC24" i="4" s="1"/>
  <c r="DC33" i="4"/>
  <c r="DC39" i="4" s="1"/>
  <c r="DN24" i="4"/>
  <c r="DN75" i="4"/>
  <c r="DN29" i="3"/>
  <c r="DO86" i="1"/>
  <c r="DO88" i="1" s="1"/>
  <c r="DN59" i="3"/>
  <c r="DN13" i="3"/>
  <c r="DN18" i="3" s="1"/>
  <c r="DN213" i="1"/>
  <c r="DN18" i="1"/>
  <c r="DN24" i="1" s="1"/>
  <c r="DN27" i="1" s="1"/>
  <c r="DO165" i="1"/>
  <c r="DO183" i="1"/>
  <c r="DO210" i="1"/>
  <c r="DN190" i="1"/>
  <c r="DO206" i="1"/>
  <c r="DO208" i="1" s="1"/>
  <c r="DN208" i="1"/>
  <c r="DO107" i="1"/>
  <c r="DO121" i="1" s="1"/>
  <c r="DN121" i="1"/>
  <c r="DN139" i="1" s="1"/>
  <c r="DO128" i="1"/>
  <c r="DO134" i="1"/>
  <c r="DO137" i="1" s="1"/>
  <c r="DO55" i="1"/>
  <c r="DO64" i="1" s="1"/>
  <c r="DN89" i="1"/>
  <c r="DS91" i="2"/>
  <c r="DZ91" i="2"/>
  <c r="DQ91" i="2"/>
  <c r="DT90" i="2"/>
  <c r="DT88" i="2"/>
  <c r="DO91" i="2"/>
  <c r="DT73" i="2"/>
  <c r="DN91" i="2"/>
  <c r="DR91" i="2"/>
  <c r="DN188" i="2" l="1"/>
  <c r="DP287" i="2" s="1"/>
  <c r="DO89" i="1"/>
  <c r="DN29" i="1"/>
  <c r="DN35" i="1"/>
  <c r="DN37" i="1" s="1"/>
  <c r="DN191" i="1"/>
  <c r="DC49" i="4"/>
  <c r="DN21" i="3"/>
  <c r="DN53" i="3"/>
  <c r="DN31" i="1"/>
  <c r="DN33" i="1" s="1"/>
  <c r="DO139" i="1"/>
  <c r="DO141" i="1" s="1"/>
  <c r="DT91" i="2"/>
  <c r="DP140" i="1" l="1"/>
  <c r="DP141" i="1" s="1"/>
  <c r="DQ140" i="1"/>
  <c r="DQ141" i="1" s="1"/>
  <c r="DN62" i="3"/>
  <c r="DN24" i="3"/>
  <c r="DN63" i="3"/>
  <c r="DN46" i="3" s="1"/>
  <c r="DO102" i="2"/>
  <c r="DN32" i="3" l="1"/>
  <c r="DN64" i="3"/>
  <c r="DN28" i="3"/>
  <c r="DN26" i="3"/>
  <c r="DT102" i="2"/>
  <c r="DN36" i="3" l="1"/>
  <c r="DN34" i="3"/>
  <c r="DN30" i="3"/>
  <c r="DN43" i="3"/>
  <c r="X26" i="30"/>
  <c r="DM168" i="2"/>
  <c r="W20" i="30"/>
  <c r="DM36" i="17"/>
  <c r="DM37" i="17"/>
  <c r="DM18" i="17"/>
  <c r="DM19" i="17"/>
  <c r="DR40" i="3" l="1"/>
  <c r="DS40" i="3" s="1"/>
  <c r="DU40" i="3" s="1"/>
  <c r="DU59" i="5" s="1"/>
  <c r="DM38" i="17"/>
  <c r="DM20" i="17"/>
  <c r="DU33" i="3" l="1"/>
  <c r="DU49" i="3"/>
  <c r="DU46" i="3"/>
  <c r="DV40" i="3"/>
  <c r="DV33" i="3" s="1"/>
  <c r="DW40" i="3" l="1"/>
  <c r="DV59" i="5"/>
  <c r="DV49" i="3"/>
  <c r="DV46" i="3"/>
  <c r="DX40" i="3"/>
  <c r="DY40" i="3" s="1"/>
  <c r="DW46" i="3"/>
  <c r="DW59" i="5"/>
  <c r="DW33" i="3"/>
  <c r="DW49" i="3"/>
  <c r="DM47" i="4"/>
  <c r="DM45" i="4"/>
  <c r="DM44" i="4"/>
  <c r="DM43" i="4"/>
  <c r="DM42" i="4"/>
  <c r="DM41" i="4"/>
  <c r="DM40" i="4"/>
  <c r="DM38" i="4"/>
  <c r="DM37" i="4"/>
  <c r="DM36" i="4"/>
  <c r="DM35" i="4"/>
  <c r="DM34" i="4"/>
  <c r="DM32" i="4"/>
  <c r="DM31" i="4"/>
  <c r="DM30" i="4"/>
  <c r="DM29" i="4"/>
  <c r="DM28" i="4"/>
  <c r="DM27" i="4"/>
  <c r="DM23" i="4"/>
  <c r="DM22" i="4"/>
  <c r="DM21" i="4"/>
  <c r="DM20" i="4"/>
  <c r="DM19" i="4"/>
  <c r="DM18" i="4"/>
  <c r="DM17" i="4"/>
  <c r="DM16" i="4"/>
  <c r="DM13" i="4"/>
  <c r="DN78" i="4" s="1"/>
  <c r="DN79" i="4" s="1"/>
  <c r="DM12" i="4"/>
  <c r="DM11" i="4"/>
  <c r="DM10" i="4"/>
  <c r="DM9" i="4"/>
  <c r="DM8" i="4"/>
  <c r="DM7" i="4"/>
  <c r="DM42" i="3"/>
  <c r="DM25" i="3"/>
  <c r="DM23" i="3"/>
  <c r="DM22" i="3"/>
  <c r="DM20" i="3"/>
  <c r="DM19" i="3"/>
  <c r="DM17" i="3"/>
  <c r="DM16" i="3"/>
  <c r="DM15" i="3"/>
  <c r="DM14" i="3"/>
  <c r="DM11" i="3"/>
  <c r="DM10" i="3"/>
  <c r="DM9" i="3"/>
  <c r="DM187" i="2"/>
  <c r="DM48" i="3" s="1"/>
  <c r="DM184" i="2"/>
  <c r="DM183" i="2"/>
  <c r="DM181" i="2"/>
  <c r="DM180" i="2"/>
  <c r="DM179" i="2"/>
  <c r="DM178" i="2"/>
  <c r="DM81" i="2"/>
  <c r="DM79" i="2"/>
  <c r="DM74" i="2"/>
  <c r="DM69" i="2"/>
  <c r="DM36" i="2"/>
  <c r="DM221" i="2" s="1"/>
  <c r="DM206" i="1"/>
  <c r="DM208" i="1" s="1"/>
  <c r="DM188" i="1"/>
  <c r="DM185" i="2" s="1"/>
  <c r="DM120" i="1"/>
  <c r="DM107" i="1" s="1"/>
  <c r="DM105" i="1"/>
  <c r="DM54" i="1"/>
  <c r="DM14" i="4" s="1"/>
  <c r="DM212" i="1"/>
  <c r="DM210" i="1"/>
  <c r="DM183" i="1"/>
  <c r="DM165" i="1"/>
  <c r="DM137" i="1"/>
  <c r="DM128" i="1"/>
  <c r="DM86" i="1"/>
  <c r="DM88" i="1" s="1"/>
  <c r="DM73" i="1"/>
  <c r="DM79" i="1" s="1"/>
  <c r="DM36" i="1"/>
  <c r="DM32" i="1"/>
  <c r="DM13" i="1"/>
  <c r="DM12" i="3" s="1"/>
  <c r="DM9" i="1"/>
  <c r="DM8" i="3" s="1"/>
  <c r="DL226" i="1"/>
  <c r="DM60" i="4" l="1"/>
  <c r="DM61" i="4" s="1"/>
  <c r="DM189" i="1"/>
  <c r="DY49" i="3"/>
  <c r="DY33" i="3"/>
  <c r="DY59" i="5"/>
  <c r="DX59" i="5"/>
  <c r="DX49" i="3"/>
  <c r="DX33" i="3"/>
  <c r="DX46" i="3"/>
  <c r="DM213" i="1"/>
  <c r="DM55" i="1"/>
  <c r="DM64" i="1" s="1"/>
  <c r="DM121" i="1"/>
  <c r="DM139" i="1" s="1"/>
  <c r="DM59" i="3"/>
  <c r="DM232" i="2"/>
  <c r="DM58" i="3"/>
  <c r="DM60" i="3"/>
  <c r="DM13" i="3"/>
  <c r="DM18" i="3" s="1"/>
  <c r="DM21" i="3" s="1"/>
  <c r="DM63" i="3" s="1"/>
  <c r="DM46" i="3" s="1"/>
  <c r="DM63" i="4"/>
  <c r="DM64" i="4" s="1"/>
  <c r="DM46" i="4"/>
  <c r="DM48" i="4" s="1"/>
  <c r="DM62" i="4" s="1"/>
  <c r="DN76" i="4"/>
  <c r="DM33" i="4"/>
  <c r="DM39" i="4" s="1"/>
  <c r="DN77" i="4"/>
  <c r="DM56" i="4"/>
  <c r="DM186" i="2"/>
  <c r="DM188" i="2" s="1"/>
  <c r="DM231" i="2"/>
  <c r="DM15" i="4"/>
  <c r="DM33" i="3"/>
  <c r="DM18" i="1"/>
  <c r="DM24" i="1" s="1"/>
  <c r="DM27" i="1" s="1"/>
  <c r="DM31" i="1" s="1"/>
  <c r="DM33" i="1" s="1"/>
  <c r="DM190" i="1"/>
  <c r="DM89" i="1"/>
  <c r="AD66" i="30"/>
  <c r="AC66" i="30"/>
  <c r="AH83" i="30"/>
  <c r="AG83" i="30"/>
  <c r="AG85" i="30" s="1"/>
  <c r="AF83" i="30"/>
  <c r="AH65" i="30"/>
  <c r="AG65" i="30"/>
  <c r="AG71" i="30" s="1"/>
  <c r="AF65" i="30"/>
  <c r="AF71" i="30" s="1"/>
  <c r="AE65" i="30"/>
  <c r="AE71" i="30" s="1"/>
  <c r="AD65" i="30"/>
  <c r="AC65" i="30"/>
  <c r="AE82" i="30"/>
  <c r="AF82" i="30"/>
  <c r="AG82" i="30"/>
  <c r="AH82" i="30"/>
  <c r="AE83" i="30"/>
  <c r="AE85" i="30" s="1"/>
  <c r="AF85" i="30"/>
  <c r="AH80" i="30"/>
  <c r="DM49" i="4" l="1"/>
  <c r="DM191" i="1"/>
  <c r="DM65" i="4"/>
  <c r="AH81" i="30"/>
  <c r="DM69" i="4"/>
  <c r="DM85" i="4"/>
  <c r="DM24" i="3"/>
  <c r="DM64" i="3" s="1"/>
  <c r="DN80" i="4"/>
  <c r="DM75" i="4"/>
  <c r="DM24" i="4"/>
  <c r="DM84" i="4"/>
  <c r="DM70" i="4"/>
  <c r="DM66" i="4"/>
  <c r="DM29" i="1"/>
  <c r="DM35" i="1"/>
  <c r="DM37" i="1" s="1"/>
  <c r="AH85" i="30"/>
  <c r="AH71" i="30"/>
  <c r="DM32" i="3" l="1"/>
  <c r="DM34" i="3" s="1"/>
  <c r="DM26" i="3"/>
  <c r="DK120" i="1"/>
  <c r="DS79" i="4" l="1"/>
  <c r="DL47" i="4" l="1"/>
  <c r="DL45" i="4"/>
  <c r="DL44" i="4"/>
  <c r="DL43" i="4"/>
  <c r="DL42" i="4"/>
  <c r="DL41" i="4"/>
  <c r="DL40" i="4"/>
  <c r="DL38" i="4"/>
  <c r="DL37" i="4"/>
  <c r="DL36" i="4"/>
  <c r="DL35" i="4"/>
  <c r="DL34" i="4"/>
  <c r="DL32" i="4"/>
  <c r="DL31" i="4"/>
  <c r="DL30" i="4"/>
  <c r="DL29" i="4"/>
  <c r="DL28" i="4"/>
  <c r="DL27" i="4"/>
  <c r="DM77" i="4" s="1"/>
  <c r="DL23" i="4"/>
  <c r="DL22" i="4"/>
  <c r="DL21" i="4"/>
  <c r="DL20" i="4"/>
  <c r="DL19" i="4"/>
  <c r="DL18" i="4"/>
  <c r="DL17" i="4"/>
  <c r="DL16" i="4"/>
  <c r="DL13" i="4"/>
  <c r="DM78" i="4" s="1"/>
  <c r="DM79" i="4" s="1"/>
  <c r="DL12" i="4"/>
  <c r="DL11" i="4"/>
  <c r="DL10" i="4"/>
  <c r="DL9" i="4"/>
  <c r="DM76" i="4" s="1"/>
  <c r="DL8" i="4"/>
  <c r="DL7" i="4"/>
  <c r="DL42" i="3"/>
  <c r="DL25" i="3"/>
  <c r="DL22" i="3"/>
  <c r="DL20" i="3"/>
  <c r="DL19" i="3"/>
  <c r="DL17" i="3"/>
  <c r="DL16" i="3"/>
  <c r="DL15" i="3"/>
  <c r="DL14" i="3"/>
  <c r="DL11" i="3"/>
  <c r="DL10" i="3"/>
  <c r="DL9" i="3"/>
  <c r="DL187" i="2"/>
  <c r="DL184" i="2"/>
  <c r="DL183" i="2"/>
  <c r="DL181" i="2"/>
  <c r="DL180" i="2"/>
  <c r="DL179" i="2"/>
  <c r="DL178" i="2"/>
  <c r="DL168" i="2"/>
  <c r="DL81" i="2"/>
  <c r="DL79" i="2"/>
  <c r="DL74" i="2"/>
  <c r="DL69" i="2"/>
  <c r="DL36" i="2"/>
  <c r="DL120" i="1"/>
  <c r="DL127" i="1"/>
  <c r="DL105" i="1"/>
  <c r="DL54" i="1"/>
  <c r="DL14" i="4" s="1"/>
  <c r="DL188" i="1"/>
  <c r="DL185" i="2" s="1"/>
  <c r="DL23" i="3"/>
  <c r="DQ111" i="2" l="1"/>
  <c r="DL48" i="3"/>
  <c r="DM80" i="4"/>
  <c r="DL56" i="4"/>
  <c r="DL231" i="2"/>
  <c r="DL221" i="2"/>
  <c r="DL232" i="2"/>
  <c r="DL46" i="4"/>
  <c r="DL48" i="4" s="1"/>
  <c r="DL62" i="4" s="1"/>
  <c r="DL186" i="2"/>
  <c r="DL60" i="4"/>
  <c r="DL61" i="4" s="1"/>
  <c r="DL33" i="4"/>
  <c r="DL39" i="4" s="1"/>
  <c r="DL63" i="4"/>
  <c r="DL15" i="4"/>
  <c r="DL33" i="3"/>
  <c r="DL212" i="1"/>
  <c r="DL210" i="1"/>
  <c r="DL206" i="1"/>
  <c r="DL208" i="1" s="1"/>
  <c r="DL189" i="1"/>
  <c r="DL183" i="1"/>
  <c r="DL165" i="1"/>
  <c r="DL137" i="1"/>
  <c r="DL128" i="1"/>
  <c r="DL107" i="1"/>
  <c r="DL121" i="1" s="1"/>
  <c r="DL86" i="1"/>
  <c r="DL88" i="1" s="1"/>
  <c r="DL73" i="1"/>
  <c r="DL79" i="1" s="1"/>
  <c r="DL55" i="1"/>
  <c r="DL64" i="1" s="1"/>
  <c r="DL36" i="1"/>
  <c r="DL32" i="1"/>
  <c r="DL13" i="1"/>
  <c r="DL12" i="3" s="1"/>
  <c r="DL9" i="1"/>
  <c r="DL65" i="4" l="1"/>
  <c r="DL69" i="4"/>
  <c r="DL49" i="4"/>
  <c r="DL64" i="4"/>
  <c r="DL66" i="4" s="1"/>
  <c r="DL188" i="2"/>
  <c r="DL18" i="1"/>
  <c r="DL24" i="1" s="1"/>
  <c r="DL27" i="1" s="1"/>
  <c r="DL35" i="1" s="1"/>
  <c r="DL37" i="1" s="1"/>
  <c r="DL8" i="3"/>
  <c r="DL70" i="4"/>
  <c r="DL75" i="4"/>
  <c r="DL24" i="4"/>
  <c r="DL84" i="4"/>
  <c r="DL213" i="1"/>
  <c r="DL190" i="1"/>
  <c r="DL191" i="1" s="1"/>
  <c r="DL139" i="1"/>
  <c r="DL89" i="1"/>
  <c r="DM89" i="4" l="1"/>
  <c r="DQ81" i="4"/>
  <c r="DL29" i="1"/>
  <c r="DL31" i="1"/>
  <c r="DL33" i="1" s="1"/>
  <c r="DL59" i="3"/>
  <c r="DL13" i="3"/>
  <c r="DL18" i="3" s="1"/>
  <c r="DL60" i="3"/>
  <c r="DL58" i="3"/>
  <c r="DL85" i="4" l="1"/>
  <c r="DL21" i="3"/>
  <c r="DL53" i="3"/>
  <c r="DL62" i="3" l="1"/>
  <c r="DL24" i="3"/>
  <c r="DL63" i="3"/>
  <c r="DL46" i="3" s="1"/>
  <c r="DL64" i="3" l="1"/>
  <c r="DL32" i="3"/>
  <c r="DL26" i="3"/>
  <c r="DL34" i="3" l="1"/>
  <c r="DL36" i="3"/>
  <c r="DK20" i="3"/>
  <c r="AA15" i="30"/>
  <c r="AA24" i="30"/>
  <c r="AA25" i="30"/>
  <c r="AA36" i="30"/>
  <c r="BF49" i="30"/>
  <c r="BF51" i="30"/>
  <c r="DS55" i="5" l="1"/>
  <c r="DR55" i="5"/>
  <c r="DS54" i="5"/>
  <c r="DR54" i="5"/>
  <c r="DT49" i="5"/>
  <c r="DT47" i="5"/>
  <c r="DT45" i="5"/>
  <c r="DT44" i="5"/>
  <c r="DT43" i="5"/>
  <c r="DT42" i="5"/>
  <c r="DT41" i="5"/>
  <c r="DT40" i="5"/>
  <c r="DS39" i="5"/>
  <c r="DR39" i="5"/>
  <c r="DT38" i="5"/>
  <c r="DT37" i="5"/>
  <c r="DT36" i="5"/>
  <c r="DT35" i="5"/>
  <c r="DT34" i="5"/>
  <c r="DT29" i="5"/>
  <c r="DT28" i="5"/>
  <c r="DT27" i="5"/>
  <c r="DT25" i="5"/>
  <c r="DT24" i="5"/>
  <c r="DT23" i="5"/>
  <c r="DT17" i="5"/>
  <c r="DT15" i="5"/>
  <c r="DT14" i="5"/>
  <c r="DT13" i="5"/>
  <c r="DT12" i="5"/>
  <c r="DT11" i="5"/>
  <c r="DT10" i="5"/>
  <c r="DT9" i="5"/>
  <c r="DS80" i="4"/>
  <c r="DR79" i="4"/>
  <c r="DR80" i="4" s="1"/>
  <c r="DS54" i="3"/>
  <c r="DR54" i="3"/>
  <c r="DS48" i="3"/>
  <c r="DR48" i="3"/>
  <c r="DT45" i="3"/>
  <c r="DT25" i="3"/>
  <c r="DT23" i="3"/>
  <c r="DT19" i="3"/>
  <c r="DT17" i="3"/>
  <c r="DT14" i="3"/>
  <c r="DT11" i="3"/>
  <c r="DS11" i="3"/>
  <c r="DR11" i="3"/>
  <c r="DT10" i="3"/>
  <c r="DS10" i="3"/>
  <c r="DR10" i="3"/>
  <c r="DT9" i="3"/>
  <c r="DS9" i="3"/>
  <c r="DR9" i="3"/>
  <c r="DT7" i="3"/>
  <c r="DT6" i="3"/>
  <c r="DS285" i="2"/>
  <c r="DR285" i="2"/>
  <c r="DQ285" i="2"/>
  <c r="DS275" i="2"/>
  <c r="DR275" i="2"/>
  <c r="DQ275" i="2"/>
  <c r="DS274" i="2"/>
  <c r="DR274" i="2"/>
  <c r="DQ274" i="2"/>
  <c r="DS273" i="2"/>
  <c r="DR273" i="2"/>
  <c r="DQ273" i="2"/>
  <c r="DN285" i="2"/>
  <c r="DM285" i="2"/>
  <c r="DN275" i="2"/>
  <c r="DM275" i="2"/>
  <c r="DL275" i="2"/>
  <c r="DK275" i="2"/>
  <c r="DN274" i="2"/>
  <c r="DM274" i="2"/>
  <c r="DL274" i="2"/>
  <c r="DK274" i="2"/>
  <c r="DN273" i="2"/>
  <c r="DM273" i="2"/>
  <c r="DL273" i="2"/>
  <c r="DK273" i="2"/>
  <c r="DI275" i="2"/>
  <c r="DH275" i="2"/>
  <c r="DG275" i="2"/>
  <c r="DF275" i="2"/>
  <c r="DI274" i="2"/>
  <c r="DH274" i="2"/>
  <c r="DG274" i="2"/>
  <c r="DF274" i="2"/>
  <c r="DI273" i="2"/>
  <c r="DH273" i="2"/>
  <c r="DG273" i="2"/>
  <c r="DF273" i="2"/>
  <c r="DD275" i="2"/>
  <c r="DC275" i="2"/>
  <c r="DB275" i="2"/>
  <c r="DA275" i="2"/>
  <c r="DD274" i="2"/>
  <c r="DC274" i="2"/>
  <c r="DB274" i="2"/>
  <c r="DA274" i="2"/>
  <c r="DD273" i="2"/>
  <c r="DC273" i="2"/>
  <c r="DB273" i="2"/>
  <c r="DA273" i="2"/>
  <c r="DT393" i="2"/>
  <c r="DT391" i="2"/>
  <c r="DT381" i="2"/>
  <c r="DT359" i="2"/>
  <c r="DT375" i="2" s="1"/>
  <c r="DS359" i="2"/>
  <c r="DR359" i="2"/>
  <c r="DQ359" i="2"/>
  <c r="DT358" i="2"/>
  <c r="DT374" i="2" s="1"/>
  <c r="DS358" i="2"/>
  <c r="DR358" i="2"/>
  <c r="DQ358" i="2"/>
  <c r="DT357" i="2"/>
  <c r="DT373" i="2" s="1"/>
  <c r="DS357" i="2"/>
  <c r="DR357" i="2"/>
  <c r="DQ357" i="2"/>
  <c r="DT356" i="2"/>
  <c r="DT372" i="2" s="1"/>
  <c r="DS356" i="2"/>
  <c r="DR356" i="2"/>
  <c r="DQ356" i="2"/>
  <c r="DT355" i="2"/>
  <c r="DT371" i="2" s="1"/>
  <c r="DS355" i="2"/>
  <c r="DR355" i="2"/>
  <c r="DQ355" i="2"/>
  <c r="DT354" i="2"/>
  <c r="DT370" i="2" s="1"/>
  <c r="DS354" i="2"/>
  <c r="DR354" i="2"/>
  <c r="DQ354" i="2"/>
  <c r="DT321" i="2"/>
  <c r="DS321" i="2"/>
  <c r="DR321" i="2"/>
  <c r="DQ321" i="2"/>
  <c r="DT320" i="2"/>
  <c r="DS320" i="2"/>
  <c r="DR320" i="2"/>
  <c r="DQ320" i="2"/>
  <c r="DT319" i="2"/>
  <c r="DS319" i="2"/>
  <c r="DR319" i="2"/>
  <c r="DQ319" i="2"/>
  <c r="DT318" i="2"/>
  <c r="DS318" i="2"/>
  <c r="DR318" i="2"/>
  <c r="DR328" i="2" s="1"/>
  <c r="DQ318" i="2"/>
  <c r="DQ328" i="2" s="1"/>
  <c r="DT317" i="2"/>
  <c r="DT327" i="2" s="1"/>
  <c r="DS317" i="2"/>
  <c r="DS327" i="2" s="1"/>
  <c r="DR317" i="2"/>
  <c r="DR327" i="2" s="1"/>
  <c r="DQ317" i="2"/>
  <c r="DQ327" i="2" s="1"/>
  <c r="DT316" i="2"/>
  <c r="DS316" i="2"/>
  <c r="DR316" i="2"/>
  <c r="DR326" i="2" s="1"/>
  <c r="DQ316" i="2"/>
  <c r="DQ326" i="2" s="1"/>
  <c r="DT315" i="2"/>
  <c r="DS315" i="2"/>
  <c r="DR315" i="2"/>
  <c r="DQ315" i="2"/>
  <c r="DT314" i="2"/>
  <c r="DT324" i="2" s="1"/>
  <c r="DS314" i="2"/>
  <c r="DS324" i="2" s="1"/>
  <c r="DR314" i="2"/>
  <c r="DR324" i="2" s="1"/>
  <c r="DQ314" i="2"/>
  <c r="DQ324" i="2" s="1"/>
  <c r="DT303" i="2"/>
  <c r="DS303" i="2"/>
  <c r="DR303" i="2"/>
  <c r="DQ303" i="2"/>
  <c r="DT301" i="2"/>
  <c r="DS301" i="2"/>
  <c r="DS345" i="2" s="1"/>
  <c r="DR301" i="2"/>
  <c r="DR345" i="2" s="1"/>
  <c r="DQ301" i="2"/>
  <c r="DT300" i="2"/>
  <c r="DT344" i="2" s="1"/>
  <c r="DS300" i="2"/>
  <c r="DS344" i="2" s="1"/>
  <c r="DR300" i="2"/>
  <c r="DQ300" i="2"/>
  <c r="DT290" i="2"/>
  <c r="DS290" i="2"/>
  <c r="DS334" i="2" s="1"/>
  <c r="DR290" i="2"/>
  <c r="DR334" i="2" s="1"/>
  <c r="DQ290" i="2"/>
  <c r="DS267" i="2"/>
  <c r="DR267" i="2"/>
  <c r="DQ267" i="2"/>
  <c r="DT257" i="2"/>
  <c r="DS257" i="2"/>
  <c r="DR257" i="2"/>
  <c r="DQ257" i="2"/>
  <c r="DT256" i="2"/>
  <c r="DS256" i="2"/>
  <c r="DR256" i="2"/>
  <c r="DQ256" i="2"/>
  <c r="DT255" i="2"/>
  <c r="DS255" i="2"/>
  <c r="DR255" i="2"/>
  <c r="DQ255" i="2"/>
  <c r="DT241" i="2"/>
  <c r="DS241" i="2"/>
  <c r="DR241" i="2"/>
  <c r="DQ241" i="2"/>
  <c r="DT240" i="2"/>
  <c r="DS240" i="2"/>
  <c r="DR240" i="2"/>
  <c r="DQ240" i="2"/>
  <c r="DT239" i="2"/>
  <c r="DS239" i="2"/>
  <c r="DR239" i="2"/>
  <c r="DQ239" i="2"/>
  <c r="DT187" i="2"/>
  <c r="Y24" i="30" s="1"/>
  <c r="DS186" i="2"/>
  <c r="DR186" i="2"/>
  <c r="DW268" i="2" s="1"/>
  <c r="DT185" i="2"/>
  <c r="DT184" i="2"/>
  <c r="DT183" i="2"/>
  <c r="DT181" i="2"/>
  <c r="DY267" i="2" s="1"/>
  <c r="DS180" i="2"/>
  <c r="DR180" i="2"/>
  <c r="DS129" i="2"/>
  <c r="DR129" i="2"/>
  <c r="DQ129" i="2"/>
  <c r="DS113" i="2"/>
  <c r="DR113" i="2"/>
  <c r="DQ113" i="2"/>
  <c r="DT103" i="2"/>
  <c r="DT101" i="2"/>
  <c r="DT97" i="2"/>
  <c r="DS92" i="2"/>
  <c r="DR92" i="2"/>
  <c r="DQ92" i="2"/>
  <c r="DQ112" i="2" s="1"/>
  <c r="DQ107" i="2"/>
  <c r="DT80" i="2"/>
  <c r="DT79" i="2"/>
  <c r="DT71" i="2"/>
  <c r="DT92" i="2" s="1"/>
  <c r="DT94" i="2" s="1"/>
  <c r="DT87" i="17"/>
  <c r="DZ55" i="12"/>
  <c r="DZ43" i="12"/>
  <c r="DV268" i="2" l="1"/>
  <c r="DW250" i="2"/>
  <c r="DW266" i="2"/>
  <c r="DX250" i="2"/>
  <c r="DX266" i="2"/>
  <c r="DU284" i="2"/>
  <c r="DU286" i="2"/>
  <c r="DX268" i="2"/>
  <c r="DV250" i="2"/>
  <c r="DV266" i="2"/>
  <c r="DY113" i="2"/>
  <c r="DY129" i="2"/>
  <c r="DT104" i="2"/>
  <c r="DQ286" i="2"/>
  <c r="DT302" i="2"/>
  <c r="DT346" i="2" s="1"/>
  <c r="DR284" i="2"/>
  <c r="DR286" i="2"/>
  <c r="DR56" i="5"/>
  <c r="DS286" i="2"/>
  <c r="DT394" i="2"/>
  <c r="DT48" i="3"/>
  <c r="DS284" i="2"/>
  <c r="DT334" i="2"/>
  <c r="DS56" i="5"/>
  <c r="DT54" i="3"/>
  <c r="DT32" i="5"/>
  <c r="DT33" i="5"/>
  <c r="DT8" i="5"/>
  <c r="DQ94" i="2"/>
  <c r="DR94" i="2"/>
  <c r="DT186" i="2"/>
  <c r="DY268" i="2" s="1"/>
  <c r="DS94" i="2"/>
  <c r="DR344" i="2"/>
  <c r="DR302" i="2"/>
  <c r="DQ302" i="2"/>
  <c r="DT81" i="2"/>
  <c r="DS302" i="2"/>
  <c r="DT304" i="2" l="1"/>
  <c r="DT347" i="2" s="1"/>
  <c r="DT54" i="5"/>
  <c r="DT39" i="5"/>
  <c r="DT55" i="5"/>
  <c r="DQ304" i="2"/>
  <c r="DR304" i="2"/>
  <c r="DR346" i="2"/>
  <c r="DS346" i="2"/>
  <c r="DS304" i="2"/>
  <c r="DT56" i="5" l="1"/>
  <c r="DR347" i="2"/>
  <c r="DS347" i="2"/>
  <c r="DT16" i="12" l="1"/>
  <c r="DT17" i="12" s="1"/>
  <c r="DT112" i="12"/>
  <c r="DT61" i="17" s="1"/>
  <c r="DT111" i="12"/>
  <c r="DT60" i="17" s="1"/>
  <c r="DS78" i="12"/>
  <c r="DR78" i="12"/>
  <c r="DQ78" i="12"/>
  <c r="DP78" i="12"/>
  <c r="DT76" i="12"/>
  <c r="DT74" i="12"/>
  <c r="DT72" i="12"/>
  <c r="DS67" i="12"/>
  <c r="DR67" i="12"/>
  <c r="DQ67" i="12"/>
  <c r="DP67" i="12"/>
  <c r="DT65" i="12"/>
  <c r="DT63" i="12"/>
  <c r="DT61" i="12"/>
  <c r="DT59" i="12"/>
  <c r="DT60" i="12" s="1"/>
  <c r="DS55" i="12"/>
  <c r="DR55" i="12"/>
  <c r="DQ55" i="12"/>
  <c r="DP55" i="12"/>
  <c r="DS53" i="12"/>
  <c r="DR53" i="12"/>
  <c r="DQ53" i="12"/>
  <c r="DP53" i="12"/>
  <c r="DT52" i="12"/>
  <c r="DT45" i="12"/>
  <c r="DT42" i="12"/>
  <c r="DS35" i="12"/>
  <c r="DR35" i="12"/>
  <c r="DQ35" i="12"/>
  <c r="DP35" i="12"/>
  <c r="DS32" i="12"/>
  <c r="DR32" i="12"/>
  <c r="DQ32" i="12"/>
  <c r="DP32" i="12"/>
  <c r="DT30" i="12"/>
  <c r="DT31" i="12" s="1"/>
  <c r="DZ31" i="12" s="1"/>
  <c r="DT28" i="12"/>
  <c r="DT29" i="12" s="1"/>
  <c r="DT27" i="12"/>
  <c r="DT26" i="12"/>
  <c r="DT24" i="12"/>
  <c r="DT25" i="12" s="1"/>
  <c r="DT22" i="12"/>
  <c r="DT23" i="12" s="1"/>
  <c r="DT20" i="12"/>
  <c r="DT21" i="12" s="1"/>
  <c r="DS61" i="17"/>
  <c r="DR61" i="17"/>
  <c r="DQ61" i="17"/>
  <c r="DP61" i="17"/>
  <c r="DS60" i="17"/>
  <c r="DR60" i="17"/>
  <c r="DQ60" i="17"/>
  <c r="DP60" i="17"/>
  <c r="DS37" i="17"/>
  <c r="DR37" i="17"/>
  <c r="DQ37" i="17"/>
  <c r="DS36" i="17"/>
  <c r="DR36" i="17"/>
  <c r="DQ36" i="17"/>
  <c r="DS19" i="17"/>
  <c r="DR19" i="17"/>
  <c r="DQ19" i="17"/>
  <c r="DS18" i="17"/>
  <c r="DR18" i="17"/>
  <c r="DQ18" i="17"/>
  <c r="DZ61" i="17"/>
  <c r="DZ60" i="17"/>
  <c r="DZ37" i="17"/>
  <c r="DZ36" i="17"/>
  <c r="DZ19" i="17"/>
  <c r="DZ18" i="17"/>
  <c r="DZ393" i="2"/>
  <c r="DZ391" i="2"/>
  <c r="DZ381" i="2"/>
  <c r="DZ359" i="2"/>
  <c r="DZ375" i="2" s="1"/>
  <c r="DZ358" i="2"/>
  <c r="DZ374" i="2" s="1"/>
  <c r="DZ357" i="2"/>
  <c r="DZ373" i="2" s="1"/>
  <c r="DZ356" i="2"/>
  <c r="DZ372" i="2" s="1"/>
  <c r="DZ355" i="2"/>
  <c r="DZ371" i="2" s="1"/>
  <c r="DZ354" i="2"/>
  <c r="DZ370" i="2" s="1"/>
  <c r="DZ321" i="2"/>
  <c r="DZ320" i="2"/>
  <c r="DZ319" i="2"/>
  <c r="DZ318" i="2"/>
  <c r="DZ328" i="2" s="1"/>
  <c r="DZ317" i="2"/>
  <c r="DZ327" i="2" s="1"/>
  <c r="DZ316" i="2"/>
  <c r="DZ326" i="2" s="1"/>
  <c r="DZ315" i="2"/>
  <c r="DZ314" i="2"/>
  <c r="DZ324" i="2" s="1"/>
  <c r="DZ303" i="2"/>
  <c r="DZ301" i="2"/>
  <c r="DZ300" i="2"/>
  <c r="DZ290" i="2"/>
  <c r="DZ334" i="2" s="1"/>
  <c r="DZ267" i="2"/>
  <c r="DZ257" i="2"/>
  <c r="DZ256" i="2"/>
  <c r="DZ255" i="2"/>
  <c r="DZ241" i="2"/>
  <c r="DZ240" i="2"/>
  <c r="DZ239" i="2"/>
  <c r="DZ186" i="2"/>
  <c r="EA268" i="2" s="1"/>
  <c r="DZ180" i="2"/>
  <c r="DZ129" i="2"/>
  <c r="DZ103" i="2"/>
  <c r="DZ101" i="2"/>
  <c r="DZ97" i="2"/>
  <c r="DZ54" i="3"/>
  <c r="DZ48" i="3"/>
  <c r="DZ11" i="3"/>
  <c r="DZ10" i="3"/>
  <c r="DZ9" i="3"/>
  <c r="DZ7" i="3"/>
  <c r="DZ6" i="3"/>
  <c r="DZ79" i="4"/>
  <c r="DZ80" i="4" s="1"/>
  <c r="DZ55" i="5"/>
  <c r="DZ54" i="5"/>
  <c r="DZ39" i="5"/>
  <c r="DZ432" i="1"/>
  <c r="DZ415" i="1"/>
  <c r="DP330" i="2" l="1"/>
  <c r="DP325" i="2"/>
  <c r="DP329" i="2"/>
  <c r="DP234" i="1"/>
  <c r="DP42" i="17"/>
  <c r="EA250" i="2"/>
  <c r="EA266" i="2"/>
  <c r="DP230" i="1"/>
  <c r="DP6" i="17"/>
  <c r="DP235" i="1"/>
  <c r="DP30" i="17"/>
  <c r="DZ104" i="2"/>
  <c r="AG66" i="30"/>
  <c r="AG67" i="30" s="1"/>
  <c r="AG72" i="30" s="1"/>
  <c r="AH66" i="30"/>
  <c r="AH73" i="30" s="1"/>
  <c r="AF66" i="30"/>
  <c r="AE66" i="30"/>
  <c r="DZ56" i="5"/>
  <c r="DZ394" i="2"/>
  <c r="DS33" i="12"/>
  <c r="DR325" i="2"/>
  <c r="DS79" i="12"/>
  <c r="DR330" i="2"/>
  <c r="DT36" i="17"/>
  <c r="DT328" i="2"/>
  <c r="DS328" i="2"/>
  <c r="DR42" i="17"/>
  <c r="DQ329" i="2"/>
  <c r="DQ79" i="12"/>
  <c r="DQ325" i="2"/>
  <c r="DT44" i="12"/>
  <c r="DT19" i="17" s="1"/>
  <c r="DT18" i="17"/>
  <c r="DT326" i="2"/>
  <c r="DS326" i="2"/>
  <c r="DS42" i="17"/>
  <c r="DR329" i="2"/>
  <c r="DR79" i="12"/>
  <c r="DQ330" i="2"/>
  <c r="DZ94" i="2"/>
  <c r="DP79" i="12"/>
  <c r="DS20" i="17"/>
  <c r="DT53" i="12"/>
  <c r="DZ38" i="17"/>
  <c r="DZ40" i="17" s="1"/>
  <c r="DS38" i="17"/>
  <c r="DT43" i="12"/>
  <c r="DR34" i="12"/>
  <c r="DR7" i="17" s="1"/>
  <c r="DT55" i="12"/>
  <c r="DT54" i="12" s="1"/>
  <c r="DT37" i="17" s="1"/>
  <c r="DQ34" i="12"/>
  <c r="DQ7" i="17" s="1"/>
  <c r="DR30" i="17"/>
  <c r="DT67" i="12"/>
  <c r="DQ6" i="17"/>
  <c r="DP33" i="12"/>
  <c r="DR6" i="17"/>
  <c r="DR33" i="12"/>
  <c r="DT78" i="12"/>
  <c r="DR108" i="12"/>
  <c r="DW109" i="12" s="1"/>
  <c r="DQ42" i="17"/>
  <c r="DS108" i="12"/>
  <c r="DX109" i="12" s="1"/>
  <c r="DS6" i="17"/>
  <c r="DQ108" i="12"/>
  <c r="DV109" i="12" s="1"/>
  <c r="DT32" i="12"/>
  <c r="DP34" i="12"/>
  <c r="DP7" i="17" s="1"/>
  <c r="DQ30" i="17"/>
  <c r="DQ33" i="12"/>
  <c r="DQ20" i="17"/>
  <c r="DS34" i="12"/>
  <c r="DS7" i="17" s="1"/>
  <c r="DT35" i="12"/>
  <c r="DS30" i="17"/>
  <c r="DP108" i="12"/>
  <c r="DU109" i="12" s="1"/>
  <c r="DQ38" i="17"/>
  <c r="DZ20" i="17"/>
  <c r="DZ22" i="17" s="1"/>
  <c r="DR20" i="17"/>
  <c r="DR38" i="17"/>
  <c r="DZ302" i="2"/>
  <c r="DZ346" i="2" s="1"/>
  <c r="DZ113" i="2"/>
  <c r="DZ344" i="2"/>
  <c r="DP8" i="17" l="1"/>
  <c r="DP331" i="2"/>
  <c r="AH67" i="30"/>
  <c r="AH72" i="30" s="1"/>
  <c r="AG73" i="30"/>
  <c r="AE73" i="30"/>
  <c r="AE67" i="30"/>
  <c r="AE72" i="30" s="1"/>
  <c r="AF73" i="30"/>
  <c r="AF67" i="30"/>
  <c r="AF72" i="30" s="1"/>
  <c r="DZ304" i="2"/>
  <c r="DZ347" i="2" s="1"/>
  <c r="DQ331" i="2"/>
  <c r="DT38" i="17"/>
  <c r="DT40" i="17" s="1"/>
  <c r="DT42" i="17"/>
  <c r="DS329" i="2"/>
  <c r="DT329" i="2"/>
  <c r="DT6" i="17"/>
  <c r="DS325" i="2"/>
  <c r="DT325" i="2"/>
  <c r="DT330" i="2"/>
  <c r="DT30" i="17"/>
  <c r="DS330" i="2"/>
  <c r="DT20" i="17"/>
  <c r="DT22" i="17" s="1"/>
  <c r="DR331" i="2"/>
  <c r="DR8" i="17"/>
  <c r="DQ8" i="17"/>
  <c r="DT79" i="12"/>
  <c r="DT68" i="12"/>
  <c r="DS8" i="17"/>
  <c r="DT108" i="12"/>
  <c r="DT33" i="12"/>
  <c r="DT34" i="12"/>
  <c r="DT7" i="17" s="1"/>
  <c r="DY109" i="12" l="1"/>
  <c r="DS331" i="2"/>
  <c r="DT331" i="2"/>
  <c r="DT8" i="17"/>
  <c r="DT10" i="17" l="1"/>
  <c r="DO16" i="12" l="1"/>
  <c r="DO17" i="12" s="1"/>
  <c r="AC83" i="30" l="1"/>
  <c r="AB83" i="30"/>
  <c r="AA83" i="30"/>
  <c r="AB65" i="30"/>
  <c r="AA65" i="30"/>
  <c r="DK61" i="17"/>
  <c r="DK60" i="17"/>
  <c r="DK37" i="17"/>
  <c r="DK36" i="17"/>
  <c r="DK19" i="17"/>
  <c r="DK18" i="17"/>
  <c r="DJ307" i="1"/>
  <c r="DJ283" i="1"/>
  <c r="DK226" i="1"/>
  <c r="DK38" i="17" l="1"/>
  <c r="DK20" i="17"/>
  <c r="DK49" i="5"/>
  <c r="DK47" i="5"/>
  <c r="DL47" i="5" s="1"/>
  <c r="DM47" i="5" s="1"/>
  <c r="DN47" i="5" s="1"/>
  <c r="DO47" i="5" s="1"/>
  <c r="DK46" i="5"/>
  <c r="DK45" i="5"/>
  <c r="DL45" i="5" s="1"/>
  <c r="DM45" i="5" s="1"/>
  <c r="DN45" i="5" s="1"/>
  <c r="DO45" i="5" s="1"/>
  <c r="DK44" i="5"/>
  <c r="DL44" i="5" s="1"/>
  <c r="DM44" i="5" s="1"/>
  <c r="DN44" i="5" s="1"/>
  <c r="DO44" i="5" s="1"/>
  <c r="DK43" i="5"/>
  <c r="DK42" i="5"/>
  <c r="DL42" i="5" s="1"/>
  <c r="DM42" i="5" s="1"/>
  <c r="DN42" i="5" s="1"/>
  <c r="DO42" i="5" s="1"/>
  <c r="DK41" i="5"/>
  <c r="DK40" i="5"/>
  <c r="DK38" i="5"/>
  <c r="DL38" i="5" s="1"/>
  <c r="DM38" i="5" s="1"/>
  <c r="DN38" i="5" s="1"/>
  <c r="DO38" i="5" s="1"/>
  <c r="DK37" i="5"/>
  <c r="DK36" i="5"/>
  <c r="DL36" i="5" s="1"/>
  <c r="DM36" i="5" s="1"/>
  <c r="DN36" i="5" s="1"/>
  <c r="DO36" i="5" s="1"/>
  <c r="DK35" i="5"/>
  <c r="DL35" i="5" s="1"/>
  <c r="DM35" i="5" s="1"/>
  <c r="DN35" i="5" s="1"/>
  <c r="DO35" i="5" s="1"/>
  <c r="DK34" i="5"/>
  <c r="DK33" i="5"/>
  <c r="DL33" i="5" s="1"/>
  <c r="DM33" i="5" s="1"/>
  <c r="DK30" i="5"/>
  <c r="DL30" i="5" s="1"/>
  <c r="DM30" i="5" s="1"/>
  <c r="DN30" i="5" s="1"/>
  <c r="DO30" i="5" s="1"/>
  <c r="DK29" i="5"/>
  <c r="DL29" i="5" s="1"/>
  <c r="DM29" i="5" s="1"/>
  <c r="DN29" i="5" s="1"/>
  <c r="DO29" i="5" s="1"/>
  <c r="DK28" i="5"/>
  <c r="DK27" i="5"/>
  <c r="DL27" i="5" s="1"/>
  <c r="DM27" i="5" s="1"/>
  <c r="DN27" i="5" s="1"/>
  <c r="DO27" i="5" s="1"/>
  <c r="DK26" i="5"/>
  <c r="DL26" i="5" s="1"/>
  <c r="DM26" i="5" s="1"/>
  <c r="DN26" i="5" s="1"/>
  <c r="DO26" i="5" s="1"/>
  <c r="DK25" i="5"/>
  <c r="DK24" i="5"/>
  <c r="DL24" i="5" s="1"/>
  <c r="DM24" i="5" s="1"/>
  <c r="DN24" i="5" s="1"/>
  <c r="DO24" i="5" s="1"/>
  <c r="DK23" i="5"/>
  <c r="DL23" i="5" s="1"/>
  <c r="DM23" i="5" s="1"/>
  <c r="DK22" i="5"/>
  <c r="DK21" i="5"/>
  <c r="DL21" i="5" s="1"/>
  <c r="DM21" i="5" s="1"/>
  <c r="DN21" i="5" s="1"/>
  <c r="DO21" i="5" s="1"/>
  <c r="DK20" i="5"/>
  <c r="DK19" i="5"/>
  <c r="DK17" i="5"/>
  <c r="DL17" i="5" s="1"/>
  <c r="DM17" i="5" s="1"/>
  <c r="DN17" i="5" s="1"/>
  <c r="DO17" i="5" s="1"/>
  <c r="DK15" i="5"/>
  <c r="DL15" i="5" s="1"/>
  <c r="DM15" i="5" s="1"/>
  <c r="DN15" i="5" s="1"/>
  <c r="DO15" i="5" s="1"/>
  <c r="DK14" i="5"/>
  <c r="DL14" i="5" s="1"/>
  <c r="DM14" i="5" s="1"/>
  <c r="DN14" i="5" s="1"/>
  <c r="DO14" i="5" s="1"/>
  <c r="DK13" i="5"/>
  <c r="DK12" i="5"/>
  <c r="DL12" i="5" s="1"/>
  <c r="DM12" i="5" s="1"/>
  <c r="DN12" i="5" s="1"/>
  <c r="DO12" i="5" s="1"/>
  <c r="DK11" i="5"/>
  <c r="DL11" i="5" s="1"/>
  <c r="DM11" i="5" s="1"/>
  <c r="DN11" i="5" s="1"/>
  <c r="DO11" i="5" s="1"/>
  <c r="DK10" i="5"/>
  <c r="DK9" i="5"/>
  <c r="DL9" i="5" s="1"/>
  <c r="DM9" i="5" s="1"/>
  <c r="DN9" i="5" s="1"/>
  <c r="DK8" i="5"/>
  <c r="DL8" i="5" s="1"/>
  <c r="DM8" i="5" s="1"/>
  <c r="DN8" i="5" s="1"/>
  <c r="DO8" i="5" s="1"/>
  <c r="DK7" i="5"/>
  <c r="DK47" i="4"/>
  <c r="DK45" i="4"/>
  <c r="DK44" i="4"/>
  <c r="DK43" i="4"/>
  <c r="DK42" i="4"/>
  <c r="DK41" i="4"/>
  <c r="DK40" i="4"/>
  <c r="DK38" i="4"/>
  <c r="DK37" i="4"/>
  <c r="DK36" i="4"/>
  <c r="DK35" i="4"/>
  <c r="DK34" i="4"/>
  <c r="DK32" i="4"/>
  <c r="DK31" i="4"/>
  <c r="DK63" i="4" s="1"/>
  <c r="DK30" i="4"/>
  <c r="DK29" i="4"/>
  <c r="DK28" i="4"/>
  <c r="DK27" i="4"/>
  <c r="DL77" i="4" s="1"/>
  <c r="DK23" i="4"/>
  <c r="DK22" i="4"/>
  <c r="DK21" i="4"/>
  <c r="DK20" i="4"/>
  <c r="DK19" i="4"/>
  <c r="DK18" i="4"/>
  <c r="DK17" i="4"/>
  <c r="DK16" i="4"/>
  <c r="DK14" i="4"/>
  <c r="DK13" i="4"/>
  <c r="DL78" i="4" s="1"/>
  <c r="DL79" i="4" s="1"/>
  <c r="DK12" i="4"/>
  <c r="DK11" i="4"/>
  <c r="DK10" i="4"/>
  <c r="DK9" i="4"/>
  <c r="DL76" i="4" s="1"/>
  <c r="DK8" i="4"/>
  <c r="DK7" i="4"/>
  <c r="DK31" i="5"/>
  <c r="DK105" i="1"/>
  <c r="DK16" i="5" s="1"/>
  <c r="DL80" i="4" l="1"/>
  <c r="DL25" i="5"/>
  <c r="DM25" i="5" s="1"/>
  <c r="DN25" i="5" s="1"/>
  <c r="DN33" i="5"/>
  <c r="DM55" i="5"/>
  <c r="DL40" i="5"/>
  <c r="DM40" i="5" s="1"/>
  <c r="DN40" i="5" s="1"/>
  <c r="DL46" i="5"/>
  <c r="DM46" i="5" s="1"/>
  <c r="DN46" i="5" s="1"/>
  <c r="DL20" i="5"/>
  <c r="DM20" i="5" s="1"/>
  <c r="DN20" i="5" s="1"/>
  <c r="DL41" i="5"/>
  <c r="DM41" i="5" s="1"/>
  <c r="DL49" i="5"/>
  <c r="DM49" i="5" s="1"/>
  <c r="DN49" i="5" s="1"/>
  <c r="DL10" i="5"/>
  <c r="DM10" i="5" s="1"/>
  <c r="DN10" i="5" s="1"/>
  <c r="DN54" i="3" s="1"/>
  <c r="DN55" i="3" s="1"/>
  <c r="DN61" i="3" s="1"/>
  <c r="DL19" i="5"/>
  <c r="DM19" i="5" s="1"/>
  <c r="DN19" i="5" s="1"/>
  <c r="DL16" i="5"/>
  <c r="DM16" i="5" s="1"/>
  <c r="DN16" i="5" s="1"/>
  <c r="DL31" i="5"/>
  <c r="DM31" i="5" s="1"/>
  <c r="DN31" i="5" s="1"/>
  <c r="DL22" i="5"/>
  <c r="DM22" i="5" s="1"/>
  <c r="DN22" i="5" s="1"/>
  <c r="DL28" i="5"/>
  <c r="DM28" i="5" s="1"/>
  <c r="DN28" i="5" s="1"/>
  <c r="DL43" i="5"/>
  <c r="DM43" i="5" s="1"/>
  <c r="DN43" i="5" s="1"/>
  <c r="DL34" i="5"/>
  <c r="DM34" i="5" s="1"/>
  <c r="DN34" i="5" s="1"/>
  <c r="DL7" i="5"/>
  <c r="DM7" i="5" s="1"/>
  <c r="DL13" i="5"/>
  <c r="DM13" i="5" s="1"/>
  <c r="DN13" i="5" s="1"/>
  <c r="DO13" i="5" s="1"/>
  <c r="DO9" i="5"/>
  <c r="DN23" i="5"/>
  <c r="DO23" i="5" s="1"/>
  <c r="DL37" i="5"/>
  <c r="DM37" i="5" s="1"/>
  <c r="DN37" i="5" s="1"/>
  <c r="DL55" i="5"/>
  <c r="DK60" i="4"/>
  <c r="DK64" i="4" s="1"/>
  <c r="DK15" i="4"/>
  <c r="DK39" i="5"/>
  <c r="DK48" i="5"/>
  <c r="DK46" i="4"/>
  <c r="DK48" i="4" s="1"/>
  <c r="DK62" i="4" s="1"/>
  <c r="DK65" i="4" s="1"/>
  <c r="DK18" i="5"/>
  <c r="DK32" i="5" s="1"/>
  <c r="DK33" i="4"/>
  <c r="DK39" i="4" s="1"/>
  <c r="DK55" i="5"/>
  <c r="DK56" i="4"/>
  <c r="DK69" i="4" s="1"/>
  <c r="DK24" i="4"/>
  <c r="DL89" i="4" l="1"/>
  <c r="DP81" i="4"/>
  <c r="DO28" i="5"/>
  <c r="DO25" i="5"/>
  <c r="DO20" i="5"/>
  <c r="DL54" i="3"/>
  <c r="DL55" i="3" s="1"/>
  <c r="DL18" i="5"/>
  <c r="DL32" i="5" s="1"/>
  <c r="DO16" i="5"/>
  <c r="DO43" i="5"/>
  <c r="DO49" i="5"/>
  <c r="DL48" i="5"/>
  <c r="DO10" i="5"/>
  <c r="DO31" i="5"/>
  <c r="DO46" i="5"/>
  <c r="DM48" i="5"/>
  <c r="DN41" i="5"/>
  <c r="DN48" i="5" s="1"/>
  <c r="DO37" i="5"/>
  <c r="DN18" i="5"/>
  <c r="DO33" i="5"/>
  <c r="DN39" i="5"/>
  <c r="DN55" i="5"/>
  <c r="DM39" i="5"/>
  <c r="DK54" i="5"/>
  <c r="DK56" i="5" s="1"/>
  <c r="DM18" i="5"/>
  <c r="DM32" i="5" s="1"/>
  <c r="DL39" i="5"/>
  <c r="DN7" i="5"/>
  <c r="DO34" i="5"/>
  <c r="DO22" i="5"/>
  <c r="DO19" i="5"/>
  <c r="DO40" i="5"/>
  <c r="DK84" i="4"/>
  <c r="DK50" i="5"/>
  <c r="DK75" i="4"/>
  <c r="DK49" i="4"/>
  <c r="DK70" i="4"/>
  <c r="DK66" i="4"/>
  <c r="DL61" i="3" l="1"/>
  <c r="DL54" i="5"/>
  <c r="DL56" i="5" s="1"/>
  <c r="DO41" i="5"/>
  <c r="DO48" i="5" s="1"/>
  <c r="DL50" i="5"/>
  <c r="DO18" i="5"/>
  <c r="DM50" i="5"/>
  <c r="DM54" i="5"/>
  <c r="DM56" i="5" s="1"/>
  <c r="DO55" i="5"/>
  <c r="DO39" i="5"/>
  <c r="DN32" i="5"/>
  <c r="DO7" i="5"/>
  <c r="DK42" i="3"/>
  <c r="DK25" i="3"/>
  <c r="DK22" i="3"/>
  <c r="DK19" i="3"/>
  <c r="DK17" i="3"/>
  <c r="DK16" i="3"/>
  <c r="DK15" i="3"/>
  <c r="DK14" i="3"/>
  <c r="DK11" i="3"/>
  <c r="DK10" i="3"/>
  <c r="DK9" i="3"/>
  <c r="DK187" i="2"/>
  <c r="DK184" i="2"/>
  <c r="DK183" i="2"/>
  <c r="DK181" i="2"/>
  <c r="DP267" i="2" s="1"/>
  <c r="DK180" i="2"/>
  <c r="DK179" i="2"/>
  <c r="DK178" i="2"/>
  <c r="DK168" i="2"/>
  <c r="DK81" i="2"/>
  <c r="DK79" i="2"/>
  <c r="DK74" i="2"/>
  <c r="DK69" i="2"/>
  <c r="DK36" i="2"/>
  <c r="DK188" i="1"/>
  <c r="DK23" i="3"/>
  <c r="DL59" i="5" l="1"/>
  <c r="DL57" i="5"/>
  <c r="DP128" i="2"/>
  <c r="DP112" i="2"/>
  <c r="DP266" i="2"/>
  <c r="DP250" i="2"/>
  <c r="DP129" i="2"/>
  <c r="DP113" i="2"/>
  <c r="DP238" i="2"/>
  <c r="DP254" i="2"/>
  <c r="DK48" i="3"/>
  <c r="DP117" i="2"/>
  <c r="DP107" i="2"/>
  <c r="DP264" i="2"/>
  <c r="DP248" i="2"/>
  <c r="DP127" i="2"/>
  <c r="DP111" i="2"/>
  <c r="DP249" i="2"/>
  <c r="DP265" i="2"/>
  <c r="DK185" i="2"/>
  <c r="DO188" i="1"/>
  <c r="DN54" i="5"/>
  <c r="DN56" i="5" s="1"/>
  <c r="DN50" i="5"/>
  <c r="DO32" i="5"/>
  <c r="DM59" i="5"/>
  <c r="DM57" i="5"/>
  <c r="DK233" i="2"/>
  <c r="DL285" i="2"/>
  <c r="DK221" i="2"/>
  <c r="DK232" i="2"/>
  <c r="DK61" i="4"/>
  <c r="DK59" i="5"/>
  <c r="DK186" i="2"/>
  <c r="DK231" i="2"/>
  <c r="DK33" i="3"/>
  <c r="DP268" i="2" l="1"/>
  <c r="DO50" i="5"/>
  <c r="DO54" i="5"/>
  <c r="DO56" i="5" s="1"/>
  <c r="DN59" i="5"/>
  <c r="DN57" i="5"/>
  <c r="DK188" i="2"/>
  <c r="DI226" i="1"/>
  <c r="DJ225" i="1"/>
  <c r="DJ224" i="1"/>
  <c r="DJ223" i="1"/>
  <c r="DJ222" i="1"/>
  <c r="DJ220" i="1"/>
  <c r="DJ219" i="1"/>
  <c r="DK212" i="1"/>
  <c r="DK210" i="1"/>
  <c r="DK206" i="1"/>
  <c r="DK189" i="1"/>
  <c r="DO189" i="1" s="1"/>
  <c r="DO190" i="1" s="1"/>
  <c r="DK183" i="1"/>
  <c r="DK165" i="1"/>
  <c r="DK137" i="1"/>
  <c r="DK128" i="1"/>
  <c r="DK107" i="1"/>
  <c r="DK121" i="1" s="1"/>
  <c r="DK86" i="1"/>
  <c r="DK88" i="1" s="1"/>
  <c r="DK73" i="1"/>
  <c r="DK79" i="1" s="1"/>
  <c r="DK55" i="1"/>
  <c r="DK64" i="1" s="1"/>
  <c r="DK36" i="1"/>
  <c r="DK32" i="1"/>
  <c r="DK13" i="1"/>
  <c r="DK9" i="1"/>
  <c r="DP269" i="2" l="1"/>
  <c r="DK12" i="3"/>
  <c r="DO13" i="1"/>
  <c r="DO18" i="1" s="1"/>
  <c r="DO24" i="1" s="1"/>
  <c r="DO27" i="1" s="1"/>
  <c r="DK89" i="1"/>
  <c r="DK18" i="1"/>
  <c r="DK24" i="1" s="1"/>
  <c r="DK27" i="1" s="1"/>
  <c r="DK29" i="1" s="1"/>
  <c r="DO29" i="1" s="1"/>
  <c r="DK8" i="3"/>
  <c r="DL74" i="3" s="1"/>
  <c r="DJ226" i="1"/>
  <c r="DK190" i="1"/>
  <c r="DK213" i="1"/>
  <c r="DK208" i="1"/>
  <c r="DK139" i="1"/>
  <c r="DK35" i="1" l="1"/>
  <c r="DK37" i="1" s="1"/>
  <c r="DK31" i="1"/>
  <c r="DK33" i="1" s="1"/>
  <c r="DK13" i="3"/>
  <c r="DK18" i="3" s="1"/>
  <c r="DK85" i="4" s="1"/>
  <c r="DK58" i="3"/>
  <c r="DK60" i="3"/>
  <c r="DK59" i="3"/>
  <c r="DK21" i="3" l="1"/>
  <c r="DK24" i="3" l="1"/>
  <c r="DL77" i="3" s="1"/>
  <c r="DK63" i="3"/>
  <c r="DK46" i="3" s="1"/>
  <c r="DK57" i="5" l="1"/>
  <c r="DK64" i="3"/>
  <c r="DK26" i="3"/>
  <c r="DK32" i="3"/>
  <c r="DL78" i="3" s="1"/>
  <c r="DI47" i="4"/>
  <c r="DI45" i="4"/>
  <c r="DI44" i="4"/>
  <c r="DI43" i="4"/>
  <c r="DI42" i="4"/>
  <c r="DI41" i="4"/>
  <c r="DI40" i="4"/>
  <c r="DI38" i="4"/>
  <c r="DI37" i="4"/>
  <c r="DI36" i="4"/>
  <c r="DI35" i="4"/>
  <c r="DI34" i="4"/>
  <c r="DI32" i="4"/>
  <c r="DI31" i="4"/>
  <c r="DI30" i="4"/>
  <c r="DI29" i="4"/>
  <c r="DI28" i="4"/>
  <c r="DI27" i="4"/>
  <c r="DI23" i="4"/>
  <c r="DI22" i="4"/>
  <c r="DI21" i="4"/>
  <c r="DI20" i="4"/>
  <c r="DI19" i="4"/>
  <c r="DI18" i="4"/>
  <c r="DI17" i="4"/>
  <c r="DI16" i="4"/>
  <c r="DI14" i="4"/>
  <c r="DI13" i="4"/>
  <c r="DI12" i="4"/>
  <c r="DI11" i="4"/>
  <c r="DI10" i="4"/>
  <c r="DI9" i="4"/>
  <c r="DI8" i="4"/>
  <c r="DI7" i="4"/>
  <c r="DI134" i="1"/>
  <c r="DI127" i="1"/>
  <c r="DI105" i="1"/>
  <c r="DI120" i="1"/>
  <c r="DI63" i="4" l="1"/>
  <c r="DK34" i="3"/>
  <c r="DI56" i="4"/>
  <c r="DI33" i="4"/>
  <c r="DI39" i="4" s="1"/>
  <c r="DI15" i="4"/>
  <c r="DI60" i="4"/>
  <c r="DI46" i="4"/>
  <c r="DI48" i="4" s="1"/>
  <c r="DI62" i="4" s="1"/>
  <c r="DI65" i="4" s="1"/>
  <c r="DI42" i="3"/>
  <c r="DI23" i="3"/>
  <c r="DI40" i="3"/>
  <c r="DI25" i="3"/>
  <c r="DI22" i="3"/>
  <c r="DI20" i="3"/>
  <c r="DI19" i="3"/>
  <c r="DI17" i="3"/>
  <c r="DI16" i="3"/>
  <c r="DI15" i="3"/>
  <c r="DI14" i="3"/>
  <c r="DI11" i="3"/>
  <c r="DI10" i="3"/>
  <c r="DI9" i="3"/>
  <c r="DI290" i="2"/>
  <c r="DI187" i="2"/>
  <c r="DI184" i="2"/>
  <c r="DI183" i="2"/>
  <c r="DI181" i="2"/>
  <c r="DI180" i="2"/>
  <c r="DI179" i="2"/>
  <c r="DI178" i="2"/>
  <c r="DI168" i="2"/>
  <c r="DI81" i="2"/>
  <c r="DI79" i="2"/>
  <c r="DI74" i="2"/>
  <c r="DI69" i="2"/>
  <c r="DI36" i="2"/>
  <c r="DI188" i="1"/>
  <c r="DI185" i="2" s="1"/>
  <c r="DI69" i="4" l="1"/>
  <c r="DI70" i="4" s="1"/>
  <c r="DI48" i="3"/>
  <c r="DN111" i="2"/>
  <c r="DN112" i="2"/>
  <c r="DI33" i="3"/>
  <c r="DI29" i="3"/>
  <c r="DI64" i="4"/>
  <c r="DI66" i="4" s="1"/>
  <c r="DK272" i="2"/>
  <c r="DI231" i="2"/>
  <c r="DK282" i="2"/>
  <c r="DK284" i="2"/>
  <c r="DK285" i="2"/>
  <c r="DK283" i="2"/>
  <c r="DI232" i="2"/>
  <c r="DI221" i="2"/>
  <c r="DI49" i="4"/>
  <c r="DI61" i="4"/>
  <c r="DI24" i="4"/>
  <c r="DN81" i="4" s="1"/>
  <c r="DI75" i="4"/>
  <c r="DI84" i="4"/>
  <c r="DI212" i="1"/>
  <c r="DI210" i="1"/>
  <c r="DJ207" i="1"/>
  <c r="DI206" i="1"/>
  <c r="DJ205" i="1"/>
  <c r="DJ204" i="1"/>
  <c r="DJ203" i="1"/>
  <c r="DJ196" i="1"/>
  <c r="DJ195" i="1"/>
  <c r="DJ194" i="1"/>
  <c r="DJ193" i="1"/>
  <c r="DJ187" i="1"/>
  <c r="DJ186" i="1"/>
  <c r="DJ185" i="1"/>
  <c r="DI183" i="1"/>
  <c r="DJ182" i="1"/>
  <c r="DJ181" i="1"/>
  <c r="DJ173" i="1"/>
  <c r="DJ172" i="1"/>
  <c r="DJ171" i="1"/>
  <c r="DJ170" i="1"/>
  <c r="DJ169" i="1"/>
  <c r="DJ168" i="1"/>
  <c r="DI165" i="1"/>
  <c r="DJ164" i="1"/>
  <c r="DJ162" i="1"/>
  <c r="DJ161" i="1"/>
  <c r="DJ160" i="1"/>
  <c r="DJ153" i="1"/>
  <c r="DJ152" i="1"/>
  <c r="DJ151" i="1"/>
  <c r="DJ150" i="1"/>
  <c r="DJ149" i="1"/>
  <c r="DJ148" i="1"/>
  <c r="DJ138" i="1"/>
  <c r="DI137" i="1"/>
  <c r="DJ136" i="1"/>
  <c r="DJ135" i="1"/>
  <c r="DJ134" i="1"/>
  <c r="DJ133" i="1"/>
  <c r="DJ131" i="1"/>
  <c r="DJ130" i="1"/>
  <c r="DJ129" i="1"/>
  <c r="DI128" i="1"/>
  <c r="DJ127" i="1"/>
  <c r="DJ126" i="1"/>
  <c r="DJ125" i="1"/>
  <c r="DJ124" i="1"/>
  <c r="DJ123" i="1"/>
  <c r="DJ122" i="1"/>
  <c r="DJ120" i="1"/>
  <c r="DJ119" i="1"/>
  <c r="DJ116" i="1"/>
  <c r="DJ115" i="1"/>
  <c r="DJ114" i="1"/>
  <c r="DJ113" i="1"/>
  <c r="DJ112" i="1"/>
  <c r="DJ111" i="1"/>
  <c r="DJ110" i="1"/>
  <c r="DJ109" i="1"/>
  <c r="DJ108" i="1"/>
  <c r="DI107" i="1"/>
  <c r="DI121" i="1" s="1"/>
  <c r="DJ104" i="1"/>
  <c r="DJ102" i="1"/>
  <c r="DJ101" i="1"/>
  <c r="DJ98" i="1"/>
  <c r="DJ97" i="1"/>
  <c r="DJ96" i="1"/>
  <c r="DJ87" i="1"/>
  <c r="DI86" i="1"/>
  <c r="DI88" i="1" s="1"/>
  <c r="DJ85" i="1"/>
  <c r="DJ84" i="1"/>
  <c r="DJ83" i="1"/>
  <c r="DJ82" i="1"/>
  <c r="DJ81" i="1"/>
  <c r="DJ80" i="1"/>
  <c r="DJ78" i="1"/>
  <c r="DJ77" i="1"/>
  <c r="DJ76" i="1"/>
  <c r="DJ75" i="1"/>
  <c r="DJ74" i="1"/>
  <c r="DI73" i="1"/>
  <c r="DI79" i="1" s="1"/>
  <c r="DJ71" i="1"/>
  <c r="DJ69" i="1"/>
  <c r="DJ68" i="1"/>
  <c r="DJ67" i="1"/>
  <c r="DJ63" i="1"/>
  <c r="DJ61" i="1"/>
  <c r="DJ60" i="1"/>
  <c r="DJ59" i="1"/>
  <c r="DJ58" i="1"/>
  <c r="DJ57" i="1"/>
  <c r="DJ56" i="1"/>
  <c r="DI55" i="1"/>
  <c r="DI64" i="1" s="1"/>
  <c r="DJ54" i="1"/>
  <c r="DJ53" i="1"/>
  <c r="DJ51" i="1"/>
  <c r="DJ50" i="1"/>
  <c r="DJ49" i="1"/>
  <c r="DJ48" i="1"/>
  <c r="DJ47" i="1"/>
  <c r="DJ28" i="1"/>
  <c r="DJ25" i="1"/>
  <c r="DJ23" i="1"/>
  <c r="DJ22" i="1"/>
  <c r="DJ17" i="1"/>
  <c r="DJ16" i="1"/>
  <c r="DJ15" i="1"/>
  <c r="DJ14" i="1"/>
  <c r="DJ12" i="1"/>
  <c r="DJ11" i="1"/>
  <c r="DJ10" i="1"/>
  <c r="DJ8" i="1"/>
  <c r="DJ7" i="1"/>
  <c r="DI13" i="1"/>
  <c r="DI9" i="1"/>
  <c r="DJ9" i="1" l="1"/>
  <c r="DJ180" i="1"/>
  <c r="DI12" i="3"/>
  <c r="DJ212" i="1"/>
  <c r="DI18" i="1"/>
  <c r="DI24" i="1" s="1"/>
  <c r="DI27" i="1" s="1"/>
  <c r="DI31" i="1" s="1"/>
  <c r="DI33" i="1" s="1"/>
  <c r="DI8" i="3"/>
  <c r="DK74" i="3" s="1"/>
  <c r="DI213" i="1"/>
  <c r="DJ165" i="1"/>
  <c r="DJ210" i="1"/>
  <c r="DJ183" i="1"/>
  <c r="DI189" i="1"/>
  <c r="DJ206" i="1"/>
  <c r="DI208" i="1"/>
  <c r="DJ128" i="1"/>
  <c r="DI139" i="1"/>
  <c r="DI141" i="1" s="1"/>
  <c r="DJ137" i="1"/>
  <c r="DJ107" i="1"/>
  <c r="DJ105" i="1"/>
  <c r="DJ73" i="1"/>
  <c r="DJ79" i="1" s="1"/>
  <c r="DJ55" i="1"/>
  <c r="DJ64" i="1" s="1"/>
  <c r="DJ86" i="1"/>
  <c r="DJ88" i="1" s="1"/>
  <c r="DI89" i="1"/>
  <c r="DK141" i="1" l="1"/>
  <c r="DL141" i="1"/>
  <c r="DM141" i="1" s="1"/>
  <c r="DN141" i="1" s="1"/>
  <c r="DI29" i="1"/>
  <c r="DI35" i="1"/>
  <c r="DI37" i="1" s="1"/>
  <c r="DI13" i="3"/>
  <c r="DI18" i="3" s="1"/>
  <c r="DI58" i="3"/>
  <c r="DI59" i="3"/>
  <c r="DI60" i="3"/>
  <c r="DJ121" i="1"/>
  <c r="DJ139" i="1" s="1"/>
  <c r="DJ89" i="1"/>
  <c r="DJ208" i="1"/>
  <c r="DI190" i="1"/>
  <c r="DI21" i="3" l="1"/>
  <c r="DI85" i="4"/>
  <c r="DG286" i="1"/>
  <c r="DH286" i="1" l="1"/>
  <c r="DI286" i="1" s="1"/>
  <c r="DI24" i="3"/>
  <c r="DK77" i="3" s="1"/>
  <c r="DI63" i="3"/>
  <c r="DI64" i="3" l="1"/>
  <c r="DI26" i="3"/>
  <c r="DI32" i="3"/>
  <c r="DK78" i="3" s="1"/>
  <c r="DI34" i="3" l="1"/>
  <c r="W23" i="30"/>
  <c r="W26" i="30"/>
  <c r="W17" i="30"/>
  <c r="Z65" i="30"/>
  <c r="DH47" i="4"/>
  <c r="DH45" i="4"/>
  <c r="DH44" i="4"/>
  <c r="DH43" i="4"/>
  <c r="DH42" i="4"/>
  <c r="DH41" i="4"/>
  <c r="DH40" i="4"/>
  <c r="DH38" i="4"/>
  <c r="DH37" i="4"/>
  <c r="DH36" i="4"/>
  <c r="DH35" i="4"/>
  <c r="DH34" i="4"/>
  <c r="DH32" i="4"/>
  <c r="DH31" i="4"/>
  <c r="DH30" i="4"/>
  <c r="DH29" i="4"/>
  <c r="DH28" i="4"/>
  <c r="DH27" i="4"/>
  <c r="DI77" i="4" s="1"/>
  <c r="DH23" i="4"/>
  <c r="DH22" i="4"/>
  <c r="DH21" i="4"/>
  <c r="DH20" i="4"/>
  <c r="DH19" i="4"/>
  <c r="DH18" i="4"/>
  <c r="DH17" i="4"/>
  <c r="DH16" i="4"/>
  <c r="DH14" i="4"/>
  <c r="DH13" i="4"/>
  <c r="DI78" i="4" s="1"/>
  <c r="DI79" i="4" s="1"/>
  <c r="DH12" i="4"/>
  <c r="DH11" i="4"/>
  <c r="DH10" i="4"/>
  <c r="DH9" i="4"/>
  <c r="DI76" i="4" s="1"/>
  <c r="DH8" i="4"/>
  <c r="DH7" i="4"/>
  <c r="DH42" i="3"/>
  <c r="DH127" i="1"/>
  <c r="DH120" i="1"/>
  <c r="DH105" i="1"/>
  <c r="DH63" i="4" l="1"/>
  <c r="DH60" i="4"/>
  <c r="DI80" i="4"/>
  <c r="DH46" i="4"/>
  <c r="DH48" i="4" s="1"/>
  <c r="DH62" i="4" s="1"/>
  <c r="DH65" i="4" s="1"/>
  <c r="DH33" i="4"/>
  <c r="DH39" i="4" s="1"/>
  <c r="DH56" i="4"/>
  <c r="DH69" i="4" s="1"/>
  <c r="DH15" i="4"/>
  <c r="DH40" i="3"/>
  <c r="DH25" i="3"/>
  <c r="DH22" i="3"/>
  <c r="DH23" i="3"/>
  <c r="DH20" i="3"/>
  <c r="DH19" i="3"/>
  <c r="DH17" i="3"/>
  <c r="DH16" i="3"/>
  <c r="DH15" i="3"/>
  <c r="DH14" i="3"/>
  <c r="DH10" i="3"/>
  <c r="DH9" i="3"/>
  <c r="DH187" i="2"/>
  <c r="DH184" i="2"/>
  <c r="DH183" i="2"/>
  <c r="DH181" i="2"/>
  <c r="DH180" i="2"/>
  <c r="DH179" i="2"/>
  <c r="DH178" i="2"/>
  <c r="DH168" i="2"/>
  <c r="DH81" i="2"/>
  <c r="DH79" i="2"/>
  <c r="DH74" i="2"/>
  <c r="DH69" i="2"/>
  <c r="DH36" i="2"/>
  <c r="DH188" i="1"/>
  <c r="DH185" i="2" s="1"/>
  <c r="DH226" i="1"/>
  <c r="DH212" i="1"/>
  <c r="DH210" i="1"/>
  <c r="DH206" i="1"/>
  <c r="DH208" i="1" s="1"/>
  <c r="DH183" i="1"/>
  <c r="DH165" i="1"/>
  <c r="DH137" i="1"/>
  <c r="DH128" i="1"/>
  <c r="DH107" i="1"/>
  <c r="DH121" i="1" s="1"/>
  <c r="DH86" i="1"/>
  <c r="DH88" i="1" s="1"/>
  <c r="DH73" i="1"/>
  <c r="DH79" i="1" s="1"/>
  <c r="DH55" i="1"/>
  <c r="DH64" i="1" s="1"/>
  <c r="DH36" i="1"/>
  <c r="DH32" i="1"/>
  <c r="DH13" i="1"/>
  <c r="DH12" i="3" s="1"/>
  <c r="DH9" i="1"/>
  <c r="DH8" i="3" s="1"/>
  <c r="DI74" i="3" l="1"/>
  <c r="DM67" i="3"/>
  <c r="DM113" i="2"/>
  <c r="DM111" i="2"/>
  <c r="DH64" i="4"/>
  <c r="DH66" i="4" s="1"/>
  <c r="DI285" i="2"/>
  <c r="DI284" i="2"/>
  <c r="DH221" i="2"/>
  <c r="DI272" i="2"/>
  <c r="DI282" i="2"/>
  <c r="DI283" i="2"/>
  <c r="DH49" i="4"/>
  <c r="DH189" i="1"/>
  <c r="DH190" i="1" s="1"/>
  <c r="DH231" i="2"/>
  <c r="DH232" i="2"/>
  <c r="DH58" i="3"/>
  <c r="DH59" i="3"/>
  <c r="DH60" i="3"/>
  <c r="DH48" i="3"/>
  <c r="DH61" i="4"/>
  <c r="DH70" i="4"/>
  <c r="DH75" i="4"/>
  <c r="DH24" i="4"/>
  <c r="DH84" i="4"/>
  <c r="DH13" i="3"/>
  <c r="DH18" i="3" s="1"/>
  <c r="DH139" i="1"/>
  <c r="DH141" i="1" s="1"/>
  <c r="DH213" i="1"/>
  <c r="DH18" i="1"/>
  <c r="DH24" i="1" s="1"/>
  <c r="DH27" i="1" s="1"/>
  <c r="DH35" i="1" s="1"/>
  <c r="DH37" i="1" s="1"/>
  <c r="DH89" i="1"/>
  <c r="DI89" i="4" l="1"/>
  <c r="DM81" i="4"/>
  <c r="DH21" i="3"/>
  <c r="DH63" i="3" s="1"/>
  <c r="DH85" i="4"/>
  <c r="DH29" i="1"/>
  <c r="DH31" i="1"/>
  <c r="DH33" i="1" s="1"/>
  <c r="Y65" i="30"/>
  <c r="W65" i="30"/>
  <c r="X65" i="30" l="1"/>
  <c r="AV74" i="30" l="1"/>
  <c r="AU74" i="30"/>
  <c r="AU72" i="30"/>
  <c r="Z83" i="30"/>
  <c r="AR72" i="30" s="1"/>
  <c r="Y83" i="30"/>
  <c r="AQ72" i="30" s="1"/>
  <c r="AU73" i="30" l="1"/>
  <c r="DG20" i="3"/>
  <c r="DG127" i="1" l="1"/>
  <c r="DG120" i="1"/>
  <c r="DG47" i="4"/>
  <c r="DG45" i="4"/>
  <c r="DG44" i="4"/>
  <c r="DG43" i="4"/>
  <c r="DG42" i="4"/>
  <c r="DG41" i="4"/>
  <c r="DG40" i="4"/>
  <c r="DG38" i="4"/>
  <c r="DG37" i="4"/>
  <c r="DG36" i="4"/>
  <c r="DG35" i="4"/>
  <c r="DG34" i="4"/>
  <c r="DG32" i="4"/>
  <c r="DG31" i="4"/>
  <c r="DG30" i="4"/>
  <c r="DG29" i="4"/>
  <c r="DG28" i="4"/>
  <c r="DG27" i="4"/>
  <c r="DH77" i="4" s="1"/>
  <c r="DG23" i="4"/>
  <c r="DG22" i="4"/>
  <c r="DG21" i="4"/>
  <c r="DG20" i="4"/>
  <c r="DG19" i="4"/>
  <c r="DG18" i="4"/>
  <c r="DG17" i="4"/>
  <c r="DG16" i="4"/>
  <c r="DG14" i="4"/>
  <c r="DG13" i="4"/>
  <c r="DH78" i="4" s="1"/>
  <c r="DH79" i="4" s="1"/>
  <c r="DG12" i="4"/>
  <c r="DG11" i="4"/>
  <c r="DG10" i="4"/>
  <c r="DG9" i="4"/>
  <c r="DH76" i="4" s="1"/>
  <c r="DG8" i="4"/>
  <c r="DG7" i="4"/>
  <c r="DG105" i="1"/>
  <c r="DG15" i="4" l="1"/>
  <c r="DG24" i="4" s="1"/>
  <c r="DL81" i="4" s="1"/>
  <c r="DH80" i="4"/>
  <c r="DG63" i="4"/>
  <c r="DG56" i="4"/>
  <c r="DG60" i="4"/>
  <c r="DG33" i="4"/>
  <c r="DG39" i="4" s="1"/>
  <c r="DG46" i="4"/>
  <c r="DG48" i="4" s="1"/>
  <c r="DG62" i="4" s="1"/>
  <c r="DG40" i="3"/>
  <c r="DG42" i="3"/>
  <c r="DG25" i="3"/>
  <c r="DG23" i="3"/>
  <c r="DG22" i="3"/>
  <c r="DG19" i="3"/>
  <c r="DG17" i="3"/>
  <c r="DG16" i="3"/>
  <c r="DG15" i="3"/>
  <c r="DG14" i="3"/>
  <c r="DG11" i="3"/>
  <c r="DG10" i="3"/>
  <c r="DG9" i="3"/>
  <c r="DG183" i="2"/>
  <c r="DG184" i="2"/>
  <c r="DG187" i="2"/>
  <c r="DG181" i="2"/>
  <c r="DG180" i="2"/>
  <c r="DG179" i="2"/>
  <c r="DG178" i="2"/>
  <c r="DG168" i="2"/>
  <c r="DG48" i="3" l="1"/>
  <c r="DH285" i="2"/>
  <c r="DH282" i="2"/>
  <c r="DH272" i="2"/>
  <c r="DH283" i="2"/>
  <c r="DH284" i="2"/>
  <c r="DG65" i="4"/>
  <c r="DG69" i="4"/>
  <c r="DG70" i="4" s="1"/>
  <c r="DG64" i="4"/>
  <c r="DG66" i="4" s="1"/>
  <c r="DG75" i="4"/>
  <c r="DG49" i="4"/>
  <c r="DG61" i="4"/>
  <c r="DG84" i="4"/>
  <c r="DG33" i="3"/>
  <c r="DG81" i="2" l="1"/>
  <c r="DG79" i="2"/>
  <c r="DG74" i="2"/>
  <c r="DG69" i="2"/>
  <c r="DG36" i="2"/>
  <c r="DG188" i="1"/>
  <c r="DG185" i="2" s="1"/>
  <c r="DG226" i="1"/>
  <c r="DF226" i="1"/>
  <c r="DG212" i="1"/>
  <c r="DG210" i="1"/>
  <c r="DG206" i="1"/>
  <c r="DG183" i="1"/>
  <c r="DG165" i="1"/>
  <c r="DG137" i="1"/>
  <c r="DG128" i="1"/>
  <c r="DG107" i="1"/>
  <c r="DG121" i="1" s="1"/>
  <c r="DG86" i="1"/>
  <c r="DG88" i="1" s="1"/>
  <c r="DG73" i="1"/>
  <c r="DG79" i="1" s="1"/>
  <c r="DG55" i="1"/>
  <c r="DG64" i="1" s="1"/>
  <c r="DG36" i="1"/>
  <c r="DG32" i="1"/>
  <c r="DG13" i="1"/>
  <c r="DG9" i="1"/>
  <c r="DG8" i="3" s="1"/>
  <c r="DL67" i="3" s="1"/>
  <c r="DF112" i="12"/>
  <c r="DJ16" i="12"/>
  <c r="DL111" i="2" l="1"/>
  <c r="DG189" i="1"/>
  <c r="DG190" i="1" s="1"/>
  <c r="DG60" i="3"/>
  <c r="DG59" i="3"/>
  <c r="DG18" i="1"/>
  <c r="DG24" i="1" s="1"/>
  <c r="DG27" i="1" s="1"/>
  <c r="DG31" i="1" s="1"/>
  <c r="DG33" i="1" s="1"/>
  <c r="DG12" i="3"/>
  <c r="DG13" i="3" s="1"/>
  <c r="DG18" i="3" s="1"/>
  <c r="DG221" i="2"/>
  <c r="DG231" i="2"/>
  <c r="DG232" i="2"/>
  <c r="DG213" i="1"/>
  <c r="DG208" i="1"/>
  <c r="DG139" i="1"/>
  <c r="DG89" i="1"/>
  <c r="DG35" i="1" l="1"/>
  <c r="DG37" i="1" s="1"/>
  <c r="DG29" i="1"/>
  <c r="DG58" i="3"/>
  <c r="DG85" i="4"/>
  <c r="DG21" i="3"/>
  <c r="AT72" i="30"/>
  <c r="AD83" i="30"/>
  <c r="AV72" i="30" s="1"/>
  <c r="AV73" i="30" s="1"/>
  <c r="AS72" i="30"/>
  <c r="DO359" i="2"/>
  <c r="DO375" i="2" s="1"/>
  <c r="DO358" i="2"/>
  <c r="DO374" i="2" s="1"/>
  <c r="DO357" i="2"/>
  <c r="DO373" i="2" s="1"/>
  <c r="DO356" i="2"/>
  <c r="DO372" i="2" s="1"/>
  <c r="DO355" i="2"/>
  <c r="DO371" i="2" s="1"/>
  <c r="DO354" i="2"/>
  <c r="DO370" i="2" s="1"/>
  <c r="DO321" i="2"/>
  <c r="DO320" i="2"/>
  <c r="DO319" i="2"/>
  <c r="DO318" i="2"/>
  <c r="DO317" i="2"/>
  <c r="DO327" i="2" s="1"/>
  <c r="DO316" i="2"/>
  <c r="DO315" i="2"/>
  <c r="DO314" i="2"/>
  <c r="DO324" i="2" s="1"/>
  <c r="DO303" i="2"/>
  <c r="DO301" i="2"/>
  <c r="DP345" i="2" s="1"/>
  <c r="DP361" i="2" s="1"/>
  <c r="DO300" i="2"/>
  <c r="DP344" i="2" s="1"/>
  <c r="DP360" i="2" s="1"/>
  <c r="DO290" i="2"/>
  <c r="DP334" i="2" s="1"/>
  <c r="DP350" i="2" s="1"/>
  <c r="DO257" i="2"/>
  <c r="DO256" i="2"/>
  <c r="DO255" i="2"/>
  <c r="DO241" i="2"/>
  <c r="DO240" i="2"/>
  <c r="DO239" i="2"/>
  <c r="DO187" i="2"/>
  <c r="DO185" i="2"/>
  <c r="DO184" i="2"/>
  <c r="DO183" i="2"/>
  <c r="DO181" i="2"/>
  <c r="DO103" i="2"/>
  <c r="DO101" i="2"/>
  <c r="DO97" i="2"/>
  <c r="DO93" i="2"/>
  <c r="DO81" i="2"/>
  <c r="DO80" i="2"/>
  <c r="DO79" i="2"/>
  <c r="DO71" i="2"/>
  <c r="DO92" i="2" s="1"/>
  <c r="DO87" i="17"/>
  <c r="DO45" i="3"/>
  <c r="DO25" i="3"/>
  <c r="DO23" i="3"/>
  <c r="DO19" i="3"/>
  <c r="DO17" i="3"/>
  <c r="DO14" i="3"/>
  <c r="DO11" i="3"/>
  <c r="DO10" i="3"/>
  <c r="DO9" i="3"/>
  <c r="DM54" i="3"/>
  <c r="DK54" i="3"/>
  <c r="DO104" i="2" l="1"/>
  <c r="DT267" i="2"/>
  <c r="DT113" i="2"/>
  <c r="DT129" i="2"/>
  <c r="DG24" i="3"/>
  <c r="DG63" i="3"/>
  <c r="DO54" i="3"/>
  <c r="DO302" i="2"/>
  <c r="DP346" i="2" s="1"/>
  <c r="DP362" i="2" s="1"/>
  <c r="DO186" i="2"/>
  <c r="DO94" i="2"/>
  <c r="DO48" i="3"/>
  <c r="DG64" i="3" l="1"/>
  <c r="DL70" i="3"/>
  <c r="DT268" i="2"/>
  <c r="DG26" i="3"/>
  <c r="DG32" i="3"/>
  <c r="DO304" i="2"/>
  <c r="DP347" i="2" s="1"/>
  <c r="DP363" i="2" s="1"/>
  <c r="DG34" i="3" l="1"/>
  <c r="DL71" i="3"/>
  <c r="DN359" i="2"/>
  <c r="DN358" i="2"/>
  <c r="DN357" i="2"/>
  <c r="DN356" i="2"/>
  <c r="DN355" i="2"/>
  <c r="DN354" i="2"/>
  <c r="DN321" i="2"/>
  <c r="DN320" i="2"/>
  <c r="DN319" i="2"/>
  <c r="DN318" i="2"/>
  <c r="DN317" i="2"/>
  <c r="DN327" i="2" s="1"/>
  <c r="DN316" i="2"/>
  <c r="DN315" i="2"/>
  <c r="DN314" i="2"/>
  <c r="DN324" i="2" s="1"/>
  <c r="DN303" i="2"/>
  <c r="DN301" i="2"/>
  <c r="DN300" i="2"/>
  <c r="DN290" i="2"/>
  <c r="DN267" i="2"/>
  <c r="DN257" i="2"/>
  <c r="DN256" i="2"/>
  <c r="DN255" i="2"/>
  <c r="DN241" i="2"/>
  <c r="DN240" i="2"/>
  <c r="DN239" i="2"/>
  <c r="DN129" i="2"/>
  <c r="DN113" i="2"/>
  <c r="DN107" i="2"/>
  <c r="DM359" i="2"/>
  <c r="DM358" i="2"/>
  <c r="DM357" i="2"/>
  <c r="DM356" i="2"/>
  <c r="DM355" i="2"/>
  <c r="DM354" i="2"/>
  <c r="DM321" i="2"/>
  <c r="DM320" i="2"/>
  <c r="DM319" i="2"/>
  <c r="DM318" i="2"/>
  <c r="DM328" i="2" s="1"/>
  <c r="DM317" i="2"/>
  <c r="DM327" i="2" s="1"/>
  <c r="DM316" i="2"/>
  <c r="DM326" i="2" s="1"/>
  <c r="DM315" i="2"/>
  <c r="DM314" i="2"/>
  <c r="DM324" i="2" s="1"/>
  <c r="DM303" i="2"/>
  <c r="DM301" i="2"/>
  <c r="DM300" i="2"/>
  <c r="DM290" i="2"/>
  <c r="DM267" i="2"/>
  <c r="DM257" i="2"/>
  <c r="DM256" i="2"/>
  <c r="DM255" i="2"/>
  <c r="DM241" i="2"/>
  <c r="DM240" i="2"/>
  <c r="DM239" i="2"/>
  <c r="DM129" i="2"/>
  <c r="DM92" i="2"/>
  <c r="DM112" i="2" s="1"/>
  <c r="DM87" i="2"/>
  <c r="DM107" i="2" s="1"/>
  <c r="DL359" i="2"/>
  <c r="DL358" i="2"/>
  <c r="DL357" i="2"/>
  <c r="DL356" i="2"/>
  <c r="DL355" i="2"/>
  <c r="DL354" i="2"/>
  <c r="DL321" i="2"/>
  <c r="DL320" i="2"/>
  <c r="DL319" i="2"/>
  <c r="DL318" i="2"/>
  <c r="DL328" i="2" s="1"/>
  <c r="DL317" i="2"/>
  <c r="DL327" i="2" s="1"/>
  <c r="DL316" i="2"/>
  <c r="DL326" i="2" s="1"/>
  <c r="DL315" i="2"/>
  <c r="DL314" i="2"/>
  <c r="DL324" i="2" s="1"/>
  <c r="DL303" i="2"/>
  <c r="DL301" i="2"/>
  <c r="DL300" i="2"/>
  <c r="DL290" i="2"/>
  <c r="DL267" i="2"/>
  <c r="DL257" i="2"/>
  <c r="DL256" i="2"/>
  <c r="DL255" i="2"/>
  <c r="DL241" i="2"/>
  <c r="DL240" i="2"/>
  <c r="DL239" i="2"/>
  <c r="DL284" i="2"/>
  <c r="DL129" i="2"/>
  <c r="DL113" i="2"/>
  <c r="DL92" i="2"/>
  <c r="DL112" i="2" s="1"/>
  <c r="DL87" i="2"/>
  <c r="DL107" i="2" s="1"/>
  <c r="DK359" i="2"/>
  <c r="DK358" i="2"/>
  <c r="DK357" i="2"/>
  <c r="DK356" i="2"/>
  <c r="DK355" i="2"/>
  <c r="DK354" i="2"/>
  <c r="DK321" i="2"/>
  <c r="DK320" i="2"/>
  <c r="DK319" i="2"/>
  <c r="DK318" i="2"/>
  <c r="DK328" i="2" s="1"/>
  <c r="DK317" i="2"/>
  <c r="DK327" i="2" s="1"/>
  <c r="DK316" i="2"/>
  <c r="DK326" i="2" s="1"/>
  <c r="DK315" i="2"/>
  <c r="DK314" i="2"/>
  <c r="DK324" i="2" s="1"/>
  <c r="DK303" i="2"/>
  <c r="DK301" i="2"/>
  <c r="DK300" i="2"/>
  <c r="DK290" i="2"/>
  <c r="DK257" i="2"/>
  <c r="DK256" i="2"/>
  <c r="DK255" i="2"/>
  <c r="DK241" i="2"/>
  <c r="DK240" i="2"/>
  <c r="DK239" i="2"/>
  <c r="DK92" i="2"/>
  <c r="DK87" i="2"/>
  <c r="DO112" i="12"/>
  <c r="DO61" i="17" s="1"/>
  <c r="DO111" i="12"/>
  <c r="DO60" i="17" s="1"/>
  <c r="DO76" i="12"/>
  <c r="DO74" i="12"/>
  <c r="DO72" i="12"/>
  <c r="DN78" i="12"/>
  <c r="DN235" i="1" s="1"/>
  <c r="DM78" i="12"/>
  <c r="DM235" i="1" s="1"/>
  <c r="DL78" i="12"/>
  <c r="AW72" i="30"/>
  <c r="AW74" i="30" s="1"/>
  <c r="DK78" i="12"/>
  <c r="DO65" i="12"/>
  <c r="DO63" i="12"/>
  <c r="DO61" i="12"/>
  <c r="DO59" i="12"/>
  <c r="DO60" i="12" s="1"/>
  <c r="DO52" i="12"/>
  <c r="DN67" i="12"/>
  <c r="DN234" i="1" s="1"/>
  <c r="DM67" i="12"/>
  <c r="DM234" i="1" s="1"/>
  <c r="DL67" i="12"/>
  <c r="DK67" i="12"/>
  <c r="DN55" i="12"/>
  <c r="DN53" i="12"/>
  <c r="DM55" i="12"/>
  <c r="DM53" i="12"/>
  <c r="DL55" i="12"/>
  <c r="DL53" i="12"/>
  <c r="DK55" i="12"/>
  <c r="DK53" i="12"/>
  <c r="DO45" i="12"/>
  <c r="DO42" i="12"/>
  <c r="DO30" i="12"/>
  <c r="DO31" i="12" s="1"/>
  <c r="DO28" i="12"/>
  <c r="DO29" i="12" s="1"/>
  <c r="DO27" i="12"/>
  <c r="DO26" i="12"/>
  <c r="DO24" i="12"/>
  <c r="DO25" i="12" s="1"/>
  <c r="DO22" i="12"/>
  <c r="DO23" i="12" s="1"/>
  <c r="DO20" i="12"/>
  <c r="DO21" i="12" s="1"/>
  <c r="DN35" i="12"/>
  <c r="DN32" i="12"/>
  <c r="DN230" i="1" s="1"/>
  <c r="DM35" i="12"/>
  <c r="DM32" i="12"/>
  <c r="DM230" i="1" s="1"/>
  <c r="DL35" i="12"/>
  <c r="DL32" i="12"/>
  <c r="DK35" i="12"/>
  <c r="DK32" i="12"/>
  <c r="DN61" i="17"/>
  <c r="DM61" i="17"/>
  <c r="DL61" i="17"/>
  <c r="DN60" i="17"/>
  <c r="DM60" i="17"/>
  <c r="DL60" i="17"/>
  <c r="DN37" i="17"/>
  <c r="DL37" i="17"/>
  <c r="DN36" i="17"/>
  <c r="DL36" i="17"/>
  <c r="DN19" i="17"/>
  <c r="DL19" i="17"/>
  <c r="DN18" i="17"/>
  <c r="DL18" i="17"/>
  <c r="DM6" i="17" l="1"/>
  <c r="DN42" i="17"/>
  <c r="AA66" i="30"/>
  <c r="DN30" i="17"/>
  <c r="DM42" i="17"/>
  <c r="AA84" i="30"/>
  <c r="AS74" i="30" s="1"/>
  <c r="AS73" i="30" s="1"/>
  <c r="DM344" i="2"/>
  <c r="DM345" i="2"/>
  <c r="DM79" i="12"/>
  <c r="DM30" i="17"/>
  <c r="DL230" i="1"/>
  <c r="AB66" i="30"/>
  <c r="DL79" i="12"/>
  <c r="DL235" i="1"/>
  <c r="AB84" i="30"/>
  <c r="AT74" i="30" s="1"/>
  <c r="AT73" i="30" s="1"/>
  <c r="DL42" i="17"/>
  <c r="DL234" i="1"/>
  <c r="DL344" i="2"/>
  <c r="DL345" i="2"/>
  <c r="DL329" i="2"/>
  <c r="DN284" i="2"/>
  <c r="DM284" i="2"/>
  <c r="DQ268" i="2"/>
  <c r="DL286" i="2"/>
  <c r="DR268" i="2"/>
  <c r="DM286" i="2"/>
  <c r="DS268" i="2"/>
  <c r="DN286" i="2"/>
  <c r="DS250" i="2"/>
  <c r="DS266" i="2"/>
  <c r="DQ266" i="2"/>
  <c r="DQ250" i="2"/>
  <c r="DR266" i="2"/>
  <c r="DR250" i="2"/>
  <c r="DO53" i="12"/>
  <c r="DK6" i="17"/>
  <c r="DK230" i="1"/>
  <c r="DK234" i="1"/>
  <c r="DK42" i="17"/>
  <c r="DK79" i="12"/>
  <c r="DK235" i="1"/>
  <c r="DK30" i="17"/>
  <c r="DL6" i="17"/>
  <c r="DK33" i="12"/>
  <c r="DN33" i="12"/>
  <c r="DN302" i="2"/>
  <c r="DK302" i="2"/>
  <c r="DO55" i="12"/>
  <c r="DO54" i="12" s="1"/>
  <c r="DO37" i="17" s="1"/>
  <c r="DL302" i="2"/>
  <c r="DN20" i="17"/>
  <c r="DL38" i="17"/>
  <c r="DM302" i="2"/>
  <c r="DL325" i="2"/>
  <c r="DL20" i="17"/>
  <c r="DO44" i="12"/>
  <c r="DO19" i="17" s="1"/>
  <c r="DO18" i="17"/>
  <c r="DO326" i="2"/>
  <c r="DO328" i="2"/>
  <c r="DO36" i="17"/>
  <c r="DK108" i="12"/>
  <c r="DP109" i="12" s="1"/>
  <c r="DN326" i="2"/>
  <c r="DK325" i="2"/>
  <c r="DN328" i="2"/>
  <c r="DN94" i="2"/>
  <c r="DO180" i="2"/>
  <c r="DK329" i="2"/>
  <c r="DM329" i="2"/>
  <c r="DO67" i="12"/>
  <c r="DO32" i="12"/>
  <c r="DO35" i="12"/>
  <c r="DM325" i="2"/>
  <c r="DM330" i="2"/>
  <c r="DN108" i="12"/>
  <c r="DS109" i="12" s="1"/>
  <c r="DM108" i="12"/>
  <c r="DR109" i="12" s="1"/>
  <c r="DL330" i="2"/>
  <c r="DO78" i="12"/>
  <c r="DL30" i="17"/>
  <c r="DK330" i="2"/>
  <c r="DL108" i="12"/>
  <c r="DQ109" i="12" s="1"/>
  <c r="DM94" i="2"/>
  <c r="DK94" i="2"/>
  <c r="DL94" i="2"/>
  <c r="DL334" i="2"/>
  <c r="DN79" i="12"/>
  <c r="DN38" i="17"/>
  <c r="DO43" i="12"/>
  <c r="DM34" i="12"/>
  <c r="DM7" i="17" s="1"/>
  <c r="DM8" i="17" s="1"/>
  <c r="DN34" i="12"/>
  <c r="DN7" i="17" s="1"/>
  <c r="DN6" i="17"/>
  <c r="DM33" i="12"/>
  <c r="DL33" i="12"/>
  <c r="DL34" i="12"/>
  <c r="DL7" i="17" s="1"/>
  <c r="DK34" i="12"/>
  <c r="DK7" i="17" s="1"/>
  <c r="DO234" i="1" l="1"/>
  <c r="DO235" i="1"/>
  <c r="DO230" i="1"/>
  <c r="DK8" i="17"/>
  <c r="DN304" i="2"/>
  <c r="DL304" i="2"/>
  <c r="DK304" i="2"/>
  <c r="DL8" i="17"/>
  <c r="DO6" i="17"/>
  <c r="DM304" i="2"/>
  <c r="DO33" i="12"/>
  <c r="DN8" i="17"/>
  <c r="DL331" i="2"/>
  <c r="DO20" i="17"/>
  <c r="DO22" i="17" s="1"/>
  <c r="DO34" i="12"/>
  <c r="DO7" i="17" s="1"/>
  <c r="DM331" i="2"/>
  <c r="DN325" i="2"/>
  <c r="DO325" i="2"/>
  <c r="DO38" i="17"/>
  <c r="DO40" i="17" s="1"/>
  <c r="DK331" i="2"/>
  <c r="DO42" i="17"/>
  <c r="DO329" i="2"/>
  <c r="DO68" i="12"/>
  <c r="DN329" i="2"/>
  <c r="DO79" i="12"/>
  <c r="DO30" i="17"/>
  <c r="DO330" i="2"/>
  <c r="DN330" i="2"/>
  <c r="DO108" i="12"/>
  <c r="DT109" i="12" l="1"/>
  <c r="DO8" i="17"/>
  <c r="DO10" i="17" s="1"/>
  <c r="DO331" i="2"/>
  <c r="DN331" i="2"/>
  <c r="X83" i="30" l="1"/>
  <c r="AP72" i="30" s="1"/>
  <c r="W83" i="30"/>
  <c r="AO72" i="30" s="1"/>
  <c r="T83" i="30"/>
  <c r="U83" i="30"/>
  <c r="V83" i="30"/>
  <c r="U65" i="30"/>
  <c r="V65" i="30"/>
  <c r="T65" i="30"/>
  <c r="S65" i="30"/>
  <c r="DF49" i="5"/>
  <c r="DG49" i="5" s="1"/>
  <c r="DH49" i="5" s="1"/>
  <c r="DI49" i="5" s="1"/>
  <c r="DF47" i="5"/>
  <c r="DG47" i="5" s="1"/>
  <c r="DH47" i="5" s="1"/>
  <c r="DI47" i="5" s="1"/>
  <c r="DF46" i="5"/>
  <c r="DG46" i="5" s="1"/>
  <c r="DH46" i="5" s="1"/>
  <c r="DI46" i="5" s="1"/>
  <c r="DF45" i="5"/>
  <c r="DG45" i="5" s="1"/>
  <c r="DH45" i="5" s="1"/>
  <c r="DI45" i="5" s="1"/>
  <c r="DF44" i="5"/>
  <c r="DG44" i="5" s="1"/>
  <c r="DH44" i="5" s="1"/>
  <c r="DI44" i="5" s="1"/>
  <c r="DF43" i="5"/>
  <c r="DG43" i="5" s="1"/>
  <c r="DH43" i="5" s="1"/>
  <c r="DI43" i="5" s="1"/>
  <c r="DF42" i="5"/>
  <c r="DG42" i="5" s="1"/>
  <c r="DH42" i="5" s="1"/>
  <c r="DI42" i="5" s="1"/>
  <c r="DF41" i="5"/>
  <c r="DG41" i="5" s="1"/>
  <c r="DH41" i="5" s="1"/>
  <c r="DI41" i="5" s="1"/>
  <c r="DF40" i="5"/>
  <c r="DG40" i="5" s="1"/>
  <c r="DH40" i="5" s="1"/>
  <c r="DF38" i="5"/>
  <c r="DG38" i="5" s="1"/>
  <c r="DH38" i="5" s="1"/>
  <c r="DI38" i="5" s="1"/>
  <c r="DF37" i="5"/>
  <c r="DG37" i="5" s="1"/>
  <c r="DH37" i="5" s="1"/>
  <c r="DI37" i="5" s="1"/>
  <c r="DF36" i="5"/>
  <c r="DG36" i="5" s="1"/>
  <c r="DH36" i="5" s="1"/>
  <c r="DI36" i="5" s="1"/>
  <c r="DF35" i="5"/>
  <c r="DG35" i="5" s="1"/>
  <c r="DH35" i="5" s="1"/>
  <c r="DI35" i="5" s="1"/>
  <c r="DF34" i="5"/>
  <c r="DG34" i="5" s="1"/>
  <c r="DH34" i="5" s="1"/>
  <c r="DI34" i="5" s="1"/>
  <c r="DF33" i="5"/>
  <c r="DG33" i="5" s="1"/>
  <c r="DH33" i="5" s="1"/>
  <c r="DI33" i="5" s="1"/>
  <c r="DF30" i="5"/>
  <c r="DG30" i="5" s="1"/>
  <c r="DH30" i="5" s="1"/>
  <c r="DI30" i="5" s="1"/>
  <c r="DF29" i="5"/>
  <c r="DG29" i="5" s="1"/>
  <c r="DH29" i="5" s="1"/>
  <c r="DI29" i="5" s="1"/>
  <c r="DF28" i="5"/>
  <c r="DG28" i="5" s="1"/>
  <c r="DH28" i="5" s="1"/>
  <c r="DI28" i="5" s="1"/>
  <c r="DF27" i="5"/>
  <c r="DG27" i="5" s="1"/>
  <c r="DH27" i="5" s="1"/>
  <c r="DI27" i="5" s="1"/>
  <c r="DF26" i="5"/>
  <c r="DG26" i="5" s="1"/>
  <c r="DH26" i="5" s="1"/>
  <c r="DI26" i="5" s="1"/>
  <c r="DF25" i="5"/>
  <c r="DG25" i="5" s="1"/>
  <c r="DH25" i="5" s="1"/>
  <c r="DI25" i="5" s="1"/>
  <c r="DF24" i="5"/>
  <c r="DG24" i="5" s="1"/>
  <c r="DH24" i="5" s="1"/>
  <c r="DI24" i="5" s="1"/>
  <c r="DF23" i="5"/>
  <c r="DG23" i="5" s="1"/>
  <c r="DH23" i="5" s="1"/>
  <c r="DI23" i="5" s="1"/>
  <c r="DF22" i="5"/>
  <c r="DG22" i="5" s="1"/>
  <c r="DH22" i="5" s="1"/>
  <c r="DI22" i="5" s="1"/>
  <c r="DF21" i="5"/>
  <c r="DG21" i="5" s="1"/>
  <c r="DH21" i="5" s="1"/>
  <c r="DI21" i="5" s="1"/>
  <c r="DF20" i="5"/>
  <c r="DG20" i="5" s="1"/>
  <c r="DH20" i="5" s="1"/>
  <c r="DI20" i="5" s="1"/>
  <c r="DF19" i="5"/>
  <c r="DG19" i="5" s="1"/>
  <c r="DH19" i="5" s="1"/>
  <c r="DI19" i="5" s="1"/>
  <c r="DF17" i="5"/>
  <c r="DG17" i="5" s="1"/>
  <c r="DH17" i="5" s="1"/>
  <c r="DI17" i="5" s="1"/>
  <c r="DF15" i="5"/>
  <c r="DG15" i="5" s="1"/>
  <c r="DH15" i="5" s="1"/>
  <c r="DI15" i="5" s="1"/>
  <c r="DF14" i="5"/>
  <c r="DG14" i="5" s="1"/>
  <c r="DH14" i="5" s="1"/>
  <c r="DI14" i="5" s="1"/>
  <c r="DF13" i="5"/>
  <c r="DG13" i="5" s="1"/>
  <c r="DH13" i="5" s="1"/>
  <c r="DI13" i="5" s="1"/>
  <c r="DF12" i="5"/>
  <c r="DG12" i="5" s="1"/>
  <c r="DH12" i="5" s="1"/>
  <c r="DI12" i="5" s="1"/>
  <c r="DF11" i="5"/>
  <c r="DG11" i="5" s="1"/>
  <c r="DH11" i="5" s="1"/>
  <c r="DI11" i="5" s="1"/>
  <c r="DF10" i="5"/>
  <c r="DG10" i="5" s="1"/>
  <c r="DH10" i="5" s="1"/>
  <c r="DI10" i="5" s="1"/>
  <c r="DF9" i="5"/>
  <c r="DG9" i="5" s="1"/>
  <c r="DH9" i="5" s="1"/>
  <c r="DI9" i="5" s="1"/>
  <c r="DF8" i="5"/>
  <c r="DG8" i="5" s="1"/>
  <c r="DH8" i="5" s="1"/>
  <c r="DI8" i="5" s="1"/>
  <c r="DF7" i="5"/>
  <c r="DG7" i="5" s="1"/>
  <c r="DH7" i="5" s="1"/>
  <c r="DI7" i="5" s="1"/>
  <c r="DF47" i="4"/>
  <c r="DF45" i="4"/>
  <c r="DF44" i="4"/>
  <c r="DF43" i="4"/>
  <c r="DF42" i="4"/>
  <c r="DF41" i="4"/>
  <c r="DF40" i="4"/>
  <c r="DF38" i="4"/>
  <c r="DF37" i="4"/>
  <c r="DF36" i="4"/>
  <c r="DF35" i="4"/>
  <c r="DF34" i="4"/>
  <c r="DF32" i="4"/>
  <c r="DF31" i="4"/>
  <c r="DF30" i="4"/>
  <c r="DF29" i="4"/>
  <c r="DF28" i="4"/>
  <c r="DF27" i="4"/>
  <c r="DG77" i="4" s="1"/>
  <c r="DF23" i="4"/>
  <c r="DF22" i="4"/>
  <c r="DF21" i="4"/>
  <c r="DF20" i="4"/>
  <c r="DF19" i="4"/>
  <c r="DF18" i="4"/>
  <c r="DF17" i="4"/>
  <c r="DF16" i="4"/>
  <c r="DF14" i="4"/>
  <c r="DF13" i="4"/>
  <c r="DG78" i="4" s="1"/>
  <c r="DG79" i="4" s="1"/>
  <c r="DF12" i="4"/>
  <c r="DF11" i="4"/>
  <c r="DF10" i="4"/>
  <c r="DF9" i="4"/>
  <c r="DG76" i="4" s="1"/>
  <c r="DF8" i="4"/>
  <c r="DF7" i="4"/>
  <c r="DF42" i="3"/>
  <c r="DF40" i="3"/>
  <c r="DF25" i="3"/>
  <c r="DF23" i="3"/>
  <c r="DF22" i="3"/>
  <c r="DF20" i="3"/>
  <c r="DF19" i="3"/>
  <c r="DF17" i="3"/>
  <c r="DF16" i="3"/>
  <c r="DF15" i="3"/>
  <c r="DF14" i="3"/>
  <c r="DF11" i="3"/>
  <c r="DF10" i="3"/>
  <c r="DF9" i="3"/>
  <c r="DF184" i="2"/>
  <c r="DF183" i="2"/>
  <c r="DF187" i="2"/>
  <c r="DF181" i="2"/>
  <c r="DF180" i="2"/>
  <c r="DF179" i="2"/>
  <c r="DF178" i="2"/>
  <c r="DF168" i="2"/>
  <c r="DF81" i="2"/>
  <c r="DF79" i="2"/>
  <c r="DF74" i="2"/>
  <c r="DF69" i="2"/>
  <c r="DF36" i="2"/>
  <c r="DF188" i="1"/>
  <c r="DF120" i="1"/>
  <c r="DF31" i="5" s="1"/>
  <c r="DG31" i="5" s="1"/>
  <c r="DH31" i="5" s="1"/>
  <c r="DI31" i="5" s="1"/>
  <c r="DF105" i="1"/>
  <c r="DF16" i="5" s="1"/>
  <c r="DG16" i="5" s="1"/>
  <c r="DH16" i="5" s="1"/>
  <c r="DI16" i="5" s="1"/>
  <c r="DF212" i="1"/>
  <c r="DF210" i="1"/>
  <c r="DF206" i="1"/>
  <c r="DF208" i="1" s="1"/>
  <c r="DF183" i="1"/>
  <c r="DF165" i="1"/>
  <c r="DF137" i="1"/>
  <c r="DF128" i="1"/>
  <c r="DF86" i="1"/>
  <c r="DF88" i="1" s="1"/>
  <c r="DF73" i="1"/>
  <c r="DF79" i="1" s="1"/>
  <c r="DF55" i="1"/>
  <c r="DF64" i="1" s="1"/>
  <c r="DF36" i="1"/>
  <c r="DF32" i="1"/>
  <c r="DF13" i="1"/>
  <c r="DF9" i="1"/>
  <c r="DF18" i="1" l="1"/>
  <c r="DF24" i="1" s="1"/>
  <c r="DF27" i="1" s="1"/>
  <c r="DF29" i="1" s="1"/>
  <c r="DJ29" i="1" s="1"/>
  <c r="DG272" i="2"/>
  <c r="DG282" i="2"/>
  <c r="DK267" i="2"/>
  <c r="DG285" i="2"/>
  <c r="DG283" i="2"/>
  <c r="DG284" i="2"/>
  <c r="DK107" i="2"/>
  <c r="DK111" i="2"/>
  <c r="DK113" i="2"/>
  <c r="DK112" i="2"/>
  <c r="DF48" i="3"/>
  <c r="DF189" i="1"/>
  <c r="DJ189" i="1" s="1"/>
  <c r="DJ190" i="1" s="1"/>
  <c r="DJ188" i="1"/>
  <c r="DI39" i="5"/>
  <c r="DI55" i="5"/>
  <c r="DF12" i="3"/>
  <c r="DJ13" i="1"/>
  <c r="DJ18" i="1" s="1"/>
  <c r="DJ24" i="1" s="1"/>
  <c r="DJ27" i="1" s="1"/>
  <c r="DH48" i="5"/>
  <c r="DI40" i="5"/>
  <c r="DI48" i="5" s="1"/>
  <c r="DI18" i="5"/>
  <c r="DI32" i="5" s="1"/>
  <c r="DH18" i="5"/>
  <c r="DH32" i="5" s="1"/>
  <c r="DH39" i="5"/>
  <c r="DH55" i="5"/>
  <c r="DK129" i="2"/>
  <c r="DG39" i="5"/>
  <c r="DG55" i="5"/>
  <c r="DG48" i="5"/>
  <c r="DG18" i="5"/>
  <c r="DG32" i="5" s="1"/>
  <c r="DF221" i="2"/>
  <c r="DF107" i="1"/>
  <c r="DF121" i="1" s="1"/>
  <c r="DF139" i="1" s="1"/>
  <c r="DF231" i="2"/>
  <c r="DF232" i="2"/>
  <c r="DF185" i="2"/>
  <c r="DF186" i="2" s="1"/>
  <c r="DG80" i="4"/>
  <c r="DF233" i="2"/>
  <c r="DK266" i="2"/>
  <c r="DK250" i="2"/>
  <c r="DF8" i="3"/>
  <c r="DF59" i="3" s="1"/>
  <c r="DF18" i="5"/>
  <c r="DF32" i="5" s="1"/>
  <c r="DF33" i="4"/>
  <c r="DF39" i="4" s="1"/>
  <c r="DF15" i="4"/>
  <c r="DF24" i="4" s="1"/>
  <c r="DK81" i="4" s="1"/>
  <c r="DF39" i="5"/>
  <c r="DF48" i="5"/>
  <c r="DF46" i="4"/>
  <c r="DF48" i="4" s="1"/>
  <c r="DF213" i="1"/>
  <c r="DF89" i="1"/>
  <c r="DF35" i="1"/>
  <c r="DF37" i="1" s="1"/>
  <c r="DF31" i="1" l="1"/>
  <c r="DF33" i="1" s="1"/>
  <c r="DF13" i="3"/>
  <c r="DF18" i="3" s="1"/>
  <c r="DF21" i="3" s="1"/>
  <c r="DF24" i="3" s="1"/>
  <c r="DK70" i="3" s="1"/>
  <c r="DK268" i="2"/>
  <c r="DF190" i="1"/>
  <c r="DF60" i="3"/>
  <c r="DK67" i="3"/>
  <c r="DG89" i="4"/>
  <c r="DI50" i="5"/>
  <c r="DI54" i="5"/>
  <c r="DI56" i="5" s="1"/>
  <c r="DH50" i="5"/>
  <c r="DH54" i="5"/>
  <c r="DH56" i="5" s="1"/>
  <c r="DK127" i="2"/>
  <c r="DK309" i="2"/>
  <c r="DF49" i="4"/>
  <c r="DG50" i="5"/>
  <c r="DG54" i="5"/>
  <c r="DG56" i="5" s="1"/>
  <c r="DF50" i="5"/>
  <c r="DE307" i="1"/>
  <c r="DE290" i="1"/>
  <c r="DE283" i="1"/>
  <c r="DD286" i="1"/>
  <c r="DC226" i="1"/>
  <c r="DE225" i="1"/>
  <c r="DE224" i="1"/>
  <c r="DE223" i="1"/>
  <c r="DE222" i="1"/>
  <c r="DE220" i="1"/>
  <c r="DE219" i="1"/>
  <c r="DF63" i="3" l="1"/>
  <c r="DI59" i="5"/>
  <c r="DI57" i="5"/>
  <c r="DH59" i="5"/>
  <c r="DK264" i="2"/>
  <c r="DK194" i="2"/>
  <c r="DK195" i="2" s="1"/>
  <c r="DK248" i="2"/>
  <c r="DG59" i="5"/>
  <c r="DG57" i="5"/>
  <c r="DF26" i="3"/>
  <c r="DE226" i="1"/>
  <c r="V20" i="30"/>
  <c r="V17" i="30"/>
  <c r="Z24" i="30"/>
  <c r="DD40" i="3"/>
  <c r="DD226" i="1"/>
  <c r="DC61" i="17"/>
  <c r="DC60" i="17"/>
  <c r="DC37" i="17"/>
  <c r="DC36" i="17"/>
  <c r="DC19" i="17"/>
  <c r="DC18" i="17"/>
  <c r="DD47" i="4"/>
  <c r="DD45" i="4"/>
  <c r="DD44" i="4"/>
  <c r="DD43" i="4"/>
  <c r="DD42" i="4"/>
  <c r="DD41" i="4"/>
  <c r="DD40" i="4"/>
  <c r="DD38" i="4"/>
  <c r="DD37" i="4"/>
  <c r="DD36" i="4"/>
  <c r="DD35" i="4"/>
  <c r="DD34" i="4"/>
  <c r="DD32" i="4"/>
  <c r="DD31" i="4"/>
  <c r="DD30" i="4"/>
  <c r="DD29" i="4"/>
  <c r="DD28" i="4"/>
  <c r="DD27" i="4"/>
  <c r="DD23" i="4"/>
  <c r="DD22" i="4"/>
  <c r="DD21" i="4"/>
  <c r="DD20" i="4"/>
  <c r="DD19" i="4"/>
  <c r="DD18" i="4"/>
  <c r="DD17" i="4"/>
  <c r="DD16" i="4"/>
  <c r="DD14" i="4"/>
  <c r="DD13" i="4"/>
  <c r="DD12" i="4"/>
  <c r="DD11" i="4"/>
  <c r="DD10" i="4"/>
  <c r="DD9" i="4"/>
  <c r="DD8" i="4"/>
  <c r="DD7" i="4"/>
  <c r="DD108" i="1"/>
  <c r="DD120" i="1"/>
  <c r="DD105" i="1"/>
  <c r="DD42" i="3"/>
  <c r="DD23" i="3"/>
  <c r="DD25" i="3"/>
  <c r="DD22" i="3"/>
  <c r="DD20" i="3"/>
  <c r="DD19" i="3"/>
  <c r="DD17" i="3"/>
  <c r="DD16" i="3"/>
  <c r="DD15" i="3"/>
  <c r="DD14" i="3"/>
  <c r="DD11" i="3"/>
  <c r="DD10" i="3"/>
  <c r="DD9" i="3"/>
  <c r="DD187" i="2"/>
  <c r="DD184" i="2"/>
  <c r="DD183" i="2"/>
  <c r="DD181" i="2"/>
  <c r="DD180" i="2"/>
  <c r="DD179" i="2"/>
  <c r="DD178" i="2"/>
  <c r="DD168" i="2"/>
  <c r="DD81" i="2"/>
  <c r="DD79" i="2"/>
  <c r="DD74" i="2"/>
  <c r="DD69" i="2"/>
  <c r="DD36" i="2"/>
  <c r="DD188" i="1"/>
  <c r="DD185" i="2" s="1"/>
  <c r="DC188" i="1"/>
  <c r="DF285" i="2" l="1"/>
  <c r="DF272" i="2"/>
  <c r="DF283" i="2"/>
  <c r="DF282" i="2"/>
  <c r="DF284" i="2"/>
  <c r="DD48" i="3"/>
  <c r="DI111" i="2"/>
  <c r="DD231" i="2"/>
  <c r="DD232" i="2"/>
  <c r="DD186" i="2"/>
  <c r="DD221" i="2"/>
  <c r="DD46" i="4"/>
  <c r="DD48" i="4" s="1"/>
  <c r="DD33" i="4"/>
  <c r="DD39" i="4" s="1"/>
  <c r="DD15" i="4"/>
  <c r="DD24" i="4" s="1"/>
  <c r="DI81" i="4" s="1"/>
  <c r="DC38" i="17"/>
  <c r="DC20" i="17"/>
  <c r="DE87" i="1"/>
  <c r="DE85" i="1"/>
  <c r="DE84" i="1"/>
  <c r="DE83" i="1"/>
  <c r="DE82" i="1"/>
  <c r="DE81" i="1"/>
  <c r="DE80" i="1"/>
  <c r="DE78" i="1"/>
  <c r="DE77" i="1"/>
  <c r="DE76" i="1"/>
  <c r="DE75" i="1"/>
  <c r="DE74" i="1"/>
  <c r="DE71" i="1"/>
  <c r="DE69" i="1"/>
  <c r="DE68" i="1"/>
  <c r="DE67" i="1"/>
  <c r="DE63" i="1"/>
  <c r="DE61" i="1"/>
  <c r="DE60" i="1"/>
  <c r="DE59" i="1"/>
  <c r="DE58" i="1"/>
  <c r="DE57" i="1"/>
  <c r="DE56" i="1"/>
  <c r="DE54" i="1"/>
  <c r="DE53" i="1"/>
  <c r="DE51" i="1"/>
  <c r="DE50" i="1"/>
  <c r="DE49" i="1"/>
  <c r="DE48" i="1"/>
  <c r="DE47" i="1"/>
  <c r="DD212" i="1"/>
  <c r="DD210" i="1"/>
  <c r="DD206" i="1"/>
  <c r="DD208" i="1" s="1"/>
  <c r="DD189" i="1"/>
  <c r="DD183" i="1"/>
  <c r="DE207" i="1"/>
  <c r="DE205" i="1"/>
  <c r="DE204" i="1"/>
  <c r="DE203" i="1"/>
  <c r="DE196" i="1"/>
  <c r="DE195" i="1"/>
  <c r="DE194" i="1"/>
  <c r="DE193" i="1"/>
  <c r="DE187" i="1"/>
  <c r="DE186" i="1"/>
  <c r="DE185" i="1"/>
  <c r="DE182" i="1"/>
  <c r="DE181" i="1"/>
  <c r="DE173" i="1"/>
  <c r="DE172" i="1"/>
  <c r="DE171" i="1"/>
  <c r="DE170" i="1"/>
  <c r="DE169" i="1"/>
  <c r="DE168" i="1"/>
  <c r="DE164" i="1"/>
  <c r="DE162" i="1"/>
  <c r="DE161" i="1"/>
  <c r="DE160" i="1"/>
  <c r="DE153" i="1"/>
  <c r="DE152" i="1"/>
  <c r="DE151" i="1"/>
  <c r="DE150" i="1"/>
  <c r="DE149" i="1"/>
  <c r="DE148" i="1"/>
  <c r="DD165" i="1"/>
  <c r="DD137" i="1"/>
  <c r="DD128" i="1"/>
  <c r="DE138" i="1"/>
  <c r="DE136" i="1"/>
  <c r="DE135" i="1"/>
  <c r="DE134" i="1"/>
  <c r="DE133" i="1"/>
  <c r="DE131" i="1"/>
  <c r="DE130" i="1"/>
  <c r="DE129" i="1"/>
  <c r="DE127" i="1"/>
  <c r="DE126" i="1"/>
  <c r="DE125" i="1"/>
  <c r="DE124" i="1"/>
  <c r="DE123" i="1"/>
  <c r="DE122" i="1"/>
  <c r="DE120" i="1"/>
  <c r="DE119" i="1"/>
  <c r="DE116" i="1"/>
  <c r="DE115" i="1"/>
  <c r="DE114" i="1"/>
  <c r="DE113" i="1"/>
  <c r="DE112" i="1"/>
  <c r="DE111" i="1"/>
  <c r="DE110" i="1"/>
  <c r="DE109" i="1"/>
  <c r="DE108" i="1"/>
  <c r="DE105" i="1"/>
  <c r="DE104" i="1"/>
  <c r="DE102" i="1"/>
  <c r="DE101" i="1"/>
  <c r="DE98" i="1"/>
  <c r="DE97" i="1"/>
  <c r="DE96" i="1"/>
  <c r="DD107" i="1"/>
  <c r="DD121" i="1" s="1"/>
  <c r="DD86" i="1"/>
  <c r="DD88" i="1" s="1"/>
  <c r="DD73" i="1"/>
  <c r="DD79" i="1" s="1"/>
  <c r="DD55" i="1"/>
  <c r="DD64" i="1" s="1"/>
  <c r="DD36" i="1"/>
  <c r="DD32" i="1"/>
  <c r="DD13" i="1"/>
  <c r="DD9" i="1"/>
  <c r="DD8" i="3" s="1"/>
  <c r="DI67" i="3" s="1"/>
  <c r="DE28" i="1"/>
  <c r="DE25" i="1"/>
  <c r="DE23" i="1"/>
  <c r="DE22" i="1"/>
  <c r="DE17" i="1"/>
  <c r="DE16" i="1"/>
  <c r="DE15" i="1"/>
  <c r="DE14" i="1"/>
  <c r="DE12" i="1"/>
  <c r="DE11" i="1"/>
  <c r="DE10" i="1"/>
  <c r="DE8" i="1"/>
  <c r="DE7" i="1"/>
  <c r="DF286" i="2" l="1"/>
  <c r="DD60" i="3"/>
  <c r="DF74" i="3"/>
  <c r="DD190" i="1"/>
  <c r="DE165" i="1"/>
  <c r="DD12" i="3"/>
  <c r="DD58" i="3" s="1"/>
  <c r="DD59" i="3"/>
  <c r="DE180" i="1"/>
  <c r="DE137" i="1"/>
  <c r="DE128" i="1"/>
  <c r="DD139" i="1"/>
  <c r="DD141" i="1" s="1"/>
  <c r="DF140" i="1" s="1"/>
  <c r="DE107" i="1"/>
  <c r="DE121" i="1" s="1"/>
  <c r="DE86" i="1"/>
  <c r="DE88" i="1" s="1"/>
  <c r="DD89" i="1"/>
  <c r="DE73" i="1"/>
  <c r="DE79" i="1" s="1"/>
  <c r="DE55" i="1"/>
  <c r="DE64" i="1" s="1"/>
  <c r="DE212" i="1"/>
  <c r="DD213" i="1"/>
  <c r="DE206" i="1"/>
  <c r="DE183" i="1"/>
  <c r="DE210" i="1"/>
  <c r="DD18" i="1"/>
  <c r="DD24" i="1" s="1"/>
  <c r="DD27" i="1" s="1"/>
  <c r="DD31" i="1" s="1"/>
  <c r="DD33" i="1" s="1"/>
  <c r="DE9" i="1"/>
  <c r="BE51" i="30"/>
  <c r="BE49" i="30"/>
  <c r="BD51" i="30"/>
  <c r="BD49" i="30"/>
  <c r="Z25" i="30"/>
  <c r="Z36" i="30"/>
  <c r="Z15" i="30"/>
  <c r="Y25" i="30"/>
  <c r="Y15" i="30"/>
  <c r="DY432" i="1"/>
  <c r="DY415" i="1"/>
  <c r="DT432" i="1"/>
  <c r="DT415" i="1"/>
  <c r="DZ268" i="2"/>
  <c r="DZ266" i="2" l="1"/>
  <c r="DZ250" i="2"/>
  <c r="DD35" i="1"/>
  <c r="DD37" i="1" s="1"/>
  <c r="DE139" i="1"/>
  <c r="DF141" i="1"/>
  <c r="DG140" i="1"/>
  <c r="DG141" i="1" s="1"/>
  <c r="DD13" i="3"/>
  <c r="DD18" i="3" s="1"/>
  <c r="DD21" i="3" s="1"/>
  <c r="DD63" i="3" s="1"/>
  <c r="DE89" i="1"/>
  <c r="DE208" i="1"/>
  <c r="DD29" i="1"/>
  <c r="Y36" i="30"/>
  <c r="DJ184" i="2" l="1"/>
  <c r="DC136" i="1" l="1"/>
  <c r="DD77" i="4"/>
  <c r="DD78" i="4"/>
  <c r="DD76" i="4"/>
  <c r="DC25" i="3"/>
  <c r="DC23" i="3"/>
  <c r="DC22" i="3"/>
  <c r="DC20" i="3"/>
  <c r="DC19" i="3"/>
  <c r="DC17" i="3"/>
  <c r="DC16" i="3"/>
  <c r="DC15" i="3"/>
  <c r="DC14" i="3"/>
  <c r="DC11" i="3"/>
  <c r="DC10" i="3"/>
  <c r="DC9" i="3"/>
  <c r="DC42" i="3"/>
  <c r="DC40" i="3"/>
  <c r="DC185" i="2"/>
  <c r="DC184" i="2"/>
  <c r="DC183" i="2"/>
  <c r="DC187" i="2"/>
  <c r="DC181" i="2"/>
  <c r="DC180" i="2"/>
  <c r="DC179" i="2"/>
  <c r="DC178" i="2"/>
  <c r="DC168" i="2"/>
  <c r="DC81" i="2"/>
  <c r="DC79" i="2"/>
  <c r="DC74" i="2"/>
  <c r="DC69" i="2"/>
  <c r="DC36" i="2"/>
  <c r="DC212" i="1"/>
  <c r="DC210" i="1"/>
  <c r="DC206" i="1"/>
  <c r="DC189" i="1"/>
  <c r="DC183" i="1"/>
  <c r="DC165" i="1"/>
  <c r="DC137" i="1"/>
  <c r="DC128" i="1"/>
  <c r="DC120" i="1"/>
  <c r="DC107" i="1" s="1"/>
  <c r="DC105" i="1"/>
  <c r="DC86" i="1"/>
  <c r="DC88" i="1" s="1"/>
  <c r="DC73" i="1"/>
  <c r="DC79" i="1" s="1"/>
  <c r="DC55" i="1"/>
  <c r="DC64" i="1" s="1"/>
  <c r="DC36" i="1"/>
  <c r="DC32" i="1"/>
  <c r="DC13" i="1"/>
  <c r="DC12" i="3" s="1"/>
  <c r="DC9" i="1"/>
  <c r="DC8" i="3" s="1"/>
  <c r="DB226" i="1"/>
  <c r="DD285" i="2" l="1"/>
  <c r="DD282" i="2"/>
  <c r="DD283" i="2"/>
  <c r="DD272" i="2"/>
  <c r="DD284" i="2"/>
  <c r="DC48" i="3"/>
  <c r="DH111" i="2"/>
  <c r="DC232" i="2"/>
  <c r="DC221" i="2"/>
  <c r="DC121" i="1"/>
  <c r="DC139" i="1" s="1"/>
  <c r="DC141" i="1" s="1"/>
  <c r="DC213" i="1"/>
  <c r="DC13" i="3"/>
  <c r="DC18" i="3" s="1"/>
  <c r="DC21" i="3" s="1"/>
  <c r="DC59" i="3"/>
  <c r="DC208" i="1"/>
  <c r="DC18" i="1"/>
  <c r="DC24" i="1" s="1"/>
  <c r="DC27" i="1" s="1"/>
  <c r="DC89" i="1"/>
  <c r="DC231" i="2"/>
  <c r="DC190" i="1"/>
  <c r="DC60" i="3"/>
  <c r="DH81" i="4"/>
  <c r="DJ87" i="17"/>
  <c r="DB20" i="3"/>
  <c r="DC24" i="3" l="1"/>
  <c r="DC26" i="3" s="1"/>
  <c r="DC63" i="3"/>
  <c r="DC35" i="1"/>
  <c r="DC37" i="1" s="1"/>
  <c r="DC31" i="1"/>
  <c r="DC33" i="1" s="1"/>
  <c r="DC29" i="1"/>
  <c r="DC32" i="3" l="1"/>
  <c r="DB136" i="1"/>
  <c r="DB137" i="1" s="1"/>
  <c r="DB128" i="1"/>
  <c r="DB120" i="1"/>
  <c r="DB107" i="1"/>
  <c r="DB105" i="1"/>
  <c r="DB121" i="1" l="1"/>
  <c r="DB139" i="1" s="1"/>
  <c r="DB141" i="1" s="1"/>
  <c r="DB47" i="4"/>
  <c r="DB45" i="4"/>
  <c r="DB44" i="4"/>
  <c r="DB43" i="4"/>
  <c r="DB42" i="4"/>
  <c r="DB41" i="4"/>
  <c r="DB40" i="4"/>
  <c r="DB38" i="4"/>
  <c r="DB37" i="4"/>
  <c r="DB36" i="4"/>
  <c r="DB35" i="4"/>
  <c r="DB34" i="4"/>
  <c r="DB32" i="4"/>
  <c r="DB31" i="4"/>
  <c r="DB30" i="4"/>
  <c r="DB29" i="4"/>
  <c r="DB28" i="4"/>
  <c r="DB27" i="4"/>
  <c r="DB23" i="4"/>
  <c r="DB22" i="4"/>
  <c r="DB21" i="4"/>
  <c r="DB20" i="4"/>
  <c r="DB19" i="4"/>
  <c r="DB18" i="4"/>
  <c r="DB17" i="4"/>
  <c r="DB16" i="4"/>
  <c r="DB14" i="4"/>
  <c r="DB13" i="4"/>
  <c r="DC78" i="4" s="1"/>
  <c r="DB12" i="4"/>
  <c r="DB11" i="4"/>
  <c r="DB10" i="4"/>
  <c r="DB9" i="4"/>
  <c r="DC76" i="4" s="1"/>
  <c r="DB8" i="4"/>
  <c r="DB7" i="4"/>
  <c r="DB60" i="4" s="1"/>
  <c r="DB56" i="4" l="1"/>
  <c r="DB63" i="4"/>
  <c r="DB33" i="4"/>
  <c r="DB39" i="4" s="1"/>
  <c r="DC77" i="4"/>
  <c r="DB46" i="4"/>
  <c r="DB48" i="4" s="1"/>
  <c r="DB64" i="4"/>
  <c r="DB15" i="4"/>
  <c r="DB49" i="4" l="1"/>
  <c r="DB69" i="4"/>
  <c r="DB70" i="4" s="1"/>
  <c r="DB62" i="4"/>
  <c r="DB65" i="4" s="1"/>
  <c r="DB75" i="4"/>
  <c r="DB24" i="4"/>
  <c r="DG81" i="4" s="1"/>
  <c r="DB84" i="4"/>
  <c r="DB66" i="4" l="1"/>
  <c r="DB40" i="3"/>
  <c r="DB25" i="3"/>
  <c r="DB23" i="3"/>
  <c r="DB22" i="3"/>
  <c r="DB19" i="3"/>
  <c r="DB17" i="3"/>
  <c r="DB16" i="3"/>
  <c r="DB15" i="3"/>
  <c r="DB14" i="3"/>
  <c r="DB11" i="3"/>
  <c r="DB10" i="3"/>
  <c r="DB9" i="3"/>
  <c r="DB187" i="2"/>
  <c r="DB184" i="2"/>
  <c r="DB183" i="2"/>
  <c r="DB181" i="2"/>
  <c r="DB180" i="2"/>
  <c r="DB179" i="2"/>
  <c r="DB178" i="2"/>
  <c r="DB168" i="2"/>
  <c r="DB81" i="2"/>
  <c r="DB79" i="2"/>
  <c r="DB74" i="2"/>
  <c r="DB69" i="2"/>
  <c r="DB36" i="2"/>
  <c r="DB212" i="1"/>
  <c r="DB210" i="1"/>
  <c r="DB206" i="1"/>
  <c r="DB208" i="1" s="1"/>
  <c r="DB188" i="1"/>
  <c r="DB185" i="2" s="1"/>
  <c r="DB183" i="1"/>
  <c r="DB165" i="1"/>
  <c r="DB86" i="1"/>
  <c r="DB88" i="1" s="1"/>
  <c r="DB73" i="1"/>
  <c r="DB79" i="1" s="1"/>
  <c r="DB55" i="1"/>
  <c r="DB64" i="1" s="1"/>
  <c r="DB36" i="1"/>
  <c r="DB32" i="1"/>
  <c r="DB13" i="1"/>
  <c r="DB12" i="3" s="1"/>
  <c r="DB9" i="1"/>
  <c r="DB8" i="3" s="1"/>
  <c r="DC284" i="2" l="1"/>
  <c r="DC285" i="2"/>
  <c r="DC272" i="2"/>
  <c r="DC282" i="2"/>
  <c r="DC283" i="2"/>
  <c r="DB89" i="1"/>
  <c r="DB189" i="1"/>
  <c r="DB190" i="1" s="1"/>
  <c r="DG111" i="2"/>
  <c r="DB48" i="3"/>
  <c r="DB61" i="4"/>
  <c r="DB231" i="2"/>
  <c r="DB232" i="2"/>
  <c r="DB18" i="1"/>
  <c r="DB24" i="1" s="1"/>
  <c r="DB27" i="1" s="1"/>
  <c r="DB186" i="2"/>
  <c r="DB213" i="1"/>
  <c r="DB221" i="2"/>
  <c r="DB82" i="2"/>
  <c r="DB233" i="2"/>
  <c r="DB60" i="3"/>
  <c r="DB59" i="3"/>
  <c r="DB13" i="3"/>
  <c r="DB18" i="3" s="1"/>
  <c r="DB33" i="3"/>
  <c r="DB188" i="2" l="1"/>
  <c r="DB234" i="2" s="1"/>
  <c r="DB31" i="1"/>
  <c r="DB33" i="1" s="1"/>
  <c r="DB29" i="1"/>
  <c r="DB35" i="1"/>
  <c r="DB37" i="1" s="1"/>
  <c r="DB21" i="3"/>
  <c r="DB85" i="4"/>
  <c r="DA112" i="12"/>
  <c r="DJ30" i="12"/>
  <c r="DJ28" i="12"/>
  <c r="DJ27" i="12"/>
  <c r="DJ26" i="12"/>
  <c r="DJ24" i="12"/>
  <c r="DJ22" i="12"/>
  <c r="DJ20" i="12"/>
  <c r="DJ49" i="5"/>
  <c r="DJ47" i="5"/>
  <c r="DJ45" i="5"/>
  <c r="DJ44" i="5"/>
  <c r="DJ43" i="5"/>
  <c r="DJ42" i="5"/>
  <c r="DJ41" i="5"/>
  <c r="DJ40" i="5"/>
  <c r="DJ38" i="5"/>
  <c r="DJ37" i="5"/>
  <c r="DJ36" i="5"/>
  <c r="DJ35" i="5"/>
  <c r="DJ34" i="5"/>
  <c r="DJ33" i="5"/>
  <c r="DJ32" i="5"/>
  <c r="DJ54" i="5" s="1"/>
  <c r="DJ29" i="5"/>
  <c r="DJ28" i="5"/>
  <c r="DJ27" i="5"/>
  <c r="DJ25" i="5"/>
  <c r="DJ24" i="5"/>
  <c r="DJ23" i="5"/>
  <c r="DJ17" i="5"/>
  <c r="DJ15" i="5"/>
  <c r="DJ14" i="5"/>
  <c r="DJ13" i="5"/>
  <c r="DJ12" i="5"/>
  <c r="DJ11" i="5"/>
  <c r="DJ10" i="5"/>
  <c r="DJ9" i="5"/>
  <c r="DJ8" i="5"/>
  <c r="DF55" i="5"/>
  <c r="DF54" i="5"/>
  <c r="DJ45" i="3"/>
  <c r="DJ25" i="3"/>
  <c r="DJ33" i="3" s="1"/>
  <c r="DJ23" i="3"/>
  <c r="DJ19" i="3"/>
  <c r="DJ17" i="3"/>
  <c r="DJ14" i="3"/>
  <c r="DJ11" i="3"/>
  <c r="DJ10" i="3"/>
  <c r="DJ9" i="3"/>
  <c r="DI54" i="3"/>
  <c r="DH54" i="3"/>
  <c r="DH11" i="3"/>
  <c r="DG54" i="3"/>
  <c r="DF54" i="3"/>
  <c r="DJ187" i="2"/>
  <c r="W24" i="30" s="1"/>
  <c r="DJ185" i="2"/>
  <c r="DJ183" i="2"/>
  <c r="DJ181" i="2"/>
  <c r="DJ81" i="2"/>
  <c r="DJ80" i="2"/>
  <c r="DJ79" i="2"/>
  <c r="DJ71" i="2"/>
  <c r="DI359" i="2"/>
  <c r="DI358" i="2"/>
  <c r="DI357" i="2"/>
  <c r="DI356" i="2"/>
  <c r="DI355" i="2"/>
  <c r="DI354" i="2"/>
  <c r="DI321" i="2"/>
  <c r="DI320" i="2"/>
  <c r="DI319" i="2"/>
  <c r="DI318" i="2"/>
  <c r="DI317" i="2"/>
  <c r="DI327" i="2" s="1"/>
  <c r="DI316" i="2"/>
  <c r="DI315" i="2"/>
  <c r="DI314" i="2"/>
  <c r="DI324" i="2" s="1"/>
  <c r="DI303" i="2"/>
  <c r="DI301" i="2"/>
  <c r="DI300" i="2"/>
  <c r="DI267" i="2"/>
  <c r="DI257" i="2"/>
  <c r="DI256" i="2"/>
  <c r="DI255" i="2"/>
  <c r="DI241" i="2"/>
  <c r="DI240" i="2"/>
  <c r="DI239" i="2"/>
  <c r="DI186" i="2"/>
  <c r="DI129" i="2"/>
  <c r="DI113" i="2"/>
  <c r="DI92" i="2"/>
  <c r="DI112" i="2" s="1"/>
  <c r="DI87" i="2"/>
  <c r="DI107" i="2" s="1"/>
  <c r="DH359" i="2"/>
  <c r="DH358" i="2"/>
  <c r="DH357" i="2"/>
  <c r="DH356" i="2"/>
  <c r="DH355" i="2"/>
  <c r="DH354" i="2"/>
  <c r="DH321" i="2"/>
  <c r="DH320" i="2"/>
  <c r="DH319" i="2"/>
  <c r="DH318" i="2"/>
  <c r="DH328" i="2" s="1"/>
  <c r="DH317" i="2"/>
  <c r="DH327" i="2" s="1"/>
  <c r="DH316" i="2"/>
  <c r="DH326" i="2" s="1"/>
  <c r="DH315" i="2"/>
  <c r="DH314" i="2"/>
  <c r="DH324" i="2" s="1"/>
  <c r="DH303" i="2"/>
  <c r="DH301" i="2"/>
  <c r="DH300" i="2"/>
  <c r="DH290" i="2"/>
  <c r="DH267" i="2"/>
  <c r="DH257" i="2"/>
  <c r="DH256" i="2"/>
  <c r="DH255" i="2"/>
  <c r="DH241" i="2"/>
  <c r="DH240" i="2"/>
  <c r="DH239" i="2"/>
  <c r="DH186" i="2"/>
  <c r="DH129" i="2"/>
  <c r="DH113" i="2"/>
  <c r="DH92" i="2"/>
  <c r="DH112" i="2" s="1"/>
  <c r="DH87" i="2"/>
  <c r="DH107" i="2" s="1"/>
  <c r="DG359" i="2"/>
  <c r="DG358" i="2"/>
  <c r="DG357" i="2"/>
  <c r="DG356" i="2"/>
  <c r="DG355" i="2"/>
  <c r="DG354" i="2"/>
  <c r="DG321" i="2"/>
  <c r="DG320" i="2"/>
  <c r="DG319" i="2"/>
  <c r="DG318" i="2"/>
  <c r="DG328" i="2" s="1"/>
  <c r="DG317" i="2"/>
  <c r="DG327" i="2" s="1"/>
  <c r="DG316" i="2"/>
  <c r="DG326" i="2" s="1"/>
  <c r="DG315" i="2"/>
  <c r="DG314" i="2"/>
  <c r="DG324" i="2" s="1"/>
  <c r="DG303" i="2"/>
  <c r="DG301" i="2"/>
  <c r="DG300" i="2"/>
  <c r="DG290" i="2"/>
  <c r="DG267" i="2"/>
  <c r="DG257" i="2"/>
  <c r="DG256" i="2"/>
  <c r="DG255" i="2"/>
  <c r="DG241" i="2"/>
  <c r="DG240" i="2"/>
  <c r="DG239" i="2"/>
  <c r="DG186" i="2"/>
  <c r="DG129" i="2"/>
  <c r="DG113" i="2"/>
  <c r="DG92" i="2"/>
  <c r="DG112" i="2" s="1"/>
  <c r="DG87" i="2"/>
  <c r="DG107" i="2" s="1"/>
  <c r="DF359" i="2"/>
  <c r="DF358" i="2"/>
  <c r="DF357" i="2"/>
  <c r="DF356" i="2"/>
  <c r="DF355" i="2"/>
  <c r="DF354" i="2"/>
  <c r="DF321" i="2"/>
  <c r="DF320" i="2"/>
  <c r="DF319" i="2"/>
  <c r="DF318" i="2"/>
  <c r="DF328" i="2" s="1"/>
  <c r="DF317" i="2"/>
  <c r="DF327" i="2" s="1"/>
  <c r="DF316" i="2"/>
  <c r="DF326" i="2" s="1"/>
  <c r="DF315" i="2"/>
  <c r="DF314" i="2"/>
  <c r="DF324" i="2" s="1"/>
  <c r="DF303" i="2"/>
  <c r="DF301" i="2"/>
  <c r="DF300" i="2"/>
  <c r="DF290" i="2"/>
  <c r="DF257" i="2"/>
  <c r="DF256" i="2"/>
  <c r="DF255" i="2"/>
  <c r="DF241" i="2"/>
  <c r="DF240" i="2"/>
  <c r="DF239" i="2"/>
  <c r="DF92" i="2"/>
  <c r="DF87" i="2"/>
  <c r="DJ112" i="12"/>
  <c r="DJ111" i="12"/>
  <c r="DJ76" i="12"/>
  <c r="DJ74" i="12"/>
  <c r="DJ72" i="12"/>
  <c r="DJ65" i="12"/>
  <c r="DJ63" i="12"/>
  <c r="DJ61" i="12"/>
  <c r="DJ59" i="12"/>
  <c r="DJ52" i="12"/>
  <c r="DJ45" i="12"/>
  <c r="DJ42" i="12"/>
  <c r="DI78" i="12"/>
  <c r="DH78" i="12"/>
  <c r="DG78" i="12"/>
  <c r="DF78" i="12"/>
  <c r="DI67" i="12"/>
  <c r="DH67" i="12"/>
  <c r="DG67" i="12"/>
  <c r="DF67" i="12"/>
  <c r="DI66" i="12"/>
  <c r="DH66" i="12"/>
  <c r="DM66" i="12" s="1"/>
  <c r="DR66" i="12" s="1"/>
  <c r="DW66" i="12" s="1"/>
  <c r="DG66" i="12"/>
  <c r="DL66" i="12" s="1"/>
  <c r="DQ66" i="12" s="1"/>
  <c r="DV66" i="12" s="1"/>
  <c r="DF66" i="12"/>
  <c r="DK66" i="12" s="1"/>
  <c r="DP66" i="12" s="1"/>
  <c r="DU66" i="12" s="1"/>
  <c r="DI53" i="12"/>
  <c r="DH53" i="12"/>
  <c r="DG53" i="12"/>
  <c r="DF53" i="12"/>
  <c r="DI55" i="12"/>
  <c r="DH55" i="12"/>
  <c r="DG55" i="12"/>
  <c r="DF55" i="12"/>
  <c r="DI35" i="12"/>
  <c r="DI32" i="12"/>
  <c r="DH32" i="12"/>
  <c r="DG32" i="12"/>
  <c r="DF32" i="12"/>
  <c r="DI61" i="17"/>
  <c r="DI60" i="17"/>
  <c r="DI37" i="17"/>
  <c r="DI36" i="17"/>
  <c r="DI19" i="17"/>
  <c r="DI18" i="17"/>
  <c r="DH61" i="17"/>
  <c r="DH60" i="17"/>
  <c r="DH37" i="17"/>
  <c r="DH36" i="17"/>
  <c r="DH19" i="17"/>
  <c r="DH18" i="17"/>
  <c r="DG61" i="17"/>
  <c r="DG60" i="17"/>
  <c r="DG37" i="17"/>
  <c r="DG36" i="17"/>
  <c r="DG19" i="17"/>
  <c r="DG18" i="17"/>
  <c r="DF61" i="17"/>
  <c r="DF60" i="17"/>
  <c r="DF37" i="17"/>
  <c r="DF36" i="17"/>
  <c r="DF19" i="17"/>
  <c r="DF18" i="17"/>
  <c r="DH234" i="1" l="1"/>
  <c r="DI234" i="1"/>
  <c r="DG234" i="1"/>
  <c r="DF234" i="1"/>
  <c r="DG286" i="2"/>
  <c r="DH286" i="2"/>
  <c r="DI286" i="2"/>
  <c r="DK286" i="2"/>
  <c r="DI235" i="1"/>
  <c r="Z84" i="30"/>
  <c r="DI230" i="1"/>
  <c r="Z66" i="30"/>
  <c r="DI344" i="2"/>
  <c r="DH334" i="2"/>
  <c r="DI345" i="2"/>
  <c r="DH345" i="2"/>
  <c r="DG344" i="2"/>
  <c r="DJ54" i="3"/>
  <c r="DN268" i="2"/>
  <c r="DH230" i="1"/>
  <c r="Y66" i="30"/>
  <c r="DH235" i="1"/>
  <c r="Y84" i="30"/>
  <c r="DH344" i="2"/>
  <c r="DM268" i="2"/>
  <c r="DG235" i="1"/>
  <c r="X84" i="30"/>
  <c r="AP74" i="30" s="1"/>
  <c r="DG230" i="1"/>
  <c r="X66" i="30"/>
  <c r="DG345" i="2"/>
  <c r="W84" i="30"/>
  <c r="AO74" i="30" s="1"/>
  <c r="DF235" i="1"/>
  <c r="W66" i="30"/>
  <c r="DF230" i="1"/>
  <c r="DJ66" i="12"/>
  <c r="DN66" i="12"/>
  <c r="DL268" i="2"/>
  <c r="DG302" i="2"/>
  <c r="DG304" i="2" s="1"/>
  <c r="DO113" i="2"/>
  <c r="DO129" i="2"/>
  <c r="DO267" i="2"/>
  <c r="DH94" i="2"/>
  <c r="DM266" i="2"/>
  <c r="DM250" i="2"/>
  <c r="DL266" i="2"/>
  <c r="DL250" i="2"/>
  <c r="DN250" i="2"/>
  <c r="DN266" i="2"/>
  <c r="DH302" i="2"/>
  <c r="DH304" i="2" s="1"/>
  <c r="DG334" i="2"/>
  <c r="DF302" i="2"/>
  <c r="DF304" i="2" s="1"/>
  <c r="DH30" i="17"/>
  <c r="DI79" i="12"/>
  <c r="DF79" i="12"/>
  <c r="DG42" i="17"/>
  <c r="DH42" i="17"/>
  <c r="DH6" i="17"/>
  <c r="DI33" i="12"/>
  <c r="DF33" i="12"/>
  <c r="DI302" i="2"/>
  <c r="DH329" i="2"/>
  <c r="DI334" i="2"/>
  <c r="DJ39" i="5"/>
  <c r="DB24" i="3"/>
  <c r="DB63" i="3"/>
  <c r="DJ21" i="12"/>
  <c r="DJ53" i="12"/>
  <c r="DF94" i="2"/>
  <c r="DG94" i="2"/>
  <c r="DI94" i="2"/>
  <c r="DJ180" i="2"/>
  <c r="DJ55" i="5"/>
  <c r="DJ56" i="5" s="1"/>
  <c r="DJ44" i="12"/>
  <c r="DJ29" i="12"/>
  <c r="DI42" i="17"/>
  <c r="DJ55" i="12"/>
  <c r="DJ54" i="12" s="1"/>
  <c r="DJ67" i="12"/>
  <c r="DJ23" i="12"/>
  <c r="DJ31" i="12"/>
  <c r="DJ43" i="12"/>
  <c r="DJ25" i="12"/>
  <c r="DI328" i="2"/>
  <c r="DI6" i="17"/>
  <c r="DI326" i="2"/>
  <c r="DG33" i="12"/>
  <c r="DI34" i="12"/>
  <c r="DI7" i="17" s="1"/>
  <c r="DH330" i="2"/>
  <c r="DG79" i="12"/>
  <c r="DF30" i="17"/>
  <c r="DG330" i="2"/>
  <c r="DG30" i="17"/>
  <c r="DJ78" i="12"/>
  <c r="DF330" i="2"/>
  <c r="DF329" i="2"/>
  <c r="DG329" i="2"/>
  <c r="DG325" i="2"/>
  <c r="DF325" i="2"/>
  <c r="DJ32" i="12"/>
  <c r="DH325" i="2"/>
  <c r="DJ186" i="2"/>
  <c r="DF56" i="5"/>
  <c r="DF6" i="17"/>
  <c r="DH33" i="12"/>
  <c r="DI30" i="17"/>
  <c r="DF108" i="12"/>
  <c r="DK109" i="12" s="1"/>
  <c r="DF42" i="17"/>
  <c r="DF44" i="17" s="1"/>
  <c r="DG108" i="12"/>
  <c r="DL109" i="12" s="1"/>
  <c r="DH108" i="12"/>
  <c r="DM109" i="12" s="1"/>
  <c r="DI108" i="12"/>
  <c r="DN109" i="12" s="1"/>
  <c r="DH79" i="12"/>
  <c r="DG6" i="17"/>
  <c r="DF38" i="17"/>
  <c r="DH20" i="17"/>
  <c r="DF20" i="17"/>
  <c r="DG38" i="17"/>
  <c r="DI20" i="17"/>
  <c r="DG20" i="17"/>
  <c r="DH38" i="17"/>
  <c r="DI38" i="17"/>
  <c r="DJ234" i="1" l="1"/>
  <c r="DO66" i="12"/>
  <c r="DS66" i="12"/>
  <c r="AR74" i="30"/>
  <c r="AR73" i="30" s="1"/>
  <c r="DJ235" i="1"/>
  <c r="DJ230" i="1"/>
  <c r="AQ74" i="30"/>
  <c r="AQ73" i="30" s="1"/>
  <c r="AO73" i="30"/>
  <c r="AP73" i="30"/>
  <c r="DI304" i="2"/>
  <c r="DO266" i="2"/>
  <c r="DO250" i="2"/>
  <c r="DO268" i="2"/>
  <c r="DI329" i="2"/>
  <c r="DH331" i="2"/>
  <c r="DJ68" i="12"/>
  <c r="DB26" i="3"/>
  <c r="DB32" i="3"/>
  <c r="DB34" i="3" s="1"/>
  <c r="DI8" i="17"/>
  <c r="DJ79" i="12"/>
  <c r="DI330" i="2"/>
  <c r="DF331" i="2"/>
  <c r="DJ108" i="12"/>
  <c r="DO109" i="12" s="1"/>
  <c r="DG331" i="2"/>
  <c r="DJ33" i="12"/>
  <c r="DI325" i="2"/>
  <c r="DT66" i="12" l="1"/>
  <c r="DX66" i="12"/>
  <c r="DY66" i="12" s="1"/>
  <c r="DJ42" i="3"/>
  <c r="DI331" i="2"/>
  <c r="DA359" i="2" l="1"/>
  <c r="DA358" i="2"/>
  <c r="DA357" i="2"/>
  <c r="DA356" i="2"/>
  <c r="DA355" i="2"/>
  <c r="DA354" i="2"/>
  <c r="DA87" i="17"/>
  <c r="AD59" i="30"/>
  <c r="Y59" i="30"/>
  <c r="W59" i="30"/>
  <c r="DA49" i="5" l="1"/>
  <c r="DA47" i="5"/>
  <c r="DB47" i="5" s="1"/>
  <c r="DA46" i="5"/>
  <c r="DA45" i="5"/>
  <c r="DA44" i="5"/>
  <c r="DA43" i="5"/>
  <c r="DA42" i="5"/>
  <c r="DA41" i="5"/>
  <c r="DA40" i="5"/>
  <c r="DA38" i="5"/>
  <c r="DA37" i="5"/>
  <c r="DA36" i="5"/>
  <c r="DA35" i="5"/>
  <c r="DA34" i="5"/>
  <c r="DA33" i="5"/>
  <c r="DA30" i="5"/>
  <c r="DA29" i="5"/>
  <c r="DA28" i="5"/>
  <c r="DA27" i="5"/>
  <c r="DA26" i="5"/>
  <c r="DA25" i="5"/>
  <c r="DA24" i="5"/>
  <c r="DA23" i="5"/>
  <c r="DA22" i="5"/>
  <c r="DA21" i="5"/>
  <c r="DA20" i="5"/>
  <c r="DA19" i="5"/>
  <c r="DA17" i="5"/>
  <c r="DA15" i="5"/>
  <c r="DA14" i="5"/>
  <c r="DA13" i="5"/>
  <c r="DA12" i="5"/>
  <c r="DA11" i="5"/>
  <c r="DA10" i="5"/>
  <c r="DA9" i="5"/>
  <c r="DA8" i="5"/>
  <c r="DA7" i="5"/>
  <c r="DA47" i="4"/>
  <c r="DA45" i="4"/>
  <c r="DA44" i="4"/>
  <c r="DA43" i="4"/>
  <c r="DA42" i="4"/>
  <c r="DA41" i="4"/>
  <c r="DA40" i="4"/>
  <c r="DA38" i="4"/>
  <c r="DA37" i="4"/>
  <c r="DA36" i="4"/>
  <c r="DA35" i="4"/>
  <c r="DA34" i="4"/>
  <c r="DA32" i="4"/>
  <c r="DA31" i="4"/>
  <c r="DA30" i="4"/>
  <c r="DA29" i="4"/>
  <c r="DA28" i="4"/>
  <c r="DA27" i="4"/>
  <c r="DB77" i="4" s="1"/>
  <c r="DA23" i="4"/>
  <c r="DA22" i="4"/>
  <c r="DA21" i="4"/>
  <c r="DA20" i="4"/>
  <c r="DA19" i="4"/>
  <c r="DA18" i="4"/>
  <c r="DA17" i="4"/>
  <c r="DA16" i="4"/>
  <c r="DA14" i="4"/>
  <c r="DA13" i="4"/>
  <c r="DB78" i="4" s="1"/>
  <c r="DB79" i="4" s="1"/>
  <c r="DA12" i="4"/>
  <c r="DA11" i="4"/>
  <c r="DA10" i="4"/>
  <c r="DA9" i="4"/>
  <c r="DB76" i="4" s="1"/>
  <c r="DA8" i="4"/>
  <c r="DA7" i="4"/>
  <c r="DA42" i="3"/>
  <c r="DA181" i="2"/>
  <c r="DA120" i="1"/>
  <c r="DA31" i="5" s="1"/>
  <c r="DA105" i="1"/>
  <c r="DA16" i="5" s="1"/>
  <c r="DB42" i="3"/>
  <c r="DA40" i="3"/>
  <c r="DA25" i="3"/>
  <c r="DA23" i="3"/>
  <c r="DA22" i="3"/>
  <c r="DA20" i="3"/>
  <c r="DA19" i="3"/>
  <c r="DA17" i="3"/>
  <c r="DA16" i="3"/>
  <c r="DA15" i="3"/>
  <c r="DA14" i="3"/>
  <c r="DA11" i="3"/>
  <c r="DA10" i="3"/>
  <c r="DA9" i="3"/>
  <c r="DA187" i="2"/>
  <c r="DA184" i="2"/>
  <c r="DA183" i="2"/>
  <c r="DA180" i="2"/>
  <c r="DA179" i="2"/>
  <c r="DA178" i="2"/>
  <c r="DA168" i="2"/>
  <c r="DA81" i="2"/>
  <c r="DA79" i="2"/>
  <c r="DA74" i="2"/>
  <c r="DA69" i="2"/>
  <c r="DA36" i="2"/>
  <c r="DA226" i="1"/>
  <c r="DA188" i="1"/>
  <c r="DA189" i="1" s="1"/>
  <c r="DE189" i="1" s="1"/>
  <c r="DE190" i="1" s="1"/>
  <c r="DA212" i="1"/>
  <c r="DA210" i="1"/>
  <c r="DA206" i="1"/>
  <c r="DA208" i="1" s="1"/>
  <c r="DA183" i="1"/>
  <c r="DA165" i="1"/>
  <c r="DA137" i="1"/>
  <c r="DA128" i="1"/>
  <c r="DA86" i="1"/>
  <c r="DA88" i="1" s="1"/>
  <c r="DA73" i="1"/>
  <c r="DA79" i="1" s="1"/>
  <c r="DA55" i="1"/>
  <c r="DA64" i="1" s="1"/>
  <c r="DA36" i="1"/>
  <c r="DA32" i="1"/>
  <c r="DA13" i="1"/>
  <c r="DA9" i="1"/>
  <c r="DA8" i="3" s="1"/>
  <c r="CY42" i="3"/>
  <c r="CZ260" i="1"/>
  <c r="CZ259" i="1"/>
  <c r="CZ257" i="1"/>
  <c r="CZ256" i="1"/>
  <c r="CZ255" i="1"/>
  <c r="CZ254" i="1"/>
  <c r="CZ253" i="1"/>
  <c r="CZ252" i="1"/>
  <c r="CZ307" i="1"/>
  <c r="DB284" i="2" l="1"/>
  <c r="DF267" i="2"/>
  <c r="DB285" i="2"/>
  <c r="DB272" i="2"/>
  <c r="DB282" i="2"/>
  <c r="DB283" i="2"/>
  <c r="DA107" i="1"/>
  <c r="DA121" i="1" s="1"/>
  <c r="DO42" i="3"/>
  <c r="DF111" i="2"/>
  <c r="DF107" i="2"/>
  <c r="DA231" i="2"/>
  <c r="DF112" i="2"/>
  <c r="DA12" i="3"/>
  <c r="DA13" i="3" s="1"/>
  <c r="DA18" i="3" s="1"/>
  <c r="DA21" i="3" s="1"/>
  <c r="DA63" i="3" s="1"/>
  <c r="DE13" i="1"/>
  <c r="DE18" i="1" s="1"/>
  <c r="DE24" i="1" s="1"/>
  <c r="DE27" i="1" s="1"/>
  <c r="DA48" i="3"/>
  <c r="DA185" i="2"/>
  <c r="DA186" i="2" s="1"/>
  <c r="DE188" i="1"/>
  <c r="DB36" i="5"/>
  <c r="DC36" i="5" s="1"/>
  <c r="DD36" i="5" s="1"/>
  <c r="DB10" i="5"/>
  <c r="DC10" i="5" s="1"/>
  <c r="DD10" i="5" s="1"/>
  <c r="DB17" i="5"/>
  <c r="DC17" i="5" s="1"/>
  <c r="DD17" i="5" s="1"/>
  <c r="DB24" i="5"/>
  <c r="DC24" i="5" s="1"/>
  <c r="DD24" i="5" s="1"/>
  <c r="DB30" i="5"/>
  <c r="DC30" i="5" s="1"/>
  <c r="DD30" i="5" s="1"/>
  <c r="DB38" i="5"/>
  <c r="DC38" i="5" s="1"/>
  <c r="DD38" i="5" s="1"/>
  <c r="DB45" i="5"/>
  <c r="DC45" i="5" s="1"/>
  <c r="DD45" i="5" s="1"/>
  <c r="DB28" i="5"/>
  <c r="DC28" i="5" s="1"/>
  <c r="DD28" i="5" s="1"/>
  <c r="DB16" i="5"/>
  <c r="DC16" i="5" s="1"/>
  <c r="DD16" i="5" s="1"/>
  <c r="DB11" i="5"/>
  <c r="DC11" i="5" s="1"/>
  <c r="DD11" i="5" s="1"/>
  <c r="DB19" i="5"/>
  <c r="DB25" i="5"/>
  <c r="DC25" i="5" s="1"/>
  <c r="DD25" i="5" s="1"/>
  <c r="DB33" i="5"/>
  <c r="DB40" i="5"/>
  <c r="DC40" i="5" s="1"/>
  <c r="DD40" i="5" s="1"/>
  <c r="DB46" i="5"/>
  <c r="DC46" i="5" s="1"/>
  <c r="DD46" i="5" s="1"/>
  <c r="DB8" i="5"/>
  <c r="DC8" i="5" s="1"/>
  <c r="DD8" i="5" s="1"/>
  <c r="DB22" i="5"/>
  <c r="DC22" i="5" s="1"/>
  <c r="DD22" i="5" s="1"/>
  <c r="DB9" i="5"/>
  <c r="DC9" i="5" s="1"/>
  <c r="DD9" i="5" s="1"/>
  <c r="DB23" i="5"/>
  <c r="DC23" i="5" s="1"/>
  <c r="DD23" i="5" s="1"/>
  <c r="DB37" i="5"/>
  <c r="DC37" i="5" s="1"/>
  <c r="DD37" i="5" s="1"/>
  <c r="DB31" i="5"/>
  <c r="DC31" i="5" s="1"/>
  <c r="DD31" i="5" s="1"/>
  <c r="DB12" i="5"/>
  <c r="DC12" i="5" s="1"/>
  <c r="DD12" i="5" s="1"/>
  <c r="DB20" i="5"/>
  <c r="DC20" i="5" s="1"/>
  <c r="DD20" i="5" s="1"/>
  <c r="DB26" i="5"/>
  <c r="DC26" i="5" s="1"/>
  <c r="DD26" i="5" s="1"/>
  <c r="DB34" i="5"/>
  <c r="DC34" i="5" s="1"/>
  <c r="DD34" i="5" s="1"/>
  <c r="DB41" i="5"/>
  <c r="DC41" i="5" s="1"/>
  <c r="DD41" i="5" s="1"/>
  <c r="DC47" i="5"/>
  <c r="DB14" i="5"/>
  <c r="DC14" i="5" s="1"/>
  <c r="DD14" i="5" s="1"/>
  <c r="DB43" i="5"/>
  <c r="DC43" i="5" s="1"/>
  <c r="DD43" i="5" s="1"/>
  <c r="DB15" i="5"/>
  <c r="DC15" i="5" s="1"/>
  <c r="DD15" i="5" s="1"/>
  <c r="DB29" i="5"/>
  <c r="DC29" i="5" s="1"/>
  <c r="DD29" i="5" s="1"/>
  <c r="DB44" i="5"/>
  <c r="DC44" i="5" s="1"/>
  <c r="DD44" i="5" s="1"/>
  <c r="DB7" i="5"/>
  <c r="DC7" i="5" s="1"/>
  <c r="DD7" i="5" s="1"/>
  <c r="DB13" i="5"/>
  <c r="DC13" i="5" s="1"/>
  <c r="DD13" i="5" s="1"/>
  <c r="DB21" i="5"/>
  <c r="DC21" i="5" s="1"/>
  <c r="DD21" i="5" s="1"/>
  <c r="DB27" i="5"/>
  <c r="DC27" i="5" s="1"/>
  <c r="DD27" i="5" s="1"/>
  <c r="DB35" i="5"/>
  <c r="DC35" i="5" s="1"/>
  <c r="DD35" i="5" s="1"/>
  <c r="DB42" i="5"/>
  <c r="DC42" i="5" s="1"/>
  <c r="DD42" i="5" s="1"/>
  <c r="DB49" i="5"/>
  <c r="DC49" i="5" s="1"/>
  <c r="DD49" i="5" s="1"/>
  <c r="DB80" i="4"/>
  <c r="DF250" i="2"/>
  <c r="DF266" i="2"/>
  <c r="DF127" i="2"/>
  <c r="DF309" i="2"/>
  <c r="DF129" i="2"/>
  <c r="DF113" i="2"/>
  <c r="CZ261" i="1"/>
  <c r="DA18" i="1"/>
  <c r="DA24" i="1" s="1"/>
  <c r="DA27" i="1" s="1"/>
  <c r="DA35" i="1" s="1"/>
  <c r="DA37" i="1" s="1"/>
  <c r="DA221" i="2"/>
  <c r="DA60" i="3"/>
  <c r="DA232" i="2"/>
  <c r="DA59" i="3"/>
  <c r="DA190" i="1"/>
  <c r="DA46" i="4"/>
  <c r="DA233" i="2"/>
  <c r="DA139" i="1"/>
  <c r="DA89" i="1"/>
  <c r="DA213" i="1"/>
  <c r="CZ290" i="1"/>
  <c r="CV286" i="1"/>
  <c r="CY286" i="1" s="1"/>
  <c r="CZ267" i="1"/>
  <c r="CY266" i="1"/>
  <c r="CX266" i="1"/>
  <c r="CW266" i="1"/>
  <c r="CW226" i="1"/>
  <c r="CX226" i="1"/>
  <c r="CZ225" i="1"/>
  <c r="CZ224" i="1"/>
  <c r="CZ223" i="1"/>
  <c r="CZ222" i="1"/>
  <c r="CZ220" i="1"/>
  <c r="CZ219" i="1"/>
  <c r="CY226" i="1"/>
  <c r="CZ283" i="1"/>
  <c r="V23" i="30"/>
  <c r="DB286" i="2" l="1"/>
  <c r="DA29" i="1"/>
  <c r="DE29" i="1" s="1"/>
  <c r="DA31" i="1"/>
  <c r="DA33" i="1" s="1"/>
  <c r="DD47" i="5"/>
  <c r="DF268" i="2"/>
  <c r="DB48" i="5"/>
  <c r="DC48" i="5"/>
  <c r="DC33" i="5"/>
  <c r="DB39" i="5"/>
  <c r="DC19" i="5"/>
  <c r="DB18" i="5"/>
  <c r="DB32" i="5" s="1"/>
  <c r="DF194" i="2"/>
  <c r="DF195" i="2" s="1"/>
  <c r="DF248" i="2"/>
  <c r="DF264" i="2"/>
  <c r="CZ226" i="1"/>
  <c r="S83" i="30"/>
  <c r="R65" i="30"/>
  <c r="U30" i="30"/>
  <c r="DR42" i="3" l="1"/>
  <c r="DC18" i="5"/>
  <c r="DC32" i="5" s="1"/>
  <c r="DD19" i="5"/>
  <c r="DD18" i="5" s="1"/>
  <c r="DD32" i="5" s="1"/>
  <c r="DC39" i="5"/>
  <c r="DD33" i="5"/>
  <c r="DD39" i="5" s="1"/>
  <c r="DB50" i="5"/>
  <c r="AY43" i="30"/>
  <c r="CY189" i="2"/>
  <c r="CY18" i="17"/>
  <c r="CY19" i="17"/>
  <c r="CY36" i="17"/>
  <c r="CY37" i="17"/>
  <c r="R82" i="30"/>
  <c r="DS42" i="3" l="1"/>
  <c r="DC50" i="5"/>
  <c r="CY20" i="17"/>
  <c r="CY38" i="17"/>
  <c r="CY7" i="4"/>
  <c r="CY8" i="4"/>
  <c r="CY9" i="4"/>
  <c r="CY10" i="4"/>
  <c r="CY11" i="4"/>
  <c r="CY12" i="4"/>
  <c r="CY13" i="4"/>
  <c r="CY14" i="4"/>
  <c r="CY16" i="4"/>
  <c r="CY17" i="4"/>
  <c r="CY18" i="4"/>
  <c r="CY19" i="4"/>
  <c r="CY20" i="4"/>
  <c r="CY21" i="4"/>
  <c r="CY22" i="4"/>
  <c r="CY23" i="4"/>
  <c r="CY27" i="4"/>
  <c r="CY28" i="4"/>
  <c r="CY29" i="4"/>
  <c r="CY30" i="4"/>
  <c r="CY31" i="4"/>
  <c r="CY32" i="4"/>
  <c r="CY34" i="4"/>
  <c r="CY35" i="4"/>
  <c r="CY36" i="4"/>
  <c r="CY37" i="4"/>
  <c r="CY38" i="4"/>
  <c r="CY40" i="4"/>
  <c r="CY41" i="4"/>
  <c r="CY42" i="4"/>
  <c r="CY43" i="4"/>
  <c r="CY44" i="4"/>
  <c r="CY45" i="4"/>
  <c r="CY47" i="4"/>
  <c r="CZ28" i="1"/>
  <c r="CZ25" i="1"/>
  <c r="CZ23" i="1"/>
  <c r="CZ22" i="1"/>
  <c r="CZ17" i="1"/>
  <c r="CZ16" i="1"/>
  <c r="CZ15" i="1"/>
  <c r="CZ14" i="1"/>
  <c r="CZ12" i="1"/>
  <c r="CZ11" i="1"/>
  <c r="CZ10" i="1"/>
  <c r="CZ8" i="1"/>
  <c r="CZ7" i="1"/>
  <c r="CZ87" i="1"/>
  <c r="CZ85" i="1"/>
  <c r="CZ84" i="1"/>
  <c r="CZ83" i="1"/>
  <c r="CZ82" i="1"/>
  <c r="CZ81" i="1"/>
  <c r="CZ80" i="1"/>
  <c r="CZ78" i="1"/>
  <c r="CZ77" i="1"/>
  <c r="CZ76" i="1"/>
  <c r="CZ75" i="1"/>
  <c r="CZ74" i="1"/>
  <c r="CZ71" i="1"/>
  <c r="CZ69" i="1"/>
  <c r="CZ68" i="1"/>
  <c r="CZ67" i="1"/>
  <c r="CZ63" i="1"/>
  <c r="CZ61" i="1"/>
  <c r="CZ60" i="1"/>
  <c r="CZ59" i="1"/>
  <c r="CZ58" i="1"/>
  <c r="CZ57" i="1"/>
  <c r="CZ56" i="1"/>
  <c r="CZ54" i="1"/>
  <c r="CZ53" i="1"/>
  <c r="CZ51" i="1"/>
  <c r="CZ50" i="1"/>
  <c r="CZ49" i="1"/>
  <c r="CZ48" i="1"/>
  <c r="CZ47" i="1"/>
  <c r="CY86" i="1"/>
  <c r="CY88" i="1" s="1"/>
  <c r="CY73" i="1"/>
  <c r="CY79" i="1" s="1"/>
  <c r="CY55" i="1"/>
  <c r="CY64" i="1" s="1"/>
  <c r="CY212" i="1"/>
  <c r="CY210" i="1"/>
  <c r="CZ207" i="1"/>
  <c r="CZ205" i="1"/>
  <c r="CZ204" i="1"/>
  <c r="CZ203" i="1"/>
  <c r="CZ196" i="1"/>
  <c r="CZ195" i="1"/>
  <c r="CZ194" i="1"/>
  <c r="CZ193" i="1"/>
  <c r="CY206" i="1"/>
  <c r="CZ206" i="1" s="1"/>
  <c r="DT42" i="3" l="1"/>
  <c r="CZ9" i="1"/>
  <c r="CZ73" i="1"/>
  <c r="CZ79" i="1" s="1"/>
  <c r="CY15" i="4"/>
  <c r="CY24" i="4" s="1"/>
  <c r="CZ55" i="1"/>
  <c r="CZ64" i="1" s="1"/>
  <c r="CZ86" i="1"/>
  <c r="CZ88" i="1" s="1"/>
  <c r="CY89" i="1"/>
  <c r="CY46" i="4"/>
  <c r="CY48" i="4" s="1"/>
  <c r="CY33" i="4"/>
  <c r="CY39" i="4" s="1"/>
  <c r="CY208" i="1"/>
  <c r="CZ208" i="1"/>
  <c r="CZ187" i="1"/>
  <c r="CZ186" i="1"/>
  <c r="CZ185" i="1"/>
  <c r="CZ182" i="1"/>
  <c r="CZ181" i="1"/>
  <c r="CZ173" i="1"/>
  <c r="CZ172" i="1"/>
  <c r="CZ171" i="1"/>
  <c r="CZ170" i="1"/>
  <c r="CZ169" i="1"/>
  <c r="CZ168" i="1"/>
  <c r="CZ164" i="1"/>
  <c r="CZ162" i="1"/>
  <c r="CZ161" i="1"/>
  <c r="CZ160" i="1"/>
  <c r="CZ153" i="1"/>
  <c r="CZ152" i="1"/>
  <c r="CZ151" i="1"/>
  <c r="CZ150" i="1"/>
  <c r="CZ149" i="1"/>
  <c r="CZ212" i="1" s="1"/>
  <c r="CZ148" i="1"/>
  <c r="CZ210" i="1" s="1"/>
  <c r="CZ138" i="1"/>
  <c r="CZ136" i="1"/>
  <c r="CZ135" i="1"/>
  <c r="CZ134" i="1"/>
  <c r="CZ133" i="1"/>
  <c r="CZ131" i="1"/>
  <c r="CZ130" i="1"/>
  <c r="CZ129" i="1"/>
  <c r="CZ127" i="1"/>
  <c r="CZ126" i="1"/>
  <c r="CZ125" i="1"/>
  <c r="CZ124" i="1"/>
  <c r="CZ123" i="1"/>
  <c r="CZ122" i="1"/>
  <c r="CZ119" i="1"/>
  <c r="CZ116" i="1"/>
  <c r="CZ115" i="1"/>
  <c r="CZ114" i="1"/>
  <c r="CZ113" i="1"/>
  <c r="CZ112" i="1"/>
  <c r="CZ111" i="1"/>
  <c r="CZ110" i="1"/>
  <c r="CZ109" i="1"/>
  <c r="CZ108" i="1"/>
  <c r="CZ104" i="1"/>
  <c r="CZ102" i="1"/>
  <c r="CZ101" i="1"/>
  <c r="CZ98" i="1"/>
  <c r="CZ97" i="1"/>
  <c r="CZ96" i="1"/>
  <c r="CY137" i="1"/>
  <c r="CY40" i="3"/>
  <c r="CY9" i="3"/>
  <c r="CY10" i="3"/>
  <c r="CY11" i="3"/>
  <c r="CY14" i="3"/>
  <c r="CY15" i="3"/>
  <c r="CY16" i="3"/>
  <c r="CY17" i="3"/>
  <c r="CY19" i="3"/>
  <c r="CY20" i="3"/>
  <c r="CY22" i="3"/>
  <c r="CY23" i="3"/>
  <c r="CY25" i="3"/>
  <c r="CY168" i="2"/>
  <c r="DA272" i="2" s="1"/>
  <c r="CY178" i="2"/>
  <c r="DA282" i="2" s="1"/>
  <c r="CY179" i="2"/>
  <c r="DA283" i="2" s="1"/>
  <c r="CY180" i="2"/>
  <c r="DA284" i="2" s="1"/>
  <c r="CY181" i="2"/>
  <c r="DA285" i="2" s="1"/>
  <c r="CY183" i="2"/>
  <c r="CY184" i="2"/>
  <c r="CY187" i="2"/>
  <c r="CY48" i="3" s="1"/>
  <c r="CY81" i="2"/>
  <c r="CY79" i="2"/>
  <c r="CY74" i="2"/>
  <c r="CY69" i="2"/>
  <c r="DD111" i="2" s="1"/>
  <c r="CY36" i="2"/>
  <c r="CY188" i="1"/>
  <c r="CY189" i="1" s="1"/>
  <c r="CY183" i="1"/>
  <c r="CY165" i="1"/>
  <c r="CY213" i="1" s="1"/>
  <c r="CY128" i="1"/>
  <c r="CY120" i="1"/>
  <c r="CY107" i="1" s="1"/>
  <c r="CY105" i="1"/>
  <c r="CZ105" i="1" s="1"/>
  <c r="CY13" i="1"/>
  <c r="CY12" i="3" s="1"/>
  <c r="CY9" i="1"/>
  <c r="DU42" i="3" l="1"/>
  <c r="CZ89" i="1"/>
  <c r="CY185" i="2"/>
  <c r="CY186" i="2" s="1"/>
  <c r="CY233" i="2"/>
  <c r="CY18" i="1"/>
  <c r="CY24" i="1" s="1"/>
  <c r="CY27" i="1" s="1"/>
  <c r="CY29" i="1" s="1"/>
  <c r="CZ183" i="1"/>
  <c r="CY232" i="2"/>
  <c r="CZ180" i="1"/>
  <c r="CY221" i="2"/>
  <c r="CY49" i="4"/>
  <c r="CY231" i="2"/>
  <c r="CY190" i="1"/>
  <c r="CZ137" i="1"/>
  <c r="CZ128" i="1"/>
  <c r="CY8" i="3"/>
  <c r="CY121" i="1"/>
  <c r="CY139" i="1" s="1"/>
  <c r="CZ120" i="1"/>
  <c r="CZ107" i="1" s="1"/>
  <c r="CZ121" i="1" s="1"/>
  <c r="CZ165" i="1"/>
  <c r="CY32" i="1"/>
  <c r="CY36" i="1"/>
  <c r="DV42" i="3" l="1"/>
  <c r="DU46" i="5"/>
  <c r="CY188" i="2"/>
  <c r="DA286" i="2"/>
  <c r="CY35" i="1"/>
  <c r="CY37" i="1" s="1"/>
  <c r="CY31" i="1"/>
  <c r="CY33" i="1" s="1"/>
  <c r="CZ139" i="1"/>
  <c r="CY13" i="3"/>
  <c r="CY18" i="3" s="1"/>
  <c r="CY21" i="3" s="1"/>
  <c r="CY59" i="3"/>
  <c r="CY60" i="3"/>
  <c r="U23" i="30"/>
  <c r="CX42" i="3"/>
  <c r="DU48" i="5" l="1"/>
  <c r="DU50" i="5" s="1"/>
  <c r="DV46" i="5"/>
  <c r="DW42" i="3"/>
  <c r="CY24" i="3"/>
  <c r="CY26" i="3" s="1"/>
  <c r="CY63" i="3"/>
  <c r="DZ78" i="12"/>
  <c r="EA78" i="12"/>
  <c r="EB78" i="12"/>
  <c r="DZ67" i="12"/>
  <c r="EA67" i="12"/>
  <c r="EA69" i="12" s="1"/>
  <c r="EA43" i="17" s="1"/>
  <c r="EB67" i="12"/>
  <c r="EB69" i="12" s="1"/>
  <c r="EB43" i="17" s="1"/>
  <c r="DZ53" i="12"/>
  <c r="EA53" i="12"/>
  <c r="EB53" i="12"/>
  <c r="DZ32" i="12"/>
  <c r="EA32" i="12"/>
  <c r="EA34" i="12" s="1"/>
  <c r="EA7" i="17" s="1"/>
  <c r="EB32" i="12"/>
  <c r="EB34" i="12" s="1"/>
  <c r="EB7" i="17" s="1"/>
  <c r="DX42" i="3" l="1"/>
  <c r="DY42" i="3" s="1"/>
  <c r="DW46" i="5"/>
  <c r="DV48" i="5"/>
  <c r="DV50" i="5" s="1"/>
  <c r="BG44" i="30"/>
  <c r="EA330" i="2"/>
  <c r="EA30" i="17"/>
  <c r="EA80" i="12"/>
  <c r="EA31" i="17" s="1"/>
  <c r="EB80" i="12"/>
  <c r="EB31" i="17" s="1"/>
  <c r="BH44" i="30"/>
  <c r="EB30" i="17"/>
  <c r="EB330" i="2"/>
  <c r="EB329" i="2"/>
  <c r="EB42" i="17"/>
  <c r="EB44" i="17" s="1"/>
  <c r="EB46" i="17" s="1"/>
  <c r="EA329" i="2"/>
  <c r="EA42" i="17"/>
  <c r="EA44" i="17" s="1"/>
  <c r="EA46" i="17" s="1"/>
  <c r="EB6" i="17"/>
  <c r="EB8" i="17" s="1"/>
  <c r="EB325" i="2"/>
  <c r="EA6" i="17"/>
  <c r="EA8" i="17" s="1"/>
  <c r="EA325" i="2"/>
  <c r="BF44" i="30"/>
  <c r="EB33" i="12"/>
  <c r="EB79" i="12"/>
  <c r="EA33" i="12"/>
  <c r="EA79" i="12"/>
  <c r="EB68" i="12"/>
  <c r="DZ30" i="17"/>
  <c r="EA68" i="12"/>
  <c r="DZ42" i="17"/>
  <c r="DZ325" i="2"/>
  <c r="DZ6" i="17"/>
  <c r="DZ79" i="12"/>
  <c r="DZ330" i="2"/>
  <c r="DZ68" i="12"/>
  <c r="DZ329" i="2"/>
  <c r="DZ33" i="12"/>
  <c r="BE44" i="30"/>
  <c r="BD44" i="30"/>
  <c r="AX72" i="30"/>
  <c r="AX74" i="30" s="1"/>
  <c r="AW66" i="30"/>
  <c r="AW68" i="30" s="1"/>
  <c r="AX66" i="30"/>
  <c r="AX68" i="30" s="1"/>
  <c r="EB108" i="12"/>
  <c r="EA108" i="12"/>
  <c r="DZ108" i="12"/>
  <c r="BC44" i="30"/>
  <c r="AX43" i="30"/>
  <c r="U22" i="30"/>
  <c r="T22" i="30"/>
  <c r="DW48" i="5" l="1"/>
  <c r="DW50" i="5" s="1"/>
  <c r="DX46" i="5"/>
  <c r="EB32" i="17"/>
  <c r="EB34" i="17" s="1"/>
  <c r="BH45" i="30"/>
  <c r="BH43" i="30" s="1"/>
  <c r="EA32" i="17"/>
  <c r="EA34" i="17" s="1"/>
  <c r="BG45" i="30"/>
  <c r="BG43" i="30" s="1"/>
  <c r="EA331" i="2"/>
  <c r="EA10" i="17"/>
  <c r="EB331" i="2"/>
  <c r="EB10" i="17"/>
  <c r="EB79" i="17" s="1"/>
  <c r="DZ331" i="2"/>
  <c r="DZ109" i="12"/>
  <c r="EB109" i="12"/>
  <c r="EA109" i="12"/>
  <c r="Q83" i="30"/>
  <c r="X59" i="30"/>
  <c r="P65" i="30"/>
  <c r="Q65" i="30"/>
  <c r="CV69" i="2"/>
  <c r="CX69" i="2"/>
  <c r="CX18" i="17"/>
  <c r="CX19" i="17"/>
  <c r="CX36" i="17"/>
  <c r="CX37" i="17"/>
  <c r="CX83" i="17"/>
  <c r="CX87" i="17"/>
  <c r="CX189" i="2"/>
  <c r="CW189" i="2"/>
  <c r="CX212" i="1"/>
  <c r="CX210" i="1"/>
  <c r="CX7" i="4"/>
  <c r="CX8" i="4"/>
  <c r="CX9" i="4"/>
  <c r="CY76" i="4" s="1"/>
  <c r="CX10" i="4"/>
  <c r="CX11" i="4"/>
  <c r="CX12" i="4"/>
  <c r="CX13" i="4"/>
  <c r="CY78" i="4" s="1"/>
  <c r="CX14" i="4"/>
  <c r="CX16" i="4"/>
  <c r="CX17" i="4"/>
  <c r="CX18" i="4"/>
  <c r="CX19" i="4"/>
  <c r="CX20" i="4"/>
  <c r="CX21" i="4"/>
  <c r="CX22" i="4"/>
  <c r="CX23" i="4"/>
  <c r="CX27" i="4"/>
  <c r="CY77" i="4" s="1"/>
  <c r="CX28" i="4"/>
  <c r="CX29" i="4"/>
  <c r="CX30" i="4"/>
  <c r="CX31" i="4"/>
  <c r="CX32" i="4"/>
  <c r="CX34" i="4"/>
  <c r="CX35" i="4"/>
  <c r="CX36" i="4"/>
  <c r="CX37" i="4"/>
  <c r="CX38" i="4"/>
  <c r="CX40" i="4"/>
  <c r="CX41" i="4"/>
  <c r="CX42" i="4"/>
  <c r="CX43" i="4"/>
  <c r="CX44" i="4"/>
  <c r="CX45" i="4"/>
  <c r="CX47" i="4"/>
  <c r="CX86" i="1"/>
  <c r="CX88" i="1" s="1"/>
  <c r="CX73" i="1"/>
  <c r="CX79" i="1" s="1"/>
  <c r="CX55" i="1"/>
  <c r="CX64" i="1" s="1"/>
  <c r="CX137" i="1"/>
  <c r="CX120" i="1"/>
  <c r="CX107" i="1" s="1"/>
  <c r="CX128" i="1"/>
  <c r="CX105" i="1"/>
  <c r="CX40" i="3"/>
  <c r="CX9" i="3"/>
  <c r="CX10" i="3"/>
  <c r="CX11" i="3"/>
  <c r="CX14" i="3"/>
  <c r="CX15" i="3"/>
  <c r="CX16" i="3"/>
  <c r="CX17" i="3"/>
  <c r="CX19" i="3"/>
  <c r="CX20" i="3"/>
  <c r="CX22" i="3"/>
  <c r="CX23" i="3"/>
  <c r="CX25" i="3"/>
  <c r="CX183" i="2"/>
  <c r="CX184" i="2"/>
  <c r="CX187" i="2"/>
  <c r="CX181" i="2"/>
  <c r="CX180" i="2"/>
  <c r="CX179" i="2"/>
  <c r="CX178" i="2"/>
  <c r="CX168" i="2"/>
  <c r="CX81" i="2"/>
  <c r="CX79" i="2"/>
  <c r="CX74" i="2"/>
  <c r="CX36" i="2"/>
  <c r="CX188" i="1"/>
  <c r="CX185" i="2" s="1"/>
  <c r="EB63" i="17" l="1"/>
  <c r="EB77" i="17"/>
  <c r="EB80" i="17" s="1"/>
  <c r="EA79" i="17"/>
  <c r="DX48" i="5"/>
  <c r="DX50" i="5" s="1"/>
  <c r="DY46" i="5"/>
  <c r="EA63" i="17"/>
  <c r="EA77" i="17"/>
  <c r="EB84" i="17"/>
  <c r="EB85" i="17" s="1"/>
  <c r="EB90" i="17"/>
  <c r="DC111" i="2"/>
  <c r="CX48" i="3"/>
  <c r="CX38" i="17"/>
  <c r="CX221" i="2"/>
  <c r="CX231" i="2"/>
  <c r="CX121" i="1"/>
  <c r="CX139" i="1" s="1"/>
  <c r="CX186" i="2"/>
  <c r="CX15" i="4"/>
  <c r="CX24" i="4" s="1"/>
  <c r="CX232" i="2"/>
  <c r="CX89" i="1"/>
  <c r="CX233" i="2"/>
  <c r="DA111" i="2"/>
  <c r="CX33" i="4"/>
  <c r="CX39" i="4" s="1"/>
  <c r="CX46" i="4"/>
  <c r="CX48" i="4" s="1"/>
  <c r="CX20" i="17"/>
  <c r="CX32" i="1"/>
  <c r="CX36" i="1"/>
  <c r="CX13" i="1"/>
  <c r="CX12" i="3" s="1"/>
  <c r="CX9" i="1"/>
  <c r="CX8" i="3" s="1"/>
  <c r="CX165" i="1"/>
  <c r="CX183" i="1"/>
  <c r="CX189" i="1"/>
  <c r="CX206" i="1"/>
  <c r="EB91" i="17" l="1"/>
  <c r="EB81" i="17"/>
  <c r="EA84" i="17"/>
  <c r="EA85" i="17" s="1"/>
  <c r="EA90" i="17"/>
  <c r="EA91" i="17" s="1"/>
  <c r="EA80" i="17"/>
  <c r="DY48" i="5"/>
  <c r="DY50" i="5" s="1"/>
  <c r="CX49" i="4"/>
  <c r="CX13" i="3"/>
  <c r="CX18" i="3" s="1"/>
  <c r="CX21" i="3" s="1"/>
  <c r="CX60" i="3"/>
  <c r="CX208" i="1"/>
  <c r="CX213" i="1"/>
  <c r="CX59" i="3"/>
  <c r="CX18" i="1"/>
  <c r="CX24" i="1" s="1"/>
  <c r="CX27" i="1" s="1"/>
  <c r="CX29" i="1" s="1"/>
  <c r="CX190" i="1"/>
  <c r="CW42" i="3"/>
  <c r="CX24" i="3" l="1"/>
  <c r="CX26" i="3" s="1"/>
  <c r="CX63" i="3"/>
  <c r="CX35" i="1"/>
  <c r="CX37" i="1" s="1"/>
  <c r="CX31" i="1"/>
  <c r="CX33" i="1" s="1"/>
  <c r="CV42" i="3" l="1"/>
  <c r="CV45" i="3"/>
  <c r="CW87" i="17" l="1"/>
  <c r="AW43" i="30" l="1"/>
  <c r="AD85" i="30"/>
  <c r="AC85" i="30"/>
  <c r="AB85" i="30"/>
  <c r="AD81" i="30"/>
  <c r="AD82" i="30"/>
  <c r="AC82" i="30"/>
  <c r="AB82" i="30"/>
  <c r="AA82" i="30"/>
  <c r="AD80" i="30"/>
  <c r="AD71" i="30"/>
  <c r="AV66" i="30" s="1"/>
  <c r="AD62" i="30"/>
  <c r="AA73" i="30"/>
  <c r="AB59" i="30"/>
  <c r="AD73" i="30"/>
  <c r="AC73" i="30"/>
  <c r="BB44" i="30"/>
  <c r="Z59" i="30"/>
  <c r="AA71" i="30" l="1"/>
  <c r="AS66" i="30" s="1"/>
  <c r="AA59" i="30"/>
  <c r="AC71" i="30"/>
  <c r="AU66" i="30" s="1"/>
  <c r="AC59" i="30"/>
  <c r="AC67" i="30"/>
  <c r="AC72" i="30" s="1"/>
  <c r="AU67" i="30" s="1"/>
  <c r="AD67" i="30"/>
  <c r="AD72" i="30" s="1"/>
  <c r="AV67" i="30" s="1"/>
  <c r="AV68" i="30" s="1"/>
  <c r="AB73" i="30"/>
  <c r="AD63" i="30"/>
  <c r="AB71" i="30"/>
  <c r="AT66" i="30" s="1"/>
  <c r="AA85" i="30"/>
  <c r="AB67" i="30"/>
  <c r="AB72" i="30" s="1"/>
  <c r="AT67" i="30" s="1"/>
  <c r="AA67" i="30"/>
  <c r="AA72" i="30" s="1"/>
  <c r="AS67" i="30" s="1"/>
  <c r="CW83" i="17"/>
  <c r="CV83" i="17"/>
  <c r="CS83" i="17"/>
  <c r="CW18" i="17"/>
  <c r="CW19" i="17"/>
  <c r="CW31" i="17"/>
  <c r="CW36" i="17"/>
  <c r="CW37" i="17"/>
  <c r="CW212" i="1"/>
  <c r="CW210" i="1"/>
  <c r="CW206" i="1"/>
  <c r="CW208" i="1" s="1"/>
  <c r="CW7" i="4"/>
  <c r="CW8" i="4"/>
  <c r="CW9" i="4"/>
  <c r="CX76" i="4" s="1"/>
  <c r="CW10" i="4"/>
  <c r="CW11" i="4"/>
  <c r="CW12" i="4"/>
  <c r="CW13" i="4"/>
  <c r="CX78" i="4" s="1"/>
  <c r="CW14" i="4"/>
  <c r="CW16" i="4"/>
  <c r="CW17" i="4"/>
  <c r="CW18" i="4"/>
  <c r="CW19" i="4"/>
  <c r="CW20" i="4"/>
  <c r="CW21" i="4"/>
  <c r="CW22" i="4"/>
  <c r="CW23" i="4"/>
  <c r="CW27" i="4"/>
  <c r="CX77" i="4" s="1"/>
  <c r="CW28" i="4"/>
  <c r="CW29" i="4"/>
  <c r="CW30" i="4"/>
  <c r="CW31" i="4"/>
  <c r="CW32" i="4"/>
  <c r="CW34" i="4"/>
  <c r="CW35" i="4"/>
  <c r="CW36" i="4"/>
  <c r="CW37" i="4"/>
  <c r="CW38" i="4"/>
  <c r="CW40" i="4"/>
  <c r="CW41" i="4"/>
  <c r="CW42" i="4"/>
  <c r="CW43" i="4"/>
  <c r="CW44" i="4"/>
  <c r="CW45" i="4"/>
  <c r="CW47" i="4"/>
  <c r="CW137" i="1"/>
  <c r="CW128" i="1"/>
  <c r="CW105" i="1"/>
  <c r="CW120" i="1"/>
  <c r="CW107" i="1" s="1"/>
  <c r="CW86" i="1"/>
  <c r="CW88" i="1" s="1"/>
  <c r="CW73" i="1"/>
  <c r="CW79" i="1" s="1"/>
  <c r="CW55" i="1"/>
  <c r="CW64" i="1" s="1"/>
  <c r="CZ83" i="17" l="1"/>
  <c r="CW121" i="1"/>
  <c r="CW139" i="1" s="1"/>
  <c r="AS68" i="30"/>
  <c r="AT68" i="30"/>
  <c r="AU68" i="30"/>
  <c r="CW89" i="1"/>
  <c r="CW33" i="4"/>
  <c r="CW39" i="4" s="1"/>
  <c r="CW46" i="4"/>
  <c r="CW48" i="4" s="1"/>
  <c r="CW15" i="4"/>
  <c r="CW24" i="4" s="1"/>
  <c r="DB81" i="4" s="1"/>
  <c r="CW38" i="17"/>
  <c r="CW20" i="17"/>
  <c r="CW49" i="4" l="1"/>
  <c r="CW193" i="2"/>
  <c r="CW181" i="2"/>
  <c r="CW183" i="2"/>
  <c r="CW184" i="2"/>
  <c r="CW187" i="2"/>
  <c r="CW48" i="3" s="1"/>
  <c r="CW180" i="2"/>
  <c r="CW179" i="2"/>
  <c r="CW178" i="2"/>
  <c r="CW168" i="2"/>
  <c r="CW81" i="2"/>
  <c r="CW79" i="2"/>
  <c r="DB113" i="2" s="1"/>
  <c r="CW74" i="2"/>
  <c r="CW69" i="2"/>
  <c r="DB111" i="2" s="1"/>
  <c r="CW36" i="2"/>
  <c r="CW40" i="3"/>
  <c r="CW9" i="3"/>
  <c r="CW10" i="3"/>
  <c r="CW11" i="3"/>
  <c r="CW14" i="3"/>
  <c r="CW15" i="3"/>
  <c r="CW16" i="3"/>
  <c r="CW17" i="3"/>
  <c r="CW19" i="3"/>
  <c r="CW20" i="3"/>
  <c r="CW22" i="3"/>
  <c r="CW23" i="3"/>
  <c r="CW25" i="3"/>
  <c r="CW188" i="1"/>
  <c r="CW185" i="2" s="1"/>
  <c r="CW231" i="2" l="1"/>
  <c r="CW221" i="2"/>
  <c r="CW233" i="2"/>
  <c r="CW232" i="2"/>
  <c r="CW186" i="2"/>
  <c r="CW189" i="1"/>
  <c r="CW183" i="1"/>
  <c r="CW165" i="1"/>
  <c r="CW213" i="1" s="1"/>
  <c r="CW13" i="1"/>
  <c r="CW12" i="3" s="1"/>
  <c r="CW9" i="1"/>
  <c r="CW8" i="3" s="1"/>
  <c r="CW32" i="1"/>
  <c r="CW36" i="1"/>
  <c r="CW188" i="2" l="1"/>
  <c r="CW59" i="3"/>
  <c r="CW13" i="3"/>
  <c r="CW18" i="3" s="1"/>
  <c r="CW21" i="3" s="1"/>
  <c r="CW60" i="3"/>
  <c r="CW190" i="1"/>
  <c r="CW18" i="1"/>
  <c r="CW24" i="1" s="1"/>
  <c r="CW27" i="1" s="1"/>
  <c r="CW35" i="1" s="1"/>
  <c r="CW37" i="1" s="1"/>
  <c r="CW24" i="3" l="1"/>
  <c r="CW26" i="3" s="1"/>
  <c r="CW63" i="3"/>
  <c r="CW29" i="1"/>
  <c r="CW31" i="1"/>
  <c r="CW33" i="1" s="1"/>
  <c r="DE359" i="2" l="1"/>
  <c r="DE375" i="2" s="1"/>
  <c r="DD359" i="2"/>
  <c r="DC359" i="2"/>
  <c r="DB359" i="2"/>
  <c r="DE358" i="2"/>
  <c r="DE374" i="2" s="1"/>
  <c r="DD358" i="2"/>
  <c r="DC358" i="2"/>
  <c r="DB358" i="2"/>
  <c r="DE357" i="2"/>
  <c r="DE373" i="2" s="1"/>
  <c r="DD357" i="2"/>
  <c r="DC357" i="2"/>
  <c r="DB357" i="2"/>
  <c r="DE356" i="2"/>
  <c r="DE372" i="2" s="1"/>
  <c r="DD356" i="2"/>
  <c r="DC356" i="2"/>
  <c r="DB356" i="2"/>
  <c r="DE355" i="2"/>
  <c r="DE371" i="2" s="1"/>
  <c r="DD355" i="2"/>
  <c r="DC355" i="2"/>
  <c r="DB355" i="2"/>
  <c r="DE354" i="2"/>
  <c r="DE370" i="2" s="1"/>
  <c r="DD354" i="2"/>
  <c r="DC354" i="2"/>
  <c r="DB354" i="2"/>
  <c r="DE321" i="2"/>
  <c r="DD321" i="2"/>
  <c r="DC321" i="2"/>
  <c r="DB321" i="2"/>
  <c r="DA321" i="2"/>
  <c r="DE320" i="2"/>
  <c r="DD320" i="2"/>
  <c r="DC320" i="2"/>
  <c r="DB320" i="2"/>
  <c r="DA320" i="2"/>
  <c r="DE319" i="2"/>
  <c r="DD319" i="2"/>
  <c r="DC319" i="2"/>
  <c r="DB319" i="2"/>
  <c r="DA319" i="2"/>
  <c r="DE318" i="2"/>
  <c r="DD318" i="2"/>
  <c r="DC318" i="2"/>
  <c r="DC328" i="2" s="1"/>
  <c r="DB318" i="2"/>
  <c r="DB328" i="2" s="1"/>
  <c r="DA318" i="2"/>
  <c r="DA328" i="2" s="1"/>
  <c r="DE317" i="2"/>
  <c r="DE327" i="2" s="1"/>
  <c r="DD317" i="2"/>
  <c r="DD327" i="2" s="1"/>
  <c r="DC317" i="2"/>
  <c r="DC327" i="2" s="1"/>
  <c r="DB317" i="2"/>
  <c r="DB327" i="2" s="1"/>
  <c r="DA317" i="2"/>
  <c r="DA327" i="2" s="1"/>
  <c r="DE316" i="2"/>
  <c r="DD316" i="2"/>
  <c r="DC316" i="2"/>
  <c r="DC326" i="2" s="1"/>
  <c r="DB316" i="2"/>
  <c r="DB326" i="2" s="1"/>
  <c r="DA316" i="2"/>
  <c r="DA326" i="2" s="1"/>
  <c r="DE315" i="2"/>
  <c r="DD315" i="2"/>
  <c r="DC315" i="2"/>
  <c r="DB315" i="2"/>
  <c r="DA315" i="2"/>
  <c r="DE314" i="2"/>
  <c r="DE324" i="2" s="1"/>
  <c r="DD314" i="2"/>
  <c r="DD324" i="2" s="1"/>
  <c r="DC314" i="2"/>
  <c r="DC324" i="2" s="1"/>
  <c r="DB314" i="2"/>
  <c r="DB324" i="2" s="1"/>
  <c r="DA314" i="2"/>
  <c r="DA324" i="2" s="1"/>
  <c r="DE303" i="2"/>
  <c r="DD303" i="2"/>
  <c r="DC303" i="2"/>
  <c r="DB303" i="2"/>
  <c r="DA303" i="2"/>
  <c r="DE301" i="2"/>
  <c r="DF345" i="2" s="1"/>
  <c r="DD301" i="2"/>
  <c r="DC301" i="2"/>
  <c r="DB301" i="2"/>
  <c r="DA301" i="2"/>
  <c r="DE300" i="2"/>
  <c r="DF344" i="2" s="1"/>
  <c r="DF360" i="2" s="1"/>
  <c r="DD300" i="2"/>
  <c r="DC300" i="2"/>
  <c r="DB300" i="2"/>
  <c r="DA300" i="2"/>
  <c r="DE290" i="2"/>
  <c r="DF334" i="2" s="1"/>
  <c r="DD290" i="2"/>
  <c r="DC290" i="2"/>
  <c r="DB290" i="2"/>
  <c r="DA290" i="2"/>
  <c r="DE247" i="2"/>
  <c r="DE246" i="2"/>
  <c r="DE245" i="2"/>
  <c r="DE244" i="2"/>
  <c r="DE243" i="2"/>
  <c r="DE242" i="2"/>
  <c r="DD241" i="2"/>
  <c r="DC241" i="2"/>
  <c r="DB241" i="2"/>
  <c r="DA241" i="2"/>
  <c r="DD240" i="2"/>
  <c r="DC240" i="2"/>
  <c r="DB240" i="2"/>
  <c r="DA240" i="2"/>
  <c r="DD239" i="2"/>
  <c r="DC239" i="2"/>
  <c r="DB239" i="2"/>
  <c r="DA239" i="2"/>
  <c r="DE49" i="5"/>
  <c r="DE47" i="5"/>
  <c r="DE45" i="5"/>
  <c r="DE44" i="5"/>
  <c r="DE43" i="5"/>
  <c r="DE41" i="5"/>
  <c r="DE40" i="5"/>
  <c r="DE38" i="5"/>
  <c r="DE37" i="5"/>
  <c r="DE36" i="5"/>
  <c r="DE35" i="5"/>
  <c r="DE34" i="5"/>
  <c r="DE33" i="5"/>
  <c r="DE55" i="5" s="1"/>
  <c r="DE29" i="5"/>
  <c r="DE28" i="5"/>
  <c r="DE27" i="5"/>
  <c r="DE25" i="5"/>
  <c r="DE24" i="5"/>
  <c r="DE23" i="5"/>
  <c r="DE17" i="5"/>
  <c r="DE15" i="5"/>
  <c r="DE14" i="5"/>
  <c r="DE13" i="5"/>
  <c r="DE12" i="5"/>
  <c r="DE11" i="5"/>
  <c r="DE10" i="5"/>
  <c r="DE9" i="5"/>
  <c r="DD55" i="5"/>
  <c r="DC55" i="5"/>
  <c r="DB55" i="5"/>
  <c r="DA55" i="5"/>
  <c r="DD54" i="5"/>
  <c r="DC54" i="5"/>
  <c r="DB54" i="5"/>
  <c r="DA39" i="5"/>
  <c r="DE8" i="5"/>
  <c r="DD79" i="4"/>
  <c r="DD80" i="4" s="1"/>
  <c r="DC79" i="4"/>
  <c r="DC80" i="4" s="1"/>
  <c r="DD54" i="3"/>
  <c r="DC54" i="3"/>
  <c r="DB54" i="3"/>
  <c r="DA54" i="3"/>
  <c r="DE45" i="3"/>
  <c r="DE42" i="3"/>
  <c r="DE25" i="3"/>
  <c r="DE23" i="3"/>
  <c r="DE19" i="3"/>
  <c r="DE17" i="3"/>
  <c r="DE14" i="3"/>
  <c r="DE11" i="3"/>
  <c r="DE10" i="3"/>
  <c r="DE9" i="3"/>
  <c r="DE7" i="3"/>
  <c r="DE6" i="3"/>
  <c r="DE393" i="2"/>
  <c r="DE391" i="2"/>
  <c r="DE381" i="2"/>
  <c r="DE257" i="2"/>
  <c r="DE256" i="2"/>
  <c r="DE255" i="2"/>
  <c r="DE197" i="2"/>
  <c r="DE193" i="2"/>
  <c r="DE189" i="2"/>
  <c r="DE187" i="2"/>
  <c r="V24" i="30" s="1"/>
  <c r="DE185" i="2"/>
  <c r="DE184" i="2"/>
  <c r="DE183" i="2"/>
  <c r="DE181" i="2"/>
  <c r="DE103" i="2"/>
  <c r="DE101" i="2"/>
  <c r="DE97" i="2"/>
  <c r="DE93" i="2"/>
  <c r="DE90" i="2"/>
  <c r="DE89" i="2"/>
  <c r="DE88" i="2"/>
  <c r="DE87" i="2"/>
  <c r="DE81" i="2"/>
  <c r="DE80" i="2"/>
  <c r="DE79" i="2"/>
  <c r="DE71" i="2"/>
  <c r="DE92" i="2" s="1"/>
  <c r="DD267" i="2"/>
  <c r="DC267" i="2"/>
  <c r="DB267" i="2"/>
  <c r="DD257" i="2"/>
  <c r="DC257" i="2"/>
  <c r="DB257" i="2"/>
  <c r="DA257" i="2"/>
  <c r="DD256" i="2"/>
  <c r="DC256" i="2"/>
  <c r="DB256" i="2"/>
  <c r="DA256" i="2"/>
  <c r="DD255" i="2"/>
  <c r="DC255" i="2"/>
  <c r="DB255" i="2"/>
  <c r="DA255" i="2"/>
  <c r="DC186" i="2"/>
  <c r="DG268" i="2"/>
  <c r="DD129" i="2"/>
  <c r="DC129" i="2"/>
  <c r="DB129" i="2"/>
  <c r="DD113" i="2"/>
  <c r="DC113" i="2"/>
  <c r="DD92" i="2"/>
  <c r="DD112" i="2" s="1"/>
  <c r="DC92" i="2"/>
  <c r="DB92" i="2"/>
  <c r="DB112" i="2" s="1"/>
  <c r="DA92" i="2"/>
  <c r="DD87" i="2"/>
  <c r="DD107" i="2" s="1"/>
  <c r="DC87" i="2"/>
  <c r="DB87" i="2"/>
  <c r="DB107" i="2" s="1"/>
  <c r="DA87" i="2"/>
  <c r="DE87" i="17"/>
  <c r="DE112" i="12"/>
  <c r="DE61" i="17" s="1"/>
  <c r="DE111" i="12"/>
  <c r="DE60" i="17" s="1"/>
  <c r="DE76" i="12"/>
  <c r="DE74" i="12"/>
  <c r="DE72" i="12"/>
  <c r="DE66" i="12"/>
  <c r="DE65" i="12"/>
  <c r="DE63" i="12"/>
  <c r="DE61" i="12"/>
  <c r="DE59" i="12"/>
  <c r="DE52" i="12"/>
  <c r="DE42" i="12"/>
  <c r="DE30" i="12"/>
  <c r="DE28" i="12"/>
  <c r="DE26" i="12"/>
  <c r="DE24" i="12"/>
  <c r="DE22" i="12"/>
  <c r="DE20" i="12"/>
  <c r="DE18" i="12"/>
  <c r="DE16" i="12"/>
  <c r="DE14" i="12"/>
  <c r="DD78" i="12"/>
  <c r="DC78" i="12"/>
  <c r="DB78" i="12"/>
  <c r="DA78" i="12"/>
  <c r="DD67" i="12"/>
  <c r="DC67" i="12"/>
  <c r="DB67" i="12"/>
  <c r="DA67" i="12"/>
  <c r="DD55" i="12"/>
  <c r="DC55" i="12"/>
  <c r="DB55" i="12"/>
  <c r="DA55" i="12"/>
  <c r="DD45" i="12"/>
  <c r="DC45" i="12"/>
  <c r="DB45" i="12"/>
  <c r="DA45" i="12"/>
  <c r="DD32" i="12"/>
  <c r="DC32" i="12"/>
  <c r="DB32" i="12"/>
  <c r="DA32" i="12"/>
  <c r="DD61" i="17"/>
  <c r="DB61" i="17"/>
  <c r="DA61" i="17"/>
  <c r="DD60" i="17"/>
  <c r="DB60" i="17"/>
  <c r="DA60" i="17"/>
  <c r="DD37" i="17"/>
  <c r="DB37" i="17"/>
  <c r="DA37" i="17"/>
  <c r="DD36" i="17"/>
  <c r="DB36" i="17"/>
  <c r="DA36" i="17"/>
  <c r="DD19" i="17"/>
  <c r="DB19" i="17"/>
  <c r="DA19" i="17"/>
  <c r="DD18" i="17"/>
  <c r="DB18" i="17"/>
  <c r="DA18" i="17"/>
  <c r="DD234" i="1" l="1"/>
  <c r="DC286" i="2"/>
  <c r="DD286" i="2"/>
  <c r="DD344" i="2"/>
  <c r="DD345" i="2"/>
  <c r="DD235" i="1"/>
  <c r="V84" i="30"/>
  <c r="V66" i="30"/>
  <c r="V59" i="30" s="1"/>
  <c r="DD230" i="1"/>
  <c r="DC30" i="17"/>
  <c r="DC235" i="1"/>
  <c r="U66" i="30"/>
  <c r="DC6" i="17"/>
  <c r="DC230" i="1"/>
  <c r="DC42" i="17"/>
  <c r="DC234" i="1"/>
  <c r="DI268" i="2"/>
  <c r="S84" i="30"/>
  <c r="DB235" i="1"/>
  <c r="DD79" i="12"/>
  <c r="DD42" i="17"/>
  <c r="DB344" i="2"/>
  <c r="DC345" i="2"/>
  <c r="DH268" i="2"/>
  <c r="DC79" i="12"/>
  <c r="U84" i="30"/>
  <c r="T66" i="30"/>
  <c r="DB230" i="1"/>
  <c r="DB42" i="17"/>
  <c r="DB234" i="1"/>
  <c r="DB79" i="12"/>
  <c r="T84" i="30"/>
  <c r="DG266" i="2"/>
  <c r="DG250" i="2"/>
  <c r="DH250" i="2"/>
  <c r="DH266" i="2"/>
  <c r="DI266" i="2"/>
  <c r="DI250" i="2"/>
  <c r="DE15" i="12"/>
  <c r="DE25" i="12"/>
  <c r="DE19" i="12"/>
  <c r="DE21" i="12"/>
  <c r="DE23" i="12"/>
  <c r="DE42" i="5"/>
  <c r="DC302" i="2"/>
  <c r="DA230" i="1"/>
  <c r="S66" i="30"/>
  <c r="DA79" i="12"/>
  <c r="DA235" i="1"/>
  <c r="DA42" i="17"/>
  <c r="DA234" i="1"/>
  <c r="DC56" i="5"/>
  <c r="DB56" i="5"/>
  <c r="DC94" i="2"/>
  <c r="DC108" i="12"/>
  <c r="DH109" i="12" s="1"/>
  <c r="DA108" i="12"/>
  <c r="DF109" i="12" s="1"/>
  <c r="DB108" i="12"/>
  <c r="DG109" i="12" s="1"/>
  <c r="DA94" i="2"/>
  <c r="DE54" i="3"/>
  <c r="DE302" i="2"/>
  <c r="DD94" i="2"/>
  <c r="DE394" i="2"/>
  <c r="DD56" i="5"/>
  <c r="DB302" i="2"/>
  <c r="DA302" i="2"/>
  <c r="DA304" i="2" s="1"/>
  <c r="DD302" i="2"/>
  <c r="DB30" i="17"/>
  <c r="DD326" i="2"/>
  <c r="DE104" i="2"/>
  <c r="DA30" i="17"/>
  <c r="DD30" i="17"/>
  <c r="DE326" i="2"/>
  <c r="DD328" i="2"/>
  <c r="DE55" i="12"/>
  <c r="DE54" i="12" s="1"/>
  <c r="DE37" i="17" s="1"/>
  <c r="DE328" i="2"/>
  <c r="DC329" i="2"/>
  <c r="DA329" i="2"/>
  <c r="DB329" i="2"/>
  <c r="DA325" i="2"/>
  <c r="DB325" i="2"/>
  <c r="DC325" i="2"/>
  <c r="DA330" i="2"/>
  <c r="DB330" i="2"/>
  <c r="DC330" i="2"/>
  <c r="DE39" i="5"/>
  <c r="DE48" i="3"/>
  <c r="DC334" i="2"/>
  <c r="DD334" i="2"/>
  <c r="DC344" i="2"/>
  <c r="DE186" i="2"/>
  <c r="DE180" i="2"/>
  <c r="DB94" i="2"/>
  <c r="DE91" i="2"/>
  <c r="DE94" i="2" s="1"/>
  <c r="DE78" i="12"/>
  <c r="DD108" i="12"/>
  <c r="DI109" i="12" s="1"/>
  <c r="DE67" i="12"/>
  <c r="DE36" i="17"/>
  <c r="DE45" i="12"/>
  <c r="DE18" i="17"/>
  <c r="DD6" i="17"/>
  <c r="DB6" i="17"/>
  <c r="DA6" i="17"/>
  <c r="DE32" i="12"/>
  <c r="DE43" i="12"/>
  <c r="DE53" i="12"/>
  <c r="DA33" i="12"/>
  <c r="DB33" i="12"/>
  <c r="DC33" i="12"/>
  <c r="DD33" i="12"/>
  <c r="DA20" i="17"/>
  <c r="DA38" i="17"/>
  <c r="DB20" i="17"/>
  <c r="DB38" i="17"/>
  <c r="DD20" i="17"/>
  <c r="DD38" i="17"/>
  <c r="CV266" i="1"/>
  <c r="CZ266" i="1" s="1"/>
  <c r="CZ268" i="1" s="1"/>
  <c r="CV226" i="1"/>
  <c r="CU290" i="1"/>
  <c r="CU55" i="4"/>
  <c r="CU54" i="4"/>
  <c r="DE234" i="1" l="1"/>
  <c r="DE235" i="1"/>
  <c r="DE230" i="1"/>
  <c r="U59" i="30"/>
  <c r="DC304" i="2"/>
  <c r="T59" i="30"/>
  <c r="DD330" i="2"/>
  <c r="DD329" i="2"/>
  <c r="DE33" i="12"/>
  <c r="DD304" i="2"/>
  <c r="S59" i="30"/>
  <c r="DB304" i="2"/>
  <c r="DE304" i="2"/>
  <c r="DA331" i="2"/>
  <c r="DE330" i="2"/>
  <c r="DC331" i="2"/>
  <c r="DE44" i="12"/>
  <c r="DE19" i="17" s="1"/>
  <c r="DE20" i="17" s="1"/>
  <c r="DE22" i="17" s="1"/>
  <c r="DE38" i="17"/>
  <c r="DE40" i="17" s="1"/>
  <c r="DB331" i="2"/>
  <c r="DE329" i="2"/>
  <c r="DE325" i="2"/>
  <c r="DD325" i="2"/>
  <c r="DE233" i="2"/>
  <c r="DE79" i="12"/>
  <c r="DE30" i="17"/>
  <c r="DE42" i="17"/>
  <c r="DE68" i="12"/>
  <c r="DE108" i="12"/>
  <c r="DJ109" i="12" s="1"/>
  <c r="DE6" i="17"/>
  <c r="DE331" i="2" l="1"/>
  <c r="DD331" i="2"/>
  <c r="CV138" i="1" l="1"/>
  <c r="CV193" i="2" l="1"/>
  <c r="CU28" i="1"/>
  <c r="CU36" i="1" s="1"/>
  <c r="CU25" i="1"/>
  <c r="CU23" i="1"/>
  <c r="CU22" i="1"/>
  <c r="CU17" i="1"/>
  <c r="CU16" i="1"/>
  <c r="CU15" i="1"/>
  <c r="CU14" i="1"/>
  <c r="CU12" i="1"/>
  <c r="CU11" i="1"/>
  <c r="CU10" i="1"/>
  <c r="CU8" i="1"/>
  <c r="CU7" i="1"/>
  <c r="CT319" i="1"/>
  <c r="CT318" i="1"/>
  <c r="CT306" i="1"/>
  <c r="CT305" i="1"/>
  <c r="CT304" i="1"/>
  <c r="CT303" i="1"/>
  <c r="CT302" i="1"/>
  <c r="CT301" i="1"/>
  <c r="CT300" i="1"/>
  <c r="CT299" i="1"/>
  <c r="CT298" i="1"/>
  <c r="CT297" i="1"/>
  <c r="CT296" i="1"/>
  <c r="CT295" i="1"/>
  <c r="CT294" i="1"/>
  <c r="CU307" i="1"/>
  <c r="CT286" i="1"/>
  <c r="CT45" i="3" s="1"/>
  <c r="CU283" i="1"/>
  <c r="CU267" i="1"/>
  <c r="CU260" i="1"/>
  <c r="CU259" i="1"/>
  <c r="CU257" i="1"/>
  <c r="CU256" i="1"/>
  <c r="CU255" i="1"/>
  <c r="CU254" i="1"/>
  <c r="CU253" i="1"/>
  <c r="CU252" i="1"/>
  <c r="CV212" i="1"/>
  <c r="CV210" i="1"/>
  <c r="AX44" i="30"/>
  <c r="P83" i="30"/>
  <c r="AW44" i="30" s="1"/>
  <c r="AW45" i="30" s="1"/>
  <c r="AW46" i="30" s="1"/>
  <c r="O83" i="30"/>
  <c r="AV44" i="30" s="1"/>
  <c r="CU9" i="1" l="1"/>
  <c r="DA309" i="2"/>
  <c r="DA127" i="2"/>
  <c r="CT307" i="1"/>
  <c r="CT83" i="17"/>
  <c r="CV49" i="5"/>
  <c r="CW49" i="5" s="1"/>
  <c r="CX49" i="5" s="1"/>
  <c r="CY49" i="5" s="1"/>
  <c r="CV47" i="5"/>
  <c r="CW47" i="5" s="1"/>
  <c r="CX47" i="5" s="1"/>
  <c r="CY47" i="5" s="1"/>
  <c r="CV46" i="5"/>
  <c r="CW46" i="5" s="1"/>
  <c r="CX46" i="5" s="1"/>
  <c r="CY46" i="5" s="1"/>
  <c r="CV45" i="5"/>
  <c r="CW45" i="5" s="1"/>
  <c r="CX45" i="5" s="1"/>
  <c r="CY45" i="5" s="1"/>
  <c r="CV44" i="5"/>
  <c r="CW44" i="5" s="1"/>
  <c r="CX44" i="5" s="1"/>
  <c r="CY44" i="5" s="1"/>
  <c r="CV43" i="5"/>
  <c r="CW43" i="5" s="1"/>
  <c r="CX43" i="5" s="1"/>
  <c r="CY43" i="5" s="1"/>
  <c r="CV42" i="5"/>
  <c r="CW42" i="5" s="1"/>
  <c r="CX42" i="5" s="1"/>
  <c r="CY42" i="5" s="1"/>
  <c r="CV41" i="5"/>
  <c r="CW41" i="5" s="1"/>
  <c r="CX41" i="5" s="1"/>
  <c r="CV40" i="5"/>
  <c r="CW40" i="5" s="1"/>
  <c r="CX40" i="5" s="1"/>
  <c r="CY40" i="5" s="1"/>
  <c r="CV38" i="5"/>
  <c r="CW38" i="5" s="1"/>
  <c r="CX38" i="5" s="1"/>
  <c r="CY38" i="5" s="1"/>
  <c r="CV37" i="5"/>
  <c r="CW37" i="5" s="1"/>
  <c r="CX37" i="5" s="1"/>
  <c r="CY37" i="5" s="1"/>
  <c r="CV36" i="5"/>
  <c r="CW36" i="5" s="1"/>
  <c r="CX36" i="5" s="1"/>
  <c r="CY36" i="5" s="1"/>
  <c r="CV35" i="5"/>
  <c r="CW35" i="5" s="1"/>
  <c r="CX35" i="5" s="1"/>
  <c r="CY35" i="5" s="1"/>
  <c r="CV34" i="5"/>
  <c r="CW34" i="5" s="1"/>
  <c r="CX34" i="5" s="1"/>
  <c r="CY34" i="5" s="1"/>
  <c r="CV33" i="5"/>
  <c r="CW33" i="5" s="1"/>
  <c r="CX33" i="5" s="1"/>
  <c r="CV30" i="5"/>
  <c r="CW30" i="5" s="1"/>
  <c r="CX30" i="5" s="1"/>
  <c r="CY30" i="5" s="1"/>
  <c r="CV29" i="5"/>
  <c r="CW29" i="5" s="1"/>
  <c r="CX29" i="5" s="1"/>
  <c r="CY29" i="5" s="1"/>
  <c r="CV28" i="5"/>
  <c r="CW28" i="5" s="1"/>
  <c r="CX28" i="5" s="1"/>
  <c r="CY28" i="5" s="1"/>
  <c r="CV27" i="5"/>
  <c r="CW27" i="5" s="1"/>
  <c r="CX27" i="5" s="1"/>
  <c r="CY27" i="5" s="1"/>
  <c r="CV26" i="5"/>
  <c r="CW26" i="5" s="1"/>
  <c r="CX26" i="5" s="1"/>
  <c r="CY26" i="5" s="1"/>
  <c r="CV25" i="5"/>
  <c r="CW25" i="5" s="1"/>
  <c r="CX25" i="5" s="1"/>
  <c r="CY25" i="5" s="1"/>
  <c r="CV24" i="5"/>
  <c r="CW24" i="5" s="1"/>
  <c r="CX24" i="5" s="1"/>
  <c r="CY24" i="5" s="1"/>
  <c r="CV23" i="5"/>
  <c r="CW23" i="5" s="1"/>
  <c r="CX23" i="5" s="1"/>
  <c r="CY23" i="5" s="1"/>
  <c r="CV22" i="5"/>
  <c r="CW22" i="5" s="1"/>
  <c r="CX22" i="5" s="1"/>
  <c r="CY22" i="5" s="1"/>
  <c r="CV21" i="5"/>
  <c r="CW21" i="5" s="1"/>
  <c r="CX21" i="5" s="1"/>
  <c r="CY21" i="5" s="1"/>
  <c r="CV20" i="5"/>
  <c r="CW20" i="5" s="1"/>
  <c r="CX20" i="5" s="1"/>
  <c r="CV19" i="5"/>
  <c r="CW19" i="5" s="1"/>
  <c r="CX19" i="5" s="1"/>
  <c r="CY19" i="5" s="1"/>
  <c r="CV17" i="5"/>
  <c r="CW17" i="5" s="1"/>
  <c r="CX17" i="5" s="1"/>
  <c r="CY17" i="5" s="1"/>
  <c r="CV15" i="5"/>
  <c r="CW15" i="5" s="1"/>
  <c r="CX15" i="5" s="1"/>
  <c r="CY15" i="5" s="1"/>
  <c r="CV14" i="5"/>
  <c r="CW14" i="5" s="1"/>
  <c r="CX14" i="5" s="1"/>
  <c r="CY14" i="5" s="1"/>
  <c r="CV13" i="5"/>
  <c r="CW13" i="5" s="1"/>
  <c r="CX13" i="5" s="1"/>
  <c r="CY13" i="5" s="1"/>
  <c r="CV12" i="5"/>
  <c r="CW12" i="5" s="1"/>
  <c r="CX12" i="5" s="1"/>
  <c r="CY12" i="5" s="1"/>
  <c r="CV11" i="5"/>
  <c r="CW11" i="5" s="1"/>
  <c r="CX11" i="5" s="1"/>
  <c r="CY11" i="5" s="1"/>
  <c r="CV10" i="5"/>
  <c r="CW10" i="5" s="1"/>
  <c r="CX10" i="5" s="1"/>
  <c r="CY10" i="5" s="1"/>
  <c r="CV9" i="5"/>
  <c r="CW9" i="5" s="1"/>
  <c r="CX9" i="5" s="1"/>
  <c r="CY9" i="5" s="1"/>
  <c r="CV8" i="5"/>
  <c r="CW8" i="5" s="1"/>
  <c r="CX8" i="5" s="1"/>
  <c r="CY8" i="5" s="1"/>
  <c r="CV7" i="5"/>
  <c r="CW7" i="5" s="1"/>
  <c r="CX7" i="5" s="1"/>
  <c r="CV47" i="4"/>
  <c r="CV45" i="4"/>
  <c r="CV44" i="4"/>
  <c r="CV43" i="4"/>
  <c r="CV42" i="4"/>
  <c r="CV41" i="4"/>
  <c r="CV40" i="4"/>
  <c r="CV38" i="4"/>
  <c r="CV37" i="4"/>
  <c r="CV36" i="4"/>
  <c r="CV35" i="4"/>
  <c r="CV34" i="4"/>
  <c r="CV32" i="4"/>
  <c r="CV31" i="4"/>
  <c r="CV30" i="4"/>
  <c r="CV29" i="4"/>
  <c r="CV28" i="4"/>
  <c r="CV27" i="4"/>
  <c r="CW77" i="4" s="1"/>
  <c r="CV23" i="4"/>
  <c r="CV22" i="4"/>
  <c r="CV21" i="4"/>
  <c r="CV20" i="4"/>
  <c r="CV19" i="4"/>
  <c r="CV18" i="4"/>
  <c r="CV17" i="4"/>
  <c r="CV16" i="4"/>
  <c r="CV14" i="4"/>
  <c r="CV13" i="4"/>
  <c r="CW78" i="4" s="1"/>
  <c r="CV12" i="4"/>
  <c r="CV11" i="4"/>
  <c r="CV10" i="4"/>
  <c r="CV9" i="4"/>
  <c r="CW76" i="4" s="1"/>
  <c r="CV8" i="4"/>
  <c r="CV7" i="4"/>
  <c r="CV86" i="1"/>
  <c r="CV88" i="1" s="1"/>
  <c r="CV73" i="1"/>
  <c r="CV79" i="1" s="1"/>
  <c r="CV55" i="1"/>
  <c r="CV64" i="1" s="1"/>
  <c r="CV137" i="1"/>
  <c r="CV128" i="1"/>
  <c r="CV120" i="1"/>
  <c r="CV107" i="1" s="1"/>
  <c r="CV105" i="1"/>
  <c r="CV16" i="5" s="1"/>
  <c r="CW16" i="5" s="1"/>
  <c r="CX16" i="5" s="1"/>
  <c r="CY16" i="5" s="1"/>
  <c r="CV31" i="5" l="1"/>
  <c r="CW31" i="5" s="1"/>
  <c r="CX31" i="5" s="1"/>
  <c r="CY31" i="5" s="1"/>
  <c r="CY20" i="5"/>
  <c r="CX39" i="5"/>
  <c r="CY33" i="5"/>
  <c r="CY39" i="5" s="1"/>
  <c r="CY7" i="5"/>
  <c r="CX48" i="5"/>
  <c r="CY41" i="5"/>
  <c r="CY48" i="5" s="1"/>
  <c r="CW39" i="5"/>
  <c r="CW48" i="5"/>
  <c r="CV121" i="1"/>
  <c r="CV139" i="1" s="1"/>
  <c r="DA194" i="2"/>
  <c r="DA195" i="2" s="1"/>
  <c r="CV48" i="5"/>
  <c r="CV89" i="1"/>
  <c r="CV46" i="4"/>
  <c r="CV48" i="4" s="1"/>
  <c r="CV39" i="5"/>
  <c r="CV15" i="4"/>
  <c r="CV24" i="4" s="1"/>
  <c r="CV33" i="4"/>
  <c r="CV39" i="4" s="1"/>
  <c r="CV18" i="5" l="1"/>
  <c r="CV32" i="5" s="1"/>
  <c r="CW18" i="5"/>
  <c r="CW32" i="5" s="1"/>
  <c r="CY18" i="5"/>
  <c r="CY32" i="5" s="1"/>
  <c r="CY50" i="5" s="1"/>
  <c r="CX18" i="5"/>
  <c r="CX32" i="5" s="1"/>
  <c r="CX50" i="5" s="1"/>
  <c r="CW50" i="5"/>
  <c r="CV50" i="5"/>
  <c r="CV49" i="4"/>
  <c r="CV189" i="2"/>
  <c r="CV87" i="17" s="1"/>
  <c r="CV40" i="3"/>
  <c r="CV25" i="3"/>
  <c r="CV23" i="3"/>
  <c r="CV22" i="3"/>
  <c r="CV20" i="3"/>
  <c r="CV19" i="3"/>
  <c r="CV17" i="3"/>
  <c r="CV16" i="3"/>
  <c r="CV15" i="3"/>
  <c r="CV14" i="3"/>
  <c r="CV11" i="3"/>
  <c r="CV10" i="3"/>
  <c r="CV9" i="3"/>
  <c r="CV187" i="2"/>
  <c r="CV184" i="2"/>
  <c r="CV183" i="2"/>
  <c r="CV181" i="2"/>
  <c r="DA267" i="2" s="1"/>
  <c r="CV180" i="2"/>
  <c r="CV179" i="2"/>
  <c r="CV178" i="2"/>
  <c r="CV168" i="2"/>
  <c r="CV81" i="2"/>
  <c r="CV79" i="2"/>
  <c r="CV74" i="2"/>
  <c r="CV36" i="2"/>
  <c r="CV206" i="1"/>
  <c r="CV188" i="1"/>
  <c r="CV183" i="1"/>
  <c r="CV165" i="1"/>
  <c r="DA113" i="2" l="1"/>
  <c r="CV221" i="2"/>
  <c r="CV48" i="3"/>
  <c r="CV189" i="1"/>
  <c r="CZ189" i="1" s="1"/>
  <c r="CZ190" i="1" s="1"/>
  <c r="CZ188" i="1"/>
  <c r="DA107" i="2"/>
  <c r="CV232" i="2"/>
  <c r="DA112" i="2"/>
  <c r="DA129" i="2"/>
  <c r="CV213" i="1"/>
  <c r="CV208" i="1"/>
  <c r="CV231" i="2"/>
  <c r="DA264" i="2"/>
  <c r="DA248" i="2"/>
  <c r="CV185" i="2"/>
  <c r="CV186" i="2" s="1"/>
  <c r="DA266" i="2"/>
  <c r="DA250" i="2"/>
  <c r="CV233" i="2"/>
  <c r="CV190" i="1" l="1"/>
  <c r="DA268" i="2"/>
  <c r="CV36" i="1"/>
  <c r="CV32" i="1"/>
  <c r="CV13" i="1"/>
  <c r="CV9" i="1"/>
  <c r="CV8" i="3" s="1"/>
  <c r="CV12" i="3" l="1"/>
  <c r="CV13" i="3" s="1"/>
  <c r="CV18" i="3" s="1"/>
  <c r="CV21" i="3" s="1"/>
  <c r="CZ13" i="1"/>
  <c r="CZ18" i="1" s="1"/>
  <c r="CZ24" i="1" s="1"/>
  <c r="CZ27" i="1" s="1"/>
  <c r="CV60" i="3"/>
  <c r="CV59" i="3"/>
  <c r="CV18" i="1"/>
  <c r="CV24" i="1" s="1"/>
  <c r="CV27" i="1" s="1"/>
  <c r="CV29" i="1" s="1"/>
  <c r="CZ29" i="1" s="1"/>
  <c r="CV63" i="3" l="1"/>
  <c r="CV24" i="3"/>
  <c r="CV26" i="3" s="1"/>
  <c r="CV35" i="1"/>
  <c r="CV37" i="1" s="1"/>
  <c r="CV31" i="1"/>
  <c r="CV33" i="1" s="1"/>
  <c r="O65" i="30" l="1"/>
  <c r="CZ16" i="12"/>
  <c r="CZ18" i="12"/>
  <c r="CZ14" i="12"/>
  <c r="CZ19" i="12" l="1"/>
  <c r="CZ15" i="12"/>
  <c r="CU225" i="1"/>
  <c r="CU224" i="1"/>
  <c r="CU223" i="1"/>
  <c r="CU222" i="1"/>
  <c r="CU220" i="1"/>
  <c r="CU219" i="1"/>
  <c r="CT226" i="1"/>
  <c r="CU226" i="1" l="1"/>
  <c r="CZ9" i="5"/>
  <c r="R83" i="30" l="1"/>
  <c r="AY44" i="30" s="1"/>
  <c r="AY45" i="30" s="1"/>
  <c r="R81" i="30" l="1"/>
  <c r="S13" i="30"/>
  <c r="T13" i="30" s="1"/>
  <c r="U13" i="30" s="1"/>
  <c r="T30" i="30"/>
  <c r="S4" i="30"/>
  <c r="T4" i="30" s="1"/>
  <c r="AT43" i="30"/>
  <c r="Z80" i="30"/>
  <c r="W85" i="30"/>
  <c r="X85" i="30"/>
  <c r="Z85" i="30"/>
  <c r="Z81" i="30"/>
  <c r="W82" i="30"/>
  <c r="X82" i="30"/>
  <c r="Y82" i="30"/>
  <c r="Z82" i="30"/>
  <c r="L65" i="30"/>
  <c r="N65" i="30"/>
  <c r="M65" i="30"/>
  <c r="N83" i="30"/>
  <c r="CT42" i="3"/>
  <c r="CS42" i="3"/>
  <c r="CN87" i="17"/>
  <c r="CO87" i="17"/>
  <c r="CZ87" i="17"/>
  <c r="CQ87" i="17"/>
  <c r="CT18" i="17"/>
  <c r="CT19" i="17"/>
  <c r="CT36" i="17"/>
  <c r="CT37" i="17"/>
  <c r="CT60" i="17"/>
  <c r="CT61" i="17"/>
  <c r="Y85" i="30" l="1"/>
  <c r="CT38" i="17"/>
  <c r="CT20" i="17"/>
  <c r="T23" i="30"/>
  <c r="N82" i="30"/>
  <c r="CT212" i="1"/>
  <c r="CU207" i="1"/>
  <c r="CU205" i="1"/>
  <c r="CU204" i="1"/>
  <c r="CU203" i="1"/>
  <c r="CU196" i="1"/>
  <c r="CU195" i="1"/>
  <c r="CU194" i="1"/>
  <c r="CU193" i="1"/>
  <c r="CT210" i="1"/>
  <c r="CT206" i="1"/>
  <c r="CT208" i="1" s="1"/>
  <c r="CT7" i="4"/>
  <c r="CT8" i="4"/>
  <c r="CT9" i="4"/>
  <c r="CT10" i="4"/>
  <c r="CT11" i="4"/>
  <c r="CT12" i="4"/>
  <c r="CT13" i="4"/>
  <c r="CT14" i="4"/>
  <c r="CT16" i="4"/>
  <c r="CT17" i="4"/>
  <c r="CT18" i="4"/>
  <c r="CT19" i="4"/>
  <c r="CT20" i="4"/>
  <c r="CT21" i="4"/>
  <c r="CT22" i="4"/>
  <c r="CT23" i="4"/>
  <c r="CT27" i="4"/>
  <c r="CT28" i="4"/>
  <c r="CT29" i="4"/>
  <c r="CT30" i="4"/>
  <c r="CT31" i="4"/>
  <c r="CT32" i="4"/>
  <c r="CT34" i="4"/>
  <c r="CT35" i="4"/>
  <c r="CT36" i="4"/>
  <c r="CT37" i="4"/>
  <c r="CT38" i="4"/>
  <c r="CT40" i="4"/>
  <c r="CT41" i="4"/>
  <c r="CT42" i="4"/>
  <c r="CT43" i="4"/>
  <c r="CT44" i="4"/>
  <c r="CT45" i="4"/>
  <c r="CT47" i="4"/>
  <c r="CU187" i="1"/>
  <c r="CU186" i="1"/>
  <c r="CU185" i="1"/>
  <c r="CU182" i="1"/>
  <c r="CU181" i="1"/>
  <c r="CU173" i="1"/>
  <c r="CU172" i="1"/>
  <c r="CU171" i="1"/>
  <c r="CU170" i="1"/>
  <c r="CU169" i="1"/>
  <c r="CU168" i="1"/>
  <c r="CU164" i="1"/>
  <c r="CU162" i="1"/>
  <c r="CU161" i="1"/>
  <c r="CU160" i="1"/>
  <c r="CU153" i="1"/>
  <c r="CU152" i="1"/>
  <c r="CU151" i="1"/>
  <c r="CU150" i="1"/>
  <c r="CU149" i="1"/>
  <c r="CU148" i="1"/>
  <c r="CU87" i="1"/>
  <c r="CU85" i="1"/>
  <c r="CU84" i="1"/>
  <c r="CU83" i="1"/>
  <c r="CU82" i="1"/>
  <c r="CU81" i="1"/>
  <c r="CU80" i="1"/>
  <c r="CU78" i="1"/>
  <c r="CU77" i="1"/>
  <c r="CU76" i="1"/>
  <c r="CU319" i="1" s="1"/>
  <c r="CU75" i="1"/>
  <c r="CU74" i="1"/>
  <c r="CU71" i="1"/>
  <c r="CU69" i="1"/>
  <c r="CU68" i="1"/>
  <c r="CU67" i="1"/>
  <c r="CU63" i="1"/>
  <c r="CU61" i="1"/>
  <c r="CU60" i="1"/>
  <c r="CU318" i="1" s="1"/>
  <c r="CU59" i="1"/>
  <c r="CU58" i="1"/>
  <c r="CU57" i="1"/>
  <c r="CU56" i="1"/>
  <c r="CU54" i="1"/>
  <c r="CU53" i="1"/>
  <c r="CU51" i="1"/>
  <c r="CU50" i="1"/>
  <c r="CU49" i="1"/>
  <c r="CU48" i="1"/>
  <c r="CU47" i="1"/>
  <c r="CU138" i="1"/>
  <c r="CU136" i="1"/>
  <c r="CU135" i="1"/>
  <c r="CU134" i="1"/>
  <c r="CU133" i="1"/>
  <c r="CU131" i="1"/>
  <c r="CU130" i="1"/>
  <c r="CU129" i="1"/>
  <c r="CU127" i="1"/>
  <c r="CU126" i="1"/>
  <c r="CU125" i="1"/>
  <c r="CU124" i="1"/>
  <c r="CU123" i="1"/>
  <c r="CU122" i="1"/>
  <c r="CU119" i="1"/>
  <c r="CU116" i="1"/>
  <c r="CU115" i="1"/>
  <c r="CU114" i="1"/>
  <c r="CU113" i="1"/>
  <c r="CU112" i="1"/>
  <c r="CU111" i="1"/>
  <c r="CU110" i="1"/>
  <c r="CU109" i="1"/>
  <c r="CU108" i="1"/>
  <c r="CU104" i="1"/>
  <c r="CU102" i="1"/>
  <c r="CU101" i="1"/>
  <c r="CU98" i="1"/>
  <c r="CU97" i="1"/>
  <c r="CU96" i="1"/>
  <c r="CT137" i="1"/>
  <c r="CT128" i="1"/>
  <c r="CT120" i="1"/>
  <c r="CT107" i="1" s="1"/>
  <c r="CT105" i="1"/>
  <c r="CU105" i="1" s="1"/>
  <c r="CT86" i="1"/>
  <c r="CT88" i="1" s="1"/>
  <c r="CT73" i="1"/>
  <c r="CT79" i="1" s="1"/>
  <c r="CT55" i="1"/>
  <c r="CT64" i="1" s="1"/>
  <c r="CT189" i="2"/>
  <c r="CT87" i="17" s="1"/>
  <c r="CS45" i="3"/>
  <c r="CT40" i="3"/>
  <c r="CT9" i="3"/>
  <c r="CT10" i="3"/>
  <c r="CT11" i="3"/>
  <c r="CT14" i="3"/>
  <c r="CT15" i="3"/>
  <c r="CT16" i="3"/>
  <c r="CT17" i="3"/>
  <c r="CT19" i="3"/>
  <c r="CT20" i="3"/>
  <c r="CT22" i="3"/>
  <c r="CT23" i="3"/>
  <c r="CT25" i="3"/>
  <c r="CT168" i="2"/>
  <c r="CT178" i="2"/>
  <c r="CT179" i="2"/>
  <c r="CT180" i="2"/>
  <c r="CT181" i="2"/>
  <c r="CT183" i="2"/>
  <c r="CT184" i="2"/>
  <c r="CT187" i="2"/>
  <c r="CT81" i="2"/>
  <c r="CT79" i="2"/>
  <c r="CT74" i="2"/>
  <c r="CT69" i="2"/>
  <c r="CT36" i="2"/>
  <c r="CT188" i="1"/>
  <c r="CT185" i="2" s="1"/>
  <c r="CT183" i="1"/>
  <c r="CT165" i="1"/>
  <c r="CT32" i="1"/>
  <c r="CT36" i="1"/>
  <c r="CT13" i="1"/>
  <c r="CT9" i="1"/>
  <c r="CT8" i="3" s="1"/>
  <c r="CU86" i="1" l="1"/>
  <c r="CU88" i="1" s="1"/>
  <c r="CU183" i="1"/>
  <c r="CT121" i="1"/>
  <c r="CT139" i="1" s="1"/>
  <c r="CY113" i="2"/>
  <c r="CT60" i="3"/>
  <c r="CU206" i="1"/>
  <c r="CU208" i="1" s="1"/>
  <c r="CT213" i="1"/>
  <c r="CT18" i="1"/>
  <c r="CT24" i="1" s="1"/>
  <c r="CT27" i="1" s="1"/>
  <c r="CT31" i="1" s="1"/>
  <c r="CT33" i="1" s="1"/>
  <c r="CT189" i="1"/>
  <c r="CT190" i="1" s="1"/>
  <c r="CT48" i="3"/>
  <c r="CT49" i="3" s="1"/>
  <c r="CY111" i="2"/>
  <c r="CU73" i="1"/>
  <c r="CU79" i="1" s="1"/>
  <c r="CU180" i="1"/>
  <c r="CT12" i="3"/>
  <c r="CT13" i="3" s="1"/>
  <c r="CT18" i="3" s="1"/>
  <c r="CT21" i="3" s="1"/>
  <c r="CT24" i="3" s="1"/>
  <c r="CT26" i="3" s="1"/>
  <c r="CU120" i="1"/>
  <c r="CU107" i="1" s="1"/>
  <c r="CU121" i="1" s="1"/>
  <c r="CU137" i="1"/>
  <c r="CU212" i="1"/>
  <c r="CU128" i="1"/>
  <c r="CU55" i="1"/>
  <c r="CU64" i="1" s="1"/>
  <c r="CU165" i="1"/>
  <c r="CU210" i="1"/>
  <c r="CT231" i="2"/>
  <c r="CT221" i="2"/>
  <c r="CT186" i="2"/>
  <c r="CT232" i="2"/>
  <c r="CT233" i="2"/>
  <c r="CT89" i="1"/>
  <c r="CT46" i="4"/>
  <c r="CT48" i="4" s="1"/>
  <c r="CT15" i="4"/>
  <c r="CT24" i="4" s="1"/>
  <c r="CT33" i="4"/>
  <c r="CT39" i="4" s="1"/>
  <c r="CT59" i="3"/>
  <c r="CU89" i="1" l="1"/>
  <c r="CT35" i="1"/>
  <c r="CT37" i="1" s="1"/>
  <c r="CT29" i="1"/>
  <c r="CU139" i="1"/>
  <c r="CT188" i="2"/>
  <c r="CT49" i="4"/>
  <c r="CT63" i="3"/>
  <c r="V81" i="30" l="1"/>
  <c r="CT56" i="4" l="1"/>
  <c r="CP290" i="1"/>
  <c r="CS319" i="1" l="1"/>
  <c r="CS318" i="1"/>
  <c r="CS307" i="1"/>
  <c r="CS226" i="1"/>
  <c r="CS138" i="1" l="1"/>
  <c r="CP55" i="4" l="1"/>
  <c r="CP54" i="4"/>
  <c r="CP56" i="4" l="1"/>
  <c r="CS189" i="2" l="1"/>
  <c r="CS87" i="17" s="1"/>
  <c r="M83" i="30"/>
  <c r="CS7" i="4"/>
  <c r="CS8" i="4"/>
  <c r="CS9" i="4"/>
  <c r="CT76" i="4" s="1"/>
  <c r="CS10" i="4"/>
  <c r="CS11" i="4"/>
  <c r="CS12" i="4"/>
  <c r="CS13" i="4"/>
  <c r="CT78" i="4" s="1"/>
  <c r="CS14" i="4"/>
  <c r="CS16" i="4"/>
  <c r="CS17" i="4"/>
  <c r="CS18" i="4"/>
  <c r="CS19" i="4"/>
  <c r="CS20" i="4"/>
  <c r="CS21" i="4"/>
  <c r="CS22" i="4"/>
  <c r="CS23" i="4"/>
  <c r="CS27" i="4"/>
  <c r="CT77" i="4" s="1"/>
  <c r="CS28" i="4"/>
  <c r="CS29" i="4"/>
  <c r="CS30" i="4"/>
  <c r="CS31" i="4"/>
  <c r="CS32" i="4"/>
  <c r="CS34" i="4"/>
  <c r="CS35" i="4"/>
  <c r="CS36" i="4"/>
  <c r="CS37" i="4"/>
  <c r="CS38" i="4"/>
  <c r="CS40" i="4"/>
  <c r="CS41" i="4"/>
  <c r="CS42" i="4"/>
  <c r="CS43" i="4"/>
  <c r="CS44" i="4"/>
  <c r="CS45" i="4"/>
  <c r="CS47" i="4"/>
  <c r="CS6" i="3"/>
  <c r="CS7" i="3"/>
  <c r="CS36" i="17"/>
  <c r="CS37" i="17"/>
  <c r="CS60" i="17"/>
  <c r="CS18" i="17"/>
  <c r="CS19" i="17"/>
  <c r="CS61" i="17"/>
  <c r="CS212" i="1"/>
  <c r="CS210" i="1"/>
  <c r="CS206" i="1"/>
  <c r="CS208" i="1" s="1"/>
  <c r="CS86" i="1"/>
  <c r="CS88" i="1" s="1"/>
  <c r="CS73" i="1"/>
  <c r="CS79" i="1" s="1"/>
  <c r="CS55" i="1"/>
  <c r="CS64" i="1" s="1"/>
  <c r="CS137" i="1"/>
  <c r="CS128" i="1"/>
  <c r="CS120" i="1"/>
  <c r="CS107" i="1" s="1"/>
  <c r="CS105" i="1"/>
  <c r="AS43" i="30"/>
  <c r="CS40" i="3"/>
  <c r="CS9" i="3"/>
  <c r="CS10" i="3"/>
  <c r="CS11" i="3"/>
  <c r="CS14" i="3"/>
  <c r="CS15" i="3"/>
  <c r="CS16" i="3"/>
  <c r="CS17" i="3"/>
  <c r="CS19" i="3"/>
  <c r="CS20" i="3"/>
  <c r="CS22" i="3"/>
  <c r="CS23" i="3"/>
  <c r="CS25" i="3"/>
  <c r="CS183" i="2"/>
  <c r="CS184" i="2"/>
  <c r="CS187" i="2"/>
  <c r="CS48" i="3" s="1"/>
  <c r="CS168" i="2"/>
  <c r="CS178" i="2"/>
  <c r="CS179" i="2"/>
  <c r="CS180" i="2"/>
  <c r="CS181" i="2"/>
  <c r="CS81" i="2"/>
  <c r="CS79" i="2"/>
  <c r="CX113" i="2" s="1"/>
  <c r="CS74" i="2"/>
  <c r="CS69" i="2"/>
  <c r="CX111" i="2" s="1"/>
  <c r="CS36" i="2"/>
  <c r="CS188" i="1"/>
  <c r="CS185" i="2" s="1"/>
  <c r="CS183" i="1"/>
  <c r="CS165" i="1"/>
  <c r="CS213" i="1" l="1"/>
  <c r="CS121" i="1"/>
  <c r="CS139" i="1" s="1"/>
  <c r="CS186" i="2"/>
  <c r="CS232" i="2"/>
  <c r="CS233" i="2"/>
  <c r="CS221" i="2"/>
  <c r="CS89" i="1"/>
  <c r="CS189" i="1"/>
  <c r="CS190" i="1" s="1"/>
  <c r="CS56" i="4"/>
  <c r="CS231" i="2"/>
  <c r="CS33" i="4"/>
  <c r="CS39" i="4" s="1"/>
  <c r="CS46" i="4"/>
  <c r="CS48" i="4" s="1"/>
  <c r="CS15" i="4"/>
  <c r="CS24" i="4" s="1"/>
  <c r="CS20" i="17"/>
  <c r="CS49" i="3"/>
  <c r="CS38" i="17"/>
  <c r="CS32" i="1"/>
  <c r="CS36" i="1"/>
  <c r="CS13" i="1"/>
  <c r="CS12" i="3" s="1"/>
  <c r="CS9" i="1"/>
  <c r="CS18" i="1" l="1"/>
  <c r="CS24" i="1" s="1"/>
  <c r="CS27" i="1" s="1"/>
  <c r="CS29" i="1" s="1"/>
  <c r="CS8" i="3"/>
  <c r="CS13" i="3" s="1"/>
  <c r="CS18" i="3" s="1"/>
  <c r="CS21" i="3" s="1"/>
  <c r="CS24" i="3" s="1"/>
  <c r="CS26" i="3" s="1"/>
  <c r="CS49" i="4"/>
  <c r="CS35" i="1"/>
  <c r="CS37" i="1" s="1"/>
  <c r="CR138" i="1"/>
  <c r="CQ138" i="1"/>
  <c r="CS31" i="1" l="1"/>
  <c r="CS33" i="1" s="1"/>
  <c r="CS63" i="3"/>
  <c r="CS60" i="3"/>
  <c r="CS59" i="3"/>
  <c r="CR45" i="3"/>
  <c r="CR42" i="3" l="1"/>
  <c r="CR319" i="1"/>
  <c r="CR318" i="1"/>
  <c r="CR266" i="1"/>
  <c r="CR226" i="1"/>
  <c r="CR18" i="17" l="1"/>
  <c r="CR19" i="17"/>
  <c r="CR36" i="17"/>
  <c r="CR37" i="17"/>
  <c r="CR60" i="17"/>
  <c r="CR61" i="17"/>
  <c r="CR83" i="17"/>
  <c r="CQ83" i="17"/>
  <c r="CR307" i="1"/>
  <c r="CR7" i="4"/>
  <c r="CR8" i="4"/>
  <c r="CR9" i="4"/>
  <c r="CS76" i="4" s="1"/>
  <c r="CR10" i="4"/>
  <c r="CR11" i="4"/>
  <c r="CR12" i="4"/>
  <c r="CR13" i="4"/>
  <c r="CS78" i="4" s="1"/>
  <c r="CR14" i="4"/>
  <c r="CR16" i="4"/>
  <c r="CR17" i="4"/>
  <c r="CR18" i="4"/>
  <c r="CR19" i="4"/>
  <c r="CR20" i="4"/>
  <c r="CR21" i="4"/>
  <c r="CR22" i="4"/>
  <c r="CR23" i="4"/>
  <c r="CR27" i="4"/>
  <c r="CR28" i="4"/>
  <c r="CR29" i="4"/>
  <c r="CR30" i="4"/>
  <c r="CR31" i="4"/>
  <c r="CR32" i="4"/>
  <c r="CR34" i="4"/>
  <c r="CR35" i="4"/>
  <c r="CR36" i="4"/>
  <c r="CR37" i="4"/>
  <c r="CR38" i="4"/>
  <c r="CR40" i="4"/>
  <c r="CR41" i="4"/>
  <c r="CR42" i="4"/>
  <c r="CR43" i="4"/>
  <c r="CR44" i="4"/>
  <c r="CR45" i="4"/>
  <c r="CR47" i="4"/>
  <c r="CR86" i="1"/>
  <c r="CR88" i="1" s="1"/>
  <c r="CR73" i="1"/>
  <c r="CR79" i="1" s="1"/>
  <c r="CR55" i="1"/>
  <c r="CR64" i="1" s="1"/>
  <c r="CR189" i="2"/>
  <c r="CR87" i="17" s="1"/>
  <c r="CU87" i="17" s="1"/>
  <c r="AR43" i="30"/>
  <c r="CR137" i="1"/>
  <c r="CR128" i="1"/>
  <c r="CR105" i="1"/>
  <c r="CR120" i="1"/>
  <c r="CR107" i="1" s="1"/>
  <c r="CR40" i="3"/>
  <c r="CR25" i="3"/>
  <c r="CQ25" i="3"/>
  <c r="CR6" i="3"/>
  <c r="CR7" i="3"/>
  <c r="CR9" i="3"/>
  <c r="CR10" i="3"/>
  <c r="CR11" i="3"/>
  <c r="CR14" i="3"/>
  <c r="CR15" i="3"/>
  <c r="CR16" i="3"/>
  <c r="CR17" i="3"/>
  <c r="CR19" i="3"/>
  <c r="CR20" i="3"/>
  <c r="CR22" i="3"/>
  <c r="CR23" i="3"/>
  <c r="CQ7" i="3"/>
  <c r="CQ6" i="3"/>
  <c r="CN6" i="3"/>
  <c r="CN7" i="3"/>
  <c r="CR187" i="2"/>
  <c r="CR184" i="2"/>
  <c r="CR183" i="2"/>
  <c r="CR168" i="2"/>
  <c r="CR178" i="2"/>
  <c r="CR179" i="2"/>
  <c r="CR180" i="2"/>
  <c r="CR181" i="2"/>
  <c r="CR81" i="2"/>
  <c r="CR79" i="2"/>
  <c r="CR74" i="2"/>
  <c r="CR69" i="2"/>
  <c r="CR36" i="2"/>
  <c r="CR212" i="1"/>
  <c r="CR210" i="1"/>
  <c r="CR206" i="1"/>
  <c r="CR208" i="1" s="1"/>
  <c r="CR188" i="1"/>
  <c r="CR185" i="2" s="1"/>
  <c r="CR183" i="1"/>
  <c r="CR165" i="1"/>
  <c r="CR32" i="1"/>
  <c r="CR36" i="1"/>
  <c r="CR13" i="1"/>
  <c r="CR12" i="3" s="1"/>
  <c r="CR9" i="1"/>
  <c r="CR8" i="3" s="1"/>
  <c r="CR121" i="1" l="1"/>
  <c r="CR139" i="1" s="1"/>
  <c r="CR18" i="1"/>
  <c r="CR24" i="1" s="1"/>
  <c r="CR27" i="1" s="1"/>
  <c r="CR29" i="1" s="1"/>
  <c r="CR89" i="1"/>
  <c r="CW111" i="2"/>
  <c r="CW113" i="2"/>
  <c r="CR189" i="1"/>
  <c r="CR190" i="1" s="1"/>
  <c r="CR213" i="1"/>
  <c r="CR48" i="3"/>
  <c r="CR49" i="3" s="1"/>
  <c r="CR60" i="3"/>
  <c r="CR56" i="4"/>
  <c r="CR59" i="3"/>
  <c r="CR233" i="2"/>
  <c r="CR232" i="2"/>
  <c r="CR231" i="2"/>
  <c r="CR221" i="2"/>
  <c r="CR31" i="1"/>
  <c r="CR33" i="1" s="1"/>
  <c r="CR13" i="3"/>
  <c r="CR18" i="3" s="1"/>
  <c r="CR21" i="3" s="1"/>
  <c r="CR24" i="3" s="1"/>
  <c r="CR26" i="3" s="1"/>
  <c r="CR33" i="4"/>
  <c r="CR39" i="4" s="1"/>
  <c r="CS77" i="4"/>
  <c r="CR46" i="4"/>
  <c r="CR48" i="4" s="1"/>
  <c r="CR15" i="4"/>
  <c r="CR24" i="4" s="1"/>
  <c r="CU83" i="17"/>
  <c r="CR20" i="17"/>
  <c r="CR38" i="17"/>
  <c r="CR35" i="1" l="1"/>
  <c r="CR37" i="1" s="1"/>
  <c r="CR49" i="4"/>
  <c r="CR63" i="3"/>
  <c r="CZ8" i="5" l="1"/>
  <c r="CV55" i="5"/>
  <c r="CV54" i="5"/>
  <c r="CY55" i="5"/>
  <c r="CX55" i="5"/>
  <c r="CW55" i="5"/>
  <c r="CY54" i="5"/>
  <c r="CX54" i="5"/>
  <c r="CW54" i="5"/>
  <c r="CZ49" i="5"/>
  <c r="CZ47" i="5"/>
  <c r="CZ45" i="5"/>
  <c r="CZ44" i="5"/>
  <c r="CZ43" i="5"/>
  <c r="CZ41" i="5"/>
  <c r="CZ40" i="5"/>
  <c r="CZ38" i="5"/>
  <c r="CZ37" i="5"/>
  <c r="CZ36" i="5"/>
  <c r="CZ35" i="5"/>
  <c r="CZ34" i="5"/>
  <c r="CZ33" i="5"/>
  <c r="CZ32" i="5"/>
  <c r="CZ54" i="5" s="1"/>
  <c r="CZ29" i="5"/>
  <c r="CZ28" i="5"/>
  <c r="CZ27" i="5"/>
  <c r="CZ25" i="5"/>
  <c r="CZ24" i="5"/>
  <c r="CZ23" i="5"/>
  <c r="CZ17" i="5"/>
  <c r="CZ15" i="5"/>
  <c r="CZ14" i="5"/>
  <c r="CZ13" i="5"/>
  <c r="CZ12" i="5"/>
  <c r="CZ11" i="5"/>
  <c r="CZ10" i="5"/>
  <c r="CY54" i="3"/>
  <c r="CY79" i="4"/>
  <c r="CY80" i="4" s="1"/>
  <c r="CX79" i="4"/>
  <c r="CX80" i="4" s="1"/>
  <c r="CW79" i="4"/>
  <c r="CW80" i="4" s="1"/>
  <c r="CV54" i="3"/>
  <c r="CX54" i="3"/>
  <c r="CW54" i="3"/>
  <c r="CZ45" i="3"/>
  <c r="CZ42" i="3"/>
  <c r="CZ25" i="3"/>
  <c r="CZ23" i="3"/>
  <c r="CZ19" i="3"/>
  <c r="CZ17" i="3"/>
  <c r="CZ14" i="3"/>
  <c r="CZ11" i="3"/>
  <c r="CZ10" i="3"/>
  <c r="CZ9" i="3"/>
  <c r="CZ7" i="3"/>
  <c r="CZ6" i="3"/>
  <c r="CY359" i="2"/>
  <c r="CX359" i="2"/>
  <c r="CW359" i="2"/>
  <c r="CV359" i="2"/>
  <c r="CY358" i="2"/>
  <c r="CX358" i="2"/>
  <c r="CW358" i="2"/>
  <c r="CV358" i="2"/>
  <c r="CY357" i="2"/>
  <c r="CX357" i="2"/>
  <c r="CW357" i="2"/>
  <c r="CV357" i="2"/>
  <c r="CY356" i="2"/>
  <c r="CX356" i="2"/>
  <c r="CW356" i="2"/>
  <c r="CV356" i="2"/>
  <c r="CY355" i="2"/>
  <c r="CX355" i="2"/>
  <c r="CW355" i="2"/>
  <c r="CV355" i="2"/>
  <c r="CY354" i="2"/>
  <c r="CX354" i="2"/>
  <c r="CW354" i="2"/>
  <c r="CV354" i="2"/>
  <c r="CY321" i="2"/>
  <c r="CX321" i="2"/>
  <c r="CW321" i="2"/>
  <c r="CV321" i="2"/>
  <c r="CY320" i="2"/>
  <c r="CX320" i="2"/>
  <c r="CW320" i="2"/>
  <c r="CV320" i="2"/>
  <c r="CY319" i="2"/>
  <c r="CX319" i="2"/>
  <c r="CW319" i="2"/>
  <c r="CV319" i="2"/>
  <c r="CY318" i="2"/>
  <c r="CX318" i="2"/>
  <c r="CX328" i="2" s="1"/>
  <c r="CW318" i="2"/>
  <c r="CW328" i="2" s="1"/>
  <c r="CV318" i="2"/>
  <c r="CV328" i="2" s="1"/>
  <c r="CY317" i="2"/>
  <c r="CY327" i="2" s="1"/>
  <c r="CX317" i="2"/>
  <c r="CX327" i="2" s="1"/>
  <c r="CW317" i="2"/>
  <c r="CW327" i="2" s="1"/>
  <c r="CV317" i="2"/>
  <c r="CV327" i="2" s="1"/>
  <c r="CY316" i="2"/>
  <c r="CX316" i="2"/>
  <c r="CX326" i="2" s="1"/>
  <c r="CW316" i="2"/>
  <c r="CW326" i="2" s="1"/>
  <c r="CV316" i="2"/>
  <c r="CV326" i="2" s="1"/>
  <c r="CY315" i="2"/>
  <c r="CX315" i="2"/>
  <c r="CW315" i="2"/>
  <c r="CV315" i="2"/>
  <c r="CY314" i="2"/>
  <c r="CY324" i="2" s="1"/>
  <c r="CX314" i="2"/>
  <c r="CX324" i="2" s="1"/>
  <c r="CW314" i="2"/>
  <c r="CW324" i="2" s="1"/>
  <c r="CV314" i="2"/>
  <c r="CV324" i="2" s="1"/>
  <c r="CY303" i="2"/>
  <c r="CX303" i="2"/>
  <c r="CW303" i="2"/>
  <c r="CV303" i="2"/>
  <c r="CY301" i="2"/>
  <c r="CX301" i="2"/>
  <c r="CW301" i="2"/>
  <c r="CV301" i="2"/>
  <c r="CY300" i="2"/>
  <c r="CX300" i="2"/>
  <c r="CW300" i="2"/>
  <c r="CV300" i="2"/>
  <c r="CY290" i="2"/>
  <c r="CX290" i="2"/>
  <c r="CW290" i="2"/>
  <c r="CV290" i="2"/>
  <c r="CY285" i="2"/>
  <c r="CX285" i="2"/>
  <c r="CW285" i="2"/>
  <c r="CV285" i="2"/>
  <c r="CY275" i="2"/>
  <c r="CX275" i="2"/>
  <c r="CW275" i="2"/>
  <c r="CV275" i="2"/>
  <c r="CY274" i="2"/>
  <c r="CX274" i="2"/>
  <c r="CW274" i="2"/>
  <c r="CV274" i="2"/>
  <c r="CY273" i="2"/>
  <c r="CX273" i="2"/>
  <c r="CW273" i="2"/>
  <c r="CV273" i="2"/>
  <c r="CZ66" i="12"/>
  <c r="CV257" i="2"/>
  <c r="CV256" i="2"/>
  <c r="CV255" i="2"/>
  <c r="CV241" i="2"/>
  <c r="CV240" i="2"/>
  <c r="CV239" i="2"/>
  <c r="CV92" i="2"/>
  <c r="CV87" i="2"/>
  <c r="CZ393" i="2"/>
  <c r="CZ391" i="2"/>
  <c r="CZ381" i="2"/>
  <c r="CZ359" i="2"/>
  <c r="CZ375" i="2" s="1"/>
  <c r="CZ358" i="2"/>
  <c r="CZ374" i="2" s="1"/>
  <c r="CZ357" i="2"/>
  <c r="CZ373" i="2" s="1"/>
  <c r="CZ356" i="2"/>
  <c r="CZ372" i="2" s="1"/>
  <c r="CZ355" i="2"/>
  <c r="CZ371" i="2" s="1"/>
  <c r="CZ354" i="2"/>
  <c r="CZ370" i="2" s="1"/>
  <c r="CZ321" i="2"/>
  <c r="CZ320" i="2"/>
  <c r="CZ319" i="2"/>
  <c r="CZ318" i="2"/>
  <c r="CZ317" i="2"/>
  <c r="CZ327" i="2" s="1"/>
  <c r="CZ316" i="2"/>
  <c r="CZ315" i="2"/>
  <c r="CZ314" i="2"/>
  <c r="CZ324" i="2" s="1"/>
  <c r="CZ303" i="2"/>
  <c r="CZ301" i="2"/>
  <c r="DA345" i="2" s="1"/>
  <c r="DA361" i="2" s="1"/>
  <c r="CZ300" i="2"/>
  <c r="DA344" i="2" s="1"/>
  <c r="DA360" i="2" s="1"/>
  <c r="CZ290" i="2"/>
  <c r="DA334" i="2" s="1"/>
  <c r="DA350" i="2" s="1"/>
  <c r="CY267" i="2"/>
  <c r="CX267" i="2"/>
  <c r="CW267" i="2"/>
  <c r="CZ257" i="2"/>
  <c r="CY257" i="2"/>
  <c r="CX257" i="2"/>
  <c r="CW257" i="2"/>
  <c r="CZ256" i="2"/>
  <c r="CY256" i="2"/>
  <c r="CX256" i="2"/>
  <c r="CW256" i="2"/>
  <c r="CZ255" i="2"/>
  <c r="CY255" i="2"/>
  <c r="CX255" i="2"/>
  <c r="CW255" i="2"/>
  <c r="CZ247" i="2"/>
  <c r="CZ246" i="2"/>
  <c r="CZ245" i="2"/>
  <c r="CZ244" i="2"/>
  <c r="CZ243" i="2"/>
  <c r="CZ242" i="2"/>
  <c r="CY241" i="2"/>
  <c r="CX241" i="2"/>
  <c r="CW241" i="2"/>
  <c r="CY240" i="2"/>
  <c r="CX240" i="2"/>
  <c r="CW240" i="2"/>
  <c r="CY239" i="2"/>
  <c r="CX239" i="2"/>
  <c r="CW239" i="2"/>
  <c r="CZ197" i="2"/>
  <c r="CZ193" i="2"/>
  <c r="CZ189" i="2"/>
  <c r="CZ185" i="2"/>
  <c r="CZ184" i="2"/>
  <c r="CZ183" i="2"/>
  <c r="CZ181" i="2"/>
  <c r="DE267" i="2" s="1"/>
  <c r="CY129" i="2"/>
  <c r="CX129" i="2"/>
  <c r="CW129" i="2"/>
  <c r="CZ103" i="2"/>
  <c r="CZ101" i="2"/>
  <c r="CZ97" i="2"/>
  <c r="CZ93" i="2"/>
  <c r="CY92" i="2"/>
  <c r="CY112" i="2" s="1"/>
  <c r="CX92" i="2"/>
  <c r="CX112" i="2" s="1"/>
  <c r="CW92" i="2"/>
  <c r="CW112" i="2" s="1"/>
  <c r="CZ90" i="2"/>
  <c r="CZ89" i="2"/>
  <c r="CZ88" i="2"/>
  <c r="CZ87" i="2"/>
  <c r="CY87" i="2"/>
  <c r="CY107" i="2" s="1"/>
  <c r="CX87" i="2"/>
  <c r="CX107" i="2" s="1"/>
  <c r="CW87" i="2"/>
  <c r="CW107" i="2" s="1"/>
  <c r="CZ81" i="2"/>
  <c r="CZ80" i="2"/>
  <c r="CZ79" i="2"/>
  <c r="CZ71" i="2"/>
  <c r="CZ92" i="2" s="1"/>
  <c r="CZ112" i="12"/>
  <c r="CZ61" i="17" s="1"/>
  <c r="CZ111" i="12"/>
  <c r="CZ60" i="17" s="1"/>
  <c r="CZ76" i="12"/>
  <c r="CZ74" i="12"/>
  <c r="CZ72" i="12"/>
  <c r="CZ65" i="12"/>
  <c r="CZ63" i="12"/>
  <c r="CZ61" i="12"/>
  <c r="CZ59" i="12"/>
  <c r="CZ52" i="12"/>
  <c r="CZ42" i="12"/>
  <c r="CZ30" i="12"/>
  <c r="CZ28" i="12"/>
  <c r="CZ26" i="12"/>
  <c r="CZ24" i="12"/>
  <c r="CZ22" i="12"/>
  <c r="CZ20" i="12"/>
  <c r="CV78" i="12"/>
  <c r="CV67" i="12"/>
  <c r="CV55" i="12"/>
  <c r="CV45" i="12"/>
  <c r="CV32" i="12"/>
  <c r="CY78" i="12"/>
  <c r="CX78" i="12"/>
  <c r="CW78" i="12"/>
  <c r="CY67" i="12"/>
  <c r="CX67" i="12"/>
  <c r="CW67" i="12"/>
  <c r="CY55" i="12"/>
  <c r="CX55" i="12"/>
  <c r="CW55" i="12"/>
  <c r="CY45" i="12"/>
  <c r="CX45" i="12"/>
  <c r="CW45" i="12"/>
  <c r="CY32" i="12"/>
  <c r="CX32" i="12"/>
  <c r="CW32" i="12"/>
  <c r="CV61" i="17"/>
  <c r="CV60" i="17"/>
  <c r="CV37" i="17"/>
  <c r="CV36" i="17"/>
  <c r="CV19" i="17"/>
  <c r="CV18" i="17"/>
  <c r="CY61" i="17"/>
  <c r="CX61" i="17"/>
  <c r="CW61" i="17"/>
  <c r="CY60" i="17"/>
  <c r="CX60" i="17"/>
  <c r="CW60" i="17"/>
  <c r="CX344" i="2" l="1"/>
  <c r="CX235" i="1"/>
  <c r="O84" i="30"/>
  <c r="CV234" i="1"/>
  <c r="CV230" i="1"/>
  <c r="CX230" i="1"/>
  <c r="CW230" i="1"/>
  <c r="CZ43" i="12"/>
  <c r="CZ53" i="12"/>
  <c r="CZ21" i="12"/>
  <c r="CZ23" i="12"/>
  <c r="CZ25" i="12"/>
  <c r="CY344" i="2"/>
  <c r="CX345" i="2"/>
  <c r="CV302" i="2"/>
  <c r="CV304" i="2" s="1"/>
  <c r="CX334" i="2"/>
  <c r="CY334" i="2"/>
  <c r="CY345" i="2"/>
  <c r="CY230" i="1"/>
  <c r="CY6" i="17"/>
  <c r="R66" i="30"/>
  <c r="CW42" i="17"/>
  <c r="CW234" i="1"/>
  <c r="CX42" i="17"/>
  <c r="CX234" i="1"/>
  <c r="CY234" i="1"/>
  <c r="CY42" i="17"/>
  <c r="CY79" i="12"/>
  <c r="CY235" i="1"/>
  <c r="CY30" i="17"/>
  <c r="R84" i="30"/>
  <c r="P84" i="30"/>
  <c r="CW235" i="1"/>
  <c r="CX6" i="17"/>
  <c r="Q66" i="30"/>
  <c r="CX79" i="12"/>
  <c r="Q84" i="30"/>
  <c r="CX30" i="17"/>
  <c r="DC268" i="2"/>
  <c r="CW345" i="2"/>
  <c r="CW344" i="2"/>
  <c r="CW334" i="2"/>
  <c r="DD266" i="2"/>
  <c r="DD250" i="2"/>
  <c r="DC250" i="2"/>
  <c r="DC266" i="2"/>
  <c r="CW33" i="12"/>
  <c r="P66" i="30"/>
  <c r="CW6" i="17"/>
  <c r="CW79" i="12"/>
  <c r="CW30" i="17"/>
  <c r="CW32" i="17" s="1"/>
  <c r="DB268" i="2"/>
  <c r="DD268" i="2"/>
  <c r="DE129" i="2"/>
  <c r="DE113" i="2"/>
  <c r="DB266" i="2"/>
  <c r="DB250" i="2"/>
  <c r="CV79" i="12"/>
  <c r="CV235" i="1"/>
  <c r="CZ394" i="2"/>
  <c r="CV6" i="17"/>
  <c r="O66" i="30"/>
  <c r="CW56" i="5"/>
  <c r="CY94" i="2"/>
  <c r="CW284" i="2"/>
  <c r="CZ18" i="17"/>
  <c r="CZ54" i="3"/>
  <c r="CV56" i="5"/>
  <c r="CZ36" i="17"/>
  <c r="CW94" i="2"/>
  <c r="CZ45" i="12"/>
  <c r="CZ44" i="12" s="1"/>
  <c r="CZ19" i="17" s="1"/>
  <c r="CY286" i="2"/>
  <c r="CY284" i="2"/>
  <c r="CX284" i="2"/>
  <c r="CX94" i="2"/>
  <c r="CV94" i="2"/>
  <c r="CZ328" i="2"/>
  <c r="CV325" i="2"/>
  <c r="CV329" i="2"/>
  <c r="CV330" i="2"/>
  <c r="CZ55" i="12"/>
  <c r="CZ54" i="12" s="1"/>
  <c r="CZ37" i="17" s="1"/>
  <c r="CW325" i="2"/>
  <c r="CW329" i="2"/>
  <c r="CW330" i="2"/>
  <c r="CX325" i="2"/>
  <c r="CX329" i="2"/>
  <c r="CX330" i="2"/>
  <c r="CY326" i="2"/>
  <c r="CY328" i="2"/>
  <c r="CY56" i="5"/>
  <c r="CX56" i="5"/>
  <c r="CZ39" i="5"/>
  <c r="CZ42" i="5"/>
  <c r="CZ55" i="5"/>
  <c r="CZ48" i="3"/>
  <c r="CX286" i="2"/>
  <c r="CW286" i="2"/>
  <c r="CV309" i="2"/>
  <c r="CW302" i="2"/>
  <c r="CX302" i="2"/>
  <c r="CY302" i="2"/>
  <c r="CZ78" i="12"/>
  <c r="CY330" i="2" s="1"/>
  <c r="CX108" i="12"/>
  <c r="DC109" i="12" s="1"/>
  <c r="CZ67" i="12"/>
  <c r="CY329" i="2" s="1"/>
  <c r="CV42" i="17"/>
  <c r="CZ326" i="2"/>
  <c r="CZ32" i="12"/>
  <c r="CZ33" i="12" s="1"/>
  <c r="CZ91" i="2"/>
  <c r="CZ94" i="2" s="1"/>
  <c r="CZ104" i="2"/>
  <c r="CZ187" i="2"/>
  <c r="CZ180" i="2"/>
  <c r="CZ186" i="2"/>
  <c r="CZ302" i="2"/>
  <c r="CY108" i="12"/>
  <c r="DD109" i="12" s="1"/>
  <c r="CV30" i="17"/>
  <c r="CX33" i="12"/>
  <c r="CV38" i="17"/>
  <c r="CV108" i="12"/>
  <c r="DA109" i="12" s="1"/>
  <c r="CV33" i="12"/>
  <c r="CY33" i="12"/>
  <c r="CW108" i="12"/>
  <c r="DB109" i="12" s="1"/>
  <c r="CV20" i="17"/>
  <c r="CZ230" i="1" l="1"/>
  <c r="CZ20" i="17"/>
  <c r="CZ22" i="17" s="1"/>
  <c r="P59" i="30"/>
  <c r="R59" i="30"/>
  <c r="O59" i="30"/>
  <c r="Q59" i="30"/>
  <c r="CZ235" i="1"/>
  <c r="CZ234" i="1"/>
  <c r="DE266" i="2"/>
  <c r="DE250" i="2"/>
  <c r="DE268" i="2"/>
  <c r="CZ38" i="17"/>
  <c r="CZ40" i="17" s="1"/>
  <c r="CZ56" i="5"/>
  <c r="CY304" i="2"/>
  <c r="CV331" i="2"/>
  <c r="CW331" i="2"/>
  <c r="CX331" i="2"/>
  <c r="CY325" i="2"/>
  <c r="CX304" i="2"/>
  <c r="CW304" i="2"/>
  <c r="CZ79" i="12"/>
  <c r="CZ330" i="2"/>
  <c r="CZ329" i="2"/>
  <c r="CZ68" i="12"/>
  <c r="CZ325" i="2"/>
  <c r="CZ108" i="12"/>
  <c r="DE109" i="12" s="1"/>
  <c r="CV194" i="2"/>
  <c r="CZ304" i="2"/>
  <c r="CZ233" i="2"/>
  <c r="CQ319" i="1"/>
  <c r="CQ318" i="1"/>
  <c r="CQ307" i="1"/>
  <c r="CQ45" i="3"/>
  <c r="CQ266" i="1"/>
  <c r="CU266" i="1" s="1"/>
  <c r="CU268" i="1" s="1"/>
  <c r="CQ226" i="1"/>
  <c r="CQ212" i="1"/>
  <c r="CQ210" i="1"/>
  <c r="CQ32" i="1"/>
  <c r="CV195" i="2" l="1"/>
  <c r="CY331" i="2"/>
  <c r="CZ331" i="2"/>
  <c r="H71" i="30"/>
  <c r="R71" i="30"/>
  <c r="J83" i="30" l="1"/>
  <c r="AO44" i="30" s="1"/>
  <c r="K83" i="30"/>
  <c r="AQ44" i="30" s="1"/>
  <c r="K65" i="30"/>
  <c r="CQ47" i="4" l="1"/>
  <c r="CQ45" i="4"/>
  <c r="CQ44" i="4"/>
  <c r="CQ43" i="4"/>
  <c r="CQ42" i="4"/>
  <c r="CQ41" i="4"/>
  <c r="CQ40" i="4"/>
  <c r="CQ38" i="4"/>
  <c r="CQ37" i="4"/>
  <c r="CQ36" i="4"/>
  <c r="CQ35" i="4"/>
  <c r="CQ34" i="4"/>
  <c r="CQ32" i="4"/>
  <c r="CQ31" i="4"/>
  <c r="CQ30" i="4"/>
  <c r="CQ29" i="4"/>
  <c r="CQ28" i="4"/>
  <c r="CQ27" i="4"/>
  <c r="CQ23" i="4"/>
  <c r="CQ22" i="4"/>
  <c r="CQ21" i="4"/>
  <c r="CQ20" i="4"/>
  <c r="CQ19" i="4"/>
  <c r="CQ18" i="4"/>
  <c r="CQ17" i="4"/>
  <c r="CQ16" i="4"/>
  <c r="CQ14" i="4"/>
  <c r="CQ13" i="4"/>
  <c r="CR78" i="4" s="1"/>
  <c r="CQ12" i="4"/>
  <c r="CQ11" i="4"/>
  <c r="CQ10" i="4"/>
  <c r="CQ9" i="4"/>
  <c r="CR76" i="4" s="1"/>
  <c r="CQ8" i="4"/>
  <c r="CQ7" i="4"/>
  <c r="CQ86" i="1"/>
  <c r="CQ88" i="1" s="1"/>
  <c r="CQ73" i="1"/>
  <c r="CQ79" i="1" s="1"/>
  <c r="CQ55" i="1"/>
  <c r="CQ64" i="1" s="1"/>
  <c r="CQ49" i="5"/>
  <c r="CR49" i="5" s="1"/>
  <c r="CQ47" i="5"/>
  <c r="CR47" i="5" s="1"/>
  <c r="CS47" i="5" s="1"/>
  <c r="CT47" i="5" s="1"/>
  <c r="CQ46" i="5"/>
  <c r="CR46" i="5" s="1"/>
  <c r="CS46" i="5" s="1"/>
  <c r="CT46" i="5" s="1"/>
  <c r="CQ45" i="5"/>
  <c r="CR45" i="5" s="1"/>
  <c r="CS45" i="5" s="1"/>
  <c r="CT45" i="5" s="1"/>
  <c r="CQ44" i="5"/>
  <c r="CR44" i="5" s="1"/>
  <c r="CS44" i="5" s="1"/>
  <c r="CT44" i="5" s="1"/>
  <c r="CQ43" i="5"/>
  <c r="CR43" i="5" s="1"/>
  <c r="CS43" i="5" s="1"/>
  <c r="CT43" i="5" s="1"/>
  <c r="CQ42" i="5"/>
  <c r="CR42" i="5" s="1"/>
  <c r="CS42" i="5" s="1"/>
  <c r="CT42" i="5" s="1"/>
  <c r="CQ41" i="5"/>
  <c r="CR41" i="5" s="1"/>
  <c r="CS41" i="5" s="1"/>
  <c r="CT41" i="5" s="1"/>
  <c r="CQ40" i="5"/>
  <c r="CR40" i="5" s="1"/>
  <c r="CQ38" i="5"/>
  <c r="CR38" i="5" s="1"/>
  <c r="CS38" i="5" s="1"/>
  <c r="CT38" i="5" s="1"/>
  <c r="CQ37" i="5"/>
  <c r="CR37" i="5" s="1"/>
  <c r="CS37" i="5" s="1"/>
  <c r="CT37" i="5" s="1"/>
  <c r="CQ36" i="5"/>
  <c r="CR36" i="5" s="1"/>
  <c r="CS36" i="5" s="1"/>
  <c r="CT36" i="5" s="1"/>
  <c r="CQ35" i="5"/>
  <c r="CR35" i="5" s="1"/>
  <c r="CS35" i="5" s="1"/>
  <c r="CT35" i="5" s="1"/>
  <c r="CQ34" i="5"/>
  <c r="CR34" i="5" s="1"/>
  <c r="CS34" i="5" s="1"/>
  <c r="CT34" i="5" s="1"/>
  <c r="CQ33" i="5"/>
  <c r="CR33" i="5" s="1"/>
  <c r="CQ30" i="5"/>
  <c r="CR30" i="5" s="1"/>
  <c r="CS30" i="5" s="1"/>
  <c r="CT30" i="5" s="1"/>
  <c r="CQ29" i="5"/>
  <c r="CR29" i="5" s="1"/>
  <c r="CS29" i="5" s="1"/>
  <c r="CT29" i="5" s="1"/>
  <c r="CQ28" i="5"/>
  <c r="CR28" i="5" s="1"/>
  <c r="CS28" i="5" s="1"/>
  <c r="CT28" i="5" s="1"/>
  <c r="CQ27" i="5"/>
  <c r="CR27" i="5" s="1"/>
  <c r="CS27" i="5" s="1"/>
  <c r="CT27" i="5" s="1"/>
  <c r="CQ26" i="5"/>
  <c r="CR26" i="5" s="1"/>
  <c r="CS26" i="5" s="1"/>
  <c r="CT26" i="5" s="1"/>
  <c r="CQ25" i="5"/>
  <c r="CR25" i="5" s="1"/>
  <c r="CS25" i="5" s="1"/>
  <c r="CT25" i="5" s="1"/>
  <c r="CQ24" i="5"/>
  <c r="CQ23" i="5"/>
  <c r="CQ22" i="5"/>
  <c r="CQ21" i="5"/>
  <c r="CR21" i="5" s="1"/>
  <c r="CS21" i="5" s="1"/>
  <c r="CT21" i="5" s="1"/>
  <c r="CQ20" i="5"/>
  <c r="CR20" i="5" s="1"/>
  <c r="CS20" i="5" s="1"/>
  <c r="CT20" i="5" s="1"/>
  <c r="CQ19" i="5"/>
  <c r="CQ17" i="5"/>
  <c r="CR17" i="5" s="1"/>
  <c r="CS17" i="5" s="1"/>
  <c r="CT17" i="5" s="1"/>
  <c r="CQ15" i="5"/>
  <c r="CR15" i="5" s="1"/>
  <c r="CS15" i="5" s="1"/>
  <c r="CT15" i="5" s="1"/>
  <c r="CQ14" i="5"/>
  <c r="CR14" i="5" s="1"/>
  <c r="CS14" i="5" s="1"/>
  <c r="CT14" i="5" s="1"/>
  <c r="CQ13" i="5"/>
  <c r="CR13" i="5" s="1"/>
  <c r="CS13" i="5" s="1"/>
  <c r="CT13" i="5" s="1"/>
  <c r="CQ12" i="5"/>
  <c r="CR12" i="5" s="1"/>
  <c r="CS12" i="5" s="1"/>
  <c r="CT12" i="5" s="1"/>
  <c r="CQ11" i="5"/>
  <c r="CR11" i="5" s="1"/>
  <c r="CS11" i="5" s="1"/>
  <c r="CT11" i="5" s="1"/>
  <c r="CQ10" i="5"/>
  <c r="CR10" i="5" s="1"/>
  <c r="CS10" i="5" s="1"/>
  <c r="CT10" i="5" s="1"/>
  <c r="CQ9" i="5"/>
  <c r="CR9" i="5" s="1"/>
  <c r="CS9" i="5" s="1"/>
  <c r="CT9" i="5" s="1"/>
  <c r="CQ8" i="5"/>
  <c r="CR8" i="5" s="1"/>
  <c r="CS8" i="5" s="1"/>
  <c r="CT8" i="5" s="1"/>
  <c r="CQ7" i="5"/>
  <c r="CR7" i="5" s="1"/>
  <c r="CQ137" i="1"/>
  <c r="CQ105" i="1"/>
  <c r="CQ16" i="5" s="1"/>
  <c r="CR16" i="5" s="1"/>
  <c r="CS16" i="5" s="1"/>
  <c r="CT16" i="5" s="1"/>
  <c r="CQ120" i="1"/>
  <c r="CQ107" i="1" s="1"/>
  <c r="CQ128" i="1"/>
  <c r="CQ121" i="1" l="1"/>
  <c r="CQ31" i="5"/>
  <c r="CR31" i="5" s="1"/>
  <c r="CS31" i="5" s="1"/>
  <c r="CT31" i="5" s="1"/>
  <c r="CQ56" i="4"/>
  <c r="CQ15" i="4"/>
  <c r="CQ24" i="4" s="1"/>
  <c r="CQ33" i="4"/>
  <c r="CQ39" i="4" s="1"/>
  <c r="CR77" i="4"/>
  <c r="CQ139" i="1"/>
  <c r="CR19" i="5"/>
  <c r="CR23" i="5"/>
  <c r="CS23" i="5" s="1"/>
  <c r="CT23" i="5" s="1"/>
  <c r="CS7" i="5"/>
  <c r="CR24" i="5"/>
  <c r="CS24" i="5" s="1"/>
  <c r="CT24" i="5" s="1"/>
  <c r="CR39" i="5"/>
  <c r="CS33" i="5"/>
  <c r="CR22" i="5"/>
  <c r="CS22" i="5" s="1"/>
  <c r="CT22" i="5" s="1"/>
  <c r="CR48" i="5"/>
  <c r="CS40" i="5"/>
  <c r="CS49" i="5"/>
  <c r="CT49" i="5" s="1"/>
  <c r="CQ48" i="5"/>
  <c r="CQ39" i="5"/>
  <c r="CQ46" i="4"/>
  <c r="CQ48" i="4" s="1"/>
  <c r="CQ89" i="1"/>
  <c r="CQ42" i="3"/>
  <c r="CQ40" i="3"/>
  <c r="CQ23" i="3"/>
  <c r="CQ22" i="3"/>
  <c r="CQ20" i="3"/>
  <c r="CQ19" i="3"/>
  <c r="CQ17" i="3"/>
  <c r="CQ16" i="3"/>
  <c r="CQ15" i="3"/>
  <c r="CQ14" i="3"/>
  <c r="CQ11" i="3"/>
  <c r="CQ10" i="3"/>
  <c r="CQ9" i="3"/>
  <c r="CQ187" i="2"/>
  <c r="CQ184" i="2"/>
  <c r="CQ183" i="2"/>
  <c r="CQ181" i="2"/>
  <c r="CQ180" i="2"/>
  <c r="CQ179" i="2"/>
  <c r="CQ178" i="2"/>
  <c r="CQ168" i="2"/>
  <c r="CQ81" i="2"/>
  <c r="CQ79" i="2"/>
  <c r="CQ74" i="2"/>
  <c r="CQ69" i="2"/>
  <c r="CQ36" i="2"/>
  <c r="CQ206" i="1"/>
  <c r="CQ188" i="1"/>
  <c r="CQ183" i="1"/>
  <c r="CQ165" i="1"/>
  <c r="CQ36" i="1"/>
  <c r="CQ13" i="1"/>
  <c r="CQ9" i="1"/>
  <c r="CQ8" i="3" s="1"/>
  <c r="CQ18" i="5" l="1"/>
  <c r="CQ32" i="5" s="1"/>
  <c r="CQ50" i="5" s="1"/>
  <c r="CQ208" i="1"/>
  <c r="CQ213" i="1"/>
  <c r="CQ185" i="2"/>
  <c r="CQ186" i="2" s="1"/>
  <c r="CU188" i="1"/>
  <c r="CQ12" i="3"/>
  <c r="CQ13" i="3" s="1"/>
  <c r="CQ18" i="3" s="1"/>
  <c r="CQ21" i="3" s="1"/>
  <c r="CQ63" i="3" s="1"/>
  <c r="CU13" i="1"/>
  <c r="CU18" i="1" s="1"/>
  <c r="CU24" i="1" s="1"/>
  <c r="CU27" i="1" s="1"/>
  <c r="CU35" i="1" s="1"/>
  <c r="CU37" i="1" s="1"/>
  <c r="CQ49" i="4"/>
  <c r="CV107" i="2"/>
  <c r="CQ48" i="3"/>
  <c r="CQ49" i="3" s="1"/>
  <c r="CV113" i="2"/>
  <c r="CV129" i="2"/>
  <c r="CQ233" i="2"/>
  <c r="CV266" i="2"/>
  <c r="CV250" i="2"/>
  <c r="CV111" i="2"/>
  <c r="CV127" i="2"/>
  <c r="CV267" i="2"/>
  <c r="CV112" i="2"/>
  <c r="CV264" i="2"/>
  <c r="CV248" i="2"/>
  <c r="CS48" i="5"/>
  <c r="CT40" i="5"/>
  <c r="CT48" i="5" s="1"/>
  <c r="CS39" i="5"/>
  <c r="CT33" i="5"/>
  <c r="CT39" i="5" s="1"/>
  <c r="CT7" i="5"/>
  <c r="CR18" i="5"/>
  <c r="CR32" i="5" s="1"/>
  <c r="CR50" i="5" s="1"/>
  <c r="CS19" i="5"/>
  <c r="CQ221" i="2"/>
  <c r="CQ231" i="2"/>
  <c r="CQ232" i="2"/>
  <c r="CQ59" i="3"/>
  <c r="CQ60" i="3"/>
  <c r="CQ189" i="1"/>
  <c r="CQ18" i="1"/>
  <c r="CQ24" i="1" s="1"/>
  <c r="CQ27" i="1" s="1"/>
  <c r="CQ190" i="1" l="1"/>
  <c r="CU189" i="1"/>
  <c r="CU190" i="1" s="1"/>
  <c r="CV268" i="2"/>
  <c r="CS18" i="5"/>
  <c r="CS32" i="5" s="1"/>
  <c r="CS50" i="5" s="1"/>
  <c r="CT19" i="5"/>
  <c r="CT18" i="5" s="1"/>
  <c r="CT32" i="5" s="1"/>
  <c r="CT50" i="5" s="1"/>
  <c r="CQ35" i="1"/>
  <c r="CQ37" i="1" s="1"/>
  <c r="CQ29" i="1"/>
  <c r="CU29" i="1" s="1"/>
  <c r="CQ31" i="1"/>
  <c r="CQ33" i="1" s="1"/>
  <c r="W71" i="30"/>
  <c r="AO66" i="30" s="1"/>
  <c r="X71" i="30"/>
  <c r="Y71" i="30"/>
  <c r="AQ66" i="30" s="1"/>
  <c r="Z71" i="30"/>
  <c r="AR66" i="30" s="1"/>
  <c r="W73" i="30"/>
  <c r="X73" i="30"/>
  <c r="Y73" i="30"/>
  <c r="Z73" i="30"/>
  <c r="Z67" i="30"/>
  <c r="Z72" i="30" s="1"/>
  <c r="AR67" i="30" s="1"/>
  <c r="Y67" i="30"/>
  <c r="Y72" i="30" s="1"/>
  <c r="AQ67" i="30" s="1"/>
  <c r="X67" i="30"/>
  <c r="X72" i="30" s="1"/>
  <c r="AP67" i="30" s="1"/>
  <c r="W67" i="30"/>
  <c r="W72" i="30" s="1"/>
  <c r="AO67" i="30" s="1"/>
  <c r="Z62" i="30"/>
  <c r="AO68" i="30" l="1"/>
  <c r="AP66" i="30"/>
  <c r="AP68" i="30" s="1"/>
  <c r="AR68" i="30"/>
  <c r="AQ68" i="30"/>
  <c r="Z63" i="30"/>
  <c r="CO42" i="3" l="1"/>
  <c r="CO17" i="3"/>
  <c r="CO16" i="3"/>
  <c r="CO15" i="3"/>
  <c r="CO14" i="3"/>
  <c r="CO319" i="1" l="1"/>
  <c r="CO318" i="1"/>
  <c r="CO306" i="1"/>
  <c r="CO305" i="1"/>
  <c r="CO304" i="1"/>
  <c r="CO303" i="1"/>
  <c r="CO302" i="1"/>
  <c r="CO301" i="1"/>
  <c r="CO300" i="1"/>
  <c r="CO299" i="1"/>
  <c r="CO298" i="1"/>
  <c r="CO297" i="1"/>
  <c r="CO296" i="1"/>
  <c r="CO295" i="1"/>
  <c r="CO294" i="1"/>
  <c r="CP307" i="1"/>
  <c r="CP283" i="1"/>
  <c r="CO286" i="1"/>
  <c r="CO45" i="3" s="1"/>
  <c r="CP267" i="1"/>
  <c r="CO266" i="1"/>
  <c r="CP260" i="1"/>
  <c r="CP259" i="1"/>
  <c r="CP258" i="1"/>
  <c r="CP257" i="1"/>
  <c r="CP256" i="1"/>
  <c r="CP255" i="1"/>
  <c r="CP254" i="1"/>
  <c r="CP253" i="1"/>
  <c r="CP252" i="1"/>
  <c r="CP224" i="1"/>
  <c r="CP225" i="1"/>
  <c r="CP223" i="1"/>
  <c r="CP222" i="1"/>
  <c r="CP220" i="1"/>
  <c r="CP219" i="1"/>
  <c r="CO226" i="1"/>
  <c r="CO212" i="1"/>
  <c r="CO210" i="1"/>
  <c r="CP205" i="1"/>
  <c r="CP207" i="1"/>
  <c r="CP204" i="1"/>
  <c r="CP203" i="1"/>
  <c r="CP196" i="1"/>
  <c r="CP195" i="1"/>
  <c r="CP194" i="1"/>
  <c r="CP193" i="1"/>
  <c r="CO206" i="1"/>
  <c r="CP206" i="1" s="1"/>
  <c r="CP26" i="1"/>
  <c r="CP187" i="1"/>
  <c r="CP186" i="1"/>
  <c r="CP182" i="1"/>
  <c r="CP181" i="1"/>
  <c r="CP173" i="1"/>
  <c r="CP172" i="1"/>
  <c r="CP171" i="1"/>
  <c r="CP170" i="1"/>
  <c r="CP169" i="1"/>
  <c r="CP168" i="1"/>
  <c r="CP164" i="1"/>
  <c r="CP162" i="1"/>
  <c r="CP161" i="1"/>
  <c r="CP160" i="1"/>
  <c r="CP153" i="1"/>
  <c r="CP152" i="1"/>
  <c r="CP151" i="1"/>
  <c r="CP150" i="1"/>
  <c r="CP149" i="1"/>
  <c r="CP148" i="1"/>
  <c r="CP138" i="1"/>
  <c r="CP136" i="1"/>
  <c r="CP135" i="1"/>
  <c r="CP134" i="1"/>
  <c r="CP133" i="1"/>
  <c r="CP131" i="1"/>
  <c r="CP130" i="1"/>
  <c r="CP129" i="1"/>
  <c r="CP127" i="1"/>
  <c r="CP126" i="1"/>
  <c r="CP125" i="1"/>
  <c r="CP124" i="1"/>
  <c r="CP123" i="1"/>
  <c r="CP122" i="1"/>
  <c r="CP119" i="1"/>
  <c r="CP116" i="1"/>
  <c r="CP115" i="1"/>
  <c r="CP114" i="1"/>
  <c r="CP110" i="1"/>
  <c r="CP113" i="1"/>
  <c r="CP112" i="1"/>
  <c r="CP111" i="1"/>
  <c r="CP109" i="1"/>
  <c r="CP108" i="1"/>
  <c r="CP104" i="1"/>
  <c r="CP102" i="1"/>
  <c r="CP101" i="1"/>
  <c r="CP98" i="1"/>
  <c r="CP97" i="1"/>
  <c r="CP96" i="1"/>
  <c r="CP87" i="1"/>
  <c r="CP85" i="1"/>
  <c r="CP84" i="1"/>
  <c r="CP83" i="1"/>
  <c r="CP82" i="1"/>
  <c r="CP81" i="1"/>
  <c r="CP80" i="1"/>
  <c r="CP78" i="1"/>
  <c r="CP77" i="1"/>
  <c r="CP76" i="1"/>
  <c r="CP319" i="1" s="1"/>
  <c r="CP75" i="1"/>
  <c r="CP74" i="1"/>
  <c r="CP71" i="1"/>
  <c r="CP69" i="1"/>
  <c r="CP68" i="1"/>
  <c r="CP67" i="1"/>
  <c r="CP63" i="1"/>
  <c r="CP61" i="1"/>
  <c r="CP60" i="1"/>
  <c r="CP318" i="1" s="1"/>
  <c r="CP59" i="1"/>
  <c r="CP58" i="1"/>
  <c r="CP57" i="1"/>
  <c r="CP56" i="1"/>
  <c r="CP54" i="1"/>
  <c r="CP53" i="1"/>
  <c r="CP51" i="1"/>
  <c r="CP50" i="1"/>
  <c r="CP49" i="1"/>
  <c r="CP48" i="1"/>
  <c r="CP47" i="1"/>
  <c r="CP28" i="1"/>
  <c r="CP36" i="1" s="1"/>
  <c r="CP25" i="1"/>
  <c r="CP23" i="1"/>
  <c r="CP22" i="1"/>
  <c r="CO32" i="1"/>
  <c r="CO36" i="1"/>
  <c r="CP17" i="1"/>
  <c r="CP16" i="1"/>
  <c r="CP15" i="1"/>
  <c r="CP14" i="1"/>
  <c r="CO12" i="1"/>
  <c r="CO11" i="1"/>
  <c r="CO10" i="1"/>
  <c r="CO8" i="1"/>
  <c r="CO7" i="3" s="1"/>
  <c r="CO7" i="1"/>
  <c r="CP9" i="1"/>
  <c r="CP210" i="1" l="1"/>
  <c r="CO9" i="1"/>
  <c r="CO8" i="3" s="1"/>
  <c r="CO6" i="3"/>
  <c r="CO13" i="1"/>
  <c r="CO12" i="3" s="1"/>
  <c r="CP212" i="1"/>
  <c r="CP180" i="1"/>
  <c r="CP208" i="1"/>
  <c r="CO208" i="1"/>
  <c r="CP183" i="1"/>
  <c r="CP226" i="1"/>
  <c r="CP86" i="1"/>
  <c r="CP88" i="1" s="1"/>
  <c r="CP73" i="1"/>
  <c r="CP79" i="1" s="1"/>
  <c r="CO307" i="1"/>
  <c r="CP55" i="1"/>
  <c r="CP64" i="1" s="1"/>
  <c r="CP128" i="1"/>
  <c r="CP137" i="1"/>
  <c r="CP165" i="1"/>
  <c r="CP89" i="1" l="1"/>
  <c r="CO18" i="1"/>
  <c r="CO24" i="1" s="1"/>
  <c r="CO27" i="1" s="1"/>
  <c r="CO31" i="1" s="1"/>
  <c r="CO33" i="1" s="1"/>
  <c r="CO59" i="3"/>
  <c r="CO60" i="3"/>
  <c r="CO13" i="3"/>
  <c r="CO18" i="3" s="1"/>
  <c r="CO35" i="1" l="1"/>
  <c r="CO37" i="1" s="1"/>
  <c r="CO29" i="1"/>
  <c r="BC49" i="30"/>
  <c r="BB49" i="30"/>
  <c r="BA49" i="30"/>
  <c r="BC51" i="30"/>
  <c r="BB51" i="30"/>
  <c r="S30" i="30" l="1"/>
  <c r="S23" i="30" l="1"/>
  <c r="AE23" i="30" s="1"/>
  <c r="CO61" i="17"/>
  <c r="CP83" i="17"/>
  <c r="CO18" i="17"/>
  <c r="CO19" i="17"/>
  <c r="CO36" i="17"/>
  <c r="CO37" i="17"/>
  <c r="CO38" i="17" l="1"/>
  <c r="CO20" i="17"/>
  <c r="CO7" i="4"/>
  <c r="CO8" i="4"/>
  <c r="CO9" i="4"/>
  <c r="CO10" i="4"/>
  <c r="CO11" i="4"/>
  <c r="CO12" i="4"/>
  <c r="CO13" i="4"/>
  <c r="CO14" i="4"/>
  <c r="CO16" i="4"/>
  <c r="CO17" i="4"/>
  <c r="CO18" i="4"/>
  <c r="CO19" i="4"/>
  <c r="CO20" i="4"/>
  <c r="CO21" i="4"/>
  <c r="CO22" i="4"/>
  <c r="CO23" i="4"/>
  <c r="CO27" i="4"/>
  <c r="CO28" i="4"/>
  <c r="CO29" i="4"/>
  <c r="CO30" i="4"/>
  <c r="CO31" i="4"/>
  <c r="CO32" i="4"/>
  <c r="CO34" i="4"/>
  <c r="CO35" i="4"/>
  <c r="CO36" i="4"/>
  <c r="CO37" i="4"/>
  <c r="CO38" i="4"/>
  <c r="CO40" i="4"/>
  <c r="CO41" i="4"/>
  <c r="CO42" i="4"/>
  <c r="CO43" i="4"/>
  <c r="CO44" i="4"/>
  <c r="CO45" i="4"/>
  <c r="CO47" i="4"/>
  <c r="CO86" i="1"/>
  <c r="CO88" i="1" s="1"/>
  <c r="CO73" i="1"/>
  <c r="CO79" i="1" s="1"/>
  <c r="CO55" i="1"/>
  <c r="CO64" i="1" s="1"/>
  <c r="CO89" i="1" l="1"/>
  <c r="CO33" i="4"/>
  <c r="CO39" i="4" s="1"/>
  <c r="CO46" i="4"/>
  <c r="CO48" i="4" s="1"/>
  <c r="CO15" i="4"/>
  <c r="CO24" i="4" s="1"/>
  <c r="CO137" i="1"/>
  <c r="CO128" i="1"/>
  <c r="CO120" i="1"/>
  <c r="CP120" i="1" s="1"/>
  <c r="CP107" i="1" s="1"/>
  <c r="CO105" i="1"/>
  <c r="CP105" i="1" s="1"/>
  <c r="CO107" i="1" l="1"/>
  <c r="CO121" i="1" s="1"/>
  <c r="CO139" i="1" s="1"/>
  <c r="CO49" i="4"/>
  <c r="CP121" i="1"/>
  <c r="CP139" i="1" s="1"/>
  <c r="CN42" i="3"/>
  <c r="CN45" i="3"/>
  <c r="CO40" i="3"/>
  <c r="CO19" i="3"/>
  <c r="CO20" i="3"/>
  <c r="CO22" i="3"/>
  <c r="CO23" i="3"/>
  <c r="CO25" i="3"/>
  <c r="CO168" i="2"/>
  <c r="CO178" i="2"/>
  <c r="CO179" i="2"/>
  <c r="CO180" i="2"/>
  <c r="CO181" i="2"/>
  <c r="CO183" i="2"/>
  <c r="CO184" i="2"/>
  <c r="CO187" i="2"/>
  <c r="CO48" i="3" s="1"/>
  <c r="CO81" i="2"/>
  <c r="CO79" i="2"/>
  <c r="CT113" i="2" s="1"/>
  <c r="CO74" i="2"/>
  <c r="CO69" i="2"/>
  <c r="CT111" i="2" s="1"/>
  <c r="CO36" i="2"/>
  <c r="CO188" i="1"/>
  <c r="CO185" i="2" s="1"/>
  <c r="CO183" i="1"/>
  <c r="CO165" i="1"/>
  <c r="CO213" i="1" s="1"/>
  <c r="CO49" i="3" l="1"/>
  <c r="CO189" i="1"/>
  <c r="CO190" i="1" s="1"/>
  <c r="CO186" i="2"/>
  <c r="CO232" i="2"/>
  <c r="CO231" i="2"/>
  <c r="CO221" i="2"/>
  <c r="CO233" i="2"/>
  <c r="V80" i="30" l="1"/>
  <c r="R80" i="30"/>
  <c r="U85" i="30"/>
  <c r="AZ44" i="30"/>
  <c r="AS44" i="30"/>
  <c r="AS45" i="30" s="1"/>
  <c r="AT44" i="30"/>
  <c r="AT45" i="30" s="1"/>
  <c r="I83" i="30"/>
  <c r="AN44" i="30" s="1"/>
  <c r="H83" i="30"/>
  <c r="AM44" i="30" s="1"/>
  <c r="G83" i="30"/>
  <c r="AL44" i="30" s="1"/>
  <c r="AP44" i="30" s="1"/>
  <c r="L83" i="30"/>
  <c r="AO45" i="30"/>
  <c r="I82" i="30"/>
  <c r="J82" i="30"/>
  <c r="K82" i="30"/>
  <c r="L82" i="30"/>
  <c r="M82" i="30"/>
  <c r="O82" i="30"/>
  <c r="P82" i="30"/>
  <c r="Q82" i="30"/>
  <c r="S82" i="30"/>
  <c r="T82" i="30"/>
  <c r="U82" i="30"/>
  <c r="V82" i="30"/>
  <c r="H82" i="30"/>
  <c r="V85" i="30"/>
  <c r="R85" i="30"/>
  <c r="Q85" i="30"/>
  <c r="P85" i="30"/>
  <c r="O85" i="30"/>
  <c r="AR44" i="30" l="1"/>
  <c r="AR45" i="30" s="1"/>
  <c r="N81" i="30"/>
  <c r="J81" i="30"/>
  <c r="BA44" i="30"/>
  <c r="S85" i="30"/>
  <c r="AU44" i="30"/>
  <c r="T85" i="30"/>
  <c r="X25" i="30" l="1"/>
  <c r="W25" i="30"/>
  <c r="X15" i="30"/>
  <c r="W15" i="30"/>
  <c r="DO7" i="3" l="1"/>
  <c r="DJ7" i="3"/>
  <c r="DO6" i="3"/>
  <c r="DJ6" i="3"/>
  <c r="DO393" i="2"/>
  <c r="DO391" i="2"/>
  <c r="DO381" i="2"/>
  <c r="DJ393" i="2"/>
  <c r="DJ391" i="2"/>
  <c r="DJ381" i="2"/>
  <c r="DJ359" i="2"/>
  <c r="DJ375" i="2" s="1"/>
  <c r="DJ358" i="2"/>
  <c r="DJ374" i="2" s="1"/>
  <c r="DJ357" i="2"/>
  <c r="DJ373" i="2" s="1"/>
  <c r="DJ356" i="2"/>
  <c r="DJ372" i="2" s="1"/>
  <c r="DJ355" i="2"/>
  <c r="DJ371" i="2" s="1"/>
  <c r="DJ354" i="2"/>
  <c r="DJ370" i="2" s="1"/>
  <c r="DJ321" i="2"/>
  <c r="DJ320" i="2"/>
  <c r="DJ319" i="2"/>
  <c r="DJ318" i="2"/>
  <c r="DJ328" i="2" s="1"/>
  <c r="DJ317" i="2"/>
  <c r="DJ327" i="2" s="1"/>
  <c r="DJ316" i="2"/>
  <c r="DJ326" i="2" s="1"/>
  <c r="DJ315" i="2"/>
  <c r="DJ314" i="2"/>
  <c r="DJ324" i="2" s="1"/>
  <c r="DJ303" i="2"/>
  <c r="DJ301" i="2"/>
  <c r="DJ300" i="2"/>
  <c r="DK344" i="2" s="1"/>
  <c r="DK360" i="2" s="1"/>
  <c r="DJ290" i="2"/>
  <c r="DK334" i="2" s="1"/>
  <c r="DJ267" i="2"/>
  <c r="DJ257" i="2"/>
  <c r="DJ256" i="2"/>
  <c r="DJ255" i="2"/>
  <c r="DJ241" i="2"/>
  <c r="DJ240" i="2"/>
  <c r="DJ239" i="2"/>
  <c r="DJ129" i="2"/>
  <c r="DJ103" i="2"/>
  <c r="DJ101" i="2"/>
  <c r="DJ97" i="2"/>
  <c r="DJ93" i="2"/>
  <c r="DJ92" i="2"/>
  <c r="DJ90" i="2"/>
  <c r="DJ89" i="2"/>
  <c r="DJ88" i="2"/>
  <c r="DJ87" i="2"/>
  <c r="DJ61" i="17"/>
  <c r="DJ60" i="17"/>
  <c r="DJ37" i="17"/>
  <c r="DJ36" i="17"/>
  <c r="DJ19" i="17"/>
  <c r="DJ18" i="17"/>
  <c r="DO432" i="1"/>
  <c r="DO415" i="1"/>
  <c r="DJ432" i="1"/>
  <c r="DJ415" i="1"/>
  <c r="DK345" i="2" l="1"/>
  <c r="DJ302" i="2"/>
  <c r="DJ20" i="17"/>
  <c r="DJ22" i="17" s="1"/>
  <c r="DJ113" i="2"/>
  <c r="DJ394" i="2"/>
  <c r="DO394" i="2"/>
  <c r="DJ91" i="2"/>
  <c r="DJ94" i="2" s="1"/>
  <c r="DJ104" i="2"/>
  <c r="DJ38" i="17"/>
  <c r="DJ40" i="17" s="1"/>
  <c r="DJ304" i="2" l="1"/>
  <c r="CN307" i="1"/>
  <c r="CN266" i="1"/>
  <c r="CN226" i="1"/>
  <c r="CN212" i="1"/>
  <c r="CM212" i="1"/>
  <c r="CN210" i="1"/>
  <c r="CM210" i="1"/>
  <c r="J65" i="30" l="1"/>
  <c r="I65" i="30"/>
  <c r="R63" i="30" l="1"/>
  <c r="N63" i="30"/>
  <c r="V63" i="30"/>
  <c r="CN18" i="17" l="1"/>
  <c r="CN19" i="17"/>
  <c r="CN36" i="17"/>
  <c r="CN37" i="17"/>
  <c r="CN7" i="4"/>
  <c r="CN8" i="4"/>
  <c r="CN9" i="4"/>
  <c r="CN10" i="4"/>
  <c r="CN11" i="4"/>
  <c r="CN12" i="4"/>
  <c r="CN13" i="4"/>
  <c r="CN14" i="4"/>
  <c r="CN16" i="4"/>
  <c r="CN17" i="4"/>
  <c r="CN18" i="4"/>
  <c r="CN19" i="4"/>
  <c r="CN20" i="4"/>
  <c r="CN21" i="4"/>
  <c r="CN22" i="4"/>
  <c r="CN23" i="4"/>
  <c r="CN27" i="4"/>
  <c r="CN28" i="4"/>
  <c r="CN29" i="4"/>
  <c r="CN30" i="4"/>
  <c r="CN31" i="4"/>
  <c r="CN32" i="4"/>
  <c r="CN34" i="4"/>
  <c r="CN35" i="4"/>
  <c r="CN36" i="4"/>
  <c r="CN37" i="4"/>
  <c r="CN38" i="4"/>
  <c r="CN40" i="4"/>
  <c r="CN41" i="4"/>
  <c r="CN42" i="4"/>
  <c r="CN43" i="4"/>
  <c r="CN44" i="4"/>
  <c r="CN45" i="4"/>
  <c r="CN47" i="4"/>
  <c r="CN86" i="1"/>
  <c r="CN88" i="1" s="1"/>
  <c r="CN73" i="1"/>
  <c r="CN79" i="1" s="1"/>
  <c r="CN55" i="1"/>
  <c r="CN64" i="1" s="1"/>
  <c r="CN138" i="1"/>
  <c r="CN137" i="1"/>
  <c r="CN128" i="1"/>
  <c r="CN120" i="1"/>
  <c r="CN107" i="1" s="1"/>
  <c r="CN121" i="1" s="1"/>
  <c r="CN206" i="1"/>
  <c r="CI188" i="1"/>
  <c r="CI185" i="1"/>
  <c r="CN40" i="3"/>
  <c r="CN9" i="3"/>
  <c r="CN10" i="3"/>
  <c r="CN11" i="3"/>
  <c r="CN14" i="3"/>
  <c r="CN15" i="3"/>
  <c r="CN16" i="3"/>
  <c r="CN17" i="3"/>
  <c r="CN19" i="3"/>
  <c r="CN20" i="3"/>
  <c r="CN22" i="3"/>
  <c r="CN23" i="3"/>
  <c r="CN25" i="3"/>
  <c r="CN181" i="2"/>
  <c r="CN183" i="2"/>
  <c r="CN184" i="2"/>
  <c r="CN180" i="2"/>
  <c r="CN179" i="2"/>
  <c r="CN178" i="2"/>
  <c r="CN168" i="2"/>
  <c r="CN81" i="2"/>
  <c r="CN79" i="2"/>
  <c r="CS113" i="2" s="1"/>
  <c r="CN74" i="2"/>
  <c r="CN69" i="2"/>
  <c r="CS111" i="2" s="1"/>
  <c r="CN36" i="2"/>
  <c r="CN185" i="1"/>
  <c r="CN187" i="2" s="1"/>
  <c r="CN48" i="3" s="1"/>
  <c r="CN188" i="1"/>
  <c r="CN185" i="2" s="1"/>
  <c r="CN183" i="1"/>
  <c r="CN165" i="1"/>
  <c r="CN32" i="1"/>
  <c r="CN36" i="1"/>
  <c r="CN13" i="1"/>
  <c r="CN12" i="3" s="1"/>
  <c r="CN9" i="1"/>
  <c r="CN8" i="3" s="1"/>
  <c r="CN139" i="1" l="1"/>
  <c r="CN189" i="1"/>
  <c r="CN190" i="1" s="1"/>
  <c r="CN49" i="3"/>
  <c r="CN13" i="3"/>
  <c r="CN18" i="3" s="1"/>
  <c r="CN21" i="3" s="1"/>
  <c r="CN18" i="1"/>
  <c r="CN24" i="1" s="1"/>
  <c r="CN27" i="1" s="1"/>
  <c r="CN29" i="1" s="1"/>
  <c r="CN232" i="2"/>
  <c r="CN213" i="1"/>
  <c r="CN208" i="1"/>
  <c r="CN231" i="2"/>
  <c r="CN221" i="2"/>
  <c r="CN60" i="3"/>
  <c r="CN59" i="3"/>
  <c r="CN20" i="17"/>
  <c r="CN38" i="17"/>
  <c r="CN233" i="2"/>
  <c r="CN46" i="4"/>
  <c r="CN48" i="4" s="1"/>
  <c r="CN89" i="1"/>
  <c r="CN15" i="4"/>
  <c r="CN24" i="4" s="1"/>
  <c r="CN186" i="2"/>
  <c r="CN33" i="4"/>
  <c r="CN39" i="4" s="1"/>
  <c r="CN35" i="1" l="1"/>
  <c r="CN37" i="1" s="1"/>
  <c r="CN49" i="4"/>
  <c r="CN31" i="1"/>
  <c r="CN33" i="1" s="1"/>
  <c r="CN188" i="2"/>
  <c r="CN24" i="3"/>
  <c r="CN26" i="3" s="1"/>
  <c r="CN63" i="3"/>
  <c r="CV33" i="3" l="1"/>
  <c r="CV46" i="3"/>
  <c r="CV59" i="5"/>
  <c r="CW33" i="3" l="1"/>
  <c r="CW59" i="5"/>
  <c r="CW46" i="3"/>
  <c r="CX46" i="3" l="1"/>
  <c r="CX33" i="3"/>
  <c r="CX59" i="5"/>
  <c r="DA33" i="3" l="1"/>
  <c r="DA46" i="3"/>
  <c r="CY59" i="5"/>
  <c r="CY33" i="3"/>
  <c r="CY46" i="3"/>
  <c r="CZ40" i="3"/>
  <c r="CM42" i="3"/>
  <c r="CM318" i="1"/>
  <c r="CM319" i="1"/>
  <c r="CM266" i="1"/>
  <c r="CM45" i="3"/>
  <c r="CM307" i="1"/>
  <c r="CM226" i="1"/>
  <c r="DA48" i="5" l="1"/>
  <c r="DB59" i="5"/>
  <c r="DB46" i="3"/>
  <c r="CZ33" i="3"/>
  <c r="CZ59" i="5"/>
  <c r="CZ49" i="3"/>
  <c r="CZ46" i="5"/>
  <c r="DF46" i="3" l="1"/>
  <c r="DF33" i="3"/>
  <c r="DF59" i="5"/>
  <c r="DB36" i="3"/>
  <c r="DC59" i="5"/>
  <c r="DC46" i="3"/>
  <c r="DC33" i="3"/>
  <c r="CZ48" i="5"/>
  <c r="CZ50" i="5" s="1"/>
  <c r="DG46" i="3" l="1"/>
  <c r="DD46" i="3"/>
  <c r="DE46" i="5"/>
  <c r="DD59" i="5"/>
  <c r="DD33" i="3"/>
  <c r="DE40" i="3"/>
  <c r="CU45" i="3"/>
  <c r="CU42" i="3"/>
  <c r="CU25" i="3"/>
  <c r="CU23" i="3"/>
  <c r="CU19" i="3"/>
  <c r="CU17" i="3"/>
  <c r="CU14" i="3"/>
  <c r="CU11" i="3"/>
  <c r="CU10" i="3"/>
  <c r="CU9" i="3"/>
  <c r="CU49" i="5"/>
  <c r="CU47" i="5"/>
  <c r="CU45" i="5"/>
  <c r="CU44" i="5"/>
  <c r="CU43" i="5"/>
  <c r="CU41" i="5"/>
  <c r="CU40" i="5"/>
  <c r="CU38" i="5"/>
  <c r="CU37" i="5"/>
  <c r="CU36" i="5"/>
  <c r="CU35" i="5"/>
  <c r="CU34" i="5"/>
  <c r="CU33" i="5"/>
  <c r="CU55" i="5" s="1"/>
  <c r="CU32" i="5"/>
  <c r="CU29" i="5"/>
  <c r="CU28" i="5"/>
  <c r="CU27" i="5"/>
  <c r="CU25" i="5"/>
  <c r="CU24" i="5"/>
  <c r="CU23" i="5"/>
  <c r="CU17" i="5"/>
  <c r="CU15" i="5"/>
  <c r="CU14" i="5"/>
  <c r="CU13" i="5"/>
  <c r="CU12" i="5"/>
  <c r="CU11" i="5"/>
  <c r="CU10" i="5"/>
  <c r="CR54" i="3"/>
  <c r="CU393" i="2"/>
  <c r="CU391" i="2"/>
  <c r="CU381" i="2"/>
  <c r="CU359" i="2"/>
  <c r="CU375" i="2" s="1"/>
  <c r="CU358" i="2"/>
  <c r="CU374" i="2" s="1"/>
  <c r="CU357" i="2"/>
  <c r="CU373" i="2" s="1"/>
  <c r="CU356" i="2"/>
  <c r="CU372" i="2" s="1"/>
  <c r="CU355" i="2"/>
  <c r="CU371" i="2" s="1"/>
  <c r="CU354" i="2"/>
  <c r="CU370" i="2" s="1"/>
  <c r="CU321" i="2"/>
  <c r="CU320" i="2"/>
  <c r="CU319" i="2"/>
  <c r="CU318" i="2"/>
  <c r="CU317" i="2"/>
  <c r="CU327" i="2" s="1"/>
  <c r="CU316" i="2"/>
  <c r="CU315" i="2"/>
  <c r="CU314" i="2"/>
  <c r="CU324" i="2" s="1"/>
  <c r="CU303" i="2"/>
  <c r="CU301" i="2"/>
  <c r="CV345" i="2" s="1"/>
  <c r="CU300" i="2"/>
  <c r="CV344" i="2" s="1"/>
  <c r="CV360" i="2" s="1"/>
  <c r="CU290" i="2"/>
  <c r="CV334" i="2" s="1"/>
  <c r="CU257" i="2"/>
  <c r="CU256" i="2"/>
  <c r="CU255" i="2"/>
  <c r="CU247" i="2"/>
  <c r="CU246" i="2"/>
  <c r="CU245" i="2"/>
  <c r="CU244" i="2"/>
  <c r="CU243" i="2"/>
  <c r="CU242" i="2"/>
  <c r="CU197" i="2"/>
  <c r="CU193" i="2"/>
  <c r="CU189" i="2"/>
  <c r="CU187" i="2"/>
  <c r="CU185" i="2"/>
  <c r="CU184" i="2"/>
  <c r="CU183" i="2"/>
  <c r="CU181" i="2"/>
  <c r="CZ267" i="2" s="1"/>
  <c r="CU103" i="2"/>
  <c r="CU101" i="2"/>
  <c r="CU97" i="2"/>
  <c r="CU93" i="2"/>
  <c r="CU90" i="2"/>
  <c r="CU89" i="2"/>
  <c r="CU88" i="2"/>
  <c r="CU87" i="2"/>
  <c r="CU81" i="2"/>
  <c r="CU80" i="2"/>
  <c r="CU79" i="2"/>
  <c r="CU71" i="2"/>
  <c r="CU92" i="2" s="1"/>
  <c r="CM393" i="2"/>
  <c r="CL393" i="2"/>
  <c r="CM391" i="2"/>
  <c r="CL391" i="2"/>
  <c r="CM381" i="2"/>
  <c r="CL381" i="2"/>
  <c r="CT285" i="2"/>
  <c r="CS285" i="2"/>
  <c r="CR285" i="2"/>
  <c r="CQ285" i="2"/>
  <c r="CT275" i="2"/>
  <c r="CS275" i="2"/>
  <c r="CR275" i="2"/>
  <c r="CQ275" i="2"/>
  <c r="CT274" i="2"/>
  <c r="CS274" i="2"/>
  <c r="CR274" i="2"/>
  <c r="CQ274" i="2"/>
  <c r="CT273" i="2"/>
  <c r="CS273" i="2"/>
  <c r="CR273" i="2"/>
  <c r="CQ273" i="2"/>
  <c r="CT241" i="2"/>
  <c r="CS241" i="2"/>
  <c r="CR241" i="2"/>
  <c r="CQ241" i="2"/>
  <c r="CT240" i="2"/>
  <c r="CS240" i="2"/>
  <c r="CR240" i="2"/>
  <c r="CQ240" i="2"/>
  <c r="CT239" i="2"/>
  <c r="CS239" i="2"/>
  <c r="CR239" i="2"/>
  <c r="CQ239" i="2"/>
  <c r="CT129" i="2"/>
  <c r="CS129" i="2"/>
  <c r="CU112" i="12"/>
  <c r="CU111" i="12"/>
  <c r="CU76" i="12"/>
  <c r="CU74" i="12"/>
  <c r="CU72" i="12"/>
  <c r="CU65" i="12"/>
  <c r="CU63" i="12"/>
  <c r="CU61" i="12"/>
  <c r="CU59" i="12"/>
  <c r="CU52" i="12"/>
  <c r="CU42" i="12"/>
  <c r="CU30" i="12"/>
  <c r="CU28" i="12"/>
  <c r="CU26" i="12"/>
  <c r="CU24" i="12"/>
  <c r="CU22" i="12"/>
  <c r="CU20" i="12"/>
  <c r="CU18" i="12"/>
  <c r="CU16" i="12"/>
  <c r="CU14" i="12"/>
  <c r="CT55" i="5"/>
  <c r="CS55" i="5"/>
  <c r="CR55" i="5"/>
  <c r="CQ55" i="5"/>
  <c r="CT54" i="5"/>
  <c r="CS54" i="5"/>
  <c r="CR54" i="5"/>
  <c r="CQ54" i="5"/>
  <c r="CT79" i="4"/>
  <c r="CT80" i="4" s="1"/>
  <c r="CS79" i="4"/>
  <c r="CS80" i="4" s="1"/>
  <c r="CR79" i="4"/>
  <c r="CR80" i="4" s="1"/>
  <c r="CT54" i="3"/>
  <c r="CS54" i="3"/>
  <c r="CM7" i="3"/>
  <c r="CL7" i="3"/>
  <c r="CM6" i="3"/>
  <c r="CL6" i="3"/>
  <c r="CT359" i="2"/>
  <c r="CS359" i="2"/>
  <c r="CR359" i="2"/>
  <c r="CQ359" i="2"/>
  <c r="CT358" i="2"/>
  <c r="CS358" i="2"/>
  <c r="CR358" i="2"/>
  <c r="CQ358" i="2"/>
  <c r="CT357" i="2"/>
  <c r="CS357" i="2"/>
  <c r="CR357" i="2"/>
  <c r="CQ357" i="2"/>
  <c r="CT356" i="2"/>
  <c r="CS356" i="2"/>
  <c r="CR356" i="2"/>
  <c r="CQ356" i="2"/>
  <c r="CT355" i="2"/>
  <c r="CS355" i="2"/>
  <c r="CR355" i="2"/>
  <c r="CQ355" i="2"/>
  <c r="CT354" i="2"/>
  <c r="CS354" i="2"/>
  <c r="CR354" i="2"/>
  <c r="CQ354" i="2"/>
  <c r="CT321" i="2"/>
  <c r="CS321" i="2"/>
  <c r="CR321" i="2"/>
  <c r="CQ321" i="2"/>
  <c r="CT320" i="2"/>
  <c r="CS320" i="2"/>
  <c r="CR320" i="2"/>
  <c r="CQ320" i="2"/>
  <c r="CT319" i="2"/>
  <c r="CS319" i="2"/>
  <c r="CR319" i="2"/>
  <c r="CQ319" i="2"/>
  <c r="CT318" i="2"/>
  <c r="CS318" i="2"/>
  <c r="CS328" i="2" s="1"/>
  <c r="CR318" i="2"/>
  <c r="CR328" i="2" s="1"/>
  <c r="CQ318" i="2"/>
  <c r="CQ328" i="2" s="1"/>
  <c r="CT317" i="2"/>
  <c r="CT327" i="2" s="1"/>
  <c r="CS317" i="2"/>
  <c r="CS327" i="2" s="1"/>
  <c r="CR317" i="2"/>
  <c r="CR327" i="2" s="1"/>
  <c r="CQ317" i="2"/>
  <c r="CQ327" i="2" s="1"/>
  <c r="CT316" i="2"/>
  <c r="CS316" i="2"/>
  <c r="CS326" i="2" s="1"/>
  <c r="CR316" i="2"/>
  <c r="CR326" i="2" s="1"/>
  <c r="CQ316" i="2"/>
  <c r="CQ326" i="2" s="1"/>
  <c r="CT315" i="2"/>
  <c r="CS315" i="2"/>
  <c r="CR315" i="2"/>
  <c r="CQ315" i="2"/>
  <c r="CT314" i="2"/>
  <c r="CT324" i="2" s="1"/>
  <c r="CS314" i="2"/>
  <c r="CS324" i="2" s="1"/>
  <c r="CR314" i="2"/>
  <c r="CR324" i="2" s="1"/>
  <c r="CQ314" i="2"/>
  <c r="CQ324" i="2" s="1"/>
  <c r="CT303" i="2"/>
  <c r="CS303" i="2"/>
  <c r="CR303" i="2"/>
  <c r="CQ303" i="2"/>
  <c r="CT301" i="2"/>
  <c r="CS301" i="2"/>
  <c r="CR301" i="2"/>
  <c r="CQ301" i="2"/>
  <c r="CT300" i="2"/>
  <c r="CS300" i="2"/>
  <c r="CR300" i="2"/>
  <c r="CQ300" i="2"/>
  <c r="CT290" i="2"/>
  <c r="CS290" i="2"/>
  <c r="CR290" i="2"/>
  <c r="CQ290" i="2"/>
  <c r="CT267" i="2"/>
  <c r="CS267" i="2"/>
  <c r="CT257" i="2"/>
  <c r="CS257" i="2"/>
  <c r="CR257" i="2"/>
  <c r="CQ257" i="2"/>
  <c r="CT256" i="2"/>
  <c r="CS256" i="2"/>
  <c r="CR256" i="2"/>
  <c r="CQ256" i="2"/>
  <c r="CT255" i="2"/>
  <c r="CS255" i="2"/>
  <c r="CR255" i="2"/>
  <c r="CQ255" i="2"/>
  <c r="CR186" i="2"/>
  <c r="CT92" i="2"/>
  <c r="CT112" i="2" s="1"/>
  <c r="CS92" i="2"/>
  <c r="CS112" i="2" s="1"/>
  <c r="CR92" i="2"/>
  <c r="CQ92" i="2"/>
  <c r="CT87" i="2"/>
  <c r="CS87" i="2"/>
  <c r="CR87" i="2"/>
  <c r="CQ87" i="2"/>
  <c r="CT78" i="12"/>
  <c r="CS78" i="12"/>
  <c r="CR78" i="12"/>
  <c r="CQ78" i="12"/>
  <c r="CT67" i="12"/>
  <c r="CS67" i="12"/>
  <c r="CR67" i="12"/>
  <c r="CQ67" i="12"/>
  <c r="CT55" i="12"/>
  <c r="CS55" i="12"/>
  <c r="CR55" i="12"/>
  <c r="CQ55" i="12"/>
  <c r="CT45" i="12"/>
  <c r="CS45" i="12"/>
  <c r="CR45" i="12"/>
  <c r="CQ45" i="12"/>
  <c r="CT32" i="12"/>
  <c r="CS32" i="12"/>
  <c r="CR32" i="12"/>
  <c r="CQ32" i="12"/>
  <c r="CQ61" i="17"/>
  <c r="CQ60" i="17"/>
  <c r="CQ37" i="17"/>
  <c r="CQ36" i="17"/>
  <c r="CQ19" i="17"/>
  <c r="CQ18" i="17"/>
  <c r="DK36" i="3" l="1"/>
  <c r="CQ302" i="2"/>
  <c r="CQ304" i="2" s="1"/>
  <c r="DG36" i="3"/>
  <c r="CQ94" i="2"/>
  <c r="CQ235" i="1"/>
  <c r="CR235" i="1"/>
  <c r="CS235" i="1"/>
  <c r="DH46" i="3"/>
  <c r="DH33" i="3"/>
  <c r="CU43" i="12"/>
  <c r="CU66" i="12"/>
  <c r="CU21" i="12"/>
  <c r="CU23" i="12"/>
  <c r="CU25" i="12"/>
  <c r="CT56" i="5"/>
  <c r="CQ56" i="5"/>
  <c r="CS56" i="5"/>
  <c r="DE49" i="3"/>
  <c r="DE33" i="3"/>
  <c r="DD48" i="5"/>
  <c r="DD50" i="5" s="1"/>
  <c r="DE48" i="5"/>
  <c r="CR334" i="2"/>
  <c r="CR344" i="2"/>
  <c r="CR345" i="2"/>
  <c r="CS334" i="2"/>
  <c r="CS344" i="2"/>
  <c r="CS360" i="2" s="1"/>
  <c r="CS345" i="2"/>
  <c r="CT334" i="2"/>
  <c r="CT344" i="2"/>
  <c r="CT345" i="2"/>
  <c r="N66" i="30"/>
  <c r="N59" i="30" s="1"/>
  <c r="CT230" i="1"/>
  <c r="CT42" i="17"/>
  <c r="CT234" i="1"/>
  <c r="CT30" i="17"/>
  <c r="CT235" i="1"/>
  <c r="CT94" i="2"/>
  <c r="CT107" i="2"/>
  <c r="CS230" i="1"/>
  <c r="M66" i="30"/>
  <c r="CQ230" i="1"/>
  <c r="K66" i="30"/>
  <c r="CR230" i="1"/>
  <c r="L66" i="30"/>
  <c r="CT6" i="17"/>
  <c r="CR56" i="5"/>
  <c r="CS42" i="17"/>
  <c r="CS234" i="1"/>
  <c r="CS94" i="2"/>
  <c r="CS107" i="2"/>
  <c r="CS6" i="17"/>
  <c r="M84" i="30"/>
  <c r="M85" i="30" s="1"/>
  <c r="CS30" i="17"/>
  <c r="CT108" i="12"/>
  <c r="CY109" i="12" s="1"/>
  <c r="CR42" i="17"/>
  <c r="CR234" i="1"/>
  <c r="L84" i="30"/>
  <c r="L85" i="30" s="1"/>
  <c r="CR30" i="17"/>
  <c r="CR6" i="17"/>
  <c r="CR94" i="2"/>
  <c r="CS286" i="2"/>
  <c r="CX268" i="2"/>
  <c r="CY250" i="2"/>
  <c r="CV284" i="2"/>
  <c r="CY266" i="2"/>
  <c r="CX250" i="2"/>
  <c r="CX266" i="2"/>
  <c r="CY268" i="2"/>
  <c r="CV286" i="2"/>
  <c r="CW268" i="2"/>
  <c r="CW250" i="2"/>
  <c r="CW266" i="2"/>
  <c r="CZ129" i="2"/>
  <c r="CZ113" i="2"/>
  <c r="DR69" i="2"/>
  <c r="DW69" i="2" s="1"/>
  <c r="CU302" i="2"/>
  <c r="CQ42" i="17"/>
  <c r="CQ234" i="1"/>
  <c r="CS284" i="2"/>
  <c r="CQ108" i="12"/>
  <c r="CV109" i="12" s="1"/>
  <c r="CQ79" i="12"/>
  <c r="K84" i="30"/>
  <c r="CS108" i="12"/>
  <c r="CX109" i="12" s="1"/>
  <c r="CU328" i="2"/>
  <c r="CR79" i="12"/>
  <c r="CT79" i="12"/>
  <c r="N85" i="30"/>
  <c r="CS79" i="12"/>
  <c r="CL394" i="2"/>
  <c r="CU394" i="2"/>
  <c r="CR284" i="2"/>
  <c r="CU48" i="3"/>
  <c r="CR286" i="2"/>
  <c r="CT284" i="2"/>
  <c r="CQ30" i="17"/>
  <c r="CU45" i="12"/>
  <c r="CU44" i="12" s="1"/>
  <c r="CU55" i="12"/>
  <c r="CU54" i="12" s="1"/>
  <c r="CU180" i="2"/>
  <c r="CS127" i="2"/>
  <c r="CU67" i="12"/>
  <c r="CM394" i="2"/>
  <c r="CR108" i="12"/>
  <c r="CW109" i="12" s="1"/>
  <c r="CU8" i="5"/>
  <c r="CQ54" i="3"/>
  <c r="CU42" i="5"/>
  <c r="CU9" i="5"/>
  <c r="CU39" i="5"/>
  <c r="CT286" i="2"/>
  <c r="CU186" i="2"/>
  <c r="CU32" i="12"/>
  <c r="CU53" i="12"/>
  <c r="CU326" i="2"/>
  <c r="CT326" i="2"/>
  <c r="CT328" i="2"/>
  <c r="CU78" i="12"/>
  <c r="CU54" i="5"/>
  <c r="CU56" i="5" s="1"/>
  <c r="CU104" i="2"/>
  <c r="CU91" i="2"/>
  <c r="CU94" i="2" s="1"/>
  <c r="CS330" i="2"/>
  <c r="CR330" i="2"/>
  <c r="CQ330" i="2"/>
  <c r="CS329" i="2"/>
  <c r="CQ329" i="2"/>
  <c r="CR329" i="2"/>
  <c r="CQ38" i="17"/>
  <c r="CQ20" i="17"/>
  <c r="CS325" i="2"/>
  <c r="CQ325" i="2"/>
  <c r="CQ6" i="17"/>
  <c r="CR325" i="2"/>
  <c r="CR302" i="2"/>
  <c r="CS302" i="2"/>
  <c r="CS309" i="2"/>
  <c r="CT302" i="2"/>
  <c r="CQ33" i="12"/>
  <c r="CR33" i="12"/>
  <c r="CS33" i="12"/>
  <c r="CT33" i="12"/>
  <c r="DW309" i="2" l="1"/>
  <c r="DW360" i="2"/>
  <c r="DW376" i="2" s="1"/>
  <c r="DW178" i="2"/>
  <c r="DW127" i="2"/>
  <c r="DR127" i="2"/>
  <c r="DR309" i="2"/>
  <c r="DR178" i="2"/>
  <c r="DR360" i="2"/>
  <c r="DR376" i="2" s="1"/>
  <c r="DM309" i="2"/>
  <c r="DM127" i="2"/>
  <c r="DM360" i="2"/>
  <c r="CU235" i="1"/>
  <c r="DJ46" i="5"/>
  <c r="DJ48" i="5" s="1"/>
  <c r="DJ50" i="5" s="1"/>
  <c r="DI46" i="3"/>
  <c r="DH127" i="2"/>
  <c r="DH360" i="2"/>
  <c r="DH309" i="2"/>
  <c r="CU79" i="12"/>
  <c r="CU68" i="12"/>
  <c r="CU33" i="12"/>
  <c r="CZ268" i="2"/>
  <c r="DC309" i="2"/>
  <c r="DC360" i="2"/>
  <c r="DC127" i="2"/>
  <c r="CU234" i="1"/>
  <c r="CU230" i="1"/>
  <c r="CU304" i="2"/>
  <c r="CS194" i="2"/>
  <c r="CX360" i="2"/>
  <c r="CX309" i="2"/>
  <c r="CU233" i="2"/>
  <c r="CZ266" i="2"/>
  <c r="CZ250" i="2"/>
  <c r="CX127" i="2"/>
  <c r="CU54" i="3"/>
  <c r="N80" i="30"/>
  <c r="K85" i="30"/>
  <c r="CT329" i="2"/>
  <c r="CU329" i="2"/>
  <c r="CU108" i="12"/>
  <c r="CZ109" i="12" s="1"/>
  <c r="CU325" i="2"/>
  <c r="CT325" i="2"/>
  <c r="CU330" i="2"/>
  <c r="CS331" i="2"/>
  <c r="CT330" i="2"/>
  <c r="CR331" i="2"/>
  <c r="CQ331" i="2"/>
  <c r="CR304" i="2"/>
  <c r="CT304" i="2"/>
  <c r="CS304" i="2"/>
  <c r="DW264" i="2" l="1"/>
  <c r="DW194" i="2"/>
  <c r="DW195" i="2" s="1"/>
  <c r="DW248" i="2"/>
  <c r="DM36" i="3"/>
  <c r="DR248" i="2"/>
  <c r="DR264" i="2"/>
  <c r="DR194" i="2"/>
  <c r="DR195" i="2" s="1"/>
  <c r="DI36" i="3"/>
  <c r="DO40" i="3"/>
  <c r="DM264" i="2"/>
  <c r="DM248" i="2"/>
  <c r="DM194" i="2"/>
  <c r="DM195" i="2" s="1"/>
  <c r="DJ49" i="3"/>
  <c r="DJ59" i="5"/>
  <c r="DH194" i="2"/>
  <c r="DH195" i="2" s="1"/>
  <c r="DH264" i="2"/>
  <c r="DH248" i="2"/>
  <c r="DC248" i="2"/>
  <c r="DC194" i="2"/>
  <c r="DC195" i="2" s="1"/>
  <c r="DC264" i="2"/>
  <c r="CS195" i="2"/>
  <c r="CX264" i="2"/>
  <c r="CX248" i="2"/>
  <c r="CX194" i="2"/>
  <c r="CU331" i="2"/>
  <c r="DO59" i="5" l="1"/>
  <c r="DO33" i="3"/>
  <c r="CX195" i="2"/>
  <c r="CM138" i="1"/>
  <c r="G65" i="30"/>
  <c r="G71" i="30" s="1"/>
  <c r="CP197" i="2" l="1"/>
  <c r="CP193" i="2"/>
  <c r="BA50" i="30" l="1"/>
  <c r="BA53" i="30" s="1"/>
  <c r="V7" i="30" s="1"/>
  <c r="CM7" i="4"/>
  <c r="CM8" i="4"/>
  <c r="CP8" i="4" s="1"/>
  <c r="CM9" i="4"/>
  <c r="CN76" i="4" s="1"/>
  <c r="CM10" i="4"/>
  <c r="CM11" i="4"/>
  <c r="CM12" i="4"/>
  <c r="CM13" i="4"/>
  <c r="CN78" i="4" s="1"/>
  <c r="CM14" i="4"/>
  <c r="CM16" i="4"/>
  <c r="CM17" i="4"/>
  <c r="CM18" i="4"/>
  <c r="CM19" i="4"/>
  <c r="CM20" i="4"/>
  <c r="CM21" i="4"/>
  <c r="CM22" i="4"/>
  <c r="CM23" i="4"/>
  <c r="CM27" i="4"/>
  <c r="CN77" i="4" s="1"/>
  <c r="CM28" i="4"/>
  <c r="CM29" i="4"/>
  <c r="CM30" i="4"/>
  <c r="CM31" i="4"/>
  <c r="CM32" i="4"/>
  <c r="CM34" i="4"/>
  <c r="CM35" i="4"/>
  <c r="CM36" i="4"/>
  <c r="CM37" i="4"/>
  <c r="CM38" i="4"/>
  <c r="CM40" i="4"/>
  <c r="CM41" i="4"/>
  <c r="CM42" i="4"/>
  <c r="CM43" i="4"/>
  <c r="CM44" i="4"/>
  <c r="CM45" i="4"/>
  <c r="CM47" i="4"/>
  <c r="CM137" i="1"/>
  <c r="CM128" i="1"/>
  <c r="CM120" i="1"/>
  <c r="CM107" i="1" s="1"/>
  <c r="CM121" i="1" s="1"/>
  <c r="CM86" i="1"/>
  <c r="CM88" i="1" s="1"/>
  <c r="CM73" i="1"/>
  <c r="CM79" i="1" s="1"/>
  <c r="CM55" i="1"/>
  <c r="CM64" i="1" s="1"/>
  <c r="AM45" i="30"/>
  <c r="DR49" i="3" l="1"/>
  <c r="DR59" i="5"/>
  <c r="DR33" i="3"/>
  <c r="DR46" i="3"/>
  <c r="DR46" i="5"/>
  <c r="BB50" i="30"/>
  <c r="BB53" i="30" s="1"/>
  <c r="W7" i="30" s="1"/>
  <c r="CM89" i="1"/>
  <c r="CM139" i="1"/>
  <c r="CM33" i="4"/>
  <c r="CM39" i="4" s="1"/>
  <c r="CM46" i="4"/>
  <c r="CM48" i="4" s="1"/>
  <c r="CM15" i="4"/>
  <c r="CM24" i="4" s="1"/>
  <c r="DS59" i="5" l="1"/>
  <c r="DS46" i="3"/>
  <c r="DS33" i="3"/>
  <c r="DS49" i="3"/>
  <c r="DS46" i="5"/>
  <c r="DT40" i="3"/>
  <c r="DR48" i="5"/>
  <c r="DR50" i="5" s="1"/>
  <c r="BC50" i="30"/>
  <c r="BC53" i="30" s="1"/>
  <c r="X7" i="30" s="1"/>
  <c r="CM49" i="4"/>
  <c r="CM23" i="3"/>
  <c r="CL23" i="3"/>
  <c r="CM40" i="3"/>
  <c r="CM9" i="3"/>
  <c r="CM10" i="3"/>
  <c r="CM11" i="3"/>
  <c r="CM14" i="3"/>
  <c r="CM15" i="3"/>
  <c r="CM16" i="3"/>
  <c r="CM17" i="3"/>
  <c r="CM19" i="3"/>
  <c r="CM20" i="3"/>
  <c r="CM22" i="3"/>
  <c r="CM25" i="3"/>
  <c r="CM189" i="2"/>
  <c r="CM87" i="17" s="1"/>
  <c r="CM183" i="2"/>
  <c r="CM184" i="2"/>
  <c r="CM187" i="2"/>
  <c r="CM48" i="3" s="1"/>
  <c r="CM181" i="2"/>
  <c r="CR267" i="2" s="1"/>
  <c r="CM180" i="2"/>
  <c r="CM179" i="2"/>
  <c r="CM198" i="2" s="1"/>
  <c r="CM178" i="2"/>
  <c r="CM168" i="2"/>
  <c r="CM81" i="2"/>
  <c r="CM79" i="2"/>
  <c r="CR113" i="2" s="1"/>
  <c r="CM74" i="2"/>
  <c r="CR112" i="2" s="1"/>
  <c r="CM69" i="2"/>
  <c r="CM36" i="2"/>
  <c r="CR107" i="2" s="1"/>
  <c r="CM206" i="1"/>
  <c r="CM188" i="1"/>
  <c r="CM185" i="2" s="1"/>
  <c r="CM183" i="1"/>
  <c r="CM165" i="1"/>
  <c r="CM32" i="1"/>
  <c r="CM36" i="1"/>
  <c r="CM13" i="1"/>
  <c r="CM12" i="3" s="1"/>
  <c r="CM9" i="1"/>
  <c r="EB238" i="2" l="1"/>
  <c r="DT46" i="5"/>
  <c r="DS48" i="5"/>
  <c r="DS50" i="5" s="1"/>
  <c r="DT33" i="3"/>
  <c r="DT49" i="3"/>
  <c r="DT59" i="5"/>
  <c r="BD50" i="30"/>
  <c r="BD53" i="30" s="1"/>
  <c r="Y7" i="30" s="1"/>
  <c r="CM18" i="1"/>
  <c r="CM24" i="1" s="1"/>
  <c r="CM27" i="1" s="1"/>
  <c r="CM35" i="1" s="1"/>
  <c r="CM37" i="1" s="1"/>
  <c r="CR111" i="2"/>
  <c r="CW127" i="2"/>
  <c r="CM189" i="1"/>
  <c r="CM190" i="1" s="1"/>
  <c r="CM208" i="1"/>
  <c r="CM213" i="1"/>
  <c r="CM8" i="3"/>
  <c r="CM59" i="3" s="1"/>
  <c r="CR127" i="2"/>
  <c r="CR309" i="2"/>
  <c r="CR360" i="2"/>
  <c r="CR250" i="2"/>
  <c r="CR266" i="2"/>
  <c r="CM49" i="3"/>
  <c r="CR129" i="2"/>
  <c r="CM231" i="2"/>
  <c r="CM232" i="2"/>
  <c r="CM199" i="2"/>
  <c r="CP23" i="3"/>
  <c r="CM221" i="2"/>
  <c r="CM186" i="2"/>
  <c r="CM233" i="2"/>
  <c r="DT48" i="5" l="1"/>
  <c r="DT50" i="5" s="1"/>
  <c r="DZ40" i="3"/>
  <c r="EA40" i="3" s="1"/>
  <c r="BE50" i="30"/>
  <c r="BE53" i="30" s="1"/>
  <c r="Z7" i="30" s="1"/>
  <c r="BF50" i="30"/>
  <c r="BF53" i="30" s="1"/>
  <c r="AA7" i="30" s="1"/>
  <c r="CM31" i="1"/>
  <c r="CM33" i="1" s="1"/>
  <c r="CM29" i="1"/>
  <c r="CW309" i="2"/>
  <c r="CW360" i="2"/>
  <c r="CR268" i="2"/>
  <c r="CX282" i="2"/>
  <c r="CW282" i="2"/>
  <c r="CW194" i="2"/>
  <c r="CW248" i="2"/>
  <c r="CW264" i="2"/>
  <c r="CM60" i="3"/>
  <c r="CM13" i="3"/>
  <c r="CM18" i="3" s="1"/>
  <c r="CM21" i="3" s="1"/>
  <c r="CM24" i="3" s="1"/>
  <c r="CM26" i="3" s="1"/>
  <c r="CR194" i="2"/>
  <c r="CS282" i="2"/>
  <c r="CR248" i="2"/>
  <c r="CR264" i="2"/>
  <c r="EB40" i="3" l="1"/>
  <c r="DV69" i="2"/>
  <c r="DV178" i="2" s="1"/>
  <c r="DQ344" i="2"/>
  <c r="DQ360" i="2" s="1"/>
  <c r="DZ33" i="3"/>
  <c r="DZ46" i="3"/>
  <c r="DZ59" i="5"/>
  <c r="DZ46" i="5"/>
  <c r="DZ49" i="3"/>
  <c r="DQ127" i="2"/>
  <c r="DQ309" i="2"/>
  <c r="DL127" i="2"/>
  <c r="DL360" i="2"/>
  <c r="DL309" i="2"/>
  <c r="DG127" i="2"/>
  <c r="DG360" i="2"/>
  <c r="DG309" i="2"/>
  <c r="CW195" i="2"/>
  <c r="DB360" i="2"/>
  <c r="DB309" i="2"/>
  <c r="DB127" i="2"/>
  <c r="CR195" i="2"/>
  <c r="CM63" i="3"/>
  <c r="CU8" i="4"/>
  <c r="DV360" i="2" l="1"/>
  <c r="DV376" i="2" s="1"/>
  <c r="DV309" i="2"/>
  <c r="DV127" i="2"/>
  <c r="EA33" i="3"/>
  <c r="EA59" i="5"/>
  <c r="EA46" i="3"/>
  <c r="EA46" i="5"/>
  <c r="EA49" i="3"/>
  <c r="DV264" i="2"/>
  <c r="DV248" i="2"/>
  <c r="DV194" i="2"/>
  <c r="DV195" i="2" s="1"/>
  <c r="DW282" i="2"/>
  <c r="DZ48" i="5"/>
  <c r="DZ50" i="5" s="1"/>
  <c r="DR282" i="2"/>
  <c r="DL282" i="2"/>
  <c r="DM282" i="2"/>
  <c r="DQ248" i="2"/>
  <c r="DQ264" i="2"/>
  <c r="DQ194" i="2"/>
  <c r="DQ195" i="2" s="1"/>
  <c r="DL248" i="2"/>
  <c r="DL264" i="2"/>
  <c r="DL194" i="2"/>
  <c r="DL195" i="2" s="1"/>
  <c r="DG194" i="2"/>
  <c r="DG195" i="2" s="1"/>
  <c r="DG264" i="2"/>
  <c r="DG248" i="2"/>
  <c r="DB248" i="2"/>
  <c r="DB194" i="2"/>
  <c r="DB195" i="2" s="1"/>
  <c r="DB264" i="2"/>
  <c r="EA48" i="5" l="1"/>
  <c r="EA50" i="5" s="1"/>
  <c r="EB33" i="3"/>
  <c r="EB59" i="5"/>
  <c r="EB46" i="3"/>
  <c r="EB49" i="3"/>
  <c r="EB46" i="5"/>
  <c r="CL45" i="3"/>
  <c r="CL42" i="3"/>
  <c r="CL17" i="3"/>
  <c r="CL16" i="3"/>
  <c r="CL15" i="3"/>
  <c r="CL14" i="3"/>
  <c r="CL11" i="3"/>
  <c r="CL10" i="3"/>
  <c r="CL9" i="3"/>
  <c r="EB48" i="5" l="1"/>
  <c r="EB50" i="5" s="1"/>
  <c r="CL318" i="1"/>
  <c r="CL319" i="1"/>
  <c r="CL307" i="1"/>
  <c r="CL266" i="1"/>
  <c r="CP266" i="1" s="1"/>
  <c r="CP268" i="1" s="1"/>
  <c r="CL226" i="1"/>
  <c r="CL32" i="1"/>
  <c r="CL36" i="1"/>
  <c r="CL13" i="1"/>
  <c r="CL9" i="1"/>
  <c r="CL8" i="3" s="1"/>
  <c r="CL60" i="3" s="1"/>
  <c r="CL18" i="1" l="1"/>
  <c r="CL24" i="1" s="1"/>
  <c r="CL27" i="1" s="1"/>
  <c r="CL29" i="1" s="1"/>
  <c r="CP29" i="1" s="1"/>
  <c r="CZ8" i="4"/>
  <c r="CP13" i="1"/>
  <c r="CP18" i="1" s="1"/>
  <c r="CP24" i="1" s="1"/>
  <c r="CP27" i="1" s="1"/>
  <c r="CP35" i="1" s="1"/>
  <c r="CP37" i="1" s="1"/>
  <c r="CL12" i="3"/>
  <c r="CL13" i="3" s="1"/>
  <c r="CL18" i="3" s="1"/>
  <c r="CL59" i="3"/>
  <c r="CL35" i="1"/>
  <c r="CL37" i="1" s="1"/>
  <c r="CL31" i="1"/>
  <c r="CL33" i="1" s="1"/>
  <c r="E65" i="30" l="1"/>
  <c r="D65" i="30"/>
  <c r="DE8" i="4" l="1"/>
  <c r="CL189" i="2"/>
  <c r="CL87" i="17" s="1"/>
  <c r="CP87" i="17" s="1"/>
  <c r="CL212" i="1"/>
  <c r="CL210" i="1"/>
  <c r="CL206" i="1"/>
  <c r="CL208" i="1" s="1"/>
  <c r="CK57" i="4"/>
  <c r="CK55" i="4"/>
  <c r="CK54" i="4"/>
  <c r="CL47" i="4"/>
  <c r="CL45" i="4"/>
  <c r="CL44" i="4"/>
  <c r="CL43" i="4"/>
  <c r="CL42" i="4"/>
  <c r="CL41" i="4"/>
  <c r="CL40" i="4"/>
  <c r="CL38" i="4"/>
  <c r="CL37" i="4"/>
  <c r="CL36" i="4"/>
  <c r="CL35" i="4"/>
  <c r="CL34" i="4"/>
  <c r="CL32" i="4"/>
  <c r="CL31" i="4"/>
  <c r="CL30" i="4"/>
  <c r="CL29" i="4"/>
  <c r="CL28" i="4"/>
  <c r="CL27" i="4"/>
  <c r="CM77" i="4" s="1"/>
  <c r="CL23" i="4"/>
  <c r="CL22" i="4"/>
  <c r="CL21" i="4"/>
  <c r="CL20" i="4"/>
  <c r="CL19" i="4"/>
  <c r="CL18" i="4"/>
  <c r="CL17" i="4"/>
  <c r="CL16" i="4"/>
  <c r="CL14" i="4"/>
  <c r="CL13" i="4"/>
  <c r="CM78" i="4" s="1"/>
  <c r="CL12" i="4"/>
  <c r="CL11" i="4"/>
  <c r="CL10" i="4"/>
  <c r="CL9" i="4"/>
  <c r="CM76" i="4" s="1"/>
  <c r="CL8" i="4"/>
  <c r="CL7" i="4"/>
  <c r="CL49" i="5"/>
  <c r="CM49" i="5" s="1"/>
  <c r="CN49" i="5" s="1"/>
  <c r="CO49" i="5" s="1"/>
  <c r="CL47" i="5"/>
  <c r="CM47" i="5" s="1"/>
  <c r="CN47" i="5" s="1"/>
  <c r="CO47" i="5" s="1"/>
  <c r="CL46" i="5"/>
  <c r="CM46" i="5" s="1"/>
  <c r="CN46" i="5" s="1"/>
  <c r="CO46" i="5" s="1"/>
  <c r="CL45" i="5"/>
  <c r="CM45" i="5" s="1"/>
  <c r="CN45" i="5" s="1"/>
  <c r="CO45" i="5" s="1"/>
  <c r="CL44" i="5"/>
  <c r="CM44" i="5" s="1"/>
  <c r="CN44" i="5" s="1"/>
  <c r="CO44" i="5" s="1"/>
  <c r="CL43" i="5"/>
  <c r="CM43" i="5" s="1"/>
  <c r="CN43" i="5" s="1"/>
  <c r="CO43" i="5" s="1"/>
  <c r="CL42" i="5"/>
  <c r="CM42" i="5" s="1"/>
  <c r="CN42" i="5" s="1"/>
  <c r="CO42" i="5" s="1"/>
  <c r="CL41" i="5"/>
  <c r="CM41" i="5" s="1"/>
  <c r="CN41" i="5" s="1"/>
  <c r="CO41" i="5" s="1"/>
  <c r="CL40" i="5"/>
  <c r="CM40" i="5" s="1"/>
  <c r="CN40" i="5" s="1"/>
  <c r="CO40" i="5" s="1"/>
  <c r="CL38" i="5"/>
  <c r="CM38" i="5" s="1"/>
  <c r="CN38" i="5" s="1"/>
  <c r="CO38" i="5" s="1"/>
  <c r="CL37" i="5"/>
  <c r="CM37" i="5" s="1"/>
  <c r="CN37" i="5" s="1"/>
  <c r="CO37" i="5" s="1"/>
  <c r="CL36" i="5"/>
  <c r="CM36" i="5" s="1"/>
  <c r="CN36" i="5" s="1"/>
  <c r="CO36" i="5" s="1"/>
  <c r="CL35" i="5"/>
  <c r="CM35" i="5" s="1"/>
  <c r="CN35" i="5" s="1"/>
  <c r="CO35" i="5" s="1"/>
  <c r="CL34" i="5"/>
  <c r="CM34" i="5" s="1"/>
  <c r="CN34" i="5" s="1"/>
  <c r="CO34" i="5" s="1"/>
  <c r="CL33" i="5"/>
  <c r="CM33" i="5" s="1"/>
  <c r="CN33" i="5" s="1"/>
  <c r="CO33" i="5" s="1"/>
  <c r="CL30" i="5"/>
  <c r="CM30" i="5" s="1"/>
  <c r="CN30" i="5" s="1"/>
  <c r="CO30" i="5" s="1"/>
  <c r="CL29" i="5"/>
  <c r="CM29" i="5" s="1"/>
  <c r="CN29" i="5" s="1"/>
  <c r="CO29" i="5" s="1"/>
  <c r="CL28" i="5"/>
  <c r="CM28" i="5" s="1"/>
  <c r="CN28" i="5" s="1"/>
  <c r="CO28" i="5" s="1"/>
  <c r="CL27" i="5"/>
  <c r="CM27" i="5" s="1"/>
  <c r="CN27" i="5" s="1"/>
  <c r="CO27" i="5" s="1"/>
  <c r="CL26" i="5"/>
  <c r="CM26" i="5" s="1"/>
  <c r="CN26" i="5" s="1"/>
  <c r="CO26" i="5" s="1"/>
  <c r="CL25" i="5"/>
  <c r="CM25" i="5" s="1"/>
  <c r="CN25" i="5" s="1"/>
  <c r="CO25" i="5" s="1"/>
  <c r="CL24" i="5"/>
  <c r="CM24" i="5" s="1"/>
  <c r="CN24" i="5" s="1"/>
  <c r="CO24" i="5" s="1"/>
  <c r="CL23" i="5"/>
  <c r="CM23" i="5" s="1"/>
  <c r="CN23" i="5" s="1"/>
  <c r="CO23" i="5" s="1"/>
  <c r="CL22" i="5"/>
  <c r="CM22" i="5" s="1"/>
  <c r="CN22" i="5" s="1"/>
  <c r="CO22" i="5" s="1"/>
  <c r="CL21" i="5"/>
  <c r="CM21" i="5" s="1"/>
  <c r="CN21" i="5" s="1"/>
  <c r="CO21" i="5" s="1"/>
  <c r="CL20" i="5"/>
  <c r="CM20" i="5" s="1"/>
  <c r="CN20" i="5" s="1"/>
  <c r="CO20" i="5" s="1"/>
  <c r="CL19" i="5"/>
  <c r="CL17" i="5"/>
  <c r="CM17" i="5" s="1"/>
  <c r="CN17" i="5" s="1"/>
  <c r="CO17" i="5" s="1"/>
  <c r="CL16" i="5"/>
  <c r="CM16" i="5" s="1"/>
  <c r="CN16" i="5" s="1"/>
  <c r="CO16" i="5" s="1"/>
  <c r="CL15" i="5"/>
  <c r="CM15" i="5" s="1"/>
  <c r="CN15" i="5" s="1"/>
  <c r="CO15" i="5" s="1"/>
  <c r="CL14" i="5"/>
  <c r="CM14" i="5" s="1"/>
  <c r="CN14" i="5" s="1"/>
  <c r="CO14" i="5" s="1"/>
  <c r="CL13" i="5"/>
  <c r="CM13" i="5" s="1"/>
  <c r="CN13" i="5" s="1"/>
  <c r="CO13" i="5" s="1"/>
  <c r="CL12" i="5"/>
  <c r="CM12" i="5" s="1"/>
  <c r="CN12" i="5" s="1"/>
  <c r="CO12" i="5" s="1"/>
  <c r="CL11" i="5"/>
  <c r="CM11" i="5" s="1"/>
  <c r="CN11" i="5" s="1"/>
  <c r="CO11" i="5" s="1"/>
  <c r="CL10" i="5"/>
  <c r="CM10" i="5" s="1"/>
  <c r="CN10" i="5" s="1"/>
  <c r="CO10" i="5" s="1"/>
  <c r="CL9" i="5"/>
  <c r="CM9" i="5" s="1"/>
  <c r="CN9" i="5" s="1"/>
  <c r="CO9" i="5" s="1"/>
  <c r="CL8" i="5"/>
  <c r="CM8" i="5" s="1"/>
  <c r="CN8" i="5" s="1"/>
  <c r="CO8" i="5" s="1"/>
  <c r="CL7" i="5"/>
  <c r="CM7" i="5" s="1"/>
  <c r="CN7" i="5" s="1"/>
  <c r="CO7" i="5" s="1"/>
  <c r="CL137" i="1"/>
  <c r="CL128" i="1"/>
  <c r="CL120" i="1"/>
  <c r="CL31" i="5" s="1"/>
  <c r="CM31" i="5" s="1"/>
  <c r="CN31" i="5" s="1"/>
  <c r="CO31" i="5" s="1"/>
  <c r="CL86" i="1"/>
  <c r="CL88" i="1" s="1"/>
  <c r="CL73" i="1"/>
  <c r="CL79" i="1" s="1"/>
  <c r="CL55" i="1"/>
  <c r="CL64" i="1" s="1"/>
  <c r="CL25" i="3"/>
  <c r="CL188" i="1"/>
  <c r="CL40" i="3"/>
  <c r="CL22" i="3"/>
  <c r="CL20" i="3"/>
  <c r="CL19" i="3"/>
  <c r="CL184" i="2"/>
  <c r="CL183" i="2"/>
  <c r="CL181" i="2"/>
  <c r="CL180" i="2"/>
  <c r="CL179" i="2"/>
  <c r="CL178" i="2"/>
  <c r="CL168" i="2"/>
  <c r="CL81" i="2"/>
  <c r="CL79" i="2"/>
  <c r="CL74" i="2"/>
  <c r="CL69" i="2"/>
  <c r="CL36" i="2"/>
  <c r="CL185" i="1"/>
  <c r="CP185" i="1" s="1"/>
  <c r="CL183" i="1"/>
  <c r="CL165" i="1"/>
  <c r="EA238" i="2" l="1"/>
  <c r="CL107" i="1"/>
  <c r="CL121" i="1" s="1"/>
  <c r="CL187" i="2"/>
  <c r="CL48" i="3" s="1"/>
  <c r="CL49" i="3" s="1"/>
  <c r="CL213" i="1"/>
  <c r="CL185" i="2"/>
  <c r="CL186" i="2" s="1"/>
  <c r="CP188" i="1"/>
  <c r="CL89" i="1"/>
  <c r="CO39" i="5"/>
  <c r="CQ113" i="2"/>
  <c r="CL198" i="2"/>
  <c r="CQ112" i="2"/>
  <c r="CQ107" i="2"/>
  <c r="CQ111" i="2"/>
  <c r="CQ267" i="2"/>
  <c r="CO48" i="5"/>
  <c r="CN39" i="5"/>
  <c r="CQ129" i="2"/>
  <c r="CQ266" i="2"/>
  <c r="CQ250" i="2"/>
  <c r="CN48" i="5"/>
  <c r="CQ127" i="2"/>
  <c r="CQ309" i="2"/>
  <c r="CL139" i="1"/>
  <c r="CM39" i="5"/>
  <c r="CL233" i="2"/>
  <c r="CM48" i="5"/>
  <c r="CL46" i="4"/>
  <c r="CL48" i="4" s="1"/>
  <c r="CK56" i="4"/>
  <c r="CL18" i="5"/>
  <c r="CL32" i="5" s="1"/>
  <c r="CM19" i="5"/>
  <c r="CL232" i="2"/>
  <c r="CL221" i="2"/>
  <c r="CL231" i="2"/>
  <c r="CL39" i="5"/>
  <c r="CL15" i="4"/>
  <c r="CL24" i="4" s="1"/>
  <c r="CL33" i="4"/>
  <c r="CL39" i="4" s="1"/>
  <c r="CL48" i="5"/>
  <c r="CL189" i="1"/>
  <c r="CL33" i="3"/>
  <c r="CL199" i="2" l="1"/>
  <c r="CL190" i="1"/>
  <c r="CP189" i="1"/>
  <c r="CP190" i="1" s="1"/>
  <c r="CQ268" i="2"/>
  <c r="CQ248" i="2"/>
  <c r="CQ194" i="2"/>
  <c r="CQ264" i="2"/>
  <c r="CR282" i="2"/>
  <c r="CM18" i="5"/>
  <c r="CM32" i="5" s="1"/>
  <c r="CM50" i="5" s="1"/>
  <c r="CN19" i="5"/>
  <c r="CL49" i="4"/>
  <c r="CL50" i="5"/>
  <c r="CJ42" i="3"/>
  <c r="CQ195" i="2" l="1"/>
  <c r="CN18" i="5"/>
  <c r="CN32" i="5" s="1"/>
  <c r="CN50" i="5" s="1"/>
  <c r="CO19" i="5"/>
  <c r="CO18" i="5" s="1"/>
  <c r="CO32" i="5" s="1"/>
  <c r="CO50" i="5" s="1"/>
  <c r="CJ319" i="1"/>
  <c r="CJ318" i="1"/>
  <c r="CK307" i="1"/>
  <c r="CJ306" i="1"/>
  <c r="CJ305" i="1"/>
  <c r="CJ304" i="1"/>
  <c r="CJ303" i="1"/>
  <c r="CJ302" i="1"/>
  <c r="CJ301" i="1"/>
  <c r="CJ300" i="1"/>
  <c r="CJ299" i="1"/>
  <c r="CJ298" i="1"/>
  <c r="CJ297" i="1"/>
  <c r="CJ296" i="1"/>
  <c r="CJ295" i="1"/>
  <c r="CJ294" i="1"/>
  <c r="CK290" i="1"/>
  <c r="CJ286" i="1"/>
  <c r="CJ45" i="3" s="1"/>
  <c r="CK283" i="1"/>
  <c r="CK255" i="1"/>
  <c r="CK260" i="1"/>
  <c r="CK259" i="1"/>
  <c r="CK258" i="1"/>
  <c r="CK257" i="1"/>
  <c r="CK256" i="1"/>
  <c r="CK254" i="1"/>
  <c r="CK253" i="1"/>
  <c r="CK252" i="1"/>
  <c r="CK267" i="1"/>
  <c r="CJ266" i="1"/>
  <c r="DJ8" i="4" l="1"/>
  <c r="CJ307" i="1"/>
  <c r="K73" i="30" l="1"/>
  <c r="L73" i="30"/>
  <c r="M73" i="30"/>
  <c r="N73" i="30"/>
  <c r="O73" i="30"/>
  <c r="P73" i="30"/>
  <c r="Q73" i="30"/>
  <c r="R73" i="30"/>
  <c r="S73" i="30"/>
  <c r="T73" i="30"/>
  <c r="U73" i="30"/>
  <c r="V73" i="30"/>
  <c r="J71" i="30"/>
  <c r="K71" i="30"/>
  <c r="L71" i="30"/>
  <c r="M71" i="30"/>
  <c r="N71" i="30"/>
  <c r="O71" i="30"/>
  <c r="P71" i="30"/>
  <c r="Q71" i="30"/>
  <c r="S71" i="30"/>
  <c r="T71" i="30"/>
  <c r="U71" i="30"/>
  <c r="V71" i="30"/>
  <c r="I71" i="30"/>
  <c r="DO8" i="4" l="1"/>
  <c r="CK225" i="1" l="1"/>
  <c r="CK222" i="1"/>
  <c r="CK220" i="1"/>
  <c r="CK219" i="1"/>
  <c r="CJ223" i="1"/>
  <c r="CJ226" i="1" s="1"/>
  <c r="CK223" i="1" l="1"/>
  <c r="CK226" i="1" s="1"/>
  <c r="F65" i="30"/>
  <c r="DR8" i="4" l="1"/>
  <c r="DS8" i="4" l="1"/>
  <c r="DT8" i="4" l="1"/>
  <c r="R30" i="30"/>
  <c r="N62" i="30"/>
  <c r="DU8" i="4" l="1"/>
  <c r="CJ61" i="17"/>
  <c r="CJ36" i="17"/>
  <c r="CJ37" i="17"/>
  <c r="CJ18" i="17"/>
  <c r="CJ19" i="17"/>
  <c r="CJ120" i="12"/>
  <c r="DV8" i="4" l="1"/>
  <c r="CJ20" i="17"/>
  <c r="CJ38" i="17"/>
  <c r="R62" i="30"/>
  <c r="DW8" i="4" l="1"/>
  <c r="V62" i="30"/>
  <c r="CP300" i="2"/>
  <c r="CQ344" i="2" s="1"/>
  <c r="CQ360" i="2" s="1"/>
  <c r="CO300" i="2"/>
  <c r="CN300" i="2"/>
  <c r="CM300" i="2"/>
  <c r="CL300" i="2"/>
  <c r="CJ300" i="2"/>
  <c r="CI300" i="2"/>
  <c r="CK193" i="2"/>
  <c r="CJ6" i="3"/>
  <c r="CJ7" i="3"/>
  <c r="CJ9" i="3"/>
  <c r="CJ10" i="3"/>
  <c r="CJ11" i="3"/>
  <c r="CJ14" i="3"/>
  <c r="CJ15" i="3"/>
  <c r="CJ16" i="3"/>
  <c r="CJ17" i="3"/>
  <c r="CJ19" i="3"/>
  <c r="CJ20" i="3"/>
  <c r="CJ22" i="3"/>
  <c r="CI6" i="3"/>
  <c r="CI7" i="3"/>
  <c r="CJ7" i="4"/>
  <c r="CJ8" i="4"/>
  <c r="CJ9" i="4"/>
  <c r="CJ10" i="4"/>
  <c r="CJ11" i="4"/>
  <c r="CJ12" i="4"/>
  <c r="CJ13" i="4"/>
  <c r="CJ14" i="4"/>
  <c r="CJ16" i="4"/>
  <c r="CJ17" i="4"/>
  <c r="CJ18" i="4"/>
  <c r="CJ19" i="4"/>
  <c r="CJ20" i="4"/>
  <c r="CJ21" i="4"/>
  <c r="CJ22" i="4"/>
  <c r="CJ23" i="4"/>
  <c r="CJ27" i="4"/>
  <c r="CJ28" i="4"/>
  <c r="CJ29" i="4"/>
  <c r="CJ30" i="4"/>
  <c r="CJ31" i="4"/>
  <c r="CJ32" i="4"/>
  <c r="CJ34" i="4"/>
  <c r="CJ35" i="4"/>
  <c r="CJ36" i="4"/>
  <c r="CJ37" i="4"/>
  <c r="CJ38" i="4"/>
  <c r="CJ40" i="4"/>
  <c r="CJ41" i="4"/>
  <c r="CJ42" i="4"/>
  <c r="CJ43" i="4"/>
  <c r="CJ44" i="4"/>
  <c r="CJ45" i="4"/>
  <c r="CJ47" i="4"/>
  <c r="CK207" i="1"/>
  <c r="CK204" i="1"/>
  <c r="CK203" i="1"/>
  <c r="CK300" i="2" s="1"/>
  <c r="CK196" i="1"/>
  <c r="CK195" i="1"/>
  <c r="CK194" i="1"/>
  <c r="CK193" i="1"/>
  <c r="CJ212" i="1"/>
  <c r="CJ210" i="1"/>
  <c r="CJ206" i="1"/>
  <c r="CK206" i="1" s="1"/>
  <c r="CK187" i="1"/>
  <c r="CK186" i="1"/>
  <c r="CK182" i="1"/>
  <c r="CK181" i="1"/>
  <c r="CK173" i="1"/>
  <c r="CK172" i="1"/>
  <c r="CK171" i="1"/>
  <c r="CK170" i="1"/>
  <c r="CK169" i="1"/>
  <c r="CK168" i="1"/>
  <c r="CK164" i="1"/>
  <c r="CK162" i="1"/>
  <c r="CK161" i="1"/>
  <c r="CK160" i="1"/>
  <c r="CK153" i="1"/>
  <c r="CK152" i="1"/>
  <c r="CK151" i="1"/>
  <c r="CK150" i="1"/>
  <c r="CK149" i="1"/>
  <c r="CK148" i="1"/>
  <c r="CJ138" i="1"/>
  <c r="CK138" i="1" s="1"/>
  <c r="CJ136" i="1"/>
  <c r="CJ137" i="1" s="1"/>
  <c r="CJ127" i="1"/>
  <c r="CK127" i="1" s="1"/>
  <c r="CJ124" i="1"/>
  <c r="CK124" i="1" s="1"/>
  <c r="CK135" i="1"/>
  <c r="CK134" i="1"/>
  <c r="CK133" i="1"/>
  <c r="CK131" i="1"/>
  <c r="CK130" i="1"/>
  <c r="CK129" i="1"/>
  <c r="CK126" i="1"/>
  <c r="CK125" i="1"/>
  <c r="CK123" i="1"/>
  <c r="CK122" i="1"/>
  <c r="CK119" i="1"/>
  <c r="CK116" i="1"/>
  <c r="CK115" i="1"/>
  <c r="CK114" i="1"/>
  <c r="CK110" i="1"/>
  <c r="CK113" i="1"/>
  <c r="CK112" i="1"/>
  <c r="CK111" i="1"/>
  <c r="CK109" i="1"/>
  <c r="CK108" i="1"/>
  <c r="CK105" i="1"/>
  <c r="CK104" i="1"/>
  <c r="CK102" i="1"/>
  <c r="CK101" i="1"/>
  <c r="CK98" i="1"/>
  <c r="CK97" i="1"/>
  <c r="CK96" i="1"/>
  <c r="CJ120" i="1"/>
  <c r="CK120" i="1" s="1"/>
  <c r="CK28" i="1"/>
  <c r="CK36" i="1" s="1"/>
  <c r="CK25" i="1"/>
  <c r="CK23" i="1"/>
  <c r="CK22" i="1"/>
  <c r="CK17" i="1"/>
  <c r="CK16" i="1"/>
  <c r="CK15" i="1"/>
  <c r="CK14" i="1"/>
  <c r="CK12" i="1"/>
  <c r="CK11" i="1"/>
  <c r="CK10" i="1"/>
  <c r="CK8" i="1"/>
  <c r="CK7" i="1"/>
  <c r="CK87" i="1"/>
  <c r="CK85" i="1"/>
  <c r="CK84" i="1"/>
  <c r="CK83" i="1"/>
  <c r="CK82" i="1"/>
  <c r="CK81" i="1"/>
  <c r="CK80" i="1"/>
  <c r="CK78" i="1"/>
  <c r="CK77" i="1"/>
  <c r="CK76" i="1"/>
  <c r="CK319" i="1" s="1"/>
  <c r="CK75" i="1"/>
  <c r="CK74" i="1"/>
  <c r="CK71" i="1"/>
  <c r="CK69" i="1"/>
  <c r="CK68" i="1"/>
  <c r="CK67" i="1"/>
  <c r="CK63" i="1"/>
  <c r="CK61" i="1"/>
  <c r="CK60" i="1"/>
  <c r="CK318" i="1" s="1"/>
  <c r="CK59" i="1"/>
  <c r="CK58" i="1"/>
  <c r="CK57" i="1"/>
  <c r="CK56" i="1"/>
  <c r="CK54" i="1"/>
  <c r="CK53" i="1"/>
  <c r="CK51" i="1"/>
  <c r="CK50" i="1"/>
  <c r="CK49" i="1"/>
  <c r="CK48" i="1"/>
  <c r="CK47" i="1"/>
  <c r="CJ86" i="1"/>
  <c r="CJ88" i="1" s="1"/>
  <c r="CJ73" i="1"/>
  <c r="CJ79" i="1" s="1"/>
  <c r="CJ55" i="1"/>
  <c r="CJ64" i="1" s="1"/>
  <c r="CI45" i="3"/>
  <c r="CJ40" i="3"/>
  <c r="CJ25" i="3"/>
  <c r="CJ184" i="2"/>
  <c r="CJ183" i="2"/>
  <c r="CJ181" i="2"/>
  <c r="CJ180" i="2"/>
  <c r="CJ179" i="2"/>
  <c r="CJ178" i="2"/>
  <c r="CJ168" i="2"/>
  <c r="CJ81" i="2"/>
  <c r="CJ79" i="2"/>
  <c r="CJ74" i="2"/>
  <c r="CJ69" i="2"/>
  <c r="CJ36" i="2"/>
  <c r="CJ188" i="1"/>
  <c r="CJ185" i="2" s="1"/>
  <c r="CJ185" i="1"/>
  <c r="CK185" i="1" s="1"/>
  <c r="CJ183" i="1"/>
  <c r="CJ165" i="1"/>
  <c r="CJ36" i="1"/>
  <c r="CJ13" i="1"/>
  <c r="CJ12" i="3" s="1"/>
  <c r="CJ9" i="1"/>
  <c r="CJ8" i="3" s="1"/>
  <c r="DX8" i="4" l="1"/>
  <c r="CK9" i="1"/>
  <c r="CJ107" i="1"/>
  <c r="CJ121" i="1" s="1"/>
  <c r="CK136" i="1"/>
  <c r="CK137" i="1" s="1"/>
  <c r="CK212" i="1"/>
  <c r="CJ18" i="1"/>
  <c r="CJ24" i="1" s="1"/>
  <c r="CJ27" i="1" s="1"/>
  <c r="CJ35" i="1" s="1"/>
  <c r="CJ37" i="1" s="1"/>
  <c r="CK210" i="1"/>
  <c r="CJ128" i="1"/>
  <c r="CK208" i="1"/>
  <c r="CJ187" i="2"/>
  <c r="CJ48" i="3" s="1"/>
  <c r="CJ189" i="1"/>
  <c r="CJ190" i="1" s="1"/>
  <c r="CK107" i="1"/>
  <c r="CK121" i="1" s="1"/>
  <c r="CJ208" i="1"/>
  <c r="CK180" i="1"/>
  <c r="CJ213" i="1"/>
  <c r="CK86" i="1"/>
  <c r="CK88" i="1" s="1"/>
  <c r="CJ232" i="2"/>
  <c r="CO113" i="2"/>
  <c r="CJ198" i="2"/>
  <c r="CJ199" i="2" s="1"/>
  <c r="CO111" i="2"/>
  <c r="CJ89" i="1"/>
  <c r="CK183" i="1"/>
  <c r="CJ233" i="2"/>
  <c r="CJ231" i="2"/>
  <c r="CJ13" i="3"/>
  <c r="CJ18" i="3" s="1"/>
  <c r="CJ21" i="3" s="1"/>
  <c r="CJ24" i="3" s="1"/>
  <c r="CJ26" i="3" s="1"/>
  <c r="CJ221" i="2"/>
  <c r="CJ59" i="3"/>
  <c r="CK73" i="1"/>
  <c r="CK79" i="1" s="1"/>
  <c r="CK165" i="1"/>
  <c r="DO213" i="1" s="1"/>
  <c r="CJ33" i="4"/>
  <c r="CJ39" i="4" s="1"/>
  <c r="CJ60" i="3"/>
  <c r="CK55" i="1"/>
  <c r="CK64" i="1" s="1"/>
  <c r="CJ46" i="4"/>
  <c r="CJ48" i="4" s="1"/>
  <c r="CJ15" i="4"/>
  <c r="CJ24" i="4" s="1"/>
  <c r="CK128" i="1"/>
  <c r="DY8" i="4" l="1"/>
  <c r="DE213" i="1"/>
  <c r="DJ213" i="1"/>
  <c r="CJ139" i="1"/>
  <c r="CJ29" i="1"/>
  <c r="CU213" i="1"/>
  <c r="CZ213" i="1"/>
  <c r="CK89" i="1"/>
  <c r="CK213" i="1"/>
  <c r="CP213" i="1"/>
  <c r="CJ49" i="4"/>
  <c r="CJ63" i="3"/>
  <c r="CK139" i="1"/>
  <c r="DZ8" i="4" l="1"/>
  <c r="EA8" i="4" l="1"/>
  <c r="EB8" i="4" l="1"/>
  <c r="CI42" i="3"/>
  <c r="CM18" i="17"/>
  <c r="CM19" i="17"/>
  <c r="CM36" i="17"/>
  <c r="CM37" i="17"/>
  <c r="CL18" i="17"/>
  <c r="CL19" i="17"/>
  <c r="CL36" i="17"/>
  <c r="CL37" i="17"/>
  <c r="S67" i="30"/>
  <c r="S72" i="30" s="1"/>
  <c r="CM20" i="17" l="1"/>
  <c r="CL20" i="17"/>
  <c r="CL38" i="17"/>
  <c r="T67" i="30"/>
  <c r="T72" i="30" s="1"/>
  <c r="U67" i="30"/>
  <c r="U72" i="30" s="1"/>
  <c r="CM38" i="17"/>
  <c r="V67" i="30"/>
  <c r="V72" i="30" s="1"/>
  <c r="CI319" i="1" l="1"/>
  <c r="CH319" i="1"/>
  <c r="CG319" i="1"/>
  <c r="CE319" i="1"/>
  <c r="CD319" i="1"/>
  <c r="CI318" i="1"/>
  <c r="CH318" i="1"/>
  <c r="CG318" i="1"/>
  <c r="CE318" i="1"/>
  <c r="CD318" i="1"/>
  <c r="CI307" i="1"/>
  <c r="CI266" i="1"/>
  <c r="CI138" i="1" l="1"/>
  <c r="CI226" i="1" l="1"/>
  <c r="CI212" i="1" l="1"/>
  <c r="CI210" i="1"/>
  <c r="CI206" i="1"/>
  <c r="CI208" i="1" s="1"/>
  <c r="CI27" i="4"/>
  <c r="CJ77" i="4" s="1"/>
  <c r="CI28" i="4"/>
  <c r="CI29" i="4"/>
  <c r="CI30" i="4"/>
  <c r="CI31" i="4"/>
  <c r="CI32" i="4"/>
  <c r="CI34" i="4"/>
  <c r="CI35" i="4"/>
  <c r="CI36" i="4"/>
  <c r="CI37" i="4"/>
  <c r="CI38" i="4"/>
  <c r="CI40" i="4"/>
  <c r="CI41" i="4"/>
  <c r="CI42" i="4"/>
  <c r="CI43" i="4"/>
  <c r="CI44" i="4"/>
  <c r="CI45" i="4"/>
  <c r="CI47" i="4"/>
  <c r="CI7" i="4"/>
  <c r="CI8" i="4"/>
  <c r="CI9" i="4"/>
  <c r="CJ76" i="4" s="1"/>
  <c r="CI10" i="4"/>
  <c r="CI11" i="4"/>
  <c r="CI12" i="4"/>
  <c r="CI13" i="4"/>
  <c r="CJ78" i="4" s="1"/>
  <c r="CI14" i="4"/>
  <c r="CI16" i="4"/>
  <c r="CI17" i="4"/>
  <c r="CI18" i="4"/>
  <c r="CI19" i="4"/>
  <c r="CI20" i="4"/>
  <c r="CI21" i="4"/>
  <c r="CI22" i="4"/>
  <c r="CI23" i="4"/>
  <c r="CI86" i="1"/>
  <c r="CI88" i="1" s="1"/>
  <c r="CI73" i="1"/>
  <c r="CI79" i="1" s="1"/>
  <c r="CI55" i="1"/>
  <c r="CI64" i="1" s="1"/>
  <c r="CI137" i="1"/>
  <c r="CI127" i="1"/>
  <c r="CI120" i="1"/>
  <c r="CI107" i="1" s="1"/>
  <c r="CI121" i="1" s="1"/>
  <c r="CI290" i="2"/>
  <c r="CI46" i="4" l="1"/>
  <c r="CI48" i="4" s="1"/>
  <c r="CI33" i="4"/>
  <c r="CI39" i="4" s="1"/>
  <c r="CI89" i="1"/>
  <c r="CI128" i="1"/>
  <c r="CI139" i="1" s="1"/>
  <c r="CI15" i="4"/>
  <c r="CI24" i="4" s="1"/>
  <c r="CI40" i="3"/>
  <c r="CI9" i="3"/>
  <c r="CI10" i="3"/>
  <c r="CI11" i="3"/>
  <c r="CI14" i="3"/>
  <c r="CI15" i="3"/>
  <c r="CI16" i="3"/>
  <c r="CI17" i="3"/>
  <c r="CI19" i="3"/>
  <c r="CI20" i="3"/>
  <c r="CI22" i="3"/>
  <c r="CI25" i="3"/>
  <c r="CI183" i="2"/>
  <c r="CI184" i="2"/>
  <c r="CI187" i="2"/>
  <c r="CI181" i="2"/>
  <c r="CI180" i="2"/>
  <c r="CI179" i="2"/>
  <c r="CI178" i="2"/>
  <c r="CI168" i="2"/>
  <c r="CI81" i="2"/>
  <c r="CI79" i="2"/>
  <c r="CI74" i="2"/>
  <c r="CI69" i="2"/>
  <c r="CI36" i="2"/>
  <c r="CI185" i="2"/>
  <c r="CI183" i="1"/>
  <c r="CI165" i="1"/>
  <c r="CI213" i="1" s="1"/>
  <c r="CI32" i="1"/>
  <c r="CI36" i="1"/>
  <c r="CI13" i="1"/>
  <c r="CI12" i="3" s="1"/>
  <c r="CI9" i="1"/>
  <c r="CI18" i="1" l="1"/>
  <c r="CI24" i="1" s="1"/>
  <c r="CI27" i="1" s="1"/>
  <c r="CI29" i="1" s="1"/>
  <c r="CN113" i="2"/>
  <c r="CI198" i="2"/>
  <c r="CI48" i="3"/>
  <c r="CN111" i="2"/>
  <c r="CI231" i="2"/>
  <c r="CI189" i="1"/>
  <c r="CI49" i="4"/>
  <c r="CI8" i="3"/>
  <c r="CI59" i="3" s="1"/>
  <c r="CI232" i="2"/>
  <c r="CI233" i="2"/>
  <c r="CI35" i="1"/>
  <c r="CI37" i="1" s="1"/>
  <c r="CI186" i="2"/>
  <c r="CI221" i="2"/>
  <c r="CI31" i="1" l="1"/>
  <c r="CI33" i="1" s="1"/>
  <c r="CI60" i="3"/>
  <c r="CI199" i="2"/>
  <c r="CI190" i="1"/>
  <c r="CI13" i="3"/>
  <c r="CI18" i="3" s="1"/>
  <c r="CI21" i="3" s="1"/>
  <c r="CI24" i="3" s="1"/>
  <c r="CI26" i="3" s="1"/>
  <c r="CH7" i="3"/>
  <c r="CH6" i="3"/>
  <c r="CG7" i="3"/>
  <c r="CG6" i="3"/>
  <c r="CH42" i="3"/>
  <c r="CH45" i="3"/>
  <c r="CH307" i="1"/>
  <c r="CI63" i="3" l="1"/>
  <c r="CH266" i="1"/>
  <c r="CH223" i="1"/>
  <c r="CH226" i="1" s="1"/>
  <c r="CH212" i="1"/>
  <c r="CH210" i="1"/>
  <c r="CH13" i="1"/>
  <c r="CH9" i="1"/>
  <c r="CH138" i="1" l="1"/>
  <c r="CH36" i="2" l="1"/>
  <c r="CH27" i="4" l="1"/>
  <c r="CH28" i="4"/>
  <c r="CH29" i="4"/>
  <c r="CH30" i="4"/>
  <c r="CH31" i="4"/>
  <c r="CH32" i="4"/>
  <c r="CH34" i="4"/>
  <c r="CH35" i="4"/>
  <c r="CH36" i="4"/>
  <c r="CH37" i="4"/>
  <c r="CH38" i="4"/>
  <c r="CH40" i="4"/>
  <c r="CH41" i="4"/>
  <c r="CH42" i="4"/>
  <c r="CH43" i="4"/>
  <c r="CH44" i="4"/>
  <c r="CH45" i="4"/>
  <c r="CH47" i="4"/>
  <c r="CH7" i="4"/>
  <c r="CH8" i="4"/>
  <c r="CH9" i="4"/>
  <c r="CI76" i="4" s="1"/>
  <c r="CH10" i="4"/>
  <c r="CH11" i="4"/>
  <c r="CH12" i="4"/>
  <c r="CH13" i="4"/>
  <c r="CI78" i="4" s="1"/>
  <c r="CH14" i="4"/>
  <c r="CH16" i="4"/>
  <c r="CH17" i="4"/>
  <c r="CH18" i="4"/>
  <c r="CH19" i="4"/>
  <c r="CH20" i="4"/>
  <c r="CH21" i="4"/>
  <c r="CH22" i="4"/>
  <c r="CH23" i="4"/>
  <c r="CH137" i="1"/>
  <c r="CH127" i="1"/>
  <c r="CH128" i="1" s="1"/>
  <c r="CH120" i="1"/>
  <c r="CH86" i="1"/>
  <c r="CH88" i="1" s="1"/>
  <c r="CH73" i="1"/>
  <c r="CH79" i="1" s="1"/>
  <c r="CH55" i="1"/>
  <c r="CH64" i="1" s="1"/>
  <c r="CH46" i="4" l="1"/>
  <c r="CH48" i="4" s="1"/>
  <c r="CH107" i="1"/>
  <c r="CH121" i="1" s="1"/>
  <c r="CH139" i="1" s="1"/>
  <c r="CH15" i="4"/>
  <c r="CH24" i="4" s="1"/>
  <c r="CH33" i="4"/>
  <c r="CH39" i="4" s="1"/>
  <c r="CI77" i="4"/>
  <c r="CH89" i="1"/>
  <c r="CH49" i="4" l="1"/>
  <c r="CH300" i="2"/>
  <c r="CH206" i="1"/>
  <c r="CH208" i="1" s="1"/>
  <c r="CH40" i="3"/>
  <c r="CH12" i="3"/>
  <c r="CH14" i="3"/>
  <c r="CH15" i="3"/>
  <c r="CH16" i="3"/>
  <c r="CH17" i="3"/>
  <c r="CH19" i="3"/>
  <c r="CH20" i="3"/>
  <c r="CH22" i="3"/>
  <c r="CH25" i="3"/>
  <c r="CH8" i="3"/>
  <c r="CH187" i="2"/>
  <c r="CH184" i="2"/>
  <c r="CH183" i="2"/>
  <c r="CH181" i="2"/>
  <c r="CH180" i="2"/>
  <c r="CH179" i="2"/>
  <c r="CH198" i="2" s="1"/>
  <c r="CH178" i="2"/>
  <c r="CH168" i="2"/>
  <c r="CH81" i="2"/>
  <c r="CH79" i="2"/>
  <c r="CM113" i="2" s="1"/>
  <c r="CH74" i="2"/>
  <c r="CH69" i="2"/>
  <c r="CM111" i="2" s="1"/>
  <c r="CH188" i="1"/>
  <c r="CH185" i="2" s="1"/>
  <c r="CH183" i="1"/>
  <c r="CH165" i="1"/>
  <c r="CH32" i="1"/>
  <c r="CH36" i="1"/>
  <c r="CH18" i="1"/>
  <c r="CH24" i="1" s="1"/>
  <c r="CH27" i="1" s="1"/>
  <c r="CH199" i="2" l="1"/>
  <c r="CH221" i="2"/>
  <c r="CH232" i="2"/>
  <c r="CH48" i="3"/>
  <c r="CH189" i="1"/>
  <c r="CH190" i="1" s="1"/>
  <c r="CH231" i="2"/>
  <c r="CH233" i="2"/>
  <c r="CH213" i="1"/>
  <c r="CH31" i="1"/>
  <c r="CH33" i="1" s="1"/>
  <c r="CH29" i="1"/>
  <c r="CH35" i="1"/>
  <c r="CH37" i="1" s="1"/>
  <c r="CH60" i="3"/>
  <c r="CH59" i="3"/>
  <c r="CQ33" i="3" l="1"/>
  <c r="CQ59" i="5"/>
  <c r="CQ46" i="3"/>
  <c r="CR46" i="3" l="1"/>
  <c r="CR59" i="5"/>
  <c r="CR33" i="3"/>
  <c r="C65" i="30"/>
  <c r="CS46" i="3" l="1"/>
  <c r="CS33" i="3"/>
  <c r="CS59" i="5"/>
  <c r="L67" i="30"/>
  <c r="L72" i="30" s="1"/>
  <c r="R67" i="30"/>
  <c r="R72" i="30" s="1"/>
  <c r="Q67" i="30"/>
  <c r="Q72" i="30" s="1"/>
  <c r="P67" i="30"/>
  <c r="P72" i="30" s="1"/>
  <c r="O67" i="30"/>
  <c r="O72" i="30" s="1"/>
  <c r="N67" i="30"/>
  <c r="N72" i="30" s="1"/>
  <c r="M67" i="30"/>
  <c r="M72" i="30" s="1"/>
  <c r="K67" i="30"/>
  <c r="K72" i="30" l="1"/>
  <c r="AH21" i="30"/>
  <c r="CU46" i="5"/>
  <c r="CT46" i="3"/>
  <c r="CT33" i="3"/>
  <c r="CT59" i="5"/>
  <c r="CU40" i="3"/>
  <c r="CU59" i="5" l="1"/>
  <c r="CU49" i="3"/>
  <c r="CU33" i="3"/>
  <c r="CU48" i="5"/>
  <c r="CU50" i="5" s="1"/>
  <c r="CG45" i="3" l="1"/>
  <c r="CG42" i="3"/>
  <c r="CG210" i="1"/>
  <c r="CG212" i="1"/>
  <c r="CG307" i="1"/>
  <c r="CG266" i="1"/>
  <c r="CK266" i="1" s="1"/>
  <c r="CK268" i="1" s="1"/>
  <c r="CG223" i="1"/>
  <c r="CG226" i="1" s="1"/>
  <c r="CG32" i="1"/>
  <c r="CG168" i="2" l="1"/>
  <c r="CG49" i="5" l="1"/>
  <c r="CH49" i="5" s="1"/>
  <c r="CI49" i="5" s="1"/>
  <c r="CJ49" i="5" s="1"/>
  <c r="CG47" i="5"/>
  <c r="CH47" i="5" s="1"/>
  <c r="CI47" i="5" s="1"/>
  <c r="CJ47" i="5" s="1"/>
  <c r="CG46" i="5"/>
  <c r="CH46" i="5" s="1"/>
  <c r="CI46" i="5" s="1"/>
  <c r="CJ46" i="5" s="1"/>
  <c r="CG45" i="5"/>
  <c r="CH45" i="5" s="1"/>
  <c r="CI45" i="5" s="1"/>
  <c r="CJ45" i="5" s="1"/>
  <c r="CG44" i="5"/>
  <c r="CH44" i="5" s="1"/>
  <c r="CI44" i="5" s="1"/>
  <c r="CJ44" i="5" s="1"/>
  <c r="CG43" i="5"/>
  <c r="CH43" i="5" s="1"/>
  <c r="CI43" i="5" s="1"/>
  <c r="CJ43" i="5" s="1"/>
  <c r="CG42" i="5"/>
  <c r="CH42" i="5" s="1"/>
  <c r="CI42" i="5" s="1"/>
  <c r="CJ42" i="5" s="1"/>
  <c r="CG41" i="5"/>
  <c r="CH41" i="5" s="1"/>
  <c r="CI41" i="5" s="1"/>
  <c r="CJ41" i="5" s="1"/>
  <c r="CG40" i="5"/>
  <c r="CG38" i="5"/>
  <c r="CH38" i="5" s="1"/>
  <c r="CI38" i="5" s="1"/>
  <c r="CJ38" i="5" s="1"/>
  <c r="CG37" i="5"/>
  <c r="CH37" i="5" s="1"/>
  <c r="CI37" i="5" s="1"/>
  <c r="CJ37" i="5" s="1"/>
  <c r="CG36" i="5"/>
  <c r="CH36" i="5" s="1"/>
  <c r="CI36" i="5" s="1"/>
  <c r="CJ36" i="5" s="1"/>
  <c r="CG35" i="5"/>
  <c r="CH35" i="5" s="1"/>
  <c r="CI35" i="5" s="1"/>
  <c r="CJ35" i="5" s="1"/>
  <c r="CG34" i="5"/>
  <c r="CH34" i="5" s="1"/>
  <c r="CI34" i="5" s="1"/>
  <c r="CJ34" i="5" s="1"/>
  <c r="CG33" i="5"/>
  <c r="CG30" i="5"/>
  <c r="CH30" i="5" s="1"/>
  <c r="CI30" i="5" s="1"/>
  <c r="CJ30" i="5" s="1"/>
  <c r="CG29" i="5"/>
  <c r="CH29" i="5" s="1"/>
  <c r="CI29" i="5" s="1"/>
  <c r="CJ29" i="5" s="1"/>
  <c r="CG28" i="5"/>
  <c r="CH28" i="5" s="1"/>
  <c r="CI28" i="5" s="1"/>
  <c r="CJ28" i="5" s="1"/>
  <c r="CG27" i="5"/>
  <c r="CH27" i="5" s="1"/>
  <c r="CI27" i="5" s="1"/>
  <c r="CJ27" i="5" s="1"/>
  <c r="CG26" i="5"/>
  <c r="CH26" i="5" s="1"/>
  <c r="CI26" i="5" s="1"/>
  <c r="CJ26" i="5" s="1"/>
  <c r="CG25" i="5"/>
  <c r="CH25" i="5" s="1"/>
  <c r="CI25" i="5" s="1"/>
  <c r="CJ25" i="5" s="1"/>
  <c r="CG24" i="5"/>
  <c r="CH24" i="5" s="1"/>
  <c r="CI24" i="5" s="1"/>
  <c r="CJ24" i="5" s="1"/>
  <c r="CG23" i="5"/>
  <c r="CH23" i="5" s="1"/>
  <c r="CI23" i="5" s="1"/>
  <c r="CJ23" i="5" s="1"/>
  <c r="CG22" i="5"/>
  <c r="CH22" i="5" s="1"/>
  <c r="CI22" i="5" s="1"/>
  <c r="CJ22" i="5" s="1"/>
  <c r="CG21" i="5"/>
  <c r="CH21" i="5" s="1"/>
  <c r="CI21" i="5" s="1"/>
  <c r="CJ21" i="5" s="1"/>
  <c r="CG20" i="5"/>
  <c r="CH20" i="5" s="1"/>
  <c r="CI20" i="5" s="1"/>
  <c r="CJ20" i="5" s="1"/>
  <c r="CG19" i="5"/>
  <c r="CH19" i="5" s="1"/>
  <c r="CG17" i="5"/>
  <c r="CH17" i="5" s="1"/>
  <c r="CI17" i="5" s="1"/>
  <c r="CJ17" i="5" s="1"/>
  <c r="CG16" i="5"/>
  <c r="CH16" i="5" s="1"/>
  <c r="CI16" i="5" s="1"/>
  <c r="CJ16" i="5" s="1"/>
  <c r="CG15" i="5"/>
  <c r="CH15" i="5" s="1"/>
  <c r="CI15" i="5" s="1"/>
  <c r="CJ15" i="5" s="1"/>
  <c r="CG14" i="5"/>
  <c r="CH14" i="5" s="1"/>
  <c r="CI14" i="5" s="1"/>
  <c r="CJ14" i="5" s="1"/>
  <c r="CG13" i="5"/>
  <c r="CH13" i="5" s="1"/>
  <c r="CI13" i="5" s="1"/>
  <c r="CJ13" i="5" s="1"/>
  <c r="CG12" i="5"/>
  <c r="CH12" i="5" s="1"/>
  <c r="CI12" i="5" s="1"/>
  <c r="CJ12" i="5" s="1"/>
  <c r="CG11" i="5"/>
  <c r="CH11" i="5" s="1"/>
  <c r="CI11" i="5" s="1"/>
  <c r="CJ11" i="5" s="1"/>
  <c r="CG10" i="5"/>
  <c r="CH10" i="5" s="1"/>
  <c r="CI10" i="5" s="1"/>
  <c r="CJ10" i="5" s="1"/>
  <c r="CG9" i="5"/>
  <c r="CH9" i="5" s="1"/>
  <c r="CI9" i="5" s="1"/>
  <c r="CJ9" i="5" s="1"/>
  <c r="CG8" i="5"/>
  <c r="CH8" i="5" s="1"/>
  <c r="CI8" i="5" s="1"/>
  <c r="CJ8" i="5" s="1"/>
  <c r="CG7" i="5"/>
  <c r="CG47" i="4"/>
  <c r="CG45" i="4"/>
  <c r="CG44" i="4"/>
  <c r="CG43" i="4"/>
  <c r="CG42" i="4"/>
  <c r="CG41" i="4"/>
  <c r="CG40" i="4"/>
  <c r="CG38" i="4"/>
  <c r="CG37" i="4"/>
  <c r="CG36" i="4"/>
  <c r="CG35" i="4"/>
  <c r="CG34" i="4"/>
  <c r="CG32" i="4"/>
  <c r="CG31" i="4"/>
  <c r="CG30" i="4"/>
  <c r="CG29" i="4"/>
  <c r="CG28" i="4"/>
  <c r="CG27" i="4"/>
  <c r="CH77" i="4" s="1"/>
  <c r="CG23" i="4"/>
  <c r="CG22" i="4"/>
  <c r="CG21" i="4"/>
  <c r="CG20" i="4"/>
  <c r="CG19" i="4"/>
  <c r="CG18" i="4"/>
  <c r="CG17" i="4"/>
  <c r="CG16" i="4"/>
  <c r="CG14" i="4"/>
  <c r="CG13" i="4"/>
  <c r="CH78" i="4" s="1"/>
  <c r="CG12" i="4"/>
  <c r="CG11" i="4"/>
  <c r="CG10" i="4"/>
  <c r="CG9" i="4"/>
  <c r="CH76" i="4" s="1"/>
  <c r="CG8" i="4"/>
  <c r="CG7" i="4"/>
  <c r="CG137" i="1"/>
  <c r="CG128" i="1"/>
  <c r="CG120" i="1"/>
  <c r="CG107" i="1" s="1"/>
  <c r="CG121" i="1" s="1"/>
  <c r="CG178" i="2"/>
  <c r="CG86" i="1"/>
  <c r="CG88" i="1" s="1"/>
  <c r="CG73" i="1"/>
  <c r="CG79" i="1" s="1"/>
  <c r="CG55" i="1"/>
  <c r="CG64" i="1" s="1"/>
  <c r="CG33" i="4" l="1"/>
  <c r="CG39" i="4" s="1"/>
  <c r="CG89" i="1"/>
  <c r="CG139" i="1"/>
  <c r="CG31" i="5"/>
  <c r="CH31" i="5" s="1"/>
  <c r="CI31" i="5" s="1"/>
  <c r="CJ31" i="5" s="1"/>
  <c r="CG39" i="5"/>
  <c r="CH33" i="5"/>
  <c r="CH7" i="5"/>
  <c r="CI19" i="5"/>
  <c r="CJ19" i="5" s="1"/>
  <c r="CG15" i="4"/>
  <c r="CG24" i="4" s="1"/>
  <c r="CG46" i="4"/>
  <c r="CG48" i="4" s="1"/>
  <c r="CG48" i="5"/>
  <c r="CH40" i="5"/>
  <c r="CG49" i="4" l="1"/>
  <c r="CJ18" i="5"/>
  <c r="CH39" i="5"/>
  <c r="CI33" i="5"/>
  <c r="CH48" i="5"/>
  <c r="CI40" i="5"/>
  <c r="CI7" i="5"/>
  <c r="CJ7" i="5" s="1"/>
  <c r="CG18" i="5"/>
  <c r="CG32" i="5" s="1"/>
  <c r="CG50" i="5" s="1"/>
  <c r="CI18" i="5"/>
  <c r="CH18" i="5"/>
  <c r="CH32" i="5" s="1"/>
  <c r="CG303" i="2"/>
  <c r="CG301" i="2"/>
  <c r="CG300" i="2"/>
  <c r="CG290" i="2"/>
  <c r="CG206" i="1"/>
  <c r="CJ32" i="5" l="1"/>
  <c r="CI48" i="5"/>
  <c r="CJ40" i="5"/>
  <c r="CJ48" i="5" s="1"/>
  <c r="CI39" i="5"/>
  <c r="CJ33" i="5"/>
  <c r="CJ39" i="5" s="1"/>
  <c r="CG302" i="2"/>
  <c r="CG304" i="2" s="1"/>
  <c r="CH50" i="5"/>
  <c r="CI32" i="5"/>
  <c r="CG208" i="1"/>
  <c r="CG40" i="3"/>
  <c r="CG25" i="3"/>
  <c r="CG22" i="3"/>
  <c r="CG20" i="3"/>
  <c r="CG19" i="3"/>
  <c r="CG17" i="3"/>
  <c r="CG16" i="3"/>
  <c r="CG15" i="3"/>
  <c r="CG14" i="3"/>
  <c r="CG11" i="3"/>
  <c r="CG10" i="3"/>
  <c r="CG9" i="3"/>
  <c r="CG187" i="2"/>
  <c r="CG48" i="3" s="1"/>
  <c r="CG184" i="2"/>
  <c r="CG183" i="2"/>
  <c r="CG181" i="2"/>
  <c r="CG180" i="2"/>
  <c r="CG179" i="2"/>
  <c r="CG198" i="2" s="1"/>
  <c r="CG81" i="2"/>
  <c r="CG79" i="2"/>
  <c r="CL113" i="2" s="1"/>
  <c r="CG74" i="2"/>
  <c r="CG69" i="2"/>
  <c r="CL111" i="2" s="1"/>
  <c r="CG36" i="2"/>
  <c r="CG221" i="2" s="1"/>
  <c r="CG188" i="1"/>
  <c r="CG183" i="1"/>
  <c r="CG165" i="1"/>
  <c r="CG213" i="1" s="1"/>
  <c r="CG36" i="1"/>
  <c r="CG13" i="1"/>
  <c r="CG9" i="1"/>
  <c r="CG8" i="3" s="1"/>
  <c r="CG12" i="3" l="1"/>
  <c r="CG13" i="3" s="1"/>
  <c r="CG18" i="3" s="1"/>
  <c r="CG21" i="3" s="1"/>
  <c r="CG63" i="3" s="1"/>
  <c r="CK13" i="1"/>
  <c r="CK18" i="1" s="1"/>
  <c r="CK24" i="1" s="1"/>
  <c r="CK27" i="1" s="1"/>
  <c r="CK35" i="1" s="1"/>
  <c r="CK37" i="1" s="1"/>
  <c r="CG185" i="2"/>
  <c r="CG186" i="2" s="1"/>
  <c r="CK188" i="1"/>
  <c r="CI50" i="5"/>
  <c r="CG199" i="2"/>
  <c r="CJ50" i="5"/>
  <c r="CG189" i="1"/>
  <c r="CK189" i="1" s="1"/>
  <c r="CK190" i="1" s="1"/>
  <c r="CG232" i="2"/>
  <c r="CG233" i="2"/>
  <c r="CG18" i="1"/>
  <c r="CG24" i="1" s="1"/>
  <c r="CG27" i="1" s="1"/>
  <c r="CG231" i="2"/>
  <c r="CG60" i="3"/>
  <c r="CG59" i="3"/>
  <c r="CG190" i="1" l="1"/>
  <c r="CG188" i="2"/>
  <c r="CG24" i="3"/>
  <c r="CG26" i="3" s="1"/>
  <c r="CG35" i="1"/>
  <c r="CG37" i="1" s="1"/>
  <c r="CG31" i="1"/>
  <c r="CG33" i="1" s="1"/>
  <c r="CG29" i="1"/>
  <c r="CK29" i="1" s="1"/>
  <c r="CG22" i="12" l="1"/>
  <c r="CH28" i="12" l="1"/>
  <c r="CH24" i="12"/>
  <c r="CH22" i="12"/>
  <c r="CF57" i="4" l="1"/>
  <c r="CF55" i="4"/>
  <c r="CF54" i="4"/>
  <c r="CE42" i="3"/>
  <c r="CF307" i="1"/>
  <c r="CE306" i="1"/>
  <c r="CE393" i="2" s="1"/>
  <c r="CE305" i="1"/>
  <c r="CE304" i="1"/>
  <c r="CE391" i="2" s="1"/>
  <c r="CE303" i="1"/>
  <c r="CE302" i="1"/>
  <c r="CE301" i="1"/>
  <c r="CE300" i="1"/>
  <c r="CE299" i="1"/>
  <c r="CE298" i="1"/>
  <c r="CE297" i="1"/>
  <c r="CE296" i="1"/>
  <c r="CE295" i="1"/>
  <c r="CE294" i="1"/>
  <c r="CE83" i="17" s="1"/>
  <c r="CF290" i="1"/>
  <c r="CE286" i="1"/>
  <c r="CE45" i="3" s="1"/>
  <c r="CF283" i="1"/>
  <c r="CF267" i="1"/>
  <c r="CE266" i="1"/>
  <c r="CF260" i="1"/>
  <c r="CF259" i="1"/>
  <c r="CF258" i="1"/>
  <c r="CF257" i="1"/>
  <c r="CF256" i="1"/>
  <c r="CF255" i="1"/>
  <c r="CF254" i="1"/>
  <c r="CF253" i="1"/>
  <c r="DE253" i="1" s="1"/>
  <c r="DJ253" i="1" s="1"/>
  <c r="DO253" i="1" s="1"/>
  <c r="DT253" i="1" s="1"/>
  <c r="DY253" i="1" s="1"/>
  <c r="DZ253" i="1" s="1"/>
  <c r="EA253" i="1" s="1"/>
  <c r="EB253" i="1" s="1"/>
  <c r="CF252" i="1"/>
  <c r="DE252" i="1" s="1"/>
  <c r="DJ252" i="1" s="1"/>
  <c r="CE223" i="1"/>
  <c r="CF223" i="1" s="1"/>
  <c r="CF319" i="2" s="1"/>
  <c r="CF225" i="1"/>
  <c r="CF222" i="1"/>
  <c r="CF318" i="2" s="1"/>
  <c r="CF220" i="1"/>
  <c r="CF316" i="2" s="1"/>
  <c r="CF219" i="1"/>
  <c r="CE210" i="1"/>
  <c r="CE212" i="1"/>
  <c r="CF109" i="1"/>
  <c r="CF138" i="1"/>
  <c r="CF136" i="1"/>
  <c r="CF135" i="1"/>
  <c r="CF134" i="1"/>
  <c r="CF133" i="1"/>
  <c r="CF130" i="1"/>
  <c r="CF129" i="1"/>
  <c r="CF126" i="1"/>
  <c r="CF125" i="1"/>
  <c r="CF124" i="1"/>
  <c r="CF123" i="1"/>
  <c r="CF122" i="1"/>
  <c r="CF119" i="1"/>
  <c r="CF116" i="1"/>
  <c r="CF115" i="1"/>
  <c r="CF114" i="1"/>
  <c r="CF110" i="1"/>
  <c r="CF113" i="1"/>
  <c r="CF112" i="1"/>
  <c r="CF111" i="1"/>
  <c r="CF108" i="1"/>
  <c r="CF105" i="1"/>
  <c r="CF104" i="1"/>
  <c r="CF102" i="1"/>
  <c r="CF101" i="1"/>
  <c r="CF98" i="1"/>
  <c r="CF97" i="1"/>
  <c r="CF96" i="1"/>
  <c r="CF54" i="1"/>
  <c r="CF50" i="1"/>
  <c r="CF87" i="1"/>
  <c r="CF85" i="1"/>
  <c r="CF84" i="1"/>
  <c r="CF83" i="1"/>
  <c r="CF82" i="1"/>
  <c r="CF81" i="1"/>
  <c r="CF80" i="1"/>
  <c r="CF78" i="1"/>
  <c r="CF77" i="1"/>
  <c r="CF76" i="1"/>
  <c r="CF319" i="1" s="1"/>
  <c r="CF75" i="1"/>
  <c r="CF74" i="1"/>
  <c r="CF71" i="1"/>
  <c r="CF69" i="1"/>
  <c r="CF68" i="1"/>
  <c r="CF67" i="1"/>
  <c r="CF63" i="1"/>
  <c r="CF61" i="1"/>
  <c r="CF60" i="1"/>
  <c r="CF318" i="1" s="1"/>
  <c r="CF59" i="1"/>
  <c r="CF58" i="1"/>
  <c r="CF57" i="1"/>
  <c r="CF56" i="1"/>
  <c r="CF53" i="1"/>
  <c r="CF51" i="1"/>
  <c r="CF49" i="1"/>
  <c r="CF48" i="1"/>
  <c r="CF47" i="1"/>
  <c r="CF28" i="1"/>
  <c r="CF36" i="1" s="1"/>
  <c r="CF25" i="1"/>
  <c r="CF23" i="1"/>
  <c r="CF22" i="1"/>
  <c r="CF17" i="1"/>
  <c r="CF16" i="1"/>
  <c r="CF15" i="1"/>
  <c r="CF14" i="1"/>
  <c r="CF12" i="1"/>
  <c r="CF11" i="3" s="1"/>
  <c r="CF11" i="1"/>
  <c r="CF10" i="3" s="1"/>
  <c r="CF10" i="1"/>
  <c r="CF8" i="1"/>
  <c r="CF7" i="1"/>
  <c r="CU60" i="17"/>
  <c r="CG60" i="17"/>
  <c r="CH60" i="17"/>
  <c r="CI60" i="17"/>
  <c r="CJ60" i="17"/>
  <c r="CL60" i="17"/>
  <c r="CM60" i="17"/>
  <c r="CN60" i="17"/>
  <c r="CO60" i="17"/>
  <c r="CE60" i="17"/>
  <c r="CD60" i="17"/>
  <c r="CC60" i="17"/>
  <c r="BZ77" i="12"/>
  <c r="BY77" i="12"/>
  <c r="BX77" i="12"/>
  <c r="BW77" i="12"/>
  <c r="CE77" i="12"/>
  <c r="CJ77" i="12" s="1"/>
  <c r="CO77" i="12" s="1"/>
  <c r="CT77" i="12" s="1"/>
  <c r="CY77" i="12" s="1"/>
  <c r="DD77" i="12" s="1"/>
  <c r="DI77" i="12" s="1"/>
  <c r="DN77" i="12" s="1"/>
  <c r="CD77" i="12"/>
  <c r="CI77" i="12" s="1"/>
  <c r="CN77" i="12" s="1"/>
  <c r="CS77" i="12" s="1"/>
  <c r="CX77" i="12" s="1"/>
  <c r="DC77" i="12" s="1"/>
  <c r="DH77" i="12" s="1"/>
  <c r="DM77" i="12" s="1"/>
  <c r="CC77" i="12"/>
  <c r="CH77" i="12" s="1"/>
  <c r="CM77" i="12" s="1"/>
  <c r="CR77" i="12" s="1"/>
  <c r="CW77" i="12" s="1"/>
  <c r="DB77" i="12" s="1"/>
  <c r="DG77" i="12" s="1"/>
  <c r="DL77" i="12" s="1"/>
  <c r="CB77" i="12"/>
  <c r="CG77" i="12" s="1"/>
  <c r="CL77" i="12" s="1"/>
  <c r="CQ77" i="12" s="1"/>
  <c r="CV77" i="12" s="1"/>
  <c r="DA77" i="12" s="1"/>
  <c r="DF77" i="12" s="1"/>
  <c r="DK77" i="12" s="1"/>
  <c r="CJ78" i="12"/>
  <c r="CJ32" i="12"/>
  <c r="CH78" i="12"/>
  <c r="CJ31" i="12"/>
  <c r="CO31" i="12" s="1"/>
  <c r="CT31" i="12" s="1"/>
  <c r="CY31" i="12" s="1"/>
  <c r="DD31" i="12" s="1"/>
  <c r="CI31" i="12"/>
  <c r="CN31" i="12" s="1"/>
  <c r="CS31" i="12" s="1"/>
  <c r="CX31" i="12" s="1"/>
  <c r="DC31" i="12" s="1"/>
  <c r="CH31" i="12"/>
  <c r="CM31" i="12" s="1"/>
  <c r="CR31" i="12" s="1"/>
  <c r="CW31" i="12" s="1"/>
  <c r="DB31" i="12" s="1"/>
  <c r="CG31" i="12"/>
  <c r="CL31" i="12" s="1"/>
  <c r="CQ31" i="12" s="1"/>
  <c r="CV31" i="12" s="1"/>
  <c r="DA31" i="12" s="1"/>
  <c r="CB75" i="12"/>
  <c r="CG75" i="12" s="1"/>
  <c r="CL75" i="12" s="1"/>
  <c r="CQ75" i="12" s="1"/>
  <c r="CV75" i="12" s="1"/>
  <c r="DA75" i="12" s="1"/>
  <c r="DF75" i="12" s="1"/>
  <c r="DK75" i="12" s="1"/>
  <c r="CC75" i="12"/>
  <c r="CH75" i="12" s="1"/>
  <c r="CM75" i="12" s="1"/>
  <c r="CR75" i="12" s="1"/>
  <c r="CW75" i="12" s="1"/>
  <c r="DB75" i="12" s="1"/>
  <c r="DG75" i="12" s="1"/>
  <c r="DL75" i="12" s="1"/>
  <c r="CD75" i="12"/>
  <c r="CI75" i="12" s="1"/>
  <c r="CE75" i="12"/>
  <c r="BZ75" i="12"/>
  <c r="BY75" i="12"/>
  <c r="BX75" i="12"/>
  <c r="BW75" i="12"/>
  <c r="BU75" i="12"/>
  <c r="BT75" i="12"/>
  <c r="BS75" i="12"/>
  <c r="BR75" i="12"/>
  <c r="BP75" i="12"/>
  <c r="BO75" i="12"/>
  <c r="BN75" i="12"/>
  <c r="BM75" i="12"/>
  <c r="BK75" i="12"/>
  <c r="BJ75" i="12"/>
  <c r="BI75" i="12"/>
  <c r="CP111" i="12"/>
  <c r="CP60" i="17" s="1"/>
  <c r="CK111" i="12"/>
  <c r="CK60" i="17" s="1"/>
  <c r="CB111" i="12"/>
  <c r="CB185" i="1"/>
  <c r="CB187" i="2" s="1"/>
  <c r="CB48" i="3" s="1"/>
  <c r="CE185" i="1"/>
  <c r="CF188" i="1"/>
  <c r="CF187" i="1"/>
  <c r="CF186" i="1"/>
  <c r="CF182" i="1"/>
  <c r="CF181" i="1"/>
  <c r="CF173" i="1"/>
  <c r="CF172" i="1"/>
  <c r="CF171" i="1"/>
  <c r="CF170" i="1"/>
  <c r="CF169" i="1"/>
  <c r="CF168" i="1"/>
  <c r="CF164" i="1"/>
  <c r="CF162" i="1"/>
  <c r="CF161" i="1"/>
  <c r="CF160" i="1"/>
  <c r="CF153" i="1"/>
  <c r="CF152" i="1"/>
  <c r="CF151" i="1"/>
  <c r="CF150" i="1"/>
  <c r="CF149" i="1"/>
  <c r="CF148" i="1"/>
  <c r="CK87" i="17"/>
  <c r="CD83" i="17"/>
  <c r="CK83" i="17"/>
  <c r="Q30" i="30"/>
  <c r="CF207" i="1"/>
  <c r="CF303" i="2" s="1"/>
  <c r="CF204" i="1"/>
  <c r="CF301" i="2" s="1"/>
  <c r="CG345" i="2" s="1"/>
  <c r="CF203" i="1"/>
  <c r="CF300" i="2" s="1"/>
  <c r="CG344" i="2" s="1"/>
  <c r="CG360" i="2" s="1"/>
  <c r="CF196" i="1"/>
  <c r="CF195" i="1"/>
  <c r="CF194" i="1"/>
  <c r="CF193" i="1"/>
  <c r="CF290" i="2" s="1"/>
  <c r="CG334" i="2" s="1"/>
  <c r="CE47" i="4"/>
  <c r="CE45" i="4"/>
  <c r="CF45" i="4" s="1"/>
  <c r="CE44" i="4"/>
  <c r="CF44" i="4" s="1"/>
  <c r="CE43" i="4"/>
  <c r="CF43" i="4" s="1"/>
  <c r="CE42" i="4"/>
  <c r="CF42" i="4" s="1"/>
  <c r="CE41" i="4"/>
  <c r="CF41" i="4" s="1"/>
  <c r="CE40" i="4"/>
  <c r="CF40" i="4" s="1"/>
  <c r="CE38" i="4"/>
  <c r="CE37" i="4"/>
  <c r="CF37" i="4" s="1"/>
  <c r="CE36" i="4"/>
  <c r="CE35" i="4"/>
  <c r="CF35" i="4" s="1"/>
  <c r="CE34" i="4"/>
  <c r="CF34" i="4" s="1"/>
  <c r="CE32" i="4"/>
  <c r="CF32" i="4" s="1"/>
  <c r="CE31" i="4"/>
  <c r="CF31" i="4" s="1"/>
  <c r="CE30" i="4"/>
  <c r="CE29" i="4"/>
  <c r="CF29" i="4" s="1"/>
  <c r="CE28" i="4"/>
  <c r="CF28" i="4" s="1"/>
  <c r="CE27" i="4"/>
  <c r="CE23" i="4"/>
  <c r="CF23" i="4" s="1"/>
  <c r="CE22" i="4"/>
  <c r="CF22" i="4" s="1"/>
  <c r="CE21" i="4"/>
  <c r="CF21" i="4" s="1"/>
  <c r="CE20" i="4"/>
  <c r="CE19" i="4"/>
  <c r="CE18" i="4"/>
  <c r="CF18" i="4" s="1"/>
  <c r="CE17" i="4"/>
  <c r="CE16" i="4"/>
  <c r="CF16" i="4" s="1"/>
  <c r="CE14" i="4"/>
  <c r="CE13" i="4"/>
  <c r="CF13" i="4" s="1"/>
  <c r="CG78" i="4" s="1"/>
  <c r="CG79" i="4" s="1"/>
  <c r="CE12" i="4"/>
  <c r="CF12" i="4" s="1"/>
  <c r="CE11" i="4"/>
  <c r="CF11" i="4" s="1"/>
  <c r="CE10" i="4"/>
  <c r="CF10" i="4" s="1"/>
  <c r="CE9" i="4"/>
  <c r="CE8" i="4"/>
  <c r="CF8" i="4" s="1"/>
  <c r="CE7" i="4"/>
  <c r="CE86" i="1"/>
  <c r="CE88" i="1" s="1"/>
  <c r="CE73" i="1"/>
  <c r="CE79" i="1" s="1"/>
  <c r="CE55" i="1"/>
  <c r="CE64" i="1" s="1"/>
  <c r="CE131" i="1"/>
  <c r="CF131" i="1" s="1"/>
  <c r="CE127" i="1"/>
  <c r="CF127" i="1" s="1"/>
  <c r="CE120" i="1"/>
  <c r="CF120" i="1" s="1"/>
  <c r="CE6" i="3"/>
  <c r="CE7" i="3"/>
  <c r="CE9" i="3"/>
  <c r="CE10" i="3"/>
  <c r="CE11" i="3"/>
  <c r="CE14" i="3"/>
  <c r="CE15" i="3"/>
  <c r="CE16" i="3"/>
  <c r="CE17" i="3"/>
  <c r="CE19" i="3"/>
  <c r="CE20" i="3"/>
  <c r="CE22" i="3"/>
  <c r="CE25" i="3"/>
  <c r="CE13" i="1"/>
  <c r="CE12" i="3" s="1"/>
  <c r="CE9" i="1"/>
  <c r="CE300" i="2"/>
  <c r="CE309" i="2" s="1"/>
  <c r="CE206" i="1"/>
  <c r="CE79" i="2"/>
  <c r="CJ113" i="2" s="1"/>
  <c r="CE81" i="2"/>
  <c r="CD45" i="3"/>
  <c r="CE40" i="3"/>
  <c r="CE184" i="2"/>
  <c r="CE183" i="2"/>
  <c r="CE181" i="2"/>
  <c r="CE180" i="2"/>
  <c r="CG284" i="2" s="1"/>
  <c r="CE179" i="2"/>
  <c r="CE178" i="2"/>
  <c r="CE168" i="2"/>
  <c r="CE190" i="2" s="1"/>
  <c r="CE74" i="2"/>
  <c r="CE69" i="2"/>
  <c r="CJ111" i="2" s="1"/>
  <c r="CE36" i="2"/>
  <c r="CE185" i="2"/>
  <c r="CE36" i="1"/>
  <c r="CE183" i="1"/>
  <c r="CE165" i="1"/>
  <c r="BU94" i="2"/>
  <c r="BT94" i="2"/>
  <c r="BS94" i="2"/>
  <c r="BR94" i="2"/>
  <c r="I38" i="12"/>
  <c r="H38" i="12"/>
  <c r="G38" i="12"/>
  <c r="F38" i="12"/>
  <c r="E38" i="12"/>
  <c r="D38" i="12"/>
  <c r="C38" i="12"/>
  <c r="I48" i="12"/>
  <c r="H48" i="12"/>
  <c r="G48" i="12"/>
  <c r="F48" i="12"/>
  <c r="E48" i="12"/>
  <c r="D48" i="12"/>
  <c r="C48" i="12"/>
  <c r="AR79" i="12"/>
  <c r="AM79" i="12"/>
  <c r="AH79" i="12"/>
  <c r="AC79" i="12"/>
  <c r="X79" i="12"/>
  <c r="S79" i="12"/>
  <c r="N79" i="12"/>
  <c r="I79" i="12"/>
  <c r="H79" i="12"/>
  <c r="G79" i="12"/>
  <c r="F79" i="12"/>
  <c r="E79" i="12"/>
  <c r="D79" i="12"/>
  <c r="C79" i="12"/>
  <c r="X53" i="12"/>
  <c r="I53" i="12"/>
  <c r="H53" i="12"/>
  <c r="G53" i="12"/>
  <c r="F53" i="12"/>
  <c r="E53" i="12"/>
  <c r="D53" i="12"/>
  <c r="C53" i="12"/>
  <c r="AR43" i="12"/>
  <c r="AM43" i="12"/>
  <c r="AH43" i="12"/>
  <c r="AC43" i="12"/>
  <c r="X43" i="12"/>
  <c r="S43" i="12"/>
  <c r="N43" i="12"/>
  <c r="I43" i="12"/>
  <c r="H43" i="12"/>
  <c r="G43" i="12"/>
  <c r="F43" i="12"/>
  <c r="E43" i="12"/>
  <c r="D43" i="12"/>
  <c r="C43" i="12"/>
  <c r="I33" i="12"/>
  <c r="H33" i="12"/>
  <c r="G33" i="12"/>
  <c r="F33" i="12"/>
  <c r="E33" i="12"/>
  <c r="D33" i="12"/>
  <c r="C33" i="12"/>
  <c r="CE66" i="12"/>
  <c r="CJ66" i="12" s="1"/>
  <c r="CO66" i="12" s="1"/>
  <c r="CD66" i="12"/>
  <c r="CI66" i="12" s="1"/>
  <c r="CN66" i="12" s="1"/>
  <c r="CC66" i="12"/>
  <c r="CH66" i="12" s="1"/>
  <c r="CM66" i="12" s="1"/>
  <c r="CB66" i="12"/>
  <c r="CG66" i="12" s="1"/>
  <c r="CL66" i="12" s="1"/>
  <c r="CE64" i="12"/>
  <c r="CJ64" i="12" s="1"/>
  <c r="CD64" i="12"/>
  <c r="CI64" i="12" s="1"/>
  <c r="CN64" i="12" s="1"/>
  <c r="CS64" i="12" s="1"/>
  <c r="CX64" i="12" s="1"/>
  <c r="DC64" i="12" s="1"/>
  <c r="DH64" i="12" s="1"/>
  <c r="DM64" i="12" s="1"/>
  <c r="DR64" i="12" s="1"/>
  <c r="DW64" i="12" s="1"/>
  <c r="CC64" i="12"/>
  <c r="CH64" i="12" s="1"/>
  <c r="CM64" i="12" s="1"/>
  <c r="CR64" i="12" s="1"/>
  <c r="CW64" i="12" s="1"/>
  <c r="DB64" i="12" s="1"/>
  <c r="DG64" i="12" s="1"/>
  <c r="DL64" i="12" s="1"/>
  <c r="DQ64" i="12" s="1"/>
  <c r="DV64" i="12" s="1"/>
  <c r="CB64" i="12"/>
  <c r="CG64" i="12" s="1"/>
  <c r="CL64" i="12" s="1"/>
  <c r="CQ64" i="12" s="1"/>
  <c r="CV64" i="12" s="1"/>
  <c r="DA64" i="12" s="1"/>
  <c r="DF64" i="12" s="1"/>
  <c r="DK64" i="12" s="1"/>
  <c r="DP64" i="12" s="1"/>
  <c r="DU64" i="12" s="1"/>
  <c r="CK65" i="12"/>
  <c r="DJ329" i="2"/>
  <c r="CZ42" i="17"/>
  <c r="CU42" i="17"/>
  <c r="CO67" i="12"/>
  <c r="CN67" i="12"/>
  <c r="CM67" i="12"/>
  <c r="CL67" i="12"/>
  <c r="CJ67" i="12"/>
  <c r="CI67" i="12"/>
  <c r="CH67" i="12"/>
  <c r="CG67" i="12"/>
  <c r="CC67" i="12"/>
  <c r="CD67" i="12"/>
  <c r="CE67" i="12"/>
  <c r="CB67" i="12"/>
  <c r="CP65" i="12"/>
  <c r="CP63" i="12"/>
  <c r="DJ330" i="2"/>
  <c r="CZ30" i="17"/>
  <c r="CO78" i="12"/>
  <c r="CN78" i="12"/>
  <c r="CM78" i="12"/>
  <c r="CL78" i="12"/>
  <c r="CI78" i="12"/>
  <c r="CG78" i="12"/>
  <c r="CK26" i="12"/>
  <c r="CK28" i="12"/>
  <c r="CP28" i="12"/>
  <c r="CP26" i="12"/>
  <c r="CP20" i="12"/>
  <c r="CK20" i="12"/>
  <c r="DJ325" i="2"/>
  <c r="CZ6" i="17"/>
  <c r="CO32" i="12"/>
  <c r="CN32" i="12"/>
  <c r="CM32" i="12"/>
  <c r="CL32" i="12"/>
  <c r="CI32" i="12"/>
  <c r="CH32" i="12"/>
  <c r="CG32" i="12"/>
  <c r="CE19" i="12"/>
  <c r="CJ19" i="12" s="1"/>
  <c r="CD19" i="12"/>
  <c r="CC19" i="12"/>
  <c r="CH19" i="12" s="1"/>
  <c r="CB19" i="12"/>
  <c r="CG19" i="12" s="1"/>
  <c r="BZ19" i="12"/>
  <c r="BY19" i="12"/>
  <c r="BX19" i="12"/>
  <c r="BW19" i="12"/>
  <c r="BU19" i="12"/>
  <c r="BT19" i="12"/>
  <c r="BS19" i="12"/>
  <c r="BR19" i="12"/>
  <c r="BZ73" i="12"/>
  <c r="BY73" i="12"/>
  <c r="BX73" i="12"/>
  <c r="BW73" i="12"/>
  <c r="BU73" i="12"/>
  <c r="BT73" i="12"/>
  <c r="BS73" i="12"/>
  <c r="BR73" i="12"/>
  <c r="BR60" i="12"/>
  <c r="BS60" i="12"/>
  <c r="BT60" i="12"/>
  <c r="BU60" i="12"/>
  <c r="BZ60" i="12"/>
  <c r="BY60" i="12"/>
  <c r="BX60" i="12"/>
  <c r="BW60" i="12"/>
  <c r="BL112" i="12"/>
  <c r="BQ112" i="12"/>
  <c r="CE32" i="12"/>
  <c r="CE78" i="12"/>
  <c r="CD78" i="12"/>
  <c r="CC78" i="12"/>
  <c r="CB78" i="12"/>
  <c r="BZ78" i="12"/>
  <c r="BY78" i="12"/>
  <c r="BX78" i="12"/>
  <c r="BW78" i="12"/>
  <c r="BU78" i="12"/>
  <c r="W44" i="30" s="1"/>
  <c r="BT78" i="12"/>
  <c r="BS78" i="12"/>
  <c r="BR78" i="12"/>
  <c r="BP78" i="12"/>
  <c r="BO78" i="12"/>
  <c r="BN78" i="12"/>
  <c r="BM78" i="12"/>
  <c r="BK78" i="12"/>
  <c r="BJ78" i="12"/>
  <c r="BI78" i="12"/>
  <c r="BH78" i="12"/>
  <c r="CE17" i="12"/>
  <c r="CJ17" i="12" s="1"/>
  <c r="CO17" i="12" s="1"/>
  <c r="CQ17" i="12" s="1"/>
  <c r="CD17" i="12"/>
  <c r="CI17" i="12" s="1"/>
  <c r="CN17" i="12" s="1"/>
  <c r="CC17" i="12"/>
  <c r="CH17" i="12" s="1"/>
  <c r="CM17" i="12" s="1"/>
  <c r="CB17" i="12"/>
  <c r="CG17" i="12" s="1"/>
  <c r="CL17" i="12" s="1"/>
  <c r="BP60" i="12"/>
  <c r="BO60" i="12"/>
  <c r="BN60" i="12"/>
  <c r="BM60" i="12"/>
  <c r="BK60" i="12"/>
  <c r="BJ60" i="12"/>
  <c r="BI60" i="12"/>
  <c r="BH60" i="12"/>
  <c r="CE27" i="12"/>
  <c r="CJ27" i="12" s="1"/>
  <c r="CO27" i="12" s="1"/>
  <c r="CT27" i="12" s="1"/>
  <c r="CY27" i="12" s="1"/>
  <c r="DD27" i="12" s="1"/>
  <c r="DE27" i="12" s="1"/>
  <c r="CD27" i="12"/>
  <c r="CI27" i="12" s="1"/>
  <c r="CN27" i="12" s="1"/>
  <c r="CS27" i="12" s="1"/>
  <c r="CX27" i="12" s="1"/>
  <c r="DC27" i="12" s="1"/>
  <c r="CC27" i="12"/>
  <c r="CH27" i="12" s="1"/>
  <c r="CM27" i="12" s="1"/>
  <c r="CR27" i="12" s="1"/>
  <c r="CW27" i="12" s="1"/>
  <c r="DB27" i="12" s="1"/>
  <c r="CB27" i="12"/>
  <c r="CG27" i="12" s="1"/>
  <c r="CE15" i="12"/>
  <c r="CJ15" i="12" s="1"/>
  <c r="CD15" i="12"/>
  <c r="CI15" i="12" s="1"/>
  <c r="CC15" i="12"/>
  <c r="CH15" i="12" s="1"/>
  <c r="CB15" i="12"/>
  <c r="CG15" i="12" s="1"/>
  <c r="BZ15" i="12"/>
  <c r="BY15" i="12"/>
  <c r="BX15" i="12"/>
  <c r="BW15" i="12"/>
  <c r="BU15" i="12"/>
  <c r="BT15" i="12"/>
  <c r="BS15" i="12"/>
  <c r="BR15" i="12"/>
  <c r="BP15" i="12"/>
  <c r="BO15" i="12"/>
  <c r="BN15" i="12"/>
  <c r="BM15" i="12"/>
  <c r="BK15" i="12"/>
  <c r="BJ15" i="12"/>
  <c r="BI15" i="12"/>
  <c r="BH15" i="12"/>
  <c r="CE73" i="12"/>
  <c r="CJ73" i="12" s="1"/>
  <c r="CD73" i="12"/>
  <c r="CI73" i="12" s="1"/>
  <c r="CN73" i="12" s="1"/>
  <c r="CS73" i="12" s="1"/>
  <c r="CX73" i="12" s="1"/>
  <c r="DC73" i="12" s="1"/>
  <c r="DH73" i="12" s="1"/>
  <c r="DM73" i="12" s="1"/>
  <c r="DR73" i="12" s="1"/>
  <c r="DW73" i="12" s="1"/>
  <c r="DW81" i="12" s="1"/>
  <c r="DW80" i="12" s="1"/>
  <c r="DW31" i="17" s="1"/>
  <c r="DW32" i="17" s="1"/>
  <c r="CC73" i="12"/>
  <c r="CH73" i="12" s="1"/>
  <c r="CB73" i="12"/>
  <c r="CG73" i="12" s="1"/>
  <c r="CE62" i="12"/>
  <c r="CJ62" i="12" s="1"/>
  <c r="CO62" i="12" s="1"/>
  <c r="CT62" i="12" s="1"/>
  <c r="CY62" i="12" s="1"/>
  <c r="DA62" i="12" s="1"/>
  <c r="DF62" i="12" s="1"/>
  <c r="DK62" i="12" s="1"/>
  <c r="DP62" i="12" s="1"/>
  <c r="DU62" i="12" s="1"/>
  <c r="CD62" i="12"/>
  <c r="CI62" i="12" s="1"/>
  <c r="CC62" i="12"/>
  <c r="CH62" i="12" s="1"/>
  <c r="CM62" i="12" s="1"/>
  <c r="CR62" i="12" s="1"/>
  <c r="CW62" i="12" s="1"/>
  <c r="CB62" i="12"/>
  <c r="CG62" i="12" s="1"/>
  <c r="CL62" i="12" s="1"/>
  <c r="CQ62" i="12" s="1"/>
  <c r="CV62" i="12" s="1"/>
  <c r="CE60" i="12"/>
  <c r="CJ60" i="12" s="1"/>
  <c r="CD60" i="12"/>
  <c r="CI60" i="12" s="1"/>
  <c r="CC60" i="12"/>
  <c r="CH60" i="12" s="1"/>
  <c r="CM60" i="12" s="1"/>
  <c r="CR60" i="12" s="1"/>
  <c r="CW60" i="12" s="1"/>
  <c r="DB60" i="12" s="1"/>
  <c r="DG60" i="12" s="1"/>
  <c r="CB60" i="12"/>
  <c r="CG60" i="12" s="1"/>
  <c r="CA112" i="12"/>
  <c r="CA61" i="17" s="1"/>
  <c r="BH75" i="12"/>
  <c r="BZ62" i="12"/>
  <c r="BY62" i="12"/>
  <c r="BX62" i="12"/>
  <c r="BW62" i="12"/>
  <c r="BU62" i="12"/>
  <c r="BT62" i="12"/>
  <c r="BS62" i="12"/>
  <c r="BR62" i="12"/>
  <c r="BP62" i="12"/>
  <c r="BO62" i="12"/>
  <c r="BN62" i="12"/>
  <c r="BM62" i="12"/>
  <c r="BK62" i="12"/>
  <c r="BJ62" i="12"/>
  <c r="BI62" i="12"/>
  <c r="BH62" i="12"/>
  <c r="BZ17" i="12"/>
  <c r="BY17" i="12"/>
  <c r="BX17" i="12"/>
  <c r="BW17" i="12"/>
  <c r="BP73" i="12"/>
  <c r="BO73" i="12"/>
  <c r="BN73" i="12"/>
  <c r="BM73" i="12"/>
  <c r="BK73" i="12"/>
  <c r="BJ73" i="12"/>
  <c r="BI73" i="12"/>
  <c r="BH73" i="12"/>
  <c r="BK58" i="12"/>
  <c r="BJ58" i="12"/>
  <c r="BI58" i="12"/>
  <c r="BH58" i="12"/>
  <c r="BZ67" i="12"/>
  <c r="BY67" i="12"/>
  <c r="BX67" i="12"/>
  <c r="BW67" i="12"/>
  <c r="BU67" i="12"/>
  <c r="BT67" i="12"/>
  <c r="BS67" i="12"/>
  <c r="BR67" i="12"/>
  <c r="BP67" i="12"/>
  <c r="BO67" i="12"/>
  <c r="BN67" i="12"/>
  <c r="BM67" i="12"/>
  <c r="BK67" i="12"/>
  <c r="BJ67" i="12"/>
  <c r="BI67" i="12"/>
  <c r="BH67" i="12"/>
  <c r="BF67" i="12"/>
  <c r="BE67" i="12"/>
  <c r="BD67" i="12"/>
  <c r="BC67" i="12"/>
  <c r="BA67" i="12"/>
  <c r="AZ67" i="12"/>
  <c r="AY67" i="12"/>
  <c r="AX67" i="12"/>
  <c r="AV67" i="12"/>
  <c r="AU67" i="12"/>
  <c r="AT67" i="12"/>
  <c r="AS67" i="12"/>
  <c r="AQ67" i="12"/>
  <c r="AP67" i="12"/>
  <c r="AO67" i="12"/>
  <c r="AN67" i="12"/>
  <c r="AL67" i="12"/>
  <c r="AK67" i="12"/>
  <c r="AJ67" i="12"/>
  <c r="AI67" i="12"/>
  <c r="AG67" i="12"/>
  <c r="AF67" i="12"/>
  <c r="AE67" i="12"/>
  <c r="AD67" i="12"/>
  <c r="AB67" i="12"/>
  <c r="AA67" i="12"/>
  <c r="Z67" i="12"/>
  <c r="Y67" i="12"/>
  <c r="W67" i="12"/>
  <c r="V67" i="12"/>
  <c r="U67" i="12"/>
  <c r="T67" i="12"/>
  <c r="R67" i="12"/>
  <c r="R70" i="12" s="1"/>
  <c r="Q67" i="12"/>
  <c r="Q70" i="12" s="1"/>
  <c r="P67" i="12"/>
  <c r="P70" i="12" s="1"/>
  <c r="O67" i="12"/>
  <c r="O70" i="12" s="1"/>
  <c r="M67" i="12"/>
  <c r="M70" i="12" s="1"/>
  <c r="L67" i="12"/>
  <c r="L70" i="12" s="1"/>
  <c r="K67" i="12"/>
  <c r="K70" i="12" s="1"/>
  <c r="J67" i="12"/>
  <c r="J70" i="12" s="1"/>
  <c r="I67" i="12"/>
  <c r="H67" i="12"/>
  <c r="H68" i="12" s="1"/>
  <c r="G67" i="12"/>
  <c r="G70" i="12" s="1"/>
  <c r="F67" i="12"/>
  <c r="F68" i="12" s="1"/>
  <c r="E67" i="12"/>
  <c r="D67" i="12"/>
  <c r="D108" i="12" s="1"/>
  <c r="C67" i="12"/>
  <c r="C68" i="12" s="1"/>
  <c r="N61" i="12"/>
  <c r="N59" i="12"/>
  <c r="N57" i="12"/>
  <c r="S61" i="12"/>
  <c r="S59" i="12"/>
  <c r="S57" i="12"/>
  <c r="X61" i="12"/>
  <c r="X59" i="12"/>
  <c r="X57" i="12"/>
  <c r="AC61" i="12"/>
  <c r="AC59" i="12"/>
  <c r="AC57" i="12"/>
  <c r="AH61" i="12"/>
  <c r="AH59" i="12"/>
  <c r="AH57" i="12"/>
  <c r="AM61" i="12"/>
  <c r="AM59" i="12"/>
  <c r="AM57" i="12"/>
  <c r="AR61" i="12"/>
  <c r="AR59" i="12"/>
  <c r="AR57" i="12"/>
  <c r="AW61" i="12"/>
  <c r="AW59" i="12"/>
  <c r="AW57" i="12"/>
  <c r="BB61" i="12"/>
  <c r="BB59" i="12"/>
  <c r="BB57" i="12"/>
  <c r="BG61" i="12"/>
  <c r="BG59" i="12"/>
  <c r="BG57" i="12"/>
  <c r="BL61" i="12"/>
  <c r="BL59" i="12"/>
  <c r="BL57" i="12"/>
  <c r="BQ61" i="12"/>
  <c r="BQ59" i="12"/>
  <c r="BQ57" i="12"/>
  <c r="BV61" i="12"/>
  <c r="BV59" i="12"/>
  <c r="CA61" i="12"/>
  <c r="CA59" i="12"/>
  <c r="CP61" i="12"/>
  <c r="CP59" i="12"/>
  <c r="CK61" i="12"/>
  <c r="CK59" i="12"/>
  <c r="CF61" i="12"/>
  <c r="CF59" i="12"/>
  <c r="AV82" i="12"/>
  <c r="AU82" i="12"/>
  <c r="AT82" i="12"/>
  <c r="AS82" i="12"/>
  <c r="BS77" i="12"/>
  <c r="BT77" i="12"/>
  <c r="BU77" i="12"/>
  <c r="BR77" i="12"/>
  <c r="BN77" i="12"/>
  <c r="BO77" i="12"/>
  <c r="BP77" i="12"/>
  <c r="BM77" i="12"/>
  <c r="BI77" i="12"/>
  <c r="BJ77" i="12"/>
  <c r="BK77" i="12"/>
  <c r="BH77" i="12"/>
  <c r="CP76" i="12"/>
  <c r="CP74" i="12"/>
  <c r="CP72" i="12"/>
  <c r="CK76" i="12"/>
  <c r="CK74" i="12"/>
  <c r="CK72" i="12"/>
  <c r="CF76" i="12"/>
  <c r="CF74" i="12"/>
  <c r="CF72" i="12"/>
  <c r="CA76" i="12"/>
  <c r="CA74" i="12"/>
  <c r="CA72" i="12"/>
  <c r="BV74" i="12"/>
  <c r="BV72" i="12"/>
  <c r="BQ74" i="12"/>
  <c r="BQ72" i="12"/>
  <c r="BL74" i="12"/>
  <c r="BL72" i="12"/>
  <c r="BG72" i="12"/>
  <c r="BB72" i="12"/>
  <c r="AW72" i="12"/>
  <c r="CF20" i="12"/>
  <c r="CE29" i="12"/>
  <c r="CJ29" i="12" s="1"/>
  <c r="CO29" i="12" s="1"/>
  <c r="CT29" i="12" s="1"/>
  <c r="CY29" i="12" s="1"/>
  <c r="DD29" i="12" s="1"/>
  <c r="CD29" i="12"/>
  <c r="CI29" i="12" s="1"/>
  <c r="CN29" i="12" s="1"/>
  <c r="CS29" i="12" s="1"/>
  <c r="CX29" i="12" s="1"/>
  <c r="DC29" i="12" s="1"/>
  <c r="CC29" i="12"/>
  <c r="CH29" i="12" s="1"/>
  <c r="CM29" i="12" s="1"/>
  <c r="CR29" i="12" s="1"/>
  <c r="CW29" i="12" s="1"/>
  <c r="DB29" i="12" s="1"/>
  <c r="CB29" i="12"/>
  <c r="CG29" i="12" s="1"/>
  <c r="BX29" i="12"/>
  <c r="BY29" i="12"/>
  <c r="BZ29" i="12"/>
  <c r="BW29" i="12"/>
  <c r="CE25" i="12"/>
  <c r="CJ25" i="12" s="1"/>
  <c r="CD25" i="12"/>
  <c r="CI25" i="12" s="1"/>
  <c r="CN25" i="12" s="1"/>
  <c r="CC25" i="12"/>
  <c r="CH25" i="12" s="1"/>
  <c r="CM25" i="12" s="1"/>
  <c r="CB25" i="12"/>
  <c r="CG25" i="12" s="1"/>
  <c r="CL25" i="12" s="1"/>
  <c r="BZ25" i="12"/>
  <c r="BY25" i="12"/>
  <c r="BX25" i="12"/>
  <c r="BW25" i="12"/>
  <c r="CE23" i="12"/>
  <c r="CJ23" i="12" s="1"/>
  <c r="CO23" i="12" s="1"/>
  <c r="CD23" i="12"/>
  <c r="CI23" i="12" s="1"/>
  <c r="CN23" i="12" s="1"/>
  <c r="CC23" i="12"/>
  <c r="CH23" i="12" s="1"/>
  <c r="CM23" i="12" s="1"/>
  <c r="CB23" i="12"/>
  <c r="CG23" i="12" s="1"/>
  <c r="CL23" i="12" s="1"/>
  <c r="BZ23" i="12"/>
  <c r="BY23" i="12"/>
  <c r="BX23" i="12"/>
  <c r="BW23" i="12"/>
  <c r="CE21" i="12"/>
  <c r="CJ21" i="12" s="1"/>
  <c r="CO21" i="12" s="1"/>
  <c r="CD21" i="12"/>
  <c r="CI21" i="12" s="1"/>
  <c r="CN21" i="12" s="1"/>
  <c r="CC21" i="12"/>
  <c r="CH21" i="12" s="1"/>
  <c r="CM21" i="12" s="1"/>
  <c r="CB21" i="12"/>
  <c r="CG21" i="12" s="1"/>
  <c r="BN19" i="12"/>
  <c r="BO19" i="12"/>
  <c r="BP19" i="12"/>
  <c r="BM19" i="12"/>
  <c r="BI19" i="12"/>
  <c r="BJ19" i="12"/>
  <c r="BK19" i="12"/>
  <c r="BH19" i="12"/>
  <c r="BI17" i="12"/>
  <c r="BJ17" i="12"/>
  <c r="BK17" i="12"/>
  <c r="BN17" i="12"/>
  <c r="BO17" i="12"/>
  <c r="BP17" i="12"/>
  <c r="BS17" i="12"/>
  <c r="BT17" i="12"/>
  <c r="BU17" i="12"/>
  <c r="BR17" i="12"/>
  <c r="BM17" i="12"/>
  <c r="BH17" i="12"/>
  <c r="CA27" i="12"/>
  <c r="CD32" i="12"/>
  <c r="CC32" i="12"/>
  <c r="CB32" i="12"/>
  <c r="BZ32" i="12"/>
  <c r="BY32" i="12"/>
  <c r="BX32" i="12"/>
  <c r="BW32" i="12"/>
  <c r="BU32" i="12"/>
  <c r="BT32" i="12"/>
  <c r="BS32" i="12"/>
  <c r="BR32" i="12"/>
  <c r="BP32" i="12"/>
  <c r="BO32" i="12"/>
  <c r="BN32" i="12"/>
  <c r="BM32" i="12"/>
  <c r="BK32" i="12"/>
  <c r="BJ32" i="12"/>
  <c r="BI32" i="12"/>
  <c r="BH32" i="12"/>
  <c r="BF32" i="12"/>
  <c r="BE32" i="12"/>
  <c r="BD32" i="12"/>
  <c r="BC32" i="12"/>
  <c r="BA32" i="12"/>
  <c r="AZ32" i="12"/>
  <c r="AY32" i="12"/>
  <c r="AX32" i="12"/>
  <c r="AV32" i="12"/>
  <c r="AU32" i="12"/>
  <c r="AT32" i="12"/>
  <c r="AS32" i="12"/>
  <c r="AQ32" i="12"/>
  <c r="AP32" i="12"/>
  <c r="AO32" i="12"/>
  <c r="AN32" i="12"/>
  <c r="AL32" i="12"/>
  <c r="AK32" i="12"/>
  <c r="AJ32" i="12"/>
  <c r="AI32" i="12"/>
  <c r="AG32" i="12"/>
  <c r="AF32" i="12"/>
  <c r="AE32" i="12"/>
  <c r="AD32" i="12"/>
  <c r="AB32" i="12"/>
  <c r="AA32" i="12"/>
  <c r="Z32" i="12"/>
  <c r="Y32" i="12"/>
  <c r="W32" i="12"/>
  <c r="V32" i="12"/>
  <c r="U32" i="12"/>
  <c r="T32" i="12"/>
  <c r="R32" i="12"/>
  <c r="Q32" i="12"/>
  <c r="Q35" i="12" s="1"/>
  <c r="P32" i="12"/>
  <c r="O32" i="12"/>
  <c r="O35" i="12" s="1"/>
  <c r="M32" i="12"/>
  <c r="M35" i="12" s="1"/>
  <c r="L32" i="12"/>
  <c r="L35" i="12" s="1"/>
  <c r="K32" i="12"/>
  <c r="J32" i="12"/>
  <c r="J35" i="12" s="1"/>
  <c r="CP24" i="12"/>
  <c r="CP22" i="12"/>
  <c r="CK24" i="12"/>
  <c r="CK22" i="12"/>
  <c r="CF22" i="12"/>
  <c r="CF24" i="12"/>
  <c r="CA24" i="12"/>
  <c r="CA22" i="12"/>
  <c r="CP30" i="12"/>
  <c r="CK30" i="12"/>
  <c r="CF30" i="12"/>
  <c r="CA30" i="12"/>
  <c r="BV30" i="12"/>
  <c r="BQ30" i="12"/>
  <c r="BL30" i="12"/>
  <c r="BG30" i="12"/>
  <c r="BB30" i="12"/>
  <c r="AW30" i="12"/>
  <c r="AR30" i="12"/>
  <c r="AM30" i="12"/>
  <c r="AH30" i="12"/>
  <c r="AC30" i="12"/>
  <c r="X30" i="12"/>
  <c r="S30" i="12"/>
  <c r="N30" i="12"/>
  <c r="CP18" i="12"/>
  <c r="CP16" i="12"/>
  <c r="CP14" i="12"/>
  <c r="CK18" i="12"/>
  <c r="CK16" i="12"/>
  <c r="CK14" i="12"/>
  <c r="CF18" i="12"/>
  <c r="CF16" i="12"/>
  <c r="CF14" i="12"/>
  <c r="CA18" i="12"/>
  <c r="CA16" i="12"/>
  <c r="CA14" i="12"/>
  <c r="BV18" i="12"/>
  <c r="BV16" i="12"/>
  <c r="BV14" i="12"/>
  <c r="BQ18" i="12"/>
  <c r="BQ16" i="12"/>
  <c r="BQ14" i="12"/>
  <c r="BL18" i="12"/>
  <c r="BL16" i="12"/>
  <c r="BL14" i="12"/>
  <c r="BG18" i="12"/>
  <c r="BG16" i="12"/>
  <c r="BG14" i="12"/>
  <c r="BB18" i="12"/>
  <c r="BB16" i="12"/>
  <c r="BB14" i="12"/>
  <c r="AW18" i="12"/>
  <c r="AW16" i="12"/>
  <c r="AW14" i="12"/>
  <c r="AR18" i="12"/>
  <c r="AR16" i="12"/>
  <c r="AR14" i="12"/>
  <c r="AM18" i="12"/>
  <c r="AM16" i="12"/>
  <c r="AM14" i="12"/>
  <c r="AH18" i="12"/>
  <c r="AH16" i="12"/>
  <c r="AH14" i="12"/>
  <c r="AC18" i="12"/>
  <c r="AC16" i="12"/>
  <c r="AC14" i="12"/>
  <c r="X18" i="12"/>
  <c r="X16" i="12"/>
  <c r="X14" i="12"/>
  <c r="X12" i="12"/>
  <c r="S18" i="12"/>
  <c r="S16" i="12"/>
  <c r="S14" i="12"/>
  <c r="S12" i="12"/>
  <c r="N18" i="12"/>
  <c r="N16" i="12"/>
  <c r="N14" i="12"/>
  <c r="N12" i="12"/>
  <c r="CP8" i="5"/>
  <c r="CO120" i="12"/>
  <c r="CT120" i="12" s="1"/>
  <c r="CY120" i="12" s="1"/>
  <c r="DD120" i="12" s="1"/>
  <c r="DI120" i="12" s="1"/>
  <c r="DN120" i="12" s="1"/>
  <c r="DS120" i="12" s="1"/>
  <c r="DX120" i="12" s="1"/>
  <c r="CN120" i="12"/>
  <c r="CS120" i="12" s="1"/>
  <c r="CX120" i="12" s="1"/>
  <c r="DC120" i="12" s="1"/>
  <c r="DH120" i="12" s="1"/>
  <c r="DM120" i="12" s="1"/>
  <c r="DR120" i="12" s="1"/>
  <c r="DW120" i="12" s="1"/>
  <c r="CM120" i="12"/>
  <c r="CR120" i="12" s="1"/>
  <c r="CW120" i="12" s="1"/>
  <c r="DB120" i="12" s="1"/>
  <c r="DG120" i="12" s="1"/>
  <c r="DL120" i="12" s="1"/>
  <c r="DQ120" i="12" s="1"/>
  <c r="DV120" i="12" s="1"/>
  <c r="CL120" i="12"/>
  <c r="CQ120" i="12" s="1"/>
  <c r="CV120" i="12" s="1"/>
  <c r="DA120" i="12" s="1"/>
  <c r="DF120" i="12" s="1"/>
  <c r="DK120" i="12" s="1"/>
  <c r="DP120" i="12" s="1"/>
  <c r="DU120" i="12" s="1"/>
  <c r="CP49" i="5"/>
  <c r="CP47" i="5"/>
  <c r="CP45" i="5"/>
  <c r="CP44" i="5"/>
  <c r="CP43" i="5"/>
  <c r="CP42" i="5"/>
  <c r="CP41" i="5"/>
  <c r="CP40" i="5"/>
  <c r="CP38" i="5"/>
  <c r="CP37" i="5"/>
  <c r="CP36" i="5"/>
  <c r="CP35" i="5"/>
  <c r="CP34" i="5"/>
  <c r="CP33" i="5"/>
  <c r="CP32" i="5"/>
  <c r="CP54" i="5" s="1"/>
  <c r="CP29" i="5"/>
  <c r="CP28" i="5"/>
  <c r="CP27" i="5"/>
  <c r="CP25" i="5"/>
  <c r="CP24" i="5"/>
  <c r="CP23" i="5"/>
  <c r="CP17" i="5"/>
  <c r="CP15" i="5"/>
  <c r="CP14" i="5"/>
  <c r="CP13" i="5"/>
  <c r="CP12" i="5"/>
  <c r="CP11" i="5"/>
  <c r="CP10" i="5"/>
  <c r="CP9" i="5"/>
  <c r="CP45" i="3"/>
  <c r="CP25" i="3"/>
  <c r="CP19" i="3"/>
  <c r="CP17" i="3"/>
  <c r="CP14" i="3"/>
  <c r="CP11" i="3"/>
  <c r="CP10" i="3"/>
  <c r="CP9" i="3"/>
  <c r="CP393" i="2"/>
  <c r="CP391" i="2"/>
  <c r="CP381" i="2"/>
  <c r="CP359" i="2"/>
  <c r="CP375" i="2" s="1"/>
  <c r="CP358" i="2"/>
  <c r="CP374" i="2" s="1"/>
  <c r="CP357" i="2"/>
  <c r="CP373" i="2" s="1"/>
  <c r="CP356" i="2"/>
  <c r="CP372" i="2" s="1"/>
  <c r="CP355" i="2"/>
  <c r="CP371" i="2" s="1"/>
  <c r="CP354" i="2"/>
  <c r="CP370" i="2" s="1"/>
  <c r="CP321" i="2"/>
  <c r="CP320" i="2"/>
  <c r="CP319" i="2"/>
  <c r="CP318" i="2"/>
  <c r="CP317" i="2"/>
  <c r="CP327" i="2" s="1"/>
  <c r="CP316" i="2"/>
  <c r="CP315" i="2"/>
  <c r="CP314" i="2"/>
  <c r="CP324" i="2" s="1"/>
  <c r="CP303" i="2"/>
  <c r="CP301" i="2"/>
  <c r="CQ345" i="2" s="1"/>
  <c r="CP290" i="2"/>
  <c r="CQ334" i="2" s="1"/>
  <c r="CP257" i="2"/>
  <c r="CP256" i="2"/>
  <c r="CP255" i="2"/>
  <c r="CP247" i="2"/>
  <c r="CP246" i="2"/>
  <c r="CP245" i="2"/>
  <c r="CP244" i="2"/>
  <c r="CP243" i="2"/>
  <c r="CP242" i="2"/>
  <c r="CP189" i="2"/>
  <c r="CP185" i="2"/>
  <c r="CP184" i="2"/>
  <c r="CP183" i="2"/>
  <c r="CP181" i="2"/>
  <c r="CU267" i="2" s="1"/>
  <c r="CP103" i="2"/>
  <c r="CP101" i="2"/>
  <c r="CP97" i="2"/>
  <c r="CP93" i="2"/>
  <c r="CP90" i="2"/>
  <c r="CP89" i="2"/>
  <c r="CP88" i="2"/>
  <c r="CP87" i="2"/>
  <c r="CP81" i="2"/>
  <c r="CP80" i="2"/>
  <c r="CP79" i="2"/>
  <c r="CP71" i="2"/>
  <c r="CP92" i="2" s="1"/>
  <c r="CP112" i="12"/>
  <c r="CP61" i="17" s="1"/>
  <c r="CP52" i="12"/>
  <c r="CP42" i="12"/>
  <c r="CO55" i="5"/>
  <c r="CN55" i="5"/>
  <c r="CM55" i="5"/>
  <c r="CL55" i="5"/>
  <c r="CO54" i="5"/>
  <c r="CN54" i="5"/>
  <c r="CM54" i="5"/>
  <c r="CL54" i="5"/>
  <c r="CN79" i="4"/>
  <c r="CN80" i="4" s="1"/>
  <c r="CM79" i="4"/>
  <c r="CM80" i="4" s="1"/>
  <c r="CO54" i="3"/>
  <c r="CN54" i="3"/>
  <c r="CM54" i="3"/>
  <c r="CL54" i="3"/>
  <c r="CO11" i="3"/>
  <c r="CO10" i="3"/>
  <c r="CO9" i="3"/>
  <c r="CO359" i="2"/>
  <c r="CN359" i="2"/>
  <c r="CM359" i="2"/>
  <c r="CL359" i="2"/>
  <c r="CO358" i="2"/>
  <c r="CN358" i="2"/>
  <c r="CM358" i="2"/>
  <c r="CL358" i="2"/>
  <c r="CO357" i="2"/>
  <c r="CN357" i="2"/>
  <c r="CM357" i="2"/>
  <c r="CL357" i="2"/>
  <c r="CO356" i="2"/>
  <c r="CN356" i="2"/>
  <c r="CM356" i="2"/>
  <c r="CL356" i="2"/>
  <c r="CO355" i="2"/>
  <c r="CN355" i="2"/>
  <c r="CM355" i="2"/>
  <c r="CL355" i="2"/>
  <c r="CO354" i="2"/>
  <c r="CN354" i="2"/>
  <c r="CM354" i="2"/>
  <c r="CL354" i="2"/>
  <c r="CO321" i="2"/>
  <c r="CN321" i="2"/>
  <c r="CM321" i="2"/>
  <c r="CL321" i="2"/>
  <c r="CO320" i="2"/>
  <c r="CN320" i="2"/>
  <c r="CM320" i="2"/>
  <c r="CL320" i="2"/>
  <c r="CO319" i="2"/>
  <c r="CN319" i="2"/>
  <c r="CM319" i="2"/>
  <c r="CL319" i="2"/>
  <c r="CO318" i="2"/>
  <c r="CN318" i="2"/>
  <c r="CN328" i="2" s="1"/>
  <c r="CM318" i="2"/>
  <c r="CM328" i="2" s="1"/>
  <c r="CL318" i="2"/>
  <c r="CL328" i="2" s="1"/>
  <c r="CO317" i="2"/>
  <c r="CO327" i="2" s="1"/>
  <c r="CN317" i="2"/>
  <c r="CN327" i="2" s="1"/>
  <c r="CM317" i="2"/>
  <c r="CM327" i="2" s="1"/>
  <c r="CL317" i="2"/>
  <c r="CL327" i="2" s="1"/>
  <c r="CO316" i="2"/>
  <c r="CN316" i="2"/>
  <c r="CN326" i="2" s="1"/>
  <c r="CM316" i="2"/>
  <c r="CM326" i="2" s="1"/>
  <c r="CL316" i="2"/>
  <c r="CL326" i="2" s="1"/>
  <c r="CO315" i="2"/>
  <c r="CN315" i="2"/>
  <c r="CM315" i="2"/>
  <c r="CL315" i="2"/>
  <c r="CO314" i="2"/>
  <c r="CO324" i="2" s="1"/>
  <c r="CN314" i="2"/>
  <c r="CN324" i="2" s="1"/>
  <c r="CM314" i="2"/>
  <c r="CM324" i="2" s="1"/>
  <c r="CL314" i="2"/>
  <c r="CL324" i="2" s="1"/>
  <c r="CO303" i="2"/>
  <c r="CN303" i="2"/>
  <c r="CM303" i="2"/>
  <c r="CL303" i="2"/>
  <c r="CO301" i="2"/>
  <c r="CN301" i="2"/>
  <c r="CM301" i="2"/>
  <c r="CL301" i="2"/>
  <c r="CO344" i="2"/>
  <c r="CN344" i="2"/>
  <c r="CL344" i="2"/>
  <c r="CO290" i="2"/>
  <c r="CO302" i="2" s="1"/>
  <c r="CN290" i="2"/>
  <c r="CM290" i="2"/>
  <c r="CM302" i="2" s="1"/>
  <c r="CL290" i="2"/>
  <c r="CO285" i="2"/>
  <c r="CN285" i="2"/>
  <c r="CM285" i="2"/>
  <c r="CL285" i="2"/>
  <c r="CO275" i="2"/>
  <c r="CN275" i="2"/>
  <c r="CM275" i="2"/>
  <c r="CL275" i="2"/>
  <c r="CO274" i="2"/>
  <c r="CN274" i="2"/>
  <c r="CM274" i="2"/>
  <c r="CL274" i="2"/>
  <c r="CO273" i="2"/>
  <c r="CN273" i="2"/>
  <c r="CM273" i="2"/>
  <c r="CL273" i="2"/>
  <c r="CO267" i="2"/>
  <c r="CN267" i="2"/>
  <c r="CM267" i="2"/>
  <c r="CL267" i="2"/>
  <c r="CO257" i="2"/>
  <c r="CO256" i="2"/>
  <c r="CO255" i="2"/>
  <c r="CO241" i="2"/>
  <c r="CN241" i="2"/>
  <c r="CM241" i="2"/>
  <c r="CL241" i="2"/>
  <c r="CO240" i="2"/>
  <c r="CN240" i="2"/>
  <c r="CM240" i="2"/>
  <c r="CL240" i="2"/>
  <c r="CO239" i="2"/>
  <c r="CN239" i="2"/>
  <c r="CM239" i="2"/>
  <c r="CL239" i="2"/>
  <c r="CL268" i="2"/>
  <c r="CO129" i="2"/>
  <c r="CN129" i="2"/>
  <c r="CM129" i="2"/>
  <c r="CL129" i="2"/>
  <c r="CO87" i="2"/>
  <c r="CO107" i="2" s="1"/>
  <c r="CN87" i="2"/>
  <c r="CN107" i="2" s="1"/>
  <c r="CM87" i="2"/>
  <c r="CM107" i="2" s="1"/>
  <c r="CL87" i="2"/>
  <c r="CL107" i="2" s="1"/>
  <c r="CO92" i="2"/>
  <c r="CO112" i="2" s="1"/>
  <c r="CN92" i="2"/>
  <c r="CN112" i="2" s="1"/>
  <c r="CM92" i="2"/>
  <c r="CM112" i="2" s="1"/>
  <c r="CL92" i="2"/>
  <c r="CL112" i="2" s="1"/>
  <c r="CO55" i="12"/>
  <c r="CN55" i="12"/>
  <c r="CM55" i="12"/>
  <c r="CL55" i="12"/>
  <c r="CO45" i="12"/>
  <c r="CN45" i="12"/>
  <c r="CM45" i="12"/>
  <c r="CL45" i="12"/>
  <c r="CN61" i="17"/>
  <c r="CM61" i="17"/>
  <c r="CL61" i="17"/>
  <c r="DE415" i="1"/>
  <c r="CZ415" i="1"/>
  <c r="CU415" i="1"/>
  <c r="CP415" i="1"/>
  <c r="DE432" i="1"/>
  <c r="CZ432" i="1"/>
  <c r="CU432" i="1"/>
  <c r="CP432" i="1"/>
  <c r="CK432" i="1"/>
  <c r="V15" i="30"/>
  <c r="U15" i="30"/>
  <c r="T15" i="30"/>
  <c r="V25" i="30"/>
  <c r="U25" i="30"/>
  <c r="T25" i="30"/>
  <c r="CU7" i="3"/>
  <c r="CU6" i="3"/>
  <c r="DJ268" i="2"/>
  <c r="CU61" i="17"/>
  <c r="CU37" i="17"/>
  <c r="CU36" i="17"/>
  <c r="CU19" i="17"/>
  <c r="CU18" i="17"/>
  <c r="CD42" i="3"/>
  <c r="CD307" i="1"/>
  <c r="CD266" i="1"/>
  <c r="CD223" i="1"/>
  <c r="CD138" i="1"/>
  <c r="BV193" i="2"/>
  <c r="CD37" i="17"/>
  <c r="CD36" i="17"/>
  <c r="CD19" i="17"/>
  <c r="CD18" i="17"/>
  <c r="CD9" i="3"/>
  <c r="CD10" i="3"/>
  <c r="CD11" i="3"/>
  <c r="CD14" i="3"/>
  <c r="CD15" i="3"/>
  <c r="CD16" i="3"/>
  <c r="CD17" i="3"/>
  <c r="CD19" i="3"/>
  <c r="CD20" i="3"/>
  <c r="CD32" i="1"/>
  <c r="CD36" i="1"/>
  <c r="CD24" i="1"/>
  <c r="CD27" i="1" s="1"/>
  <c r="CD13" i="1"/>
  <c r="CD12" i="3" s="1"/>
  <c r="CD9" i="1"/>
  <c r="CD8" i="3" s="1"/>
  <c r="CD7" i="4"/>
  <c r="CD8" i="4"/>
  <c r="CD9" i="4"/>
  <c r="CD10" i="4"/>
  <c r="CD11" i="4"/>
  <c r="CD12" i="4"/>
  <c r="CD13" i="4"/>
  <c r="CD14" i="4"/>
  <c r="CD16" i="4"/>
  <c r="CD17" i="4"/>
  <c r="CD18" i="4"/>
  <c r="CD19" i="4"/>
  <c r="CD20" i="4"/>
  <c r="CD21" i="4"/>
  <c r="CD22" i="4"/>
  <c r="CD23" i="4"/>
  <c r="CD27" i="4"/>
  <c r="CD28" i="4"/>
  <c r="CD29" i="4"/>
  <c r="CD30" i="4"/>
  <c r="CD31" i="4"/>
  <c r="CD32" i="4"/>
  <c r="CD34" i="4"/>
  <c r="CD35" i="4"/>
  <c r="CD36" i="4"/>
  <c r="CD37" i="4"/>
  <c r="CD38" i="4"/>
  <c r="CD40" i="4"/>
  <c r="CD41" i="4"/>
  <c r="CD42" i="4"/>
  <c r="CD43" i="4"/>
  <c r="CD44" i="4"/>
  <c r="CD45" i="4"/>
  <c r="CD47" i="4"/>
  <c r="CD86" i="1"/>
  <c r="CD88" i="1" s="1"/>
  <c r="CD73" i="1"/>
  <c r="CD79" i="1" s="1"/>
  <c r="CD55" i="1"/>
  <c r="CD64" i="1" s="1"/>
  <c r="CD137" i="1"/>
  <c r="CD127" i="1"/>
  <c r="CD128" i="1" s="1"/>
  <c r="CD120" i="1"/>
  <c r="CD107" i="1" s="1"/>
  <c r="CD121" i="1" s="1"/>
  <c r="CA193" i="2"/>
  <c r="CD193" i="2"/>
  <c r="CF193" i="2" s="1"/>
  <c r="CD290" i="2"/>
  <c r="CD300" i="2"/>
  <c r="CD301" i="2"/>
  <c r="CD303" i="2"/>
  <c r="CD212" i="1"/>
  <c r="CD210" i="1"/>
  <c r="CD206" i="1"/>
  <c r="CD302" i="2" s="1"/>
  <c r="CD40" i="3"/>
  <c r="CD22" i="3"/>
  <c r="CD25" i="3"/>
  <c r="CD181" i="2"/>
  <c r="CD183" i="2"/>
  <c r="CD184" i="2"/>
  <c r="CD187" i="2"/>
  <c r="CD48" i="3" s="1"/>
  <c r="CD49" i="3" s="1"/>
  <c r="CD180" i="2"/>
  <c r="CD179" i="2"/>
  <c r="CD178" i="2"/>
  <c r="CD168" i="2"/>
  <c r="CD81" i="2"/>
  <c r="CD79" i="2"/>
  <c r="CI129" i="2" s="1"/>
  <c r="CD74" i="2"/>
  <c r="CD69" i="2"/>
  <c r="CD36" i="2"/>
  <c r="CD185" i="2"/>
  <c r="CD183" i="1"/>
  <c r="CD165" i="1"/>
  <c r="CF120" i="12"/>
  <c r="CK120" i="12"/>
  <c r="CE71" i="2"/>
  <c r="CJ71" i="2"/>
  <c r="CJ92" i="2" s="1"/>
  <c r="CI71" i="2"/>
  <c r="CI92" i="2" s="1"/>
  <c r="CH71" i="2"/>
  <c r="CH92" i="2" s="1"/>
  <c r="CG71" i="2"/>
  <c r="CG92" i="2" s="1"/>
  <c r="CC168" i="2"/>
  <c r="BY178" i="2"/>
  <c r="BY194" i="2" s="1"/>
  <c r="CC178" i="2"/>
  <c r="CC194" i="2" s="1"/>
  <c r="CK415" i="1"/>
  <c r="CF415" i="1"/>
  <c r="CF432" i="1"/>
  <c r="CC318" i="1"/>
  <c r="CC319" i="1"/>
  <c r="CC45" i="3"/>
  <c r="CC266" i="1"/>
  <c r="CC223" i="1"/>
  <c r="CC212" i="1"/>
  <c r="CC210" i="1"/>
  <c r="CC42" i="3"/>
  <c r="CC83" i="17"/>
  <c r="CF87" i="17"/>
  <c r="CC307" i="1"/>
  <c r="CC18" i="17"/>
  <c r="CC19" i="17"/>
  <c r="CC36" i="17"/>
  <c r="CC37" i="17"/>
  <c r="CC6" i="3"/>
  <c r="CC7" i="3"/>
  <c r="CC9" i="3"/>
  <c r="CC10" i="3"/>
  <c r="CC11" i="3"/>
  <c r="CC14" i="3"/>
  <c r="CC15" i="3"/>
  <c r="CC16" i="3"/>
  <c r="CC17" i="3"/>
  <c r="CC19" i="3"/>
  <c r="CC20" i="3"/>
  <c r="CC22" i="3"/>
  <c r="CC32" i="1"/>
  <c r="CC36" i="1"/>
  <c r="CC13" i="1"/>
  <c r="CC9" i="1"/>
  <c r="CC8" i="3" s="1"/>
  <c r="CC7" i="4"/>
  <c r="CC8" i="4"/>
  <c r="CC9" i="4"/>
  <c r="CC10" i="4"/>
  <c r="CC11" i="4"/>
  <c r="CC12" i="4"/>
  <c r="CC13" i="4"/>
  <c r="CC14" i="4"/>
  <c r="CC16" i="4"/>
  <c r="CC17" i="4"/>
  <c r="CC18" i="4"/>
  <c r="CC19" i="4"/>
  <c r="CC20" i="4"/>
  <c r="CC21" i="4"/>
  <c r="CC22" i="4"/>
  <c r="CC23" i="4"/>
  <c r="CC27" i="4"/>
  <c r="CC28" i="4"/>
  <c r="CC29" i="4"/>
  <c r="CC30" i="4"/>
  <c r="CC31" i="4"/>
  <c r="CC32" i="4"/>
  <c r="CC34" i="4"/>
  <c r="CC35" i="4"/>
  <c r="CC36" i="4"/>
  <c r="CC37" i="4"/>
  <c r="CC38" i="4"/>
  <c r="CC40" i="4"/>
  <c r="CC41" i="4"/>
  <c r="CC42" i="4"/>
  <c r="CC43" i="4"/>
  <c r="CC44" i="4"/>
  <c r="CC45" i="4"/>
  <c r="CC47" i="4"/>
  <c r="CC86" i="1"/>
  <c r="CC88" i="1" s="1"/>
  <c r="CC73" i="1"/>
  <c r="CC79" i="1" s="1"/>
  <c r="CC55" i="1"/>
  <c r="CC64" i="1" s="1"/>
  <c r="CC137" i="1"/>
  <c r="CC127" i="1"/>
  <c r="CC128" i="1" s="1"/>
  <c r="CC120" i="1"/>
  <c r="CC107" i="1" s="1"/>
  <c r="CC121" i="1" s="1"/>
  <c r="CC300" i="2"/>
  <c r="CC206" i="1"/>
  <c r="CC213" i="1" s="1"/>
  <c r="CC40" i="3"/>
  <c r="CC25" i="3"/>
  <c r="CC187" i="2"/>
  <c r="CC48" i="3" s="1"/>
  <c r="CC183" i="2"/>
  <c r="CC184" i="2"/>
  <c r="CC181" i="2"/>
  <c r="CH267" i="2" s="1"/>
  <c r="CC180" i="2"/>
  <c r="CC179" i="2"/>
  <c r="CC81" i="2"/>
  <c r="CC79" i="2"/>
  <c r="CH113" i="2" s="1"/>
  <c r="CC74" i="2"/>
  <c r="CC69" i="2"/>
  <c r="CH111" i="2" s="1"/>
  <c r="CC36" i="2"/>
  <c r="CC185" i="2"/>
  <c r="CC183" i="1"/>
  <c r="CC165" i="1"/>
  <c r="CJ285" i="2"/>
  <c r="CI285" i="2"/>
  <c r="CH285" i="2"/>
  <c r="CJ275" i="2"/>
  <c r="CI275" i="2"/>
  <c r="CH275" i="2"/>
  <c r="CG275" i="2"/>
  <c r="CJ274" i="2"/>
  <c r="CI274" i="2"/>
  <c r="CH274" i="2"/>
  <c r="CG274" i="2"/>
  <c r="CJ273" i="2"/>
  <c r="CI273" i="2"/>
  <c r="CH273" i="2"/>
  <c r="CG273" i="2"/>
  <c r="CJ257" i="2"/>
  <c r="CJ256" i="2"/>
  <c r="CJ255" i="2"/>
  <c r="CK49" i="5"/>
  <c r="CK47" i="5"/>
  <c r="CK45" i="5"/>
  <c r="CK44" i="5"/>
  <c r="CK43" i="5"/>
  <c r="CK42" i="5"/>
  <c r="CK41" i="5"/>
  <c r="CK40" i="5"/>
  <c r="CK38" i="5"/>
  <c r="CK37" i="5"/>
  <c r="CK36" i="5"/>
  <c r="CK35" i="5"/>
  <c r="CK34" i="5"/>
  <c r="CK33" i="5"/>
  <c r="CK55" i="5" s="1"/>
  <c r="CK32" i="5"/>
  <c r="CK54" i="5" s="1"/>
  <c r="CK29" i="5"/>
  <c r="CK28" i="5"/>
  <c r="CK27" i="5"/>
  <c r="CK25" i="5"/>
  <c r="CK24" i="5"/>
  <c r="CK23" i="5"/>
  <c r="CK17" i="5"/>
  <c r="CK15" i="5"/>
  <c r="CK14" i="5"/>
  <c r="CK13" i="5"/>
  <c r="CK12" i="5"/>
  <c r="CK11" i="5"/>
  <c r="CK10" i="5"/>
  <c r="CK9" i="5"/>
  <c r="CJ55" i="5"/>
  <c r="CI55" i="5"/>
  <c r="CH55" i="5"/>
  <c r="CG55" i="5"/>
  <c r="CJ54" i="5"/>
  <c r="CI54" i="5"/>
  <c r="CH54" i="5"/>
  <c r="CG54" i="5"/>
  <c r="CJ79" i="4"/>
  <c r="CJ80" i="4" s="1"/>
  <c r="CI79" i="4"/>
  <c r="CI80" i="4" s="1"/>
  <c r="CH79" i="4"/>
  <c r="CH80" i="4" s="1"/>
  <c r="CK45" i="3"/>
  <c r="CK25" i="3"/>
  <c r="CK19" i="3"/>
  <c r="CK17" i="3"/>
  <c r="CK14" i="3"/>
  <c r="CK11" i="3"/>
  <c r="CK10" i="3"/>
  <c r="CK9" i="3"/>
  <c r="CJ54" i="3"/>
  <c r="CI54" i="3"/>
  <c r="CH54" i="3"/>
  <c r="CG54" i="3"/>
  <c r="CH11" i="3"/>
  <c r="CH10" i="3"/>
  <c r="CH9" i="3"/>
  <c r="CK359" i="2"/>
  <c r="CK375" i="2" s="1"/>
  <c r="CK358" i="2"/>
  <c r="CK374" i="2" s="1"/>
  <c r="CK357" i="2"/>
  <c r="CK373" i="2" s="1"/>
  <c r="CK356" i="2"/>
  <c r="CK372" i="2" s="1"/>
  <c r="CK355" i="2"/>
  <c r="CK371" i="2" s="1"/>
  <c r="CK354" i="2"/>
  <c r="CK370" i="2" s="1"/>
  <c r="CK321" i="2"/>
  <c r="CK320" i="2"/>
  <c r="CK319" i="2"/>
  <c r="CK318" i="2"/>
  <c r="CK317" i="2"/>
  <c r="CK327" i="2" s="1"/>
  <c r="CK316" i="2"/>
  <c r="CK315" i="2"/>
  <c r="CK314" i="2"/>
  <c r="CK324" i="2" s="1"/>
  <c r="CK303" i="2"/>
  <c r="CK301" i="2"/>
  <c r="CK290" i="2"/>
  <c r="CK302" i="2" s="1"/>
  <c r="CK257" i="2"/>
  <c r="CK256" i="2"/>
  <c r="CK255" i="2"/>
  <c r="CK247" i="2"/>
  <c r="CK246" i="2"/>
  <c r="CK245" i="2"/>
  <c r="CK244" i="2"/>
  <c r="CK243" i="2"/>
  <c r="CK242" i="2"/>
  <c r="CK189" i="2"/>
  <c r="CK187" i="2"/>
  <c r="CK185" i="2"/>
  <c r="CK184" i="2"/>
  <c r="CK183" i="2"/>
  <c r="CK181" i="2"/>
  <c r="CK103" i="2"/>
  <c r="CK101" i="2"/>
  <c r="CK97" i="2"/>
  <c r="CK93" i="2"/>
  <c r="CK90" i="2"/>
  <c r="CK89" i="2"/>
  <c r="CK88" i="2"/>
  <c r="CK87" i="2"/>
  <c r="CK81" i="2"/>
  <c r="CK80" i="2"/>
  <c r="CK79" i="2"/>
  <c r="CJ359" i="2"/>
  <c r="CI359" i="2"/>
  <c r="CH359" i="2"/>
  <c r="CG359" i="2"/>
  <c r="CJ358" i="2"/>
  <c r="CI358" i="2"/>
  <c r="CH358" i="2"/>
  <c r="CG358" i="2"/>
  <c r="CJ357" i="2"/>
  <c r="CI357" i="2"/>
  <c r="CH357" i="2"/>
  <c r="CG357" i="2"/>
  <c r="CJ356" i="2"/>
  <c r="CI356" i="2"/>
  <c r="CH356" i="2"/>
  <c r="CG356" i="2"/>
  <c r="CJ355" i="2"/>
  <c r="CI355" i="2"/>
  <c r="CH355" i="2"/>
  <c r="CG355" i="2"/>
  <c r="CJ354" i="2"/>
  <c r="CI354" i="2"/>
  <c r="CH354" i="2"/>
  <c r="CG354" i="2"/>
  <c r="CJ321" i="2"/>
  <c r="CI321" i="2"/>
  <c r="CH321" i="2"/>
  <c r="CG321" i="2"/>
  <c r="CJ320" i="2"/>
  <c r="CI320" i="2"/>
  <c r="CH320" i="2"/>
  <c r="CG320" i="2"/>
  <c r="CJ319" i="2"/>
  <c r="CI319" i="2"/>
  <c r="CH319" i="2"/>
  <c r="CG319" i="2"/>
  <c r="CJ318" i="2"/>
  <c r="CI318" i="2"/>
  <c r="CI328" i="2" s="1"/>
  <c r="CH318" i="2"/>
  <c r="CH328" i="2" s="1"/>
  <c r="CG318" i="2"/>
  <c r="CJ317" i="2"/>
  <c r="CJ327" i="2" s="1"/>
  <c r="CI317" i="2"/>
  <c r="CI327" i="2" s="1"/>
  <c r="CH317" i="2"/>
  <c r="CH327" i="2" s="1"/>
  <c r="CG317" i="2"/>
  <c r="CG327" i="2" s="1"/>
  <c r="CJ316" i="2"/>
  <c r="CI316" i="2"/>
  <c r="CI326" i="2" s="1"/>
  <c r="CH316" i="2"/>
  <c r="CH326" i="2" s="1"/>
  <c r="CG316" i="2"/>
  <c r="CJ315" i="2"/>
  <c r="CI315" i="2"/>
  <c r="CH315" i="2"/>
  <c r="CG315" i="2"/>
  <c r="CJ314" i="2"/>
  <c r="CJ324" i="2" s="1"/>
  <c r="CI314" i="2"/>
  <c r="CI324" i="2" s="1"/>
  <c r="CH314" i="2"/>
  <c r="CH324" i="2" s="1"/>
  <c r="CG314" i="2"/>
  <c r="CG324" i="2" s="1"/>
  <c r="CJ303" i="2"/>
  <c r="CI303" i="2"/>
  <c r="CH303" i="2"/>
  <c r="CJ301" i="2"/>
  <c r="CI301" i="2"/>
  <c r="CH301" i="2"/>
  <c r="CH345" i="2" s="1"/>
  <c r="CJ344" i="2"/>
  <c r="CI344" i="2"/>
  <c r="CI360" i="2" s="1"/>
  <c r="CH344" i="2"/>
  <c r="CJ290" i="2"/>
  <c r="CJ334" i="2" s="1"/>
  <c r="CH290" i="2"/>
  <c r="CH334" i="2" s="1"/>
  <c r="CJ241" i="2"/>
  <c r="CI241" i="2"/>
  <c r="CH241" i="2"/>
  <c r="CG241" i="2"/>
  <c r="CJ240" i="2"/>
  <c r="CI240" i="2"/>
  <c r="CH240" i="2"/>
  <c r="CG240" i="2"/>
  <c r="CJ239" i="2"/>
  <c r="CI239" i="2"/>
  <c r="CH239" i="2"/>
  <c r="CG239" i="2"/>
  <c r="CJ186" i="2"/>
  <c r="CH186" i="2"/>
  <c r="CI284" i="2"/>
  <c r="CJ87" i="2"/>
  <c r="CI87" i="2"/>
  <c r="CH87" i="2"/>
  <c r="CG87" i="2"/>
  <c r="CK112" i="12"/>
  <c r="CK61" i="17" s="1"/>
  <c r="CK52" i="12"/>
  <c r="CK42" i="12"/>
  <c r="CJ55" i="12"/>
  <c r="CI55" i="12"/>
  <c r="CH55" i="12"/>
  <c r="CG55" i="12"/>
  <c r="CJ45" i="12"/>
  <c r="CI45" i="12"/>
  <c r="CH45" i="12"/>
  <c r="CG45" i="12"/>
  <c r="CI61" i="17"/>
  <c r="CH61" i="17"/>
  <c r="CG61" i="17"/>
  <c r="CI37" i="17"/>
  <c r="CH37" i="17"/>
  <c r="CG37" i="17"/>
  <c r="CI36" i="17"/>
  <c r="CH36" i="17"/>
  <c r="CG36" i="17"/>
  <c r="CI19" i="17"/>
  <c r="CH19" i="17"/>
  <c r="CG19" i="17"/>
  <c r="CI18" i="17"/>
  <c r="CH18" i="17"/>
  <c r="CG18" i="17"/>
  <c r="T43" i="30"/>
  <c r="X36" i="30"/>
  <c r="W36" i="30"/>
  <c r="V36" i="30"/>
  <c r="CB83" i="17"/>
  <c r="CB319" i="1"/>
  <c r="CB318" i="1"/>
  <c r="CB307" i="1"/>
  <c r="CB42" i="3"/>
  <c r="CB45" i="3"/>
  <c r="CB266" i="1"/>
  <c r="CB223" i="1"/>
  <c r="CB226" i="1" s="1"/>
  <c r="CB321" i="2" s="1"/>
  <c r="CB212" i="1"/>
  <c r="CB210" i="1"/>
  <c r="CB32" i="1"/>
  <c r="CC61" i="17"/>
  <c r="CD61" i="17"/>
  <c r="CE61" i="17"/>
  <c r="BW130" i="12"/>
  <c r="CB25" i="3"/>
  <c r="BW11" i="3"/>
  <c r="BW10" i="3"/>
  <c r="BW9" i="3"/>
  <c r="BW7" i="3"/>
  <c r="BW6" i="3"/>
  <c r="BW9" i="1"/>
  <c r="BW8" i="3" s="1"/>
  <c r="BW13" i="1"/>
  <c r="CB20" i="3"/>
  <c r="CB19" i="3"/>
  <c r="CB17" i="3"/>
  <c r="CB16" i="3"/>
  <c r="CB15" i="3"/>
  <c r="CB14" i="3"/>
  <c r="CB36" i="1"/>
  <c r="CB13" i="1"/>
  <c r="CB12" i="3" s="1"/>
  <c r="CB9" i="1"/>
  <c r="CB8" i="3" s="1"/>
  <c r="CB49" i="5"/>
  <c r="CC49" i="5" s="1"/>
  <c r="CB47" i="5"/>
  <c r="CC47" i="5" s="1"/>
  <c r="CB46" i="5"/>
  <c r="CB45" i="5"/>
  <c r="CC45" i="5" s="1"/>
  <c r="CB44" i="5"/>
  <c r="CC44" i="5" s="1"/>
  <c r="CD44" i="5" s="1"/>
  <c r="CE44" i="5" s="1"/>
  <c r="CB43" i="5"/>
  <c r="CB42" i="5"/>
  <c r="CB41" i="5"/>
  <c r="CC41" i="5" s="1"/>
  <c r="CD41" i="5" s="1"/>
  <c r="CB40" i="5"/>
  <c r="CC40" i="5" s="1"/>
  <c r="CB37" i="5"/>
  <c r="CC37" i="5" s="1"/>
  <c r="CD37" i="5" s="1"/>
  <c r="CE37" i="5" s="1"/>
  <c r="CF37" i="5" s="1"/>
  <c r="CB36" i="5"/>
  <c r="CC36" i="5" s="1"/>
  <c r="CD36" i="5" s="1"/>
  <c r="CE36" i="5" s="1"/>
  <c r="CF36" i="5" s="1"/>
  <c r="CB35" i="5"/>
  <c r="CC35" i="5" s="1"/>
  <c r="CB34" i="5"/>
  <c r="CC34" i="5" s="1"/>
  <c r="CB33" i="5"/>
  <c r="CC33" i="5" s="1"/>
  <c r="CD33" i="5" s="1"/>
  <c r="CE33" i="5" s="1"/>
  <c r="CB30" i="5"/>
  <c r="CC30" i="5" s="1"/>
  <c r="CB29" i="5"/>
  <c r="CC29" i="5" s="1"/>
  <c r="CD29" i="5" s="1"/>
  <c r="CE29" i="5" s="1"/>
  <c r="CB28" i="5"/>
  <c r="CC28" i="5" s="1"/>
  <c r="CD28" i="5" s="1"/>
  <c r="CE28" i="5" s="1"/>
  <c r="CF28" i="5" s="1"/>
  <c r="CB27" i="5"/>
  <c r="CC27" i="5" s="1"/>
  <c r="CD27" i="5" s="1"/>
  <c r="CE27" i="5" s="1"/>
  <c r="CB26" i="5"/>
  <c r="CC26" i="5" s="1"/>
  <c r="CB25" i="5"/>
  <c r="CC25" i="5" s="1"/>
  <c r="CD25" i="5" s="1"/>
  <c r="CE25" i="5" s="1"/>
  <c r="CF25" i="5" s="1"/>
  <c r="CB24" i="5"/>
  <c r="CC24" i="5" s="1"/>
  <c r="CD24" i="5" s="1"/>
  <c r="CE24" i="5" s="1"/>
  <c r="CB23" i="5"/>
  <c r="CC23" i="5" s="1"/>
  <c r="CD23" i="5" s="1"/>
  <c r="CE23" i="5" s="1"/>
  <c r="CF23" i="5" s="1"/>
  <c r="CB22" i="5"/>
  <c r="CB21" i="5"/>
  <c r="CC21" i="5" s="1"/>
  <c r="CD21" i="5" s="1"/>
  <c r="CE21" i="5" s="1"/>
  <c r="CB17" i="5"/>
  <c r="CC17" i="5" s="1"/>
  <c r="CD17" i="5" s="1"/>
  <c r="CE17" i="5" s="1"/>
  <c r="CB16" i="5"/>
  <c r="CC16" i="5" s="1"/>
  <c r="CD16" i="5" s="1"/>
  <c r="CE16" i="5" s="1"/>
  <c r="CB15" i="5"/>
  <c r="CC15" i="5" s="1"/>
  <c r="CD15" i="5" s="1"/>
  <c r="CE15" i="5" s="1"/>
  <c r="CB14" i="5"/>
  <c r="CC14" i="5" s="1"/>
  <c r="CD14" i="5" s="1"/>
  <c r="CE14" i="5" s="1"/>
  <c r="CF14" i="5" s="1"/>
  <c r="CB13" i="5"/>
  <c r="CC13" i="5" s="1"/>
  <c r="CB12" i="5"/>
  <c r="CC12" i="5" s="1"/>
  <c r="CB11" i="5"/>
  <c r="CB10" i="5"/>
  <c r="CB9" i="5"/>
  <c r="CB8" i="5"/>
  <c r="CB7" i="5"/>
  <c r="CB10" i="4"/>
  <c r="CB47" i="4"/>
  <c r="CB45" i="4"/>
  <c r="CB44" i="4"/>
  <c r="CB43" i="4"/>
  <c r="CB42" i="4"/>
  <c r="CB41" i="4"/>
  <c r="CB40" i="4"/>
  <c r="CB38" i="4"/>
  <c r="CB37" i="4"/>
  <c r="CB36" i="4"/>
  <c r="CB35" i="4"/>
  <c r="CB34" i="4"/>
  <c r="CB32" i="4"/>
  <c r="CB31" i="4"/>
  <c r="CB30" i="4"/>
  <c r="CB29" i="4"/>
  <c r="CB28" i="4"/>
  <c r="CB27" i="4"/>
  <c r="CB23" i="4"/>
  <c r="CB22" i="4"/>
  <c r="CB21" i="4"/>
  <c r="CB20" i="4"/>
  <c r="CB19" i="4"/>
  <c r="CB18" i="4"/>
  <c r="CB17" i="4"/>
  <c r="CB16" i="4"/>
  <c r="CB14" i="4"/>
  <c r="CB13" i="4"/>
  <c r="CB12" i="4"/>
  <c r="CB11" i="4"/>
  <c r="CB9" i="4"/>
  <c r="CB8" i="4"/>
  <c r="CB7" i="4"/>
  <c r="CB86" i="1"/>
  <c r="CB88" i="1" s="1"/>
  <c r="CB73" i="1"/>
  <c r="CB79" i="1" s="1"/>
  <c r="CB108" i="1"/>
  <c r="CB19" i="5" s="1"/>
  <c r="CC19" i="5" s="1"/>
  <c r="CD19" i="5" s="1"/>
  <c r="CE19" i="5" s="1"/>
  <c r="CB109" i="1"/>
  <c r="CB20" i="5" s="1"/>
  <c r="CC20" i="5" s="1"/>
  <c r="CB55" i="1"/>
  <c r="CB64" i="1" s="1"/>
  <c r="CB137" i="1"/>
  <c r="CB127" i="1"/>
  <c r="CB128" i="1" s="1"/>
  <c r="CB120" i="1"/>
  <c r="CB31" i="5" s="1"/>
  <c r="CB303" i="2"/>
  <c r="CB301" i="2"/>
  <c r="CB290" i="2"/>
  <c r="CB300" i="2"/>
  <c r="CB206" i="1"/>
  <c r="CB302" i="2" s="1"/>
  <c r="BZ206" i="1"/>
  <c r="CB40" i="3"/>
  <c r="CB22" i="3"/>
  <c r="CB224" i="2"/>
  <c r="CB223" i="2"/>
  <c r="CB222" i="2"/>
  <c r="CB184" i="2"/>
  <c r="CB183" i="2"/>
  <c r="CB181" i="2"/>
  <c r="CB180" i="2"/>
  <c r="CG266" i="2" s="1"/>
  <c r="CB179" i="2"/>
  <c r="CB178" i="2"/>
  <c r="CB194" i="2" s="1"/>
  <c r="CB168" i="2"/>
  <c r="CB81" i="2"/>
  <c r="CB79" i="2"/>
  <c r="CB74" i="2"/>
  <c r="CB69" i="2"/>
  <c r="CB36" i="2"/>
  <c r="CB183" i="1"/>
  <c r="CB165" i="1"/>
  <c r="BW168" i="2"/>
  <c r="CB18" i="17"/>
  <c r="CE18" i="17"/>
  <c r="CB19" i="17"/>
  <c r="CE19" i="17"/>
  <c r="CB36" i="17"/>
  <c r="CE36" i="17"/>
  <c r="CB37" i="17"/>
  <c r="CE37" i="17"/>
  <c r="CB61" i="17"/>
  <c r="BW61" i="17"/>
  <c r="BX61" i="17"/>
  <c r="BY61" i="17"/>
  <c r="BZ61" i="17"/>
  <c r="CA57" i="4"/>
  <c r="CB57" i="4" s="1"/>
  <c r="CA55" i="4"/>
  <c r="CA54" i="4"/>
  <c r="BZ295" i="1"/>
  <c r="BZ296" i="1"/>
  <c r="BZ297" i="1"/>
  <c r="BZ298" i="1"/>
  <c r="BZ299" i="1"/>
  <c r="BZ300" i="1"/>
  <c r="BZ301" i="1"/>
  <c r="BZ302" i="1"/>
  <c r="BZ303" i="1"/>
  <c r="BZ304" i="1"/>
  <c r="BZ391" i="2" s="1"/>
  <c r="BZ305" i="1"/>
  <c r="BZ306" i="1"/>
  <c r="BZ393" i="2" s="1"/>
  <c r="CA290" i="1"/>
  <c r="CA283" i="1"/>
  <c r="BZ286" i="1"/>
  <c r="BZ45" i="3" s="1"/>
  <c r="CA267" i="1"/>
  <c r="BZ266" i="1"/>
  <c r="CA260" i="1"/>
  <c r="CA259" i="1"/>
  <c r="CA379" i="1" s="1"/>
  <c r="CA258" i="1"/>
  <c r="CA374" i="1" s="1"/>
  <c r="CA257" i="1"/>
  <c r="CA256" i="1"/>
  <c r="CA255" i="1"/>
  <c r="CA254" i="1"/>
  <c r="CA253" i="1"/>
  <c r="CA333" i="1" s="1"/>
  <c r="CA252" i="1"/>
  <c r="CA225" i="1"/>
  <c r="CA320" i="2" s="1"/>
  <c r="CA222" i="1"/>
  <c r="CA318" i="2" s="1"/>
  <c r="CA220" i="1"/>
  <c r="CA316" i="2" s="1"/>
  <c r="CA219" i="1"/>
  <c r="CA315" i="2" s="1"/>
  <c r="BZ223" i="1"/>
  <c r="BW185" i="1"/>
  <c r="BW187" i="2" s="1"/>
  <c r="BW48" i="3" s="1"/>
  <c r="CA40" i="3"/>
  <c r="BU302" i="2"/>
  <c r="BU300" i="2"/>
  <c r="BY302" i="2"/>
  <c r="BX12" i="3"/>
  <c r="BY12" i="3"/>
  <c r="BZ12" i="3"/>
  <c r="BY8" i="3"/>
  <c r="BZ8" i="3"/>
  <c r="BX8" i="3"/>
  <c r="BX22" i="1"/>
  <c r="BX19" i="3" s="1"/>
  <c r="BY22" i="1"/>
  <c r="BY19" i="3" s="1"/>
  <c r="BZ22" i="1"/>
  <c r="BZ19" i="3" s="1"/>
  <c r="BW22" i="1"/>
  <c r="BW19" i="3" s="1"/>
  <c r="CA20" i="1"/>
  <c r="CA21" i="1"/>
  <c r="CA19" i="1"/>
  <c r="BX185" i="1"/>
  <c r="BY185" i="1"/>
  <c r="BY187" i="2" s="1"/>
  <c r="BY48" i="3" s="1"/>
  <c r="BZ185" i="1"/>
  <c r="BZ187" i="2" s="1"/>
  <c r="BZ48" i="3" s="1"/>
  <c r="BW188" i="1"/>
  <c r="BW185" i="2" s="1"/>
  <c r="BX188" i="1"/>
  <c r="BX185" i="2" s="1"/>
  <c r="BY188" i="1"/>
  <c r="BY185" i="2" s="1"/>
  <c r="BZ188" i="1"/>
  <c r="BZ185" i="2" s="1"/>
  <c r="BU183" i="1"/>
  <c r="BT183" i="1"/>
  <c r="BS183" i="1"/>
  <c r="BR183" i="1"/>
  <c r="BX183" i="1"/>
  <c r="BY183" i="1"/>
  <c r="BZ183" i="1"/>
  <c r="BW183" i="1"/>
  <c r="BV28" i="1"/>
  <c r="BV25" i="1"/>
  <c r="BV23" i="1"/>
  <c r="BV22" i="1"/>
  <c r="BV17" i="1"/>
  <c r="BV16" i="1"/>
  <c r="BV15" i="1"/>
  <c r="BV14" i="1"/>
  <c r="BV12" i="1"/>
  <c r="BV11" i="3" s="1"/>
  <c r="BV11" i="1"/>
  <c r="BV10" i="3" s="1"/>
  <c r="BV10" i="1"/>
  <c r="BV9" i="3" s="1"/>
  <c r="BV8" i="1"/>
  <c r="BV7" i="3" s="1"/>
  <c r="BV7" i="1"/>
  <c r="CA28" i="1"/>
  <c r="CA36" i="1" s="1"/>
  <c r="CA23" i="1"/>
  <c r="CA17" i="1"/>
  <c r="CA16" i="1"/>
  <c r="CA15" i="1"/>
  <c r="CA14" i="1"/>
  <c r="CA12" i="1"/>
  <c r="CA11" i="3" s="1"/>
  <c r="CA11" i="1"/>
  <c r="CA10" i="3" s="1"/>
  <c r="CA10" i="1"/>
  <c r="CA9" i="3" s="1"/>
  <c r="CA8" i="1"/>
  <c r="CA7" i="3" s="1"/>
  <c r="CA7" i="1"/>
  <c r="CA6" i="3" s="1"/>
  <c r="CA87" i="1"/>
  <c r="CA85" i="1"/>
  <c r="CA84" i="1"/>
  <c r="CA83" i="1"/>
  <c r="CA82" i="1"/>
  <c r="CA81" i="1"/>
  <c r="CA80" i="1"/>
  <c r="CA78" i="1"/>
  <c r="CA77" i="1"/>
  <c r="CA76" i="1"/>
  <c r="CA319" i="1" s="1"/>
  <c r="CA75" i="1"/>
  <c r="CA74" i="1"/>
  <c r="CA72" i="1"/>
  <c r="CA71" i="1"/>
  <c r="CA70" i="1"/>
  <c r="CA69" i="1"/>
  <c r="CA68" i="1"/>
  <c r="CA67" i="1"/>
  <c r="CA63" i="1"/>
  <c r="CA62" i="1"/>
  <c r="CA61" i="1"/>
  <c r="CA60" i="1"/>
  <c r="CA318" i="1" s="1"/>
  <c r="CA59" i="1"/>
  <c r="CA58" i="1"/>
  <c r="CA57" i="1"/>
  <c r="CA56" i="1"/>
  <c r="CA53" i="1"/>
  <c r="CA52" i="1"/>
  <c r="CA51" i="1"/>
  <c r="CA49" i="1"/>
  <c r="CA48" i="1"/>
  <c r="CA47" i="1"/>
  <c r="CA138" i="1"/>
  <c r="CA136" i="1"/>
  <c r="CA135" i="1"/>
  <c r="CA134" i="1"/>
  <c r="CA133" i="1"/>
  <c r="CA132" i="1"/>
  <c r="CA131" i="1"/>
  <c r="CA130" i="1"/>
  <c r="CA129" i="1"/>
  <c r="CA126" i="1"/>
  <c r="CA125" i="1"/>
  <c r="CA124" i="1"/>
  <c r="CA123" i="1"/>
  <c r="CA122" i="1"/>
  <c r="CA120" i="1"/>
  <c r="CA119" i="1"/>
  <c r="CA118" i="1"/>
  <c r="CA117" i="1"/>
  <c r="CA116" i="1"/>
  <c r="CA115" i="1"/>
  <c r="CA114" i="1"/>
  <c r="CA110" i="1"/>
  <c r="CA113" i="1"/>
  <c r="CA112" i="1"/>
  <c r="CA111" i="1"/>
  <c r="CA108" i="1"/>
  <c r="CA106" i="1"/>
  <c r="CA105" i="1"/>
  <c r="CA104" i="1"/>
  <c r="CA103" i="1"/>
  <c r="CA102" i="1"/>
  <c r="CA101" i="1"/>
  <c r="CA100" i="1"/>
  <c r="CA99" i="1"/>
  <c r="CA98" i="1"/>
  <c r="CA97" i="1"/>
  <c r="CA96" i="1"/>
  <c r="CA164" i="1"/>
  <c r="CA163" i="1"/>
  <c r="CA162" i="1"/>
  <c r="CA161" i="1"/>
  <c r="CA153" i="1"/>
  <c r="CA152" i="1"/>
  <c r="CA151" i="1"/>
  <c r="CA150" i="1"/>
  <c r="CA149" i="1"/>
  <c r="CA148" i="1"/>
  <c r="CA187" i="1"/>
  <c r="CA186" i="1"/>
  <c r="CA184" i="1"/>
  <c r="CA182" i="1"/>
  <c r="CA181" i="1"/>
  <c r="CA173" i="1"/>
  <c r="CA172" i="1"/>
  <c r="CA171" i="1"/>
  <c r="CA170" i="1"/>
  <c r="CA169" i="1"/>
  <c r="CA168" i="1"/>
  <c r="CA203" i="1"/>
  <c r="BV203" i="1"/>
  <c r="BV161" i="1"/>
  <c r="BZ210" i="1"/>
  <c r="BY210" i="1"/>
  <c r="BX210" i="1"/>
  <c r="BW210" i="1"/>
  <c r="BS210" i="1"/>
  <c r="BT210" i="1"/>
  <c r="BU210" i="1"/>
  <c r="BR210" i="1"/>
  <c r="BZ212" i="1"/>
  <c r="BY212" i="1"/>
  <c r="BU212" i="1"/>
  <c r="CA207" i="1"/>
  <c r="CA303" i="2" s="1"/>
  <c r="CA204" i="1"/>
  <c r="CA301" i="2" s="1"/>
  <c r="CA196" i="1"/>
  <c r="CA195" i="1"/>
  <c r="CA194" i="1"/>
  <c r="CA193" i="1"/>
  <c r="CA290" i="2" s="1"/>
  <c r="BV206" i="1"/>
  <c r="BV302" i="2" s="1"/>
  <c r="BU208" i="1"/>
  <c r="P30" i="30"/>
  <c r="BZ42" i="3"/>
  <c r="BZ27" i="4"/>
  <c r="CA27" i="4" s="1"/>
  <c r="BZ28" i="4"/>
  <c r="CA28" i="4" s="1"/>
  <c r="BZ29" i="4"/>
  <c r="CA29" i="4" s="1"/>
  <c r="BZ30" i="4"/>
  <c r="CA30" i="4" s="1"/>
  <c r="BZ31" i="4"/>
  <c r="BZ32" i="4"/>
  <c r="BZ34" i="4"/>
  <c r="CA34" i="4" s="1"/>
  <c r="BZ35" i="4"/>
  <c r="CA35" i="4" s="1"/>
  <c r="BZ36" i="4"/>
  <c r="CA36" i="4" s="1"/>
  <c r="BZ37" i="4"/>
  <c r="BZ38" i="4"/>
  <c r="BZ40" i="4"/>
  <c r="CA40" i="4" s="1"/>
  <c r="BZ41" i="4"/>
  <c r="CA41" i="4" s="1"/>
  <c r="BZ42" i="4"/>
  <c r="CA42" i="4" s="1"/>
  <c r="BZ43" i="4"/>
  <c r="CA43" i="4" s="1"/>
  <c r="BZ44" i="4"/>
  <c r="BZ45" i="4"/>
  <c r="CA45" i="4" s="1"/>
  <c r="BZ47" i="4"/>
  <c r="BZ7" i="4"/>
  <c r="BZ8" i="4"/>
  <c r="CA8" i="4" s="1"/>
  <c r="BZ9" i="4"/>
  <c r="CA9" i="4" s="1"/>
  <c r="BZ11" i="4"/>
  <c r="BZ12" i="4"/>
  <c r="CA12" i="4" s="1"/>
  <c r="BZ13" i="4"/>
  <c r="BZ14" i="4"/>
  <c r="CA14" i="4" s="1"/>
  <c r="BZ16" i="4"/>
  <c r="CA16" i="4" s="1"/>
  <c r="BZ17" i="4"/>
  <c r="CA17" i="4" s="1"/>
  <c r="BZ18" i="4"/>
  <c r="CA18" i="4" s="1"/>
  <c r="BZ19" i="4"/>
  <c r="BZ20" i="4"/>
  <c r="BZ21" i="4"/>
  <c r="CA21" i="4" s="1"/>
  <c r="BZ22" i="4"/>
  <c r="CA22" i="4" s="1"/>
  <c r="BZ23" i="4"/>
  <c r="CA23" i="4" s="1"/>
  <c r="BZ25" i="3"/>
  <c r="BZ14" i="3"/>
  <c r="BZ15" i="3"/>
  <c r="BZ16" i="3"/>
  <c r="BZ17" i="3"/>
  <c r="BZ20" i="3"/>
  <c r="BZ22" i="3"/>
  <c r="BZ165" i="1"/>
  <c r="BZ137" i="1"/>
  <c r="BZ127" i="1"/>
  <c r="CA127" i="1" s="1"/>
  <c r="BZ86" i="1"/>
  <c r="BZ88" i="1" s="1"/>
  <c r="BZ73" i="1"/>
  <c r="BZ79" i="1" s="1"/>
  <c r="BZ55" i="1"/>
  <c r="BZ64" i="1" s="1"/>
  <c r="BZ36" i="1"/>
  <c r="BZ107" i="1"/>
  <c r="BZ121" i="1" s="1"/>
  <c r="BZ290" i="2"/>
  <c r="BZ300" i="2"/>
  <c r="BZ301" i="2"/>
  <c r="BZ40" i="3"/>
  <c r="BZ168" i="2"/>
  <c r="BZ178" i="2"/>
  <c r="BZ179" i="2"/>
  <c r="BZ180" i="2"/>
  <c r="BZ181" i="2"/>
  <c r="BZ183" i="2"/>
  <c r="BZ184" i="2"/>
  <c r="BZ79" i="2"/>
  <c r="BZ80" i="2"/>
  <c r="BZ81" i="2"/>
  <c r="BZ74" i="2"/>
  <c r="BZ69" i="2"/>
  <c r="CE111" i="2" s="1"/>
  <c r="BZ36" i="2"/>
  <c r="BZ18" i="1"/>
  <c r="CB8" i="2"/>
  <c r="CC8" i="2"/>
  <c r="CC87" i="2" s="1"/>
  <c r="CC94" i="2" s="1"/>
  <c r="CD8" i="2"/>
  <c r="CD87" i="2" s="1"/>
  <c r="CD94" i="2" s="1"/>
  <c r="CE8" i="2"/>
  <c r="CE87" i="2" s="1"/>
  <c r="BY87" i="2"/>
  <c r="BY94" i="2" s="1"/>
  <c r="BX87" i="2"/>
  <c r="BX94" i="2" s="1"/>
  <c r="BW87" i="2"/>
  <c r="BW94" i="2" s="1"/>
  <c r="BZ8" i="2"/>
  <c r="P5" i="30"/>
  <c r="BY83" i="17"/>
  <c r="BY168" i="2"/>
  <c r="BY190" i="2" s="1"/>
  <c r="BY319" i="1"/>
  <c r="BY318" i="1"/>
  <c r="BY307" i="1"/>
  <c r="BY42" i="3"/>
  <c r="BY266" i="1"/>
  <c r="BY223" i="1"/>
  <c r="BY226" i="1" s="1"/>
  <c r="BY32" i="1"/>
  <c r="BR392" i="2"/>
  <c r="BS392" i="2"/>
  <c r="BT392" i="2"/>
  <c r="BU392" i="2"/>
  <c r="BW392" i="2"/>
  <c r="BX392" i="2"/>
  <c r="BX307" i="1"/>
  <c r="BW307" i="1"/>
  <c r="BT307" i="1"/>
  <c r="BR307" i="1"/>
  <c r="BS307" i="1"/>
  <c r="BV305" i="1"/>
  <c r="BV392" i="2" s="1"/>
  <c r="BV304" i="1"/>
  <c r="BV391" i="2" s="1"/>
  <c r="BV294" i="1"/>
  <c r="BU61" i="17"/>
  <c r="BT61" i="17"/>
  <c r="BS61" i="17"/>
  <c r="BR61" i="17"/>
  <c r="CE301" i="2"/>
  <c r="CC301" i="2"/>
  <c r="BV204" i="1"/>
  <c r="BV301" i="2" s="1"/>
  <c r="BU301" i="2"/>
  <c r="BY301" i="2"/>
  <c r="BY300" i="2"/>
  <c r="BX130" i="12"/>
  <c r="CC129" i="12"/>
  <c r="CB129" i="12"/>
  <c r="CG129" i="12" s="1"/>
  <c r="BZ129" i="12"/>
  <c r="CE129" i="12" s="1"/>
  <c r="CJ129" i="12" s="1"/>
  <c r="CO129" i="12" s="1"/>
  <c r="CT129" i="12" s="1"/>
  <c r="CY129" i="12" s="1"/>
  <c r="DD129" i="12" s="1"/>
  <c r="DI129" i="12" s="1"/>
  <c r="DN129" i="12" s="1"/>
  <c r="DS129" i="12" s="1"/>
  <c r="DX129" i="12" s="1"/>
  <c r="BY129" i="12"/>
  <c r="CD129" i="12" s="1"/>
  <c r="CI129" i="12" s="1"/>
  <c r="CN129" i="12" s="1"/>
  <c r="CS129" i="12" s="1"/>
  <c r="CX129" i="12" s="1"/>
  <c r="DC129" i="12" s="1"/>
  <c r="DH129" i="12" s="1"/>
  <c r="DM129" i="12" s="1"/>
  <c r="DR129" i="12" s="1"/>
  <c r="DW129" i="12" s="1"/>
  <c r="BV129" i="12"/>
  <c r="BA132" i="12"/>
  <c r="AZ132" i="12"/>
  <c r="AY132" i="12"/>
  <c r="AX132" i="12"/>
  <c r="AV132" i="12"/>
  <c r="AU132" i="12"/>
  <c r="AT132" i="12"/>
  <c r="AS132" i="12"/>
  <c r="AQ132" i="12"/>
  <c r="AP132" i="12"/>
  <c r="AO132" i="12"/>
  <c r="AN132" i="12"/>
  <c r="AL132" i="12"/>
  <c r="AK132"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C132" i="12"/>
  <c r="CF112" i="12"/>
  <c r="CF61" i="17" s="1"/>
  <c r="BQ91" i="2"/>
  <c r="BP91" i="2"/>
  <c r="BO91" i="2"/>
  <c r="BN91" i="2"/>
  <c r="BM91" i="2"/>
  <c r="BL91" i="2"/>
  <c r="BK91" i="2"/>
  <c r="BJ91" i="2"/>
  <c r="BI91" i="2"/>
  <c r="BH91" i="2"/>
  <c r="BG91" i="2"/>
  <c r="BF91" i="2"/>
  <c r="BE91" i="2"/>
  <c r="BD91" i="2"/>
  <c r="BC91" i="2"/>
  <c r="BB91" i="2"/>
  <c r="BA91" i="2"/>
  <c r="AZ91" i="2"/>
  <c r="AY91" i="2"/>
  <c r="AX91" i="2"/>
  <c r="AO91" i="2"/>
  <c r="AN91" i="2"/>
  <c r="AF91" i="2"/>
  <c r="AE91" i="2"/>
  <c r="AC91" i="2"/>
  <c r="AB91" i="2"/>
  <c r="AA91" i="2"/>
  <c r="Z91" i="2"/>
  <c r="Y91" i="2"/>
  <c r="X91" i="2"/>
  <c r="W91" i="2"/>
  <c r="V91" i="2"/>
  <c r="U91" i="2"/>
  <c r="T91" i="2"/>
  <c r="R91" i="2"/>
  <c r="Q91" i="2"/>
  <c r="E91" i="2"/>
  <c r="D91" i="2"/>
  <c r="C91" i="2"/>
  <c r="W101" i="2"/>
  <c r="O101" i="2"/>
  <c r="N101" i="2"/>
  <c r="M101" i="2"/>
  <c r="L101" i="2"/>
  <c r="K101" i="2"/>
  <c r="J101" i="2"/>
  <c r="I101" i="2"/>
  <c r="F101" i="2"/>
  <c r="E101" i="2"/>
  <c r="D101" i="2"/>
  <c r="C101" i="2"/>
  <c r="BR168" i="2"/>
  <c r="BS168" i="2"/>
  <c r="BT168" i="2"/>
  <c r="BU168" i="2"/>
  <c r="BX168" i="2"/>
  <c r="BU178" i="2"/>
  <c r="BU194" i="2" s="1"/>
  <c r="BT178" i="2"/>
  <c r="BT194" i="2" s="1"/>
  <c r="BS178" i="2"/>
  <c r="BR178" i="2"/>
  <c r="BR194" i="2" s="1"/>
  <c r="BX178" i="2"/>
  <c r="BW178" i="2"/>
  <c r="BX165" i="1"/>
  <c r="BW165" i="1"/>
  <c r="BU165" i="1"/>
  <c r="BU213" i="1" s="1"/>
  <c r="BT165" i="1"/>
  <c r="BS165" i="1"/>
  <c r="BR165" i="1"/>
  <c r="BR36" i="2"/>
  <c r="BS36" i="2"/>
  <c r="BT36" i="2"/>
  <c r="BU36" i="2"/>
  <c r="BW36" i="2"/>
  <c r="BX36" i="2"/>
  <c r="BR69" i="2"/>
  <c r="BS69" i="2"/>
  <c r="BT69" i="2"/>
  <c r="BU69" i="2"/>
  <c r="BW69" i="2"/>
  <c r="BX69" i="2"/>
  <c r="BY165" i="1"/>
  <c r="BY213" i="1" s="1"/>
  <c r="BV169" i="1"/>
  <c r="BV168" i="1"/>
  <c r="BY69" i="2"/>
  <c r="BV149" i="1"/>
  <c r="BV148" i="1"/>
  <c r="BY36" i="2"/>
  <c r="BY179" i="2"/>
  <c r="BX179" i="2"/>
  <c r="BW179" i="2"/>
  <c r="BU179" i="2"/>
  <c r="BT179" i="2"/>
  <c r="BS179" i="2"/>
  <c r="BR179" i="2"/>
  <c r="BU74" i="2"/>
  <c r="BT74" i="2"/>
  <c r="BS74" i="2"/>
  <c r="BR74" i="2"/>
  <c r="BR112" i="2" s="1"/>
  <c r="BW74" i="2"/>
  <c r="BX74" i="2"/>
  <c r="BV181" i="1"/>
  <c r="BY45" i="3"/>
  <c r="BY14" i="3"/>
  <c r="BY15" i="3"/>
  <c r="BY16" i="3"/>
  <c r="BY17" i="3"/>
  <c r="BY20" i="3"/>
  <c r="BY36" i="1"/>
  <c r="BY7" i="4"/>
  <c r="BY8" i="4"/>
  <c r="BY9" i="4"/>
  <c r="BY11" i="4"/>
  <c r="BY12" i="4"/>
  <c r="BY13" i="4"/>
  <c r="BY14" i="4"/>
  <c r="BY16" i="4"/>
  <c r="BY17" i="4"/>
  <c r="BY18" i="4"/>
  <c r="BY19" i="4"/>
  <c r="BY20" i="4"/>
  <c r="BY21" i="4"/>
  <c r="BY22" i="4"/>
  <c r="BY23" i="4"/>
  <c r="BY27" i="4"/>
  <c r="BY28" i="4"/>
  <c r="BY29" i="4"/>
  <c r="BY30" i="4"/>
  <c r="BY31" i="4"/>
  <c r="BY32" i="4"/>
  <c r="BY34" i="4"/>
  <c r="BY35" i="4"/>
  <c r="BY36" i="4"/>
  <c r="BY37" i="4"/>
  <c r="BY38" i="4"/>
  <c r="BY40" i="4"/>
  <c r="BY41" i="4"/>
  <c r="BY42" i="4"/>
  <c r="BY43" i="4"/>
  <c r="BY44" i="4"/>
  <c r="BY45" i="4"/>
  <c r="BY47" i="4"/>
  <c r="BY86" i="1"/>
  <c r="BY88" i="1" s="1"/>
  <c r="BY73" i="1"/>
  <c r="BY79" i="1" s="1"/>
  <c r="BY55" i="1"/>
  <c r="BY64" i="1" s="1"/>
  <c r="BY137" i="1"/>
  <c r="BY127" i="1"/>
  <c r="BY128" i="1" s="1"/>
  <c r="BY107" i="1"/>
  <c r="BY121" i="1" s="1"/>
  <c r="BY18" i="1"/>
  <c r="BY208" i="1"/>
  <c r="BY40" i="3"/>
  <c r="BY22" i="3"/>
  <c r="BY25" i="3"/>
  <c r="BY181" i="2"/>
  <c r="BY183" i="2"/>
  <c r="BY184" i="2"/>
  <c r="BY180" i="2"/>
  <c r="BY81" i="2"/>
  <c r="BY80" i="2"/>
  <c r="BY79" i="2"/>
  <c r="BY74" i="2"/>
  <c r="BY361" i="2" s="1"/>
  <c r="CP6" i="3"/>
  <c r="CP7" i="3"/>
  <c r="BX36" i="17"/>
  <c r="BX37" i="17"/>
  <c r="BX18" i="17"/>
  <c r="BX19" i="17"/>
  <c r="BX83" i="17"/>
  <c r="BX319" i="1"/>
  <c r="BX318" i="1"/>
  <c r="BX266" i="1"/>
  <c r="BX223" i="1"/>
  <c r="BX226" i="1" s="1"/>
  <c r="BX321" i="2" s="1"/>
  <c r="BX7" i="4"/>
  <c r="BX8" i="4"/>
  <c r="BX9" i="4"/>
  <c r="BX11" i="4"/>
  <c r="BX12" i="4"/>
  <c r="BX13" i="4"/>
  <c r="BX14" i="4"/>
  <c r="BX16" i="4"/>
  <c r="BX17" i="4"/>
  <c r="BX18" i="4"/>
  <c r="BX19" i="4"/>
  <c r="BX20" i="4"/>
  <c r="BX21" i="4"/>
  <c r="BX22" i="4"/>
  <c r="BX23" i="4"/>
  <c r="BX27" i="4"/>
  <c r="BX28" i="4"/>
  <c r="BX29" i="4"/>
  <c r="BX30" i="4"/>
  <c r="BX31" i="4"/>
  <c r="BX32" i="4"/>
  <c r="BX34" i="4"/>
  <c r="BX35" i="4"/>
  <c r="BX36" i="4"/>
  <c r="BX37" i="4"/>
  <c r="BX38" i="4"/>
  <c r="BX40" i="4"/>
  <c r="BX41" i="4"/>
  <c r="BX42" i="4"/>
  <c r="BX43" i="4"/>
  <c r="BX44" i="4"/>
  <c r="BX45" i="4"/>
  <c r="BX47" i="4"/>
  <c r="BX42" i="3"/>
  <c r="BX14" i="3"/>
  <c r="BX15" i="3"/>
  <c r="BX16" i="3"/>
  <c r="BX17" i="3"/>
  <c r="BX20" i="3"/>
  <c r="BX22" i="3"/>
  <c r="BX25" i="3"/>
  <c r="BX137" i="1"/>
  <c r="BX127" i="1"/>
  <c r="BX86" i="1"/>
  <c r="BX88" i="1" s="1"/>
  <c r="BX73" i="1"/>
  <c r="BX79" i="1" s="1"/>
  <c r="BX55" i="1"/>
  <c r="BX64" i="1" s="1"/>
  <c r="BX32" i="1"/>
  <c r="BX36" i="1"/>
  <c r="BX18" i="1"/>
  <c r="BX45" i="3"/>
  <c r="BX107" i="1"/>
  <c r="BX121" i="1" s="1"/>
  <c r="BX203" i="1"/>
  <c r="BX206" i="1" s="1"/>
  <c r="BX208" i="1" s="1"/>
  <c r="BX181" i="2"/>
  <c r="BX183" i="2"/>
  <c r="BX184" i="2"/>
  <c r="BX40" i="3"/>
  <c r="BX180" i="2"/>
  <c r="BX171" i="2"/>
  <c r="BX170" i="2"/>
  <c r="BX169" i="2"/>
  <c r="BX81" i="2"/>
  <c r="BX80" i="2"/>
  <c r="BX79" i="2"/>
  <c r="BX40" i="2"/>
  <c r="BX39" i="2"/>
  <c r="BX38" i="2"/>
  <c r="BX180" i="1"/>
  <c r="BX160" i="1"/>
  <c r="BW319" i="1"/>
  <c r="BW318" i="1"/>
  <c r="BW83" i="17"/>
  <c r="BW45" i="3"/>
  <c r="BU279" i="1"/>
  <c r="BW266" i="1"/>
  <c r="BW223" i="1"/>
  <c r="BW32" i="1"/>
  <c r="BW20" i="3"/>
  <c r="X43" i="30"/>
  <c r="BW49" i="5"/>
  <c r="BX49" i="5" s="1"/>
  <c r="BY49" i="5" s="1"/>
  <c r="BZ49" i="5" s="1"/>
  <c r="BW47" i="5"/>
  <c r="BX47" i="5" s="1"/>
  <c r="BW46" i="5"/>
  <c r="BX46" i="5" s="1"/>
  <c r="BW45" i="5"/>
  <c r="BW44" i="5"/>
  <c r="BX44" i="5" s="1"/>
  <c r="BY44" i="5" s="1"/>
  <c r="BZ44" i="5" s="1"/>
  <c r="CA44" i="5" s="1"/>
  <c r="BW43" i="5"/>
  <c r="BX43" i="5" s="1"/>
  <c r="BY43" i="5" s="1"/>
  <c r="BZ43" i="5" s="1"/>
  <c r="CA43" i="5" s="1"/>
  <c r="BW42" i="5"/>
  <c r="BX42" i="5" s="1"/>
  <c r="BY42" i="5" s="1"/>
  <c r="BZ42" i="5" s="1"/>
  <c r="BW41" i="5"/>
  <c r="BX41" i="5" s="1"/>
  <c r="BY41" i="5" s="1"/>
  <c r="BZ41" i="5" s="1"/>
  <c r="CA41" i="5" s="1"/>
  <c r="BW40" i="5"/>
  <c r="BW38" i="5"/>
  <c r="BW37" i="5"/>
  <c r="BX37" i="5" s="1"/>
  <c r="BY37" i="5" s="1"/>
  <c r="BZ37" i="5" s="1"/>
  <c r="BW36" i="5"/>
  <c r="BX36" i="5" s="1"/>
  <c r="BW35" i="5"/>
  <c r="BW34" i="5"/>
  <c r="BX34" i="5" s="1"/>
  <c r="BY34" i="5" s="1"/>
  <c r="BZ34" i="5" s="1"/>
  <c r="CA34" i="5" s="1"/>
  <c r="BW33" i="5"/>
  <c r="BX33" i="5" s="1"/>
  <c r="BW31" i="5"/>
  <c r="BX31" i="5" s="1"/>
  <c r="BY31" i="5" s="1"/>
  <c r="BW30" i="5"/>
  <c r="BX30" i="5" s="1"/>
  <c r="BY30" i="5" s="1"/>
  <c r="BW29" i="5"/>
  <c r="BX29" i="5" s="1"/>
  <c r="BY29" i="5" s="1"/>
  <c r="BZ29" i="5" s="1"/>
  <c r="BW28" i="5"/>
  <c r="BX28" i="5" s="1"/>
  <c r="BY28" i="5" s="1"/>
  <c r="BZ28" i="5" s="1"/>
  <c r="CA28" i="5" s="1"/>
  <c r="BW27" i="5"/>
  <c r="BX27" i="5" s="1"/>
  <c r="BY27" i="5" s="1"/>
  <c r="BZ27" i="5" s="1"/>
  <c r="CA27" i="5" s="1"/>
  <c r="BW26" i="5"/>
  <c r="BX26" i="5" s="1"/>
  <c r="BY26" i="5" s="1"/>
  <c r="BW25" i="5"/>
  <c r="BX25" i="5" s="1"/>
  <c r="BY25" i="5" s="1"/>
  <c r="BZ25" i="5" s="1"/>
  <c r="BW24" i="5"/>
  <c r="BX24" i="5" s="1"/>
  <c r="BY24" i="5" s="1"/>
  <c r="BZ24" i="5" s="1"/>
  <c r="CA24" i="5" s="1"/>
  <c r="BW23" i="5"/>
  <c r="BW22" i="5"/>
  <c r="BX22" i="5" s="1"/>
  <c r="BY22" i="5" s="1"/>
  <c r="BZ22" i="5" s="1"/>
  <c r="CA22" i="5" s="1"/>
  <c r="BW21" i="5"/>
  <c r="BX21" i="5" s="1"/>
  <c r="BY21" i="5" s="1"/>
  <c r="BZ21" i="5" s="1"/>
  <c r="CA21" i="5" s="1"/>
  <c r="BW19" i="5"/>
  <c r="BX19" i="5" s="1"/>
  <c r="BY19" i="5" s="1"/>
  <c r="BZ19" i="5" s="1"/>
  <c r="BW17" i="5"/>
  <c r="BW16" i="5"/>
  <c r="BX16" i="5" s="1"/>
  <c r="BW15" i="5"/>
  <c r="BX15" i="5" s="1"/>
  <c r="BY15" i="5" s="1"/>
  <c r="BZ15" i="5" s="1"/>
  <c r="BW14" i="5"/>
  <c r="BX14" i="5" s="1"/>
  <c r="BY14" i="5" s="1"/>
  <c r="BW13" i="5"/>
  <c r="BX13" i="5" s="1"/>
  <c r="BY13" i="5" s="1"/>
  <c r="BZ13" i="5" s="1"/>
  <c r="CA13" i="5" s="1"/>
  <c r="BW12" i="5"/>
  <c r="BX12" i="5" s="1"/>
  <c r="BY12" i="5" s="1"/>
  <c r="BZ12" i="5" s="1"/>
  <c r="BW11" i="5"/>
  <c r="BX11" i="5" s="1"/>
  <c r="BY11" i="5" s="1"/>
  <c r="BZ11" i="5" s="1"/>
  <c r="BW10" i="5"/>
  <c r="BW9" i="5"/>
  <c r="BW8" i="5"/>
  <c r="BX8" i="5" s="1"/>
  <c r="BW7" i="5"/>
  <c r="BX7" i="5" s="1"/>
  <c r="BW47" i="4"/>
  <c r="BW45" i="4"/>
  <c r="BW44" i="4"/>
  <c r="BW43" i="4"/>
  <c r="BW42" i="4"/>
  <c r="BW41" i="4"/>
  <c r="BW40" i="4"/>
  <c r="BW38" i="4"/>
  <c r="BW37" i="4"/>
  <c r="BW36" i="4"/>
  <c r="BW35" i="4"/>
  <c r="BW34" i="4"/>
  <c r="BW32" i="4"/>
  <c r="BW31" i="4"/>
  <c r="BW30" i="4"/>
  <c r="BW29" i="4"/>
  <c r="BW28" i="4"/>
  <c r="BW27" i="4"/>
  <c r="BW23" i="4"/>
  <c r="BW22" i="4"/>
  <c r="BW21" i="4"/>
  <c r="BW20" i="4"/>
  <c r="BW19" i="4"/>
  <c r="BW18" i="4"/>
  <c r="BW17" i="4"/>
  <c r="BW16" i="4"/>
  <c r="BW14" i="4"/>
  <c r="BW13" i="4"/>
  <c r="BW12" i="4"/>
  <c r="BW11" i="4"/>
  <c r="BW9" i="4"/>
  <c r="BW8" i="4"/>
  <c r="BW7" i="4"/>
  <c r="BW17" i="3"/>
  <c r="BW16" i="3"/>
  <c r="BW15" i="3"/>
  <c r="BW14" i="3"/>
  <c r="BW42" i="3"/>
  <c r="BW86" i="1"/>
  <c r="BW88" i="1" s="1"/>
  <c r="BW73" i="1"/>
  <c r="BW79" i="1" s="1"/>
  <c r="BW55" i="1"/>
  <c r="BW64" i="1" s="1"/>
  <c r="BW137" i="1"/>
  <c r="BW128" i="1"/>
  <c r="BW107" i="1"/>
  <c r="BW121" i="1" s="1"/>
  <c r="BW203" i="1"/>
  <c r="BW206" i="1" s="1"/>
  <c r="BW40" i="3"/>
  <c r="BW25" i="3"/>
  <c r="BW22" i="3"/>
  <c r="BW189" i="2"/>
  <c r="CA189" i="2" s="1"/>
  <c r="BW184" i="2"/>
  <c r="BW183" i="2"/>
  <c r="BW181" i="2"/>
  <c r="BW180" i="2"/>
  <c r="BW171" i="2"/>
  <c r="BW170" i="2"/>
  <c r="BW169" i="2"/>
  <c r="BW81" i="2"/>
  <c r="BW80" i="2"/>
  <c r="BW79" i="2"/>
  <c r="BW40" i="2"/>
  <c r="BW39" i="2"/>
  <c r="BW38" i="2"/>
  <c r="BW180" i="1"/>
  <c r="BW160" i="1"/>
  <c r="BW36" i="1"/>
  <c r="Y43" i="30"/>
  <c r="AA43" i="30"/>
  <c r="Z43" i="30"/>
  <c r="BV386" i="1"/>
  <c r="BQ386" i="1"/>
  <c r="BQ387" i="1" s="1"/>
  <c r="BS87" i="17"/>
  <c r="BS189" i="2" s="1"/>
  <c r="BU189" i="2"/>
  <c r="BT189" i="2"/>
  <c r="BR189" i="2"/>
  <c r="CF189" i="2"/>
  <c r="BQ189" i="2"/>
  <c r="BL189" i="2"/>
  <c r="BG189" i="2"/>
  <c r="BG87" i="17" s="1"/>
  <c r="BB189" i="2"/>
  <c r="BB87" i="17" s="1"/>
  <c r="AW189" i="2"/>
  <c r="AW87" i="17" s="1"/>
  <c r="AR189" i="2"/>
  <c r="AR87" i="17" s="1"/>
  <c r="BQ390" i="1"/>
  <c r="BV391" i="1"/>
  <c r="BU390" i="1"/>
  <c r="BV390" i="1" s="1"/>
  <c r="CA384" i="1"/>
  <c r="CA385" i="1" s="1"/>
  <c r="BV385" i="1"/>
  <c r="BQ385" i="1"/>
  <c r="BV57" i="4"/>
  <c r="BW57" i="4" s="1"/>
  <c r="BV55" i="4"/>
  <c r="BV54" i="4"/>
  <c r="BU40" i="1"/>
  <c r="BU39" i="3" s="1"/>
  <c r="CA432" i="1"/>
  <c r="CA415" i="1"/>
  <c r="BV432" i="1"/>
  <c r="BV415" i="1"/>
  <c r="BU319" i="1"/>
  <c r="BU318" i="1"/>
  <c r="BU306" i="1"/>
  <c r="BU83" i="17"/>
  <c r="BV290" i="1"/>
  <c r="BU286" i="1"/>
  <c r="BU45" i="3" s="1"/>
  <c r="BV283" i="1"/>
  <c r="BV267" i="1"/>
  <c r="BU266" i="1"/>
  <c r="BV225" i="1"/>
  <c r="BV320" i="2" s="1"/>
  <c r="BV222" i="1"/>
  <c r="BV318" i="2" s="1"/>
  <c r="BV220" i="1"/>
  <c r="BV316" i="2" s="1"/>
  <c r="BV219" i="1"/>
  <c r="BV315" i="2" s="1"/>
  <c r="BU223" i="1"/>
  <c r="BV223" i="1" s="1"/>
  <c r="BV138" i="1"/>
  <c r="BV136" i="1"/>
  <c r="BV135" i="1"/>
  <c r="BV134" i="1"/>
  <c r="BV133" i="1"/>
  <c r="BV132" i="1"/>
  <c r="BV131" i="1"/>
  <c r="BV130" i="1"/>
  <c r="BV129" i="1"/>
  <c r="BV127" i="1"/>
  <c r="BV126" i="1"/>
  <c r="BV125" i="1"/>
  <c r="BV124" i="1"/>
  <c r="BV123" i="1"/>
  <c r="BV122" i="1"/>
  <c r="BV120" i="1"/>
  <c r="BV119" i="1"/>
  <c r="BV118" i="1"/>
  <c r="BV117" i="1"/>
  <c r="BV116" i="1"/>
  <c r="BV115" i="1"/>
  <c r="BV114" i="1"/>
  <c r="BV110" i="1"/>
  <c r="BV113" i="1"/>
  <c r="BV112" i="1"/>
  <c r="BV111" i="1"/>
  <c r="BV108" i="1"/>
  <c r="BV106" i="1"/>
  <c r="BV105" i="1"/>
  <c r="BV104" i="1"/>
  <c r="BV103" i="1"/>
  <c r="BV102" i="1"/>
  <c r="BV101" i="1"/>
  <c r="BV100" i="1"/>
  <c r="BV99" i="1"/>
  <c r="BV98" i="1"/>
  <c r="BV97" i="1"/>
  <c r="BV96" i="1"/>
  <c r="BV87" i="1"/>
  <c r="BV85" i="1"/>
  <c r="BV84" i="1"/>
  <c r="BV83" i="1"/>
  <c r="BV82" i="1"/>
  <c r="BV81" i="1"/>
  <c r="BV80" i="1"/>
  <c r="BV78" i="1"/>
  <c r="BV77" i="1"/>
  <c r="BV76" i="1"/>
  <c r="BV319" i="1" s="1"/>
  <c r="BV75" i="1"/>
  <c r="BV74" i="1"/>
  <c r="BV72" i="1"/>
  <c r="BV71" i="1"/>
  <c r="BV70" i="1"/>
  <c r="BV69" i="1"/>
  <c r="BV68" i="1"/>
  <c r="BV67" i="1"/>
  <c r="BV63" i="1"/>
  <c r="BV62" i="1"/>
  <c r="BV61" i="1"/>
  <c r="BV60" i="1"/>
  <c r="BV318" i="1" s="1"/>
  <c r="BV59" i="1"/>
  <c r="BV58" i="1"/>
  <c r="BV57" i="1"/>
  <c r="BV56" i="1"/>
  <c r="BV53" i="1"/>
  <c r="BV52" i="1"/>
  <c r="BV51" i="1"/>
  <c r="BV49" i="1"/>
  <c r="BV48" i="1"/>
  <c r="BV47" i="1"/>
  <c r="CA87" i="17"/>
  <c r="BS83" i="17"/>
  <c r="O30" i="30"/>
  <c r="N30" i="30"/>
  <c r="BU27" i="4"/>
  <c r="BV27" i="4" s="1"/>
  <c r="BU28" i="4"/>
  <c r="BV28" i="4" s="1"/>
  <c r="BU29" i="4"/>
  <c r="BV29" i="4" s="1"/>
  <c r="BU30" i="4"/>
  <c r="BU31" i="4"/>
  <c r="BV31" i="4" s="1"/>
  <c r="BU32" i="4"/>
  <c r="BV32" i="4" s="1"/>
  <c r="BU34" i="4"/>
  <c r="BU35" i="4"/>
  <c r="BV35" i="4" s="1"/>
  <c r="BU36" i="4"/>
  <c r="BV36" i="4" s="1"/>
  <c r="BU37" i="4"/>
  <c r="BV37" i="4" s="1"/>
  <c r="BU38" i="4"/>
  <c r="BU40" i="4"/>
  <c r="BV40" i="4" s="1"/>
  <c r="BU41" i="4"/>
  <c r="BV41" i="4" s="1"/>
  <c r="BU42" i="4"/>
  <c r="BV42" i="4" s="1"/>
  <c r="BU43" i="4"/>
  <c r="BV43" i="4" s="1"/>
  <c r="BU44" i="4"/>
  <c r="BV44" i="4" s="1"/>
  <c r="BU45" i="4"/>
  <c r="BV45" i="4" s="1"/>
  <c r="BU47" i="4"/>
  <c r="BU7" i="4"/>
  <c r="BV7" i="4" s="1"/>
  <c r="BU8" i="4"/>
  <c r="BU9" i="4"/>
  <c r="BU11" i="4"/>
  <c r="BV11" i="4" s="1"/>
  <c r="BU12" i="4"/>
  <c r="BV12" i="4" s="1"/>
  <c r="BU13" i="4"/>
  <c r="BU14" i="4"/>
  <c r="BV14" i="4" s="1"/>
  <c r="BU16" i="4"/>
  <c r="BV16" i="4" s="1"/>
  <c r="BU17" i="4"/>
  <c r="BU18" i="4"/>
  <c r="BV18" i="4" s="1"/>
  <c r="BU19" i="4"/>
  <c r="BV19" i="4" s="1"/>
  <c r="BU20" i="4"/>
  <c r="BV20" i="4" s="1"/>
  <c r="BU21" i="4"/>
  <c r="BV21" i="4" s="1"/>
  <c r="BU22" i="4"/>
  <c r="BU23" i="4"/>
  <c r="BV23" i="4" s="1"/>
  <c r="BU86" i="1"/>
  <c r="BU88" i="1" s="1"/>
  <c r="BU73" i="1"/>
  <c r="BU79" i="1" s="1"/>
  <c r="BU55" i="1"/>
  <c r="BU64" i="1" s="1"/>
  <c r="BU137" i="1"/>
  <c r="BU128" i="1"/>
  <c r="BU107" i="1"/>
  <c r="BU121" i="1" s="1"/>
  <c r="BU6" i="3"/>
  <c r="BU7" i="3"/>
  <c r="BU9" i="3"/>
  <c r="BU10" i="3"/>
  <c r="BU11" i="3"/>
  <c r="BU14" i="3"/>
  <c r="BU15" i="3"/>
  <c r="BU16" i="3"/>
  <c r="BU17" i="3"/>
  <c r="BU19" i="3"/>
  <c r="BU20" i="3"/>
  <c r="BU22" i="3"/>
  <c r="BU13" i="1"/>
  <c r="BU9" i="1"/>
  <c r="BV164" i="1"/>
  <c r="BV163" i="1"/>
  <c r="BV162" i="1"/>
  <c r="BV153" i="1"/>
  <c r="BV152" i="1"/>
  <c r="BV151" i="1"/>
  <c r="BV150" i="1"/>
  <c r="BV207" i="1"/>
  <c r="BV303" i="2" s="1"/>
  <c r="BV196" i="1"/>
  <c r="BV293" i="2" s="1"/>
  <c r="BV195" i="1"/>
  <c r="BV292" i="2" s="1"/>
  <c r="BV194" i="1"/>
  <c r="BV291" i="2" s="1"/>
  <c r="BV193" i="1"/>
  <c r="BV290" i="2" s="1"/>
  <c r="BU42" i="3"/>
  <c r="BV187" i="1"/>
  <c r="BV186" i="1"/>
  <c r="BV184" i="1"/>
  <c r="BV182" i="1"/>
  <c r="BV173" i="1"/>
  <c r="BV172" i="1"/>
  <c r="BV171" i="1"/>
  <c r="BV170" i="1"/>
  <c r="BU184" i="2"/>
  <c r="BU183" i="2"/>
  <c r="BU40" i="3"/>
  <c r="BU25" i="3"/>
  <c r="BU181" i="2"/>
  <c r="BU180" i="2"/>
  <c r="BU171" i="2"/>
  <c r="BU170" i="2"/>
  <c r="BU169" i="2"/>
  <c r="BU81" i="2"/>
  <c r="BU80" i="2"/>
  <c r="BU79" i="2"/>
  <c r="BU40" i="2"/>
  <c r="BU39" i="2"/>
  <c r="BU38" i="2"/>
  <c r="BU188" i="1"/>
  <c r="BU185" i="2" s="1"/>
  <c r="BU185" i="1"/>
  <c r="BU182" i="2" s="1"/>
  <c r="BU48" i="3" s="1"/>
  <c r="BU180" i="1"/>
  <c r="BU160" i="1"/>
  <c r="BU36" i="1"/>
  <c r="BT13" i="4"/>
  <c r="BS13" i="4"/>
  <c r="BU36" i="17"/>
  <c r="BU37" i="17"/>
  <c r="BU19" i="17"/>
  <c r="BU18" i="17"/>
  <c r="CB6" i="3"/>
  <c r="CD6" i="3"/>
  <c r="CB7" i="3"/>
  <c r="CD7" i="3"/>
  <c r="CB9" i="3"/>
  <c r="CB10" i="3"/>
  <c r="CB11" i="3"/>
  <c r="CF9" i="3"/>
  <c r="CK7" i="3"/>
  <c r="CF7" i="3"/>
  <c r="CK6" i="3"/>
  <c r="CK393" i="2"/>
  <c r="CK391" i="2"/>
  <c r="CK381" i="2"/>
  <c r="CD393" i="2"/>
  <c r="CD391" i="2"/>
  <c r="CD381" i="2"/>
  <c r="CC393" i="2"/>
  <c r="CC391" i="2"/>
  <c r="CC381" i="2"/>
  <c r="CB393" i="2"/>
  <c r="CB391" i="2"/>
  <c r="CB381" i="2"/>
  <c r="CF359" i="2"/>
  <c r="CF375" i="2" s="1"/>
  <c r="CE359" i="2"/>
  <c r="CD359" i="2"/>
  <c r="CC359" i="2"/>
  <c r="CB359" i="2"/>
  <c r="CF358" i="2"/>
  <c r="CF374" i="2" s="1"/>
  <c r="CE358" i="2"/>
  <c r="CD358" i="2"/>
  <c r="CC358" i="2"/>
  <c r="CB358" i="2"/>
  <c r="CF357" i="2"/>
  <c r="CF373" i="2" s="1"/>
  <c r="CE357" i="2"/>
  <c r="CD357" i="2"/>
  <c r="CC357" i="2"/>
  <c r="CB357" i="2"/>
  <c r="CF356" i="2"/>
  <c r="CF372" i="2" s="1"/>
  <c r="CE356" i="2"/>
  <c r="CD356" i="2"/>
  <c r="CC356" i="2"/>
  <c r="CB356" i="2"/>
  <c r="CF355" i="2"/>
  <c r="CF371" i="2" s="1"/>
  <c r="CE355" i="2"/>
  <c r="CD355" i="2"/>
  <c r="CC355" i="2"/>
  <c r="CB355" i="2"/>
  <c r="CF354" i="2"/>
  <c r="CF370" i="2" s="1"/>
  <c r="CE354" i="2"/>
  <c r="CD354" i="2"/>
  <c r="CC354" i="2"/>
  <c r="CB354" i="2"/>
  <c r="CE320" i="2"/>
  <c r="CD320" i="2"/>
  <c r="CC320" i="2"/>
  <c r="CE319" i="2"/>
  <c r="CE318" i="2"/>
  <c r="CD318" i="2"/>
  <c r="CC318" i="2"/>
  <c r="CE317" i="2"/>
  <c r="CE327" i="2" s="1"/>
  <c r="CD317" i="2"/>
  <c r="CD327" i="2" s="1"/>
  <c r="CC317" i="2"/>
  <c r="CC327" i="2" s="1"/>
  <c r="CB317" i="2"/>
  <c r="CB327" i="2" s="1"/>
  <c r="CE316" i="2"/>
  <c r="CD316" i="2"/>
  <c r="CC316" i="2"/>
  <c r="CE315" i="2"/>
  <c r="CD315" i="2"/>
  <c r="CC315" i="2"/>
  <c r="CE314" i="2"/>
  <c r="CE324" i="2" s="1"/>
  <c r="CD314" i="2"/>
  <c r="CD324" i="2" s="1"/>
  <c r="CC314" i="2"/>
  <c r="CC324" i="2" s="1"/>
  <c r="CB314" i="2"/>
  <c r="CB324" i="2" s="1"/>
  <c r="CE303" i="2"/>
  <c r="CC303" i="2"/>
  <c r="CE290" i="2"/>
  <c r="CC290" i="2"/>
  <c r="CF80" i="2"/>
  <c r="CF52" i="12"/>
  <c r="CE55" i="12"/>
  <c r="CD55" i="12"/>
  <c r="CC55" i="12"/>
  <c r="CB55" i="12"/>
  <c r="CE45" i="12"/>
  <c r="CD45" i="12"/>
  <c r="CC45" i="12"/>
  <c r="CB45" i="12"/>
  <c r="CF42" i="12"/>
  <c r="BK116" i="1"/>
  <c r="BL116" i="1" s="1"/>
  <c r="BJ116" i="1"/>
  <c r="BT39" i="3"/>
  <c r="BT42" i="3"/>
  <c r="BT45" i="3"/>
  <c r="BT83" i="17"/>
  <c r="BT318" i="1"/>
  <c r="BT319" i="1"/>
  <c r="BT266" i="1"/>
  <c r="BT223" i="1"/>
  <c r="BT32" i="1"/>
  <c r="BT203" i="1"/>
  <c r="BT206" i="1" s="1"/>
  <c r="BT9" i="3"/>
  <c r="BT10" i="3"/>
  <c r="BT11" i="3"/>
  <c r="BT14" i="3"/>
  <c r="BT15" i="3"/>
  <c r="BT16" i="3"/>
  <c r="BT17" i="3"/>
  <c r="BT19" i="3"/>
  <c r="BT20" i="3"/>
  <c r="BT22" i="3"/>
  <c r="BT25" i="3"/>
  <c r="BT36" i="1"/>
  <c r="BT13" i="1"/>
  <c r="BT9" i="1"/>
  <c r="BT7" i="4"/>
  <c r="BT8" i="4"/>
  <c r="BT9" i="4"/>
  <c r="BT11" i="4"/>
  <c r="BT12" i="4"/>
  <c r="BT14" i="4"/>
  <c r="BT16" i="4"/>
  <c r="BT17" i="4"/>
  <c r="BT18" i="4"/>
  <c r="BT19" i="4"/>
  <c r="BT20" i="4"/>
  <c r="BT21" i="4"/>
  <c r="BT22" i="4"/>
  <c r="BT23" i="4"/>
  <c r="BT27" i="4"/>
  <c r="BT28" i="4"/>
  <c r="BT29" i="4"/>
  <c r="BT30" i="4"/>
  <c r="BT31" i="4"/>
  <c r="BT32" i="4"/>
  <c r="BT34" i="4"/>
  <c r="BT35" i="4"/>
  <c r="BT36" i="4"/>
  <c r="BT37" i="4"/>
  <c r="BT38" i="4"/>
  <c r="BT40" i="4"/>
  <c r="BT41" i="4"/>
  <c r="BT42" i="4"/>
  <c r="BT43" i="4"/>
  <c r="BT44" i="4"/>
  <c r="BT45" i="4"/>
  <c r="BT47" i="4"/>
  <c r="BT86" i="1"/>
  <c r="BT88" i="1" s="1"/>
  <c r="BT73" i="1"/>
  <c r="BT79" i="1" s="1"/>
  <c r="BT55" i="1"/>
  <c r="BT64" i="1" s="1"/>
  <c r="BT137" i="1"/>
  <c r="BT128" i="1"/>
  <c r="BT107" i="1"/>
  <c r="BT121" i="1" s="1"/>
  <c r="BT188" i="1"/>
  <c r="BT185" i="2" s="1"/>
  <c r="BT40" i="3"/>
  <c r="BT181" i="2"/>
  <c r="BT183" i="2"/>
  <c r="BT184" i="2"/>
  <c r="BT180" i="2"/>
  <c r="BT171" i="2"/>
  <c r="BT170" i="2"/>
  <c r="BT169" i="2"/>
  <c r="BT81" i="2"/>
  <c r="BT80" i="2"/>
  <c r="BT79" i="2"/>
  <c r="BT40" i="2"/>
  <c r="BT39" i="2"/>
  <c r="BT38" i="2"/>
  <c r="BT185" i="1"/>
  <c r="BT182" i="2" s="1"/>
  <c r="BT48" i="3" s="1"/>
  <c r="BT180" i="1"/>
  <c r="BT160" i="1"/>
  <c r="BV377" i="1"/>
  <c r="BV376" i="1"/>
  <c r="CA376" i="1" s="1"/>
  <c r="BV375" i="1"/>
  <c r="BV372" i="1"/>
  <c r="CA372" i="1" s="1"/>
  <c r="BV371" i="1"/>
  <c r="BV370" i="1"/>
  <c r="CA370" i="1" s="1"/>
  <c r="BV368" i="1"/>
  <c r="CA368" i="1" s="1"/>
  <c r="CF368" i="1" s="1"/>
  <c r="CK368" i="1" s="1"/>
  <c r="BV366" i="1"/>
  <c r="BV365" i="1"/>
  <c r="CA365" i="1" s="1"/>
  <c r="CF365" i="1" s="1"/>
  <c r="CK365" i="1" s="1"/>
  <c r="BV361" i="1"/>
  <c r="BV360" i="1"/>
  <c r="BV359" i="1"/>
  <c r="CA359" i="1" s="1"/>
  <c r="BV358" i="1"/>
  <c r="BV356" i="1"/>
  <c r="CA356" i="1" s="1"/>
  <c r="BV355" i="1"/>
  <c r="CA355" i="1" s="1"/>
  <c r="BV354" i="1"/>
  <c r="BV353" i="1"/>
  <c r="BV352" i="1"/>
  <c r="BV351" i="1"/>
  <c r="CA351" i="1" s="1"/>
  <c r="BV350" i="1"/>
  <c r="BV349" i="1"/>
  <c r="BV348" i="1"/>
  <c r="CA348" i="1" s="1"/>
  <c r="BV347" i="1"/>
  <c r="BV346" i="1"/>
  <c r="BV345" i="1"/>
  <c r="BV344" i="1"/>
  <c r="BV343" i="1"/>
  <c r="CA343" i="1" s="1"/>
  <c r="BV341" i="1"/>
  <c r="CA341" i="1" s="1"/>
  <c r="BV340" i="1"/>
  <c r="BV339" i="1"/>
  <c r="BV338" i="1"/>
  <c r="CA338" i="1" s="1"/>
  <c r="CF338" i="1" s="1"/>
  <c r="BV337" i="1"/>
  <c r="BV336" i="1"/>
  <c r="BV335" i="1"/>
  <c r="CA335" i="1" s="1"/>
  <c r="BT42" i="12"/>
  <c r="C33" i="5"/>
  <c r="D33" i="5"/>
  <c r="E33" i="5"/>
  <c r="F33" i="5"/>
  <c r="G33" i="5"/>
  <c r="H33" i="5"/>
  <c r="I33" i="5"/>
  <c r="J33" i="5"/>
  <c r="K33" i="5" s="1"/>
  <c r="L33" i="5" s="1"/>
  <c r="O33" i="5"/>
  <c r="T33" i="5"/>
  <c r="U33" i="5" s="1"/>
  <c r="V33" i="5" s="1"/>
  <c r="Y33" i="5"/>
  <c r="Z33" i="5" s="1"/>
  <c r="AD33" i="5"/>
  <c r="AE33" i="5" s="1"/>
  <c r="AF33" i="5" s="1"/>
  <c r="AI33" i="5"/>
  <c r="AJ33" i="5" s="1"/>
  <c r="AN33" i="5"/>
  <c r="AO33" i="5" s="1"/>
  <c r="AP33" i="5" s="1"/>
  <c r="AS33" i="5"/>
  <c r="AT33" i="5" s="1"/>
  <c r="AU33" i="5" s="1"/>
  <c r="AV33" i="5" s="1"/>
  <c r="AW33" i="5" s="1"/>
  <c r="AX33" i="5"/>
  <c r="AY33" i="5" s="1"/>
  <c r="BC33" i="5"/>
  <c r="BH33" i="5"/>
  <c r="BM33" i="5"/>
  <c r="BN33" i="5" s="1"/>
  <c r="BO33" i="5" s="1"/>
  <c r="BP33" i="5" s="1"/>
  <c r="BP55" i="5" s="1"/>
  <c r="BR33" i="5"/>
  <c r="AJ23" i="5"/>
  <c r="BR23" i="5"/>
  <c r="BM23" i="5"/>
  <c r="BH23" i="5"/>
  <c r="BC23" i="5"/>
  <c r="BD23" i="5" s="1"/>
  <c r="AX23" i="5"/>
  <c r="AS23" i="5"/>
  <c r="AN23" i="5"/>
  <c r="AI22" i="5"/>
  <c r="AK112" i="1"/>
  <c r="AK107" i="1" s="1"/>
  <c r="AK121" i="1" s="1"/>
  <c r="AL112" i="1"/>
  <c r="AJ112" i="1"/>
  <c r="AJ107" i="1" s="1"/>
  <c r="AJ121" i="1" s="1"/>
  <c r="AM113" i="1"/>
  <c r="AN112" i="1"/>
  <c r="AO112" i="1"/>
  <c r="AQ112" i="1"/>
  <c r="AP112" i="1"/>
  <c r="AR113" i="1"/>
  <c r="AT112" i="1"/>
  <c r="AS112" i="1"/>
  <c r="AS22" i="5" s="1"/>
  <c r="AU112" i="1"/>
  <c r="AV112" i="1"/>
  <c r="AW112" i="1" s="1"/>
  <c r="AW113" i="1"/>
  <c r="AX112" i="1"/>
  <c r="AX22" i="5" s="1"/>
  <c r="AY112" i="1"/>
  <c r="BA112" i="1"/>
  <c r="BB112" i="1" s="1"/>
  <c r="BB113" i="1"/>
  <c r="BC112" i="1"/>
  <c r="BD112" i="1"/>
  <c r="BE112" i="1"/>
  <c r="BG113" i="1"/>
  <c r="BH112" i="1"/>
  <c r="BH107" i="1" s="1"/>
  <c r="BH121" i="1" s="1"/>
  <c r="BI112" i="1"/>
  <c r="BI107" i="1" s="1"/>
  <c r="BI121" i="1" s="1"/>
  <c r="BJ112" i="1"/>
  <c r="BK112" i="1"/>
  <c r="BL112" i="1" s="1"/>
  <c r="BL113" i="1"/>
  <c r="BM112" i="1"/>
  <c r="BN112" i="1"/>
  <c r="BN107" i="1" s="1"/>
  <c r="BN121" i="1" s="1"/>
  <c r="BO112" i="1"/>
  <c r="BO107" i="1" s="1"/>
  <c r="BO121" i="1" s="1"/>
  <c r="BP112" i="1"/>
  <c r="BP107" i="1" s="1"/>
  <c r="BP121" i="1" s="1"/>
  <c r="BQ113" i="1"/>
  <c r="BR112" i="1"/>
  <c r="BR22" i="5" s="1"/>
  <c r="BS112" i="1"/>
  <c r="BS107" i="1" s="1"/>
  <c r="BS121" i="1" s="1"/>
  <c r="BA67" i="1"/>
  <c r="BB67" i="1" s="1"/>
  <c r="AL28" i="4"/>
  <c r="AM28" i="4" s="1"/>
  <c r="AN28" i="4"/>
  <c r="AO28" i="4"/>
  <c r="AP28" i="4"/>
  <c r="AQ28" i="4"/>
  <c r="AR28" i="4" s="1"/>
  <c r="AS28" i="4"/>
  <c r="AT28" i="4"/>
  <c r="AU28" i="4"/>
  <c r="AV28" i="4"/>
  <c r="AW28" i="4" s="1"/>
  <c r="AX28" i="4"/>
  <c r="AY28" i="4"/>
  <c r="AZ28" i="4"/>
  <c r="BA28" i="4"/>
  <c r="BB28" i="4" s="1"/>
  <c r="BC28" i="4"/>
  <c r="BD28" i="4"/>
  <c r="BE28" i="4"/>
  <c r="BF28" i="4"/>
  <c r="BG28" i="4" s="1"/>
  <c r="BH28" i="4"/>
  <c r="BI28" i="4"/>
  <c r="BJ28" i="4"/>
  <c r="BK28" i="4"/>
  <c r="BL28" i="4" s="1"/>
  <c r="BM28" i="4"/>
  <c r="BN28" i="4"/>
  <c r="BO28" i="4"/>
  <c r="BP28" i="4"/>
  <c r="BR28" i="4"/>
  <c r="BS28" i="4"/>
  <c r="AK28" i="4"/>
  <c r="AI28" i="4"/>
  <c r="AJ28" i="4"/>
  <c r="AJ67" i="1"/>
  <c r="AJ73" i="1" s="1"/>
  <c r="AJ79" i="1" s="1"/>
  <c r="AK67" i="1"/>
  <c r="AL67" i="1"/>
  <c r="AM68" i="1"/>
  <c r="AN67" i="1"/>
  <c r="AO67" i="1"/>
  <c r="AP67" i="1"/>
  <c r="AP27" i="4" s="1"/>
  <c r="AQ67" i="1"/>
  <c r="AR67" i="1" s="1"/>
  <c r="AR68" i="1"/>
  <c r="AS67" i="1"/>
  <c r="AT67" i="1"/>
  <c r="AT27" i="4" s="1"/>
  <c r="AU67" i="1"/>
  <c r="AU27" i="4" s="1"/>
  <c r="AV67" i="1"/>
  <c r="AV73" i="1" s="1"/>
  <c r="AV79" i="1" s="1"/>
  <c r="AW68" i="1"/>
  <c r="AZ67" i="1"/>
  <c r="AZ27" i="4" s="1"/>
  <c r="AY67" i="1"/>
  <c r="AY27" i="4" s="1"/>
  <c r="AX67" i="1"/>
  <c r="AX27" i="4" s="1"/>
  <c r="BB68" i="1"/>
  <c r="BE67" i="1"/>
  <c r="BD67" i="1"/>
  <c r="BC67" i="1"/>
  <c r="BF67" i="1"/>
  <c r="BF73" i="1" s="1"/>
  <c r="BF79" i="1" s="1"/>
  <c r="BG68" i="1"/>
  <c r="BJ67" i="1"/>
  <c r="BJ73" i="1" s="1"/>
  <c r="BJ79" i="1" s="1"/>
  <c r="BI67" i="1"/>
  <c r="BI27" i="4" s="1"/>
  <c r="BH67" i="1"/>
  <c r="BH27" i="4" s="1"/>
  <c r="BM67" i="1"/>
  <c r="BR67" i="1"/>
  <c r="BR27" i="4" s="1"/>
  <c r="BS67" i="1"/>
  <c r="BS27" i="4" s="1"/>
  <c r="BN67" i="1"/>
  <c r="BN27" i="4" s="1"/>
  <c r="BO67" i="1"/>
  <c r="BO73" i="1" s="1"/>
  <c r="BO79" i="1" s="1"/>
  <c r="BL68" i="1"/>
  <c r="BK67" i="1"/>
  <c r="BQ68" i="1"/>
  <c r="BP67" i="1"/>
  <c r="BS20" i="3"/>
  <c r="I26" i="30"/>
  <c r="I27" i="30" s="1"/>
  <c r="H26" i="30"/>
  <c r="H27" i="30" s="1"/>
  <c r="G26" i="30"/>
  <c r="G27" i="30" s="1"/>
  <c r="F26" i="30"/>
  <c r="F27" i="30" s="1"/>
  <c r="E26" i="30"/>
  <c r="E27" i="30" s="1"/>
  <c r="D26" i="30"/>
  <c r="D27" i="30" s="1"/>
  <c r="C26" i="30"/>
  <c r="C27" i="30" s="1"/>
  <c r="U43" i="30"/>
  <c r="BS45" i="3"/>
  <c r="BS42" i="3"/>
  <c r="BS39" i="3"/>
  <c r="BS318" i="1"/>
  <c r="BS319" i="1"/>
  <c r="BS266" i="1"/>
  <c r="BS223" i="1"/>
  <c r="BS381" i="2"/>
  <c r="BS7" i="4"/>
  <c r="BS8" i="4"/>
  <c r="BS9" i="4"/>
  <c r="BS11" i="4"/>
  <c r="BS12" i="4"/>
  <c r="BS14" i="4"/>
  <c r="BS16" i="4"/>
  <c r="BS17" i="4"/>
  <c r="BS18" i="4"/>
  <c r="BS19" i="4"/>
  <c r="BS20" i="4"/>
  <c r="BS21" i="4"/>
  <c r="BS22" i="4"/>
  <c r="BS23" i="4"/>
  <c r="BS29" i="4"/>
  <c r="BS30" i="4"/>
  <c r="BS31" i="4"/>
  <c r="BS32" i="4"/>
  <c r="BS34" i="4"/>
  <c r="BS35" i="4"/>
  <c r="BS36" i="4"/>
  <c r="BS37" i="4"/>
  <c r="BS38" i="4"/>
  <c r="BS40" i="4"/>
  <c r="BS41" i="4"/>
  <c r="BS42" i="4"/>
  <c r="BS43" i="4"/>
  <c r="BS44" i="4"/>
  <c r="BS45" i="4"/>
  <c r="BS47" i="4"/>
  <c r="BS203" i="1"/>
  <c r="BS86" i="1"/>
  <c r="BS88" i="1" s="1"/>
  <c r="BS55" i="1"/>
  <c r="BS64" i="1" s="1"/>
  <c r="BS137" i="1"/>
  <c r="BS128" i="1"/>
  <c r="BS25" i="3"/>
  <c r="BS22" i="3"/>
  <c r="BS19" i="3"/>
  <c r="BS17" i="3"/>
  <c r="BS16" i="3"/>
  <c r="BS15" i="3"/>
  <c r="BS14" i="3"/>
  <c r="BS32" i="1"/>
  <c r="BS36" i="1"/>
  <c r="BS9" i="3"/>
  <c r="BS10" i="3"/>
  <c r="BS11" i="3"/>
  <c r="BS13" i="1"/>
  <c r="BS9" i="1"/>
  <c r="BS183" i="2"/>
  <c r="BS184" i="2"/>
  <c r="BS188" i="1"/>
  <c r="BS185" i="1"/>
  <c r="BS182" i="2" s="1"/>
  <c r="BS38" i="2"/>
  <c r="BS39" i="2"/>
  <c r="BS40" i="2"/>
  <c r="BS79" i="2"/>
  <c r="BS80" i="2"/>
  <c r="BS81" i="2"/>
  <c r="BS40" i="3"/>
  <c r="BS180" i="2"/>
  <c r="BS181" i="2"/>
  <c r="BS169" i="2"/>
  <c r="BS170" i="2"/>
  <c r="BS171" i="2"/>
  <c r="BS180" i="1"/>
  <c r="BS160" i="1"/>
  <c r="BP168" i="2"/>
  <c r="BU254" i="2" s="1"/>
  <c r="BF235" i="1"/>
  <c r="BE235" i="1"/>
  <c r="BD235" i="1"/>
  <c r="BC235" i="1"/>
  <c r="BR223" i="1"/>
  <c r="O5" i="30"/>
  <c r="O6" i="30" s="1"/>
  <c r="BQ57" i="4"/>
  <c r="BR57" i="4" s="1"/>
  <c r="BQ55" i="4"/>
  <c r="BQ54" i="4"/>
  <c r="BR45" i="3"/>
  <c r="BR39" i="3"/>
  <c r="BR319" i="1"/>
  <c r="BR318" i="1"/>
  <c r="BR266" i="1"/>
  <c r="W43" i="30"/>
  <c r="V43" i="30"/>
  <c r="S43" i="30"/>
  <c r="R43" i="30"/>
  <c r="R45" i="30" s="1"/>
  <c r="Q43" i="30"/>
  <c r="Q45" i="30" s="1"/>
  <c r="P43" i="30"/>
  <c r="P45" i="30" s="1"/>
  <c r="O43" i="30"/>
  <c r="O45" i="30" s="1"/>
  <c r="N43" i="30"/>
  <c r="N45" i="30" s="1"/>
  <c r="M43" i="30"/>
  <c r="M45" i="30" s="1"/>
  <c r="L43" i="30"/>
  <c r="L45" i="30" s="1"/>
  <c r="K43" i="30"/>
  <c r="K45" i="30" s="1"/>
  <c r="K46" i="30" s="1"/>
  <c r="J43" i="30"/>
  <c r="J45" i="30" s="1"/>
  <c r="J46" i="30" s="1"/>
  <c r="I43" i="30"/>
  <c r="I45" i="30" s="1"/>
  <c r="I46" i="30" s="1"/>
  <c r="H43" i="30"/>
  <c r="H45" i="30" s="1"/>
  <c r="H46" i="30" s="1"/>
  <c r="G43" i="30"/>
  <c r="G45" i="30" s="1"/>
  <c r="G46" i="30" s="1"/>
  <c r="F43" i="30"/>
  <c r="F45" i="30" s="1"/>
  <c r="F46" i="30" s="1"/>
  <c r="E43" i="30"/>
  <c r="E45" i="30" s="1"/>
  <c r="E46" i="30" s="1"/>
  <c r="D43" i="30"/>
  <c r="D45" i="30" s="1"/>
  <c r="D46" i="30" s="1"/>
  <c r="M30" i="30"/>
  <c r="L30" i="30"/>
  <c r="K30" i="30"/>
  <c r="J30" i="30"/>
  <c r="I30" i="30"/>
  <c r="H30" i="30"/>
  <c r="G30" i="30"/>
  <c r="F30" i="30"/>
  <c r="E30" i="30"/>
  <c r="D30" i="30"/>
  <c r="C30" i="30"/>
  <c r="L17" i="30"/>
  <c r="K17" i="30"/>
  <c r="J17" i="30"/>
  <c r="H9" i="30"/>
  <c r="H31" i="30" s="1"/>
  <c r="G9" i="30"/>
  <c r="G31" i="30" s="1"/>
  <c r="F9" i="30"/>
  <c r="F31" i="30" s="1"/>
  <c r="E9" i="30"/>
  <c r="E31" i="30" s="1"/>
  <c r="D9" i="30"/>
  <c r="D31" i="30" s="1"/>
  <c r="D34" i="30" s="1"/>
  <c r="C9" i="30"/>
  <c r="C31" i="30" s="1"/>
  <c r="M6" i="30"/>
  <c r="M16" i="30" s="1"/>
  <c r="L6" i="30"/>
  <c r="L9" i="30" s="1"/>
  <c r="L31" i="30" s="1"/>
  <c r="K6" i="30"/>
  <c r="K9" i="30" s="1"/>
  <c r="K31" i="30" s="1"/>
  <c r="J6" i="30"/>
  <c r="J9" i="30" s="1"/>
  <c r="J31" i="30" s="1"/>
  <c r="I6" i="30"/>
  <c r="I9" i="30" s="1"/>
  <c r="I31" i="30" s="1"/>
  <c r="N6" i="30"/>
  <c r="N16" i="30" s="1"/>
  <c r="N17" i="30" s="1"/>
  <c r="BR83" i="17"/>
  <c r="CF391" i="2"/>
  <c r="CA391" i="2"/>
  <c r="BY391" i="2"/>
  <c r="BX391" i="2"/>
  <c r="BW391" i="2"/>
  <c r="BU391" i="2"/>
  <c r="BT391" i="2"/>
  <c r="BS391" i="2"/>
  <c r="BR391" i="2"/>
  <c r="BO391" i="2"/>
  <c r="BN391" i="2"/>
  <c r="BM391" i="2"/>
  <c r="BR185" i="1"/>
  <c r="BR182" i="2" s="1"/>
  <c r="BR48" i="3" s="1"/>
  <c r="BR49" i="5"/>
  <c r="BS49" i="5" s="1"/>
  <c r="BT49" i="5" s="1"/>
  <c r="BU49" i="5" s="1"/>
  <c r="BR47" i="5"/>
  <c r="BS47" i="5" s="1"/>
  <c r="BT47" i="5" s="1"/>
  <c r="BU47" i="5" s="1"/>
  <c r="BR46" i="5"/>
  <c r="BR45" i="5"/>
  <c r="BS45" i="5" s="1"/>
  <c r="BR44" i="5"/>
  <c r="BS44" i="5" s="1"/>
  <c r="BT44" i="5" s="1"/>
  <c r="BU44" i="5" s="1"/>
  <c r="BR43" i="5"/>
  <c r="BR42" i="5"/>
  <c r="BS42" i="5" s="1"/>
  <c r="BT42" i="5" s="1"/>
  <c r="BU42" i="5" s="1"/>
  <c r="BR41" i="5"/>
  <c r="BS41" i="5" s="1"/>
  <c r="BT41" i="5" s="1"/>
  <c r="BU41" i="5" s="1"/>
  <c r="BV41" i="5" s="1"/>
  <c r="BR40" i="5"/>
  <c r="BS40" i="5" s="1"/>
  <c r="BR38" i="5"/>
  <c r="BR37" i="5"/>
  <c r="BS37" i="5" s="1"/>
  <c r="BT37" i="5" s="1"/>
  <c r="BU37" i="5" s="1"/>
  <c r="BV37" i="5" s="1"/>
  <c r="BR36" i="5"/>
  <c r="BS36" i="5" s="1"/>
  <c r="BT36" i="5" s="1"/>
  <c r="BR35" i="5"/>
  <c r="BR34" i="5"/>
  <c r="BR31" i="5"/>
  <c r="BS31" i="5" s="1"/>
  <c r="BR30" i="5"/>
  <c r="BS30" i="5" s="1"/>
  <c r="BR29" i="5"/>
  <c r="BS29" i="5" s="1"/>
  <c r="BT29" i="5" s="1"/>
  <c r="BU29" i="5" s="1"/>
  <c r="BV29" i="5" s="1"/>
  <c r="BR28" i="5"/>
  <c r="BS28" i="5" s="1"/>
  <c r="BT28" i="5" s="1"/>
  <c r="BU28" i="5" s="1"/>
  <c r="BV28" i="5" s="1"/>
  <c r="BR27" i="5"/>
  <c r="BS27" i="5" s="1"/>
  <c r="BT27" i="5" s="1"/>
  <c r="BU27" i="5" s="1"/>
  <c r="BR26" i="5"/>
  <c r="BS26" i="5" s="1"/>
  <c r="BT26" i="5" s="1"/>
  <c r="BU26" i="5" s="1"/>
  <c r="BR25" i="5"/>
  <c r="BS25" i="5" s="1"/>
  <c r="BT25" i="5" s="1"/>
  <c r="BU25" i="5" s="1"/>
  <c r="BR24" i="5"/>
  <c r="BS24" i="5" s="1"/>
  <c r="BT24" i="5" s="1"/>
  <c r="BU24" i="5" s="1"/>
  <c r="BR21" i="5"/>
  <c r="BS21" i="5" s="1"/>
  <c r="BT21" i="5" s="1"/>
  <c r="BU21" i="5" s="1"/>
  <c r="BV21" i="5" s="1"/>
  <c r="BR19" i="5"/>
  <c r="BS19" i="5" s="1"/>
  <c r="BT19" i="5" s="1"/>
  <c r="BR17" i="5"/>
  <c r="BS17" i="5" s="1"/>
  <c r="BR16" i="5"/>
  <c r="BS16" i="5" s="1"/>
  <c r="BR15" i="5"/>
  <c r="BS15" i="5" s="1"/>
  <c r="BR14" i="5"/>
  <c r="BS14" i="5" s="1"/>
  <c r="BR13" i="5"/>
  <c r="BR12" i="5"/>
  <c r="BS12" i="5" s="1"/>
  <c r="BR11" i="5"/>
  <c r="BS11" i="5" s="1"/>
  <c r="BR10" i="5"/>
  <c r="BR9" i="5"/>
  <c r="BR8" i="5"/>
  <c r="BS8" i="5" s="1"/>
  <c r="BR7" i="5"/>
  <c r="BR47" i="4"/>
  <c r="BR45" i="4"/>
  <c r="BR44" i="4"/>
  <c r="BR43" i="4"/>
  <c r="BR42" i="4"/>
  <c r="BR41" i="4"/>
  <c r="BR40" i="4"/>
  <c r="BR38" i="4"/>
  <c r="BR36" i="4"/>
  <c r="BR35" i="4"/>
  <c r="BR34" i="4"/>
  <c r="BR32" i="4"/>
  <c r="BR31" i="4"/>
  <c r="BR30" i="4"/>
  <c r="BR29" i="4"/>
  <c r="BR23" i="4"/>
  <c r="BR22" i="4"/>
  <c r="BR21" i="4"/>
  <c r="BR20" i="4"/>
  <c r="BR19" i="4"/>
  <c r="BR18" i="4"/>
  <c r="BR17" i="4"/>
  <c r="BR16" i="4"/>
  <c r="BR14" i="4"/>
  <c r="BR13" i="4"/>
  <c r="BR12" i="4"/>
  <c r="BR11" i="4"/>
  <c r="BR9" i="4"/>
  <c r="BR8" i="4"/>
  <c r="BR7" i="4"/>
  <c r="BR137" i="1"/>
  <c r="BR128" i="1"/>
  <c r="BR86" i="1"/>
  <c r="BR88" i="1" s="1"/>
  <c r="BR77" i="1"/>
  <c r="BR37" i="4" s="1"/>
  <c r="BR55" i="1"/>
  <c r="BR64" i="1" s="1"/>
  <c r="BR42" i="3"/>
  <c r="BR40" i="3"/>
  <c r="BR25" i="3"/>
  <c r="BR22" i="3"/>
  <c r="BR20" i="3"/>
  <c r="BR19" i="3"/>
  <c r="BR17" i="3"/>
  <c r="BR16" i="3"/>
  <c r="BR15" i="3"/>
  <c r="BR14" i="3"/>
  <c r="BR184" i="2"/>
  <c r="BR183" i="2"/>
  <c r="BR181" i="2"/>
  <c r="BR180" i="2"/>
  <c r="BR171" i="2"/>
  <c r="BR170" i="2"/>
  <c r="BR169" i="2"/>
  <c r="BR81" i="2"/>
  <c r="BR80" i="2"/>
  <c r="BR79" i="2"/>
  <c r="BR40" i="2"/>
  <c r="BR39" i="2"/>
  <c r="BR38" i="2"/>
  <c r="BR36" i="1"/>
  <c r="BR32" i="1"/>
  <c r="BR13" i="1"/>
  <c r="BR9" i="1"/>
  <c r="BR203" i="1"/>
  <c r="BR188" i="1"/>
  <c r="BR185" i="2" s="1"/>
  <c r="BR180" i="1"/>
  <c r="BR160" i="1"/>
  <c r="BL87" i="17"/>
  <c r="BP279" i="1"/>
  <c r="BP42" i="3"/>
  <c r="BP40" i="1"/>
  <c r="BQ290" i="1"/>
  <c r="BQ432" i="1"/>
  <c r="BQ415" i="1"/>
  <c r="BQ283" i="1"/>
  <c r="BQ225" i="1"/>
  <c r="BQ320" i="2" s="1"/>
  <c r="BQ222" i="1"/>
  <c r="BQ318" i="2" s="1"/>
  <c r="BQ220" i="1"/>
  <c r="BQ316" i="2" s="1"/>
  <c r="BQ219" i="1"/>
  <c r="BQ315" i="2" s="1"/>
  <c r="BP223" i="1"/>
  <c r="BQ223" i="1" s="1"/>
  <c r="BQ187" i="1"/>
  <c r="BQ186" i="1"/>
  <c r="BQ184" i="1"/>
  <c r="BQ182" i="1"/>
  <c r="BQ173" i="1"/>
  <c r="BQ172" i="1"/>
  <c r="BQ171" i="1"/>
  <c r="BQ170" i="1"/>
  <c r="BQ164" i="1"/>
  <c r="BQ163" i="1"/>
  <c r="BQ162" i="1"/>
  <c r="BQ153" i="1"/>
  <c r="BQ152" i="1"/>
  <c r="BQ151" i="1"/>
  <c r="BQ150" i="1"/>
  <c r="BQ138" i="1"/>
  <c r="BQ136" i="1"/>
  <c r="BQ135" i="1"/>
  <c r="BQ134" i="1"/>
  <c r="BQ133" i="1"/>
  <c r="BQ132" i="1"/>
  <c r="BQ131" i="1"/>
  <c r="BQ130" i="1"/>
  <c r="BQ129" i="1"/>
  <c r="BQ127" i="1"/>
  <c r="BQ126" i="1"/>
  <c r="BQ125" i="1"/>
  <c r="BQ124" i="1"/>
  <c r="BQ123" i="1"/>
  <c r="BQ122" i="1"/>
  <c r="BQ120" i="1"/>
  <c r="BQ119" i="1"/>
  <c r="BQ118" i="1"/>
  <c r="BQ117" i="1"/>
  <c r="BQ116" i="1"/>
  <c r="BQ115" i="1"/>
  <c r="BQ114" i="1"/>
  <c r="BQ110" i="1"/>
  <c r="BQ111" i="1"/>
  <c r="BQ108" i="1"/>
  <c r="BQ106" i="1"/>
  <c r="BQ105" i="1"/>
  <c r="BQ104" i="1"/>
  <c r="BQ103" i="1"/>
  <c r="BQ102" i="1"/>
  <c r="BQ101" i="1"/>
  <c r="BQ100" i="1"/>
  <c r="BQ99" i="1"/>
  <c r="BQ98" i="1"/>
  <c r="BQ97" i="1"/>
  <c r="BQ96" i="1"/>
  <c r="BQ87" i="1"/>
  <c r="BQ85" i="1"/>
  <c r="BQ84" i="1"/>
  <c r="BQ83" i="1"/>
  <c r="BQ82" i="1"/>
  <c r="BQ81" i="1"/>
  <c r="BQ80" i="1"/>
  <c r="BQ78" i="1"/>
  <c r="BQ77" i="1"/>
  <c r="BQ76" i="1"/>
  <c r="BQ319" i="1" s="1"/>
  <c r="BQ75" i="1"/>
  <c r="BQ74" i="1"/>
  <c r="BQ72" i="1"/>
  <c r="BQ71" i="1"/>
  <c r="BQ70" i="1"/>
  <c r="BQ69" i="1"/>
  <c r="BQ63" i="1"/>
  <c r="BQ62" i="1"/>
  <c r="BQ61" i="1"/>
  <c r="BQ60" i="1"/>
  <c r="BQ318" i="1" s="1"/>
  <c r="BQ59" i="1"/>
  <c r="BQ58" i="1"/>
  <c r="BQ57" i="1"/>
  <c r="BQ56" i="1"/>
  <c r="BQ53" i="1"/>
  <c r="BQ52" i="1"/>
  <c r="BQ51" i="1"/>
  <c r="BQ49" i="1"/>
  <c r="BQ48" i="1"/>
  <c r="BQ47" i="1"/>
  <c r="BQ28" i="1"/>
  <c r="BQ25" i="1"/>
  <c r="BQ23" i="1"/>
  <c r="BQ22" i="1"/>
  <c r="BQ17" i="1"/>
  <c r="BQ16" i="1"/>
  <c r="BQ15" i="1"/>
  <c r="BQ14" i="1"/>
  <c r="BQ12" i="1"/>
  <c r="BQ11" i="3" s="1"/>
  <c r="BQ11" i="1"/>
  <c r="BQ10" i="3" s="1"/>
  <c r="BQ10" i="1"/>
  <c r="BQ9" i="3" s="1"/>
  <c r="BQ8" i="1"/>
  <c r="BQ7" i="3" s="1"/>
  <c r="BQ7" i="1"/>
  <c r="BQ307" i="1"/>
  <c r="BP294" i="1"/>
  <c r="BP306" i="1"/>
  <c r="BP393" i="2" s="1"/>
  <c r="BP304" i="1"/>
  <c r="BP391" i="2" s="1"/>
  <c r="BP286" i="1"/>
  <c r="BP45" i="3" s="1"/>
  <c r="BP319" i="1"/>
  <c r="BP318" i="1"/>
  <c r="BQ267" i="1"/>
  <c r="BP210" i="1"/>
  <c r="BP266" i="1"/>
  <c r="BQ196" i="1"/>
  <c r="BQ293" i="2" s="1"/>
  <c r="BQ195" i="1"/>
  <c r="BQ292" i="2" s="1"/>
  <c r="BQ194" i="1"/>
  <c r="BQ193" i="1"/>
  <c r="BQ290" i="2" s="1"/>
  <c r="BQ207" i="1"/>
  <c r="BQ303" i="2" s="1"/>
  <c r="BP20" i="3"/>
  <c r="BP47" i="4"/>
  <c r="BP45" i="4"/>
  <c r="BQ45" i="4" s="1"/>
  <c r="BP44" i="4"/>
  <c r="BQ44" i="4" s="1"/>
  <c r="BP43" i="4"/>
  <c r="BP42" i="4"/>
  <c r="BQ42" i="4" s="1"/>
  <c r="BP41" i="4"/>
  <c r="BQ41" i="4" s="1"/>
  <c r="BP40" i="4"/>
  <c r="BQ40" i="4" s="1"/>
  <c r="BP38" i="4"/>
  <c r="BQ38" i="4" s="1"/>
  <c r="BP37" i="4"/>
  <c r="BP36" i="4"/>
  <c r="BQ36" i="4" s="1"/>
  <c r="BP35" i="4"/>
  <c r="BQ35" i="4" s="1"/>
  <c r="BP34" i="4"/>
  <c r="BQ34" i="4" s="1"/>
  <c r="BP32" i="4"/>
  <c r="BQ32" i="4" s="1"/>
  <c r="BP31" i="4"/>
  <c r="BQ31" i="4" s="1"/>
  <c r="BP30" i="4"/>
  <c r="BQ30" i="4" s="1"/>
  <c r="BP29" i="4"/>
  <c r="BQ29" i="4" s="1"/>
  <c r="BP23" i="4"/>
  <c r="BP22" i="4"/>
  <c r="BQ22" i="4" s="1"/>
  <c r="BP21" i="4"/>
  <c r="BQ21" i="4" s="1"/>
  <c r="BP20" i="4"/>
  <c r="BQ20" i="4" s="1"/>
  <c r="BP19" i="4"/>
  <c r="BP18" i="4"/>
  <c r="BQ18" i="4" s="1"/>
  <c r="BP17" i="4"/>
  <c r="BQ17" i="4" s="1"/>
  <c r="BP16" i="4"/>
  <c r="BQ16" i="4" s="1"/>
  <c r="BP14" i="4"/>
  <c r="BP13" i="4"/>
  <c r="BP12" i="4"/>
  <c r="BQ12" i="4" s="1"/>
  <c r="BP11" i="4"/>
  <c r="BQ11" i="4" s="1"/>
  <c r="BP9" i="4"/>
  <c r="BP8" i="4"/>
  <c r="BQ8" i="4" s="1"/>
  <c r="BP7" i="4"/>
  <c r="BQ7" i="4" s="1"/>
  <c r="BP86" i="1"/>
  <c r="BP88" i="1" s="1"/>
  <c r="BP55" i="1"/>
  <c r="BP64" i="1" s="1"/>
  <c r="BP137" i="1"/>
  <c r="BP128" i="1"/>
  <c r="BP203" i="1"/>
  <c r="BP206" i="1" s="1"/>
  <c r="BP208" i="1" s="1"/>
  <c r="BP40" i="3"/>
  <c r="BP9" i="3"/>
  <c r="BP10" i="3"/>
  <c r="BP11" i="3"/>
  <c r="BP14" i="3"/>
  <c r="BP15" i="3"/>
  <c r="BP16" i="3"/>
  <c r="BP17" i="3"/>
  <c r="BP19" i="3"/>
  <c r="BP22" i="3"/>
  <c r="BP25" i="3"/>
  <c r="BP181" i="2"/>
  <c r="BP183" i="2"/>
  <c r="BP184" i="2"/>
  <c r="BP180" i="2"/>
  <c r="BP171" i="2"/>
  <c r="BP170" i="2"/>
  <c r="BP169" i="2"/>
  <c r="BP81" i="2"/>
  <c r="BP80" i="2"/>
  <c r="BP79" i="2"/>
  <c r="BP40" i="2"/>
  <c r="BP39" i="2"/>
  <c r="BP38" i="2"/>
  <c r="BP36" i="2"/>
  <c r="BP185" i="1"/>
  <c r="BP182" i="2" s="1"/>
  <c r="BP48" i="3" s="1"/>
  <c r="BP188" i="1"/>
  <c r="BP180" i="1"/>
  <c r="BP183" i="1" s="1"/>
  <c r="BP160" i="1"/>
  <c r="BP165" i="1" s="1"/>
  <c r="BP36" i="1"/>
  <c r="BP13" i="1"/>
  <c r="BP9" i="1"/>
  <c r="BR11" i="3"/>
  <c r="BR10" i="3"/>
  <c r="BR9" i="3"/>
  <c r="BT7" i="3"/>
  <c r="BS7" i="3"/>
  <c r="BR7" i="3"/>
  <c r="BP7" i="3"/>
  <c r="BT6" i="3"/>
  <c r="BS6" i="3"/>
  <c r="BR6" i="3"/>
  <c r="BP6" i="3"/>
  <c r="CF247" i="2"/>
  <c r="CF246" i="2"/>
  <c r="CF245" i="2"/>
  <c r="CF244" i="2"/>
  <c r="CF243" i="2"/>
  <c r="CF242" i="2"/>
  <c r="CF393" i="2"/>
  <c r="CA393" i="2"/>
  <c r="BY393" i="2"/>
  <c r="BX393" i="2"/>
  <c r="BW393" i="2"/>
  <c r="BV393" i="2"/>
  <c r="BT393" i="2"/>
  <c r="BS393" i="2"/>
  <c r="BR393" i="2"/>
  <c r="BQ393" i="2"/>
  <c r="BO393" i="2"/>
  <c r="BN393" i="2"/>
  <c r="BM393" i="2"/>
  <c r="BL393" i="2"/>
  <c r="BJ393" i="2"/>
  <c r="BI393" i="2"/>
  <c r="BH393" i="2"/>
  <c r="BG393" i="2"/>
  <c r="BE393" i="2"/>
  <c r="BD393" i="2"/>
  <c r="BC393" i="2"/>
  <c r="BA393" i="2"/>
  <c r="AZ393" i="2"/>
  <c r="AY393" i="2"/>
  <c r="AX393" i="2"/>
  <c r="AV393" i="2"/>
  <c r="AU393" i="2"/>
  <c r="AT393" i="2"/>
  <c r="BX384" i="2"/>
  <c r="BW384" i="2"/>
  <c r="BV384" i="2"/>
  <c r="BU384" i="2"/>
  <c r="BT384" i="2"/>
  <c r="BS384" i="2"/>
  <c r="BR384" i="2"/>
  <c r="BQ384" i="2"/>
  <c r="BP384" i="2"/>
  <c r="BO384" i="2"/>
  <c r="BN384" i="2"/>
  <c r="BM384" i="2"/>
  <c r="BL384" i="2"/>
  <c r="BK384" i="2"/>
  <c r="BJ384" i="2"/>
  <c r="BI384" i="2"/>
  <c r="BH384" i="2"/>
  <c r="BX383" i="2"/>
  <c r="BW383" i="2"/>
  <c r="BV383" i="2"/>
  <c r="BU383" i="2"/>
  <c r="BT383" i="2"/>
  <c r="BS383" i="2"/>
  <c r="BR383" i="2"/>
  <c r="BQ383" i="2"/>
  <c r="BP383" i="2"/>
  <c r="BO383" i="2"/>
  <c r="BN383" i="2"/>
  <c r="BM383" i="2"/>
  <c r="BL383" i="2"/>
  <c r="BK383" i="2"/>
  <c r="BJ383" i="2"/>
  <c r="BI383" i="2"/>
  <c r="BH383" i="2"/>
  <c r="BX382" i="2"/>
  <c r="BW382" i="2"/>
  <c r="BV382" i="2"/>
  <c r="BU382" i="2"/>
  <c r="BT382" i="2"/>
  <c r="BS382" i="2"/>
  <c r="BR382" i="2"/>
  <c r="BQ382" i="2"/>
  <c r="BP382" i="2"/>
  <c r="BO382" i="2"/>
  <c r="BN382" i="2"/>
  <c r="BM382" i="2"/>
  <c r="BL382" i="2"/>
  <c r="BK382" i="2"/>
  <c r="BJ382" i="2"/>
  <c r="BI382" i="2"/>
  <c r="BH382" i="2"/>
  <c r="CF381" i="2"/>
  <c r="BY381" i="2"/>
  <c r="BX381" i="2"/>
  <c r="BW381" i="2"/>
  <c r="BU381" i="2"/>
  <c r="BT381" i="2"/>
  <c r="BR381" i="2"/>
  <c r="BQ381" i="2"/>
  <c r="BO381" i="2"/>
  <c r="BN381" i="2"/>
  <c r="BM381" i="2"/>
  <c r="BL381" i="2"/>
  <c r="BJ381" i="2"/>
  <c r="BI381" i="2"/>
  <c r="BH381" i="2"/>
  <c r="BG384" i="2"/>
  <c r="BF384" i="2"/>
  <c r="BE384" i="2"/>
  <c r="BD384" i="2"/>
  <c r="BC384" i="2"/>
  <c r="BB384" i="2"/>
  <c r="BA384" i="2"/>
  <c r="AZ384" i="2"/>
  <c r="AY384" i="2"/>
  <c r="AX384" i="2"/>
  <c r="AV384" i="2"/>
  <c r="AU384" i="2"/>
  <c r="AT384" i="2"/>
  <c r="AS384" i="2"/>
  <c r="BG383" i="2"/>
  <c r="BF383" i="2"/>
  <c r="BE383" i="2"/>
  <c r="BD383" i="2"/>
  <c r="BC383" i="2"/>
  <c r="BB383" i="2"/>
  <c r="BA383" i="2"/>
  <c r="AZ383" i="2"/>
  <c r="AY383" i="2"/>
  <c r="AX383" i="2"/>
  <c r="AV383" i="2"/>
  <c r="AU383" i="2"/>
  <c r="AT383" i="2"/>
  <c r="AS383" i="2"/>
  <c r="BG381" i="2"/>
  <c r="BE381" i="2"/>
  <c r="BD381" i="2"/>
  <c r="BC381" i="2"/>
  <c r="BA381" i="2"/>
  <c r="AZ381" i="2"/>
  <c r="AY381" i="2"/>
  <c r="AX381" i="2"/>
  <c r="AV381" i="2"/>
  <c r="AU381" i="2"/>
  <c r="AT381" i="2"/>
  <c r="AS381" i="2"/>
  <c r="CA359" i="2"/>
  <c r="CA375" i="2" s="1"/>
  <c r="BZ359" i="2"/>
  <c r="BY359" i="2"/>
  <c r="BX359" i="2"/>
  <c r="BW359" i="2"/>
  <c r="BV359" i="2"/>
  <c r="BV375" i="2" s="1"/>
  <c r="BU359" i="2"/>
  <c r="BT359" i="2"/>
  <c r="BS359" i="2"/>
  <c r="BR359" i="2"/>
  <c r="BQ359" i="2"/>
  <c r="BQ375" i="2" s="1"/>
  <c r="CA358" i="2"/>
  <c r="CA374" i="2" s="1"/>
  <c r="BZ358" i="2"/>
  <c r="BY358" i="2"/>
  <c r="BX358" i="2"/>
  <c r="BW358" i="2"/>
  <c r="BV358" i="2"/>
  <c r="BV374" i="2" s="1"/>
  <c r="BU358" i="2"/>
  <c r="BT358" i="2"/>
  <c r="BS358" i="2"/>
  <c r="BR358" i="2"/>
  <c r="BQ358" i="2"/>
  <c r="BQ374" i="2" s="1"/>
  <c r="CA357" i="2"/>
  <c r="CA373" i="2" s="1"/>
  <c r="BZ357" i="2"/>
  <c r="BY357" i="2"/>
  <c r="BX357" i="2"/>
  <c r="BW357" i="2"/>
  <c r="BV357" i="2"/>
  <c r="BV373" i="2" s="1"/>
  <c r="BU357" i="2"/>
  <c r="BT357" i="2"/>
  <c r="BS357" i="2"/>
  <c r="BR357" i="2"/>
  <c r="BQ357" i="2"/>
  <c r="BQ373" i="2" s="1"/>
  <c r="CA356" i="2"/>
  <c r="CA372" i="2" s="1"/>
  <c r="BZ356" i="2"/>
  <c r="BY356" i="2"/>
  <c r="BX356" i="2"/>
  <c r="BW356" i="2"/>
  <c r="BV356" i="2"/>
  <c r="BV372" i="2" s="1"/>
  <c r="BU356" i="2"/>
  <c r="BT356" i="2"/>
  <c r="BS356" i="2"/>
  <c r="BR356" i="2"/>
  <c r="BQ356" i="2"/>
  <c r="BQ372" i="2" s="1"/>
  <c r="CA355" i="2"/>
  <c r="CA371" i="2" s="1"/>
  <c r="BZ355" i="2"/>
  <c r="BY355" i="2"/>
  <c r="BX355" i="2"/>
  <c r="BW355" i="2"/>
  <c r="BV355" i="2"/>
  <c r="BV371" i="2" s="1"/>
  <c r="BU355" i="2"/>
  <c r="BT355" i="2"/>
  <c r="BS355" i="2"/>
  <c r="BR355" i="2"/>
  <c r="BQ355" i="2"/>
  <c r="BQ371" i="2" s="1"/>
  <c r="CA354" i="2"/>
  <c r="CA370" i="2" s="1"/>
  <c r="BZ354" i="2"/>
  <c r="BY354" i="2"/>
  <c r="BX354" i="2"/>
  <c r="BW354" i="2"/>
  <c r="BV354" i="2"/>
  <c r="BV370" i="2" s="1"/>
  <c r="BU354" i="2"/>
  <c r="BT354" i="2"/>
  <c r="BS354" i="2"/>
  <c r="BR354" i="2"/>
  <c r="BQ354" i="2"/>
  <c r="BQ370" i="2" s="1"/>
  <c r="BY321" i="2"/>
  <c r="CF320" i="2"/>
  <c r="BZ320" i="2"/>
  <c r="BY320" i="2"/>
  <c r="BX320" i="2"/>
  <c r="BW320" i="2"/>
  <c r="BU320" i="2"/>
  <c r="BT320" i="2"/>
  <c r="BS320" i="2"/>
  <c r="BR320" i="2"/>
  <c r="BZ318" i="2"/>
  <c r="BY318" i="2"/>
  <c r="BX318" i="2"/>
  <c r="BW318" i="2"/>
  <c r="BU318" i="2"/>
  <c r="BT318" i="2"/>
  <c r="BS318" i="2"/>
  <c r="BR318" i="2"/>
  <c r="CF317" i="2"/>
  <c r="CF327" i="2" s="1"/>
  <c r="CA317" i="2"/>
  <c r="CA327" i="2" s="1"/>
  <c r="BZ317" i="2"/>
  <c r="BZ327" i="2" s="1"/>
  <c r="BY317" i="2"/>
  <c r="BY327" i="2" s="1"/>
  <c r="BX317" i="2"/>
  <c r="BX327" i="2" s="1"/>
  <c r="BW317" i="2"/>
  <c r="BW327" i="2" s="1"/>
  <c r="BV317" i="2"/>
  <c r="BV327" i="2" s="1"/>
  <c r="BU317" i="2"/>
  <c r="BU327" i="2" s="1"/>
  <c r="BT317" i="2"/>
  <c r="BT327" i="2" s="1"/>
  <c r="BS317" i="2"/>
  <c r="BS327" i="2" s="1"/>
  <c r="BR317" i="2"/>
  <c r="BR327" i="2" s="1"/>
  <c r="BQ317" i="2"/>
  <c r="BQ327" i="2" s="1"/>
  <c r="BZ316" i="2"/>
  <c r="BY316" i="2"/>
  <c r="BX316" i="2"/>
  <c r="BW316" i="2"/>
  <c r="BU316" i="2"/>
  <c r="BT316" i="2"/>
  <c r="BS316" i="2"/>
  <c r="BR316" i="2"/>
  <c r="CF315" i="2"/>
  <c r="BZ315" i="2"/>
  <c r="BY315" i="2"/>
  <c r="BX315" i="2"/>
  <c r="BW315" i="2"/>
  <c r="BU315" i="2"/>
  <c r="BT315" i="2"/>
  <c r="BS315" i="2"/>
  <c r="BR315" i="2"/>
  <c r="CF314" i="2"/>
  <c r="CF324" i="2" s="1"/>
  <c r="CA314" i="2"/>
  <c r="CA324" i="2" s="1"/>
  <c r="BZ314" i="2"/>
  <c r="BZ324" i="2" s="1"/>
  <c r="BY314" i="2"/>
  <c r="BY324" i="2" s="1"/>
  <c r="BX314" i="2"/>
  <c r="BX324" i="2" s="1"/>
  <c r="BW314" i="2"/>
  <c r="BW324" i="2" s="1"/>
  <c r="BV314" i="2"/>
  <c r="BV324" i="2" s="1"/>
  <c r="BU314" i="2"/>
  <c r="BU324" i="2" s="1"/>
  <c r="BT314" i="2"/>
  <c r="BT324" i="2" s="1"/>
  <c r="BS314" i="2"/>
  <c r="BS324" i="2" s="1"/>
  <c r="BR314" i="2"/>
  <c r="BR324" i="2" s="1"/>
  <c r="BQ314" i="2"/>
  <c r="BQ324" i="2" s="1"/>
  <c r="CA182" i="2"/>
  <c r="BP320" i="2"/>
  <c r="BP318" i="2"/>
  <c r="BP317" i="2"/>
  <c r="BP327" i="2" s="1"/>
  <c r="BP316" i="2"/>
  <c r="BP315" i="2"/>
  <c r="BP314" i="2"/>
  <c r="BP324" i="2" s="1"/>
  <c r="BZ303" i="2"/>
  <c r="BY303" i="2"/>
  <c r="BX303" i="2"/>
  <c r="BW303" i="2"/>
  <c r="BU303" i="2"/>
  <c r="BT303" i="2"/>
  <c r="BS303" i="2"/>
  <c r="BR303" i="2"/>
  <c r="BP303" i="2"/>
  <c r="BX293" i="2"/>
  <c r="BW293" i="2"/>
  <c r="BU293" i="2"/>
  <c r="BT293" i="2"/>
  <c r="BS293" i="2"/>
  <c r="BR293" i="2"/>
  <c r="BP293" i="2"/>
  <c r="BX292" i="2"/>
  <c r="BW292" i="2"/>
  <c r="BU292" i="2"/>
  <c r="BT292" i="2"/>
  <c r="BS292" i="2"/>
  <c r="BR292" i="2"/>
  <c r="BP292" i="2"/>
  <c r="BX291" i="2"/>
  <c r="BW291" i="2"/>
  <c r="BU291" i="2"/>
  <c r="BT291" i="2"/>
  <c r="BS291" i="2"/>
  <c r="BR291" i="2"/>
  <c r="BP291" i="2"/>
  <c r="BY290" i="2"/>
  <c r="BX290" i="2"/>
  <c r="BW290" i="2"/>
  <c r="BU290" i="2"/>
  <c r="BT290" i="2"/>
  <c r="BS290" i="2"/>
  <c r="BR290" i="2"/>
  <c r="BP290" i="2"/>
  <c r="BZ37" i="17"/>
  <c r="BY37" i="17"/>
  <c r="BW37" i="17"/>
  <c r="BZ36" i="17"/>
  <c r="BY36" i="17"/>
  <c r="BW36" i="17"/>
  <c r="BZ19" i="17"/>
  <c r="BY19" i="17"/>
  <c r="BW19" i="17"/>
  <c r="BZ18" i="17"/>
  <c r="BY18" i="17"/>
  <c r="BW18" i="17"/>
  <c r="CA52" i="12"/>
  <c r="BZ55" i="12"/>
  <c r="BY55" i="12"/>
  <c r="BX55" i="12"/>
  <c r="BW55" i="12"/>
  <c r="BZ45" i="12"/>
  <c r="BY45" i="12"/>
  <c r="BX45" i="12"/>
  <c r="BW45" i="12"/>
  <c r="CA42" i="12"/>
  <c r="CF103" i="2"/>
  <c r="CF97" i="2"/>
  <c r="CF93" i="2"/>
  <c r="CF90" i="2"/>
  <c r="CF89" i="2"/>
  <c r="CF88" i="2"/>
  <c r="CF101" i="2"/>
  <c r="BO83" i="17"/>
  <c r="BO37" i="17"/>
  <c r="BO36" i="17"/>
  <c r="BO19" i="17"/>
  <c r="BO18" i="17"/>
  <c r="BO318" i="1"/>
  <c r="BO319" i="1"/>
  <c r="BO223" i="1"/>
  <c r="BO307" i="1"/>
  <c r="BO266" i="1"/>
  <c r="BO39" i="3"/>
  <c r="BO42" i="3"/>
  <c r="BO45" i="3"/>
  <c r="BO20" i="3"/>
  <c r="BQ87" i="17"/>
  <c r="BO47" i="4"/>
  <c r="BO45" i="4"/>
  <c r="BO44" i="4"/>
  <c r="BO43" i="4"/>
  <c r="BO42" i="4"/>
  <c r="BO41" i="4"/>
  <c r="BO40" i="4"/>
  <c r="BO38" i="4"/>
  <c r="BO37" i="4"/>
  <c r="BO36" i="4"/>
  <c r="BO35" i="4"/>
  <c r="BO34" i="4"/>
  <c r="BO32" i="4"/>
  <c r="BO31" i="4"/>
  <c r="BO30" i="4"/>
  <c r="BO29" i="4"/>
  <c r="BO23" i="4"/>
  <c r="BO22" i="4"/>
  <c r="BO21" i="4"/>
  <c r="BO20" i="4"/>
  <c r="BO19" i="4"/>
  <c r="BO18" i="4"/>
  <c r="BO17" i="4"/>
  <c r="BO16" i="4"/>
  <c r="BO14" i="4"/>
  <c r="BO13" i="4"/>
  <c r="BO12" i="4"/>
  <c r="BO11" i="4"/>
  <c r="BO9" i="4"/>
  <c r="BO8" i="4"/>
  <c r="BO7" i="4"/>
  <c r="BO86" i="1"/>
  <c r="BO88" i="1" s="1"/>
  <c r="BO55" i="1"/>
  <c r="BO64" i="1" s="1"/>
  <c r="BO137" i="1"/>
  <c r="BO128" i="1"/>
  <c r="BO290" i="2"/>
  <c r="BO291" i="2"/>
  <c r="BO292" i="2"/>
  <c r="BO293" i="2"/>
  <c r="BO303" i="2"/>
  <c r="BO210" i="1"/>
  <c r="BO203" i="1"/>
  <c r="BO40" i="3"/>
  <c r="BO6" i="3"/>
  <c r="BO7" i="3"/>
  <c r="BO9" i="3"/>
  <c r="BO10" i="3"/>
  <c r="BO11" i="3"/>
  <c r="BO14" i="3"/>
  <c r="BO15" i="3"/>
  <c r="BO16" i="3"/>
  <c r="BO17" i="3"/>
  <c r="BO19" i="3"/>
  <c r="BO22" i="3"/>
  <c r="BO25" i="3"/>
  <c r="BO185" i="2"/>
  <c r="BO184" i="2"/>
  <c r="BO183" i="2"/>
  <c r="BO181" i="2"/>
  <c r="BO180" i="2"/>
  <c r="BO171" i="2"/>
  <c r="BO170" i="2"/>
  <c r="BO169" i="2"/>
  <c r="BO168" i="2"/>
  <c r="BO81" i="2"/>
  <c r="BO80" i="2"/>
  <c r="BO79" i="2"/>
  <c r="BO40" i="2"/>
  <c r="BO39" i="2"/>
  <c r="BO38" i="2"/>
  <c r="BO36" i="2"/>
  <c r="BO185" i="1"/>
  <c r="BO180" i="1"/>
  <c r="BO183" i="1" s="1"/>
  <c r="BO160" i="1"/>
  <c r="BO32" i="1"/>
  <c r="BO36" i="1"/>
  <c r="BO13" i="1"/>
  <c r="BO9" i="1"/>
  <c r="BN83" i="17"/>
  <c r="BM83" i="17"/>
  <c r="BL83" i="17"/>
  <c r="BJ83" i="17"/>
  <c r="BI83" i="17"/>
  <c r="BH83" i="17"/>
  <c r="BG83" i="17"/>
  <c r="BN168" i="2"/>
  <c r="BV247" i="2"/>
  <c r="BV246" i="2"/>
  <c r="BV245" i="2"/>
  <c r="BV244" i="2"/>
  <c r="BV243" i="2"/>
  <c r="BV242" i="2"/>
  <c r="BV103" i="2"/>
  <c r="BV97" i="2"/>
  <c r="BV93" i="2"/>
  <c r="BV90" i="2"/>
  <c r="BV89" i="2"/>
  <c r="BV88" i="2"/>
  <c r="BV87" i="2"/>
  <c r="BV52" i="12"/>
  <c r="BU55" i="12"/>
  <c r="BT55" i="12"/>
  <c r="BS55" i="12"/>
  <c r="BR55" i="12"/>
  <c r="BU45" i="12"/>
  <c r="BS45" i="12"/>
  <c r="BR45" i="12"/>
  <c r="BV101" i="2"/>
  <c r="BT37" i="17"/>
  <c r="BS37" i="17"/>
  <c r="BR37" i="17"/>
  <c r="BT36" i="17"/>
  <c r="BS36" i="17"/>
  <c r="BR36" i="17"/>
  <c r="BT19" i="17"/>
  <c r="BS19" i="17"/>
  <c r="BR19" i="17"/>
  <c r="BS18" i="17"/>
  <c r="BR18" i="17"/>
  <c r="BN47" i="4"/>
  <c r="BN45" i="4"/>
  <c r="BN44" i="4"/>
  <c r="BN43" i="4"/>
  <c r="BN42" i="4"/>
  <c r="BN41" i="4"/>
  <c r="BN40" i="4"/>
  <c r="BN38" i="4"/>
  <c r="BN37" i="4"/>
  <c r="BN36" i="4"/>
  <c r="BN35" i="4"/>
  <c r="BN34" i="4"/>
  <c r="BN32" i="4"/>
  <c r="BN31" i="4"/>
  <c r="BN30" i="4"/>
  <c r="BN29" i="4"/>
  <c r="BN23" i="4"/>
  <c r="BN22" i="4"/>
  <c r="BN21" i="4"/>
  <c r="BN20" i="4"/>
  <c r="BN19" i="4"/>
  <c r="BN18" i="4"/>
  <c r="BN17" i="4"/>
  <c r="BN16" i="4"/>
  <c r="BN14" i="4"/>
  <c r="BN13" i="4"/>
  <c r="BN12" i="4"/>
  <c r="BN11" i="4"/>
  <c r="BN9" i="4"/>
  <c r="BN8" i="4"/>
  <c r="BN7" i="4"/>
  <c r="BN45" i="3"/>
  <c r="BN42" i="3"/>
  <c r="BN39" i="3"/>
  <c r="BN25" i="3"/>
  <c r="BN22" i="3"/>
  <c r="BN20" i="3"/>
  <c r="BN19" i="3"/>
  <c r="BN17" i="3"/>
  <c r="BN16" i="3"/>
  <c r="BN15" i="3"/>
  <c r="BN14" i="3"/>
  <c r="BN11" i="3"/>
  <c r="BN10" i="3"/>
  <c r="BN9" i="3"/>
  <c r="BN359" i="2"/>
  <c r="BN358" i="2"/>
  <c r="BN357" i="2"/>
  <c r="BN356" i="2"/>
  <c r="BN355" i="2"/>
  <c r="BN354" i="2"/>
  <c r="BN303" i="2"/>
  <c r="BN293" i="2"/>
  <c r="BN292" i="2"/>
  <c r="BN291" i="2"/>
  <c r="BN290" i="2"/>
  <c r="BN184" i="2"/>
  <c r="BN183" i="2"/>
  <c r="BN181" i="2"/>
  <c r="BN180" i="2"/>
  <c r="BN171" i="2"/>
  <c r="BN170" i="2"/>
  <c r="BN169" i="2"/>
  <c r="BN81" i="2"/>
  <c r="BN80" i="2"/>
  <c r="BN79" i="2"/>
  <c r="BN40" i="2"/>
  <c r="BN39" i="2"/>
  <c r="BN38" i="2"/>
  <c r="BN36" i="2"/>
  <c r="BN37" i="17"/>
  <c r="BN36" i="17"/>
  <c r="BN19" i="17"/>
  <c r="BN18" i="17"/>
  <c r="BN319" i="1"/>
  <c r="BN318" i="1"/>
  <c r="BN307" i="1"/>
  <c r="BN266" i="1"/>
  <c r="BN223" i="1"/>
  <c r="BN226" i="1" s="1"/>
  <c r="BN321" i="2" s="1"/>
  <c r="BN86" i="1"/>
  <c r="BN88" i="1" s="1"/>
  <c r="BN55" i="1"/>
  <c r="BN64" i="1" s="1"/>
  <c r="BN137" i="1"/>
  <c r="BN128" i="1"/>
  <c r="BN210" i="1"/>
  <c r="BN203" i="1"/>
  <c r="BN206" i="1" s="1"/>
  <c r="BN208" i="1" s="1"/>
  <c r="BN40" i="3"/>
  <c r="BN6" i="3"/>
  <c r="BN7" i="3"/>
  <c r="BN188" i="1"/>
  <c r="BN185" i="2" s="1"/>
  <c r="BN185" i="1"/>
  <c r="BN180" i="1"/>
  <c r="BN183" i="1" s="1"/>
  <c r="BN160" i="1"/>
  <c r="BN165" i="1" s="1"/>
  <c r="BN32" i="1"/>
  <c r="BN36" i="1"/>
  <c r="BN13" i="1"/>
  <c r="BN9" i="1"/>
  <c r="BL57" i="4"/>
  <c r="BM57" i="4" s="1"/>
  <c r="BN57" i="4" s="1"/>
  <c r="BO57" i="4" s="1"/>
  <c r="BL55" i="4"/>
  <c r="BL54" i="4"/>
  <c r="BM45" i="3"/>
  <c r="BM42" i="3"/>
  <c r="BM39" i="3"/>
  <c r="BO320" i="2"/>
  <c r="BN320" i="2"/>
  <c r="BM320" i="2"/>
  <c r="BO318" i="2"/>
  <c r="BN318" i="2"/>
  <c r="BM318" i="2"/>
  <c r="BO317" i="2"/>
  <c r="BO327" i="2" s="1"/>
  <c r="BN317" i="2"/>
  <c r="BN327" i="2" s="1"/>
  <c r="BM317" i="2"/>
  <c r="BM327" i="2" s="1"/>
  <c r="BO316" i="2"/>
  <c r="BN316" i="2"/>
  <c r="BM316" i="2"/>
  <c r="BO315" i="2"/>
  <c r="BN315" i="2"/>
  <c r="BM315" i="2"/>
  <c r="BO314" i="2"/>
  <c r="BO324" i="2" s="1"/>
  <c r="BN314" i="2"/>
  <c r="BN324" i="2" s="1"/>
  <c r="BM314" i="2"/>
  <c r="BM324" i="2" s="1"/>
  <c r="BL267" i="1"/>
  <c r="BM319" i="1"/>
  <c r="BM318" i="1"/>
  <c r="BM307" i="1"/>
  <c r="BM266" i="1"/>
  <c r="BM223" i="1"/>
  <c r="BM226" i="1" s="1"/>
  <c r="BM321" i="2" s="1"/>
  <c r="BM210" i="1"/>
  <c r="BM20" i="3"/>
  <c r="BM47" i="4"/>
  <c r="BM45" i="4"/>
  <c r="BM44" i="4"/>
  <c r="BM43" i="4"/>
  <c r="BM42" i="4"/>
  <c r="BM41" i="4"/>
  <c r="BM40" i="4"/>
  <c r="BM38" i="4"/>
  <c r="BM37" i="4"/>
  <c r="BM36" i="4"/>
  <c r="BM35" i="4"/>
  <c r="BM34" i="4"/>
  <c r="BM32" i="4"/>
  <c r="BM31" i="4"/>
  <c r="BM30" i="4"/>
  <c r="BM29" i="4"/>
  <c r="BM23" i="4"/>
  <c r="BM22" i="4"/>
  <c r="BM21" i="4"/>
  <c r="BM20" i="4"/>
  <c r="BM19" i="4"/>
  <c r="BM18" i="4"/>
  <c r="BM17" i="4"/>
  <c r="BM16" i="4"/>
  <c r="BM14" i="4"/>
  <c r="BM13" i="4"/>
  <c r="BM12" i="4"/>
  <c r="BM11" i="4"/>
  <c r="BM9" i="4"/>
  <c r="BM8" i="4"/>
  <c r="BM7" i="4"/>
  <c r="BM86" i="1"/>
  <c r="BM88" i="1" s="1"/>
  <c r="BM55" i="1"/>
  <c r="BM64" i="1" s="1"/>
  <c r="BM49" i="5"/>
  <c r="BN49" i="5" s="1"/>
  <c r="BO49" i="5" s="1"/>
  <c r="BP49" i="5" s="1"/>
  <c r="BM47" i="5"/>
  <c r="BN47" i="5" s="1"/>
  <c r="BO47" i="5" s="1"/>
  <c r="BP47" i="5" s="1"/>
  <c r="BM46" i="5"/>
  <c r="BM45" i="5"/>
  <c r="BM44" i="5"/>
  <c r="BN44" i="5" s="1"/>
  <c r="BM43" i="5"/>
  <c r="BN43" i="5" s="1"/>
  <c r="BM42" i="5"/>
  <c r="BM41" i="5"/>
  <c r="BN41" i="5" s="1"/>
  <c r="BO41" i="5" s="1"/>
  <c r="BP41" i="5" s="1"/>
  <c r="BQ41" i="5" s="1"/>
  <c r="BM40" i="5"/>
  <c r="BM38" i="5"/>
  <c r="BN38" i="5" s="1"/>
  <c r="BO38" i="5" s="1"/>
  <c r="BP38" i="5" s="1"/>
  <c r="BM37" i="5"/>
  <c r="BM36" i="5"/>
  <c r="BN36" i="5" s="1"/>
  <c r="BO36" i="5" s="1"/>
  <c r="BP36" i="5" s="1"/>
  <c r="BM35" i="5"/>
  <c r="BN35" i="5" s="1"/>
  <c r="BM34" i="5"/>
  <c r="BM31" i="5"/>
  <c r="BN31" i="5" s="1"/>
  <c r="BM30" i="5"/>
  <c r="BN30" i="5" s="1"/>
  <c r="BM29" i="5"/>
  <c r="BN29" i="5" s="1"/>
  <c r="BM28" i="5"/>
  <c r="BN28" i="5" s="1"/>
  <c r="BO28" i="5" s="1"/>
  <c r="BM27" i="5"/>
  <c r="BM26" i="5"/>
  <c r="BN26" i="5" s="1"/>
  <c r="BO26" i="5" s="1"/>
  <c r="BM25" i="5"/>
  <c r="BN25" i="5" s="1"/>
  <c r="BO25" i="5" s="1"/>
  <c r="BP25" i="5" s="1"/>
  <c r="BM24" i="5"/>
  <c r="BM21" i="5"/>
  <c r="BN21" i="5" s="1"/>
  <c r="BM19" i="5"/>
  <c r="BN19" i="5" s="1"/>
  <c r="BO19" i="5" s="1"/>
  <c r="BP19" i="5" s="1"/>
  <c r="BM17" i="5"/>
  <c r="BN17" i="5" s="1"/>
  <c r="BO17" i="5" s="1"/>
  <c r="BP17" i="5" s="1"/>
  <c r="BQ17" i="5" s="1"/>
  <c r="BM16" i="5"/>
  <c r="BN16" i="5" s="1"/>
  <c r="BM15" i="5"/>
  <c r="BN15" i="5" s="1"/>
  <c r="BM14" i="5"/>
  <c r="BN14" i="5" s="1"/>
  <c r="BO14" i="5" s="1"/>
  <c r="BP14" i="5" s="1"/>
  <c r="BM13" i="5"/>
  <c r="BN13" i="5" s="1"/>
  <c r="BO13" i="5" s="1"/>
  <c r="BP13" i="5" s="1"/>
  <c r="BM12" i="5"/>
  <c r="BN12" i="5" s="1"/>
  <c r="BM11" i="5"/>
  <c r="BN11" i="5" s="1"/>
  <c r="BO11" i="5" s="1"/>
  <c r="BM10" i="5"/>
  <c r="BN10" i="5" s="1"/>
  <c r="BM9" i="5"/>
  <c r="BM8" i="5"/>
  <c r="BN8" i="5" s="1"/>
  <c r="BO8" i="5" s="1"/>
  <c r="BM7" i="5"/>
  <c r="BM137" i="1"/>
  <c r="BM128" i="1"/>
  <c r="BM303" i="2"/>
  <c r="BM293" i="2"/>
  <c r="BM292" i="2"/>
  <c r="BM291" i="2"/>
  <c r="BM290" i="2"/>
  <c r="BM203" i="1"/>
  <c r="BM206" i="1" s="1"/>
  <c r="BK203" i="1"/>
  <c r="BK206" i="1" s="1"/>
  <c r="BK208" i="1" s="1"/>
  <c r="BJ203" i="1"/>
  <c r="BJ206" i="1" s="1"/>
  <c r="BJ208" i="1" s="1"/>
  <c r="BI203" i="1"/>
  <c r="BI206" i="1" s="1"/>
  <c r="BI208" i="1" s="1"/>
  <c r="BM40" i="3"/>
  <c r="BM25" i="3"/>
  <c r="BM22" i="3"/>
  <c r="BM19" i="3"/>
  <c r="BM17" i="3"/>
  <c r="BM16" i="3"/>
  <c r="BM15" i="3"/>
  <c r="BM14" i="3"/>
  <c r="BM11" i="3"/>
  <c r="BM10" i="3"/>
  <c r="BM9" i="3"/>
  <c r="BM7" i="3"/>
  <c r="BM6" i="3"/>
  <c r="BM184" i="2"/>
  <c r="BM183" i="2"/>
  <c r="BM181" i="2"/>
  <c r="BM180" i="2"/>
  <c r="BM171" i="2"/>
  <c r="BM170" i="2"/>
  <c r="BM169" i="2"/>
  <c r="BM168" i="2"/>
  <c r="BR254" i="2" s="1"/>
  <c r="BM81" i="2"/>
  <c r="BM80" i="2"/>
  <c r="BM79" i="2"/>
  <c r="BM40" i="2"/>
  <c r="BM39" i="2"/>
  <c r="BM38" i="2"/>
  <c r="BM36" i="2"/>
  <c r="BR107" i="2" s="1"/>
  <c r="BM188" i="1"/>
  <c r="BM185" i="1"/>
  <c r="BM182" i="2" s="1"/>
  <c r="BM48" i="3" s="1"/>
  <c r="BM180" i="1"/>
  <c r="BM183" i="1" s="1"/>
  <c r="BM160" i="1"/>
  <c r="BM165" i="1" s="1"/>
  <c r="BM36" i="1"/>
  <c r="BM32" i="1"/>
  <c r="BM13" i="1"/>
  <c r="BM9" i="1"/>
  <c r="CC273" i="2"/>
  <c r="CC274" i="2"/>
  <c r="CC275" i="2"/>
  <c r="BK42" i="3"/>
  <c r="BK39" i="3"/>
  <c r="BK32" i="1"/>
  <c r="BL432" i="1"/>
  <c r="BL415" i="1"/>
  <c r="BK319" i="1"/>
  <c r="BK318" i="1"/>
  <c r="BL307" i="1"/>
  <c r="BK306" i="1"/>
  <c r="BK393" i="2" s="1"/>
  <c r="BK304" i="1"/>
  <c r="BK294" i="1"/>
  <c r="BK381" i="2" s="1"/>
  <c r="BL290" i="1"/>
  <c r="BL283" i="1"/>
  <c r="BL280" i="1"/>
  <c r="BM277" i="1" s="1"/>
  <c r="BK286" i="1"/>
  <c r="BK45" i="3" s="1"/>
  <c r="BK266" i="1"/>
  <c r="BL260" i="1"/>
  <c r="BL259" i="1"/>
  <c r="BL258" i="1"/>
  <c r="BL257" i="1"/>
  <c r="BL256" i="1"/>
  <c r="BL255" i="1"/>
  <c r="BL254" i="1"/>
  <c r="BL253" i="1"/>
  <c r="BL252" i="1"/>
  <c r="BL225" i="1"/>
  <c r="BL320" i="2" s="1"/>
  <c r="BL222" i="1"/>
  <c r="BL318" i="2" s="1"/>
  <c r="BL220" i="1"/>
  <c r="BL316" i="2" s="1"/>
  <c r="BL219" i="1"/>
  <c r="BL315" i="2" s="1"/>
  <c r="BK223" i="1"/>
  <c r="BK319" i="2" s="1"/>
  <c r="BK20" i="3"/>
  <c r="BK17" i="3"/>
  <c r="BK16" i="3"/>
  <c r="BK15" i="3"/>
  <c r="BK14" i="3"/>
  <c r="BK11" i="3"/>
  <c r="BK10" i="3"/>
  <c r="BK9" i="3"/>
  <c r="BK7" i="3"/>
  <c r="BK6" i="3"/>
  <c r="BL187" i="1"/>
  <c r="BL186" i="1"/>
  <c r="BL184" i="1"/>
  <c r="BL182" i="1"/>
  <c r="BL173" i="1"/>
  <c r="BL172" i="1"/>
  <c r="BL171" i="1"/>
  <c r="BL170" i="1"/>
  <c r="BL164" i="1"/>
  <c r="BL163" i="1"/>
  <c r="BL162" i="1"/>
  <c r="BL153" i="1"/>
  <c r="BL152" i="1"/>
  <c r="BL151" i="1"/>
  <c r="BL150" i="1"/>
  <c r="BL138" i="1"/>
  <c r="BL135" i="1"/>
  <c r="BL134" i="1"/>
  <c r="BL133" i="1"/>
  <c r="BL132" i="1"/>
  <c r="BL131" i="1"/>
  <c r="BL130" i="1"/>
  <c r="BL129" i="1"/>
  <c r="BL127" i="1"/>
  <c r="BL126" i="1"/>
  <c r="BL125" i="1"/>
  <c r="BL124" i="1"/>
  <c r="BL123" i="1"/>
  <c r="BL122" i="1"/>
  <c r="BL120" i="1"/>
  <c r="BL119" i="1"/>
  <c r="BL118" i="1"/>
  <c r="BL117" i="1"/>
  <c r="BL115" i="1"/>
  <c r="BL114" i="1"/>
  <c r="BL110" i="1"/>
  <c r="BL111" i="1"/>
  <c r="BL108" i="1"/>
  <c r="BL106" i="1"/>
  <c r="BL105" i="1"/>
  <c r="BL104" i="1"/>
  <c r="BL103" i="1"/>
  <c r="BL102" i="1"/>
  <c r="BL101" i="1"/>
  <c r="BL100" i="1"/>
  <c r="BL99" i="1"/>
  <c r="BL98" i="1"/>
  <c r="BL97" i="1"/>
  <c r="BL96" i="1"/>
  <c r="BL28" i="1"/>
  <c r="BL32" i="1" s="1"/>
  <c r="BL25" i="1"/>
  <c r="BL23" i="1"/>
  <c r="BL22" i="1"/>
  <c r="BL17" i="1"/>
  <c r="BL16" i="1"/>
  <c r="BL15" i="1"/>
  <c r="BL14" i="1"/>
  <c r="BL12" i="1"/>
  <c r="BL11" i="1"/>
  <c r="BL10" i="1"/>
  <c r="BL8" i="1"/>
  <c r="BL7" i="3" s="1"/>
  <c r="BL7" i="1"/>
  <c r="BK36" i="1"/>
  <c r="BK13" i="1"/>
  <c r="BK9" i="1"/>
  <c r="BK47" i="4"/>
  <c r="BL47" i="4" s="1"/>
  <c r="BK45" i="4"/>
  <c r="BL45" i="4" s="1"/>
  <c r="BK44" i="4"/>
  <c r="BL44" i="4" s="1"/>
  <c r="BK43" i="4"/>
  <c r="BL43" i="4" s="1"/>
  <c r="BK42" i="4"/>
  <c r="BL42" i="4" s="1"/>
  <c r="BK41" i="4"/>
  <c r="BL41" i="4" s="1"/>
  <c r="BK40" i="4"/>
  <c r="BK38" i="4"/>
  <c r="BL38" i="4" s="1"/>
  <c r="BK37" i="4"/>
  <c r="BL37" i="4" s="1"/>
  <c r="BK36" i="4"/>
  <c r="BL36" i="4" s="1"/>
  <c r="BK35" i="4"/>
  <c r="BK34" i="4"/>
  <c r="BL34" i="4" s="1"/>
  <c r="BK32" i="4"/>
  <c r="BL32" i="4" s="1"/>
  <c r="BK31" i="4"/>
  <c r="BK30" i="4"/>
  <c r="BL30" i="4" s="1"/>
  <c r="BK29" i="4"/>
  <c r="BL29" i="4" s="1"/>
  <c r="BK23" i="4"/>
  <c r="BL23" i="4" s="1"/>
  <c r="BK22" i="4"/>
  <c r="BL22" i="4" s="1"/>
  <c r="BK21" i="4"/>
  <c r="BK20" i="4"/>
  <c r="BL20" i="4" s="1"/>
  <c r="BK19" i="4"/>
  <c r="BL19" i="4" s="1"/>
  <c r="BK18" i="4"/>
  <c r="BL18" i="4" s="1"/>
  <c r="BK17" i="4"/>
  <c r="BK16" i="4"/>
  <c r="BL16" i="4" s="1"/>
  <c r="BK14" i="4"/>
  <c r="BL14" i="4" s="1"/>
  <c r="BK13" i="4"/>
  <c r="BK12" i="4"/>
  <c r="BK11" i="4"/>
  <c r="BL11" i="4" s="1"/>
  <c r="BK9" i="4"/>
  <c r="BK8" i="4"/>
  <c r="BL8" i="4" s="1"/>
  <c r="BK7" i="4"/>
  <c r="BK136" i="1"/>
  <c r="BL136" i="1" s="1"/>
  <c r="BK128" i="1"/>
  <c r="BL87" i="1"/>
  <c r="BL85" i="1"/>
  <c r="BL84" i="1"/>
  <c r="BL83" i="1"/>
  <c r="BL82" i="1"/>
  <c r="BL81" i="1"/>
  <c r="BL80" i="1"/>
  <c r="BL78" i="1"/>
  <c r="BL77" i="1"/>
  <c r="BL76" i="1"/>
  <c r="BL319" i="1" s="1"/>
  <c r="BL75" i="1"/>
  <c r="BL74" i="1"/>
  <c r="BL72" i="1"/>
  <c r="BL71" i="1"/>
  <c r="BL70" i="1"/>
  <c r="BL69" i="1"/>
  <c r="BL63" i="1"/>
  <c r="BL62" i="1"/>
  <c r="BL61" i="1"/>
  <c r="BL60" i="1"/>
  <c r="BL318" i="1" s="1"/>
  <c r="BL59" i="1"/>
  <c r="BL58" i="1"/>
  <c r="BL57" i="1"/>
  <c r="BL56" i="1"/>
  <c r="BL53" i="1"/>
  <c r="BL52" i="1"/>
  <c r="BL51" i="1"/>
  <c r="BL49" i="1"/>
  <c r="BL48" i="1"/>
  <c r="BL47" i="1"/>
  <c r="BK86" i="1"/>
  <c r="BK88" i="1" s="1"/>
  <c r="BK55" i="1"/>
  <c r="BK64" i="1" s="1"/>
  <c r="BL207" i="1"/>
  <c r="BL303" i="2" s="1"/>
  <c r="BL196" i="1"/>
  <c r="BL293" i="2" s="1"/>
  <c r="BL195" i="1"/>
  <c r="BL292" i="2" s="1"/>
  <c r="BL194" i="1"/>
  <c r="BL291" i="2" s="1"/>
  <c r="BL193" i="1"/>
  <c r="BL359" i="2"/>
  <c r="BL375" i="2" s="1"/>
  <c r="BL358" i="2"/>
  <c r="BL374" i="2" s="1"/>
  <c r="BL357" i="2"/>
  <c r="BL373" i="2" s="1"/>
  <c r="BL356" i="2"/>
  <c r="BL372" i="2" s="1"/>
  <c r="BL355" i="2"/>
  <c r="BL371" i="2" s="1"/>
  <c r="BL354" i="2"/>
  <c r="BL370" i="2" s="1"/>
  <c r="BL317" i="2"/>
  <c r="BL327" i="2" s="1"/>
  <c r="BL314" i="2"/>
  <c r="BL324" i="2" s="1"/>
  <c r="BK210" i="1"/>
  <c r="BK40" i="3"/>
  <c r="BK25" i="3"/>
  <c r="BK22" i="3"/>
  <c r="BK19" i="3"/>
  <c r="BK184" i="2"/>
  <c r="BK183" i="2"/>
  <c r="BK181" i="2"/>
  <c r="BK180" i="2"/>
  <c r="BK171" i="2"/>
  <c r="BK170" i="2"/>
  <c r="BK169" i="2"/>
  <c r="BK168" i="2"/>
  <c r="BK190" i="2" s="1"/>
  <c r="BK81" i="2"/>
  <c r="BK80" i="2"/>
  <c r="BK79" i="2"/>
  <c r="BK40" i="2"/>
  <c r="BK39" i="2"/>
  <c r="BK38" i="2"/>
  <c r="BK36" i="2"/>
  <c r="BK188" i="1"/>
  <c r="BK185" i="2" s="1"/>
  <c r="BK185" i="1"/>
  <c r="BK182" i="2" s="1"/>
  <c r="BK180" i="1"/>
  <c r="BK183" i="1" s="1"/>
  <c r="BK160" i="1"/>
  <c r="BK165" i="1" s="1"/>
  <c r="CA247" i="2"/>
  <c r="CA246" i="2"/>
  <c r="CA245" i="2"/>
  <c r="CA244" i="2"/>
  <c r="CA243" i="2"/>
  <c r="CA242" i="2"/>
  <c r="CA103" i="2"/>
  <c r="CA97" i="2"/>
  <c r="CA93" i="2"/>
  <c r="CA90" i="2"/>
  <c r="CA89" i="2"/>
  <c r="CA88" i="2"/>
  <c r="CA101" i="2"/>
  <c r="BJ45" i="3"/>
  <c r="BJ319" i="1"/>
  <c r="BJ318" i="1"/>
  <c r="BJ307" i="1"/>
  <c r="BJ266" i="1"/>
  <c r="BJ226" i="1"/>
  <c r="BJ321" i="2" s="1"/>
  <c r="BJ210" i="1"/>
  <c r="BJ42" i="3"/>
  <c r="BJ39" i="3"/>
  <c r="BJ7" i="4"/>
  <c r="BJ8" i="4"/>
  <c r="BJ9" i="4"/>
  <c r="BJ11" i="4"/>
  <c r="BJ12" i="4"/>
  <c r="BJ13" i="4"/>
  <c r="BJ14" i="4"/>
  <c r="BJ16" i="4"/>
  <c r="BJ17" i="4"/>
  <c r="BJ18" i="4"/>
  <c r="BJ19" i="4"/>
  <c r="BJ20" i="4"/>
  <c r="BJ21" i="4"/>
  <c r="BJ22" i="4"/>
  <c r="BJ23" i="4"/>
  <c r="BJ29" i="4"/>
  <c r="BJ30" i="4"/>
  <c r="BJ31" i="4"/>
  <c r="BJ32" i="4"/>
  <c r="BJ34" i="4"/>
  <c r="BJ35" i="4"/>
  <c r="BJ36" i="4"/>
  <c r="BJ37" i="4"/>
  <c r="BJ38" i="4"/>
  <c r="BJ63" i="4" s="1"/>
  <c r="BJ40" i="4"/>
  <c r="BJ41" i="4"/>
  <c r="BJ42" i="4"/>
  <c r="BJ43" i="4"/>
  <c r="BJ44" i="4"/>
  <c r="BJ45" i="4"/>
  <c r="BJ47" i="4"/>
  <c r="BJ86" i="1"/>
  <c r="BJ88" i="1" s="1"/>
  <c r="BJ89" i="1" s="1"/>
  <c r="BJ55" i="1"/>
  <c r="BJ64" i="1" s="1"/>
  <c r="BJ136" i="1"/>
  <c r="BJ137" i="1" s="1"/>
  <c r="BJ128" i="1"/>
  <c r="BJ40" i="3"/>
  <c r="BJ25" i="3"/>
  <c r="BJ22" i="3"/>
  <c r="BJ20" i="3"/>
  <c r="BJ19" i="3"/>
  <c r="BJ17" i="3"/>
  <c r="BJ16" i="3"/>
  <c r="BJ15" i="3"/>
  <c r="BJ11" i="3"/>
  <c r="BJ10" i="3"/>
  <c r="BJ9" i="3"/>
  <c r="BJ14" i="3"/>
  <c r="BJ7" i="3"/>
  <c r="BJ6" i="3"/>
  <c r="BJ188" i="1"/>
  <c r="BJ185" i="2" s="1"/>
  <c r="BJ184" i="2"/>
  <c r="BJ183" i="2"/>
  <c r="BJ181" i="2"/>
  <c r="BJ180" i="2"/>
  <c r="BJ171" i="2"/>
  <c r="BJ170" i="2"/>
  <c r="BJ169" i="2"/>
  <c r="BJ168" i="2"/>
  <c r="BJ190" i="2" s="1"/>
  <c r="BJ81" i="2"/>
  <c r="BJ80" i="2"/>
  <c r="BJ79" i="2"/>
  <c r="BJ40" i="2"/>
  <c r="BJ39" i="2"/>
  <c r="BJ38" i="2"/>
  <c r="BJ36" i="2"/>
  <c r="BJ185" i="1"/>
  <c r="BJ180" i="1"/>
  <c r="BJ183" i="1" s="1"/>
  <c r="BJ160" i="1"/>
  <c r="BJ165" i="1" s="1"/>
  <c r="BJ36" i="1"/>
  <c r="BJ32" i="1"/>
  <c r="BJ13" i="1"/>
  <c r="BJ9" i="1"/>
  <c r="BI45" i="3"/>
  <c r="BI39" i="3"/>
  <c r="BI318" i="1"/>
  <c r="BI319" i="1"/>
  <c r="BI307" i="1"/>
  <c r="BI266" i="1"/>
  <c r="BI32" i="1"/>
  <c r="BI20" i="3"/>
  <c r="BI226" i="1"/>
  <c r="BI321" i="2" s="1"/>
  <c r="BI42" i="3"/>
  <c r="BI136" i="1"/>
  <c r="BI137" i="1" s="1"/>
  <c r="BI47" i="4"/>
  <c r="BI45" i="4"/>
  <c r="BI44" i="4"/>
  <c r="BI43" i="4"/>
  <c r="BI42" i="4"/>
  <c r="BI41" i="4"/>
  <c r="BI40" i="4"/>
  <c r="BI38" i="4"/>
  <c r="BI37" i="4"/>
  <c r="BI36" i="4"/>
  <c r="BI35" i="4"/>
  <c r="BI34" i="4"/>
  <c r="BI32" i="4"/>
  <c r="BI31" i="4"/>
  <c r="BI30" i="4"/>
  <c r="BI29" i="4"/>
  <c r="BI23" i="4"/>
  <c r="BI22" i="4"/>
  <c r="BI21" i="4"/>
  <c r="BI20" i="4"/>
  <c r="BI19" i="4"/>
  <c r="BI18" i="4"/>
  <c r="BI17" i="4"/>
  <c r="BI16" i="4"/>
  <c r="BI14" i="4"/>
  <c r="BI13" i="4"/>
  <c r="BI12" i="4"/>
  <c r="BI11" i="4"/>
  <c r="BI9" i="4"/>
  <c r="BI8" i="4"/>
  <c r="BI7" i="4"/>
  <c r="BI40" i="3"/>
  <c r="BI25" i="3"/>
  <c r="BI22" i="3"/>
  <c r="BI19" i="3"/>
  <c r="BI17" i="3"/>
  <c r="BI16" i="3"/>
  <c r="BI15" i="3"/>
  <c r="BI14" i="3"/>
  <c r="BI11" i="3"/>
  <c r="BI10" i="3"/>
  <c r="BI9" i="3"/>
  <c r="BI7" i="3"/>
  <c r="BI6" i="3"/>
  <c r="BI128" i="1"/>
  <c r="BI86" i="1"/>
  <c r="BI88" i="1" s="1"/>
  <c r="BI55" i="1"/>
  <c r="BI64" i="1" s="1"/>
  <c r="BI36" i="1"/>
  <c r="BI13" i="1"/>
  <c r="BI9" i="1"/>
  <c r="BI359" i="2"/>
  <c r="BI358" i="2"/>
  <c r="BI357" i="2"/>
  <c r="BI356" i="2"/>
  <c r="BI355" i="2"/>
  <c r="BI354" i="2"/>
  <c r="BI320" i="2"/>
  <c r="BI319" i="2"/>
  <c r="BI318" i="2"/>
  <c r="BI317" i="2"/>
  <c r="BI327" i="2" s="1"/>
  <c r="BI316" i="2"/>
  <c r="BI315" i="2"/>
  <c r="BI314" i="2"/>
  <c r="BI324" i="2" s="1"/>
  <c r="BI303" i="2"/>
  <c r="BI293" i="2"/>
  <c r="BI292" i="2"/>
  <c r="BI291" i="2"/>
  <c r="BI290" i="2"/>
  <c r="BI210" i="1"/>
  <c r="BI184" i="2"/>
  <c r="BI183" i="2"/>
  <c r="BI181" i="2"/>
  <c r="BI180" i="2"/>
  <c r="BI171" i="2"/>
  <c r="BI170" i="2"/>
  <c r="BI169" i="2"/>
  <c r="BI168" i="2"/>
  <c r="BI190" i="2" s="1"/>
  <c r="BI81" i="2"/>
  <c r="BI80" i="2"/>
  <c r="BI79" i="2"/>
  <c r="BI40" i="2"/>
  <c r="BI39" i="2"/>
  <c r="BI38" i="2"/>
  <c r="BI36" i="2"/>
  <c r="BI185" i="1"/>
  <c r="BI188" i="1"/>
  <c r="BI185" i="2" s="1"/>
  <c r="BI180" i="1"/>
  <c r="BI183" i="1" s="1"/>
  <c r="BI160" i="1"/>
  <c r="BI165" i="1" s="1"/>
  <c r="BF116" i="1"/>
  <c r="BG116" i="1" s="1"/>
  <c r="BH45" i="3"/>
  <c r="BH39" i="3"/>
  <c r="BH319" i="1"/>
  <c r="BH318" i="1"/>
  <c r="BH266" i="1"/>
  <c r="BH226" i="1"/>
  <c r="BH321" i="2" s="1"/>
  <c r="BH32" i="1"/>
  <c r="BH19" i="3"/>
  <c r="BH307" i="1"/>
  <c r="BH49" i="5"/>
  <c r="BI49" i="5" s="1"/>
  <c r="BJ49" i="5" s="1"/>
  <c r="BK49" i="5" s="1"/>
  <c r="BH46" i="5"/>
  <c r="BI46" i="5" s="1"/>
  <c r="BJ46" i="5" s="1"/>
  <c r="BK46" i="5" s="1"/>
  <c r="BH45" i="5"/>
  <c r="BI45" i="5" s="1"/>
  <c r="BH44" i="5"/>
  <c r="BI44" i="5" s="1"/>
  <c r="BH43" i="5"/>
  <c r="BH42" i="5"/>
  <c r="BI42" i="5" s="1"/>
  <c r="BJ42" i="5" s="1"/>
  <c r="BK42" i="5" s="1"/>
  <c r="BH41" i="5"/>
  <c r="BI41" i="5" s="1"/>
  <c r="BJ41" i="5" s="1"/>
  <c r="BK41" i="5" s="1"/>
  <c r="BL41" i="5" s="1"/>
  <c r="BH40" i="5"/>
  <c r="BI40" i="5" s="1"/>
  <c r="BJ40" i="5" s="1"/>
  <c r="BK40" i="5" s="1"/>
  <c r="BL40" i="5" s="1"/>
  <c r="BH38" i="5"/>
  <c r="BH37" i="5"/>
  <c r="BI37" i="5" s="1"/>
  <c r="BJ37" i="5" s="1"/>
  <c r="BK37" i="5" s="1"/>
  <c r="BL37" i="5" s="1"/>
  <c r="BH36" i="5"/>
  <c r="BI36" i="5" s="1"/>
  <c r="BJ36" i="5" s="1"/>
  <c r="BK36" i="5" s="1"/>
  <c r="BH35" i="5"/>
  <c r="BH34" i="5"/>
  <c r="BH31" i="5"/>
  <c r="BI31" i="5" s="1"/>
  <c r="BJ31" i="5" s="1"/>
  <c r="BH30" i="5"/>
  <c r="BI30" i="5" s="1"/>
  <c r="BJ30" i="5" s="1"/>
  <c r="BH29" i="5"/>
  <c r="BH28" i="5"/>
  <c r="BI28" i="5" s="1"/>
  <c r="BJ28" i="5" s="1"/>
  <c r="BK28" i="5" s="1"/>
  <c r="BH27" i="5"/>
  <c r="BI27" i="5" s="1"/>
  <c r="BH26" i="5"/>
  <c r="BI26" i="5" s="1"/>
  <c r="BJ26" i="5" s="1"/>
  <c r="BK26" i="5" s="1"/>
  <c r="BH25" i="5"/>
  <c r="BI25" i="5" s="1"/>
  <c r="BH24" i="5"/>
  <c r="BH21" i="5"/>
  <c r="BI21" i="5" s="1"/>
  <c r="BJ21" i="5" s="1"/>
  <c r="BK21" i="5" s="1"/>
  <c r="BH19" i="5"/>
  <c r="BI19" i="5" s="1"/>
  <c r="BJ19" i="5" s="1"/>
  <c r="BK19" i="5" s="1"/>
  <c r="BH17" i="5"/>
  <c r="BI17" i="5" s="1"/>
  <c r="BJ17" i="5" s="1"/>
  <c r="BH16" i="5"/>
  <c r="BI16" i="5" s="1"/>
  <c r="BJ16" i="5" s="1"/>
  <c r="BK16" i="5" s="1"/>
  <c r="BL16" i="5" s="1"/>
  <c r="BH15" i="5"/>
  <c r="BI15" i="5" s="1"/>
  <c r="BJ15" i="5" s="1"/>
  <c r="BK15" i="5" s="1"/>
  <c r="BL15" i="5" s="1"/>
  <c r="BH14" i="5"/>
  <c r="BI14" i="5" s="1"/>
  <c r="BJ14" i="5" s="1"/>
  <c r="BK14" i="5" s="1"/>
  <c r="BL14" i="5" s="1"/>
  <c r="BH13" i="5"/>
  <c r="BI13" i="5" s="1"/>
  <c r="BJ13" i="5" s="1"/>
  <c r="BH12" i="5"/>
  <c r="BI12" i="5" s="1"/>
  <c r="BJ12" i="5" s="1"/>
  <c r="BK12" i="5" s="1"/>
  <c r="BL12" i="5" s="1"/>
  <c r="BH11" i="5"/>
  <c r="BI11" i="5" s="1"/>
  <c r="BH10" i="5"/>
  <c r="BI10" i="5" s="1"/>
  <c r="BH9" i="5"/>
  <c r="BI9" i="5" s="1"/>
  <c r="BH8" i="5"/>
  <c r="BH7" i="5"/>
  <c r="BI7" i="5" s="1"/>
  <c r="BJ7" i="5" s="1"/>
  <c r="BK7" i="5" s="1"/>
  <c r="BH47" i="4"/>
  <c r="BH45" i="4"/>
  <c r="BH44" i="4"/>
  <c r="BH43" i="4"/>
  <c r="BH42" i="4"/>
  <c r="BH41" i="4"/>
  <c r="BH40" i="4"/>
  <c r="BH38" i="4"/>
  <c r="BH37" i="4"/>
  <c r="BH36" i="4"/>
  <c r="BH35" i="4"/>
  <c r="BH34" i="4"/>
  <c r="BH32" i="4"/>
  <c r="BH31" i="4"/>
  <c r="BH30" i="4"/>
  <c r="BH29" i="4"/>
  <c r="BH23" i="4"/>
  <c r="BH22" i="4"/>
  <c r="BH21" i="4"/>
  <c r="BH20" i="4"/>
  <c r="BH19" i="4"/>
  <c r="BH18" i="4"/>
  <c r="BH17" i="4"/>
  <c r="BH16" i="4"/>
  <c r="BH14" i="4"/>
  <c r="BH13" i="4"/>
  <c r="BH12" i="4"/>
  <c r="BH11" i="4"/>
  <c r="BH9" i="4"/>
  <c r="BH8" i="4"/>
  <c r="BH7" i="4"/>
  <c r="BH42" i="3"/>
  <c r="BH136" i="1"/>
  <c r="BH47" i="5" s="1"/>
  <c r="BH128" i="1"/>
  <c r="BH86" i="1"/>
  <c r="BH88" i="1" s="1"/>
  <c r="BH55" i="1"/>
  <c r="BH64" i="1" s="1"/>
  <c r="BH210" i="1"/>
  <c r="BH203" i="1"/>
  <c r="BH206" i="1" s="1"/>
  <c r="BH208" i="1" s="1"/>
  <c r="BH180" i="2"/>
  <c r="BH171" i="2"/>
  <c r="BH170" i="2"/>
  <c r="BH169" i="2"/>
  <c r="BH168" i="2"/>
  <c r="BH190" i="2" s="1"/>
  <c r="BH181" i="2"/>
  <c r="BH183" i="2"/>
  <c r="BH184" i="2"/>
  <c r="BH25" i="3"/>
  <c r="BH81" i="2"/>
  <c r="BH80" i="2"/>
  <c r="BH79" i="2"/>
  <c r="BH40" i="2"/>
  <c r="BH39" i="2"/>
  <c r="BH38" i="2"/>
  <c r="BH36" i="2"/>
  <c r="BH40" i="3"/>
  <c r="BH22" i="3"/>
  <c r="BH20" i="3"/>
  <c r="BH17" i="3"/>
  <c r="BH16" i="3"/>
  <c r="BH15" i="3"/>
  <c r="BH14" i="3"/>
  <c r="BH11" i="3"/>
  <c r="BH10" i="3"/>
  <c r="BH9" i="3"/>
  <c r="BH7" i="3"/>
  <c r="BH6" i="3"/>
  <c r="BH188" i="1"/>
  <c r="BH185" i="2" s="1"/>
  <c r="BH185" i="1"/>
  <c r="BH180" i="1"/>
  <c r="BH183" i="1" s="1"/>
  <c r="BH160" i="1"/>
  <c r="BH36" i="1"/>
  <c r="BH13" i="1"/>
  <c r="BH9" i="1"/>
  <c r="BK320" i="2"/>
  <c r="BJ320" i="2"/>
  <c r="BH320" i="2"/>
  <c r="BJ319" i="2"/>
  <c r="BH319" i="2"/>
  <c r="BK318" i="2"/>
  <c r="BJ318" i="2"/>
  <c r="BH318" i="2"/>
  <c r="BK317" i="2"/>
  <c r="BK327" i="2" s="1"/>
  <c r="BJ317" i="2"/>
  <c r="BJ327" i="2" s="1"/>
  <c r="BH317" i="2"/>
  <c r="BH327" i="2" s="1"/>
  <c r="BK316" i="2"/>
  <c r="BJ316" i="2"/>
  <c r="BH316" i="2"/>
  <c r="BK315" i="2"/>
  <c r="BJ315" i="2"/>
  <c r="BH315" i="2"/>
  <c r="BK314" i="2"/>
  <c r="BK324" i="2" s="1"/>
  <c r="BJ314" i="2"/>
  <c r="BJ324" i="2" s="1"/>
  <c r="BH314" i="2"/>
  <c r="BH324" i="2" s="1"/>
  <c r="BK303" i="2"/>
  <c r="BJ303" i="2"/>
  <c r="BH303" i="2"/>
  <c r="BK293" i="2"/>
  <c r="BJ293" i="2"/>
  <c r="BH293" i="2"/>
  <c r="BK292" i="2"/>
  <c r="BJ292" i="2"/>
  <c r="BH292" i="2"/>
  <c r="BK291" i="2"/>
  <c r="BJ291" i="2"/>
  <c r="BH291" i="2"/>
  <c r="BK290" i="2"/>
  <c r="BJ290" i="2"/>
  <c r="BH290" i="2"/>
  <c r="DE258" i="1"/>
  <c r="DJ258" i="1" s="1"/>
  <c r="DO258" i="1" s="1"/>
  <c r="DT258" i="1" s="1"/>
  <c r="DY258" i="1" s="1"/>
  <c r="DZ258" i="1" s="1"/>
  <c r="EA258" i="1" s="1"/>
  <c r="EB258" i="1" s="1"/>
  <c r="DE259" i="1"/>
  <c r="DJ259" i="1" s="1"/>
  <c r="DO259" i="1" s="1"/>
  <c r="DT259" i="1" s="1"/>
  <c r="DY259" i="1" s="1"/>
  <c r="DZ259" i="1" s="1"/>
  <c r="EA259" i="1" s="1"/>
  <c r="EB259" i="1" s="1"/>
  <c r="BG432" i="1"/>
  <c r="BG415" i="1"/>
  <c r="BQ247" i="2"/>
  <c r="BQ246" i="2"/>
  <c r="BQ245" i="2"/>
  <c r="BQ244" i="2"/>
  <c r="BQ243" i="2"/>
  <c r="BQ242" i="2"/>
  <c r="BQ103" i="2"/>
  <c r="BQ97" i="2"/>
  <c r="BQ93" i="2"/>
  <c r="BQ87" i="2"/>
  <c r="BP359" i="2"/>
  <c r="BO359" i="2"/>
  <c r="BM359" i="2"/>
  <c r="BP358" i="2"/>
  <c r="BO358" i="2"/>
  <c r="BM358" i="2"/>
  <c r="BP357" i="2"/>
  <c r="BO357" i="2"/>
  <c r="BM357" i="2"/>
  <c r="BP356" i="2"/>
  <c r="BO356" i="2"/>
  <c r="BM356" i="2"/>
  <c r="BP355" i="2"/>
  <c r="BO355" i="2"/>
  <c r="BM355" i="2"/>
  <c r="BP354" i="2"/>
  <c r="BO354" i="2"/>
  <c r="BM354" i="2"/>
  <c r="BP37" i="17"/>
  <c r="BM37" i="17"/>
  <c r="BP36" i="17"/>
  <c r="BM36" i="17"/>
  <c r="BP19" i="17"/>
  <c r="BM19" i="17"/>
  <c r="BP18" i="17"/>
  <c r="BM18" i="17"/>
  <c r="BQ52" i="12"/>
  <c r="BQ42" i="12"/>
  <c r="BP55" i="12"/>
  <c r="BO55" i="12"/>
  <c r="BN55" i="12"/>
  <c r="BM55" i="12"/>
  <c r="BP45" i="12"/>
  <c r="BO45" i="12"/>
  <c r="BN45" i="12"/>
  <c r="BM45" i="12"/>
  <c r="BQ101" i="2"/>
  <c r="BG57" i="4"/>
  <c r="BF319" i="1"/>
  <c r="BE319" i="1"/>
  <c r="BD319" i="1"/>
  <c r="BC319" i="1"/>
  <c r="BA319" i="1"/>
  <c r="AZ319" i="1"/>
  <c r="AY319" i="1"/>
  <c r="AX319" i="1"/>
  <c r="AV319" i="1"/>
  <c r="AU319" i="1"/>
  <c r="AT319" i="1"/>
  <c r="AS319" i="1"/>
  <c r="BF318" i="1"/>
  <c r="BE318" i="1"/>
  <c r="BD318" i="1"/>
  <c r="BC318" i="1"/>
  <c r="BA318" i="1"/>
  <c r="AZ318" i="1"/>
  <c r="AY318" i="1"/>
  <c r="AX318" i="1"/>
  <c r="AT318" i="1"/>
  <c r="AU318" i="1"/>
  <c r="AV318" i="1"/>
  <c r="AS318" i="1"/>
  <c r="BG290" i="1"/>
  <c r="BG55" i="4"/>
  <c r="BG54" i="4"/>
  <c r="BF294" i="1"/>
  <c r="BF381" i="2" s="1"/>
  <c r="BG283" i="1"/>
  <c r="BF286" i="1"/>
  <c r="BF45" i="3" s="1"/>
  <c r="BF266" i="1"/>
  <c r="BF319" i="2"/>
  <c r="BG225" i="1"/>
  <c r="BG320" i="2" s="1"/>
  <c r="BG223" i="1"/>
  <c r="BG319" i="2" s="1"/>
  <c r="BG222" i="1"/>
  <c r="BG318" i="2" s="1"/>
  <c r="BG220" i="1"/>
  <c r="BG316" i="2" s="1"/>
  <c r="BG219" i="1"/>
  <c r="BG315" i="2" s="1"/>
  <c r="BF226" i="1"/>
  <c r="BF321" i="2" s="1"/>
  <c r="BE320" i="2"/>
  <c r="BE319" i="2"/>
  <c r="BE318" i="2"/>
  <c r="BE317" i="2"/>
  <c r="BE327" i="2" s="1"/>
  <c r="BE316" i="2"/>
  <c r="BE315" i="2"/>
  <c r="BG207" i="1"/>
  <c r="BG196" i="1"/>
  <c r="BG293" i="2" s="1"/>
  <c r="BG195" i="1"/>
  <c r="BG194" i="1"/>
  <c r="BG291" i="2" s="1"/>
  <c r="BG193" i="1"/>
  <c r="BG187" i="1"/>
  <c r="BG186" i="1"/>
  <c r="BG184" i="1"/>
  <c r="BG182" i="1"/>
  <c r="BG173" i="1"/>
  <c r="BG172" i="1"/>
  <c r="BG171" i="1"/>
  <c r="BG170" i="1"/>
  <c r="BG164" i="1"/>
  <c r="BG163" i="1"/>
  <c r="BG162" i="1"/>
  <c r="BG153" i="1"/>
  <c r="BG152" i="1"/>
  <c r="BG151" i="1"/>
  <c r="BG150" i="1"/>
  <c r="BG138" i="1"/>
  <c r="BG135" i="1"/>
  <c r="BG134" i="1"/>
  <c r="BG133" i="1"/>
  <c r="BG132" i="1"/>
  <c r="BG131" i="1"/>
  <c r="BG130" i="1"/>
  <c r="BG129" i="1"/>
  <c r="BG127" i="1"/>
  <c r="BG126" i="1"/>
  <c r="BG125" i="1"/>
  <c r="BG124" i="1"/>
  <c r="BG123" i="1"/>
  <c r="BG122" i="1"/>
  <c r="BG120" i="1"/>
  <c r="BG119" i="1"/>
  <c r="BG118" i="1"/>
  <c r="BG117" i="1"/>
  <c r="BG115" i="1"/>
  <c r="BG114" i="1"/>
  <c r="BG110" i="1"/>
  <c r="BG111" i="1"/>
  <c r="BG108" i="1"/>
  <c r="BG106" i="1"/>
  <c r="BG105" i="1"/>
  <c r="BG104" i="1"/>
  <c r="BG103" i="1"/>
  <c r="BG102" i="1"/>
  <c r="BG101" i="1"/>
  <c r="BG100" i="1"/>
  <c r="BG99" i="1"/>
  <c r="BG98" i="1"/>
  <c r="BG97" i="1"/>
  <c r="BG96" i="1"/>
  <c r="BG87" i="1"/>
  <c r="BG85" i="1"/>
  <c r="BG84" i="1"/>
  <c r="BG83" i="1"/>
  <c r="BG82" i="1"/>
  <c r="BG81" i="1"/>
  <c r="BG80" i="1"/>
  <c r="BG78" i="1"/>
  <c r="BG77" i="1"/>
  <c r="BG76" i="1"/>
  <c r="BG319" i="1" s="1"/>
  <c r="BG75" i="1"/>
  <c r="BG74" i="1"/>
  <c r="BG72" i="1"/>
  <c r="BG71" i="1"/>
  <c r="BG70" i="1"/>
  <c r="BG69" i="1"/>
  <c r="BG63" i="1"/>
  <c r="BG62" i="1"/>
  <c r="BG61" i="1"/>
  <c r="BG60" i="1"/>
  <c r="BG318" i="1" s="1"/>
  <c r="BG59" i="1"/>
  <c r="BG58" i="1"/>
  <c r="BG57" i="1"/>
  <c r="BG56" i="1"/>
  <c r="BG54" i="1"/>
  <c r="BG53" i="1"/>
  <c r="BG52" i="1"/>
  <c r="BG51" i="1"/>
  <c r="BG49" i="1"/>
  <c r="BG48" i="1"/>
  <c r="BG47" i="1"/>
  <c r="BG28" i="1"/>
  <c r="BG25" i="1"/>
  <c r="BG23" i="1"/>
  <c r="BG22" i="1"/>
  <c r="BG17" i="1"/>
  <c r="BG16" i="1"/>
  <c r="BG15" i="1"/>
  <c r="BG14" i="1"/>
  <c r="BG12" i="1"/>
  <c r="BG11" i="1"/>
  <c r="BG10" i="1"/>
  <c r="BG8" i="1"/>
  <c r="BG7" i="1"/>
  <c r="BF42" i="3"/>
  <c r="BF7" i="4"/>
  <c r="BF8" i="4"/>
  <c r="BF9" i="4"/>
  <c r="BF11" i="4"/>
  <c r="BG11" i="4" s="1"/>
  <c r="BF12" i="4"/>
  <c r="BG12" i="4" s="1"/>
  <c r="BF13" i="4"/>
  <c r="BF14" i="4"/>
  <c r="BG14" i="4" s="1"/>
  <c r="BF16" i="4"/>
  <c r="BG16" i="4" s="1"/>
  <c r="BF17" i="4"/>
  <c r="BF18" i="4"/>
  <c r="BG18" i="4" s="1"/>
  <c r="BF19" i="4"/>
  <c r="BG19" i="4" s="1"/>
  <c r="BF20" i="4"/>
  <c r="BG20" i="4" s="1"/>
  <c r="BF21" i="4"/>
  <c r="BG21" i="4" s="1"/>
  <c r="BF22" i="4"/>
  <c r="BF23" i="4"/>
  <c r="BG23" i="4" s="1"/>
  <c r="BF29" i="4"/>
  <c r="BG29" i="4" s="1"/>
  <c r="BF30" i="4"/>
  <c r="BG30" i="4" s="1"/>
  <c r="BF31" i="4"/>
  <c r="BF32" i="4"/>
  <c r="BG32" i="4" s="1"/>
  <c r="BF34" i="4"/>
  <c r="BG34" i="4" s="1"/>
  <c r="BF35" i="4"/>
  <c r="BG35" i="4" s="1"/>
  <c r="BF36" i="4"/>
  <c r="BF37" i="4"/>
  <c r="BG37" i="4" s="1"/>
  <c r="BF38" i="4"/>
  <c r="BG38" i="4" s="1"/>
  <c r="BF40" i="4"/>
  <c r="BG40" i="4" s="1"/>
  <c r="BF41" i="4"/>
  <c r="BF42" i="4"/>
  <c r="BG42" i="4" s="1"/>
  <c r="BF43" i="4"/>
  <c r="BG43" i="4" s="1"/>
  <c r="BF44" i="4"/>
  <c r="BG44" i="4" s="1"/>
  <c r="BF45" i="4"/>
  <c r="BG45" i="4" s="1"/>
  <c r="BF47" i="4"/>
  <c r="BF86" i="1"/>
  <c r="BF88" i="1" s="1"/>
  <c r="BF55" i="1"/>
  <c r="BF64" i="1" s="1"/>
  <c r="BF136" i="1"/>
  <c r="BG136" i="1" s="1"/>
  <c r="BF128" i="1"/>
  <c r="BG112" i="1"/>
  <c r="BF210" i="1"/>
  <c r="BF203" i="1"/>
  <c r="BF206" i="1" s="1"/>
  <c r="BF208" i="1" s="1"/>
  <c r="BF183" i="2"/>
  <c r="BF184" i="2"/>
  <c r="BF188" i="1"/>
  <c r="BF185" i="2" s="1"/>
  <c r="BF185" i="1"/>
  <c r="BF40" i="3"/>
  <c r="BF6" i="3"/>
  <c r="BF7" i="3"/>
  <c r="BF9" i="3"/>
  <c r="BF10" i="3"/>
  <c r="BF11" i="3"/>
  <c r="BF14" i="3"/>
  <c r="BF15" i="3"/>
  <c r="BF16" i="3"/>
  <c r="BF17" i="3"/>
  <c r="BF19" i="3"/>
  <c r="BF20" i="3"/>
  <c r="BF22" i="3"/>
  <c r="BF25" i="3"/>
  <c r="BF168" i="2"/>
  <c r="BF190" i="2" s="1"/>
  <c r="BF169" i="2"/>
  <c r="BF170" i="2"/>
  <c r="BF171" i="2"/>
  <c r="BF180" i="2"/>
  <c r="BF181" i="2"/>
  <c r="BF81" i="2"/>
  <c r="BF80" i="2"/>
  <c r="BF79" i="2"/>
  <c r="BF40" i="2"/>
  <c r="BF39" i="2"/>
  <c r="BF38" i="2"/>
  <c r="BF36" i="2"/>
  <c r="BF180" i="1"/>
  <c r="BF183" i="1" s="1"/>
  <c r="BF160" i="1"/>
  <c r="BF165" i="1" s="1"/>
  <c r="BF36" i="1"/>
  <c r="BF13" i="1"/>
  <c r="BF9" i="1"/>
  <c r="BE116" i="1"/>
  <c r="BE45" i="3"/>
  <c r="BE39" i="3"/>
  <c r="BE268" i="1"/>
  <c r="BE83" i="17"/>
  <c r="BE20" i="3"/>
  <c r="BE307" i="1"/>
  <c r="BE203" i="1"/>
  <c r="BE206" i="1" s="1"/>
  <c r="BE7" i="4"/>
  <c r="BE8" i="4"/>
  <c r="BE9" i="4"/>
  <c r="BE11" i="4"/>
  <c r="BE12" i="4"/>
  <c r="BE13" i="4"/>
  <c r="BE14" i="4"/>
  <c r="BE16" i="4"/>
  <c r="BE17" i="4"/>
  <c r="BE18" i="4"/>
  <c r="BE19" i="4"/>
  <c r="BE20" i="4"/>
  <c r="BE21" i="4"/>
  <c r="BE22" i="4"/>
  <c r="BE23" i="4"/>
  <c r="BE29" i="4"/>
  <c r="BE30" i="4"/>
  <c r="BE31" i="4"/>
  <c r="BE32" i="4"/>
  <c r="BE34" i="4"/>
  <c r="BE35" i="4"/>
  <c r="BE36" i="4"/>
  <c r="BE37" i="4"/>
  <c r="BE38" i="4"/>
  <c r="BE40" i="4"/>
  <c r="BE41" i="4"/>
  <c r="BE42" i="4"/>
  <c r="BE43" i="4"/>
  <c r="BE44" i="4"/>
  <c r="BE45" i="4"/>
  <c r="BE47" i="4"/>
  <c r="BE86" i="1"/>
  <c r="BE88" i="1" s="1"/>
  <c r="BE55" i="1"/>
  <c r="BE64" i="1" s="1"/>
  <c r="BE137" i="1"/>
  <c r="BE128" i="1"/>
  <c r="BE168" i="2"/>
  <c r="BE169" i="2"/>
  <c r="BE170" i="2"/>
  <c r="BE171" i="2"/>
  <c r="BE180" i="2"/>
  <c r="BE181" i="2"/>
  <c r="BE183" i="2"/>
  <c r="BE184" i="2"/>
  <c r="BE81" i="2"/>
  <c r="BE80" i="2"/>
  <c r="BE79" i="2"/>
  <c r="BE40" i="2"/>
  <c r="BE39" i="2"/>
  <c r="BE38" i="2"/>
  <c r="BE36" i="2"/>
  <c r="BE188" i="1"/>
  <c r="BE185" i="2" s="1"/>
  <c r="BE185" i="1"/>
  <c r="BE180" i="1"/>
  <c r="BE183" i="1" s="1"/>
  <c r="BE160" i="1"/>
  <c r="BE165" i="1" s="1"/>
  <c r="BE42" i="3"/>
  <c r="BE40" i="3"/>
  <c r="BE14" i="3"/>
  <c r="BE15" i="3"/>
  <c r="BE16" i="3"/>
  <c r="BE17" i="3"/>
  <c r="BE19" i="3"/>
  <c r="BE22" i="3"/>
  <c r="BE25" i="3"/>
  <c r="BE210" i="1"/>
  <c r="BE226" i="1"/>
  <c r="BE321" i="2" s="1"/>
  <c r="BE32" i="1"/>
  <c r="BE36" i="1"/>
  <c r="BE13" i="1"/>
  <c r="BE9" i="1"/>
  <c r="AW120" i="1"/>
  <c r="AW119" i="1"/>
  <c r="AW118" i="1"/>
  <c r="AW117" i="1"/>
  <c r="AV116" i="1"/>
  <c r="AW116" i="1" s="1"/>
  <c r="BC29" i="5"/>
  <c r="BD29" i="5" s="1"/>
  <c r="BE29" i="5" s="1"/>
  <c r="BF29" i="5" s="1"/>
  <c r="BG29" i="5" s="1"/>
  <c r="BC28" i="5"/>
  <c r="BD28" i="5" s="1"/>
  <c r="BE28" i="5" s="1"/>
  <c r="BF28" i="5" s="1"/>
  <c r="BG28" i="5" s="1"/>
  <c r="AX29" i="5"/>
  <c r="AY29" i="5" s="1"/>
  <c r="AZ29" i="5" s="1"/>
  <c r="AX28" i="5"/>
  <c r="AY28" i="5" s="1"/>
  <c r="AZ28" i="5" s="1"/>
  <c r="BA28" i="5" s="1"/>
  <c r="BB28" i="5" s="1"/>
  <c r="AS29" i="5"/>
  <c r="AT29" i="5" s="1"/>
  <c r="AU29" i="5" s="1"/>
  <c r="AS28" i="5"/>
  <c r="AT28" i="5" s="1"/>
  <c r="AU28" i="5" s="1"/>
  <c r="AV28" i="5" s="1"/>
  <c r="AW28" i="5" s="1"/>
  <c r="AN29" i="5"/>
  <c r="AO29" i="5" s="1"/>
  <c r="AP29" i="5" s="1"/>
  <c r="AQ29" i="5" s="1"/>
  <c r="AN28" i="5"/>
  <c r="AO28" i="5" s="1"/>
  <c r="AP28" i="5" s="1"/>
  <c r="AQ28" i="5" s="1"/>
  <c r="AR28" i="5" s="1"/>
  <c r="AX116" i="1"/>
  <c r="AX27" i="5" s="1"/>
  <c r="BA116" i="1"/>
  <c r="BD116" i="1"/>
  <c r="BC116" i="1"/>
  <c r="BC27" i="5" s="1"/>
  <c r="AY116" i="1"/>
  <c r="AZ116" i="1"/>
  <c r="AZ107" i="1" s="1"/>
  <c r="AZ121" i="1" s="1"/>
  <c r="BB119" i="1"/>
  <c r="BB118" i="1"/>
  <c r="BB117" i="1"/>
  <c r="AU116" i="1"/>
  <c r="AT116" i="1"/>
  <c r="AS116" i="1"/>
  <c r="AS27" i="5" s="1"/>
  <c r="BB115" i="1"/>
  <c r="AW115" i="1"/>
  <c r="AQ116" i="1"/>
  <c r="AR116" i="1" s="1"/>
  <c r="AR120" i="1"/>
  <c r="AR119" i="1"/>
  <c r="AR118" i="1"/>
  <c r="AR117" i="1"/>
  <c r="AP116" i="1"/>
  <c r="AO116" i="1"/>
  <c r="AN116" i="1"/>
  <c r="BB415" i="1"/>
  <c r="BB432" i="1"/>
  <c r="BD45" i="3"/>
  <c r="BD39" i="3"/>
  <c r="BD266" i="1"/>
  <c r="BD226" i="1"/>
  <c r="BD321" i="2" s="1"/>
  <c r="BD307" i="1"/>
  <c r="BD210" i="1"/>
  <c r="BD7" i="4"/>
  <c r="BD8" i="4"/>
  <c r="BD9" i="4"/>
  <c r="BD11" i="4"/>
  <c r="BD12" i="4"/>
  <c r="BD13" i="4"/>
  <c r="BD14" i="4"/>
  <c r="BD16" i="4"/>
  <c r="BD17" i="4"/>
  <c r="BD18" i="4"/>
  <c r="BD19" i="4"/>
  <c r="BD20" i="4"/>
  <c r="BD21" i="4"/>
  <c r="BD22" i="4"/>
  <c r="BD23" i="4"/>
  <c r="BD29" i="4"/>
  <c r="BD30" i="4"/>
  <c r="BD31" i="4"/>
  <c r="BD32" i="4"/>
  <c r="BD34" i="4"/>
  <c r="BD35" i="4"/>
  <c r="BD36" i="4"/>
  <c r="BD37" i="4"/>
  <c r="BD38" i="4"/>
  <c r="BD40" i="4"/>
  <c r="BD41" i="4"/>
  <c r="BD42" i="4"/>
  <c r="BD43" i="4"/>
  <c r="BD44" i="4"/>
  <c r="BD45" i="4"/>
  <c r="BD47" i="4"/>
  <c r="BD86" i="1"/>
  <c r="BD88" i="1" s="1"/>
  <c r="BD55" i="1"/>
  <c r="BD64" i="1" s="1"/>
  <c r="BD137" i="1"/>
  <c r="BD128" i="1"/>
  <c r="BD120" i="1"/>
  <c r="BD203" i="1"/>
  <c r="BD206" i="1" s="1"/>
  <c r="BD208" i="1" s="1"/>
  <c r="BD42" i="3"/>
  <c r="BD183" i="2"/>
  <c r="BD184" i="2"/>
  <c r="BD40" i="3"/>
  <c r="BD14" i="3"/>
  <c r="BD15" i="3"/>
  <c r="BD16" i="3"/>
  <c r="BD17" i="3"/>
  <c r="BD19" i="3"/>
  <c r="BD20" i="3"/>
  <c r="BD22" i="3"/>
  <c r="BD25" i="3"/>
  <c r="BD181" i="2"/>
  <c r="BD180" i="2"/>
  <c r="BD168" i="2"/>
  <c r="BD169" i="2"/>
  <c r="BD170" i="2"/>
  <c r="BD171" i="2"/>
  <c r="BD81" i="2"/>
  <c r="BD80" i="2"/>
  <c r="BD79" i="2"/>
  <c r="BD40" i="2"/>
  <c r="BD39" i="2"/>
  <c r="BD38" i="2"/>
  <c r="BD36" i="2"/>
  <c r="BD185" i="1"/>
  <c r="BD182" i="2" s="1"/>
  <c r="BD48" i="3" s="1"/>
  <c r="BD188" i="1"/>
  <c r="BD180" i="1"/>
  <c r="BD183" i="1" s="1"/>
  <c r="BD160" i="1"/>
  <c r="BD165" i="1" s="1"/>
  <c r="BD32" i="1"/>
  <c r="BD36" i="1"/>
  <c r="BD13" i="1"/>
  <c r="BD9" i="1"/>
  <c r="BC45" i="3"/>
  <c r="BC42" i="3"/>
  <c r="BC39" i="3"/>
  <c r="BC40" i="3"/>
  <c r="BC307" i="1"/>
  <c r="BC226" i="1"/>
  <c r="BC321" i="2" s="1"/>
  <c r="BC49" i="5"/>
  <c r="BD49" i="5" s="1"/>
  <c r="BE49" i="5" s="1"/>
  <c r="BC47" i="5"/>
  <c r="BD47" i="5" s="1"/>
  <c r="BE47" i="5" s="1"/>
  <c r="BC46" i="5"/>
  <c r="BC45" i="5"/>
  <c r="BC44" i="5"/>
  <c r="BD44" i="5" s="1"/>
  <c r="BE44" i="5" s="1"/>
  <c r="BF44" i="5" s="1"/>
  <c r="BG44" i="5" s="1"/>
  <c r="BC43" i="5"/>
  <c r="BD43" i="5" s="1"/>
  <c r="BC42" i="5"/>
  <c r="BD42" i="5" s="1"/>
  <c r="BC41" i="5"/>
  <c r="BC40" i="5"/>
  <c r="BD40" i="5" s="1"/>
  <c r="BC38" i="5"/>
  <c r="BD38" i="5" s="1"/>
  <c r="BE38" i="5" s="1"/>
  <c r="BC37" i="5"/>
  <c r="BD37" i="5" s="1"/>
  <c r="BE37" i="5" s="1"/>
  <c r="BC36" i="5"/>
  <c r="BC35" i="5"/>
  <c r="BD35" i="5" s="1"/>
  <c r="BC34" i="5"/>
  <c r="BD34" i="5" s="1"/>
  <c r="BE34" i="5" s="1"/>
  <c r="BF34" i="5" s="1"/>
  <c r="BG34" i="5" s="1"/>
  <c r="BC31" i="5"/>
  <c r="BC30" i="5"/>
  <c r="BC26" i="5"/>
  <c r="BD26" i="5" s="1"/>
  <c r="BE26" i="5" s="1"/>
  <c r="BF26" i="5" s="1"/>
  <c r="BC25" i="5"/>
  <c r="BD25" i="5" s="1"/>
  <c r="BE25" i="5" s="1"/>
  <c r="BF25" i="5" s="1"/>
  <c r="BC24" i="5"/>
  <c r="BC21" i="5"/>
  <c r="BD21" i="5" s="1"/>
  <c r="BE21" i="5" s="1"/>
  <c r="BC19" i="5"/>
  <c r="BD19" i="5" s="1"/>
  <c r="BE19" i="5" s="1"/>
  <c r="BC17" i="5"/>
  <c r="BD17" i="5" s="1"/>
  <c r="BE17" i="5" s="1"/>
  <c r="BF17" i="5" s="1"/>
  <c r="BG17" i="5" s="1"/>
  <c r="BC16" i="5"/>
  <c r="BD16" i="5" s="1"/>
  <c r="BC15" i="5"/>
  <c r="BD15" i="5" s="1"/>
  <c r="BE15" i="5" s="1"/>
  <c r="BC14" i="5"/>
  <c r="BD14" i="5" s="1"/>
  <c r="BE14" i="5" s="1"/>
  <c r="BF14" i="5" s="1"/>
  <c r="BG14" i="5" s="1"/>
  <c r="BC13" i="5"/>
  <c r="BD13" i="5" s="1"/>
  <c r="BE13" i="5" s="1"/>
  <c r="BF13" i="5" s="1"/>
  <c r="BG13" i="5" s="1"/>
  <c r="BC12" i="5"/>
  <c r="BD12" i="5" s="1"/>
  <c r="BE12" i="5" s="1"/>
  <c r="BF12" i="5" s="1"/>
  <c r="BC11" i="5"/>
  <c r="BC10" i="5"/>
  <c r="BD10" i="5" s="1"/>
  <c r="BE10" i="5" s="1"/>
  <c r="BC9" i="5"/>
  <c r="BD9" i="5" s="1"/>
  <c r="BC8" i="5"/>
  <c r="BD8" i="5" s="1"/>
  <c r="BE8" i="5" s="1"/>
  <c r="BF8" i="5" s="1"/>
  <c r="BC7" i="5"/>
  <c r="BC47" i="4"/>
  <c r="BC45" i="4"/>
  <c r="BC44" i="4"/>
  <c r="BC43" i="4"/>
  <c r="BC42" i="4"/>
  <c r="BC41" i="4"/>
  <c r="BC40" i="4"/>
  <c r="BC38" i="4"/>
  <c r="BC37" i="4"/>
  <c r="BC36" i="4"/>
  <c r="BC35" i="4"/>
  <c r="BC34" i="4"/>
  <c r="BC32" i="4"/>
  <c r="BC31" i="4"/>
  <c r="BC30" i="4"/>
  <c r="BC29" i="4"/>
  <c r="BC23" i="4"/>
  <c r="BC22" i="4"/>
  <c r="BC21" i="4"/>
  <c r="BC20" i="4"/>
  <c r="BC19" i="4"/>
  <c r="BC18" i="4"/>
  <c r="BC17" i="4"/>
  <c r="BC16" i="4"/>
  <c r="BC14" i="4"/>
  <c r="BC13" i="4"/>
  <c r="BC12" i="4"/>
  <c r="BC11" i="4"/>
  <c r="BC9" i="4"/>
  <c r="BC8" i="4"/>
  <c r="BC7" i="4"/>
  <c r="BC210" i="1"/>
  <c r="BC137" i="1"/>
  <c r="BC128" i="1"/>
  <c r="BC86" i="1"/>
  <c r="BC88" i="1" s="1"/>
  <c r="BC55" i="1"/>
  <c r="BC64" i="1" s="1"/>
  <c r="BC320" i="2"/>
  <c r="BC319" i="2"/>
  <c r="BC318" i="2"/>
  <c r="BC317" i="2"/>
  <c r="BC327" i="2" s="1"/>
  <c r="BC316" i="2"/>
  <c r="BC315" i="2"/>
  <c r="BC314" i="2"/>
  <c r="BC324" i="2" s="1"/>
  <c r="BC303" i="2"/>
  <c r="BC293" i="2"/>
  <c r="BC292" i="2"/>
  <c r="BC291" i="2"/>
  <c r="BC290" i="2"/>
  <c r="BC281" i="2"/>
  <c r="BC280" i="2"/>
  <c r="BC279" i="2"/>
  <c r="BC278" i="2"/>
  <c r="BC277" i="2"/>
  <c r="BC276" i="2"/>
  <c r="BC185" i="1"/>
  <c r="BC188" i="1"/>
  <c r="BC185" i="2" s="1"/>
  <c r="BC25" i="3"/>
  <c r="BC22" i="3"/>
  <c r="BC20" i="3"/>
  <c r="BC19" i="3"/>
  <c r="BC17" i="3"/>
  <c r="BC16" i="3"/>
  <c r="BC15" i="3"/>
  <c r="BC14" i="3"/>
  <c r="BC11" i="3"/>
  <c r="BC10" i="3"/>
  <c r="BC9" i="3"/>
  <c r="BC203" i="1"/>
  <c r="BC206" i="1" s="1"/>
  <c r="BC208" i="1" s="1"/>
  <c r="BC184" i="2"/>
  <c r="BC183" i="2"/>
  <c r="BC181" i="2"/>
  <c r="BC180" i="2"/>
  <c r="BC171" i="2"/>
  <c r="BC170" i="2"/>
  <c r="BC169" i="2"/>
  <c r="BC168" i="2"/>
  <c r="BC81" i="2"/>
  <c r="BC80" i="2"/>
  <c r="BC79" i="2"/>
  <c r="BC40" i="2"/>
  <c r="BC39" i="2"/>
  <c r="BC38" i="2"/>
  <c r="BC36" i="2"/>
  <c r="BC180" i="1"/>
  <c r="BC183" i="1" s="1"/>
  <c r="BC160" i="1"/>
  <c r="BC165" i="1" s="1"/>
  <c r="BC36" i="1"/>
  <c r="BC32" i="1"/>
  <c r="BC13" i="1"/>
  <c r="BC9" i="1"/>
  <c r="BK359" i="2"/>
  <c r="BJ359" i="2"/>
  <c r="BH359" i="2"/>
  <c r="BK358" i="2"/>
  <c r="BJ358" i="2"/>
  <c r="BH358" i="2"/>
  <c r="BK357" i="2"/>
  <c r="BJ357" i="2"/>
  <c r="BH357" i="2"/>
  <c r="BK356" i="2"/>
  <c r="BJ356" i="2"/>
  <c r="BH356" i="2"/>
  <c r="BK355" i="2"/>
  <c r="BJ355" i="2"/>
  <c r="BH355" i="2"/>
  <c r="BK354" i="2"/>
  <c r="BJ354" i="2"/>
  <c r="BH354" i="2"/>
  <c r="BK37" i="17"/>
  <c r="BJ37" i="17"/>
  <c r="BI37" i="17"/>
  <c r="BH37" i="17"/>
  <c r="BK36" i="17"/>
  <c r="BJ36" i="17"/>
  <c r="BI36" i="17"/>
  <c r="BH36" i="17"/>
  <c r="BK19" i="17"/>
  <c r="BJ19" i="17"/>
  <c r="BI19" i="17"/>
  <c r="BH19" i="17"/>
  <c r="BK18" i="17"/>
  <c r="BJ18" i="17"/>
  <c r="BI18" i="17"/>
  <c r="BH18" i="17"/>
  <c r="BL52" i="12"/>
  <c r="BL42" i="12"/>
  <c r="BK55" i="12"/>
  <c r="BJ55" i="12"/>
  <c r="BI55" i="12"/>
  <c r="BH55" i="12"/>
  <c r="BK45" i="12"/>
  <c r="BJ45" i="12"/>
  <c r="BI45" i="12"/>
  <c r="BH45" i="12"/>
  <c r="BA40" i="3"/>
  <c r="BA39" i="3"/>
  <c r="BB57" i="4"/>
  <c r="BC57" i="4" s="1"/>
  <c r="BD57" i="4" s="1"/>
  <c r="BE57" i="4" s="1"/>
  <c r="BB55" i="4"/>
  <c r="BB54" i="4"/>
  <c r="BA42" i="3"/>
  <c r="BB225" i="1"/>
  <c r="BB320" i="2" s="1"/>
  <c r="BB223" i="1"/>
  <c r="BB319" i="2" s="1"/>
  <c r="BB222" i="1"/>
  <c r="BB318" i="2" s="1"/>
  <c r="BB220" i="1"/>
  <c r="BB219" i="1"/>
  <c r="BB315" i="2" s="1"/>
  <c r="BA226" i="1"/>
  <c r="BA321" i="2" s="1"/>
  <c r="BB290" i="1"/>
  <c r="BA286" i="1"/>
  <c r="BA45" i="3" s="1"/>
  <c r="BB283" i="1"/>
  <c r="BB40" i="3"/>
  <c r="BA47" i="4"/>
  <c r="BA45" i="4"/>
  <c r="BB45" i="4" s="1"/>
  <c r="BA44" i="4"/>
  <c r="BB44" i="4" s="1"/>
  <c r="BA43" i="4"/>
  <c r="BB43" i="4" s="1"/>
  <c r="BA42" i="4"/>
  <c r="BA41" i="4"/>
  <c r="BB41" i="4" s="1"/>
  <c r="BA40" i="4"/>
  <c r="BB40" i="4" s="1"/>
  <c r="BA38" i="4"/>
  <c r="BA37" i="4"/>
  <c r="BB37" i="4" s="1"/>
  <c r="BA36" i="4"/>
  <c r="BB36" i="4" s="1"/>
  <c r="BA35" i="4"/>
  <c r="BB35" i="4" s="1"/>
  <c r="BA34" i="4"/>
  <c r="BB34" i="4" s="1"/>
  <c r="BA32" i="4"/>
  <c r="BB32" i="4" s="1"/>
  <c r="BA31" i="4"/>
  <c r="BB31" i="4" s="1"/>
  <c r="BA30" i="4"/>
  <c r="BB30" i="4" s="1"/>
  <c r="BA29" i="4"/>
  <c r="BB29" i="4" s="1"/>
  <c r="BA23" i="4"/>
  <c r="BB23" i="4" s="1"/>
  <c r="BA22" i="4"/>
  <c r="BA21" i="4"/>
  <c r="BA20" i="4"/>
  <c r="BB20" i="4" s="1"/>
  <c r="BA19" i="4"/>
  <c r="BB19" i="4" s="1"/>
  <c r="BA18" i="4"/>
  <c r="BA17" i="4"/>
  <c r="BA16" i="4"/>
  <c r="BB16" i="4" s="1"/>
  <c r="BA14" i="4"/>
  <c r="BB14" i="4" s="1"/>
  <c r="BA13" i="4"/>
  <c r="BB13" i="4" s="1"/>
  <c r="BA12" i="4"/>
  <c r="BB12" i="4" s="1"/>
  <c r="BA11" i="4"/>
  <c r="BB11" i="4" s="1"/>
  <c r="BA9" i="4"/>
  <c r="BA8" i="4"/>
  <c r="BB8" i="4" s="1"/>
  <c r="BA7" i="4"/>
  <c r="BA86" i="1"/>
  <c r="BA88" i="1" s="1"/>
  <c r="BA55" i="1"/>
  <c r="BA64" i="1" s="1"/>
  <c r="BB306" i="1"/>
  <c r="BB393" i="2" s="1"/>
  <c r="BA307" i="1"/>
  <c r="BA137" i="1"/>
  <c r="BA128" i="1"/>
  <c r="BB87" i="1"/>
  <c r="BB85" i="1"/>
  <c r="BB84" i="1"/>
  <c r="BB83" i="1"/>
  <c r="BB82" i="1"/>
  <c r="BB81" i="1"/>
  <c r="BB80" i="1"/>
  <c r="BB78" i="1"/>
  <c r="BB77" i="1"/>
  <c r="BB76" i="1"/>
  <c r="BB319" i="1" s="1"/>
  <c r="BB75" i="1"/>
  <c r="BB74" i="1"/>
  <c r="BB72" i="1"/>
  <c r="BB71" i="1"/>
  <c r="BB70" i="1"/>
  <c r="BB69" i="1"/>
  <c r="BB63" i="1"/>
  <c r="BB62" i="1"/>
  <c r="BB61" i="1"/>
  <c r="BB60" i="1"/>
  <c r="BB318" i="1" s="1"/>
  <c r="BB59" i="1"/>
  <c r="BB58" i="1"/>
  <c r="BB57" i="1"/>
  <c r="BB56" i="1"/>
  <c r="BB54" i="1"/>
  <c r="BB53" i="1"/>
  <c r="BB52" i="1"/>
  <c r="BB51" i="1"/>
  <c r="BB49" i="1"/>
  <c r="BB48" i="1"/>
  <c r="BB47" i="1"/>
  <c r="BB138" i="1"/>
  <c r="BB136" i="1"/>
  <c r="BB135" i="1"/>
  <c r="BB134" i="1"/>
  <c r="BB133" i="1"/>
  <c r="BB132" i="1"/>
  <c r="BB131" i="1"/>
  <c r="BB130" i="1"/>
  <c r="BB129" i="1"/>
  <c r="BB127" i="1"/>
  <c r="BB126" i="1"/>
  <c r="BB125" i="1"/>
  <c r="BB124" i="1"/>
  <c r="BB123" i="1"/>
  <c r="BB122" i="1"/>
  <c r="BB120" i="1"/>
  <c r="BB114" i="1"/>
  <c r="BB110" i="1"/>
  <c r="BB111" i="1"/>
  <c r="BB108" i="1"/>
  <c r="BB106" i="1"/>
  <c r="BB105" i="1"/>
  <c r="BB104" i="1"/>
  <c r="BB103" i="1"/>
  <c r="BB102" i="1"/>
  <c r="BB101" i="1"/>
  <c r="BB100" i="1"/>
  <c r="BB99" i="1"/>
  <c r="BB98" i="1"/>
  <c r="BB97" i="1"/>
  <c r="BB96" i="1"/>
  <c r="BA210" i="1"/>
  <c r="BA25" i="3"/>
  <c r="BA22" i="3"/>
  <c r="BA20" i="3"/>
  <c r="BA19" i="3"/>
  <c r="BA17" i="3"/>
  <c r="BA16" i="3"/>
  <c r="BA15" i="3"/>
  <c r="BA14" i="3"/>
  <c r="BA184" i="2"/>
  <c r="BA183" i="2"/>
  <c r="BA181" i="2"/>
  <c r="BA180" i="2"/>
  <c r="BA171" i="2"/>
  <c r="BA170" i="2"/>
  <c r="BA169" i="2"/>
  <c r="BA168" i="2"/>
  <c r="BA81" i="2"/>
  <c r="BA80" i="2"/>
  <c r="BA79" i="2"/>
  <c r="BA40" i="2"/>
  <c r="BA39" i="2"/>
  <c r="BA38" i="2"/>
  <c r="BA36" i="2"/>
  <c r="BB207" i="1"/>
  <c r="BB303" i="2" s="1"/>
  <c r="BA203" i="1"/>
  <c r="BA188" i="1"/>
  <c r="BA185" i="2" s="1"/>
  <c r="BA185" i="1"/>
  <c r="BA180" i="1"/>
  <c r="BA183" i="1" s="1"/>
  <c r="BA160" i="1"/>
  <c r="BA165" i="1" s="1"/>
  <c r="BB196" i="1"/>
  <c r="BB293" i="2" s="1"/>
  <c r="BB195" i="1"/>
  <c r="BB292" i="2" s="1"/>
  <c r="BB194" i="1"/>
  <c r="BB193" i="1"/>
  <c r="BB290" i="2" s="1"/>
  <c r="BB187" i="1"/>
  <c r="BB186" i="1"/>
  <c r="BB184" i="1"/>
  <c r="BB182" i="1"/>
  <c r="BB173" i="1"/>
  <c r="BB172" i="1"/>
  <c r="BB171" i="1"/>
  <c r="BB170" i="1"/>
  <c r="BB164" i="1"/>
  <c r="BB163" i="1"/>
  <c r="BB162" i="1"/>
  <c r="BB153" i="1"/>
  <c r="BB152" i="1"/>
  <c r="BB151" i="1"/>
  <c r="BB150" i="1"/>
  <c r="BA36" i="1"/>
  <c r="BA32" i="1"/>
  <c r="BB28" i="1"/>
  <c r="BB36" i="1" s="1"/>
  <c r="BB25" i="1"/>
  <c r="BB23" i="1"/>
  <c r="BB22" i="1"/>
  <c r="BB14" i="1"/>
  <c r="BB17" i="1"/>
  <c r="BB16" i="1"/>
  <c r="BB15" i="1"/>
  <c r="BB12" i="1"/>
  <c r="BB11" i="1"/>
  <c r="BB10" i="1"/>
  <c r="BA13" i="1"/>
  <c r="BB8" i="1"/>
  <c r="BB7" i="3" s="1"/>
  <c r="BB7" i="1"/>
  <c r="BA9" i="1"/>
  <c r="AZ45" i="3"/>
  <c r="AZ39" i="3"/>
  <c r="AZ304" i="1"/>
  <c r="AZ307" i="1" s="1"/>
  <c r="AZ226" i="1"/>
  <c r="AZ321" i="2" s="1"/>
  <c r="AZ20" i="3"/>
  <c r="AZ19" i="3"/>
  <c r="BB294" i="1"/>
  <c r="BB381" i="2" s="1"/>
  <c r="AZ42" i="3"/>
  <c r="AZ47" i="4"/>
  <c r="AZ45" i="4"/>
  <c r="AZ44" i="4"/>
  <c r="AZ43" i="4"/>
  <c r="AZ42" i="4"/>
  <c r="AZ41" i="4"/>
  <c r="AZ40" i="4"/>
  <c r="AZ38" i="4"/>
  <c r="AZ37" i="4"/>
  <c r="AZ36" i="4"/>
  <c r="AZ35" i="4"/>
  <c r="AZ34" i="4"/>
  <c r="AZ32" i="4"/>
  <c r="AZ31" i="4"/>
  <c r="AZ30" i="4"/>
  <c r="AZ29" i="4"/>
  <c r="AZ23" i="4"/>
  <c r="AZ22" i="4"/>
  <c r="AZ21" i="4"/>
  <c r="AZ20" i="4"/>
  <c r="AZ19" i="4"/>
  <c r="AZ18" i="4"/>
  <c r="AZ17" i="4"/>
  <c r="AZ16" i="4"/>
  <c r="AZ14" i="4"/>
  <c r="AZ13" i="4"/>
  <c r="AZ12" i="4"/>
  <c r="AZ11" i="4"/>
  <c r="AZ9" i="4"/>
  <c r="AZ8" i="4"/>
  <c r="AZ7" i="4"/>
  <c r="AZ137" i="1"/>
  <c r="AZ128" i="1"/>
  <c r="AZ86" i="1"/>
  <c r="AZ88" i="1" s="1"/>
  <c r="AZ55" i="1"/>
  <c r="AZ64" i="1" s="1"/>
  <c r="AZ40" i="3"/>
  <c r="AZ25" i="3"/>
  <c r="AZ22" i="3"/>
  <c r="AZ17" i="3"/>
  <c r="AZ16" i="3"/>
  <c r="AZ15" i="3"/>
  <c r="AZ14" i="3"/>
  <c r="AZ11" i="3"/>
  <c r="AZ10" i="3"/>
  <c r="AZ9" i="3"/>
  <c r="AZ184" i="2"/>
  <c r="AZ183" i="2"/>
  <c r="AZ181" i="2"/>
  <c r="AZ180" i="2"/>
  <c r="AZ171" i="2"/>
  <c r="AZ170" i="2"/>
  <c r="AZ169" i="2"/>
  <c r="AZ168" i="2"/>
  <c r="AZ81" i="2"/>
  <c r="AZ80" i="2"/>
  <c r="AZ79" i="2"/>
  <c r="AZ40" i="2"/>
  <c r="AZ39" i="2"/>
  <c r="AZ38" i="2"/>
  <c r="AZ36" i="2"/>
  <c r="AZ210" i="1"/>
  <c r="AZ203" i="1"/>
  <c r="AZ206" i="1" s="1"/>
  <c r="AZ188" i="1"/>
  <c r="AZ185" i="1"/>
  <c r="AZ182" i="2" s="1"/>
  <c r="AZ48" i="3" s="1"/>
  <c r="AZ180" i="1"/>
  <c r="AZ183" i="1" s="1"/>
  <c r="AZ160" i="1"/>
  <c r="AZ165" i="1" s="1"/>
  <c r="AZ36" i="1"/>
  <c r="AZ32" i="1"/>
  <c r="AZ13" i="1"/>
  <c r="AZ9" i="1"/>
  <c r="AY36" i="2"/>
  <c r="BG52" i="12"/>
  <c r="BG78" i="12"/>
  <c r="BG42" i="12"/>
  <c r="BD11" i="3"/>
  <c r="BD10" i="3"/>
  <c r="BD9" i="3"/>
  <c r="BD7" i="3"/>
  <c r="BD6" i="3"/>
  <c r="BC7" i="3"/>
  <c r="BC6" i="3"/>
  <c r="BE11" i="3"/>
  <c r="BE10" i="3"/>
  <c r="BE9" i="3"/>
  <c r="BE7" i="3"/>
  <c r="BE6" i="3"/>
  <c r="BD382" i="2"/>
  <c r="BC382" i="2"/>
  <c r="BD359" i="2"/>
  <c r="BC359" i="2"/>
  <c r="BD358" i="2"/>
  <c r="BC358" i="2"/>
  <c r="BD357" i="2"/>
  <c r="BC357" i="2"/>
  <c r="BD356" i="2"/>
  <c r="BC356" i="2"/>
  <c r="BD355" i="2"/>
  <c r="BC355" i="2"/>
  <c r="BD354" i="2"/>
  <c r="BC354" i="2"/>
  <c r="BD320" i="2"/>
  <c r="BD319" i="2"/>
  <c r="BD318" i="2"/>
  <c r="BD317" i="2"/>
  <c r="BD327" i="2" s="1"/>
  <c r="BD316" i="2"/>
  <c r="BD315" i="2"/>
  <c r="BD314" i="2"/>
  <c r="BD324" i="2" s="1"/>
  <c r="BD303" i="2"/>
  <c r="BD293" i="2"/>
  <c r="BD292" i="2"/>
  <c r="BD291" i="2"/>
  <c r="BD290" i="2"/>
  <c r="BF382" i="2"/>
  <c r="BE382" i="2"/>
  <c r="BF359" i="2"/>
  <c r="BE359" i="2"/>
  <c r="BF358" i="2"/>
  <c r="BE358" i="2"/>
  <c r="BF357" i="2"/>
  <c r="BE357" i="2"/>
  <c r="BF356" i="2"/>
  <c r="BE356" i="2"/>
  <c r="BF355" i="2"/>
  <c r="BE355" i="2"/>
  <c r="BF354" i="2"/>
  <c r="BE354" i="2"/>
  <c r="BF320" i="2"/>
  <c r="BF318" i="2"/>
  <c r="BF317" i="2"/>
  <c r="BF327" i="2" s="1"/>
  <c r="BF316" i="2"/>
  <c r="BF315" i="2"/>
  <c r="BF314" i="2"/>
  <c r="BF324" i="2" s="1"/>
  <c r="BE314" i="2"/>
  <c r="BE324" i="2" s="1"/>
  <c r="BF303" i="2"/>
  <c r="BE303" i="2"/>
  <c r="BF293" i="2"/>
  <c r="BE293" i="2"/>
  <c r="BF292" i="2"/>
  <c r="BE292" i="2"/>
  <c r="BF291" i="2"/>
  <c r="BE291" i="2"/>
  <c r="BF290" i="2"/>
  <c r="BE290" i="2"/>
  <c r="AZ83" i="17"/>
  <c r="BF43" i="17"/>
  <c r="BE43" i="17"/>
  <c r="BD43" i="17"/>
  <c r="BC43" i="17"/>
  <c r="BF37" i="17"/>
  <c r="BE37" i="17"/>
  <c r="BD37" i="17"/>
  <c r="BC37" i="17"/>
  <c r="BF36" i="17"/>
  <c r="BE36" i="17"/>
  <c r="BD36" i="17"/>
  <c r="BC36" i="17"/>
  <c r="BF31" i="17"/>
  <c r="BE31" i="17"/>
  <c r="BD31" i="17"/>
  <c r="BC31" i="17"/>
  <c r="BF30" i="17"/>
  <c r="BE30" i="17"/>
  <c r="BD30" i="17"/>
  <c r="BC30" i="17"/>
  <c r="BF19" i="17"/>
  <c r="BE19" i="17"/>
  <c r="BD19" i="17"/>
  <c r="BC19" i="17"/>
  <c r="BF18" i="17"/>
  <c r="BE18" i="17"/>
  <c r="BD18" i="17"/>
  <c r="BC18" i="17"/>
  <c r="BF7" i="17"/>
  <c r="BE7" i="17"/>
  <c r="BD7" i="17"/>
  <c r="BC7" i="17"/>
  <c r="BF117" i="12"/>
  <c r="BF123" i="12"/>
  <c r="BK123" i="12" s="1"/>
  <c r="BK69" i="17" s="1"/>
  <c r="BE123" i="12"/>
  <c r="BJ123" i="12" s="1"/>
  <c r="BD123" i="12"/>
  <c r="BI123" i="12" s="1"/>
  <c r="BN123" i="12" s="1"/>
  <c r="BC123" i="12"/>
  <c r="BH123" i="12" s="1"/>
  <c r="BF126" i="12"/>
  <c r="BF73" i="17" s="1"/>
  <c r="BE126" i="12"/>
  <c r="BJ126" i="12" s="1"/>
  <c r="BO126" i="12" s="1"/>
  <c r="BO73" i="17" s="1"/>
  <c r="BD126" i="12"/>
  <c r="BI126" i="12" s="1"/>
  <c r="BC126" i="12"/>
  <c r="BH126" i="12" s="1"/>
  <c r="BM126" i="12" s="1"/>
  <c r="BR126" i="12" s="1"/>
  <c r="BW126" i="12" s="1"/>
  <c r="CB126" i="12" s="1"/>
  <c r="CG126" i="12" s="1"/>
  <c r="CL126" i="12" s="1"/>
  <c r="CQ126" i="12" s="1"/>
  <c r="CV126" i="12" s="1"/>
  <c r="DA126" i="12" s="1"/>
  <c r="DF126" i="12" s="1"/>
  <c r="DK126" i="12" s="1"/>
  <c r="DP126" i="12" s="1"/>
  <c r="DU126" i="12" s="1"/>
  <c r="BF45" i="12"/>
  <c r="BE45" i="12"/>
  <c r="BD45" i="12"/>
  <c r="BC45" i="12"/>
  <c r="BF81" i="12"/>
  <c r="BE81" i="12"/>
  <c r="BD81" i="12"/>
  <c r="BC81" i="12"/>
  <c r="BF55" i="12"/>
  <c r="BE55" i="12"/>
  <c r="BD55" i="12"/>
  <c r="BC55" i="12"/>
  <c r="AY39" i="3"/>
  <c r="AY45" i="3"/>
  <c r="AX45" i="3"/>
  <c r="AY304" i="1"/>
  <c r="AY307" i="1" s="1"/>
  <c r="AY226" i="1"/>
  <c r="AY321" i="2" s="1"/>
  <c r="AY47" i="4"/>
  <c r="AY45" i="4"/>
  <c r="AY44" i="4"/>
  <c r="AY43" i="4"/>
  <c r="AY42" i="4"/>
  <c r="AY41" i="4"/>
  <c r="AY40" i="4"/>
  <c r="AY38" i="4"/>
  <c r="AY37" i="4"/>
  <c r="AY36" i="4"/>
  <c r="AY35" i="4"/>
  <c r="AY34" i="4"/>
  <c r="AY32" i="4"/>
  <c r="AY31" i="4"/>
  <c r="AY30" i="4"/>
  <c r="AY29" i="4"/>
  <c r="AY23" i="4"/>
  <c r="AY22" i="4"/>
  <c r="AY21" i="4"/>
  <c r="AY20" i="4"/>
  <c r="AY19" i="4"/>
  <c r="AY18" i="4"/>
  <c r="AY17" i="4"/>
  <c r="AY16" i="4"/>
  <c r="AY14" i="4"/>
  <c r="AY13" i="4"/>
  <c r="AY12" i="4"/>
  <c r="AY11" i="4"/>
  <c r="AY9" i="4"/>
  <c r="AY8" i="4"/>
  <c r="AY7" i="4"/>
  <c r="AY137" i="1"/>
  <c r="AY128" i="1"/>
  <c r="AY86" i="1"/>
  <c r="AY88" i="1" s="1"/>
  <c r="AW54" i="1"/>
  <c r="AY55" i="1"/>
  <c r="AY64" i="1" s="1"/>
  <c r="AY42" i="3"/>
  <c r="AY40" i="3"/>
  <c r="AY25" i="3"/>
  <c r="AY22" i="3"/>
  <c r="AY20" i="3"/>
  <c r="AY19" i="3"/>
  <c r="AY17" i="3"/>
  <c r="AY16" i="3"/>
  <c r="AY15" i="3"/>
  <c r="AY14" i="3"/>
  <c r="AY184" i="2"/>
  <c r="AY183" i="2"/>
  <c r="AY181" i="2"/>
  <c r="AY180" i="2"/>
  <c r="AY171" i="2"/>
  <c r="AY170" i="2"/>
  <c r="AY169" i="2"/>
  <c r="AY168" i="2"/>
  <c r="AY81" i="2"/>
  <c r="AY80" i="2"/>
  <c r="AY79" i="2"/>
  <c r="AY40" i="2"/>
  <c r="AY38" i="2"/>
  <c r="AY39" i="2"/>
  <c r="AY210" i="1"/>
  <c r="AY203" i="1"/>
  <c r="AY188" i="1"/>
  <c r="AY185" i="1"/>
  <c r="AY182" i="2" s="1"/>
  <c r="AY180" i="1"/>
  <c r="AY183" i="1" s="1"/>
  <c r="AY160" i="1"/>
  <c r="AY165" i="1" s="1"/>
  <c r="AY36" i="1"/>
  <c r="AY32" i="1"/>
  <c r="AY13" i="1"/>
  <c r="AY9" i="1"/>
  <c r="AX42" i="3"/>
  <c r="AX39" i="3"/>
  <c r="BA83" i="17"/>
  <c r="AY83" i="17"/>
  <c r="AX83" i="17"/>
  <c r="BA73" i="17"/>
  <c r="AZ73" i="17"/>
  <c r="AY73" i="17"/>
  <c r="AX73" i="17"/>
  <c r="BA69" i="17"/>
  <c r="AZ69" i="17"/>
  <c r="AY69" i="17"/>
  <c r="AX69" i="17"/>
  <c r="BA65" i="17"/>
  <c r="AZ65" i="17"/>
  <c r="AY65" i="17"/>
  <c r="AX65" i="17"/>
  <c r="BA43" i="17"/>
  <c r="AZ43" i="17"/>
  <c r="AY43" i="17"/>
  <c r="AX43" i="17"/>
  <c r="BA37" i="17"/>
  <c r="AZ37" i="17"/>
  <c r="AY37" i="17"/>
  <c r="AX37" i="17"/>
  <c r="BA36" i="17"/>
  <c r="AZ36" i="17"/>
  <c r="AY36" i="17"/>
  <c r="AX36" i="17"/>
  <c r="BA31" i="17"/>
  <c r="AZ31" i="17"/>
  <c r="AY31" i="17"/>
  <c r="AX31" i="17"/>
  <c r="BA30" i="17"/>
  <c r="AZ30" i="17"/>
  <c r="AY30" i="17"/>
  <c r="AX30" i="17"/>
  <c r="BA7" i="17"/>
  <c r="AZ7" i="17"/>
  <c r="AY7" i="17"/>
  <c r="AX7" i="17"/>
  <c r="BA19" i="17"/>
  <c r="AZ19" i="17"/>
  <c r="AY19" i="17"/>
  <c r="AX19" i="17"/>
  <c r="BA18" i="17"/>
  <c r="AZ18" i="17"/>
  <c r="AY18" i="17"/>
  <c r="AX18" i="17"/>
  <c r="AX226" i="1"/>
  <c r="AX321" i="2" s="1"/>
  <c r="AX19" i="3"/>
  <c r="AX304" i="1"/>
  <c r="AX49" i="5"/>
  <c r="AY49" i="5" s="1"/>
  <c r="AZ49" i="5" s="1"/>
  <c r="BA49" i="5" s="1"/>
  <c r="BB49" i="5" s="1"/>
  <c r="AX47" i="5"/>
  <c r="AY47" i="5" s="1"/>
  <c r="AZ47" i="5" s="1"/>
  <c r="BA47" i="5" s="1"/>
  <c r="AX46" i="5"/>
  <c r="AX45" i="5"/>
  <c r="AX44" i="5"/>
  <c r="AY44" i="5" s="1"/>
  <c r="AZ44" i="5" s="1"/>
  <c r="BA44" i="5" s="1"/>
  <c r="BB44" i="5" s="1"/>
  <c r="AX43" i="5"/>
  <c r="AY43" i="5" s="1"/>
  <c r="AZ43" i="5" s="1"/>
  <c r="BA43" i="5" s="1"/>
  <c r="AX42" i="5"/>
  <c r="AY42" i="5" s="1"/>
  <c r="AZ42" i="5" s="1"/>
  <c r="BA42" i="5" s="1"/>
  <c r="AX41" i="5"/>
  <c r="AY41" i="5" s="1"/>
  <c r="AX40" i="5"/>
  <c r="AX38" i="5"/>
  <c r="AY38" i="5" s="1"/>
  <c r="AZ38" i="5" s="1"/>
  <c r="BA38" i="5" s="1"/>
  <c r="BB38" i="5" s="1"/>
  <c r="AX37" i="5"/>
  <c r="AY37" i="5" s="1"/>
  <c r="AX36" i="5"/>
  <c r="AY36" i="5" s="1"/>
  <c r="AZ36" i="5" s="1"/>
  <c r="BA36" i="5" s="1"/>
  <c r="BB36" i="5" s="1"/>
  <c r="AX35" i="5"/>
  <c r="AX34" i="5"/>
  <c r="AY34" i="5" s="1"/>
  <c r="AZ34" i="5" s="1"/>
  <c r="BA34" i="5" s="1"/>
  <c r="AX31" i="5"/>
  <c r="AY31" i="5" s="1"/>
  <c r="AX30" i="5"/>
  <c r="AY30" i="5" s="1"/>
  <c r="AX26" i="5"/>
  <c r="AY26" i="5" s="1"/>
  <c r="AZ26" i="5" s="1"/>
  <c r="BA26" i="5" s="1"/>
  <c r="BB26" i="5" s="1"/>
  <c r="AX25" i="5"/>
  <c r="AY25" i="5" s="1"/>
  <c r="AZ25" i="5" s="1"/>
  <c r="BA25" i="5" s="1"/>
  <c r="AX24" i="5"/>
  <c r="AX21" i="5"/>
  <c r="AX19" i="5"/>
  <c r="AY19" i="5" s="1"/>
  <c r="AZ19" i="5" s="1"/>
  <c r="BA19" i="5" s="1"/>
  <c r="AX17" i="5"/>
  <c r="AY17" i="5" s="1"/>
  <c r="AZ17" i="5" s="1"/>
  <c r="BA17" i="5" s="1"/>
  <c r="AX16" i="5"/>
  <c r="AY16" i="5" s="1"/>
  <c r="AZ16" i="5" s="1"/>
  <c r="BA16" i="5" s="1"/>
  <c r="AX15" i="5"/>
  <c r="AY15" i="5" s="1"/>
  <c r="AZ15" i="5" s="1"/>
  <c r="BA15" i="5" s="1"/>
  <c r="BB15" i="5" s="1"/>
  <c r="AX14" i="5"/>
  <c r="AY14" i="5" s="1"/>
  <c r="AZ14" i="5" s="1"/>
  <c r="BA14" i="5" s="1"/>
  <c r="BB14" i="5" s="1"/>
  <c r="AX13" i="5"/>
  <c r="AY13" i="5" s="1"/>
  <c r="AZ13" i="5" s="1"/>
  <c r="BA13" i="5" s="1"/>
  <c r="AX12" i="5"/>
  <c r="AX11" i="5"/>
  <c r="AY11" i="5" s="1"/>
  <c r="AZ11" i="5" s="1"/>
  <c r="BA11" i="5" s="1"/>
  <c r="AX10" i="5"/>
  <c r="AY10" i="5" s="1"/>
  <c r="AX9" i="5"/>
  <c r="AX8" i="5"/>
  <c r="AY8" i="5" s="1"/>
  <c r="AZ8" i="5" s="1"/>
  <c r="BA8" i="5" s="1"/>
  <c r="BB8" i="5" s="1"/>
  <c r="AX7" i="5"/>
  <c r="AX47" i="4"/>
  <c r="AX45" i="4"/>
  <c r="AX44" i="4"/>
  <c r="AX43" i="4"/>
  <c r="AX42" i="4"/>
  <c r="AX41" i="4"/>
  <c r="AX40" i="4"/>
  <c r="AX38" i="4"/>
  <c r="AX37" i="4"/>
  <c r="AX36" i="4"/>
  <c r="AX35" i="4"/>
  <c r="AX34" i="4"/>
  <c r="AX32" i="4"/>
  <c r="AX31" i="4"/>
  <c r="AX30" i="4"/>
  <c r="AX29" i="4"/>
  <c r="AX23" i="4"/>
  <c r="AX22" i="4"/>
  <c r="AX21" i="4"/>
  <c r="AX20" i="4"/>
  <c r="AX19" i="4"/>
  <c r="AX18" i="4"/>
  <c r="AX17" i="4"/>
  <c r="AX16" i="4"/>
  <c r="AX14" i="4"/>
  <c r="AX13" i="4"/>
  <c r="AX12" i="4"/>
  <c r="AX11" i="4"/>
  <c r="AX9" i="4"/>
  <c r="AX8" i="4"/>
  <c r="AX7" i="4"/>
  <c r="AX137" i="1"/>
  <c r="AX128" i="1"/>
  <c r="AX86" i="1"/>
  <c r="AX88" i="1" s="1"/>
  <c r="AX55" i="1"/>
  <c r="AX64" i="1" s="1"/>
  <c r="AX40" i="3"/>
  <c r="AX25" i="3"/>
  <c r="AX22" i="3"/>
  <c r="AX20" i="3"/>
  <c r="AX17" i="3"/>
  <c r="AX16" i="3"/>
  <c r="AX15" i="3"/>
  <c r="AX14" i="3"/>
  <c r="AX11" i="3"/>
  <c r="AX10" i="3"/>
  <c r="AX9" i="3"/>
  <c r="AX184" i="2"/>
  <c r="AX183" i="2"/>
  <c r="AX181" i="2"/>
  <c r="AX180" i="2"/>
  <c r="AX171" i="2"/>
  <c r="AX170" i="2"/>
  <c r="AX169" i="2"/>
  <c r="AX168" i="2"/>
  <c r="AX190" i="2" s="1"/>
  <c r="AX81" i="2"/>
  <c r="AX80" i="2"/>
  <c r="AX79" i="2"/>
  <c r="AX40" i="2"/>
  <c r="AX39" i="2"/>
  <c r="AX38" i="2"/>
  <c r="AX36" i="2"/>
  <c r="AX210" i="1"/>
  <c r="AX203" i="1"/>
  <c r="AX206" i="1" s="1"/>
  <c r="AX208" i="1" s="1"/>
  <c r="AX188" i="1"/>
  <c r="AX185" i="2" s="1"/>
  <c r="AX185" i="1"/>
  <c r="AX182" i="2" s="1"/>
  <c r="AX48" i="3" s="1"/>
  <c r="AX180" i="1"/>
  <c r="AX183" i="1" s="1"/>
  <c r="AX160" i="1"/>
  <c r="AX165" i="1" s="1"/>
  <c r="AX36" i="1"/>
  <c r="AX32" i="1"/>
  <c r="AX13" i="1"/>
  <c r="AX9" i="1"/>
  <c r="AW266" i="1"/>
  <c r="AW267" i="1"/>
  <c r="AW306" i="1"/>
  <c r="AW393" i="2" s="1"/>
  <c r="AW310" i="1"/>
  <c r="AW57" i="4"/>
  <c r="AX57" i="4" s="1"/>
  <c r="AY57" i="4" s="1"/>
  <c r="AW55" i="4"/>
  <c r="AW54" i="4"/>
  <c r="AW290" i="1"/>
  <c r="AW286" i="1"/>
  <c r="AV226" i="1"/>
  <c r="AV321" i="2" s="1"/>
  <c r="AW223" i="1"/>
  <c r="AW319" i="2" s="1"/>
  <c r="AW222" i="1"/>
  <c r="AW220" i="1"/>
  <c r="AW316" i="2" s="1"/>
  <c r="AW219" i="1"/>
  <c r="AW315" i="2" s="1"/>
  <c r="AW225" i="1"/>
  <c r="AW320" i="2" s="1"/>
  <c r="AV42" i="3"/>
  <c r="AW283" i="1"/>
  <c r="AV40" i="3"/>
  <c r="AV39" i="3"/>
  <c r="AV45" i="3"/>
  <c r="AU45" i="3"/>
  <c r="AT45" i="3"/>
  <c r="AU304" i="1"/>
  <c r="AU307" i="1" s="1"/>
  <c r="AV304" i="1"/>
  <c r="AV307" i="1" s="1"/>
  <c r="AW297" i="1"/>
  <c r="AW384" i="2" s="1"/>
  <c r="AW296" i="1"/>
  <c r="AW383" i="2" s="1"/>
  <c r="AW295" i="1"/>
  <c r="AW382" i="2" s="1"/>
  <c r="AW294" i="1"/>
  <c r="AV47" i="4"/>
  <c r="AV45" i="4"/>
  <c r="AW45" i="4" s="1"/>
  <c r="AV44" i="4"/>
  <c r="AW44" i="4" s="1"/>
  <c r="AV43" i="4"/>
  <c r="AW43" i="4" s="1"/>
  <c r="AV42" i="4"/>
  <c r="AW42" i="4" s="1"/>
  <c r="AV41" i="4"/>
  <c r="AW41" i="4" s="1"/>
  <c r="AV40" i="4"/>
  <c r="AW40" i="4" s="1"/>
  <c r="AV38" i="4"/>
  <c r="AV37" i="4"/>
  <c r="AW37" i="4" s="1"/>
  <c r="AV36" i="4"/>
  <c r="AW36" i="4" s="1"/>
  <c r="AV35" i="4"/>
  <c r="AW35" i="4" s="1"/>
  <c r="AV34" i="4"/>
  <c r="AW34" i="4" s="1"/>
  <c r="AV32" i="4"/>
  <c r="AW32" i="4" s="1"/>
  <c r="AV31" i="4"/>
  <c r="AV30" i="4"/>
  <c r="AV29" i="4"/>
  <c r="AW29" i="4" s="1"/>
  <c r="AV23" i="4"/>
  <c r="AW23" i="4" s="1"/>
  <c r="AV22" i="4"/>
  <c r="AW22" i="4" s="1"/>
  <c r="AV21" i="4"/>
  <c r="AW21" i="4" s="1"/>
  <c r="AV20" i="4"/>
  <c r="AW20" i="4" s="1"/>
  <c r="AV19" i="4"/>
  <c r="AW19" i="4" s="1"/>
  <c r="AV18" i="4"/>
  <c r="AW18" i="4" s="1"/>
  <c r="AV17" i="4"/>
  <c r="AV16" i="4"/>
  <c r="AW16" i="4" s="1"/>
  <c r="AV14" i="4"/>
  <c r="AV13" i="4"/>
  <c r="AV12" i="4"/>
  <c r="AW12" i="4" s="1"/>
  <c r="AV11" i="4"/>
  <c r="AW11" i="4" s="1"/>
  <c r="AV9" i="4"/>
  <c r="AV8" i="4"/>
  <c r="AW8" i="4" s="1"/>
  <c r="AV7" i="4"/>
  <c r="AW138" i="1"/>
  <c r="AW136" i="1"/>
  <c r="AW135" i="1"/>
  <c r="AW134" i="1"/>
  <c r="AW133" i="1"/>
  <c r="AW132" i="1"/>
  <c r="AW131" i="1"/>
  <c r="AW130" i="1"/>
  <c r="AW129" i="1"/>
  <c r="AW127" i="1"/>
  <c r="AW126" i="1"/>
  <c r="AW125" i="1"/>
  <c r="AW124" i="1"/>
  <c r="AW123" i="1"/>
  <c r="AW122" i="1"/>
  <c r="AW114" i="1"/>
  <c r="AW110" i="1"/>
  <c r="AW111" i="1"/>
  <c r="AW108" i="1"/>
  <c r="AW106" i="1"/>
  <c r="AW105" i="1"/>
  <c r="AW104" i="1"/>
  <c r="AW103" i="1"/>
  <c r="AW102" i="1"/>
  <c r="AW101" i="1"/>
  <c r="AW100" i="1"/>
  <c r="AW99" i="1"/>
  <c r="AW98" i="1"/>
  <c r="AW97" i="1"/>
  <c r="AW96" i="1"/>
  <c r="AV137" i="1"/>
  <c r="AV128" i="1"/>
  <c r="AW87" i="1"/>
  <c r="AW85" i="1"/>
  <c r="AW84" i="1"/>
  <c r="AW83" i="1"/>
  <c r="AW82" i="1"/>
  <c r="AW81" i="1"/>
  <c r="AW80" i="1"/>
  <c r="AW78" i="1"/>
  <c r="AW77" i="1"/>
  <c r="AW76" i="1"/>
  <c r="AW319" i="1" s="1"/>
  <c r="AW75" i="1"/>
  <c r="AW74" i="1"/>
  <c r="AW72" i="1"/>
  <c r="AW71" i="1"/>
  <c r="AW70" i="1"/>
  <c r="AW69" i="1"/>
  <c r="AW63" i="1"/>
  <c r="AW62" i="1"/>
  <c r="AW61" i="1"/>
  <c r="AW60" i="1"/>
  <c r="AW318" i="1" s="1"/>
  <c r="AW59" i="1"/>
  <c r="AW58" i="1"/>
  <c r="AW57" i="1"/>
  <c r="AW56" i="1"/>
  <c r="AW53" i="1"/>
  <c r="AW52" i="1"/>
  <c r="AW51" i="1"/>
  <c r="AW49" i="1"/>
  <c r="AW48" i="1"/>
  <c r="AW47" i="1"/>
  <c r="AV86" i="1"/>
  <c r="AV88" i="1" s="1"/>
  <c r="AV55" i="1"/>
  <c r="AV64" i="1" s="1"/>
  <c r="AW207" i="1"/>
  <c r="AW196" i="1"/>
  <c r="AW293" i="2" s="1"/>
  <c r="AW195" i="1"/>
  <c r="AW194" i="1"/>
  <c r="AW291" i="2" s="1"/>
  <c r="AW193" i="1"/>
  <c r="AW290" i="2" s="1"/>
  <c r="AV210" i="1"/>
  <c r="AV203" i="1"/>
  <c r="AV168" i="2"/>
  <c r="AV169" i="2"/>
  <c r="AV170" i="2"/>
  <c r="AV171" i="2"/>
  <c r="AV180" i="2"/>
  <c r="AV181" i="2"/>
  <c r="AV183" i="2"/>
  <c r="AV184" i="2"/>
  <c r="AV81" i="2"/>
  <c r="AV80" i="2"/>
  <c r="AV79" i="2"/>
  <c r="AV40" i="2"/>
  <c r="AV39" i="2"/>
  <c r="AV38" i="2"/>
  <c r="AV36" i="2"/>
  <c r="AW187" i="1"/>
  <c r="AW186" i="1"/>
  <c r="AW184" i="1"/>
  <c r="AW182" i="1"/>
  <c r="AW173" i="1"/>
  <c r="AW172" i="1"/>
  <c r="AW171" i="1"/>
  <c r="AW170" i="1"/>
  <c r="AV188" i="1"/>
  <c r="AV185" i="1"/>
  <c r="AV182" i="2" s="1"/>
  <c r="AV48" i="3" s="1"/>
  <c r="AV180" i="1"/>
  <c r="AV183" i="1" s="1"/>
  <c r="AW164" i="1"/>
  <c r="AW163" i="1"/>
  <c r="AW162" i="1"/>
  <c r="AW153" i="1"/>
  <c r="AW152" i="1"/>
  <c r="AW151" i="1"/>
  <c r="AW150" i="1"/>
  <c r="AV160" i="1"/>
  <c r="AV165" i="1" s="1"/>
  <c r="AW40" i="3"/>
  <c r="AV28" i="1"/>
  <c r="AV25" i="3" s="1"/>
  <c r="AV25" i="1"/>
  <c r="AV22" i="3" s="1"/>
  <c r="AV23" i="1"/>
  <c r="AV20" i="3" s="1"/>
  <c r="AV22" i="1"/>
  <c r="AV19" i="3" s="1"/>
  <c r="AV17" i="1"/>
  <c r="AV17" i="3" s="1"/>
  <c r="AV16" i="1"/>
  <c r="AV16" i="3" s="1"/>
  <c r="AV15" i="1"/>
  <c r="AV15" i="3" s="1"/>
  <c r="AV14" i="1"/>
  <c r="AV14" i="3" s="1"/>
  <c r="AV12" i="1"/>
  <c r="AV11" i="1"/>
  <c r="AV10" i="3" s="1"/>
  <c r="AV10" i="1"/>
  <c r="AV9" i="3" s="1"/>
  <c r="AV8" i="1"/>
  <c r="AV7" i="3" s="1"/>
  <c r="AV7" i="1"/>
  <c r="AW9" i="1"/>
  <c r="AW258" i="1" s="1"/>
  <c r="AW13" i="1"/>
  <c r="AW32" i="1"/>
  <c r="AW36" i="1"/>
  <c r="C7" i="5"/>
  <c r="D7" i="5"/>
  <c r="E7" i="5"/>
  <c r="F7" i="5"/>
  <c r="G7" i="5"/>
  <c r="H7" i="5"/>
  <c r="I7" i="5"/>
  <c r="J7" i="5"/>
  <c r="O7" i="5"/>
  <c r="T7" i="5"/>
  <c r="Y7" i="5"/>
  <c r="AD7" i="5"/>
  <c r="AI7" i="5"/>
  <c r="AN7" i="5"/>
  <c r="AS7" i="5"/>
  <c r="C8" i="5"/>
  <c r="D8" i="5"/>
  <c r="E8" i="5"/>
  <c r="F8" i="5"/>
  <c r="G8" i="5"/>
  <c r="H8" i="5"/>
  <c r="I8" i="5"/>
  <c r="J8" i="5"/>
  <c r="O8" i="5"/>
  <c r="P8" i="5" s="1"/>
  <c r="Q8" i="5" s="1"/>
  <c r="T8" i="5"/>
  <c r="U8" i="5" s="1"/>
  <c r="V8" i="5" s="1"/>
  <c r="Y8" i="5"/>
  <c r="Z8" i="5" s="1"/>
  <c r="AA8" i="5" s="1"/>
  <c r="AD8" i="5"/>
  <c r="AE8" i="5" s="1"/>
  <c r="AF8" i="5" s="1"/>
  <c r="AI8" i="5"/>
  <c r="AJ8" i="5" s="1"/>
  <c r="AK8" i="5" s="1"/>
  <c r="AL8" i="5" s="1"/>
  <c r="AM8" i="5" s="1"/>
  <c r="AN8" i="5"/>
  <c r="AO8" i="5" s="1"/>
  <c r="AP8" i="5" s="1"/>
  <c r="AQ8" i="5" s="1"/>
  <c r="AS8" i="5"/>
  <c r="AT8" i="5" s="1"/>
  <c r="AU8" i="5" s="1"/>
  <c r="AV8" i="5" s="1"/>
  <c r="AW8" i="5" s="1"/>
  <c r="C9" i="5"/>
  <c r="D9" i="5"/>
  <c r="E9" i="5"/>
  <c r="F9" i="5"/>
  <c r="G9" i="5"/>
  <c r="H9" i="5"/>
  <c r="I9" i="5"/>
  <c r="J9" i="5"/>
  <c r="O9" i="5"/>
  <c r="T9" i="5"/>
  <c r="U9" i="5" s="1"/>
  <c r="Y9" i="5"/>
  <c r="AD9" i="5"/>
  <c r="AE9" i="5" s="1"/>
  <c r="AI9" i="5"/>
  <c r="AJ9" i="5" s="1"/>
  <c r="AN9" i="5"/>
  <c r="AS9" i="5"/>
  <c r="AT9" i="5" s="1"/>
  <c r="AU9" i="5" s="1"/>
  <c r="C10" i="5"/>
  <c r="D10" i="5"/>
  <c r="E10" i="5"/>
  <c r="F10" i="5"/>
  <c r="G10" i="5"/>
  <c r="H10" i="5"/>
  <c r="I10" i="5"/>
  <c r="J10" i="5"/>
  <c r="O10" i="5"/>
  <c r="T10" i="5"/>
  <c r="Y10" i="5"/>
  <c r="AD10" i="5"/>
  <c r="AE10" i="5" s="1"/>
  <c r="AI10" i="5"/>
  <c r="AN10" i="5"/>
  <c r="AO10" i="5" s="1"/>
  <c r="AS10" i="5"/>
  <c r="C11" i="5"/>
  <c r="D11" i="5"/>
  <c r="E11" i="5"/>
  <c r="F11" i="5"/>
  <c r="G11" i="5"/>
  <c r="H11" i="5"/>
  <c r="I11" i="5"/>
  <c r="J11" i="5"/>
  <c r="K11" i="5" s="1"/>
  <c r="L11" i="5" s="1"/>
  <c r="O11" i="5"/>
  <c r="P11" i="5" s="1"/>
  <c r="Q11" i="5" s="1"/>
  <c r="T11" i="5"/>
  <c r="U11" i="5" s="1"/>
  <c r="V11" i="5" s="1"/>
  <c r="Y11" i="5"/>
  <c r="AD11" i="5"/>
  <c r="AE11" i="5" s="1"/>
  <c r="AF11" i="5" s="1"/>
  <c r="AI11" i="5"/>
  <c r="AJ11" i="5" s="1"/>
  <c r="AK11" i="5" s="1"/>
  <c r="AL11" i="5" s="1"/>
  <c r="AN11" i="5"/>
  <c r="AO11" i="5" s="1"/>
  <c r="AP11" i="5" s="1"/>
  <c r="AS11" i="5"/>
  <c r="C12" i="5"/>
  <c r="D12" i="5"/>
  <c r="E12" i="5"/>
  <c r="F12" i="5"/>
  <c r="G12" i="5"/>
  <c r="H12" i="5"/>
  <c r="I12" i="5"/>
  <c r="J12" i="5"/>
  <c r="K12" i="5" s="1"/>
  <c r="L12" i="5" s="1"/>
  <c r="O12" i="5"/>
  <c r="P12" i="5" s="1"/>
  <c r="Q12" i="5" s="1"/>
  <c r="T12" i="5"/>
  <c r="U12" i="5" s="1"/>
  <c r="V12" i="5" s="1"/>
  <c r="Y12" i="5"/>
  <c r="Z12" i="5" s="1"/>
  <c r="AA12" i="5" s="1"/>
  <c r="AD12" i="5"/>
  <c r="AE12" i="5" s="1"/>
  <c r="AF12" i="5" s="1"/>
  <c r="AI12" i="5"/>
  <c r="AJ12" i="5" s="1"/>
  <c r="AK12" i="5" s="1"/>
  <c r="AL12" i="5" s="1"/>
  <c r="AN12" i="5"/>
  <c r="AO12" i="5" s="1"/>
  <c r="AP12" i="5" s="1"/>
  <c r="AQ12" i="5" s="1"/>
  <c r="AS12" i="5"/>
  <c r="AT12" i="5" s="1"/>
  <c r="AU12" i="5" s="1"/>
  <c r="AV12" i="5" s="1"/>
  <c r="AW12" i="5" s="1"/>
  <c r="C13" i="5"/>
  <c r="D13" i="5"/>
  <c r="E13" i="5"/>
  <c r="F13" i="5"/>
  <c r="G13" i="5"/>
  <c r="H13" i="5"/>
  <c r="I13" i="5"/>
  <c r="J13" i="5"/>
  <c r="K13" i="5" s="1"/>
  <c r="L13" i="5" s="1"/>
  <c r="O13" i="5"/>
  <c r="P13" i="5" s="1"/>
  <c r="Q13" i="5" s="1"/>
  <c r="T13" i="5"/>
  <c r="U13" i="5" s="1"/>
  <c r="V13" i="5" s="1"/>
  <c r="Y13" i="5"/>
  <c r="Z13" i="5" s="1"/>
  <c r="AA13" i="5" s="1"/>
  <c r="AD13" i="5"/>
  <c r="AE13" i="5" s="1"/>
  <c r="AF13" i="5" s="1"/>
  <c r="AI13" i="5"/>
  <c r="AN13" i="5"/>
  <c r="AO13" i="5" s="1"/>
  <c r="AS13" i="5"/>
  <c r="AT13" i="5" s="1"/>
  <c r="AU13" i="5" s="1"/>
  <c r="AV13" i="5" s="1"/>
  <c r="C14" i="5"/>
  <c r="D14" i="5"/>
  <c r="E14" i="5"/>
  <c r="F14" i="5"/>
  <c r="G14" i="5"/>
  <c r="H14" i="5"/>
  <c r="I14" i="5"/>
  <c r="J14" i="5"/>
  <c r="K14" i="5" s="1"/>
  <c r="O14" i="5"/>
  <c r="P14" i="5" s="1"/>
  <c r="Q14" i="5" s="1"/>
  <c r="T14" i="5"/>
  <c r="Y14" i="5"/>
  <c r="Z14" i="5" s="1"/>
  <c r="AD14" i="5"/>
  <c r="AE14" i="5" s="1"/>
  <c r="AF14" i="5" s="1"/>
  <c r="AI14" i="5"/>
  <c r="AJ14" i="5" s="1"/>
  <c r="AN14" i="5"/>
  <c r="AO14" i="5" s="1"/>
  <c r="AP14" i="5" s="1"/>
  <c r="AQ14" i="5" s="1"/>
  <c r="AS14" i="5"/>
  <c r="AT14" i="5" s="1"/>
  <c r="AU14" i="5" s="1"/>
  <c r="AV14" i="5" s="1"/>
  <c r="C15" i="5"/>
  <c r="D15" i="5"/>
  <c r="E15" i="5"/>
  <c r="F15" i="5"/>
  <c r="G15" i="5"/>
  <c r="H15" i="5"/>
  <c r="I15" i="5"/>
  <c r="J15" i="5"/>
  <c r="K15" i="5" s="1"/>
  <c r="L15" i="5" s="1"/>
  <c r="O15" i="5"/>
  <c r="P15" i="5" s="1"/>
  <c r="Q15" i="5" s="1"/>
  <c r="T15" i="5"/>
  <c r="U15" i="5" s="1"/>
  <c r="V15" i="5" s="1"/>
  <c r="Y15" i="5"/>
  <c r="Z15" i="5" s="1"/>
  <c r="AA15" i="5" s="1"/>
  <c r="AD15" i="5"/>
  <c r="AE15" i="5" s="1"/>
  <c r="AF15" i="5" s="1"/>
  <c r="AI15" i="5"/>
  <c r="AJ15" i="5" s="1"/>
  <c r="AK15" i="5" s="1"/>
  <c r="AL15" i="5" s="1"/>
  <c r="AN15" i="5"/>
  <c r="AO15" i="5" s="1"/>
  <c r="AP15" i="5" s="1"/>
  <c r="AQ15" i="5" s="1"/>
  <c r="AS15" i="5"/>
  <c r="AT15" i="5" s="1"/>
  <c r="AU15" i="5" s="1"/>
  <c r="AV15" i="5" s="1"/>
  <c r="C16" i="5"/>
  <c r="D16" i="5"/>
  <c r="E16" i="5"/>
  <c r="G16" i="5"/>
  <c r="AD16" i="5"/>
  <c r="AE16" i="5" s="1"/>
  <c r="AF16" i="5" s="1"/>
  <c r="AI16" i="5"/>
  <c r="AJ16" i="5" s="1"/>
  <c r="AK16" i="5" s="1"/>
  <c r="AL16" i="5" s="1"/>
  <c r="AM16" i="5" s="1"/>
  <c r="AN16" i="5"/>
  <c r="AO16" i="5" s="1"/>
  <c r="AS16" i="5"/>
  <c r="C17" i="5"/>
  <c r="D17" i="5"/>
  <c r="E17" i="5"/>
  <c r="F17" i="5"/>
  <c r="G17" i="5"/>
  <c r="H17" i="5"/>
  <c r="I17" i="5"/>
  <c r="J17" i="5"/>
  <c r="O17" i="5"/>
  <c r="P17" i="5" s="1"/>
  <c r="Q17" i="5" s="1"/>
  <c r="T17" i="5"/>
  <c r="U17" i="5" s="1"/>
  <c r="V17" i="5" s="1"/>
  <c r="Y17" i="5"/>
  <c r="Z17" i="5" s="1"/>
  <c r="AA17" i="5" s="1"/>
  <c r="AD17" i="5"/>
  <c r="AE17" i="5" s="1"/>
  <c r="AF17" i="5" s="1"/>
  <c r="AI17" i="5"/>
  <c r="AJ17" i="5" s="1"/>
  <c r="AK17" i="5" s="1"/>
  <c r="AL17" i="5" s="1"/>
  <c r="AN17" i="5"/>
  <c r="AO17" i="5" s="1"/>
  <c r="AP17" i="5" s="1"/>
  <c r="AQ17" i="5" s="1"/>
  <c r="AR17" i="5" s="1"/>
  <c r="AS17" i="5"/>
  <c r="AT17" i="5" s="1"/>
  <c r="AU17" i="5" s="1"/>
  <c r="AV17" i="5" s="1"/>
  <c r="AW17" i="5" s="1"/>
  <c r="C19" i="5"/>
  <c r="D19" i="5"/>
  <c r="E19" i="5"/>
  <c r="F19" i="5"/>
  <c r="G19" i="5"/>
  <c r="H19" i="5"/>
  <c r="I19" i="5"/>
  <c r="J19" i="5"/>
  <c r="K19" i="5" s="1"/>
  <c r="L19" i="5" s="1"/>
  <c r="O19" i="5"/>
  <c r="P19" i="5" s="1"/>
  <c r="Q19" i="5" s="1"/>
  <c r="T19" i="5"/>
  <c r="U19" i="5" s="1"/>
  <c r="V19" i="5" s="1"/>
  <c r="Y19" i="5"/>
  <c r="Z19" i="5" s="1"/>
  <c r="AA19" i="5" s="1"/>
  <c r="AD19" i="5"/>
  <c r="AE19" i="5" s="1"/>
  <c r="AF19" i="5" s="1"/>
  <c r="AI19" i="5"/>
  <c r="AN19" i="5"/>
  <c r="AO19" i="5" s="1"/>
  <c r="AS19" i="5"/>
  <c r="AT19" i="5" s="1"/>
  <c r="AU19" i="5" s="1"/>
  <c r="AV19" i="5" s="1"/>
  <c r="AW19" i="5" s="1"/>
  <c r="C21" i="5"/>
  <c r="D21" i="5"/>
  <c r="E21" i="5"/>
  <c r="F21" i="5"/>
  <c r="G21" i="5"/>
  <c r="H21" i="5"/>
  <c r="I21" i="5"/>
  <c r="J21" i="5"/>
  <c r="K21" i="5" s="1"/>
  <c r="L21" i="5" s="1"/>
  <c r="O21" i="5"/>
  <c r="P21" i="5" s="1"/>
  <c r="Q21" i="5" s="1"/>
  <c r="T21" i="5"/>
  <c r="U21" i="5" s="1"/>
  <c r="V21" i="5" s="1"/>
  <c r="Y21" i="5"/>
  <c r="Z21" i="5" s="1"/>
  <c r="AA21" i="5" s="1"/>
  <c r="AD21" i="5"/>
  <c r="AE21" i="5" s="1"/>
  <c r="AF21" i="5" s="1"/>
  <c r="AI21" i="5"/>
  <c r="AJ21" i="5" s="1"/>
  <c r="AN21" i="5"/>
  <c r="AO21" i="5" s="1"/>
  <c r="AP21" i="5" s="1"/>
  <c r="AQ21" i="5" s="1"/>
  <c r="AR21" i="5" s="1"/>
  <c r="AS21" i="5"/>
  <c r="AT21" i="5" s="1"/>
  <c r="AU21" i="5" s="1"/>
  <c r="AV21" i="5" s="1"/>
  <c r="C22" i="5"/>
  <c r="D22" i="5"/>
  <c r="E22" i="5"/>
  <c r="F22" i="5"/>
  <c r="G22" i="5"/>
  <c r="H22" i="5"/>
  <c r="I22" i="5"/>
  <c r="J22" i="5"/>
  <c r="K22" i="5" s="1"/>
  <c r="L22" i="5" s="1"/>
  <c r="O22" i="5"/>
  <c r="P22" i="5" s="1"/>
  <c r="T22" i="5"/>
  <c r="U22" i="5" s="1"/>
  <c r="Y22" i="5"/>
  <c r="Z22" i="5" s="1"/>
  <c r="AA22" i="5" s="1"/>
  <c r="AD22" i="5"/>
  <c r="AE22" i="5" s="1"/>
  <c r="AF22" i="5" s="1"/>
  <c r="C24" i="5"/>
  <c r="D24" i="5"/>
  <c r="E24" i="5"/>
  <c r="F24" i="5"/>
  <c r="G24" i="5"/>
  <c r="H24" i="5"/>
  <c r="I24" i="5"/>
  <c r="J24" i="5"/>
  <c r="K24" i="5" s="1"/>
  <c r="O24" i="5"/>
  <c r="T24" i="5"/>
  <c r="U24" i="5" s="1"/>
  <c r="Y24" i="5"/>
  <c r="AD24" i="5"/>
  <c r="AI24" i="5"/>
  <c r="AN24" i="5"/>
  <c r="AO24" i="5" s="1"/>
  <c r="AS24" i="5"/>
  <c r="C25" i="5"/>
  <c r="D25" i="5"/>
  <c r="E25" i="5"/>
  <c r="F25" i="5"/>
  <c r="G25" i="5"/>
  <c r="H25" i="5"/>
  <c r="I25" i="5"/>
  <c r="J25" i="5"/>
  <c r="K25" i="5" s="1"/>
  <c r="L25" i="5" s="1"/>
  <c r="O25" i="5"/>
  <c r="P25" i="5" s="1"/>
  <c r="Q25" i="5" s="1"/>
  <c r="T25" i="5"/>
  <c r="U25" i="5" s="1"/>
  <c r="V25" i="5" s="1"/>
  <c r="Y25" i="5"/>
  <c r="Z25" i="5" s="1"/>
  <c r="AA25" i="5" s="1"/>
  <c r="AD25" i="5"/>
  <c r="AI25" i="5"/>
  <c r="AJ25" i="5" s="1"/>
  <c r="AK25" i="5" s="1"/>
  <c r="AL25" i="5" s="1"/>
  <c r="AM25" i="5" s="1"/>
  <c r="AN25" i="5"/>
  <c r="AO25" i="5" s="1"/>
  <c r="AP25" i="5" s="1"/>
  <c r="AQ25" i="5" s="1"/>
  <c r="AR25" i="5" s="1"/>
  <c r="AS25" i="5"/>
  <c r="C26" i="5"/>
  <c r="D26" i="5"/>
  <c r="E26" i="5"/>
  <c r="F26" i="5"/>
  <c r="G26" i="5"/>
  <c r="H26" i="5"/>
  <c r="I26" i="5"/>
  <c r="J26" i="5"/>
  <c r="K26" i="5" s="1"/>
  <c r="L26" i="5" s="1"/>
  <c r="O26" i="5"/>
  <c r="Y26" i="5"/>
  <c r="Z26" i="5" s="1"/>
  <c r="AA26" i="5" s="1"/>
  <c r="AD26" i="5"/>
  <c r="AE26" i="5" s="1"/>
  <c r="AF26" i="5" s="1"/>
  <c r="AI26" i="5"/>
  <c r="AJ26" i="5" s="1"/>
  <c r="AK26" i="5" s="1"/>
  <c r="AL26" i="5" s="1"/>
  <c r="AN26" i="5"/>
  <c r="AO26" i="5" s="1"/>
  <c r="AP26" i="5" s="1"/>
  <c r="AS26" i="5"/>
  <c r="AT26" i="5" s="1"/>
  <c r="AU26" i="5" s="1"/>
  <c r="AV26" i="5" s="1"/>
  <c r="AW26" i="5" s="1"/>
  <c r="C27" i="5"/>
  <c r="D27" i="5"/>
  <c r="E27" i="5"/>
  <c r="F27" i="5"/>
  <c r="AD27" i="5"/>
  <c r="AE27" i="5" s="1"/>
  <c r="AI27" i="5"/>
  <c r="AJ27" i="5" s="1"/>
  <c r="AK27" i="5" s="1"/>
  <c r="AL27" i="5" s="1"/>
  <c r="C30" i="5"/>
  <c r="D30" i="5"/>
  <c r="E30" i="5"/>
  <c r="F30" i="5"/>
  <c r="G30" i="5"/>
  <c r="H30" i="5"/>
  <c r="I30" i="5"/>
  <c r="J30" i="5"/>
  <c r="K30" i="5" s="1"/>
  <c r="L30" i="5" s="1"/>
  <c r="O30" i="5"/>
  <c r="P30" i="5" s="1"/>
  <c r="T30" i="5"/>
  <c r="U30" i="5" s="1"/>
  <c r="V30" i="5" s="1"/>
  <c r="Y30" i="5"/>
  <c r="Z30" i="5" s="1"/>
  <c r="AA30" i="5" s="1"/>
  <c r="AD30" i="5"/>
  <c r="AE30" i="5" s="1"/>
  <c r="AF30" i="5" s="1"/>
  <c r="AI30" i="5"/>
  <c r="AN30" i="5"/>
  <c r="AO30" i="5" s="1"/>
  <c r="AS30" i="5"/>
  <c r="AT30" i="5" s="1"/>
  <c r="T31" i="5"/>
  <c r="Y31" i="5"/>
  <c r="AD31" i="5"/>
  <c r="AE31" i="5" s="1"/>
  <c r="AI31" i="5"/>
  <c r="AJ31" i="5" s="1"/>
  <c r="AN31" i="5"/>
  <c r="AS31" i="5"/>
  <c r="AT31" i="5" s="1"/>
  <c r="AU31" i="5" s="1"/>
  <c r="AV31" i="5" s="1"/>
  <c r="C34" i="5"/>
  <c r="D34" i="5"/>
  <c r="E34" i="5"/>
  <c r="F34" i="5"/>
  <c r="G34" i="5"/>
  <c r="H34" i="5"/>
  <c r="I34" i="5"/>
  <c r="J34" i="5"/>
  <c r="O34" i="5"/>
  <c r="P34" i="5" s="1"/>
  <c r="Q34" i="5" s="1"/>
  <c r="T34" i="5"/>
  <c r="U34" i="5" s="1"/>
  <c r="Y34" i="5"/>
  <c r="AD34" i="5"/>
  <c r="AI34" i="5"/>
  <c r="AJ34" i="5" s="1"/>
  <c r="AK34" i="5" s="1"/>
  <c r="AL34" i="5" s="1"/>
  <c r="AN34" i="5"/>
  <c r="AS34" i="5"/>
  <c r="AT34" i="5" s="1"/>
  <c r="C35" i="5"/>
  <c r="D35" i="5"/>
  <c r="E35" i="5"/>
  <c r="F35" i="5"/>
  <c r="G35" i="5"/>
  <c r="H35" i="5"/>
  <c r="I35" i="5"/>
  <c r="J35" i="5"/>
  <c r="O35" i="5"/>
  <c r="T35" i="5"/>
  <c r="Y35" i="5"/>
  <c r="AD35" i="5"/>
  <c r="AI35" i="5"/>
  <c r="AN35" i="5"/>
  <c r="AS35" i="5"/>
  <c r="C36" i="5"/>
  <c r="D36" i="5"/>
  <c r="E36" i="5"/>
  <c r="F36" i="5"/>
  <c r="G36" i="5"/>
  <c r="H36" i="5"/>
  <c r="I36" i="5"/>
  <c r="J36" i="5"/>
  <c r="O36" i="5"/>
  <c r="P36" i="5" s="1"/>
  <c r="T36" i="5"/>
  <c r="Y36" i="5"/>
  <c r="Z36" i="5" s="1"/>
  <c r="AA36" i="5" s="1"/>
  <c r="AD36" i="5"/>
  <c r="AE36" i="5" s="1"/>
  <c r="AI36" i="5"/>
  <c r="AJ36" i="5" s="1"/>
  <c r="AK36" i="5" s="1"/>
  <c r="AL36" i="5" s="1"/>
  <c r="AN36" i="5"/>
  <c r="AS36" i="5"/>
  <c r="AT36" i="5" s="1"/>
  <c r="AU36" i="5" s="1"/>
  <c r="AV36" i="5" s="1"/>
  <c r="C37" i="5"/>
  <c r="D37" i="5"/>
  <c r="E37" i="5"/>
  <c r="F37" i="5"/>
  <c r="G37" i="5"/>
  <c r="H37" i="5"/>
  <c r="I37" i="5"/>
  <c r="J37" i="5"/>
  <c r="K37" i="5" s="1"/>
  <c r="O37" i="5"/>
  <c r="P37" i="5" s="1"/>
  <c r="Q37" i="5" s="1"/>
  <c r="T37" i="5"/>
  <c r="U37" i="5" s="1"/>
  <c r="V37" i="5" s="1"/>
  <c r="Y37" i="5"/>
  <c r="AD37" i="5"/>
  <c r="AE37" i="5" s="1"/>
  <c r="AF37" i="5" s="1"/>
  <c r="AI37" i="5"/>
  <c r="AJ37" i="5" s="1"/>
  <c r="AK37" i="5" s="1"/>
  <c r="AL37" i="5" s="1"/>
  <c r="AN37" i="5"/>
  <c r="AO37" i="5" s="1"/>
  <c r="AP37" i="5" s="1"/>
  <c r="AQ37" i="5" s="1"/>
  <c r="AS37" i="5"/>
  <c r="T38" i="5"/>
  <c r="U38" i="5" s="1"/>
  <c r="V38" i="5" s="1"/>
  <c r="Y38" i="5"/>
  <c r="Z38" i="5" s="1"/>
  <c r="AA38" i="5" s="1"/>
  <c r="AD38" i="5"/>
  <c r="AE38" i="5" s="1"/>
  <c r="AF38" i="5" s="1"/>
  <c r="AI38" i="5"/>
  <c r="AN38" i="5"/>
  <c r="AS38" i="5"/>
  <c r="AT38" i="5" s="1"/>
  <c r="AU38" i="5" s="1"/>
  <c r="AV38" i="5" s="1"/>
  <c r="AW38" i="5" s="1"/>
  <c r="C40" i="5"/>
  <c r="D40" i="5"/>
  <c r="E40" i="5"/>
  <c r="F40" i="5"/>
  <c r="G40" i="5"/>
  <c r="H40" i="5"/>
  <c r="I40" i="5"/>
  <c r="J40" i="5"/>
  <c r="O40" i="5"/>
  <c r="P40" i="5" s="1"/>
  <c r="Q40" i="5" s="1"/>
  <c r="T40" i="5"/>
  <c r="Y40" i="5"/>
  <c r="Z40" i="5" s="1"/>
  <c r="AD40" i="5"/>
  <c r="AI40" i="5"/>
  <c r="AJ40" i="5" s="1"/>
  <c r="AN40" i="5"/>
  <c r="AS40" i="5"/>
  <c r="AT40" i="5" s="1"/>
  <c r="AU40" i="5" s="1"/>
  <c r="AV40" i="5" s="1"/>
  <c r="C41" i="5"/>
  <c r="D41" i="5"/>
  <c r="E41" i="5"/>
  <c r="F41" i="5"/>
  <c r="G41" i="5"/>
  <c r="H41" i="5"/>
  <c r="I41" i="5"/>
  <c r="J41" i="5"/>
  <c r="K41" i="5" s="1"/>
  <c r="L41" i="5" s="1"/>
  <c r="O41" i="5"/>
  <c r="T41" i="5"/>
  <c r="U41" i="5" s="1"/>
  <c r="V41" i="5" s="1"/>
  <c r="Y41" i="5"/>
  <c r="AD41" i="5"/>
  <c r="AE41" i="5" s="1"/>
  <c r="AI41" i="5"/>
  <c r="AJ41" i="5" s="1"/>
  <c r="AK41" i="5" s="1"/>
  <c r="AN41" i="5"/>
  <c r="AO41" i="5" s="1"/>
  <c r="AP41" i="5" s="1"/>
  <c r="AS41" i="5"/>
  <c r="C42" i="5"/>
  <c r="D42" i="5"/>
  <c r="E42" i="5"/>
  <c r="F42" i="5"/>
  <c r="G42" i="5"/>
  <c r="H42" i="5"/>
  <c r="I42" i="5"/>
  <c r="J42" i="5"/>
  <c r="O42" i="5"/>
  <c r="P42" i="5" s="1"/>
  <c r="T42" i="5"/>
  <c r="U42" i="5" s="1"/>
  <c r="Y42" i="5"/>
  <c r="Z42" i="5" s="1"/>
  <c r="AA42" i="5" s="1"/>
  <c r="AD42" i="5"/>
  <c r="AI42" i="5"/>
  <c r="AJ42" i="5" s="1"/>
  <c r="AK42" i="5" s="1"/>
  <c r="AL42" i="5" s="1"/>
  <c r="AM42" i="5" s="1"/>
  <c r="AN42" i="5"/>
  <c r="AO42" i="5" s="1"/>
  <c r="AP42" i="5" s="1"/>
  <c r="AQ42" i="5" s="1"/>
  <c r="AS42" i="5"/>
  <c r="AT42" i="5" s="1"/>
  <c r="AU42" i="5" s="1"/>
  <c r="AV42" i="5" s="1"/>
  <c r="AW42" i="5" s="1"/>
  <c r="C43" i="5"/>
  <c r="D43" i="5"/>
  <c r="E43" i="5"/>
  <c r="F43" i="5"/>
  <c r="G43" i="5"/>
  <c r="H43" i="5"/>
  <c r="I43" i="5"/>
  <c r="J43" i="5"/>
  <c r="K43" i="5" s="1"/>
  <c r="L43" i="5" s="1"/>
  <c r="O43" i="5"/>
  <c r="P43" i="5" s="1"/>
  <c r="Q43" i="5" s="1"/>
  <c r="T43" i="5"/>
  <c r="U43" i="5" s="1"/>
  <c r="V43" i="5" s="1"/>
  <c r="Y43" i="5"/>
  <c r="AD43" i="5"/>
  <c r="AE43" i="5" s="1"/>
  <c r="AF43" i="5" s="1"/>
  <c r="AI43" i="5"/>
  <c r="AJ43" i="5" s="1"/>
  <c r="AK43" i="5" s="1"/>
  <c r="AL43" i="5" s="1"/>
  <c r="AM43" i="5" s="1"/>
  <c r="AN43" i="5"/>
  <c r="AO43" i="5" s="1"/>
  <c r="AP43" i="5" s="1"/>
  <c r="AQ43" i="5" s="1"/>
  <c r="AS43" i="5"/>
  <c r="C44" i="5"/>
  <c r="D44" i="5"/>
  <c r="E44" i="5"/>
  <c r="F44" i="5"/>
  <c r="G44" i="5"/>
  <c r="H44" i="5"/>
  <c r="I44" i="5"/>
  <c r="J44" i="5"/>
  <c r="K44" i="5" s="1"/>
  <c r="L44" i="5" s="1"/>
  <c r="O44" i="5"/>
  <c r="T44" i="5"/>
  <c r="U44" i="5" s="1"/>
  <c r="V44" i="5" s="1"/>
  <c r="Y44" i="5"/>
  <c r="Z44" i="5" s="1"/>
  <c r="AA44" i="5" s="1"/>
  <c r="AD44" i="5"/>
  <c r="AE44" i="5" s="1"/>
  <c r="AF44" i="5" s="1"/>
  <c r="AI44" i="5"/>
  <c r="AN44" i="5"/>
  <c r="AO44" i="5" s="1"/>
  <c r="AP44" i="5" s="1"/>
  <c r="AQ44" i="5" s="1"/>
  <c r="AR44" i="5" s="1"/>
  <c r="AS44" i="5"/>
  <c r="AT44" i="5" s="1"/>
  <c r="AU44" i="5" s="1"/>
  <c r="C45" i="5"/>
  <c r="D45" i="5"/>
  <c r="E45" i="5"/>
  <c r="F45" i="5"/>
  <c r="G45" i="5"/>
  <c r="H45" i="5"/>
  <c r="I45" i="5"/>
  <c r="J45" i="5"/>
  <c r="O45" i="5"/>
  <c r="T45" i="5"/>
  <c r="Y45" i="5"/>
  <c r="Z45" i="5" s="1"/>
  <c r="AD45" i="5"/>
  <c r="AI45" i="5"/>
  <c r="AN45" i="5"/>
  <c r="AS45" i="5"/>
  <c r="C46" i="5"/>
  <c r="D46" i="5"/>
  <c r="E46" i="5"/>
  <c r="F46" i="5"/>
  <c r="G46" i="5"/>
  <c r="H46" i="5"/>
  <c r="I46" i="5"/>
  <c r="J46" i="5"/>
  <c r="O46" i="5"/>
  <c r="T46" i="5"/>
  <c r="Y46" i="5"/>
  <c r="AD46" i="5"/>
  <c r="AI46" i="5"/>
  <c r="AN46" i="5"/>
  <c r="AO46" i="5" s="1"/>
  <c r="AS46" i="5"/>
  <c r="C47" i="5"/>
  <c r="D47" i="5"/>
  <c r="E47" i="5"/>
  <c r="F47" i="5"/>
  <c r="G47" i="5"/>
  <c r="H47" i="5"/>
  <c r="I47" i="5"/>
  <c r="J47" i="5"/>
  <c r="K47" i="5" s="1"/>
  <c r="L47" i="5" s="1"/>
  <c r="O47" i="5"/>
  <c r="P47" i="5" s="1"/>
  <c r="T47" i="5"/>
  <c r="U47" i="5" s="1"/>
  <c r="V47" i="5" s="1"/>
  <c r="Y47" i="5"/>
  <c r="Z47" i="5" s="1"/>
  <c r="AD47" i="5"/>
  <c r="AE47" i="5" s="1"/>
  <c r="AF47" i="5" s="1"/>
  <c r="AI47" i="5"/>
  <c r="AJ47" i="5" s="1"/>
  <c r="AK47" i="5" s="1"/>
  <c r="AL47" i="5" s="1"/>
  <c r="AS47" i="5"/>
  <c r="AT47" i="5" s="1"/>
  <c r="C49" i="5"/>
  <c r="D49" i="5"/>
  <c r="E49" i="5"/>
  <c r="F49" i="5"/>
  <c r="G49" i="5"/>
  <c r="H49" i="5"/>
  <c r="I49" i="5"/>
  <c r="J49" i="5"/>
  <c r="K49" i="5" s="1"/>
  <c r="L49" i="5" s="1"/>
  <c r="O49" i="5"/>
  <c r="P49" i="5" s="1"/>
  <c r="Q49" i="5" s="1"/>
  <c r="T49" i="5"/>
  <c r="U49" i="5" s="1"/>
  <c r="V49" i="5" s="1"/>
  <c r="Y49" i="5"/>
  <c r="Z49" i="5" s="1"/>
  <c r="AA49" i="5" s="1"/>
  <c r="AD49" i="5"/>
  <c r="AE49" i="5" s="1"/>
  <c r="AF49" i="5" s="1"/>
  <c r="AI49" i="5"/>
  <c r="AJ49" i="5" s="1"/>
  <c r="AK49" i="5" s="1"/>
  <c r="AL49" i="5" s="1"/>
  <c r="AN49" i="5"/>
  <c r="AO49" i="5" s="1"/>
  <c r="AS49" i="5"/>
  <c r="AT49" i="5" s="1"/>
  <c r="C51" i="5"/>
  <c r="C7" i="4"/>
  <c r="D7" i="4"/>
  <c r="E7" i="4"/>
  <c r="F7" i="4"/>
  <c r="G7" i="4"/>
  <c r="H7" i="4"/>
  <c r="I7" i="4"/>
  <c r="J7" i="4"/>
  <c r="K7" i="4"/>
  <c r="L7" i="4"/>
  <c r="O7" i="4"/>
  <c r="P7" i="4"/>
  <c r="Q7" i="4"/>
  <c r="T7" i="4"/>
  <c r="U7" i="4"/>
  <c r="V7" i="4"/>
  <c r="Y7" i="4"/>
  <c r="Z7" i="4"/>
  <c r="AA7" i="4"/>
  <c r="AD7" i="4"/>
  <c r="AE7" i="4"/>
  <c r="AF7" i="4"/>
  <c r="AI7" i="4"/>
  <c r="AJ7" i="4"/>
  <c r="AK7" i="4"/>
  <c r="AL7" i="4"/>
  <c r="AN7" i="4"/>
  <c r="AO7" i="4"/>
  <c r="AP7" i="4"/>
  <c r="AQ7" i="4"/>
  <c r="AS7" i="4"/>
  <c r="AT7" i="4"/>
  <c r="AU7" i="4"/>
  <c r="C8" i="4"/>
  <c r="D8" i="4"/>
  <c r="E8" i="4"/>
  <c r="F8" i="4"/>
  <c r="G8" i="4"/>
  <c r="H8" i="4"/>
  <c r="I8" i="4"/>
  <c r="J8" i="4"/>
  <c r="K8" i="4"/>
  <c r="L8" i="4"/>
  <c r="O8" i="4"/>
  <c r="P8" i="4"/>
  <c r="Q8" i="4"/>
  <c r="T8" i="4"/>
  <c r="U8" i="4"/>
  <c r="V8" i="4"/>
  <c r="Y8" i="4"/>
  <c r="Z8" i="4"/>
  <c r="AA8" i="4"/>
  <c r="AD8" i="4"/>
  <c r="AE8" i="4"/>
  <c r="AF8" i="4"/>
  <c r="AI8" i="4"/>
  <c r="AJ8" i="4"/>
  <c r="AK8" i="4"/>
  <c r="AL8" i="4"/>
  <c r="AM8" i="4" s="1"/>
  <c r="AN8" i="4"/>
  <c r="AO8" i="4"/>
  <c r="AP8" i="4"/>
  <c r="AQ8" i="4"/>
  <c r="AR8" i="4" s="1"/>
  <c r="AS8" i="4"/>
  <c r="AT8" i="4"/>
  <c r="AU8" i="4"/>
  <c r="C9" i="4"/>
  <c r="D9" i="4"/>
  <c r="E9" i="4"/>
  <c r="F9" i="4"/>
  <c r="G9" i="4"/>
  <c r="H9" i="4"/>
  <c r="I9" i="4"/>
  <c r="J9" i="4"/>
  <c r="K9" i="4"/>
  <c r="L9" i="4"/>
  <c r="O9" i="4"/>
  <c r="P9" i="4"/>
  <c r="Q9" i="4"/>
  <c r="T9" i="4"/>
  <c r="U9" i="4"/>
  <c r="V9" i="4"/>
  <c r="Y9" i="4"/>
  <c r="Z9" i="4"/>
  <c r="AA9" i="4"/>
  <c r="AD9" i="4"/>
  <c r="AE9" i="4"/>
  <c r="AF9" i="4"/>
  <c r="AI9" i="4"/>
  <c r="AJ9" i="4"/>
  <c r="AK9" i="4"/>
  <c r="AL9" i="4"/>
  <c r="AN9" i="4"/>
  <c r="AO9" i="4"/>
  <c r="AP9" i="4"/>
  <c r="AQ9" i="4"/>
  <c r="AS9" i="4"/>
  <c r="AT9" i="4"/>
  <c r="AU9" i="4"/>
  <c r="C11" i="4"/>
  <c r="D11" i="4"/>
  <c r="E11" i="4"/>
  <c r="F11" i="4"/>
  <c r="G11" i="4"/>
  <c r="H11" i="4"/>
  <c r="I11" i="4"/>
  <c r="J11" i="4"/>
  <c r="K11" i="4"/>
  <c r="L11" i="4"/>
  <c r="O11" i="4"/>
  <c r="P11" i="4"/>
  <c r="Q11" i="4"/>
  <c r="T11" i="4"/>
  <c r="U11" i="4"/>
  <c r="V11" i="4"/>
  <c r="Y11" i="4"/>
  <c r="Z11" i="4"/>
  <c r="AA11" i="4"/>
  <c r="AD11" i="4"/>
  <c r="AE11" i="4"/>
  <c r="AF11" i="4"/>
  <c r="AI11" i="4"/>
  <c r="AJ11" i="4"/>
  <c r="AK11" i="4"/>
  <c r="AL11" i="4"/>
  <c r="AM11" i="4" s="1"/>
  <c r="AN11" i="4"/>
  <c r="AO11" i="4"/>
  <c r="AP11" i="4"/>
  <c r="AQ11" i="4"/>
  <c r="AR11" i="4" s="1"/>
  <c r="AS11" i="4"/>
  <c r="AT11" i="4"/>
  <c r="AU11" i="4"/>
  <c r="C12" i="4"/>
  <c r="D12" i="4"/>
  <c r="E12" i="4"/>
  <c r="F12" i="4"/>
  <c r="G12" i="4"/>
  <c r="H12" i="4"/>
  <c r="I12" i="4"/>
  <c r="J12" i="4"/>
  <c r="K12" i="4"/>
  <c r="L12" i="4"/>
  <c r="O12" i="4"/>
  <c r="P12" i="4"/>
  <c r="Q12" i="4"/>
  <c r="T12" i="4"/>
  <c r="U12" i="4"/>
  <c r="V12" i="4"/>
  <c r="Y12" i="4"/>
  <c r="Z12" i="4"/>
  <c r="AA12" i="4"/>
  <c r="AD12" i="4"/>
  <c r="AE12" i="4"/>
  <c r="AF12" i="4"/>
  <c r="AI12" i="4"/>
  <c r="AJ12" i="4"/>
  <c r="AK12" i="4"/>
  <c r="AL12" i="4"/>
  <c r="AN12" i="4"/>
  <c r="AO12" i="4"/>
  <c r="AP12" i="4"/>
  <c r="AQ12" i="4"/>
  <c r="AR12" i="4" s="1"/>
  <c r="AS12" i="4"/>
  <c r="AT12" i="4"/>
  <c r="AU12" i="4"/>
  <c r="C13" i="4"/>
  <c r="D13" i="4"/>
  <c r="E13" i="4"/>
  <c r="F13" i="4"/>
  <c r="G13" i="4"/>
  <c r="H13" i="4"/>
  <c r="J13" i="4"/>
  <c r="K13" i="4"/>
  <c r="L13" i="4"/>
  <c r="O13" i="4"/>
  <c r="P13" i="4"/>
  <c r="Q13" i="4"/>
  <c r="T13" i="4"/>
  <c r="U13" i="4"/>
  <c r="V13" i="4"/>
  <c r="Y13" i="4"/>
  <c r="Z13" i="4"/>
  <c r="AA13" i="4"/>
  <c r="AD13" i="4"/>
  <c r="AE13" i="4"/>
  <c r="AF13" i="4"/>
  <c r="AI13" i="4"/>
  <c r="AJ13" i="4"/>
  <c r="AK13" i="4"/>
  <c r="AL13" i="4"/>
  <c r="AN13" i="4"/>
  <c r="AO13" i="4"/>
  <c r="AP13" i="4"/>
  <c r="AQ13" i="4"/>
  <c r="AS13" i="4"/>
  <c r="AT13" i="4"/>
  <c r="AU13" i="4"/>
  <c r="C14" i="4"/>
  <c r="D14" i="4"/>
  <c r="E14" i="4"/>
  <c r="F14" i="4"/>
  <c r="G14" i="4"/>
  <c r="H14" i="4"/>
  <c r="J14" i="4"/>
  <c r="K14" i="4"/>
  <c r="L14" i="4"/>
  <c r="O14" i="4"/>
  <c r="P14" i="4"/>
  <c r="Q14" i="4"/>
  <c r="T14" i="4"/>
  <c r="U14" i="4"/>
  <c r="V14" i="4"/>
  <c r="Y14" i="4"/>
  <c r="Z14" i="4"/>
  <c r="AA14" i="4"/>
  <c r="AD14" i="4"/>
  <c r="AE14" i="4"/>
  <c r="AF14" i="4"/>
  <c r="AI14" i="4"/>
  <c r="AJ14" i="4"/>
  <c r="AK14" i="4"/>
  <c r="AL14" i="4"/>
  <c r="AM14" i="4" s="1"/>
  <c r="AN14" i="4"/>
  <c r="AO14" i="4"/>
  <c r="AP14" i="4"/>
  <c r="AQ14" i="4"/>
  <c r="AR14" i="4" s="1"/>
  <c r="AS14" i="4"/>
  <c r="AT14" i="4"/>
  <c r="AU14" i="4"/>
  <c r="C16" i="4"/>
  <c r="D16" i="4"/>
  <c r="E16" i="4"/>
  <c r="F16" i="4"/>
  <c r="G16" i="4"/>
  <c r="H16" i="4"/>
  <c r="I16" i="4"/>
  <c r="J16" i="4"/>
  <c r="K16" i="4"/>
  <c r="L16" i="4"/>
  <c r="O16" i="4"/>
  <c r="P16" i="4"/>
  <c r="Q16" i="4"/>
  <c r="T16" i="4"/>
  <c r="U16" i="4"/>
  <c r="V16" i="4"/>
  <c r="Y16" i="4"/>
  <c r="Z16" i="4"/>
  <c r="AA16" i="4"/>
  <c r="AD16" i="4"/>
  <c r="AE16" i="4"/>
  <c r="AF16" i="4"/>
  <c r="AI16" i="4"/>
  <c r="AJ16" i="4"/>
  <c r="AK16" i="4"/>
  <c r="AL16" i="4"/>
  <c r="AM16" i="4" s="1"/>
  <c r="AN16" i="4"/>
  <c r="AO16" i="4"/>
  <c r="AP16" i="4"/>
  <c r="AQ16" i="4"/>
  <c r="AR16" i="4" s="1"/>
  <c r="AS16" i="4"/>
  <c r="AT16" i="4"/>
  <c r="AU16" i="4"/>
  <c r="C17" i="4"/>
  <c r="D17" i="4"/>
  <c r="E17" i="4"/>
  <c r="F17" i="4"/>
  <c r="G17" i="4"/>
  <c r="H17" i="4"/>
  <c r="I17" i="4"/>
  <c r="J17" i="4"/>
  <c r="K17" i="4"/>
  <c r="L17" i="4"/>
  <c r="O17" i="4"/>
  <c r="P17" i="4"/>
  <c r="Q17" i="4"/>
  <c r="T17" i="4"/>
  <c r="U17" i="4"/>
  <c r="V17" i="4"/>
  <c r="Y17" i="4"/>
  <c r="Z17" i="4"/>
  <c r="AA17" i="4"/>
  <c r="AD17" i="4"/>
  <c r="AE17" i="4"/>
  <c r="AF17" i="4"/>
  <c r="AI17" i="4"/>
  <c r="AJ17" i="4"/>
  <c r="AK17" i="4"/>
  <c r="AL17" i="4"/>
  <c r="AN17" i="4"/>
  <c r="AO17" i="4"/>
  <c r="AP17" i="4"/>
  <c r="AQ17" i="4"/>
  <c r="AS17" i="4"/>
  <c r="AT17" i="4"/>
  <c r="AU17" i="4"/>
  <c r="C18" i="4"/>
  <c r="D18" i="4"/>
  <c r="E18" i="4"/>
  <c r="F18" i="4"/>
  <c r="G18" i="4"/>
  <c r="H18" i="4"/>
  <c r="I18" i="4"/>
  <c r="J18" i="4"/>
  <c r="K18" i="4"/>
  <c r="L18" i="4"/>
  <c r="O18" i="4"/>
  <c r="P18" i="4"/>
  <c r="Q18" i="4"/>
  <c r="T18" i="4"/>
  <c r="U18" i="4"/>
  <c r="V18" i="4"/>
  <c r="Y18" i="4"/>
  <c r="Z18" i="4"/>
  <c r="AA18" i="4"/>
  <c r="AD18" i="4"/>
  <c r="AE18" i="4"/>
  <c r="AF18" i="4"/>
  <c r="AI18" i="4"/>
  <c r="AJ18" i="4"/>
  <c r="AK18" i="4"/>
  <c r="AL18" i="4"/>
  <c r="AN18" i="4"/>
  <c r="AO18" i="4"/>
  <c r="AP18" i="4"/>
  <c r="AQ18" i="4"/>
  <c r="AR18" i="4" s="1"/>
  <c r="AS18" i="4"/>
  <c r="AT18" i="4"/>
  <c r="AU18" i="4"/>
  <c r="C19" i="4"/>
  <c r="D19" i="4"/>
  <c r="E19" i="4"/>
  <c r="F19" i="4"/>
  <c r="G19" i="4"/>
  <c r="H19" i="4"/>
  <c r="I19" i="4"/>
  <c r="J19" i="4"/>
  <c r="K19" i="4"/>
  <c r="L19" i="4"/>
  <c r="O19" i="4"/>
  <c r="P19" i="4"/>
  <c r="Q19" i="4"/>
  <c r="T19" i="4"/>
  <c r="U19" i="4"/>
  <c r="V19" i="4"/>
  <c r="Y19" i="4"/>
  <c r="Z19" i="4"/>
  <c r="AA19" i="4"/>
  <c r="AD19" i="4"/>
  <c r="AE19" i="4"/>
  <c r="AF19" i="4"/>
  <c r="AI19" i="4"/>
  <c r="AJ19" i="4"/>
  <c r="AK19" i="4"/>
  <c r="AL19" i="4"/>
  <c r="AM19" i="4" s="1"/>
  <c r="AN19" i="4"/>
  <c r="AO19" i="4"/>
  <c r="AP19" i="4"/>
  <c r="AQ19" i="4"/>
  <c r="AR19" i="4" s="1"/>
  <c r="AS19" i="4"/>
  <c r="AT19" i="4"/>
  <c r="AU19" i="4"/>
  <c r="C20" i="4"/>
  <c r="D20" i="4"/>
  <c r="E20" i="4"/>
  <c r="F20" i="4"/>
  <c r="G20" i="4"/>
  <c r="H20" i="4"/>
  <c r="I20" i="4"/>
  <c r="J20" i="4"/>
  <c r="K20" i="4"/>
  <c r="L20" i="4"/>
  <c r="O20" i="4"/>
  <c r="P20" i="4"/>
  <c r="Q20" i="4"/>
  <c r="T20" i="4"/>
  <c r="U20" i="4"/>
  <c r="V20" i="4"/>
  <c r="Y20" i="4"/>
  <c r="Z20" i="4"/>
  <c r="AA20" i="4"/>
  <c r="AD20" i="4"/>
  <c r="AE20" i="4"/>
  <c r="AF20" i="4"/>
  <c r="AI20" i="4"/>
  <c r="AJ20" i="4"/>
  <c r="AK20" i="4"/>
  <c r="AL20" i="4"/>
  <c r="AN20" i="4"/>
  <c r="AO20" i="4"/>
  <c r="AP20" i="4"/>
  <c r="AQ20" i="4"/>
  <c r="AS20" i="4"/>
  <c r="AT20" i="4"/>
  <c r="AU20" i="4"/>
  <c r="C21" i="4"/>
  <c r="D21" i="4"/>
  <c r="E21" i="4"/>
  <c r="F21" i="4"/>
  <c r="G21" i="4"/>
  <c r="H21" i="4"/>
  <c r="I21" i="4"/>
  <c r="J21" i="4"/>
  <c r="K21" i="4"/>
  <c r="L21" i="4"/>
  <c r="O21" i="4"/>
  <c r="P21" i="4"/>
  <c r="Q21" i="4"/>
  <c r="T21" i="4"/>
  <c r="U21" i="4"/>
  <c r="V21" i="4"/>
  <c r="Y21" i="4"/>
  <c r="Z21" i="4"/>
  <c r="AA21" i="4"/>
  <c r="AD21" i="4"/>
  <c r="AE21" i="4"/>
  <c r="AF21" i="4"/>
  <c r="AI21" i="4"/>
  <c r="AJ21" i="4"/>
  <c r="AK21" i="4"/>
  <c r="AL21" i="4"/>
  <c r="AN21" i="4"/>
  <c r="AO21" i="4"/>
  <c r="AP21" i="4"/>
  <c r="AQ21" i="4"/>
  <c r="AS21" i="4"/>
  <c r="AT21" i="4"/>
  <c r="AU21" i="4"/>
  <c r="C22" i="4"/>
  <c r="D22" i="4"/>
  <c r="E22" i="4"/>
  <c r="F22" i="4"/>
  <c r="G22" i="4"/>
  <c r="H22" i="4"/>
  <c r="I22" i="4"/>
  <c r="J22" i="4"/>
  <c r="K22" i="4"/>
  <c r="L22" i="4"/>
  <c r="O22" i="4"/>
  <c r="P22" i="4"/>
  <c r="Q22" i="4"/>
  <c r="T22" i="4"/>
  <c r="V22" i="4"/>
  <c r="Y22" i="4"/>
  <c r="Z22" i="4"/>
  <c r="AA22" i="4"/>
  <c r="AD22" i="4"/>
  <c r="AE22" i="4"/>
  <c r="AF22" i="4"/>
  <c r="AI22" i="4"/>
  <c r="AJ22" i="4"/>
  <c r="AK22" i="4"/>
  <c r="AL22" i="4"/>
  <c r="AM22" i="4" s="1"/>
  <c r="AN22" i="4"/>
  <c r="AO22" i="4"/>
  <c r="AP22" i="4"/>
  <c r="AQ22" i="4"/>
  <c r="AR22" i="4" s="1"/>
  <c r="AS22" i="4"/>
  <c r="AT22" i="4"/>
  <c r="AU22" i="4"/>
  <c r="C23" i="4"/>
  <c r="D23" i="4"/>
  <c r="E23" i="4"/>
  <c r="G23" i="4"/>
  <c r="H23" i="4"/>
  <c r="I23" i="4"/>
  <c r="J23" i="4"/>
  <c r="K23" i="4"/>
  <c r="L23" i="4"/>
  <c r="O23" i="4"/>
  <c r="P23" i="4"/>
  <c r="Q23" i="4"/>
  <c r="T23" i="4"/>
  <c r="U23" i="4"/>
  <c r="V23" i="4"/>
  <c r="Y23" i="4"/>
  <c r="Z23" i="4"/>
  <c r="AA23" i="4"/>
  <c r="AD23" i="4"/>
  <c r="AE23" i="4"/>
  <c r="AF23" i="4"/>
  <c r="AI23" i="4"/>
  <c r="AJ23" i="4"/>
  <c r="AK23" i="4"/>
  <c r="AL23" i="4"/>
  <c r="AM23" i="4" s="1"/>
  <c r="AN23" i="4"/>
  <c r="AO23" i="4"/>
  <c r="AP23" i="4"/>
  <c r="AQ23" i="4"/>
  <c r="AR23" i="4" s="1"/>
  <c r="AS23" i="4"/>
  <c r="AT23" i="4"/>
  <c r="AU23" i="4"/>
  <c r="C27" i="4"/>
  <c r="D27" i="4"/>
  <c r="E27" i="4"/>
  <c r="F27" i="4"/>
  <c r="G27" i="4"/>
  <c r="H27" i="4"/>
  <c r="I27" i="4"/>
  <c r="J27" i="4"/>
  <c r="K27" i="4"/>
  <c r="L27" i="4"/>
  <c r="O27" i="4"/>
  <c r="P27" i="4"/>
  <c r="Q27" i="4"/>
  <c r="T27" i="4"/>
  <c r="U27" i="4"/>
  <c r="V27" i="4"/>
  <c r="Y27" i="4"/>
  <c r="Z27" i="4"/>
  <c r="AA27" i="4"/>
  <c r="AD27" i="4"/>
  <c r="AE27" i="4"/>
  <c r="AF27" i="4"/>
  <c r="AI27" i="4"/>
  <c r="C29" i="4"/>
  <c r="D29" i="4"/>
  <c r="E29" i="4"/>
  <c r="F29" i="4"/>
  <c r="G29" i="4"/>
  <c r="H29" i="4"/>
  <c r="I29" i="4"/>
  <c r="J29" i="4"/>
  <c r="K29" i="4"/>
  <c r="L29" i="4"/>
  <c r="O29" i="4"/>
  <c r="P29" i="4"/>
  <c r="Q29" i="4"/>
  <c r="T29" i="4"/>
  <c r="U29" i="4"/>
  <c r="V29" i="4"/>
  <c r="Y29" i="4"/>
  <c r="Z29" i="4"/>
  <c r="AA29" i="4"/>
  <c r="AD29" i="4"/>
  <c r="AE29" i="4"/>
  <c r="AF29" i="4"/>
  <c r="AI29" i="4"/>
  <c r="AJ29" i="4"/>
  <c r="AK29" i="4"/>
  <c r="AL29" i="4"/>
  <c r="AM29" i="4" s="1"/>
  <c r="AN29" i="4"/>
  <c r="AO29" i="4"/>
  <c r="AP29" i="4"/>
  <c r="AQ29" i="4"/>
  <c r="AR29" i="4" s="1"/>
  <c r="AS29" i="4"/>
  <c r="AT29" i="4"/>
  <c r="AU29" i="4"/>
  <c r="C30" i="4"/>
  <c r="D30" i="4"/>
  <c r="E30" i="4"/>
  <c r="F30" i="4"/>
  <c r="G30" i="4"/>
  <c r="H30" i="4"/>
  <c r="I30" i="4"/>
  <c r="J30" i="4"/>
  <c r="K30" i="4"/>
  <c r="L30" i="4"/>
  <c r="O30" i="4"/>
  <c r="P30" i="4"/>
  <c r="Q30" i="4"/>
  <c r="T30" i="4"/>
  <c r="U30" i="4"/>
  <c r="V30" i="4"/>
  <c r="Y30" i="4"/>
  <c r="Z30" i="4"/>
  <c r="AA30" i="4"/>
  <c r="AD30" i="4"/>
  <c r="AE30" i="4"/>
  <c r="AF30" i="4"/>
  <c r="AI30" i="4"/>
  <c r="AJ30" i="4"/>
  <c r="AK30" i="4"/>
  <c r="AL30" i="4"/>
  <c r="AM30" i="4" s="1"/>
  <c r="AN30" i="4"/>
  <c r="AO30" i="4"/>
  <c r="AP30" i="4"/>
  <c r="AQ30" i="4"/>
  <c r="AR30" i="4" s="1"/>
  <c r="AS30" i="4"/>
  <c r="AT30" i="4"/>
  <c r="AU30" i="4"/>
  <c r="C31" i="4"/>
  <c r="D31" i="4"/>
  <c r="E31" i="4"/>
  <c r="F31" i="4"/>
  <c r="G31" i="4"/>
  <c r="H31" i="4"/>
  <c r="I31" i="4"/>
  <c r="J31" i="4"/>
  <c r="K31" i="4"/>
  <c r="L31" i="4"/>
  <c r="O31" i="4"/>
  <c r="P31" i="4"/>
  <c r="Q31" i="4"/>
  <c r="T31" i="4"/>
  <c r="U31" i="4"/>
  <c r="V31" i="4"/>
  <c r="Y31" i="4"/>
  <c r="Z31" i="4"/>
  <c r="AA31" i="4"/>
  <c r="AD31" i="4"/>
  <c r="AE31" i="4"/>
  <c r="AF31" i="4"/>
  <c r="AI31" i="4"/>
  <c r="AJ31" i="4"/>
  <c r="AK31" i="4"/>
  <c r="AL31" i="4"/>
  <c r="AN31" i="4"/>
  <c r="AO31" i="4"/>
  <c r="AP31" i="4"/>
  <c r="AQ31" i="4"/>
  <c r="AS31" i="4"/>
  <c r="AT31" i="4"/>
  <c r="AU31" i="4"/>
  <c r="C32" i="4"/>
  <c r="D32" i="4"/>
  <c r="E32" i="4"/>
  <c r="F32" i="4"/>
  <c r="G32" i="4"/>
  <c r="H32" i="4"/>
  <c r="I32" i="4"/>
  <c r="J32" i="4"/>
  <c r="K32" i="4"/>
  <c r="L32" i="4"/>
  <c r="O32" i="4"/>
  <c r="P32" i="4"/>
  <c r="Q32" i="4"/>
  <c r="T32" i="4"/>
  <c r="U32" i="4"/>
  <c r="V32" i="4"/>
  <c r="Y32" i="4"/>
  <c r="Z32" i="4"/>
  <c r="AA32" i="4"/>
  <c r="AD32" i="4"/>
  <c r="AE32" i="4"/>
  <c r="AF32" i="4"/>
  <c r="AI32" i="4"/>
  <c r="AJ32" i="4"/>
  <c r="AK32" i="4"/>
  <c r="AL32" i="4"/>
  <c r="AM32" i="4" s="1"/>
  <c r="AN32" i="4"/>
  <c r="AO32" i="4"/>
  <c r="AP32" i="4"/>
  <c r="AQ32" i="4"/>
  <c r="AR32" i="4" s="1"/>
  <c r="AS32" i="4"/>
  <c r="AT32" i="4"/>
  <c r="AU32" i="4"/>
  <c r="C34" i="4"/>
  <c r="D34" i="4"/>
  <c r="E34" i="4"/>
  <c r="F34" i="4"/>
  <c r="G34" i="4"/>
  <c r="H34" i="4"/>
  <c r="I34" i="4"/>
  <c r="J34" i="4"/>
  <c r="K34" i="4"/>
  <c r="L34" i="4"/>
  <c r="O34" i="4"/>
  <c r="P34" i="4"/>
  <c r="Q34" i="4"/>
  <c r="T34" i="4"/>
  <c r="U34" i="4"/>
  <c r="V34" i="4"/>
  <c r="Y34" i="4"/>
  <c r="Z34" i="4"/>
  <c r="AA34" i="4"/>
  <c r="AD34" i="4"/>
  <c r="AE34" i="4"/>
  <c r="AF34" i="4"/>
  <c r="AI34" i="4"/>
  <c r="AJ34" i="4"/>
  <c r="AK34" i="4"/>
  <c r="AL34" i="4"/>
  <c r="AM34" i="4" s="1"/>
  <c r="AN34" i="4"/>
  <c r="AO34" i="4"/>
  <c r="AP34" i="4"/>
  <c r="AQ34" i="4"/>
  <c r="AR34" i="4" s="1"/>
  <c r="AS34" i="4"/>
  <c r="AT34" i="4"/>
  <c r="AU34" i="4"/>
  <c r="C35" i="4"/>
  <c r="D35" i="4"/>
  <c r="E35" i="4"/>
  <c r="F35" i="4"/>
  <c r="G35" i="4"/>
  <c r="H35" i="4"/>
  <c r="I35" i="4"/>
  <c r="J35" i="4"/>
  <c r="K35" i="4"/>
  <c r="L35" i="4"/>
  <c r="O35" i="4"/>
  <c r="P35" i="4"/>
  <c r="Q35" i="4"/>
  <c r="T35" i="4"/>
  <c r="U35" i="4"/>
  <c r="V35" i="4"/>
  <c r="Y35" i="4"/>
  <c r="Z35" i="4"/>
  <c r="AA35" i="4"/>
  <c r="AD35" i="4"/>
  <c r="AE35" i="4"/>
  <c r="AF35" i="4"/>
  <c r="AI35" i="4"/>
  <c r="AJ35" i="4"/>
  <c r="AK35" i="4"/>
  <c r="AL35" i="4"/>
  <c r="AM35" i="4" s="1"/>
  <c r="AN35" i="4"/>
  <c r="AO35" i="4"/>
  <c r="AP35" i="4"/>
  <c r="AQ35" i="4"/>
  <c r="AR35" i="4" s="1"/>
  <c r="AS35" i="4"/>
  <c r="AT35" i="4"/>
  <c r="AU35" i="4"/>
  <c r="C36" i="4"/>
  <c r="D36" i="4"/>
  <c r="E36" i="4"/>
  <c r="F36" i="4"/>
  <c r="G36" i="4"/>
  <c r="H36" i="4"/>
  <c r="I36" i="4"/>
  <c r="J36" i="4"/>
  <c r="K36" i="4"/>
  <c r="L36" i="4"/>
  <c r="O36" i="4"/>
  <c r="P36" i="4"/>
  <c r="Q36" i="4"/>
  <c r="T36" i="4"/>
  <c r="U36" i="4"/>
  <c r="V36" i="4"/>
  <c r="Y36" i="4"/>
  <c r="Z36" i="4"/>
  <c r="AA36" i="4"/>
  <c r="AD36" i="4"/>
  <c r="AE36" i="4"/>
  <c r="AF36" i="4"/>
  <c r="AI36" i="4"/>
  <c r="AJ36" i="4"/>
  <c r="AK36" i="4"/>
  <c r="AL36" i="4"/>
  <c r="AN36" i="4"/>
  <c r="AO36" i="4"/>
  <c r="AP36" i="4"/>
  <c r="AQ36" i="4"/>
  <c r="AR36" i="4" s="1"/>
  <c r="AS36" i="4"/>
  <c r="AT36" i="4"/>
  <c r="AU36" i="4"/>
  <c r="C37" i="4"/>
  <c r="D37" i="4"/>
  <c r="E37" i="4"/>
  <c r="F37" i="4"/>
  <c r="H37" i="4"/>
  <c r="I37" i="4"/>
  <c r="J37" i="4"/>
  <c r="K37" i="4"/>
  <c r="L37" i="4"/>
  <c r="Y37" i="4"/>
  <c r="Z37" i="4"/>
  <c r="AA37" i="4"/>
  <c r="AI37" i="4"/>
  <c r="AJ37" i="4"/>
  <c r="AK37" i="4"/>
  <c r="AL37" i="4"/>
  <c r="AM37" i="4" s="1"/>
  <c r="AN37" i="4"/>
  <c r="AO37" i="4"/>
  <c r="AP37" i="4"/>
  <c r="AQ37" i="4"/>
  <c r="AR37" i="4" s="1"/>
  <c r="AS37" i="4"/>
  <c r="AT37" i="4"/>
  <c r="AU37" i="4"/>
  <c r="C38" i="4"/>
  <c r="D38" i="4"/>
  <c r="E38" i="4"/>
  <c r="F38" i="4"/>
  <c r="G38" i="4"/>
  <c r="H38" i="4"/>
  <c r="I38" i="4"/>
  <c r="J38" i="4"/>
  <c r="K38" i="4"/>
  <c r="L38" i="4"/>
  <c r="O38" i="4"/>
  <c r="P38" i="4"/>
  <c r="Q38" i="4"/>
  <c r="T38" i="4"/>
  <c r="U38" i="4"/>
  <c r="V38" i="4"/>
  <c r="Y38" i="4"/>
  <c r="Z38" i="4"/>
  <c r="AA38" i="4"/>
  <c r="AD38" i="4"/>
  <c r="AE38" i="4"/>
  <c r="AF38" i="4"/>
  <c r="AI38" i="4"/>
  <c r="AJ38" i="4"/>
  <c r="AK38" i="4"/>
  <c r="AL38" i="4"/>
  <c r="AM38" i="4" s="1"/>
  <c r="AN38" i="4"/>
  <c r="AO38" i="4"/>
  <c r="AP38" i="4"/>
  <c r="AQ38" i="4"/>
  <c r="AS38" i="4"/>
  <c r="AT38" i="4"/>
  <c r="AU38" i="4"/>
  <c r="C40" i="4"/>
  <c r="D40" i="4"/>
  <c r="E40" i="4"/>
  <c r="F40" i="4"/>
  <c r="G40" i="4"/>
  <c r="H40" i="4"/>
  <c r="I40" i="4"/>
  <c r="J40" i="4"/>
  <c r="K40" i="4"/>
  <c r="L40" i="4"/>
  <c r="O40" i="4"/>
  <c r="P40" i="4"/>
  <c r="Q40" i="4"/>
  <c r="T40" i="4"/>
  <c r="U40" i="4"/>
  <c r="V40" i="4"/>
  <c r="Y40" i="4"/>
  <c r="Z40" i="4"/>
  <c r="AA40" i="4"/>
  <c r="AD40" i="4"/>
  <c r="AE40" i="4"/>
  <c r="AF40" i="4"/>
  <c r="AI40" i="4"/>
  <c r="AJ40" i="4"/>
  <c r="AK40" i="4"/>
  <c r="AL40" i="4"/>
  <c r="AM40" i="4" s="1"/>
  <c r="AN40" i="4"/>
  <c r="AO40" i="4"/>
  <c r="AP40" i="4"/>
  <c r="AQ40" i="4"/>
  <c r="AR40" i="4" s="1"/>
  <c r="AS40" i="4"/>
  <c r="AT40" i="4"/>
  <c r="AU40" i="4"/>
  <c r="C41" i="4"/>
  <c r="D41" i="4"/>
  <c r="E41" i="4"/>
  <c r="F41" i="4"/>
  <c r="G41" i="4"/>
  <c r="H41" i="4"/>
  <c r="I41" i="4"/>
  <c r="J41" i="4"/>
  <c r="K41" i="4"/>
  <c r="L41" i="4"/>
  <c r="O41" i="4"/>
  <c r="P41" i="4"/>
  <c r="Q41" i="4"/>
  <c r="T41" i="4"/>
  <c r="U41" i="4"/>
  <c r="V41" i="4"/>
  <c r="Y41" i="4"/>
  <c r="Z41" i="4"/>
  <c r="AA41" i="4"/>
  <c r="AD41" i="4"/>
  <c r="AE41" i="4"/>
  <c r="AF41" i="4"/>
  <c r="AI41" i="4"/>
  <c r="AJ41" i="4"/>
  <c r="AK41" i="4"/>
  <c r="AL41" i="4"/>
  <c r="AM41" i="4" s="1"/>
  <c r="AN41" i="4"/>
  <c r="AO41" i="4"/>
  <c r="AP41" i="4"/>
  <c r="AQ41" i="4"/>
  <c r="AR41" i="4" s="1"/>
  <c r="AS41" i="4"/>
  <c r="AT41" i="4"/>
  <c r="AU41" i="4"/>
  <c r="C42" i="4"/>
  <c r="D42" i="4"/>
  <c r="E42" i="4"/>
  <c r="F42" i="4"/>
  <c r="G42" i="4"/>
  <c r="H42" i="4"/>
  <c r="I42" i="4"/>
  <c r="J42" i="4"/>
  <c r="K42" i="4"/>
  <c r="L42" i="4"/>
  <c r="O42" i="4"/>
  <c r="P42" i="4"/>
  <c r="Q42" i="4"/>
  <c r="T42" i="4"/>
  <c r="U42" i="4"/>
  <c r="V42" i="4"/>
  <c r="Y42" i="4"/>
  <c r="Z42" i="4"/>
  <c r="AA42" i="4"/>
  <c r="AD42" i="4"/>
  <c r="AE42" i="4"/>
  <c r="AF42" i="4"/>
  <c r="AI42" i="4"/>
  <c r="AJ42" i="4"/>
  <c r="AK42" i="4"/>
  <c r="AL42" i="4"/>
  <c r="AM42" i="4" s="1"/>
  <c r="AN42" i="4"/>
  <c r="AO42" i="4"/>
  <c r="AP42" i="4"/>
  <c r="AQ42" i="4"/>
  <c r="AR42" i="4" s="1"/>
  <c r="AS42" i="4"/>
  <c r="AT42" i="4"/>
  <c r="AU42" i="4"/>
  <c r="C43" i="4"/>
  <c r="H43" i="4"/>
  <c r="I43" i="4"/>
  <c r="J43" i="4"/>
  <c r="K43" i="4"/>
  <c r="L43" i="4"/>
  <c r="O43" i="4"/>
  <c r="P43" i="4"/>
  <c r="Q43" i="4"/>
  <c r="T43" i="4"/>
  <c r="U43" i="4"/>
  <c r="V43" i="4"/>
  <c r="Y43" i="4"/>
  <c r="Z43" i="4"/>
  <c r="AA43" i="4"/>
  <c r="AD43" i="4"/>
  <c r="AE43" i="4"/>
  <c r="AF43" i="4"/>
  <c r="AI43" i="4"/>
  <c r="AJ43" i="4"/>
  <c r="AK43" i="4"/>
  <c r="AL43" i="4"/>
  <c r="AM43" i="4" s="1"/>
  <c r="AN43" i="4"/>
  <c r="AO43" i="4"/>
  <c r="AP43" i="4"/>
  <c r="AQ43" i="4"/>
  <c r="AR43" i="4" s="1"/>
  <c r="AS43" i="4"/>
  <c r="AT43" i="4"/>
  <c r="AU43" i="4"/>
  <c r="C44" i="4"/>
  <c r="D44" i="4"/>
  <c r="E44" i="4"/>
  <c r="F44" i="4"/>
  <c r="G44" i="4"/>
  <c r="H44" i="4"/>
  <c r="I44" i="4"/>
  <c r="J44" i="4"/>
  <c r="K44" i="4"/>
  <c r="L44" i="4"/>
  <c r="O44" i="4"/>
  <c r="P44" i="4"/>
  <c r="Q44" i="4"/>
  <c r="T44" i="4"/>
  <c r="U44" i="4"/>
  <c r="V44" i="4"/>
  <c r="Y44" i="4"/>
  <c r="Z44" i="4"/>
  <c r="AA44" i="4"/>
  <c r="AD44" i="4"/>
  <c r="AE44" i="4"/>
  <c r="AF44" i="4"/>
  <c r="AI44" i="4"/>
  <c r="AJ44" i="4"/>
  <c r="AK44" i="4"/>
  <c r="AL44" i="4"/>
  <c r="AM44" i="4" s="1"/>
  <c r="AN44" i="4"/>
  <c r="AO44" i="4"/>
  <c r="AP44" i="4"/>
  <c r="AQ44" i="4"/>
  <c r="AR44" i="4" s="1"/>
  <c r="AS44" i="4"/>
  <c r="AT44" i="4"/>
  <c r="AU44" i="4"/>
  <c r="CA44" i="4"/>
  <c r="CK44" i="4"/>
  <c r="CP44" i="4" s="1"/>
  <c r="C45" i="4"/>
  <c r="D45" i="4"/>
  <c r="E45" i="4"/>
  <c r="F45" i="4"/>
  <c r="G45" i="4"/>
  <c r="H45" i="4"/>
  <c r="I45" i="4"/>
  <c r="J45" i="4"/>
  <c r="K45" i="4"/>
  <c r="L45" i="4"/>
  <c r="O45" i="4"/>
  <c r="P45" i="4"/>
  <c r="Q45" i="4"/>
  <c r="T45" i="4"/>
  <c r="U45" i="4"/>
  <c r="V45" i="4"/>
  <c r="Y45" i="4"/>
  <c r="Z45" i="4"/>
  <c r="AA45" i="4"/>
  <c r="AD45" i="4"/>
  <c r="AE45" i="4"/>
  <c r="AF45" i="4"/>
  <c r="AI45" i="4"/>
  <c r="AJ45" i="4"/>
  <c r="AK45" i="4"/>
  <c r="AL45" i="4"/>
  <c r="AM45" i="4" s="1"/>
  <c r="AN45" i="4"/>
  <c r="AO45" i="4"/>
  <c r="AP45" i="4"/>
  <c r="AQ45" i="4"/>
  <c r="AR45" i="4" s="1"/>
  <c r="AS45" i="4"/>
  <c r="AT45" i="4"/>
  <c r="AU45" i="4"/>
  <c r="CK45" i="4"/>
  <c r="CP45" i="4" s="1"/>
  <c r="C47" i="4"/>
  <c r="D47" i="4"/>
  <c r="E47" i="4"/>
  <c r="F47" i="4"/>
  <c r="G47" i="4"/>
  <c r="H47" i="4"/>
  <c r="I47" i="4"/>
  <c r="J47" i="4"/>
  <c r="K47" i="4"/>
  <c r="L47" i="4"/>
  <c r="O47" i="4"/>
  <c r="P47" i="4"/>
  <c r="Q47" i="4"/>
  <c r="T47" i="4"/>
  <c r="U47" i="4"/>
  <c r="V47" i="4"/>
  <c r="Y47" i="4"/>
  <c r="Z47" i="4"/>
  <c r="AA47" i="4"/>
  <c r="AD47" i="4"/>
  <c r="AE47" i="4"/>
  <c r="AF47" i="4"/>
  <c r="AI47" i="4"/>
  <c r="AJ47" i="4"/>
  <c r="AK47" i="4"/>
  <c r="AL47" i="4"/>
  <c r="AN47" i="4"/>
  <c r="AO47" i="4"/>
  <c r="AP47" i="4"/>
  <c r="AQ47" i="4"/>
  <c r="AS47" i="4"/>
  <c r="AT47" i="4"/>
  <c r="AU47" i="4"/>
  <c r="C54" i="4"/>
  <c r="D54" i="4"/>
  <c r="E54" i="4"/>
  <c r="F54" i="4"/>
  <c r="G54" i="4"/>
  <c r="H54" i="4"/>
  <c r="I54" i="4"/>
  <c r="N54" i="4"/>
  <c r="S54" i="4"/>
  <c r="X54" i="4"/>
  <c r="AC54" i="4"/>
  <c r="AH54" i="4"/>
  <c r="AM54" i="4"/>
  <c r="AR54" i="4"/>
  <c r="C55" i="4"/>
  <c r="D55" i="4"/>
  <c r="E55" i="4"/>
  <c r="F55" i="4"/>
  <c r="G55" i="4"/>
  <c r="H55" i="4"/>
  <c r="I55" i="4"/>
  <c r="N55" i="4"/>
  <c r="S55" i="4"/>
  <c r="X55" i="4"/>
  <c r="AC55" i="4"/>
  <c r="AH55" i="4"/>
  <c r="AM55" i="4"/>
  <c r="AR55" i="4"/>
  <c r="C56" i="4"/>
  <c r="C57" i="4"/>
  <c r="D57" i="4"/>
  <c r="E57" i="4"/>
  <c r="F57" i="4"/>
  <c r="G57" i="4"/>
  <c r="H57" i="4"/>
  <c r="I57" i="4"/>
  <c r="J57" i="4" s="1"/>
  <c r="K57" i="4" s="1"/>
  <c r="L57" i="4" s="1"/>
  <c r="N57" i="4"/>
  <c r="S57" i="4"/>
  <c r="R57" i="4" s="1"/>
  <c r="X57" i="4"/>
  <c r="AC57" i="4"/>
  <c r="AD57" i="4" s="1"/>
  <c r="AH57" i="4"/>
  <c r="AM57" i="4"/>
  <c r="AL57" i="4" s="1"/>
  <c r="AR57" i="4"/>
  <c r="AQ57" i="4" s="1"/>
  <c r="C6" i="3"/>
  <c r="D6" i="3"/>
  <c r="E6" i="3"/>
  <c r="F6" i="3"/>
  <c r="G6" i="3"/>
  <c r="H6" i="3"/>
  <c r="I6" i="3"/>
  <c r="J6" i="3"/>
  <c r="K6" i="3"/>
  <c r="L6" i="3"/>
  <c r="M6" i="3"/>
  <c r="N6" i="3"/>
  <c r="O6" i="3"/>
  <c r="P6" i="3"/>
  <c r="Q6" i="3"/>
  <c r="T6" i="3"/>
  <c r="U6" i="3"/>
  <c r="V6" i="3"/>
  <c r="Y6" i="3"/>
  <c r="Z6" i="3"/>
  <c r="AA6" i="3"/>
  <c r="AD6" i="3"/>
  <c r="AE6" i="3"/>
  <c r="AF6" i="3"/>
  <c r="AI6" i="3"/>
  <c r="AJ6" i="3"/>
  <c r="AK6" i="3"/>
  <c r="AL6" i="3"/>
  <c r="AN6" i="3"/>
  <c r="AO6" i="3"/>
  <c r="AP6" i="3"/>
  <c r="AQ6" i="3"/>
  <c r="AS6" i="3"/>
  <c r="AT6" i="3"/>
  <c r="AU6" i="3"/>
  <c r="AX6" i="3"/>
  <c r="AY6" i="3"/>
  <c r="AZ6" i="3"/>
  <c r="BA6" i="3"/>
  <c r="BG6" i="3"/>
  <c r="C7" i="3"/>
  <c r="D7" i="3"/>
  <c r="E7" i="3"/>
  <c r="F7" i="3"/>
  <c r="G7" i="3"/>
  <c r="H7" i="3"/>
  <c r="I7" i="3"/>
  <c r="J7" i="3"/>
  <c r="K7" i="3"/>
  <c r="L7" i="3"/>
  <c r="M7" i="3"/>
  <c r="N7" i="3"/>
  <c r="O7" i="3"/>
  <c r="P7" i="3"/>
  <c r="Q7" i="3"/>
  <c r="T7" i="3"/>
  <c r="U7" i="3"/>
  <c r="V7" i="3"/>
  <c r="Y7" i="3"/>
  <c r="Z7" i="3"/>
  <c r="AA7" i="3"/>
  <c r="AD7" i="3"/>
  <c r="AE7" i="3"/>
  <c r="AF7" i="3"/>
  <c r="AI7" i="3"/>
  <c r="AJ7" i="3"/>
  <c r="AK7" i="3"/>
  <c r="AL7" i="3"/>
  <c r="AN7" i="3"/>
  <c r="AO7" i="3"/>
  <c r="AP7" i="3"/>
  <c r="AQ7" i="3"/>
  <c r="AS7" i="3"/>
  <c r="AT7" i="3"/>
  <c r="AU7" i="3"/>
  <c r="AX7" i="3"/>
  <c r="AY7" i="3"/>
  <c r="AZ7" i="3"/>
  <c r="BA7" i="3"/>
  <c r="C8" i="3"/>
  <c r="D8" i="3"/>
  <c r="E8" i="3"/>
  <c r="F8" i="3"/>
  <c r="G8" i="3"/>
  <c r="H8" i="3"/>
  <c r="I8" i="3"/>
  <c r="J8" i="3"/>
  <c r="K8" i="3"/>
  <c r="L8" i="3"/>
  <c r="C9" i="3"/>
  <c r="D9" i="3"/>
  <c r="E9" i="3"/>
  <c r="F9" i="3"/>
  <c r="G9" i="3"/>
  <c r="H9" i="3"/>
  <c r="I9" i="3"/>
  <c r="J9" i="3"/>
  <c r="K9" i="3"/>
  <c r="L9" i="3"/>
  <c r="M9" i="3"/>
  <c r="O9" i="3"/>
  <c r="P9" i="3"/>
  <c r="Q9" i="3"/>
  <c r="T9" i="3"/>
  <c r="U9" i="3"/>
  <c r="V9" i="3"/>
  <c r="Y9" i="3"/>
  <c r="Z9" i="3"/>
  <c r="AA9" i="3"/>
  <c r="AD9" i="3"/>
  <c r="AE9" i="3"/>
  <c r="AF9" i="3"/>
  <c r="AI9" i="3"/>
  <c r="AJ9" i="3"/>
  <c r="AK9" i="3"/>
  <c r="AL9" i="3"/>
  <c r="AN9" i="3"/>
  <c r="AO9" i="3"/>
  <c r="AP9" i="3"/>
  <c r="AQ9" i="3"/>
  <c r="AS9" i="3"/>
  <c r="AT9" i="3"/>
  <c r="AU9" i="3"/>
  <c r="AY9" i="3"/>
  <c r="BA9" i="3"/>
  <c r="C10" i="3"/>
  <c r="D10" i="3"/>
  <c r="E10" i="3"/>
  <c r="F10" i="3"/>
  <c r="G10" i="3"/>
  <c r="H10" i="3"/>
  <c r="I10" i="3"/>
  <c r="O10" i="3"/>
  <c r="P10" i="3"/>
  <c r="Q10" i="3"/>
  <c r="T10" i="3"/>
  <c r="U10" i="3"/>
  <c r="V10" i="3"/>
  <c r="Y10" i="3"/>
  <c r="Z10" i="3"/>
  <c r="AA10" i="3"/>
  <c r="AD10" i="3"/>
  <c r="AE10" i="3"/>
  <c r="AF10" i="3"/>
  <c r="AI10" i="3"/>
  <c r="AJ10" i="3"/>
  <c r="AK10" i="3"/>
  <c r="AL10" i="3"/>
  <c r="AN10" i="3"/>
  <c r="AO10" i="3"/>
  <c r="AP10" i="3"/>
  <c r="AQ10" i="3"/>
  <c r="AS10" i="3"/>
  <c r="AT10" i="3"/>
  <c r="AU10" i="3"/>
  <c r="AY10" i="3"/>
  <c r="BA10" i="3"/>
  <c r="C11" i="3"/>
  <c r="D11" i="3"/>
  <c r="E11" i="3"/>
  <c r="F11" i="3"/>
  <c r="G11" i="3"/>
  <c r="H11" i="3"/>
  <c r="I11" i="3"/>
  <c r="J11" i="3"/>
  <c r="K11" i="3"/>
  <c r="L11" i="3"/>
  <c r="O11" i="3"/>
  <c r="P11" i="3"/>
  <c r="Q11" i="3"/>
  <c r="T11" i="3"/>
  <c r="U11" i="3"/>
  <c r="V11" i="3"/>
  <c r="Y11" i="3"/>
  <c r="Z11" i="3"/>
  <c r="AA11" i="3"/>
  <c r="AD11" i="3"/>
  <c r="AE11" i="3"/>
  <c r="AF11" i="3"/>
  <c r="AI11" i="3"/>
  <c r="AJ11" i="3"/>
  <c r="AK11" i="3"/>
  <c r="AL11" i="3"/>
  <c r="AN11" i="3"/>
  <c r="AO11" i="3"/>
  <c r="AP11" i="3"/>
  <c r="AQ11" i="3"/>
  <c r="AS11" i="3"/>
  <c r="AT11" i="3"/>
  <c r="AU11" i="3"/>
  <c r="AY11" i="3"/>
  <c r="BA11" i="3"/>
  <c r="C14" i="3"/>
  <c r="D14" i="3"/>
  <c r="E14" i="3"/>
  <c r="F14" i="3"/>
  <c r="G14" i="3"/>
  <c r="H14" i="3"/>
  <c r="I14" i="3"/>
  <c r="J14" i="3"/>
  <c r="K14" i="3"/>
  <c r="L14" i="3"/>
  <c r="O14" i="3"/>
  <c r="P14" i="3"/>
  <c r="Q14" i="3"/>
  <c r="T14" i="3"/>
  <c r="U14" i="3"/>
  <c r="V14" i="3"/>
  <c r="Y14" i="3"/>
  <c r="Z14" i="3"/>
  <c r="AA14" i="3"/>
  <c r="AD14" i="3"/>
  <c r="AE14" i="3"/>
  <c r="AF14" i="3"/>
  <c r="AI14" i="3"/>
  <c r="AJ14" i="3"/>
  <c r="AK14" i="3"/>
  <c r="AL14" i="3"/>
  <c r="AN14" i="3"/>
  <c r="AO14" i="3"/>
  <c r="AP14" i="3"/>
  <c r="AQ14" i="3"/>
  <c r="AS14" i="3"/>
  <c r="AT14" i="3"/>
  <c r="AU14" i="3"/>
  <c r="C15" i="3"/>
  <c r="D15" i="3"/>
  <c r="E15" i="3"/>
  <c r="F15" i="3"/>
  <c r="G15" i="3"/>
  <c r="H15" i="3"/>
  <c r="I15" i="3"/>
  <c r="J15" i="3"/>
  <c r="K15" i="3"/>
  <c r="L15" i="3"/>
  <c r="O15" i="3"/>
  <c r="P15" i="3"/>
  <c r="Q15" i="3"/>
  <c r="T15" i="3"/>
  <c r="U15" i="3"/>
  <c r="V15" i="3"/>
  <c r="Y15" i="3"/>
  <c r="Z15" i="3"/>
  <c r="AA15" i="3"/>
  <c r="AD15" i="3"/>
  <c r="AE15" i="3"/>
  <c r="AF15" i="3"/>
  <c r="AI15" i="3"/>
  <c r="AJ15" i="3"/>
  <c r="AK15" i="3"/>
  <c r="AL15" i="3"/>
  <c r="AN15" i="3"/>
  <c r="AO15" i="3"/>
  <c r="AP15" i="3"/>
  <c r="AQ15" i="3"/>
  <c r="AS15" i="3"/>
  <c r="AT15" i="3"/>
  <c r="AU15" i="3"/>
  <c r="C16" i="3"/>
  <c r="D16" i="3"/>
  <c r="E16" i="3"/>
  <c r="F16" i="3"/>
  <c r="G16" i="3"/>
  <c r="H16" i="3"/>
  <c r="I16" i="3"/>
  <c r="J16" i="3"/>
  <c r="K16" i="3"/>
  <c r="L16" i="3"/>
  <c r="O16" i="3"/>
  <c r="P16" i="3"/>
  <c r="Q16" i="3"/>
  <c r="T16" i="3"/>
  <c r="U16" i="3"/>
  <c r="V16" i="3"/>
  <c r="Y16" i="3"/>
  <c r="Z16" i="3"/>
  <c r="AA16" i="3"/>
  <c r="AD16" i="3"/>
  <c r="AE16" i="3"/>
  <c r="AF16" i="3"/>
  <c r="AI16" i="3"/>
  <c r="AJ16" i="3"/>
  <c r="AK16" i="3"/>
  <c r="AL16" i="3"/>
  <c r="AN16" i="3"/>
  <c r="AO16" i="3"/>
  <c r="AP16" i="3"/>
  <c r="AQ16" i="3"/>
  <c r="AS16" i="3"/>
  <c r="AT16" i="3"/>
  <c r="AU16" i="3"/>
  <c r="C17" i="3"/>
  <c r="D17" i="3"/>
  <c r="J17" i="3"/>
  <c r="O17" i="3"/>
  <c r="P17" i="3"/>
  <c r="Q17" i="3"/>
  <c r="T17" i="3"/>
  <c r="U17" i="3"/>
  <c r="V17" i="3"/>
  <c r="Y17" i="3"/>
  <c r="Z17" i="3"/>
  <c r="AA17" i="3"/>
  <c r="AD17" i="3"/>
  <c r="AE17" i="3"/>
  <c r="AF17" i="3"/>
  <c r="AI17" i="3"/>
  <c r="AJ17" i="3"/>
  <c r="AK17" i="3"/>
  <c r="AL17" i="3"/>
  <c r="AN17" i="3"/>
  <c r="AO17" i="3"/>
  <c r="AP17" i="3"/>
  <c r="AQ17" i="3"/>
  <c r="AS17" i="3"/>
  <c r="AT17" i="3"/>
  <c r="AU17" i="3"/>
  <c r="C19" i="3"/>
  <c r="D19" i="3"/>
  <c r="E19" i="3"/>
  <c r="F19" i="3"/>
  <c r="G19" i="3"/>
  <c r="H19" i="3"/>
  <c r="I19" i="3"/>
  <c r="J19" i="3"/>
  <c r="K19" i="3"/>
  <c r="L19" i="3"/>
  <c r="O19" i="3"/>
  <c r="P19" i="3"/>
  <c r="Q19" i="3"/>
  <c r="T19" i="3"/>
  <c r="V19" i="3"/>
  <c r="Y19" i="3"/>
  <c r="Z19" i="3"/>
  <c r="AA19" i="3"/>
  <c r="AD19" i="3"/>
  <c r="AE19" i="3"/>
  <c r="AF19" i="3"/>
  <c r="AI19" i="3"/>
  <c r="AJ19" i="3"/>
  <c r="AK19" i="3"/>
  <c r="AL19" i="3"/>
  <c r="AN19" i="3"/>
  <c r="AO19" i="3"/>
  <c r="AP19" i="3"/>
  <c r="AQ19" i="3"/>
  <c r="AS19" i="3"/>
  <c r="AT19" i="3"/>
  <c r="AU19" i="3"/>
  <c r="D20" i="3"/>
  <c r="E20" i="3"/>
  <c r="F20" i="3"/>
  <c r="G20" i="3"/>
  <c r="H20" i="3"/>
  <c r="I20" i="3"/>
  <c r="J20" i="3"/>
  <c r="K20" i="3"/>
  <c r="L20" i="3"/>
  <c r="O20" i="3"/>
  <c r="P20" i="3"/>
  <c r="Q20" i="3"/>
  <c r="T20" i="3"/>
  <c r="U20" i="3"/>
  <c r="V20" i="3"/>
  <c r="Y20" i="3"/>
  <c r="Z20" i="3"/>
  <c r="AA20" i="3"/>
  <c r="AD20" i="3"/>
  <c r="AE20" i="3"/>
  <c r="AF20" i="3"/>
  <c r="AI20" i="3"/>
  <c r="AJ20" i="3"/>
  <c r="AK20" i="3"/>
  <c r="AL20" i="3"/>
  <c r="AN20" i="3"/>
  <c r="AO20" i="3"/>
  <c r="AP20" i="3"/>
  <c r="AQ20" i="3"/>
  <c r="AS20" i="3"/>
  <c r="AT20" i="3"/>
  <c r="AU20" i="3"/>
  <c r="C22" i="3"/>
  <c r="D22" i="3"/>
  <c r="E22" i="3"/>
  <c r="F22" i="3"/>
  <c r="G22" i="3"/>
  <c r="H22" i="3"/>
  <c r="I22" i="3"/>
  <c r="J22" i="3"/>
  <c r="K22" i="3"/>
  <c r="L22" i="3"/>
  <c r="O22" i="3"/>
  <c r="P22" i="3"/>
  <c r="Q22" i="3"/>
  <c r="T22" i="3"/>
  <c r="U22" i="3"/>
  <c r="V22" i="3"/>
  <c r="Y22" i="3"/>
  <c r="Z22" i="3"/>
  <c r="AA22" i="3"/>
  <c r="AD22" i="3"/>
  <c r="AE22" i="3"/>
  <c r="AF22" i="3"/>
  <c r="AI22" i="3"/>
  <c r="AJ22" i="3"/>
  <c r="AK22" i="3"/>
  <c r="AL22" i="3"/>
  <c r="AN22" i="3"/>
  <c r="AO22" i="3"/>
  <c r="AP22" i="3"/>
  <c r="AQ22" i="3"/>
  <c r="AS22" i="3"/>
  <c r="AT22" i="3"/>
  <c r="AU22" i="3"/>
  <c r="C25" i="3"/>
  <c r="D25" i="3"/>
  <c r="E25" i="3"/>
  <c r="F25" i="3"/>
  <c r="G25" i="3"/>
  <c r="H25" i="3"/>
  <c r="I25" i="3"/>
  <c r="J25" i="3"/>
  <c r="O25" i="3"/>
  <c r="P25" i="3"/>
  <c r="Q25" i="3"/>
  <c r="T25" i="3"/>
  <c r="U25" i="3"/>
  <c r="V25" i="3"/>
  <c r="Y25" i="3"/>
  <c r="Z25" i="3"/>
  <c r="AA25" i="3"/>
  <c r="AD25" i="3"/>
  <c r="AE25" i="3"/>
  <c r="AF25" i="3"/>
  <c r="AI25" i="3"/>
  <c r="AJ25" i="3"/>
  <c r="AK25" i="3"/>
  <c r="AL25" i="3"/>
  <c r="AN25" i="3"/>
  <c r="AO25" i="3"/>
  <c r="AP25" i="3"/>
  <c r="AQ25" i="3"/>
  <c r="AS25" i="3"/>
  <c r="AT25" i="3"/>
  <c r="AU25" i="3"/>
  <c r="C39" i="3"/>
  <c r="D39" i="3"/>
  <c r="E39" i="3"/>
  <c r="F39" i="3"/>
  <c r="G39" i="3"/>
  <c r="H39" i="3"/>
  <c r="I39" i="3"/>
  <c r="J39" i="3"/>
  <c r="K39" i="3"/>
  <c r="L39" i="3"/>
  <c r="O39" i="3"/>
  <c r="P39" i="3"/>
  <c r="Q39" i="3"/>
  <c r="T39" i="3"/>
  <c r="U39" i="3"/>
  <c r="V39" i="3"/>
  <c r="Y39" i="3"/>
  <c r="Z39" i="3"/>
  <c r="AA39" i="3"/>
  <c r="AD39" i="3"/>
  <c r="AE39" i="3"/>
  <c r="AF39" i="3"/>
  <c r="AI39" i="3"/>
  <c r="AJ39" i="3"/>
  <c r="AK39" i="3"/>
  <c r="AL39" i="3"/>
  <c r="AN39" i="3"/>
  <c r="AO39" i="3"/>
  <c r="AP39" i="3"/>
  <c r="AQ39" i="3"/>
  <c r="AS39" i="3"/>
  <c r="AT39" i="3"/>
  <c r="AU39" i="3"/>
  <c r="C40" i="3"/>
  <c r="D40" i="3"/>
  <c r="E40" i="3"/>
  <c r="F40" i="3"/>
  <c r="G40" i="3"/>
  <c r="H40" i="3"/>
  <c r="I40" i="3"/>
  <c r="J40" i="3"/>
  <c r="K40" i="3"/>
  <c r="L40" i="3"/>
  <c r="O40" i="3"/>
  <c r="P40" i="3"/>
  <c r="Q40" i="3"/>
  <c r="T40" i="3"/>
  <c r="U40" i="3"/>
  <c r="V40" i="3"/>
  <c r="Y40" i="3"/>
  <c r="Z40" i="3"/>
  <c r="AA40" i="3"/>
  <c r="AD40" i="3"/>
  <c r="AE40" i="3"/>
  <c r="AF40" i="3"/>
  <c r="AI40" i="3"/>
  <c r="AJ40" i="3"/>
  <c r="AK40" i="3"/>
  <c r="AL40" i="3"/>
  <c r="AM40" i="3"/>
  <c r="AN40" i="3"/>
  <c r="AO40" i="3"/>
  <c r="AP40" i="3"/>
  <c r="AQ40" i="3"/>
  <c r="AS40" i="3"/>
  <c r="AT40" i="3"/>
  <c r="AU40" i="3"/>
  <c r="C42" i="3"/>
  <c r="D42" i="3"/>
  <c r="F42" i="3"/>
  <c r="H42" i="3"/>
  <c r="J42" i="3"/>
  <c r="K42" i="3"/>
  <c r="L42" i="3"/>
  <c r="M42" i="3"/>
  <c r="O42" i="3"/>
  <c r="P42" i="3"/>
  <c r="Q42" i="3"/>
  <c r="R42" i="3"/>
  <c r="T42" i="3"/>
  <c r="U42" i="3"/>
  <c r="V42" i="3"/>
  <c r="W42" i="3"/>
  <c r="Y42" i="3"/>
  <c r="Z42" i="3"/>
  <c r="AA42" i="3"/>
  <c r="AB42" i="3"/>
  <c r="AD42" i="3"/>
  <c r="AE42" i="3"/>
  <c r="AF42" i="3"/>
  <c r="AG42" i="3"/>
  <c r="AI42" i="3"/>
  <c r="AJ42" i="3"/>
  <c r="AK42" i="3"/>
  <c r="AL42" i="3"/>
  <c r="AN42" i="3"/>
  <c r="AO42" i="3"/>
  <c r="AP42" i="3"/>
  <c r="AQ42" i="3"/>
  <c r="AS42" i="3"/>
  <c r="AT42" i="3"/>
  <c r="AU42" i="3"/>
  <c r="C45" i="3"/>
  <c r="D45" i="3"/>
  <c r="E45" i="3"/>
  <c r="F45" i="3"/>
  <c r="G45" i="3"/>
  <c r="H45" i="3"/>
  <c r="I45" i="3"/>
  <c r="J45" i="3"/>
  <c r="K45" i="3"/>
  <c r="L45" i="3"/>
  <c r="O45" i="3"/>
  <c r="P45" i="3"/>
  <c r="Q45" i="3"/>
  <c r="T45" i="3"/>
  <c r="U45" i="3"/>
  <c r="V45" i="3"/>
  <c r="Y45" i="3"/>
  <c r="Z45" i="3"/>
  <c r="AA45" i="3"/>
  <c r="AD45" i="3"/>
  <c r="AE45" i="3"/>
  <c r="AF45" i="3"/>
  <c r="AI45" i="3"/>
  <c r="AJ45" i="3"/>
  <c r="AK45" i="3"/>
  <c r="AN45" i="3"/>
  <c r="AP45" i="3"/>
  <c r="AS45" i="3"/>
  <c r="AN10" i="2"/>
  <c r="AO10" i="2"/>
  <c r="AP10" i="2"/>
  <c r="AP87" i="2" s="1"/>
  <c r="AQ10" i="2"/>
  <c r="AQ87" i="2" s="1"/>
  <c r="AK11" i="2"/>
  <c r="AL11" i="2" s="1"/>
  <c r="AL87" i="2" s="1"/>
  <c r="AF12" i="2"/>
  <c r="AK12" i="2" s="1"/>
  <c r="AG12" i="2"/>
  <c r="AI12" i="2"/>
  <c r="AJ12" i="2"/>
  <c r="AF13" i="2"/>
  <c r="AG13" i="2"/>
  <c r="AI13" i="2"/>
  <c r="AJ13" i="2"/>
  <c r="AE14" i="2"/>
  <c r="AF14" i="2" s="1"/>
  <c r="AG14" i="2" s="1"/>
  <c r="Z15" i="2"/>
  <c r="AA15" i="2"/>
  <c r="AE15" i="2"/>
  <c r="Z16" i="2"/>
  <c r="AA16" i="2" s="1"/>
  <c r="AB16" i="2" s="1"/>
  <c r="W17" i="2"/>
  <c r="X17" i="2" s="1"/>
  <c r="Y17" i="2"/>
  <c r="Z17" i="2"/>
  <c r="AA17" i="2"/>
  <c r="V18" i="2"/>
  <c r="V87" i="2" s="1"/>
  <c r="W18" i="2"/>
  <c r="Y18" i="2"/>
  <c r="Z18" i="2"/>
  <c r="H19" i="2"/>
  <c r="I19" i="2"/>
  <c r="I87" i="2" s="1"/>
  <c r="G20" i="2"/>
  <c r="H20" i="2"/>
  <c r="F21" i="2"/>
  <c r="G21" i="2"/>
  <c r="F22" i="2"/>
  <c r="G22" i="2"/>
  <c r="F23" i="2"/>
  <c r="G23" i="2"/>
  <c r="F24" i="2"/>
  <c r="G24" i="2"/>
  <c r="E25" i="2"/>
  <c r="F25" i="2" s="1"/>
  <c r="D26" i="2"/>
  <c r="C27" i="2"/>
  <c r="C87" i="2" s="1"/>
  <c r="D27" i="2"/>
  <c r="Q29" i="2"/>
  <c r="R29" i="2"/>
  <c r="T29" i="2"/>
  <c r="U29" i="2"/>
  <c r="V29" i="2"/>
  <c r="V97" i="2" s="1"/>
  <c r="Q30" i="2"/>
  <c r="R30" i="2"/>
  <c r="T30" i="2"/>
  <c r="U30" i="2"/>
  <c r="M31" i="2"/>
  <c r="O31" i="2"/>
  <c r="P31" i="2"/>
  <c r="Q31" i="2"/>
  <c r="R31" i="2"/>
  <c r="L32" i="2"/>
  <c r="M32" i="2"/>
  <c r="O32" i="2"/>
  <c r="P32" i="2"/>
  <c r="Q32" i="2"/>
  <c r="I33" i="2"/>
  <c r="J33" i="2"/>
  <c r="N33" i="2" s="1"/>
  <c r="I34" i="2"/>
  <c r="J34" i="2"/>
  <c r="I35" i="2"/>
  <c r="J35" i="2"/>
  <c r="N35" i="2" s="1"/>
  <c r="C36" i="2"/>
  <c r="C84" i="2" s="1"/>
  <c r="D36" i="2"/>
  <c r="E36" i="2"/>
  <c r="E84" i="2" s="1"/>
  <c r="F36" i="2"/>
  <c r="G36" i="2"/>
  <c r="G84" i="2" s="1"/>
  <c r="H36" i="2"/>
  <c r="H84" i="2" s="1"/>
  <c r="I36" i="2"/>
  <c r="I84" i="2" s="1"/>
  <c r="J36" i="2"/>
  <c r="K36" i="2"/>
  <c r="K84" i="2" s="1"/>
  <c r="L36" i="2"/>
  <c r="O36" i="2"/>
  <c r="O84" i="2" s="1"/>
  <c r="P36" i="2"/>
  <c r="Q36" i="2"/>
  <c r="Q84" i="2" s="1"/>
  <c r="T36" i="2"/>
  <c r="U36" i="2"/>
  <c r="V36" i="2"/>
  <c r="V84" i="2" s="1"/>
  <c r="Y36" i="2"/>
  <c r="Y84" i="2" s="1"/>
  <c r="Z36" i="2"/>
  <c r="AA36" i="2"/>
  <c r="AD36" i="2"/>
  <c r="AE36" i="2"/>
  <c r="AE84" i="2" s="1"/>
  <c r="AF36" i="2"/>
  <c r="AI36" i="2"/>
  <c r="AJ36" i="2"/>
  <c r="AK36" i="2"/>
  <c r="AL36" i="2"/>
  <c r="AN36" i="2"/>
  <c r="AO36" i="2"/>
  <c r="AP36" i="2"/>
  <c r="AQ36" i="2"/>
  <c r="AS36" i="2"/>
  <c r="AT36" i="2"/>
  <c r="AU36" i="2"/>
  <c r="AG56" i="2"/>
  <c r="AH56" i="2" s="1"/>
  <c r="AI56" i="2"/>
  <c r="AJ56" i="2"/>
  <c r="AK56" i="2"/>
  <c r="K58" i="2"/>
  <c r="K91" i="2" s="1"/>
  <c r="L58" i="2"/>
  <c r="L91" i="2" s="1"/>
  <c r="M58" i="2"/>
  <c r="M91" i="2" s="1"/>
  <c r="O58" i="2"/>
  <c r="O91" i="2" s="1"/>
  <c r="P58" i="2"/>
  <c r="G68" i="2"/>
  <c r="H68" i="2"/>
  <c r="C38" i="2"/>
  <c r="D38" i="2"/>
  <c r="E38" i="2"/>
  <c r="E351" i="2" s="1"/>
  <c r="F38" i="2"/>
  <c r="F351" i="2" s="1"/>
  <c r="G38" i="2"/>
  <c r="G351" i="2" s="1"/>
  <c r="H38" i="2"/>
  <c r="I38" i="2"/>
  <c r="I351" i="2" s="1"/>
  <c r="J38" i="2"/>
  <c r="J351" i="2" s="1"/>
  <c r="K38" i="2"/>
  <c r="K351" i="2" s="1"/>
  <c r="L38" i="2"/>
  <c r="L351" i="2" s="1"/>
  <c r="M38" i="2"/>
  <c r="N38" i="2"/>
  <c r="O38" i="2"/>
  <c r="P38" i="2"/>
  <c r="Q38" i="2"/>
  <c r="T38" i="2"/>
  <c r="U38" i="2"/>
  <c r="V38" i="2"/>
  <c r="Y38" i="2"/>
  <c r="Z38" i="2"/>
  <c r="AA38" i="2"/>
  <c r="AD38" i="2"/>
  <c r="AE38" i="2"/>
  <c r="AF38" i="2"/>
  <c r="AG38" i="2"/>
  <c r="AI38" i="2"/>
  <c r="AJ38" i="2"/>
  <c r="AK38" i="2"/>
  <c r="AL38" i="2"/>
  <c r="AN38" i="2"/>
  <c r="AO38" i="2"/>
  <c r="AP38" i="2"/>
  <c r="AQ38" i="2"/>
  <c r="AS38" i="2"/>
  <c r="AT38" i="2"/>
  <c r="AU38" i="2"/>
  <c r="AR50" i="2"/>
  <c r="AU50" i="2"/>
  <c r="AW50" i="2" s="1"/>
  <c r="AP51" i="2"/>
  <c r="AP91" i="2" s="1"/>
  <c r="AQ51" i="2"/>
  <c r="AS51" i="2"/>
  <c r="AT51" i="2"/>
  <c r="AM52" i="2"/>
  <c r="AR52" i="2"/>
  <c r="AM53" i="2"/>
  <c r="I59" i="2"/>
  <c r="J59" i="2"/>
  <c r="J91" i="2" s="1"/>
  <c r="F61" i="2"/>
  <c r="G61" i="2"/>
  <c r="F63" i="2"/>
  <c r="G63" i="2"/>
  <c r="Q65" i="2"/>
  <c r="R65" i="2"/>
  <c r="T65" i="2"/>
  <c r="U65" i="2"/>
  <c r="U101" i="2" s="1"/>
  <c r="V65" i="2"/>
  <c r="V101" i="2" s="1"/>
  <c r="P66" i="2"/>
  <c r="G67" i="2"/>
  <c r="H67" i="2"/>
  <c r="C39" i="2"/>
  <c r="D39" i="2"/>
  <c r="D352" i="2" s="1"/>
  <c r="E39" i="2"/>
  <c r="F39" i="2"/>
  <c r="F352" i="2" s="1"/>
  <c r="G39" i="2"/>
  <c r="G352" i="2" s="1"/>
  <c r="H39" i="2"/>
  <c r="H352" i="2" s="1"/>
  <c r="I39" i="2"/>
  <c r="J39" i="2"/>
  <c r="J352" i="2" s="1"/>
  <c r="K39" i="2"/>
  <c r="K352" i="2" s="1"/>
  <c r="L39" i="2"/>
  <c r="L352" i="2" s="1"/>
  <c r="M39" i="2"/>
  <c r="M352" i="2" s="1"/>
  <c r="N39" i="2"/>
  <c r="O39" i="2"/>
  <c r="P39" i="2"/>
  <c r="Q39" i="2"/>
  <c r="T39" i="2"/>
  <c r="U39" i="2"/>
  <c r="V39" i="2"/>
  <c r="Y39" i="2"/>
  <c r="Z39" i="2"/>
  <c r="AA39" i="2"/>
  <c r="AD39" i="2"/>
  <c r="AE39" i="2"/>
  <c r="AF39" i="2"/>
  <c r="AG39" i="2"/>
  <c r="AI39" i="2"/>
  <c r="AJ39" i="2"/>
  <c r="AK39" i="2"/>
  <c r="AL39" i="2"/>
  <c r="AN39" i="2"/>
  <c r="AO39" i="2"/>
  <c r="AP39" i="2"/>
  <c r="AQ39" i="2"/>
  <c r="AS39" i="2"/>
  <c r="AT39" i="2"/>
  <c r="AU39" i="2"/>
  <c r="AQ49" i="2"/>
  <c r="AR49" i="2" s="1"/>
  <c r="AS49" i="2"/>
  <c r="AT49" i="2"/>
  <c r="AU49" i="2"/>
  <c r="AM54" i="2"/>
  <c r="AG55" i="2"/>
  <c r="AH55" i="2" s="1"/>
  <c r="AI55" i="2"/>
  <c r="AJ55" i="2"/>
  <c r="AK55" i="2"/>
  <c r="AL55" i="2"/>
  <c r="AL91" i="2" s="1"/>
  <c r="AD57" i="2"/>
  <c r="AI57" i="2"/>
  <c r="AM57" i="2" s="1"/>
  <c r="H60" i="2"/>
  <c r="I60" i="2" s="1"/>
  <c r="C40" i="2"/>
  <c r="D40" i="2"/>
  <c r="D353" i="2" s="1"/>
  <c r="E40" i="2"/>
  <c r="E353" i="2" s="1"/>
  <c r="F40" i="2"/>
  <c r="G40" i="2"/>
  <c r="G353" i="2" s="1"/>
  <c r="H40" i="2"/>
  <c r="H353" i="2" s="1"/>
  <c r="I40" i="2"/>
  <c r="J40" i="2"/>
  <c r="J353" i="2" s="1"/>
  <c r="K40" i="2"/>
  <c r="K353" i="2" s="1"/>
  <c r="L40" i="2"/>
  <c r="L353" i="2" s="1"/>
  <c r="M40" i="2"/>
  <c r="N40" i="2"/>
  <c r="O40" i="2"/>
  <c r="P40" i="2"/>
  <c r="Q40" i="2"/>
  <c r="T40" i="2"/>
  <c r="U40" i="2"/>
  <c r="V40" i="2"/>
  <c r="Y40" i="2"/>
  <c r="Z40" i="2"/>
  <c r="AA40" i="2"/>
  <c r="AD40" i="2"/>
  <c r="AE40" i="2"/>
  <c r="AF40" i="2"/>
  <c r="AG40" i="2"/>
  <c r="AI40" i="2"/>
  <c r="AJ40" i="2"/>
  <c r="AK40" i="2"/>
  <c r="AL40" i="2"/>
  <c r="AN40" i="2"/>
  <c r="AO40" i="2"/>
  <c r="AP40" i="2"/>
  <c r="AQ40" i="2"/>
  <c r="AS40" i="2"/>
  <c r="AT40" i="2"/>
  <c r="AU40" i="2"/>
  <c r="G41" i="2"/>
  <c r="H41" i="2"/>
  <c r="I41" i="2"/>
  <c r="J41" i="2"/>
  <c r="K41" i="2"/>
  <c r="L41" i="2"/>
  <c r="O41" i="2"/>
  <c r="P41" i="2"/>
  <c r="Q41" i="2"/>
  <c r="G42" i="2"/>
  <c r="H42" i="2"/>
  <c r="I42" i="2"/>
  <c r="J42" i="2"/>
  <c r="K42" i="2"/>
  <c r="L42" i="2"/>
  <c r="O42" i="2"/>
  <c r="P42" i="2"/>
  <c r="Q42" i="2"/>
  <c r="G43" i="2"/>
  <c r="H43" i="2"/>
  <c r="I43" i="2"/>
  <c r="J43" i="2"/>
  <c r="K43" i="2"/>
  <c r="L43" i="2"/>
  <c r="O43" i="2"/>
  <c r="P43" i="2"/>
  <c r="Q43" i="2"/>
  <c r="G44" i="2"/>
  <c r="H44" i="2"/>
  <c r="I44" i="2"/>
  <c r="J44" i="2"/>
  <c r="K44" i="2"/>
  <c r="L44" i="2"/>
  <c r="O44" i="2"/>
  <c r="P44" i="2"/>
  <c r="Q44" i="2"/>
  <c r="D45" i="2"/>
  <c r="E45" i="2"/>
  <c r="F45" i="2"/>
  <c r="G45" i="2"/>
  <c r="H45" i="2"/>
  <c r="D46" i="2"/>
  <c r="E46" i="2"/>
  <c r="F46" i="2"/>
  <c r="G46" i="2"/>
  <c r="H46" i="2"/>
  <c r="C69" i="2"/>
  <c r="L78" i="2"/>
  <c r="L103" i="2" s="1"/>
  <c r="M78" i="2"/>
  <c r="O78" i="2"/>
  <c r="O103" i="2" s="1"/>
  <c r="P78" i="2"/>
  <c r="C79" i="2"/>
  <c r="D79" i="2"/>
  <c r="E79" i="2"/>
  <c r="F79" i="2"/>
  <c r="G79" i="2"/>
  <c r="H79" i="2"/>
  <c r="I79" i="2"/>
  <c r="J79" i="2"/>
  <c r="K79" i="2"/>
  <c r="L79" i="2"/>
  <c r="O79" i="2"/>
  <c r="P79" i="2"/>
  <c r="Q79" i="2"/>
  <c r="T79" i="2"/>
  <c r="U79" i="2"/>
  <c r="V79" i="2"/>
  <c r="Y79" i="2"/>
  <c r="Z79" i="2"/>
  <c r="AA79" i="2"/>
  <c r="AD79" i="2"/>
  <c r="AE79" i="2"/>
  <c r="AF79" i="2"/>
  <c r="AI79" i="2"/>
  <c r="AJ79" i="2"/>
  <c r="AK79" i="2"/>
  <c r="AL79" i="2"/>
  <c r="AN79" i="2"/>
  <c r="AO79" i="2"/>
  <c r="AP79" i="2"/>
  <c r="AQ79" i="2"/>
  <c r="AS79" i="2"/>
  <c r="AT79" i="2"/>
  <c r="AU79" i="2"/>
  <c r="C80" i="2"/>
  <c r="D80" i="2"/>
  <c r="E80" i="2"/>
  <c r="F80" i="2"/>
  <c r="G80" i="2"/>
  <c r="H80" i="2"/>
  <c r="I80" i="2"/>
  <c r="J80" i="2"/>
  <c r="K80" i="2"/>
  <c r="L80" i="2"/>
  <c r="O80" i="2"/>
  <c r="P80" i="2"/>
  <c r="Q80" i="2"/>
  <c r="T80" i="2"/>
  <c r="U80" i="2"/>
  <c r="V80" i="2"/>
  <c r="Y80" i="2"/>
  <c r="Z80" i="2"/>
  <c r="AA80" i="2"/>
  <c r="AD80" i="2"/>
  <c r="AE80" i="2"/>
  <c r="AF80" i="2"/>
  <c r="AI80" i="2"/>
  <c r="AJ80" i="2"/>
  <c r="AK80" i="2"/>
  <c r="AL80" i="2"/>
  <c r="AN80" i="2"/>
  <c r="AO80" i="2"/>
  <c r="AP80" i="2"/>
  <c r="AQ80" i="2"/>
  <c r="AS80" i="2"/>
  <c r="AT80" i="2"/>
  <c r="AU80" i="2"/>
  <c r="C81" i="2"/>
  <c r="D81" i="2"/>
  <c r="E81" i="2"/>
  <c r="F81" i="2"/>
  <c r="G81" i="2"/>
  <c r="H81" i="2"/>
  <c r="I81" i="2"/>
  <c r="J81" i="2"/>
  <c r="K81" i="2"/>
  <c r="L81" i="2"/>
  <c r="O81" i="2"/>
  <c r="P81" i="2"/>
  <c r="Q81" i="2"/>
  <c r="T81" i="2"/>
  <c r="U81" i="2"/>
  <c r="V81" i="2"/>
  <c r="Y81" i="2"/>
  <c r="Z81" i="2"/>
  <c r="AA81" i="2"/>
  <c r="AD81" i="2"/>
  <c r="AE81" i="2"/>
  <c r="AF81" i="2"/>
  <c r="AI81" i="2"/>
  <c r="AJ81" i="2"/>
  <c r="AK81" i="2"/>
  <c r="AL81" i="2"/>
  <c r="AN81" i="2"/>
  <c r="AO81" i="2"/>
  <c r="AP81" i="2"/>
  <c r="AQ81" i="2"/>
  <c r="AS81" i="2"/>
  <c r="AT81" i="2"/>
  <c r="AU81" i="2"/>
  <c r="N83" i="2"/>
  <c r="S83" i="2"/>
  <c r="X83" i="2"/>
  <c r="AC83" i="2"/>
  <c r="AH83" i="2"/>
  <c r="J87" i="2"/>
  <c r="K87" i="2"/>
  <c r="L87" i="2"/>
  <c r="M87" i="2"/>
  <c r="N87" i="2"/>
  <c r="O87" i="2"/>
  <c r="P87" i="2"/>
  <c r="Q87" i="2"/>
  <c r="R87" i="2"/>
  <c r="S87" i="2"/>
  <c r="T87" i="2"/>
  <c r="U87" i="2"/>
  <c r="AS87" i="2"/>
  <c r="AT87" i="2"/>
  <c r="AU87" i="2"/>
  <c r="AV87" i="2"/>
  <c r="AW87" i="2"/>
  <c r="AX87" i="2"/>
  <c r="AY87" i="2"/>
  <c r="AZ87" i="2"/>
  <c r="BA87" i="2"/>
  <c r="BB87" i="2"/>
  <c r="BG87" i="2"/>
  <c r="BL87" i="2"/>
  <c r="C93" i="2"/>
  <c r="D93" i="2"/>
  <c r="E93" i="2"/>
  <c r="F93" i="2"/>
  <c r="G93" i="2"/>
  <c r="H93" i="2"/>
  <c r="I93" i="2"/>
  <c r="J93" i="2"/>
  <c r="K93" i="2"/>
  <c r="L93" i="2"/>
  <c r="M93" i="2"/>
  <c r="N93" i="2"/>
  <c r="O93" i="2"/>
  <c r="P93" i="2"/>
  <c r="Q93" i="2"/>
  <c r="R93" i="2"/>
  <c r="S93" i="2"/>
  <c r="T93" i="2"/>
  <c r="U93" i="2"/>
  <c r="V93" i="2"/>
  <c r="W93" i="2"/>
  <c r="X93" i="2"/>
  <c r="Y93" i="2"/>
  <c r="Z93" i="2"/>
  <c r="AA93" i="2"/>
  <c r="AB93" i="2"/>
  <c r="AC93" i="2"/>
  <c r="AD93" i="2"/>
  <c r="AE93" i="2"/>
  <c r="AF93" i="2"/>
  <c r="AG93" i="2"/>
  <c r="AH93" i="2"/>
  <c r="AI93" i="2"/>
  <c r="AJ93" i="2"/>
  <c r="AK93" i="2"/>
  <c r="AL93" i="2"/>
  <c r="AM93" i="2"/>
  <c r="AN93" i="2"/>
  <c r="AO93" i="2"/>
  <c r="AP93" i="2"/>
  <c r="AQ93" i="2"/>
  <c r="AR93" i="2"/>
  <c r="AS93" i="2"/>
  <c r="AT93" i="2"/>
  <c r="AU93" i="2"/>
  <c r="AV93" i="2"/>
  <c r="AW93" i="2"/>
  <c r="AX93" i="2"/>
  <c r="AY93" i="2"/>
  <c r="AZ93" i="2"/>
  <c r="BA93" i="2"/>
  <c r="BB93" i="2"/>
  <c r="BG93" i="2"/>
  <c r="BL93" i="2"/>
  <c r="C97" i="2"/>
  <c r="D97" i="2"/>
  <c r="E97" i="2"/>
  <c r="F97" i="2"/>
  <c r="G97" i="2"/>
  <c r="H97" i="2"/>
  <c r="K97" i="2"/>
  <c r="W97" i="2"/>
  <c r="Y97" i="2"/>
  <c r="Z97" i="2"/>
  <c r="AA97" i="2"/>
  <c r="AB97" i="2"/>
  <c r="AC97" i="2"/>
  <c r="AD97" i="2"/>
  <c r="AE97" i="2"/>
  <c r="AF97" i="2"/>
  <c r="AG97" i="2"/>
  <c r="AH97" i="2"/>
  <c r="AI97" i="2"/>
  <c r="AJ97" i="2"/>
  <c r="AK97" i="2"/>
  <c r="AL97" i="2"/>
  <c r="AM97" i="2"/>
  <c r="AN97" i="2"/>
  <c r="AO97" i="2"/>
  <c r="AP97" i="2"/>
  <c r="AQ97" i="2"/>
  <c r="AR97" i="2"/>
  <c r="AS97" i="2"/>
  <c r="AT97" i="2"/>
  <c r="AU97" i="2"/>
  <c r="AV97" i="2"/>
  <c r="AW97" i="2"/>
  <c r="AX97" i="2"/>
  <c r="AY97" i="2"/>
  <c r="AZ97" i="2"/>
  <c r="BA97" i="2"/>
  <c r="BB97" i="2"/>
  <c r="BG97" i="2"/>
  <c r="BL97" i="2"/>
  <c r="C103" i="2"/>
  <c r="D103" i="2"/>
  <c r="E103" i="2"/>
  <c r="F103" i="2"/>
  <c r="G103" i="2"/>
  <c r="H103" i="2"/>
  <c r="I103" i="2"/>
  <c r="J103" i="2"/>
  <c r="K103" i="2"/>
  <c r="Q103" i="2"/>
  <c r="R103" i="2"/>
  <c r="T103" i="2"/>
  <c r="U103" i="2"/>
  <c r="V103" i="2"/>
  <c r="W103" i="2"/>
  <c r="X103" i="2"/>
  <c r="Y103" i="2"/>
  <c r="Y104" i="2" s="1"/>
  <c r="Z103" i="2"/>
  <c r="Z104" i="2" s="1"/>
  <c r="AA103" i="2"/>
  <c r="AA104" i="2" s="1"/>
  <c r="AB103" i="2"/>
  <c r="AB104" i="2" s="1"/>
  <c r="AC103" i="2"/>
  <c r="AC104" i="2" s="1"/>
  <c r="AD103" i="2"/>
  <c r="AD104" i="2" s="1"/>
  <c r="AE103" i="2"/>
  <c r="AF103" i="2"/>
  <c r="AF104" i="2" s="1"/>
  <c r="AG103" i="2"/>
  <c r="AG104" i="2" s="1"/>
  <c r="AH103" i="2"/>
  <c r="AI103" i="2"/>
  <c r="AI104" i="2" s="1"/>
  <c r="AJ103" i="2"/>
  <c r="AK103" i="2"/>
  <c r="AK104" i="2" s="1"/>
  <c r="AL103" i="2"/>
  <c r="AL104" i="2" s="1"/>
  <c r="AM103" i="2"/>
  <c r="AM104" i="2" s="1"/>
  <c r="AN103" i="2"/>
  <c r="AO103" i="2"/>
  <c r="AO104" i="2" s="1"/>
  <c r="AP103" i="2"/>
  <c r="AQ103" i="2"/>
  <c r="AQ104" i="2" s="1"/>
  <c r="AR103" i="2"/>
  <c r="AS103" i="2"/>
  <c r="AT103" i="2"/>
  <c r="AT104" i="2" s="1"/>
  <c r="AU103" i="2"/>
  <c r="AU104" i="2" s="1"/>
  <c r="AV103" i="2"/>
  <c r="AV104" i="2" s="1"/>
  <c r="AW103" i="2"/>
  <c r="AW104" i="2" s="1"/>
  <c r="AX103" i="2"/>
  <c r="AX104" i="2" s="1"/>
  <c r="AY103" i="2"/>
  <c r="AY104" i="2" s="1"/>
  <c r="AZ103" i="2"/>
  <c r="BA103" i="2"/>
  <c r="BB103" i="2"/>
  <c r="BG103" i="2"/>
  <c r="BL103" i="2"/>
  <c r="C143" i="2"/>
  <c r="C168" i="2"/>
  <c r="D168" i="2"/>
  <c r="E168" i="2"/>
  <c r="F168" i="2"/>
  <c r="G168" i="2"/>
  <c r="G190" i="2" s="1"/>
  <c r="H168" i="2"/>
  <c r="I168" i="2"/>
  <c r="J168" i="2"/>
  <c r="J221" i="2" s="1"/>
  <c r="K168" i="2"/>
  <c r="L168" i="2"/>
  <c r="L190" i="2" s="1"/>
  <c r="O168" i="2"/>
  <c r="O190" i="2" s="1"/>
  <c r="P168" i="2"/>
  <c r="Q168" i="2"/>
  <c r="T168" i="2"/>
  <c r="T190" i="2" s="1"/>
  <c r="U168" i="2"/>
  <c r="U190" i="2" s="1"/>
  <c r="V168" i="2"/>
  <c r="V190" i="2" s="1"/>
  <c r="V191" i="2" s="1"/>
  <c r="Y168" i="2"/>
  <c r="Z168" i="2"/>
  <c r="AA168" i="2"/>
  <c r="AD168" i="2"/>
  <c r="AE168" i="2"/>
  <c r="AF168" i="2"/>
  <c r="AF190" i="2" s="1"/>
  <c r="AI168" i="2"/>
  <c r="AI190" i="2" s="1"/>
  <c r="AJ168" i="2"/>
  <c r="AK168" i="2"/>
  <c r="AK190" i="2" s="1"/>
  <c r="AL168" i="2"/>
  <c r="AN168" i="2"/>
  <c r="AN190" i="2" s="1"/>
  <c r="AO168" i="2"/>
  <c r="AP168" i="2"/>
  <c r="AQ168" i="2"/>
  <c r="AQ190" i="2" s="1"/>
  <c r="AS168" i="2"/>
  <c r="AT168" i="2"/>
  <c r="AU168" i="2"/>
  <c r="C169" i="2"/>
  <c r="C255" i="2" s="1"/>
  <c r="D169" i="2"/>
  <c r="E169" i="2"/>
  <c r="F169" i="2"/>
  <c r="G169" i="2"/>
  <c r="H169" i="2"/>
  <c r="I169" i="2"/>
  <c r="J169" i="2"/>
  <c r="K169" i="2"/>
  <c r="L169" i="2"/>
  <c r="M169" i="2"/>
  <c r="N169" i="2"/>
  <c r="O169" i="2"/>
  <c r="P169" i="2"/>
  <c r="Q169" i="2"/>
  <c r="T169" i="2"/>
  <c r="U169" i="2"/>
  <c r="V169" i="2"/>
  <c r="Y169" i="2"/>
  <c r="Z169" i="2"/>
  <c r="AA169" i="2"/>
  <c r="AD169" i="2"/>
  <c r="AE169" i="2"/>
  <c r="AF169" i="2"/>
  <c r="AI169" i="2"/>
  <c r="AJ169" i="2"/>
  <c r="AK169" i="2"/>
  <c r="AL169" i="2"/>
  <c r="AN169" i="2"/>
  <c r="AO169" i="2"/>
  <c r="AP169" i="2"/>
  <c r="AQ169" i="2"/>
  <c r="AS169" i="2"/>
  <c r="AT169" i="2"/>
  <c r="AU169" i="2"/>
  <c r="C170" i="2"/>
  <c r="C256" i="2" s="1"/>
  <c r="D170" i="2"/>
  <c r="E170" i="2"/>
  <c r="F170" i="2"/>
  <c r="G170" i="2"/>
  <c r="H170" i="2"/>
  <c r="I170" i="2"/>
  <c r="J170" i="2"/>
  <c r="K170" i="2"/>
  <c r="L170" i="2"/>
  <c r="M170" i="2"/>
  <c r="N170" i="2"/>
  <c r="O170" i="2"/>
  <c r="P170" i="2"/>
  <c r="Q170" i="2"/>
  <c r="T170" i="2"/>
  <c r="U170" i="2"/>
  <c r="V170" i="2"/>
  <c r="Y170" i="2"/>
  <c r="Z170" i="2"/>
  <c r="AA170" i="2"/>
  <c r="AD170" i="2"/>
  <c r="AE170" i="2"/>
  <c r="AF170" i="2"/>
  <c r="AI170" i="2"/>
  <c r="AJ170" i="2"/>
  <c r="AJ223" i="2" s="1"/>
  <c r="AK170" i="2"/>
  <c r="AL170" i="2"/>
  <c r="AN170" i="2"/>
  <c r="AO170" i="2"/>
  <c r="AP170" i="2"/>
  <c r="AQ170" i="2"/>
  <c r="AS170" i="2"/>
  <c r="AS223" i="2" s="1"/>
  <c r="AT170" i="2"/>
  <c r="AT223" i="2" s="1"/>
  <c r="AU170" i="2"/>
  <c r="C171" i="2"/>
  <c r="D171" i="2"/>
  <c r="E171" i="2"/>
  <c r="F171" i="2"/>
  <c r="G171" i="2"/>
  <c r="H171" i="2"/>
  <c r="I171" i="2"/>
  <c r="J171" i="2"/>
  <c r="K171" i="2"/>
  <c r="L171" i="2"/>
  <c r="M171" i="2"/>
  <c r="N171" i="2"/>
  <c r="O171" i="2"/>
  <c r="P171" i="2"/>
  <c r="Q171" i="2"/>
  <c r="T171" i="2"/>
  <c r="U171" i="2"/>
  <c r="V171" i="2"/>
  <c r="Y171" i="2"/>
  <c r="Z171" i="2"/>
  <c r="AA171" i="2"/>
  <c r="AD171" i="2"/>
  <c r="AE171" i="2"/>
  <c r="AF171" i="2"/>
  <c r="AI171" i="2"/>
  <c r="AJ171" i="2"/>
  <c r="AK171" i="2"/>
  <c r="AL171" i="2"/>
  <c r="AN171" i="2"/>
  <c r="AO171" i="2"/>
  <c r="AP171" i="2"/>
  <c r="AQ171" i="2"/>
  <c r="AS171" i="2"/>
  <c r="AT171" i="2"/>
  <c r="AU171" i="2"/>
  <c r="G172" i="2"/>
  <c r="H172" i="2"/>
  <c r="I172" i="2"/>
  <c r="J172" i="2"/>
  <c r="K172" i="2"/>
  <c r="L172" i="2"/>
  <c r="O172" i="2"/>
  <c r="P172" i="2"/>
  <c r="Q172" i="2"/>
  <c r="G173" i="2"/>
  <c r="H173" i="2"/>
  <c r="I173" i="2"/>
  <c r="J173" i="2"/>
  <c r="K173" i="2"/>
  <c r="L173" i="2"/>
  <c r="O173" i="2"/>
  <c r="T259" i="2" s="1"/>
  <c r="P173" i="2"/>
  <c r="U259" i="2" s="1"/>
  <c r="Q173" i="2"/>
  <c r="G174" i="2"/>
  <c r="H174" i="2"/>
  <c r="I174" i="2"/>
  <c r="J174" i="2"/>
  <c r="K174" i="2"/>
  <c r="L174" i="2"/>
  <c r="O174" i="2"/>
  <c r="P174" i="2"/>
  <c r="Q174" i="2"/>
  <c r="V260" i="2" s="1"/>
  <c r="G175" i="2"/>
  <c r="H175" i="2"/>
  <c r="I175" i="2"/>
  <c r="J175" i="2"/>
  <c r="K175" i="2"/>
  <c r="L175" i="2"/>
  <c r="O175" i="2"/>
  <c r="P175" i="2"/>
  <c r="U261" i="2" s="1"/>
  <c r="Q175" i="2"/>
  <c r="C176" i="2"/>
  <c r="C246" i="2" s="1"/>
  <c r="D176" i="2"/>
  <c r="E176" i="2"/>
  <c r="F176" i="2"/>
  <c r="G176" i="2"/>
  <c r="H176" i="2"/>
  <c r="C177" i="2"/>
  <c r="D177" i="2"/>
  <c r="E177" i="2"/>
  <c r="F177" i="2"/>
  <c r="G177" i="2"/>
  <c r="H177" i="2"/>
  <c r="C178" i="2"/>
  <c r="C264" i="2" s="1"/>
  <c r="C180" i="2"/>
  <c r="D180" i="2"/>
  <c r="E180" i="2"/>
  <c r="F180" i="2"/>
  <c r="G180" i="2"/>
  <c r="H180" i="2"/>
  <c r="I180" i="2"/>
  <c r="J180" i="2"/>
  <c r="K180" i="2"/>
  <c r="L180" i="2"/>
  <c r="O180" i="2"/>
  <c r="P180" i="2"/>
  <c r="Q180" i="2"/>
  <c r="T180" i="2"/>
  <c r="U180" i="2"/>
  <c r="V180" i="2"/>
  <c r="Y180" i="2"/>
  <c r="Z180" i="2"/>
  <c r="AA180" i="2"/>
  <c r="AD180" i="2"/>
  <c r="AE180" i="2"/>
  <c r="AF180" i="2"/>
  <c r="AI180" i="2"/>
  <c r="AJ180" i="2"/>
  <c r="AK180" i="2"/>
  <c r="AL180" i="2"/>
  <c r="AN180" i="2"/>
  <c r="AO180" i="2"/>
  <c r="AP180" i="2"/>
  <c r="AQ180" i="2"/>
  <c r="AS180" i="2"/>
  <c r="AT180" i="2"/>
  <c r="AU180" i="2"/>
  <c r="C181" i="2"/>
  <c r="C267" i="2" s="1"/>
  <c r="D181" i="2"/>
  <c r="E181" i="2"/>
  <c r="F181" i="2"/>
  <c r="G181" i="2"/>
  <c r="H181" i="2"/>
  <c r="I181" i="2"/>
  <c r="J181" i="2"/>
  <c r="K181" i="2"/>
  <c r="L181" i="2"/>
  <c r="O181" i="2"/>
  <c r="P181" i="2"/>
  <c r="Q181" i="2"/>
  <c r="T181" i="2"/>
  <c r="U181" i="2"/>
  <c r="V181" i="2"/>
  <c r="Y181" i="2"/>
  <c r="Z181" i="2"/>
  <c r="AA181" i="2"/>
  <c r="AD181" i="2"/>
  <c r="AE181" i="2"/>
  <c r="AF181" i="2"/>
  <c r="AI181" i="2"/>
  <c r="AJ181" i="2"/>
  <c r="AK181" i="2"/>
  <c r="AL181" i="2"/>
  <c r="AN181" i="2"/>
  <c r="AO181" i="2"/>
  <c r="AP181" i="2"/>
  <c r="AQ181" i="2"/>
  <c r="AS181" i="2"/>
  <c r="AT181" i="2"/>
  <c r="AU181" i="2"/>
  <c r="C182" i="2"/>
  <c r="D182" i="2"/>
  <c r="E182" i="2"/>
  <c r="F182" i="2"/>
  <c r="G182" i="2"/>
  <c r="H182" i="2"/>
  <c r="I182" i="2"/>
  <c r="J182" i="2"/>
  <c r="K182" i="2"/>
  <c r="L182" i="2"/>
  <c r="M182" i="2"/>
  <c r="N182" i="2"/>
  <c r="O182" i="2"/>
  <c r="T182" i="2"/>
  <c r="T48" i="3" s="1"/>
  <c r="Y182" i="2"/>
  <c r="Y48" i="3" s="1"/>
  <c r="Z182" i="2"/>
  <c r="Z48" i="3" s="1"/>
  <c r="AA182" i="2"/>
  <c r="AA48" i="3" s="1"/>
  <c r="AD182" i="2"/>
  <c r="AD48" i="3" s="1"/>
  <c r="AE182" i="2"/>
  <c r="AE48" i="3" s="1"/>
  <c r="AF182" i="2"/>
  <c r="AF48" i="3" s="1"/>
  <c r="AS182" i="2"/>
  <c r="AS48" i="3" s="1"/>
  <c r="C183" i="2"/>
  <c r="D183" i="2"/>
  <c r="E183" i="2"/>
  <c r="F183" i="2"/>
  <c r="G183" i="2"/>
  <c r="H183" i="2"/>
  <c r="I183" i="2"/>
  <c r="J183" i="2"/>
  <c r="K183" i="2"/>
  <c r="L183" i="2"/>
  <c r="O183" i="2"/>
  <c r="P183" i="2"/>
  <c r="Q183" i="2"/>
  <c r="T183" i="2"/>
  <c r="U183" i="2"/>
  <c r="V183" i="2"/>
  <c r="Y183" i="2"/>
  <c r="Z183" i="2"/>
  <c r="AA183" i="2"/>
  <c r="AD183" i="2"/>
  <c r="AE183" i="2"/>
  <c r="AF183" i="2"/>
  <c r="AI183" i="2"/>
  <c r="AJ183" i="2"/>
  <c r="AK183" i="2"/>
  <c r="AL183" i="2"/>
  <c r="AN183" i="2"/>
  <c r="AO183" i="2"/>
  <c r="AP183" i="2"/>
  <c r="AQ183" i="2"/>
  <c r="AS183" i="2"/>
  <c r="AT183" i="2"/>
  <c r="AU183" i="2"/>
  <c r="C184" i="2"/>
  <c r="D184" i="2"/>
  <c r="E184" i="2"/>
  <c r="F184" i="2"/>
  <c r="G184" i="2"/>
  <c r="H184" i="2"/>
  <c r="I184" i="2"/>
  <c r="J184" i="2"/>
  <c r="K184" i="2"/>
  <c r="L184" i="2"/>
  <c r="M184" i="2"/>
  <c r="N184" i="2"/>
  <c r="O184" i="2"/>
  <c r="P184" i="2"/>
  <c r="Q184" i="2"/>
  <c r="T184" i="2"/>
  <c r="U184" i="2"/>
  <c r="V184" i="2"/>
  <c r="Y184" i="2"/>
  <c r="Z184" i="2"/>
  <c r="AA184" i="2"/>
  <c r="AD184" i="2"/>
  <c r="AE184" i="2"/>
  <c r="AF184" i="2"/>
  <c r="AI184" i="2"/>
  <c r="AJ184" i="2"/>
  <c r="AK184" i="2"/>
  <c r="AL184" i="2"/>
  <c r="AN184" i="2"/>
  <c r="AO184" i="2"/>
  <c r="AP184" i="2"/>
  <c r="AQ184" i="2"/>
  <c r="AS184" i="2"/>
  <c r="AT184" i="2"/>
  <c r="AU184" i="2"/>
  <c r="C185" i="2"/>
  <c r="D185" i="2"/>
  <c r="E185" i="2"/>
  <c r="F185" i="2"/>
  <c r="G185" i="2"/>
  <c r="H185" i="2"/>
  <c r="I185" i="2"/>
  <c r="O185" i="2"/>
  <c r="T185" i="2"/>
  <c r="Y185" i="2"/>
  <c r="Z185" i="2"/>
  <c r="AA185" i="2"/>
  <c r="AD185" i="2"/>
  <c r="AE185" i="2"/>
  <c r="AF185" i="2"/>
  <c r="AI185" i="2"/>
  <c r="AJ185" i="2"/>
  <c r="AK185" i="2"/>
  <c r="C186" i="2"/>
  <c r="C268" i="2" s="1"/>
  <c r="N189" i="2"/>
  <c r="N87" i="17" s="1"/>
  <c r="S189" i="2"/>
  <c r="S87" i="17" s="1"/>
  <c r="X189" i="2"/>
  <c r="X87" i="17" s="1"/>
  <c r="AC189" i="2"/>
  <c r="AC87" i="17" s="1"/>
  <c r="AH189" i="2"/>
  <c r="AH87" i="17" s="1"/>
  <c r="AM189" i="2"/>
  <c r="AM87" i="17" s="1"/>
  <c r="C225" i="2"/>
  <c r="D225" i="2"/>
  <c r="E225" i="2"/>
  <c r="F225" i="2"/>
  <c r="C226" i="2"/>
  <c r="D226" i="2"/>
  <c r="E226" i="2"/>
  <c r="F226" i="2"/>
  <c r="C227" i="2"/>
  <c r="D227" i="2"/>
  <c r="E227" i="2"/>
  <c r="F227" i="2"/>
  <c r="C228" i="2"/>
  <c r="D228" i="2"/>
  <c r="E228" i="2"/>
  <c r="F228" i="2"/>
  <c r="I229" i="2"/>
  <c r="J229" i="2"/>
  <c r="K229" i="2"/>
  <c r="L229" i="2"/>
  <c r="M229" i="2"/>
  <c r="N229" i="2"/>
  <c r="O229" i="2"/>
  <c r="P229" i="2"/>
  <c r="Q229" i="2"/>
  <c r="R229" i="2"/>
  <c r="S229" i="2"/>
  <c r="I230" i="2"/>
  <c r="J230" i="2"/>
  <c r="K230" i="2"/>
  <c r="L230" i="2"/>
  <c r="M230" i="2"/>
  <c r="N230" i="2"/>
  <c r="O230" i="2"/>
  <c r="P230" i="2"/>
  <c r="Q230" i="2"/>
  <c r="R230" i="2"/>
  <c r="S230" i="2"/>
  <c r="C242" i="2"/>
  <c r="D242" i="2"/>
  <c r="E242" i="2"/>
  <c r="F242" i="2"/>
  <c r="Y242" i="2"/>
  <c r="Z242" i="2"/>
  <c r="AA242" i="2"/>
  <c r="AB242" i="2"/>
  <c r="AC242" i="2"/>
  <c r="AD242" i="2"/>
  <c r="AE242" i="2"/>
  <c r="AF242" i="2"/>
  <c r="AG242" i="2"/>
  <c r="AH242" i="2"/>
  <c r="AI242" i="2"/>
  <c r="AJ242" i="2"/>
  <c r="AK242" i="2"/>
  <c r="AL242" i="2"/>
  <c r="AM242" i="2"/>
  <c r="AN242" i="2"/>
  <c r="AO242" i="2"/>
  <c r="AP242" i="2"/>
  <c r="AQ242" i="2"/>
  <c r="AR242" i="2"/>
  <c r="AW242" i="2"/>
  <c r="BB242" i="2"/>
  <c r="BG242" i="2"/>
  <c r="BL242" i="2"/>
  <c r="C243" i="2"/>
  <c r="D243" i="2"/>
  <c r="E243" i="2"/>
  <c r="F243" i="2"/>
  <c r="Y243" i="2"/>
  <c r="Z243" i="2"/>
  <c r="AA243" i="2"/>
  <c r="AB243" i="2"/>
  <c r="AC243" i="2"/>
  <c r="AD243" i="2"/>
  <c r="AE243" i="2"/>
  <c r="AF243" i="2"/>
  <c r="AG243" i="2"/>
  <c r="AH243" i="2"/>
  <c r="AI243" i="2"/>
  <c r="AJ243" i="2"/>
  <c r="AK243" i="2"/>
  <c r="AL243" i="2"/>
  <c r="AM243" i="2"/>
  <c r="AN243" i="2"/>
  <c r="AO243" i="2"/>
  <c r="AP243" i="2"/>
  <c r="AQ243" i="2"/>
  <c r="AR243" i="2"/>
  <c r="AW243" i="2"/>
  <c r="BB243" i="2"/>
  <c r="BG243" i="2"/>
  <c r="BL243" i="2"/>
  <c r="C244" i="2"/>
  <c r="D244" i="2"/>
  <c r="E244" i="2"/>
  <c r="F244" i="2"/>
  <c r="Y244" i="2"/>
  <c r="Z244" i="2"/>
  <c r="AA244" i="2"/>
  <c r="AB244" i="2"/>
  <c r="AC244" i="2"/>
  <c r="AD244" i="2"/>
  <c r="AE244" i="2"/>
  <c r="AF244" i="2"/>
  <c r="AG244" i="2"/>
  <c r="AH244" i="2"/>
  <c r="AI244" i="2"/>
  <c r="AJ244" i="2"/>
  <c r="AK244" i="2"/>
  <c r="AL244" i="2"/>
  <c r="AM244" i="2"/>
  <c r="AN244" i="2"/>
  <c r="AO244" i="2"/>
  <c r="AP244" i="2"/>
  <c r="AQ244" i="2"/>
  <c r="AR244" i="2"/>
  <c r="AW244" i="2"/>
  <c r="BB244" i="2"/>
  <c r="BG244" i="2"/>
  <c r="BL244" i="2"/>
  <c r="C245" i="2"/>
  <c r="D245" i="2"/>
  <c r="E245" i="2"/>
  <c r="F245" i="2"/>
  <c r="Y245" i="2"/>
  <c r="Z245" i="2"/>
  <c r="AA245" i="2"/>
  <c r="AB245" i="2"/>
  <c r="AC245" i="2"/>
  <c r="AD245" i="2"/>
  <c r="AE245" i="2"/>
  <c r="AF245" i="2"/>
  <c r="AG245" i="2"/>
  <c r="AH245" i="2"/>
  <c r="AI245" i="2"/>
  <c r="AJ245" i="2"/>
  <c r="AK245" i="2"/>
  <c r="AL245" i="2"/>
  <c r="AM245" i="2"/>
  <c r="AN245" i="2"/>
  <c r="AO245" i="2"/>
  <c r="AP245" i="2"/>
  <c r="AQ245" i="2"/>
  <c r="AR245" i="2"/>
  <c r="AW245" i="2"/>
  <c r="BB245" i="2"/>
  <c r="BG245" i="2"/>
  <c r="BL245" i="2"/>
  <c r="N246" i="2"/>
  <c r="O246" i="2"/>
  <c r="P246" i="2"/>
  <c r="Q246" i="2"/>
  <c r="R246" i="2"/>
  <c r="S246" i="2"/>
  <c r="T246" i="2"/>
  <c r="U246" i="2"/>
  <c r="V246" i="2"/>
  <c r="W246" i="2"/>
  <c r="X246" i="2"/>
  <c r="Y246" i="2"/>
  <c r="Z246" i="2"/>
  <c r="AA246" i="2"/>
  <c r="AB246" i="2"/>
  <c r="AC246" i="2"/>
  <c r="AD246" i="2"/>
  <c r="AE246" i="2"/>
  <c r="AF246" i="2"/>
  <c r="AG246" i="2"/>
  <c r="AH246" i="2"/>
  <c r="AI246" i="2"/>
  <c r="AJ246" i="2"/>
  <c r="AK246" i="2"/>
  <c r="AL246" i="2"/>
  <c r="AM246" i="2"/>
  <c r="AN246" i="2"/>
  <c r="AO246" i="2"/>
  <c r="AP246" i="2"/>
  <c r="AQ246" i="2"/>
  <c r="AR246" i="2"/>
  <c r="AW246" i="2"/>
  <c r="BB246" i="2"/>
  <c r="BG246" i="2"/>
  <c r="BL246" i="2"/>
  <c r="N247" i="2"/>
  <c r="O247" i="2"/>
  <c r="P247" i="2"/>
  <c r="Q247" i="2"/>
  <c r="R247" i="2"/>
  <c r="S247" i="2"/>
  <c r="T247" i="2"/>
  <c r="U247" i="2"/>
  <c r="V247" i="2"/>
  <c r="W247" i="2"/>
  <c r="X247" i="2"/>
  <c r="Y247" i="2"/>
  <c r="Z247" i="2"/>
  <c r="AA247" i="2"/>
  <c r="AB247" i="2"/>
  <c r="AC247" i="2"/>
  <c r="AD247" i="2"/>
  <c r="AE247" i="2"/>
  <c r="AF247" i="2"/>
  <c r="AG247" i="2"/>
  <c r="AH247" i="2"/>
  <c r="AI247" i="2"/>
  <c r="AJ247" i="2"/>
  <c r="AK247" i="2"/>
  <c r="AL247" i="2"/>
  <c r="AM247" i="2"/>
  <c r="AN247" i="2"/>
  <c r="AO247" i="2"/>
  <c r="AP247" i="2"/>
  <c r="AQ247" i="2"/>
  <c r="AR247" i="2"/>
  <c r="AW247" i="2"/>
  <c r="BB247" i="2"/>
  <c r="BG247" i="2"/>
  <c r="BL247" i="2"/>
  <c r="U276" i="2"/>
  <c r="V276" i="2"/>
  <c r="W276" i="2"/>
  <c r="Y276" i="2"/>
  <c r="Z276" i="2"/>
  <c r="AA276" i="2"/>
  <c r="AB276" i="2"/>
  <c r="AD276" i="2"/>
  <c r="AE276" i="2"/>
  <c r="AF276" i="2"/>
  <c r="AG276" i="2"/>
  <c r="AI276" i="2"/>
  <c r="AJ276" i="2"/>
  <c r="AK276" i="2"/>
  <c r="AL276" i="2"/>
  <c r="AN276" i="2"/>
  <c r="AO276" i="2"/>
  <c r="AP276" i="2"/>
  <c r="AQ276" i="2"/>
  <c r="AS276" i="2"/>
  <c r="AT276" i="2"/>
  <c r="AU276" i="2"/>
  <c r="AV276" i="2"/>
  <c r="AX276" i="2"/>
  <c r="AY276" i="2"/>
  <c r="AZ276" i="2"/>
  <c r="BA276" i="2"/>
  <c r="U277" i="2"/>
  <c r="V277" i="2"/>
  <c r="W277" i="2"/>
  <c r="Y277" i="2"/>
  <c r="Z277" i="2"/>
  <c r="AA277" i="2"/>
  <c r="AB277" i="2"/>
  <c r="AD277" i="2"/>
  <c r="AE277" i="2"/>
  <c r="AF277" i="2"/>
  <c r="AG277" i="2"/>
  <c r="AI277" i="2"/>
  <c r="AJ277" i="2"/>
  <c r="AK277" i="2"/>
  <c r="AL277" i="2"/>
  <c r="AN277" i="2"/>
  <c r="AO277" i="2"/>
  <c r="AP277" i="2"/>
  <c r="AQ277" i="2"/>
  <c r="AS277" i="2"/>
  <c r="AT277" i="2"/>
  <c r="AU277" i="2"/>
  <c r="AV277" i="2"/>
  <c r="AX277" i="2"/>
  <c r="AY277" i="2"/>
  <c r="AZ277" i="2"/>
  <c r="BA277" i="2"/>
  <c r="U278" i="2"/>
  <c r="V278" i="2"/>
  <c r="W278" i="2"/>
  <c r="Y278" i="2"/>
  <c r="Z278" i="2"/>
  <c r="AA278" i="2"/>
  <c r="AB278" i="2"/>
  <c r="AD278" i="2"/>
  <c r="AE278" i="2"/>
  <c r="AF278" i="2"/>
  <c r="AG278" i="2"/>
  <c r="AI278" i="2"/>
  <c r="AJ278" i="2"/>
  <c r="AK278" i="2"/>
  <c r="AL278" i="2"/>
  <c r="AN278" i="2"/>
  <c r="AO278" i="2"/>
  <c r="AP278" i="2"/>
  <c r="AQ278" i="2"/>
  <c r="AS278" i="2"/>
  <c r="AT278" i="2"/>
  <c r="AU278" i="2"/>
  <c r="AV278" i="2"/>
  <c r="AX278" i="2"/>
  <c r="AY278" i="2"/>
  <c r="AZ278" i="2"/>
  <c r="BA278" i="2"/>
  <c r="U279" i="2"/>
  <c r="V279" i="2"/>
  <c r="W279" i="2"/>
  <c r="Y279" i="2"/>
  <c r="Z279" i="2"/>
  <c r="AA279" i="2"/>
  <c r="AB279" i="2"/>
  <c r="AD279" i="2"/>
  <c r="AE279" i="2"/>
  <c r="AF279" i="2"/>
  <c r="AG279" i="2"/>
  <c r="AI279" i="2"/>
  <c r="AJ279" i="2"/>
  <c r="AK279" i="2"/>
  <c r="AL279" i="2"/>
  <c r="AN279" i="2"/>
  <c r="AO279" i="2"/>
  <c r="AP279" i="2"/>
  <c r="AQ279" i="2"/>
  <c r="AS279" i="2"/>
  <c r="AT279" i="2"/>
  <c r="AU279" i="2"/>
  <c r="AV279" i="2"/>
  <c r="AX279" i="2"/>
  <c r="AY279" i="2"/>
  <c r="AZ279" i="2"/>
  <c r="BA279" i="2"/>
  <c r="K280" i="2"/>
  <c r="L280" i="2"/>
  <c r="M280" i="2"/>
  <c r="O280" i="2"/>
  <c r="P280" i="2"/>
  <c r="Q280" i="2"/>
  <c r="R280" i="2"/>
  <c r="T280" i="2"/>
  <c r="U280" i="2"/>
  <c r="V280" i="2"/>
  <c r="W280" i="2"/>
  <c r="Y280" i="2"/>
  <c r="Z280" i="2"/>
  <c r="AA280" i="2"/>
  <c r="AB280" i="2"/>
  <c r="AD280" i="2"/>
  <c r="AE280" i="2"/>
  <c r="AF280" i="2"/>
  <c r="AG280" i="2"/>
  <c r="AI280" i="2"/>
  <c r="AJ280" i="2"/>
  <c r="AK280" i="2"/>
  <c r="AL280" i="2"/>
  <c r="AN280" i="2"/>
  <c r="AO280" i="2"/>
  <c r="AP280" i="2"/>
  <c r="AQ280" i="2"/>
  <c r="AS280" i="2"/>
  <c r="AT280" i="2"/>
  <c r="AU280" i="2"/>
  <c r="AV280" i="2"/>
  <c r="AX280" i="2"/>
  <c r="AY280" i="2"/>
  <c r="AZ280" i="2"/>
  <c r="BA280" i="2"/>
  <c r="K281" i="2"/>
  <c r="L281" i="2"/>
  <c r="M281" i="2"/>
  <c r="O281" i="2"/>
  <c r="P281" i="2"/>
  <c r="Q281" i="2"/>
  <c r="R281" i="2"/>
  <c r="T281" i="2"/>
  <c r="U281" i="2"/>
  <c r="V281" i="2"/>
  <c r="W281" i="2"/>
  <c r="Y281" i="2"/>
  <c r="Z281" i="2"/>
  <c r="AA281" i="2"/>
  <c r="AB281" i="2"/>
  <c r="AD281" i="2"/>
  <c r="AE281" i="2"/>
  <c r="AF281" i="2"/>
  <c r="AG281" i="2"/>
  <c r="AI281" i="2"/>
  <c r="AJ281" i="2"/>
  <c r="AK281" i="2"/>
  <c r="AL281" i="2"/>
  <c r="AN281" i="2"/>
  <c r="AO281" i="2"/>
  <c r="AP281" i="2"/>
  <c r="AQ281" i="2"/>
  <c r="AS281" i="2"/>
  <c r="AT281" i="2"/>
  <c r="AU281" i="2"/>
  <c r="AV281" i="2"/>
  <c r="AX281" i="2"/>
  <c r="AY281" i="2"/>
  <c r="AZ281" i="2"/>
  <c r="BA281" i="2"/>
  <c r="C290" i="2"/>
  <c r="D290" i="2"/>
  <c r="E290" i="2"/>
  <c r="F290" i="2"/>
  <c r="G290" i="2"/>
  <c r="H290" i="2"/>
  <c r="I290" i="2"/>
  <c r="J290" i="2"/>
  <c r="K290" i="2"/>
  <c r="L290" i="2"/>
  <c r="O290" i="2"/>
  <c r="P290" i="2"/>
  <c r="Q290" i="2"/>
  <c r="T290" i="2"/>
  <c r="U290" i="2"/>
  <c r="V290" i="2"/>
  <c r="X290" i="2"/>
  <c r="Y290" i="2"/>
  <c r="Z290" i="2"/>
  <c r="AA290" i="2"/>
  <c r="AD290" i="2"/>
  <c r="AE290" i="2"/>
  <c r="AF290" i="2"/>
  <c r="AI290" i="2"/>
  <c r="AJ290" i="2"/>
  <c r="AK290" i="2"/>
  <c r="AL290" i="2"/>
  <c r="AM290" i="2" s="1"/>
  <c r="AN290" i="2"/>
  <c r="AO290" i="2"/>
  <c r="AP290" i="2"/>
  <c r="AQ290" i="2"/>
  <c r="AR290" i="2" s="1"/>
  <c r="AS290" i="2"/>
  <c r="AT290" i="2"/>
  <c r="AU290" i="2"/>
  <c r="AV290" i="2"/>
  <c r="AX290" i="2"/>
  <c r="AY290" i="2"/>
  <c r="AZ290" i="2"/>
  <c r="BA290" i="2"/>
  <c r="T291" i="2"/>
  <c r="U291" i="2"/>
  <c r="V291" i="2"/>
  <c r="X291" i="2"/>
  <c r="Y291" i="2"/>
  <c r="Z291" i="2"/>
  <c r="AA291" i="2"/>
  <c r="AD291" i="2"/>
  <c r="AE291" i="2"/>
  <c r="AF291" i="2"/>
  <c r="AI291" i="2"/>
  <c r="AJ291" i="2"/>
  <c r="AK291" i="2"/>
  <c r="AL291" i="2"/>
  <c r="AM291" i="2" s="1"/>
  <c r="AN291" i="2"/>
  <c r="AO291" i="2"/>
  <c r="AP291" i="2"/>
  <c r="AQ291" i="2"/>
  <c r="AR291" i="2" s="1"/>
  <c r="AS291" i="2"/>
  <c r="AT291" i="2"/>
  <c r="AU291" i="2"/>
  <c r="AV291" i="2"/>
  <c r="AX291" i="2"/>
  <c r="AY291" i="2"/>
  <c r="AZ291" i="2"/>
  <c r="BA291" i="2"/>
  <c r="T292" i="2"/>
  <c r="U292" i="2"/>
  <c r="V292" i="2"/>
  <c r="X292" i="2"/>
  <c r="Y292" i="2"/>
  <c r="Z292" i="2"/>
  <c r="AA292" i="2"/>
  <c r="AD292" i="2"/>
  <c r="AE292" i="2"/>
  <c r="AF292" i="2"/>
  <c r="AI292" i="2"/>
  <c r="AJ292" i="2"/>
  <c r="AK292" i="2"/>
  <c r="AL292" i="2"/>
  <c r="AM292" i="2" s="1"/>
  <c r="AN292" i="2"/>
  <c r="AO292" i="2"/>
  <c r="AP292" i="2"/>
  <c r="AQ292" i="2"/>
  <c r="AR292" i="2" s="1"/>
  <c r="AS292" i="2"/>
  <c r="AT292" i="2"/>
  <c r="AU292" i="2"/>
  <c r="AV292" i="2"/>
  <c r="AX292" i="2"/>
  <c r="AY292" i="2"/>
  <c r="AZ292" i="2"/>
  <c r="BA292" i="2"/>
  <c r="T293" i="2"/>
  <c r="U293" i="2"/>
  <c r="V293" i="2"/>
  <c r="X293" i="2"/>
  <c r="Y293" i="2"/>
  <c r="Z293" i="2"/>
  <c r="AA293" i="2"/>
  <c r="AD293" i="2"/>
  <c r="AE293" i="2"/>
  <c r="AF293" i="2"/>
  <c r="AI293" i="2"/>
  <c r="AJ293" i="2"/>
  <c r="AK293" i="2"/>
  <c r="AL293" i="2"/>
  <c r="AN293" i="2"/>
  <c r="AO293" i="2"/>
  <c r="AP293" i="2"/>
  <c r="AQ293" i="2"/>
  <c r="AR293" i="2" s="1"/>
  <c r="AS293" i="2"/>
  <c r="AT293" i="2"/>
  <c r="AU293" i="2"/>
  <c r="AV293" i="2"/>
  <c r="AX293" i="2"/>
  <c r="AY293" i="2"/>
  <c r="AZ293" i="2"/>
  <c r="BA293" i="2"/>
  <c r="I294" i="2"/>
  <c r="J294" i="2"/>
  <c r="K294" i="2"/>
  <c r="L294" i="2"/>
  <c r="O294" i="2"/>
  <c r="P294" i="2"/>
  <c r="Q294" i="2"/>
  <c r="I295" i="2"/>
  <c r="J295" i="2"/>
  <c r="K295" i="2"/>
  <c r="L295" i="2"/>
  <c r="O295" i="2"/>
  <c r="P295" i="2"/>
  <c r="Q295" i="2"/>
  <c r="I296" i="2"/>
  <c r="J296" i="2"/>
  <c r="K296" i="2"/>
  <c r="L296" i="2"/>
  <c r="O296" i="2"/>
  <c r="P296" i="2"/>
  <c r="Q296" i="2"/>
  <c r="I297" i="2"/>
  <c r="J297" i="2"/>
  <c r="K297" i="2"/>
  <c r="L297" i="2"/>
  <c r="O297" i="2"/>
  <c r="P297" i="2"/>
  <c r="Q297" i="2"/>
  <c r="D298" i="2"/>
  <c r="E298" i="2"/>
  <c r="F298" i="2"/>
  <c r="G298" i="2"/>
  <c r="H298" i="2"/>
  <c r="D299" i="2"/>
  <c r="E299" i="2"/>
  <c r="F299" i="2"/>
  <c r="G299" i="2"/>
  <c r="H299" i="2"/>
  <c r="C300" i="2"/>
  <c r="C303" i="2"/>
  <c r="D303" i="2"/>
  <c r="E303" i="2"/>
  <c r="F303" i="2"/>
  <c r="G303" i="2"/>
  <c r="H303" i="2"/>
  <c r="I303" i="2"/>
  <c r="J303" i="2"/>
  <c r="K303" i="2"/>
  <c r="L303" i="2"/>
  <c r="O303" i="2"/>
  <c r="P303" i="2"/>
  <c r="Q303" i="2"/>
  <c r="T303" i="2"/>
  <c r="U303" i="2"/>
  <c r="V303" i="2"/>
  <c r="Y303" i="2"/>
  <c r="Z303" i="2"/>
  <c r="AA303" i="2"/>
  <c r="AD303" i="2"/>
  <c r="AE303" i="2"/>
  <c r="AF303" i="2"/>
  <c r="AI303" i="2"/>
  <c r="AJ303" i="2"/>
  <c r="AK303" i="2"/>
  <c r="AL303" i="2"/>
  <c r="AM303" i="2" s="1"/>
  <c r="AN303" i="2"/>
  <c r="AO303" i="2"/>
  <c r="AP303" i="2"/>
  <c r="AQ303" i="2"/>
  <c r="AR303" i="2" s="1"/>
  <c r="AS303" i="2"/>
  <c r="AT303" i="2"/>
  <c r="AU303" i="2"/>
  <c r="AV303" i="2"/>
  <c r="AW303" i="2" s="1"/>
  <c r="AX303" i="2"/>
  <c r="AY303" i="2"/>
  <c r="AZ303" i="2"/>
  <c r="BA303" i="2"/>
  <c r="AD305" i="2"/>
  <c r="AE305" i="2"/>
  <c r="AI305" i="2"/>
  <c r="AJ305" i="2"/>
  <c r="AK305" i="2"/>
  <c r="AL305" i="2"/>
  <c r="C314" i="2"/>
  <c r="D314" i="2"/>
  <c r="E314" i="2"/>
  <c r="F314" i="2"/>
  <c r="F324" i="2" s="1"/>
  <c r="G314" i="2"/>
  <c r="G324" i="2" s="1"/>
  <c r="H314" i="2"/>
  <c r="H324" i="2" s="1"/>
  <c r="I314" i="2"/>
  <c r="I324" i="2" s="1"/>
  <c r="J314" i="2"/>
  <c r="K314" i="2"/>
  <c r="L314" i="2"/>
  <c r="N314" i="2"/>
  <c r="O314" i="2"/>
  <c r="P314" i="2"/>
  <c r="Q314" i="2"/>
  <c r="S314" i="2"/>
  <c r="T314" i="2"/>
  <c r="T324" i="2" s="1"/>
  <c r="U314" i="2"/>
  <c r="U324" i="2" s="1"/>
  <c r="V314" i="2"/>
  <c r="V324" i="2" s="1"/>
  <c r="X314" i="2"/>
  <c r="X324" i="2" s="1"/>
  <c r="Y314" i="2"/>
  <c r="Y324" i="2" s="1"/>
  <c r="Z314" i="2"/>
  <c r="Z324" i="2" s="1"/>
  <c r="AA314" i="2"/>
  <c r="AA324" i="2" s="1"/>
  <c r="AC314" i="2"/>
  <c r="AC324" i="2" s="1"/>
  <c r="AD314" i="2"/>
  <c r="AD324" i="2" s="1"/>
  <c r="AE314" i="2"/>
  <c r="AE324" i="2" s="1"/>
  <c r="AF314" i="2"/>
  <c r="AF324" i="2" s="1"/>
  <c r="AH314" i="2"/>
  <c r="AH324" i="2" s="1"/>
  <c r="AI314" i="2"/>
  <c r="AI324" i="2" s="1"/>
  <c r="AJ314" i="2"/>
  <c r="AJ324" i="2" s="1"/>
  <c r="AK314" i="2"/>
  <c r="AK324" i="2" s="1"/>
  <c r="AM314" i="2"/>
  <c r="AM324" i="2" s="1"/>
  <c r="AN314" i="2"/>
  <c r="AN324" i="2" s="1"/>
  <c r="AO314" i="2"/>
  <c r="AO324" i="2" s="1"/>
  <c r="AP314" i="2"/>
  <c r="AP324" i="2" s="1"/>
  <c r="AQ314" i="2"/>
  <c r="AQ324" i="2" s="1"/>
  <c r="AR314" i="2"/>
  <c r="AR324" i="2" s="1"/>
  <c r="AS314" i="2"/>
  <c r="AS324" i="2" s="1"/>
  <c r="AT314" i="2"/>
  <c r="AT324" i="2" s="1"/>
  <c r="AU314" i="2"/>
  <c r="AU324" i="2" s="1"/>
  <c r="AV314" i="2"/>
  <c r="AV324" i="2" s="1"/>
  <c r="AW314" i="2"/>
  <c r="AW324" i="2" s="1"/>
  <c r="AX314" i="2"/>
  <c r="AX324" i="2" s="1"/>
  <c r="AY314" i="2"/>
  <c r="AY324" i="2" s="1"/>
  <c r="AZ314" i="2"/>
  <c r="AZ324" i="2" s="1"/>
  <c r="BA314" i="2"/>
  <c r="BA324" i="2" s="1"/>
  <c r="BB314" i="2"/>
  <c r="BB324" i="2" s="1"/>
  <c r="BG314" i="2"/>
  <c r="BG324" i="2" s="1"/>
  <c r="C315" i="2"/>
  <c r="D315" i="2"/>
  <c r="E315" i="2"/>
  <c r="F315" i="2"/>
  <c r="F325" i="2" s="1"/>
  <c r="G315" i="2"/>
  <c r="G325" i="2" s="1"/>
  <c r="H315" i="2"/>
  <c r="H325" i="2" s="1"/>
  <c r="I315" i="2"/>
  <c r="I325" i="2" s="1"/>
  <c r="J315" i="2"/>
  <c r="K315" i="2"/>
  <c r="L315" i="2"/>
  <c r="N315" i="2"/>
  <c r="O315" i="2"/>
  <c r="P315" i="2"/>
  <c r="Q315" i="2"/>
  <c r="S315" i="2"/>
  <c r="T315" i="2"/>
  <c r="U315" i="2"/>
  <c r="V315" i="2"/>
  <c r="X315" i="2"/>
  <c r="Y315" i="2"/>
  <c r="Z315" i="2"/>
  <c r="AA315" i="2"/>
  <c r="AC315" i="2"/>
  <c r="AD315" i="2"/>
  <c r="AE315" i="2"/>
  <c r="AF315" i="2"/>
  <c r="AH315" i="2"/>
  <c r="AI315" i="2"/>
  <c r="AJ315" i="2"/>
  <c r="AK315" i="2"/>
  <c r="AM315" i="2"/>
  <c r="AN315" i="2"/>
  <c r="AO315" i="2"/>
  <c r="AP315" i="2"/>
  <c r="AR315" i="2"/>
  <c r="AS315" i="2"/>
  <c r="AT315" i="2"/>
  <c r="AU315" i="2"/>
  <c r="AV315" i="2"/>
  <c r="AX315" i="2"/>
  <c r="AY315" i="2"/>
  <c r="AZ315" i="2"/>
  <c r="BA315" i="2"/>
  <c r="C316" i="2"/>
  <c r="D316" i="2"/>
  <c r="E316" i="2"/>
  <c r="F316" i="2"/>
  <c r="F326" i="2" s="1"/>
  <c r="G316" i="2"/>
  <c r="G326" i="2" s="1"/>
  <c r="H316" i="2"/>
  <c r="H326" i="2" s="1"/>
  <c r="I316" i="2"/>
  <c r="I326" i="2" s="1"/>
  <c r="J316" i="2"/>
  <c r="K316" i="2"/>
  <c r="L316" i="2"/>
  <c r="N316" i="2"/>
  <c r="O316" i="2"/>
  <c r="P316" i="2"/>
  <c r="Q316" i="2"/>
  <c r="S316" i="2"/>
  <c r="T316" i="2"/>
  <c r="U316" i="2"/>
  <c r="V316" i="2"/>
  <c r="X316" i="2"/>
  <c r="Y316" i="2"/>
  <c r="Z316" i="2"/>
  <c r="AA316" i="2"/>
  <c r="AC316" i="2"/>
  <c r="AD316" i="2"/>
  <c r="AE316" i="2"/>
  <c r="AF316" i="2"/>
  <c r="AH316" i="2"/>
  <c r="AI316" i="2"/>
  <c r="AJ316" i="2"/>
  <c r="AK316" i="2"/>
  <c r="AM316" i="2"/>
  <c r="AN316" i="2"/>
  <c r="AN326" i="2" s="1"/>
  <c r="AO316" i="2"/>
  <c r="AO326" i="2" s="1"/>
  <c r="AP316" i="2"/>
  <c r="AP326" i="2" s="1"/>
  <c r="AR316" i="2"/>
  <c r="AR326" i="2" s="1"/>
  <c r="AS316" i="2"/>
  <c r="AT316" i="2"/>
  <c r="AU316" i="2"/>
  <c r="AV316" i="2"/>
  <c r="AX316" i="2"/>
  <c r="AY316" i="2"/>
  <c r="AZ316" i="2"/>
  <c r="BA316" i="2"/>
  <c r="C317" i="2"/>
  <c r="D317" i="2"/>
  <c r="E317" i="2"/>
  <c r="F317" i="2"/>
  <c r="F327" i="2" s="1"/>
  <c r="G317" i="2"/>
  <c r="G327" i="2" s="1"/>
  <c r="H317" i="2"/>
  <c r="H327" i="2" s="1"/>
  <c r="I317" i="2"/>
  <c r="I327" i="2" s="1"/>
  <c r="J317" i="2"/>
  <c r="K317" i="2"/>
  <c r="L317" i="2"/>
  <c r="N317" i="2"/>
  <c r="O317" i="2"/>
  <c r="P317" i="2"/>
  <c r="Q317" i="2"/>
  <c r="S317" i="2"/>
  <c r="T317" i="2"/>
  <c r="T327" i="2" s="1"/>
  <c r="U317" i="2"/>
  <c r="U327" i="2" s="1"/>
  <c r="V317" i="2"/>
  <c r="V327" i="2" s="1"/>
  <c r="X317" i="2"/>
  <c r="X327" i="2" s="1"/>
  <c r="Y317" i="2"/>
  <c r="Y327" i="2" s="1"/>
  <c r="Z317" i="2"/>
  <c r="Z327" i="2" s="1"/>
  <c r="AA317" i="2"/>
  <c r="AA327" i="2" s="1"/>
  <c r="AC317" i="2"/>
  <c r="AC327" i="2" s="1"/>
  <c r="AD317" i="2"/>
  <c r="AD327" i="2" s="1"/>
  <c r="AE317" i="2"/>
  <c r="AE327" i="2" s="1"/>
  <c r="AF317" i="2"/>
  <c r="AF327" i="2" s="1"/>
  <c r="AH317" i="2"/>
  <c r="AH327" i="2" s="1"/>
  <c r="AI317" i="2"/>
  <c r="AI327" i="2" s="1"/>
  <c r="AJ317" i="2"/>
  <c r="AJ327" i="2" s="1"/>
  <c r="AK317" i="2"/>
  <c r="AK327" i="2" s="1"/>
  <c r="AM317" i="2"/>
  <c r="AM327" i="2" s="1"/>
  <c r="AN317" i="2"/>
  <c r="AN327" i="2" s="1"/>
  <c r="AO317" i="2"/>
  <c r="AO327" i="2" s="1"/>
  <c r="AP317" i="2"/>
  <c r="AP327" i="2" s="1"/>
  <c r="AR317" i="2"/>
  <c r="AR327" i="2" s="1"/>
  <c r="AS317" i="2"/>
  <c r="AS327" i="2" s="1"/>
  <c r="AT317" i="2"/>
  <c r="AT327" i="2" s="1"/>
  <c r="AU317" i="2"/>
  <c r="AU327" i="2" s="1"/>
  <c r="AV317" i="2"/>
  <c r="AV327" i="2" s="1"/>
  <c r="AW317" i="2"/>
  <c r="AW327" i="2" s="1"/>
  <c r="AX317" i="2"/>
  <c r="AX327" i="2" s="1"/>
  <c r="AY317" i="2"/>
  <c r="AY327" i="2" s="1"/>
  <c r="AZ317" i="2"/>
  <c r="AZ327" i="2" s="1"/>
  <c r="BA317" i="2"/>
  <c r="BA327" i="2" s="1"/>
  <c r="BB317" i="2"/>
  <c r="BB327" i="2" s="1"/>
  <c r="BG317" i="2"/>
  <c r="BG327" i="2" s="1"/>
  <c r="C318" i="2"/>
  <c r="D318" i="2"/>
  <c r="E318" i="2"/>
  <c r="F318" i="2"/>
  <c r="F328" i="2" s="1"/>
  <c r="G318" i="2"/>
  <c r="G328" i="2" s="1"/>
  <c r="H318" i="2"/>
  <c r="H328" i="2" s="1"/>
  <c r="I318" i="2"/>
  <c r="I328" i="2" s="1"/>
  <c r="J318" i="2"/>
  <c r="K318" i="2"/>
  <c r="L318" i="2"/>
  <c r="N318" i="2"/>
  <c r="O318" i="2"/>
  <c r="P318" i="2"/>
  <c r="Q318" i="2"/>
  <c r="S318" i="2"/>
  <c r="T318" i="2"/>
  <c r="T328" i="2" s="1"/>
  <c r="U318" i="2"/>
  <c r="U328" i="2" s="1"/>
  <c r="V318" i="2"/>
  <c r="V328" i="2" s="1"/>
  <c r="X318" i="2"/>
  <c r="X328" i="2" s="1"/>
  <c r="Y318" i="2"/>
  <c r="Z318" i="2"/>
  <c r="AA318" i="2"/>
  <c r="AC318" i="2"/>
  <c r="AD318" i="2"/>
  <c r="AE318" i="2"/>
  <c r="AF318" i="2"/>
  <c r="AH318" i="2"/>
  <c r="AI318" i="2"/>
  <c r="AJ318" i="2"/>
  <c r="AK318" i="2"/>
  <c r="AM318" i="2"/>
  <c r="AN318" i="2"/>
  <c r="AO318" i="2"/>
  <c r="AP318" i="2"/>
  <c r="AR318" i="2"/>
  <c r="AS318" i="2"/>
  <c r="AT318" i="2"/>
  <c r="AU318" i="2"/>
  <c r="AV318" i="2"/>
  <c r="AX318" i="2"/>
  <c r="AY318" i="2"/>
  <c r="AZ318" i="2"/>
  <c r="BA318" i="2"/>
  <c r="C319" i="2"/>
  <c r="D319" i="2"/>
  <c r="E319" i="2"/>
  <c r="F319" i="2"/>
  <c r="G319" i="2"/>
  <c r="H319" i="2"/>
  <c r="I319" i="2"/>
  <c r="J319" i="2"/>
  <c r="K319" i="2"/>
  <c r="L319" i="2"/>
  <c r="N319" i="2"/>
  <c r="O319" i="2"/>
  <c r="P319" i="2"/>
  <c r="Q319" i="2"/>
  <c r="S319" i="2"/>
  <c r="T319" i="2"/>
  <c r="U319" i="2"/>
  <c r="V319" i="2"/>
  <c r="X319" i="2"/>
  <c r="Y319" i="2"/>
  <c r="Z319" i="2"/>
  <c r="AA319" i="2"/>
  <c r="AC319" i="2"/>
  <c r="AD319" i="2"/>
  <c r="AE319" i="2"/>
  <c r="AF319" i="2"/>
  <c r="AH319" i="2"/>
  <c r="AI319" i="2"/>
  <c r="AJ319" i="2"/>
  <c r="AK319" i="2"/>
  <c r="AM319" i="2"/>
  <c r="AN319" i="2"/>
  <c r="AO319" i="2"/>
  <c r="AP319" i="2"/>
  <c r="AR319" i="2"/>
  <c r="AS319" i="2"/>
  <c r="AT319" i="2"/>
  <c r="AU319" i="2"/>
  <c r="AV319" i="2" s="1"/>
  <c r="AX319" i="2"/>
  <c r="AY319" i="2"/>
  <c r="AZ319" i="2"/>
  <c r="BA319" i="2"/>
  <c r="C320" i="2"/>
  <c r="D320" i="2"/>
  <c r="E320" i="2"/>
  <c r="F320" i="2"/>
  <c r="F330" i="2" s="1"/>
  <c r="G320" i="2"/>
  <c r="G330" i="2" s="1"/>
  <c r="H320" i="2"/>
  <c r="H330" i="2" s="1"/>
  <c r="I320" i="2"/>
  <c r="I330" i="2" s="1"/>
  <c r="J320" i="2"/>
  <c r="J330" i="2" s="1"/>
  <c r="K320" i="2"/>
  <c r="K330" i="2" s="1"/>
  <c r="L320" i="2"/>
  <c r="L330" i="2" s="1"/>
  <c r="N320" i="2"/>
  <c r="N330" i="2" s="1"/>
  <c r="O320" i="2"/>
  <c r="O330" i="2" s="1"/>
  <c r="P320" i="2"/>
  <c r="P330" i="2" s="1"/>
  <c r="Q320" i="2"/>
  <c r="Q330" i="2" s="1"/>
  <c r="S320" i="2"/>
  <c r="S330" i="2" s="1"/>
  <c r="T320" i="2"/>
  <c r="T330" i="2" s="1"/>
  <c r="U320" i="2"/>
  <c r="U330" i="2" s="1"/>
  <c r="V320" i="2"/>
  <c r="V330" i="2" s="1"/>
  <c r="X320" i="2"/>
  <c r="X330" i="2" s="1"/>
  <c r="Y320" i="2"/>
  <c r="Y330" i="2" s="1"/>
  <c r="Z320" i="2"/>
  <c r="Z330" i="2" s="1"/>
  <c r="AA320" i="2"/>
  <c r="AA330" i="2" s="1"/>
  <c r="AC320" i="2"/>
  <c r="AC330" i="2" s="1"/>
  <c r="AD320" i="2"/>
  <c r="AD330" i="2" s="1"/>
  <c r="AE320" i="2"/>
  <c r="AE330" i="2" s="1"/>
  <c r="AF320" i="2"/>
  <c r="AF330" i="2" s="1"/>
  <c r="AH320" i="2"/>
  <c r="AH330" i="2" s="1"/>
  <c r="AI320" i="2"/>
  <c r="AI330" i="2" s="1"/>
  <c r="AJ320" i="2"/>
  <c r="AJ330" i="2" s="1"/>
  <c r="AK320" i="2"/>
  <c r="AK330" i="2" s="1"/>
  <c r="AM320" i="2"/>
  <c r="AM330" i="2" s="1"/>
  <c r="AN320" i="2"/>
  <c r="AN330" i="2" s="1"/>
  <c r="AO320" i="2"/>
  <c r="AO330" i="2" s="1"/>
  <c r="AP320" i="2"/>
  <c r="AP330" i="2" s="1"/>
  <c r="AR320" i="2"/>
  <c r="AR330" i="2" s="1"/>
  <c r="AS320" i="2"/>
  <c r="AT320" i="2"/>
  <c r="AU320" i="2"/>
  <c r="AV320" i="2"/>
  <c r="AX320" i="2"/>
  <c r="AY320" i="2"/>
  <c r="AZ320" i="2"/>
  <c r="BA320" i="2"/>
  <c r="C321" i="2"/>
  <c r="D321" i="2"/>
  <c r="E321" i="2"/>
  <c r="B350" i="2"/>
  <c r="B366" i="2" s="1"/>
  <c r="D354" i="2"/>
  <c r="E354" i="2"/>
  <c r="F354" i="2"/>
  <c r="T354" i="2"/>
  <c r="U354" i="2"/>
  <c r="V354" i="2"/>
  <c r="W354" i="2"/>
  <c r="X354" i="2"/>
  <c r="Y354" i="2"/>
  <c r="Z354" i="2"/>
  <c r="AA354" i="2"/>
  <c r="AB354" i="2"/>
  <c r="AC354" i="2"/>
  <c r="AD354" i="2"/>
  <c r="AE354" i="2"/>
  <c r="AF354" i="2"/>
  <c r="AG354" i="2"/>
  <c r="AH354" i="2"/>
  <c r="AI354" i="2"/>
  <c r="AJ354" i="2"/>
  <c r="AK354" i="2"/>
  <c r="AL354" i="2"/>
  <c r="AM354" i="2"/>
  <c r="AN354" i="2"/>
  <c r="AO354" i="2"/>
  <c r="AP354" i="2"/>
  <c r="AQ354" i="2"/>
  <c r="AR354" i="2"/>
  <c r="AS354" i="2"/>
  <c r="AT354" i="2"/>
  <c r="AU354" i="2"/>
  <c r="AV354" i="2"/>
  <c r="AW354" i="2"/>
  <c r="AX354" i="2"/>
  <c r="AY354" i="2"/>
  <c r="AZ354" i="2"/>
  <c r="BA354" i="2"/>
  <c r="BB354" i="2"/>
  <c r="BB370" i="2" s="1"/>
  <c r="BG354" i="2"/>
  <c r="BG370" i="2" s="1"/>
  <c r="D355" i="2"/>
  <c r="E355" i="2"/>
  <c r="F355" i="2"/>
  <c r="T355" i="2"/>
  <c r="U355" i="2"/>
  <c r="V355" i="2"/>
  <c r="W355" i="2"/>
  <c r="X355" i="2"/>
  <c r="Y355" i="2"/>
  <c r="Z355" i="2"/>
  <c r="AA355" i="2"/>
  <c r="AB355" i="2"/>
  <c r="AC355" i="2"/>
  <c r="AD355" i="2"/>
  <c r="AE355" i="2"/>
  <c r="AF355" i="2"/>
  <c r="AG355" i="2"/>
  <c r="AH355" i="2"/>
  <c r="AI355" i="2"/>
  <c r="AJ355" i="2"/>
  <c r="AK355" i="2"/>
  <c r="AL355" i="2"/>
  <c r="AM355" i="2"/>
  <c r="AN355" i="2"/>
  <c r="AO355" i="2"/>
  <c r="AP355" i="2"/>
  <c r="AQ355" i="2"/>
  <c r="AR355" i="2"/>
  <c r="AS355" i="2"/>
  <c r="AT355" i="2"/>
  <c r="AU355" i="2"/>
  <c r="AV355" i="2"/>
  <c r="AW355" i="2"/>
  <c r="AX355" i="2"/>
  <c r="AY355" i="2"/>
  <c r="AZ355" i="2"/>
  <c r="BA355" i="2"/>
  <c r="BB355" i="2"/>
  <c r="BB371" i="2" s="1"/>
  <c r="BG355" i="2"/>
  <c r="BG371" i="2" s="1"/>
  <c r="D356" i="2"/>
  <c r="E356" i="2"/>
  <c r="F356" i="2"/>
  <c r="T356" i="2"/>
  <c r="U356" i="2"/>
  <c r="V356" i="2"/>
  <c r="W356" i="2"/>
  <c r="X356" i="2"/>
  <c r="Y356" i="2"/>
  <c r="Z356" i="2"/>
  <c r="AA356" i="2"/>
  <c r="AB356" i="2"/>
  <c r="AC356" i="2"/>
  <c r="AD356" i="2"/>
  <c r="AE356" i="2"/>
  <c r="AF356" i="2"/>
  <c r="AG356" i="2"/>
  <c r="AH356" i="2"/>
  <c r="AI356" i="2"/>
  <c r="AJ356" i="2"/>
  <c r="AK356" i="2"/>
  <c r="AL356" i="2"/>
  <c r="AM356" i="2"/>
  <c r="AN356" i="2"/>
  <c r="AO356" i="2"/>
  <c r="AP356" i="2"/>
  <c r="AQ356" i="2"/>
  <c r="AR356" i="2"/>
  <c r="AS356" i="2"/>
  <c r="AT356" i="2"/>
  <c r="AU356" i="2"/>
  <c r="AV356" i="2"/>
  <c r="AW356" i="2"/>
  <c r="AX356" i="2"/>
  <c r="AY356" i="2"/>
  <c r="AZ356" i="2"/>
  <c r="BA356" i="2"/>
  <c r="BB356" i="2"/>
  <c r="BB372" i="2" s="1"/>
  <c r="BG356" i="2"/>
  <c r="BG372" i="2" s="1"/>
  <c r="D357" i="2"/>
  <c r="E357" i="2"/>
  <c r="F357" i="2"/>
  <c r="T357" i="2"/>
  <c r="U357" i="2"/>
  <c r="V357" i="2"/>
  <c r="W357" i="2"/>
  <c r="X357" i="2"/>
  <c r="Y357" i="2"/>
  <c r="Z357" i="2"/>
  <c r="AA357" i="2"/>
  <c r="AB357" i="2"/>
  <c r="AC357" i="2"/>
  <c r="AD357" i="2"/>
  <c r="AE357" i="2"/>
  <c r="AF357" i="2"/>
  <c r="AG357" i="2"/>
  <c r="AH357" i="2"/>
  <c r="AI357" i="2"/>
  <c r="AJ357" i="2"/>
  <c r="AK357" i="2"/>
  <c r="AL357" i="2"/>
  <c r="AM357" i="2"/>
  <c r="AN357" i="2"/>
  <c r="AO357" i="2"/>
  <c r="AP357" i="2"/>
  <c r="AQ357" i="2"/>
  <c r="AR357" i="2"/>
  <c r="AS357" i="2"/>
  <c r="AT357" i="2"/>
  <c r="AU357" i="2"/>
  <c r="AV357" i="2"/>
  <c r="AW357" i="2"/>
  <c r="AX357" i="2"/>
  <c r="AY357" i="2"/>
  <c r="AZ357" i="2"/>
  <c r="BA357" i="2"/>
  <c r="BB357" i="2"/>
  <c r="BB373" i="2" s="1"/>
  <c r="BG357" i="2"/>
  <c r="BG373" i="2" s="1"/>
  <c r="I358" i="2"/>
  <c r="J358" i="2"/>
  <c r="K358" i="2"/>
  <c r="L358" i="2"/>
  <c r="M358" i="2"/>
  <c r="N358" i="2"/>
  <c r="O358" i="2"/>
  <c r="P358" i="2"/>
  <c r="Q358" i="2"/>
  <c r="R358" i="2"/>
  <c r="S358" i="2"/>
  <c r="T358" i="2"/>
  <c r="U358" i="2"/>
  <c r="V358" i="2"/>
  <c r="W358" i="2"/>
  <c r="X358" i="2"/>
  <c r="Y358" i="2"/>
  <c r="Z358" i="2"/>
  <c r="AA358" i="2"/>
  <c r="AB358" i="2"/>
  <c r="AC358" i="2"/>
  <c r="AD358" i="2"/>
  <c r="AE358" i="2"/>
  <c r="AF358" i="2"/>
  <c r="AG358" i="2"/>
  <c r="AH358" i="2"/>
  <c r="AI358" i="2"/>
  <c r="AJ358" i="2"/>
  <c r="AK358" i="2"/>
  <c r="AL358" i="2"/>
  <c r="AM358" i="2"/>
  <c r="AN358" i="2"/>
  <c r="AO358" i="2"/>
  <c r="AP358" i="2"/>
  <c r="AQ358" i="2"/>
  <c r="AR358" i="2"/>
  <c r="AS358" i="2"/>
  <c r="AT358" i="2"/>
  <c r="AU358" i="2"/>
  <c r="AV358" i="2"/>
  <c r="AW358" i="2"/>
  <c r="AX358" i="2"/>
  <c r="AY358" i="2"/>
  <c r="AZ358" i="2"/>
  <c r="BA358" i="2"/>
  <c r="BB358" i="2"/>
  <c r="BB374" i="2" s="1"/>
  <c r="BG358" i="2"/>
  <c r="BG374" i="2" s="1"/>
  <c r="I359" i="2"/>
  <c r="J359" i="2"/>
  <c r="K359" i="2"/>
  <c r="L359" i="2"/>
  <c r="M359" i="2"/>
  <c r="N359" i="2"/>
  <c r="O359" i="2"/>
  <c r="P359" i="2"/>
  <c r="Q359" i="2"/>
  <c r="R359" i="2"/>
  <c r="S359" i="2"/>
  <c r="T359" i="2"/>
  <c r="U359" i="2"/>
  <c r="V359" i="2"/>
  <c r="W359" i="2"/>
  <c r="X359" i="2"/>
  <c r="Y359" i="2"/>
  <c r="Z359" i="2"/>
  <c r="AA359" i="2"/>
  <c r="AB359" i="2"/>
  <c r="AC359" i="2"/>
  <c r="AD359" i="2"/>
  <c r="AE359" i="2"/>
  <c r="AF359" i="2"/>
  <c r="AG359" i="2"/>
  <c r="AH359" i="2"/>
  <c r="AI359" i="2"/>
  <c r="AJ359" i="2"/>
  <c r="AK359" i="2"/>
  <c r="AL359" i="2"/>
  <c r="AM359" i="2"/>
  <c r="AN359" i="2"/>
  <c r="AO359" i="2"/>
  <c r="AP359" i="2"/>
  <c r="AQ359" i="2"/>
  <c r="AR359" i="2"/>
  <c r="AS359" i="2"/>
  <c r="AT359" i="2"/>
  <c r="AU359" i="2"/>
  <c r="AV359" i="2"/>
  <c r="AW359" i="2"/>
  <c r="AX359" i="2"/>
  <c r="AY359" i="2"/>
  <c r="AZ359" i="2"/>
  <c r="BA359" i="2"/>
  <c r="BB359" i="2"/>
  <c r="BB375" i="2" s="1"/>
  <c r="BG359" i="2"/>
  <c r="BG375" i="2" s="1"/>
  <c r="B360" i="2"/>
  <c r="B376" i="2" s="1"/>
  <c r="B362" i="2"/>
  <c r="B378" i="2" s="1"/>
  <c r="C381" i="2"/>
  <c r="D381" i="2"/>
  <c r="E381" i="2"/>
  <c r="F381" i="2"/>
  <c r="G381" i="2"/>
  <c r="H381" i="2"/>
  <c r="I381" i="2"/>
  <c r="J381" i="2"/>
  <c r="K381" i="2"/>
  <c r="L381" i="2"/>
  <c r="O381" i="2"/>
  <c r="P381" i="2"/>
  <c r="Q381" i="2"/>
  <c r="T381" i="2"/>
  <c r="U381" i="2"/>
  <c r="V381" i="2"/>
  <c r="Y381" i="2"/>
  <c r="Z381" i="2"/>
  <c r="AA381" i="2"/>
  <c r="AD381" i="2"/>
  <c r="AE381" i="2"/>
  <c r="AF381" i="2"/>
  <c r="AI381" i="2"/>
  <c r="AJ381" i="2"/>
  <c r="AK381" i="2"/>
  <c r="AL381" i="2"/>
  <c r="AN381" i="2"/>
  <c r="AO381" i="2"/>
  <c r="AR381" i="2"/>
  <c r="O382" i="2"/>
  <c r="P382" i="2"/>
  <c r="Q382" i="2"/>
  <c r="T382" i="2"/>
  <c r="U382" i="2"/>
  <c r="V382" i="2"/>
  <c r="Y382" i="2"/>
  <c r="Z382" i="2"/>
  <c r="AA382" i="2"/>
  <c r="AD382" i="2"/>
  <c r="AE382" i="2"/>
  <c r="AF382" i="2"/>
  <c r="AI382" i="2"/>
  <c r="AJ382" i="2"/>
  <c r="AK382" i="2"/>
  <c r="AL382" i="2"/>
  <c r="AN382" i="2"/>
  <c r="AO382" i="2"/>
  <c r="AP382" i="2"/>
  <c r="AQ382" i="2"/>
  <c r="AS382" i="2"/>
  <c r="AT382" i="2"/>
  <c r="AU382" i="2"/>
  <c r="AV382" i="2"/>
  <c r="AX382" i="2"/>
  <c r="AY382" i="2"/>
  <c r="AZ382" i="2"/>
  <c r="BA382" i="2"/>
  <c r="BB382" i="2"/>
  <c r="BG382" i="2"/>
  <c r="O383" i="2"/>
  <c r="P383" i="2"/>
  <c r="Q383" i="2"/>
  <c r="T383" i="2"/>
  <c r="U383" i="2"/>
  <c r="V383" i="2"/>
  <c r="Y383" i="2"/>
  <c r="Z383" i="2"/>
  <c r="AA383" i="2"/>
  <c r="AD383" i="2"/>
  <c r="AE383" i="2"/>
  <c r="AF383" i="2"/>
  <c r="AI383" i="2"/>
  <c r="AJ383" i="2"/>
  <c r="AK383" i="2"/>
  <c r="AL383" i="2"/>
  <c r="AN383" i="2"/>
  <c r="AO383" i="2"/>
  <c r="AP383" i="2"/>
  <c r="AQ383" i="2"/>
  <c r="O384" i="2"/>
  <c r="P384" i="2"/>
  <c r="Q384" i="2"/>
  <c r="T384" i="2"/>
  <c r="U384" i="2"/>
  <c r="V384" i="2"/>
  <c r="Y384" i="2"/>
  <c r="Z384" i="2"/>
  <c r="AA384" i="2"/>
  <c r="AD384" i="2"/>
  <c r="AE384" i="2"/>
  <c r="AF384" i="2"/>
  <c r="AI384" i="2"/>
  <c r="AJ384" i="2"/>
  <c r="AK384" i="2"/>
  <c r="AL384" i="2"/>
  <c r="AN384" i="2"/>
  <c r="AO384" i="2"/>
  <c r="AP384" i="2"/>
  <c r="AQ384" i="2"/>
  <c r="I385" i="2"/>
  <c r="J385" i="2"/>
  <c r="K385" i="2"/>
  <c r="L385" i="2"/>
  <c r="O385" i="2"/>
  <c r="P385" i="2"/>
  <c r="Q385" i="2"/>
  <c r="I386" i="2"/>
  <c r="J386" i="2"/>
  <c r="K386" i="2"/>
  <c r="L386" i="2"/>
  <c r="O386" i="2"/>
  <c r="P386" i="2"/>
  <c r="Q386" i="2"/>
  <c r="I387" i="2"/>
  <c r="J387" i="2"/>
  <c r="K387" i="2"/>
  <c r="L387" i="2"/>
  <c r="O387" i="2"/>
  <c r="P387" i="2"/>
  <c r="Q387" i="2"/>
  <c r="I388" i="2"/>
  <c r="J388" i="2"/>
  <c r="K388" i="2"/>
  <c r="L388" i="2"/>
  <c r="O388" i="2"/>
  <c r="P388" i="2"/>
  <c r="Q388" i="2"/>
  <c r="D389" i="2"/>
  <c r="E389" i="2"/>
  <c r="F389" i="2"/>
  <c r="G389" i="2"/>
  <c r="H389" i="2"/>
  <c r="D390" i="2"/>
  <c r="E390" i="2"/>
  <c r="F390" i="2"/>
  <c r="G390" i="2"/>
  <c r="H390" i="2"/>
  <c r="C391" i="2"/>
  <c r="C393" i="2"/>
  <c r="D393" i="2"/>
  <c r="F393" i="2"/>
  <c r="G393" i="2"/>
  <c r="J393" i="2"/>
  <c r="K393" i="2"/>
  <c r="L393" i="2"/>
  <c r="O393" i="2"/>
  <c r="P393" i="2"/>
  <c r="Q393" i="2"/>
  <c r="T393" i="2"/>
  <c r="U393" i="2"/>
  <c r="V393" i="2"/>
  <c r="Y393" i="2"/>
  <c r="Z393" i="2"/>
  <c r="AA393" i="2"/>
  <c r="AD393" i="2"/>
  <c r="AE393" i="2"/>
  <c r="AF393" i="2"/>
  <c r="AI393" i="2"/>
  <c r="AJ393" i="2"/>
  <c r="AK393" i="2"/>
  <c r="AL393" i="2"/>
  <c r="AN393" i="2"/>
  <c r="AO393" i="2"/>
  <c r="AP393" i="2"/>
  <c r="AQ393" i="2"/>
  <c r="AS393" i="2"/>
  <c r="N397" i="2"/>
  <c r="S397" i="2"/>
  <c r="X397" i="2"/>
  <c r="AC397" i="2"/>
  <c r="AH397" i="2"/>
  <c r="AM397" i="2"/>
  <c r="AR397" i="2"/>
  <c r="N398" i="2"/>
  <c r="S398" i="2"/>
  <c r="X398" i="2"/>
  <c r="AC398" i="2"/>
  <c r="AH398" i="2"/>
  <c r="AM398" i="2"/>
  <c r="AR398" i="2"/>
  <c r="N399" i="2"/>
  <c r="S399" i="2"/>
  <c r="X399" i="2"/>
  <c r="AC399" i="2"/>
  <c r="AH399" i="2"/>
  <c r="AM399" i="2"/>
  <c r="AR399" i="2"/>
  <c r="N400" i="2"/>
  <c r="S400" i="2"/>
  <c r="X400" i="2"/>
  <c r="AC400" i="2"/>
  <c r="AH400" i="2"/>
  <c r="AM400" i="2"/>
  <c r="AR400" i="2"/>
  <c r="N401" i="2"/>
  <c r="S401" i="2"/>
  <c r="X401" i="2"/>
  <c r="AC401" i="2"/>
  <c r="AH401" i="2"/>
  <c r="AM401" i="2"/>
  <c r="AR401" i="2"/>
  <c r="N402" i="2"/>
  <c r="S402" i="2"/>
  <c r="X402" i="2"/>
  <c r="AC402" i="2"/>
  <c r="AH402" i="2"/>
  <c r="AM402" i="2"/>
  <c r="AR402" i="2"/>
  <c r="N403" i="2"/>
  <c r="S403" i="2"/>
  <c r="X403" i="2"/>
  <c r="AC403" i="2"/>
  <c r="AH403" i="2"/>
  <c r="AM403" i="2"/>
  <c r="AR403" i="2"/>
  <c r="N404" i="2"/>
  <c r="S404" i="2"/>
  <c r="X404" i="2"/>
  <c r="AC404" i="2"/>
  <c r="AH404" i="2"/>
  <c r="AM404" i="2"/>
  <c r="AR404" i="2"/>
  <c r="C405" i="2"/>
  <c r="D405" i="2"/>
  <c r="E405" i="2"/>
  <c r="F405" i="2"/>
  <c r="G405" i="2"/>
  <c r="H405" i="2"/>
  <c r="I405" i="2"/>
  <c r="J405" i="2"/>
  <c r="K405" i="2"/>
  <c r="L405" i="2"/>
  <c r="M405" i="2"/>
  <c r="O405" i="2"/>
  <c r="P405" i="2"/>
  <c r="Q405" i="2"/>
  <c r="R405" i="2"/>
  <c r="T405" i="2"/>
  <c r="U405" i="2"/>
  <c r="V405" i="2"/>
  <c r="W405" i="2"/>
  <c r="Y405" i="2"/>
  <c r="Z405" i="2"/>
  <c r="AA405" i="2"/>
  <c r="AB405" i="2"/>
  <c r="AD405" i="2"/>
  <c r="AE405" i="2"/>
  <c r="AF405" i="2"/>
  <c r="AG405" i="2"/>
  <c r="AI405" i="2"/>
  <c r="AJ405" i="2"/>
  <c r="AK405" i="2"/>
  <c r="AL405" i="2"/>
  <c r="AN405" i="2"/>
  <c r="AO405" i="2"/>
  <c r="AP405" i="2"/>
  <c r="AQ405" i="2"/>
  <c r="D6" i="17"/>
  <c r="D8" i="17" s="1"/>
  <c r="E6" i="17"/>
  <c r="E8" i="17" s="1"/>
  <c r="N6" i="17"/>
  <c r="Q6" i="17"/>
  <c r="W6" i="17"/>
  <c r="W8" i="17" s="1"/>
  <c r="AC6" i="17"/>
  <c r="AH6" i="17"/>
  <c r="AM6" i="17"/>
  <c r="AM8" i="17" s="1"/>
  <c r="AP7" i="17"/>
  <c r="AQ7" i="17"/>
  <c r="AS7" i="17"/>
  <c r="AT7" i="17"/>
  <c r="AU7" i="17"/>
  <c r="AV7" i="17"/>
  <c r="BG7" i="17"/>
  <c r="C8" i="17"/>
  <c r="C10" i="17" s="1"/>
  <c r="F8" i="17"/>
  <c r="G8" i="17"/>
  <c r="H8" i="17"/>
  <c r="H10" i="17" s="1"/>
  <c r="I8" i="17"/>
  <c r="I10" i="17" s="1"/>
  <c r="J8" i="17"/>
  <c r="J10" i="17" s="1"/>
  <c r="K8" i="17"/>
  <c r="K10" i="17" s="1"/>
  <c r="L8" i="17"/>
  <c r="M8" i="17"/>
  <c r="M10" i="17" s="1"/>
  <c r="O8" i="17"/>
  <c r="P8" i="17"/>
  <c r="R8" i="17"/>
  <c r="T8" i="17"/>
  <c r="T10" i="17" s="1"/>
  <c r="U8" i="17"/>
  <c r="V8" i="17"/>
  <c r="Y8" i="17"/>
  <c r="Y10" i="17" s="1"/>
  <c r="Z8" i="17"/>
  <c r="AA8" i="17"/>
  <c r="AB8" i="17"/>
  <c r="AD8" i="17"/>
  <c r="AE8" i="17"/>
  <c r="AF8" i="17"/>
  <c r="AG8" i="17"/>
  <c r="AG10" i="17" s="1"/>
  <c r="AI8" i="17"/>
  <c r="AI10" i="17" s="1"/>
  <c r="AJ8" i="17"/>
  <c r="AJ10" i="17" s="1"/>
  <c r="AK8" i="17"/>
  <c r="AL8" i="17"/>
  <c r="AN8" i="17"/>
  <c r="AO8" i="17"/>
  <c r="N12" i="17"/>
  <c r="Q12" i="17"/>
  <c r="S12" i="17" s="1"/>
  <c r="AC12" i="17"/>
  <c r="AH12" i="17"/>
  <c r="AM12" i="17"/>
  <c r="AR12" i="17"/>
  <c r="C14" i="17"/>
  <c r="C16" i="17" s="1"/>
  <c r="D14" i="17"/>
  <c r="D16" i="17" s="1"/>
  <c r="E14" i="17"/>
  <c r="E16" i="17" s="1"/>
  <c r="F14" i="17"/>
  <c r="F16" i="17" s="1"/>
  <c r="G14" i="17"/>
  <c r="G16" i="17" s="1"/>
  <c r="H14" i="17"/>
  <c r="H16" i="17" s="1"/>
  <c r="I14" i="17"/>
  <c r="J14" i="17"/>
  <c r="J16" i="17" s="1"/>
  <c r="K14" i="17"/>
  <c r="K16" i="17" s="1"/>
  <c r="L14" i="17"/>
  <c r="L16" i="17" s="1"/>
  <c r="M14" i="17"/>
  <c r="M16" i="17" s="1"/>
  <c r="O14" i="17"/>
  <c r="O16" i="17" s="1"/>
  <c r="P14" i="17"/>
  <c r="P16" i="17" s="1"/>
  <c r="R14" i="17"/>
  <c r="R16" i="17" s="1"/>
  <c r="T14" i="17"/>
  <c r="T16" i="17" s="1"/>
  <c r="U14" i="17"/>
  <c r="U16" i="17" s="1"/>
  <c r="V14" i="17"/>
  <c r="V16" i="17" s="1"/>
  <c r="W14" i="17"/>
  <c r="W16" i="17" s="1"/>
  <c r="Y14" i="17"/>
  <c r="Y16" i="17" s="1"/>
  <c r="Z14" i="17"/>
  <c r="Z16" i="17" s="1"/>
  <c r="AA14" i="17"/>
  <c r="AA16" i="17" s="1"/>
  <c r="AB14" i="17"/>
  <c r="AB16" i="17" s="1"/>
  <c r="AD14" i="17"/>
  <c r="AD16" i="17" s="1"/>
  <c r="AE14" i="17"/>
  <c r="AE16" i="17" s="1"/>
  <c r="AF14" i="17"/>
  <c r="AF16" i="17" s="1"/>
  <c r="AG14" i="17"/>
  <c r="AG16" i="17" s="1"/>
  <c r="AI14" i="17"/>
  <c r="AI16" i="17" s="1"/>
  <c r="AJ14" i="17"/>
  <c r="AJ16" i="17" s="1"/>
  <c r="AK14" i="17"/>
  <c r="AK16" i="17" s="1"/>
  <c r="AL14" i="17"/>
  <c r="AL16" i="17" s="1"/>
  <c r="AN14" i="17"/>
  <c r="AO14" i="17"/>
  <c r="AP14" i="17"/>
  <c r="AP16" i="17" s="1"/>
  <c r="AQ14" i="17"/>
  <c r="AQ16" i="17" s="1"/>
  <c r="AP18" i="17"/>
  <c r="AQ18" i="17"/>
  <c r="AR18" i="17"/>
  <c r="AS18" i="17"/>
  <c r="AT18" i="17"/>
  <c r="AU18" i="17"/>
  <c r="AV18" i="17"/>
  <c r="AP19" i="17"/>
  <c r="AQ19" i="17"/>
  <c r="AR19" i="17"/>
  <c r="AS19" i="17"/>
  <c r="AT19" i="17"/>
  <c r="AU19" i="17"/>
  <c r="AV19" i="17"/>
  <c r="BG19" i="17"/>
  <c r="BL19" i="17"/>
  <c r="AN20" i="17"/>
  <c r="AN22" i="17" s="1"/>
  <c r="AO20" i="17"/>
  <c r="AO22" i="17" s="1"/>
  <c r="N24" i="17"/>
  <c r="S24" i="17"/>
  <c r="C26" i="17"/>
  <c r="C28" i="17" s="1"/>
  <c r="D26" i="17"/>
  <c r="D28" i="17" s="1"/>
  <c r="E26" i="17"/>
  <c r="F26" i="17"/>
  <c r="F28" i="17" s="1"/>
  <c r="G26" i="17"/>
  <c r="G28" i="17" s="1"/>
  <c r="H26" i="17"/>
  <c r="I26" i="17"/>
  <c r="I28" i="17" s="1"/>
  <c r="J26" i="17"/>
  <c r="J28" i="17" s="1"/>
  <c r="K26" i="17"/>
  <c r="K28" i="17" s="1"/>
  <c r="L26" i="17"/>
  <c r="L28" i="17" s="1"/>
  <c r="M26" i="17"/>
  <c r="M28" i="17" s="1"/>
  <c r="O26" i="17"/>
  <c r="O28" i="17" s="1"/>
  <c r="P26" i="17"/>
  <c r="P28" i="17" s="1"/>
  <c r="Q26" i="17"/>
  <c r="Q28" i="17" s="1"/>
  <c r="R26" i="17"/>
  <c r="T26" i="17"/>
  <c r="U26" i="17"/>
  <c r="V26" i="17"/>
  <c r="W26" i="17"/>
  <c r="AS30" i="17"/>
  <c r="AT30" i="17"/>
  <c r="AU30" i="17"/>
  <c r="AV30" i="17"/>
  <c r="AS31" i="17"/>
  <c r="AT31" i="17"/>
  <c r="AU31" i="17"/>
  <c r="AV31" i="17"/>
  <c r="BG31" i="17"/>
  <c r="N36" i="17"/>
  <c r="Q36" i="17"/>
  <c r="S36" i="17" s="1"/>
  <c r="AC36" i="17"/>
  <c r="AH36" i="17"/>
  <c r="AM36" i="17"/>
  <c r="AP36" i="17"/>
  <c r="AQ36" i="17"/>
  <c r="AS36" i="17"/>
  <c r="AT36" i="17"/>
  <c r="AU36" i="17"/>
  <c r="AV36" i="17"/>
  <c r="AP37" i="17"/>
  <c r="AQ37" i="17"/>
  <c r="AS37" i="17"/>
  <c r="AT37" i="17"/>
  <c r="AU37" i="17"/>
  <c r="AV37" i="17"/>
  <c r="BG37" i="17"/>
  <c r="BL37" i="17"/>
  <c r="C38" i="17"/>
  <c r="C40" i="17" s="1"/>
  <c r="D38" i="17"/>
  <c r="D40" i="17" s="1"/>
  <c r="E38" i="17"/>
  <c r="E40" i="17" s="1"/>
  <c r="F38" i="17"/>
  <c r="F40" i="17" s="1"/>
  <c r="G38" i="17"/>
  <c r="G40" i="17" s="1"/>
  <c r="H38" i="17"/>
  <c r="H40" i="17" s="1"/>
  <c r="I38" i="17"/>
  <c r="I40" i="17" s="1"/>
  <c r="J38" i="17"/>
  <c r="K38" i="17"/>
  <c r="K40" i="17" s="1"/>
  <c r="L38" i="17"/>
  <c r="L40" i="17" s="1"/>
  <c r="M38" i="17"/>
  <c r="M40" i="17" s="1"/>
  <c r="O38" i="17"/>
  <c r="O40" i="17" s="1"/>
  <c r="P38" i="17"/>
  <c r="P40" i="17" s="1"/>
  <c r="R38" i="17"/>
  <c r="R40" i="17" s="1"/>
  <c r="T38" i="17"/>
  <c r="T40" i="17" s="1"/>
  <c r="U38" i="17"/>
  <c r="U40" i="17" s="1"/>
  <c r="V38" i="17"/>
  <c r="V40" i="17" s="1"/>
  <c r="W38" i="17"/>
  <c r="W40" i="17" s="1"/>
  <c r="Y38" i="17"/>
  <c r="Y40" i="17" s="1"/>
  <c r="Z38" i="17"/>
  <c r="Z40" i="17" s="1"/>
  <c r="AA38" i="17"/>
  <c r="AA40" i="17" s="1"/>
  <c r="AB38" i="17"/>
  <c r="AB40" i="17" s="1"/>
  <c r="AD38" i="17"/>
  <c r="AD40" i="17" s="1"/>
  <c r="AE38" i="17"/>
  <c r="AE40" i="17" s="1"/>
  <c r="AF38" i="17"/>
  <c r="AF40" i="17" s="1"/>
  <c r="AG38" i="17"/>
  <c r="AG40" i="17" s="1"/>
  <c r="AI38" i="17"/>
  <c r="AI40" i="17" s="1"/>
  <c r="AJ38" i="17"/>
  <c r="AJ40" i="17" s="1"/>
  <c r="AK38" i="17"/>
  <c r="AK40" i="17" s="1"/>
  <c r="AL38" i="17"/>
  <c r="AL40" i="17" s="1"/>
  <c r="AN38" i="17"/>
  <c r="AN40" i="17" s="1"/>
  <c r="AO38" i="17"/>
  <c r="AO40" i="17" s="1"/>
  <c r="N42" i="17"/>
  <c r="Q42" i="17"/>
  <c r="S42" i="17" s="1"/>
  <c r="W42" i="17"/>
  <c r="W44" i="17" s="1"/>
  <c r="W46" i="17" s="1"/>
  <c r="AC42" i="17"/>
  <c r="AH42" i="17"/>
  <c r="AM42" i="17"/>
  <c r="AP43" i="17"/>
  <c r="AQ43" i="17"/>
  <c r="AS43" i="17"/>
  <c r="AT43" i="17"/>
  <c r="AU43" i="17"/>
  <c r="AV43" i="17"/>
  <c r="BG43" i="17"/>
  <c r="C44" i="17"/>
  <c r="C46" i="17" s="1"/>
  <c r="D44" i="17"/>
  <c r="D46" i="17" s="1"/>
  <c r="E44" i="17"/>
  <c r="E46" i="17" s="1"/>
  <c r="F44" i="17"/>
  <c r="F46" i="17" s="1"/>
  <c r="G44" i="17"/>
  <c r="G46" i="17" s="1"/>
  <c r="H44" i="17"/>
  <c r="H46" i="17" s="1"/>
  <c r="I44" i="17"/>
  <c r="I46" i="17" s="1"/>
  <c r="J44" i="17"/>
  <c r="J46" i="17" s="1"/>
  <c r="K44" i="17"/>
  <c r="K46" i="17" s="1"/>
  <c r="L44" i="17"/>
  <c r="L46" i="17" s="1"/>
  <c r="M44" i="17"/>
  <c r="M46" i="17" s="1"/>
  <c r="O44" i="17"/>
  <c r="O46" i="17" s="1"/>
  <c r="P44" i="17"/>
  <c r="P46" i="17" s="1"/>
  <c r="R44" i="17"/>
  <c r="R46" i="17" s="1"/>
  <c r="T44" i="17"/>
  <c r="T46" i="17" s="1"/>
  <c r="U44" i="17"/>
  <c r="U46" i="17" s="1"/>
  <c r="V44" i="17"/>
  <c r="V46" i="17" s="1"/>
  <c r="Y44" i="17"/>
  <c r="Y46" i="17" s="1"/>
  <c r="Z44" i="17"/>
  <c r="AA44" i="17"/>
  <c r="AA46" i="17" s="1"/>
  <c r="AB44" i="17"/>
  <c r="AB46" i="17" s="1"/>
  <c r="AD44" i="17"/>
  <c r="AD46" i="17" s="1"/>
  <c r="AE44" i="17"/>
  <c r="AE46" i="17" s="1"/>
  <c r="AF44" i="17"/>
  <c r="AF46" i="17" s="1"/>
  <c r="AG44" i="17"/>
  <c r="AG46" i="17" s="1"/>
  <c r="AI44" i="17"/>
  <c r="AI46" i="17" s="1"/>
  <c r="AJ44" i="17"/>
  <c r="AJ46" i="17" s="1"/>
  <c r="AK44" i="17"/>
  <c r="AK46" i="17" s="1"/>
  <c r="AL44" i="17"/>
  <c r="AL46" i="17" s="1"/>
  <c r="AN44" i="17"/>
  <c r="AN46" i="17" s="1"/>
  <c r="AO44" i="17"/>
  <c r="AO46" i="17" s="1"/>
  <c r="N48" i="17"/>
  <c r="S48" i="17"/>
  <c r="W48" i="17"/>
  <c r="W50" i="17" s="1"/>
  <c r="W52" i="17" s="1"/>
  <c r="J50" i="17"/>
  <c r="J52" i="17" s="1"/>
  <c r="K50" i="17"/>
  <c r="K52" i="17" s="1"/>
  <c r="L50" i="17"/>
  <c r="L52" i="17" s="1"/>
  <c r="M50" i="17"/>
  <c r="M52" i="17" s="1"/>
  <c r="O50" i="17"/>
  <c r="P50" i="17"/>
  <c r="P52" i="17" s="1"/>
  <c r="Q50" i="17"/>
  <c r="Q52" i="17" s="1"/>
  <c r="R50" i="17"/>
  <c r="R52" i="17" s="1"/>
  <c r="T50" i="17"/>
  <c r="T52" i="17" s="1"/>
  <c r="U50" i="17"/>
  <c r="U52" i="17" s="1"/>
  <c r="V50" i="17"/>
  <c r="Y50" i="17"/>
  <c r="Z50" i="17"/>
  <c r="AA50" i="17"/>
  <c r="AB50" i="17"/>
  <c r="E52" i="17"/>
  <c r="F52" i="17"/>
  <c r="G52" i="17"/>
  <c r="H52" i="17"/>
  <c r="I52" i="17"/>
  <c r="C54" i="17"/>
  <c r="C56" i="17" s="1"/>
  <c r="C58" i="17" s="1"/>
  <c r="D54" i="17"/>
  <c r="D56" i="17" s="1"/>
  <c r="E54" i="17"/>
  <c r="E56" i="17" s="1"/>
  <c r="E58" i="17" s="1"/>
  <c r="F56" i="17"/>
  <c r="G56" i="17"/>
  <c r="G58" i="17" s="1"/>
  <c r="AM65" i="17"/>
  <c r="AM67" i="17" s="1"/>
  <c r="AQ65" i="17"/>
  <c r="AR65" i="17" s="1"/>
  <c r="AS65" i="17"/>
  <c r="AS67" i="17" s="1"/>
  <c r="AT65" i="17"/>
  <c r="AT67" i="17" s="1"/>
  <c r="AU65" i="17"/>
  <c r="AU67" i="17" s="1"/>
  <c r="AV65" i="17"/>
  <c r="AV67" i="17" s="1"/>
  <c r="T67" i="17"/>
  <c r="U67" i="17"/>
  <c r="V67" i="17"/>
  <c r="W67" i="17"/>
  <c r="X67" i="17"/>
  <c r="Y67" i="17"/>
  <c r="Z67" i="17"/>
  <c r="AA67" i="17"/>
  <c r="AB67" i="17"/>
  <c r="AC67" i="17"/>
  <c r="AD67" i="17"/>
  <c r="AE67" i="17"/>
  <c r="AF67" i="17"/>
  <c r="AG67" i="17"/>
  <c r="AH67" i="17"/>
  <c r="AI67" i="17"/>
  <c r="AJ67" i="17"/>
  <c r="AK67" i="17"/>
  <c r="AL67" i="17"/>
  <c r="AN67" i="17"/>
  <c r="AO67" i="17"/>
  <c r="AP67" i="17"/>
  <c r="N69" i="17"/>
  <c r="N71" i="17" s="1"/>
  <c r="S69" i="17"/>
  <c r="S71" i="17" s="1"/>
  <c r="X69" i="17"/>
  <c r="X71" i="17" s="1"/>
  <c r="AC69" i="17"/>
  <c r="AC71" i="17" s="1"/>
  <c r="AH69" i="17"/>
  <c r="AH71" i="17" s="1"/>
  <c r="AM69" i="17"/>
  <c r="AM71" i="17" s="1"/>
  <c r="AQ69" i="17"/>
  <c r="AR69" i="17" s="1"/>
  <c r="AS69" i="17"/>
  <c r="AS71" i="17" s="1"/>
  <c r="AT69" i="17"/>
  <c r="AT71" i="17" s="1"/>
  <c r="AU69" i="17"/>
  <c r="AU71" i="17" s="1"/>
  <c r="AV69" i="17"/>
  <c r="AV71" i="17" s="1"/>
  <c r="C71" i="17"/>
  <c r="D71" i="17"/>
  <c r="E71" i="17"/>
  <c r="F71" i="17"/>
  <c r="G71" i="17"/>
  <c r="H71" i="17"/>
  <c r="I71" i="17"/>
  <c r="J71" i="17"/>
  <c r="K71" i="17"/>
  <c r="L71" i="17"/>
  <c r="M71" i="17"/>
  <c r="O71" i="17"/>
  <c r="P71" i="17"/>
  <c r="Q71" i="17"/>
  <c r="R71" i="17"/>
  <c r="T71" i="17"/>
  <c r="U71" i="17"/>
  <c r="V71" i="17"/>
  <c r="W71" i="17"/>
  <c r="Y71" i="17"/>
  <c r="Z71" i="17"/>
  <c r="AA71" i="17"/>
  <c r="AB71" i="17"/>
  <c r="AD71" i="17"/>
  <c r="AE71" i="17"/>
  <c r="AF71" i="17"/>
  <c r="AG71" i="17"/>
  <c r="AI71" i="17"/>
  <c r="AJ71" i="17"/>
  <c r="AK71" i="17"/>
  <c r="AL71" i="17"/>
  <c r="AN71" i="17"/>
  <c r="AO71" i="17"/>
  <c r="AP71" i="17"/>
  <c r="N73" i="17"/>
  <c r="N75" i="17" s="1"/>
  <c r="S73" i="17"/>
  <c r="S75" i="17" s="1"/>
  <c r="X73" i="17"/>
  <c r="X75" i="17" s="1"/>
  <c r="AC73" i="17"/>
  <c r="AC75" i="17" s="1"/>
  <c r="AD73" i="17"/>
  <c r="AD75" i="17" s="1"/>
  <c r="AE73" i="17"/>
  <c r="AE75" i="17" s="1"/>
  <c r="AF73" i="17"/>
  <c r="AF75" i="17" s="1"/>
  <c r="AG73" i="17"/>
  <c r="AG75" i="17" s="1"/>
  <c r="AM73" i="17"/>
  <c r="AM75" i="17" s="1"/>
  <c r="AQ73" i="17"/>
  <c r="AR73" i="17" s="1"/>
  <c r="AS73" i="17"/>
  <c r="AS75" i="17" s="1"/>
  <c r="AT73" i="17"/>
  <c r="AT75" i="17" s="1"/>
  <c r="AU73" i="17"/>
  <c r="AU75" i="17" s="1"/>
  <c r="AV73" i="17"/>
  <c r="AV75" i="17" s="1"/>
  <c r="C75" i="17"/>
  <c r="D75" i="17"/>
  <c r="E75" i="17"/>
  <c r="F75" i="17"/>
  <c r="G75" i="17"/>
  <c r="H75" i="17"/>
  <c r="I75" i="17"/>
  <c r="J75" i="17"/>
  <c r="K75" i="17"/>
  <c r="L75" i="17"/>
  <c r="M75" i="17"/>
  <c r="O75" i="17"/>
  <c r="P75" i="17"/>
  <c r="Q75" i="17"/>
  <c r="R75" i="17"/>
  <c r="T75" i="17"/>
  <c r="U75" i="17"/>
  <c r="V75" i="17"/>
  <c r="W75" i="17"/>
  <c r="Y75" i="17"/>
  <c r="Z75" i="17"/>
  <c r="AA75" i="17"/>
  <c r="AB75" i="17"/>
  <c r="AI75" i="17"/>
  <c r="AJ75" i="17"/>
  <c r="AK75" i="17"/>
  <c r="AL75" i="17"/>
  <c r="AN75" i="17"/>
  <c r="AO75" i="17"/>
  <c r="AP75" i="17"/>
  <c r="C83" i="17"/>
  <c r="D83" i="17"/>
  <c r="E83" i="17"/>
  <c r="F83" i="17"/>
  <c r="G83" i="17"/>
  <c r="H83" i="17"/>
  <c r="I83" i="17"/>
  <c r="J83" i="17"/>
  <c r="K83" i="17"/>
  <c r="L83" i="17"/>
  <c r="N83" i="17"/>
  <c r="O83" i="17"/>
  <c r="P83" i="17"/>
  <c r="Q83" i="17"/>
  <c r="S83" i="17"/>
  <c r="T83" i="17"/>
  <c r="U83" i="17"/>
  <c r="V83" i="17"/>
  <c r="X83" i="17"/>
  <c r="Y83" i="17"/>
  <c r="Z83" i="17"/>
  <c r="AA83" i="17"/>
  <c r="AC83" i="17"/>
  <c r="AD83" i="17"/>
  <c r="AE83" i="17"/>
  <c r="AF83" i="17"/>
  <c r="AH83" i="17"/>
  <c r="AI83" i="17"/>
  <c r="AJ83" i="17"/>
  <c r="AK83" i="17"/>
  <c r="AL83" i="17"/>
  <c r="AN83" i="17"/>
  <c r="AO83" i="17"/>
  <c r="AP83" i="17"/>
  <c r="AQ83" i="17"/>
  <c r="AS83" i="17"/>
  <c r="AT83" i="17"/>
  <c r="AU83" i="17"/>
  <c r="AV83" i="17"/>
  <c r="C87" i="17"/>
  <c r="D87" i="17"/>
  <c r="E87" i="17"/>
  <c r="F87" i="17"/>
  <c r="G87" i="17"/>
  <c r="H87" i="17"/>
  <c r="I87" i="17"/>
  <c r="J87" i="17"/>
  <c r="K87" i="17"/>
  <c r="L87" i="17"/>
  <c r="M87" i="17"/>
  <c r="O87" i="17"/>
  <c r="P87" i="17"/>
  <c r="Q87" i="17"/>
  <c r="R87" i="17"/>
  <c r="T87" i="17"/>
  <c r="U87" i="17"/>
  <c r="V87" i="17"/>
  <c r="W87" i="17"/>
  <c r="Y87" i="17"/>
  <c r="Z87" i="17"/>
  <c r="AA87" i="17"/>
  <c r="AB87" i="17"/>
  <c r="AD87" i="17"/>
  <c r="AE87" i="17"/>
  <c r="AF87" i="17"/>
  <c r="AG87" i="17"/>
  <c r="AI87" i="17"/>
  <c r="AJ87" i="17"/>
  <c r="AK87" i="17"/>
  <c r="AL87" i="17"/>
  <c r="AN87" i="17"/>
  <c r="AO87" i="17"/>
  <c r="AP87" i="17"/>
  <c r="AQ87" i="17"/>
  <c r="AS87" i="17"/>
  <c r="AT87" i="17"/>
  <c r="AU87" i="17"/>
  <c r="AV87" i="17"/>
  <c r="C35" i="12"/>
  <c r="D35" i="12"/>
  <c r="E35" i="12"/>
  <c r="F35" i="12"/>
  <c r="G35" i="12"/>
  <c r="H35" i="12"/>
  <c r="I35" i="12"/>
  <c r="N37" i="12"/>
  <c r="N38" i="12" s="1"/>
  <c r="Q37" i="12"/>
  <c r="S37" i="12" s="1"/>
  <c r="S38" i="12" s="1"/>
  <c r="X37" i="12"/>
  <c r="X38" i="12" s="1"/>
  <c r="AC37" i="12"/>
  <c r="AH37" i="12"/>
  <c r="AH38" i="12" s="1"/>
  <c r="AM37" i="12"/>
  <c r="C40" i="12"/>
  <c r="D40" i="12"/>
  <c r="E40" i="12"/>
  <c r="F40" i="12"/>
  <c r="G40" i="12"/>
  <c r="H40" i="12"/>
  <c r="I40" i="12"/>
  <c r="J40" i="12"/>
  <c r="K40" i="12"/>
  <c r="L40" i="12"/>
  <c r="M40" i="12"/>
  <c r="O40" i="12"/>
  <c r="P40" i="12"/>
  <c r="R40" i="12"/>
  <c r="T40" i="12"/>
  <c r="U40" i="12"/>
  <c r="V40" i="12"/>
  <c r="W40" i="12"/>
  <c r="Y40" i="12"/>
  <c r="Z40" i="12"/>
  <c r="AA40" i="12"/>
  <c r="AB40" i="12"/>
  <c r="AD40" i="12"/>
  <c r="AE40" i="12"/>
  <c r="AF40" i="12"/>
  <c r="AG40" i="12"/>
  <c r="AI40" i="12"/>
  <c r="AJ40" i="12"/>
  <c r="AK40" i="12"/>
  <c r="AL40" i="12"/>
  <c r="AW42" i="12"/>
  <c r="BB42" i="12"/>
  <c r="AS45" i="12"/>
  <c r="AT45" i="12"/>
  <c r="AU45" i="12"/>
  <c r="AV45" i="12"/>
  <c r="AX45" i="12"/>
  <c r="AY45" i="12"/>
  <c r="AZ45" i="12"/>
  <c r="BA45" i="12"/>
  <c r="N47" i="12"/>
  <c r="S47" i="12"/>
  <c r="C50" i="12"/>
  <c r="D50" i="12"/>
  <c r="E50" i="12"/>
  <c r="F50" i="12"/>
  <c r="G50" i="12"/>
  <c r="H50" i="12"/>
  <c r="I50" i="12"/>
  <c r="J50" i="12"/>
  <c r="K50" i="12"/>
  <c r="L50" i="12"/>
  <c r="M50" i="12"/>
  <c r="O50" i="12"/>
  <c r="P50" i="12"/>
  <c r="Q50" i="12"/>
  <c r="R50" i="12"/>
  <c r="AW78" i="12"/>
  <c r="BB78" i="12"/>
  <c r="AS81" i="12"/>
  <c r="AT81" i="12"/>
  <c r="AU81" i="12"/>
  <c r="AV81" i="12"/>
  <c r="AX81" i="12"/>
  <c r="AY81" i="12"/>
  <c r="AZ81" i="12"/>
  <c r="BA81" i="12"/>
  <c r="N52" i="12"/>
  <c r="N53" i="12" s="1"/>
  <c r="Q52" i="12"/>
  <c r="AC52" i="12"/>
  <c r="AC53" i="12" s="1"/>
  <c r="AH52" i="12"/>
  <c r="AM52" i="12"/>
  <c r="AM53" i="12" s="1"/>
  <c r="AR52" i="12"/>
  <c r="AR53" i="12" s="1"/>
  <c r="AW52" i="12"/>
  <c r="BB52" i="12"/>
  <c r="C55" i="12"/>
  <c r="D55" i="12"/>
  <c r="E55" i="12"/>
  <c r="F55" i="12"/>
  <c r="G55" i="12"/>
  <c r="H55" i="12"/>
  <c r="I55" i="12"/>
  <c r="J55" i="12"/>
  <c r="K55" i="12"/>
  <c r="L55" i="12"/>
  <c r="M55" i="12"/>
  <c r="O55" i="12"/>
  <c r="P55" i="12"/>
  <c r="R55" i="12"/>
  <c r="T55" i="12"/>
  <c r="U55" i="12"/>
  <c r="V55" i="12"/>
  <c r="W55" i="12"/>
  <c r="Y55" i="12"/>
  <c r="Z55" i="12"/>
  <c r="AA55" i="12"/>
  <c r="AB55" i="12"/>
  <c r="AD55" i="12"/>
  <c r="AE55" i="12"/>
  <c r="AF55" i="12"/>
  <c r="AG55" i="12"/>
  <c r="AI55" i="12"/>
  <c r="AJ55" i="12"/>
  <c r="AK55" i="12"/>
  <c r="AL55" i="12"/>
  <c r="AN55" i="12"/>
  <c r="AO55" i="12"/>
  <c r="AP55" i="12"/>
  <c r="AQ55" i="12"/>
  <c r="AS55" i="12"/>
  <c r="AT55" i="12"/>
  <c r="AU55" i="12"/>
  <c r="AV55" i="12"/>
  <c r="AX55" i="12"/>
  <c r="AY55" i="12"/>
  <c r="AZ55" i="12"/>
  <c r="BA55" i="12"/>
  <c r="N83" i="12"/>
  <c r="S83" i="12"/>
  <c r="W83" i="12"/>
  <c r="W85" i="12" s="1"/>
  <c r="W86" i="12" s="1"/>
  <c r="J85" i="12"/>
  <c r="J86" i="12" s="1"/>
  <c r="K85" i="12"/>
  <c r="K86" i="12" s="1"/>
  <c r="L85" i="12"/>
  <c r="L86" i="12" s="1"/>
  <c r="M85" i="12"/>
  <c r="M86" i="12" s="1"/>
  <c r="O85" i="12"/>
  <c r="O86" i="12" s="1"/>
  <c r="P85" i="12"/>
  <c r="P86" i="12" s="1"/>
  <c r="Q85" i="12"/>
  <c r="Q86" i="12" s="1"/>
  <c r="R85" i="12"/>
  <c r="R86" i="12" s="1"/>
  <c r="T85" i="12"/>
  <c r="T86" i="12" s="1"/>
  <c r="U85" i="12"/>
  <c r="U86" i="12" s="1"/>
  <c r="V85" i="12"/>
  <c r="V86" i="12" s="1"/>
  <c r="Y85" i="12"/>
  <c r="Y86" i="12" s="1"/>
  <c r="Z85" i="12"/>
  <c r="Z86" i="12" s="1"/>
  <c r="AA85" i="12"/>
  <c r="AB85" i="12"/>
  <c r="AB86" i="12" s="1"/>
  <c r="AD85" i="12"/>
  <c r="AD86" i="12" s="1"/>
  <c r="AE85" i="12"/>
  <c r="AE86" i="12" s="1"/>
  <c r="AF85" i="12"/>
  <c r="AF86" i="12" s="1"/>
  <c r="AG85" i="12"/>
  <c r="C86" i="12"/>
  <c r="D86" i="12"/>
  <c r="E86" i="12"/>
  <c r="F86" i="12"/>
  <c r="G86" i="12"/>
  <c r="H86" i="12"/>
  <c r="I86" i="12"/>
  <c r="C92" i="12"/>
  <c r="D92" i="12"/>
  <c r="D93" i="12" s="1"/>
  <c r="E92" i="12"/>
  <c r="E93" i="12" s="1"/>
  <c r="C98" i="12"/>
  <c r="C99" i="12" s="1"/>
  <c r="D98" i="12"/>
  <c r="D99" i="12" s="1"/>
  <c r="E98" i="12"/>
  <c r="E99" i="12" s="1"/>
  <c r="F98" i="12"/>
  <c r="F99" i="12" s="1"/>
  <c r="C104" i="12"/>
  <c r="C105" i="12" s="1"/>
  <c r="D104" i="12"/>
  <c r="D105" i="12" s="1"/>
  <c r="E104" i="12"/>
  <c r="E105" i="12" s="1"/>
  <c r="F104" i="12"/>
  <c r="F105" i="12" s="1"/>
  <c r="G104" i="12"/>
  <c r="G105" i="12" s="1"/>
  <c r="H105" i="12"/>
  <c r="I105" i="12"/>
  <c r="J105" i="12"/>
  <c r="K105" i="12"/>
  <c r="L105" i="12"/>
  <c r="M105" i="12"/>
  <c r="N105" i="12"/>
  <c r="O105" i="12"/>
  <c r="P105" i="12"/>
  <c r="Q105" i="12"/>
  <c r="R105" i="12"/>
  <c r="S105" i="12"/>
  <c r="T105" i="12"/>
  <c r="U105" i="12"/>
  <c r="V105" i="12"/>
  <c r="W105" i="12"/>
  <c r="X105" i="12"/>
  <c r="Y105" i="12"/>
  <c r="Z105" i="12"/>
  <c r="AA105" i="12"/>
  <c r="AB105" i="12"/>
  <c r="AC105" i="12"/>
  <c r="AD105" i="12"/>
  <c r="AE105" i="12"/>
  <c r="AF105" i="12"/>
  <c r="AG105" i="12"/>
  <c r="AH105" i="12"/>
  <c r="AI105" i="12"/>
  <c r="AJ105" i="12"/>
  <c r="AK105" i="12"/>
  <c r="AL105" i="12"/>
  <c r="AM117" i="12"/>
  <c r="AM118" i="12" s="1"/>
  <c r="AR117" i="12"/>
  <c r="AW117" i="12"/>
  <c r="BB117" i="12"/>
  <c r="BB65" i="17" s="1"/>
  <c r="BB67" i="17" s="1"/>
  <c r="AD118" i="12"/>
  <c r="AE118" i="12"/>
  <c r="AF118" i="12"/>
  <c r="AG118" i="12"/>
  <c r="AH118" i="12"/>
  <c r="AI118" i="12"/>
  <c r="AJ118" i="12"/>
  <c r="AK118" i="12"/>
  <c r="AL118" i="12"/>
  <c r="AN118" i="12"/>
  <c r="AO118" i="12"/>
  <c r="AP118" i="12"/>
  <c r="AQ118" i="12"/>
  <c r="AS118" i="12"/>
  <c r="AT118" i="12"/>
  <c r="AU118" i="12"/>
  <c r="AV118" i="12"/>
  <c r="AX118" i="12"/>
  <c r="AY118" i="12"/>
  <c r="AZ118" i="12"/>
  <c r="BA118" i="12"/>
  <c r="AM123" i="12"/>
  <c r="AR123" i="12"/>
  <c r="AW123" i="12"/>
  <c r="BB123" i="12"/>
  <c r="D124" i="12"/>
  <c r="E124" i="12"/>
  <c r="F124" i="12"/>
  <c r="G124" i="12"/>
  <c r="H124" i="12"/>
  <c r="I124" i="12"/>
  <c r="N124" i="12"/>
  <c r="O124" i="12"/>
  <c r="P124" i="12"/>
  <c r="Q124" i="12"/>
  <c r="R124" i="12"/>
  <c r="S124" i="12"/>
  <c r="T124" i="12"/>
  <c r="U124" i="12"/>
  <c r="V124" i="12"/>
  <c r="W124" i="12"/>
  <c r="X124" i="12"/>
  <c r="Y124" i="12"/>
  <c r="Z124" i="12"/>
  <c r="AA124" i="12"/>
  <c r="AB124" i="12"/>
  <c r="AC124" i="12"/>
  <c r="AD124" i="12"/>
  <c r="AE124" i="12"/>
  <c r="AF124" i="12"/>
  <c r="AG124" i="12"/>
  <c r="AH124" i="12"/>
  <c r="AI124" i="12"/>
  <c r="AJ124" i="12"/>
  <c r="AK124" i="12"/>
  <c r="AL124" i="12"/>
  <c r="AN124" i="12"/>
  <c r="AO124" i="12"/>
  <c r="AP124" i="12"/>
  <c r="AQ124" i="12"/>
  <c r="AS124" i="12"/>
  <c r="AT124" i="12"/>
  <c r="AU124" i="12"/>
  <c r="AV124" i="12"/>
  <c r="AX124" i="12"/>
  <c r="AY124" i="12"/>
  <c r="AZ124" i="12"/>
  <c r="BA124" i="12"/>
  <c r="AM126" i="12"/>
  <c r="AM127" i="12" s="1"/>
  <c r="AR126" i="12"/>
  <c r="AW126" i="12"/>
  <c r="BB126" i="12"/>
  <c r="BB73" i="17" s="1"/>
  <c r="BB75" i="17" s="1"/>
  <c r="D127" i="12"/>
  <c r="E127" i="12"/>
  <c r="F127" i="12"/>
  <c r="G127" i="12"/>
  <c r="H127" i="12"/>
  <c r="I127" i="12"/>
  <c r="N127" i="12"/>
  <c r="O127" i="12"/>
  <c r="P127" i="12"/>
  <c r="Q127" i="12"/>
  <c r="R127" i="12"/>
  <c r="S127" i="12"/>
  <c r="T127" i="12"/>
  <c r="U127" i="12"/>
  <c r="V127" i="12"/>
  <c r="W127" i="12"/>
  <c r="X127" i="12"/>
  <c r="Y127" i="12"/>
  <c r="Z127" i="12"/>
  <c r="AA127" i="12"/>
  <c r="AB127" i="12"/>
  <c r="AC127" i="12"/>
  <c r="AD127" i="12"/>
  <c r="AE127" i="12"/>
  <c r="AF127" i="12"/>
  <c r="AG127" i="12"/>
  <c r="AH127" i="12"/>
  <c r="AI127" i="12"/>
  <c r="AJ127" i="12"/>
  <c r="AK127" i="12"/>
  <c r="AL127" i="12"/>
  <c r="AN127" i="12"/>
  <c r="AO127" i="12"/>
  <c r="AP127" i="12"/>
  <c r="AQ127" i="12"/>
  <c r="AS127" i="12"/>
  <c r="AT127" i="12"/>
  <c r="AU127" i="12"/>
  <c r="AV127" i="12"/>
  <c r="AX127" i="12"/>
  <c r="AY127" i="12"/>
  <c r="AZ127" i="12"/>
  <c r="BA127" i="12"/>
  <c r="R7" i="1"/>
  <c r="R6" i="3" s="1"/>
  <c r="W7" i="1"/>
  <c r="W6" i="3" s="1"/>
  <c r="AB7" i="1"/>
  <c r="AB6" i="3" s="1"/>
  <c r="AG7" i="1"/>
  <c r="AG6" i="3" s="1"/>
  <c r="AM7" i="1"/>
  <c r="AR7" i="1"/>
  <c r="R8" i="1"/>
  <c r="R7" i="3" s="1"/>
  <c r="W8" i="1"/>
  <c r="W7" i="3" s="1"/>
  <c r="AB8" i="1"/>
  <c r="AB7" i="3" s="1"/>
  <c r="AG8" i="1"/>
  <c r="AG7" i="3" s="1"/>
  <c r="AM8" i="1"/>
  <c r="AR8" i="1"/>
  <c r="N9" i="1"/>
  <c r="M9" i="1" s="1"/>
  <c r="M8" i="3" s="1"/>
  <c r="O9" i="1"/>
  <c r="P9" i="1"/>
  <c r="Q9" i="1"/>
  <c r="S9" i="1"/>
  <c r="T9" i="1"/>
  <c r="U9" i="1"/>
  <c r="V9" i="1"/>
  <c r="X9" i="1"/>
  <c r="Y9" i="1"/>
  <c r="Z9" i="1"/>
  <c r="AA9" i="1"/>
  <c r="AC9" i="1"/>
  <c r="AD9" i="1"/>
  <c r="AE9" i="1"/>
  <c r="AF9" i="1"/>
  <c r="AH9" i="1"/>
  <c r="AI9" i="1"/>
  <c r="AJ9" i="1"/>
  <c r="AK9" i="1"/>
  <c r="AL9" i="1"/>
  <c r="AN9" i="1"/>
  <c r="AO9" i="1"/>
  <c r="AP9" i="1"/>
  <c r="AQ9" i="1"/>
  <c r="AS9" i="1"/>
  <c r="AT9" i="1"/>
  <c r="AU9" i="1"/>
  <c r="R10" i="1"/>
  <c r="R9" i="3" s="1"/>
  <c r="W10" i="1"/>
  <c r="W9" i="3" s="1"/>
  <c r="AB10" i="1"/>
  <c r="AB9" i="3" s="1"/>
  <c r="AG10" i="1"/>
  <c r="AG9" i="3" s="1"/>
  <c r="AM10" i="1"/>
  <c r="AR10" i="1"/>
  <c r="J11" i="1"/>
  <c r="K11" i="1"/>
  <c r="K10" i="3" s="1"/>
  <c r="L11" i="1"/>
  <c r="L10" i="3" s="1"/>
  <c r="R11" i="1"/>
  <c r="R10" i="3" s="1"/>
  <c r="W11" i="1"/>
  <c r="W10" i="3" s="1"/>
  <c r="AB11" i="1"/>
  <c r="AB10" i="3" s="1"/>
  <c r="AG11" i="1"/>
  <c r="AG10" i="3" s="1"/>
  <c r="AM11" i="1"/>
  <c r="AR11" i="1"/>
  <c r="M12" i="1"/>
  <c r="M11" i="3" s="1"/>
  <c r="R12" i="1"/>
  <c r="R11" i="3" s="1"/>
  <c r="W12" i="1"/>
  <c r="W11" i="3" s="1"/>
  <c r="AB12" i="1"/>
  <c r="AB11" i="3" s="1"/>
  <c r="AG12" i="1"/>
  <c r="AG11" i="3" s="1"/>
  <c r="AM12" i="1"/>
  <c r="AR12" i="1"/>
  <c r="C13" i="1"/>
  <c r="C18" i="1" s="1"/>
  <c r="D13" i="1"/>
  <c r="D18" i="1" s="1"/>
  <c r="D24" i="1" s="1"/>
  <c r="D27" i="1" s="1"/>
  <c r="E13" i="1"/>
  <c r="F13" i="1"/>
  <c r="G13" i="1"/>
  <c r="H13" i="1"/>
  <c r="I13" i="1"/>
  <c r="N13" i="1"/>
  <c r="O13" i="1"/>
  <c r="P13" i="1"/>
  <c r="Q13" i="1"/>
  <c r="S13" i="1"/>
  <c r="T13" i="1"/>
  <c r="U13" i="1"/>
  <c r="V13" i="1"/>
  <c r="X13" i="1"/>
  <c r="Y13" i="1"/>
  <c r="Z13" i="1"/>
  <c r="AA13" i="1"/>
  <c r="AC13" i="1"/>
  <c r="AD13" i="1"/>
  <c r="AE13" i="1"/>
  <c r="AF13" i="1"/>
  <c r="AH13" i="1"/>
  <c r="AI13" i="1"/>
  <c r="AJ13" i="1"/>
  <c r="AK13" i="1"/>
  <c r="AL13" i="1"/>
  <c r="AN13" i="1"/>
  <c r="AO13" i="1"/>
  <c r="AP13" i="1"/>
  <c r="AQ13" i="1"/>
  <c r="AS13" i="1"/>
  <c r="AT13" i="1"/>
  <c r="AU13" i="1"/>
  <c r="M14" i="1"/>
  <c r="M14" i="3" s="1"/>
  <c r="R14" i="1"/>
  <c r="R14" i="3" s="1"/>
  <c r="W14" i="1"/>
  <c r="W14" i="3" s="1"/>
  <c r="AB14" i="1"/>
  <c r="AB14" i="3" s="1"/>
  <c r="AG14" i="1"/>
  <c r="AG14" i="3" s="1"/>
  <c r="AM14" i="1"/>
  <c r="AR14" i="1"/>
  <c r="M15" i="1"/>
  <c r="M15" i="3" s="1"/>
  <c r="R15" i="1"/>
  <c r="R15" i="3" s="1"/>
  <c r="W15" i="1"/>
  <c r="W15" i="3" s="1"/>
  <c r="AB15" i="1"/>
  <c r="AB15" i="3" s="1"/>
  <c r="AG15" i="1"/>
  <c r="AG15" i="3" s="1"/>
  <c r="AM15" i="1"/>
  <c r="AR15" i="1"/>
  <c r="M16" i="1"/>
  <c r="M16" i="3" s="1"/>
  <c r="R16" i="1"/>
  <c r="R16" i="3" s="1"/>
  <c r="W16" i="1"/>
  <c r="W16" i="3" s="1"/>
  <c r="AB16" i="1"/>
  <c r="AB16" i="3" s="1"/>
  <c r="AG16" i="1"/>
  <c r="AG16" i="3" s="1"/>
  <c r="AM16" i="1"/>
  <c r="AR16" i="1"/>
  <c r="E17" i="1"/>
  <c r="E17" i="3" s="1"/>
  <c r="F17" i="1"/>
  <c r="F17" i="3" s="1"/>
  <c r="G17" i="1"/>
  <c r="G17" i="3" s="1"/>
  <c r="H17" i="1"/>
  <c r="I17" i="1"/>
  <c r="I17" i="3" s="1"/>
  <c r="K17" i="1"/>
  <c r="K17" i="3" s="1"/>
  <c r="L17" i="1"/>
  <c r="L17" i="3" s="1"/>
  <c r="N17" i="1"/>
  <c r="R17" i="1"/>
  <c r="R17" i="3" s="1"/>
  <c r="W17" i="1"/>
  <c r="W17" i="3" s="1"/>
  <c r="AB17" i="1"/>
  <c r="AB17" i="3" s="1"/>
  <c r="AG17" i="1"/>
  <c r="AG17" i="3" s="1"/>
  <c r="AM17" i="1"/>
  <c r="AR17" i="1"/>
  <c r="M22" i="1"/>
  <c r="M19" i="3" s="1"/>
  <c r="R22" i="1"/>
  <c r="R19" i="3" s="1"/>
  <c r="U22" i="1"/>
  <c r="U19" i="3" s="1"/>
  <c r="X22" i="1"/>
  <c r="AB22" i="1"/>
  <c r="AB19" i="3" s="1"/>
  <c r="AG22" i="1"/>
  <c r="AG19" i="3" s="1"/>
  <c r="AM22" i="1"/>
  <c r="AR22" i="1"/>
  <c r="C23" i="1"/>
  <c r="C20" i="3" s="1"/>
  <c r="M23" i="1"/>
  <c r="M20" i="3" s="1"/>
  <c r="R23" i="1"/>
  <c r="R20" i="3" s="1"/>
  <c r="W23" i="1"/>
  <c r="W20" i="3" s="1"/>
  <c r="AB23" i="1"/>
  <c r="AB20" i="3" s="1"/>
  <c r="AG23" i="1"/>
  <c r="AG20" i="3" s="1"/>
  <c r="AM23" i="1"/>
  <c r="AR23" i="1"/>
  <c r="M25" i="1"/>
  <c r="M22" i="3" s="1"/>
  <c r="R25" i="1"/>
  <c r="R22" i="3" s="1"/>
  <c r="W25" i="1"/>
  <c r="W22" i="3" s="1"/>
  <c r="AB25" i="1"/>
  <c r="AB22" i="3" s="1"/>
  <c r="AG25" i="1"/>
  <c r="AG22" i="3" s="1"/>
  <c r="AM25" i="1"/>
  <c r="AR25" i="1"/>
  <c r="K28" i="1"/>
  <c r="K36" i="1" s="1"/>
  <c r="L28" i="1"/>
  <c r="L25" i="3" s="1"/>
  <c r="N28" i="1"/>
  <c r="S28" i="1"/>
  <c r="S36" i="1" s="1"/>
  <c r="W28" i="1"/>
  <c r="W25" i="3" s="1"/>
  <c r="AB28" i="1"/>
  <c r="AB25" i="3" s="1"/>
  <c r="AG28" i="1"/>
  <c r="AG25" i="3" s="1"/>
  <c r="AM28" i="1"/>
  <c r="AM36" i="1" s="1"/>
  <c r="AR28" i="1"/>
  <c r="AR36" i="1" s="1"/>
  <c r="C32" i="1"/>
  <c r="D32" i="1"/>
  <c r="E32" i="1"/>
  <c r="F32" i="1"/>
  <c r="G32" i="1"/>
  <c r="H32" i="1"/>
  <c r="I32" i="1"/>
  <c r="J32" i="1"/>
  <c r="O32" i="1"/>
  <c r="P32" i="1"/>
  <c r="Q32" i="1"/>
  <c r="T32" i="1"/>
  <c r="U32" i="1"/>
  <c r="V32" i="1"/>
  <c r="X32" i="1"/>
  <c r="Y32" i="1"/>
  <c r="Z32" i="1"/>
  <c r="AA32" i="1"/>
  <c r="AC32" i="1"/>
  <c r="AD32" i="1"/>
  <c r="AE32" i="1"/>
  <c r="AF32" i="1"/>
  <c r="AH32" i="1"/>
  <c r="AI32" i="1"/>
  <c r="AJ32" i="1"/>
  <c r="AK32" i="1"/>
  <c r="AL32" i="1"/>
  <c r="AN32" i="1"/>
  <c r="AO32" i="1"/>
  <c r="AP32" i="1"/>
  <c r="AQ32" i="1"/>
  <c r="AS32" i="1"/>
  <c r="AT32" i="1"/>
  <c r="AU32" i="1"/>
  <c r="C36" i="1"/>
  <c r="D36" i="1"/>
  <c r="E36" i="1"/>
  <c r="F36" i="1"/>
  <c r="G36" i="1"/>
  <c r="H36" i="1"/>
  <c r="I36" i="1"/>
  <c r="J36" i="1"/>
  <c r="O36" i="1"/>
  <c r="P36" i="1"/>
  <c r="Q36" i="1"/>
  <c r="T36" i="1"/>
  <c r="U36" i="1"/>
  <c r="V36" i="1"/>
  <c r="X36" i="1"/>
  <c r="Y36" i="1"/>
  <c r="Z36" i="1"/>
  <c r="AA36" i="1"/>
  <c r="AC36" i="1"/>
  <c r="AD36" i="1"/>
  <c r="AE36" i="1"/>
  <c r="AF36" i="1"/>
  <c r="AH36" i="1"/>
  <c r="AI36" i="1"/>
  <c r="AJ36" i="1"/>
  <c r="AK36" i="1"/>
  <c r="AL36" i="1"/>
  <c r="AN36" i="1"/>
  <c r="AO36" i="1"/>
  <c r="AP36" i="1"/>
  <c r="AQ36" i="1"/>
  <c r="AS36" i="1"/>
  <c r="AT36" i="1"/>
  <c r="AU36" i="1"/>
  <c r="M40" i="1"/>
  <c r="M39" i="3" s="1"/>
  <c r="R40" i="1"/>
  <c r="R39" i="3" s="1"/>
  <c r="W40" i="1"/>
  <c r="AB40" i="1"/>
  <c r="AB39" i="3" s="1"/>
  <c r="AG40" i="1"/>
  <c r="AG39" i="3" s="1"/>
  <c r="M41" i="1"/>
  <c r="M40" i="3" s="1"/>
  <c r="R41" i="1"/>
  <c r="R40" i="3" s="1"/>
  <c r="W41" i="1"/>
  <c r="W40" i="3" s="1"/>
  <c r="AB41" i="1"/>
  <c r="AB40" i="3" s="1"/>
  <c r="AG41" i="1"/>
  <c r="AG40" i="3" s="1"/>
  <c r="M47" i="1"/>
  <c r="M7" i="4" s="1"/>
  <c r="R47" i="1"/>
  <c r="R7" i="4" s="1"/>
  <c r="S7" i="4" s="1"/>
  <c r="W47" i="1"/>
  <c r="W7" i="4" s="1"/>
  <c r="AB47" i="1"/>
  <c r="AB7" i="4" s="1"/>
  <c r="AG47" i="1"/>
  <c r="AG7" i="4" s="1"/>
  <c r="AM47" i="1"/>
  <c r="AR47" i="1"/>
  <c r="M48" i="1"/>
  <c r="M8" i="4" s="1"/>
  <c r="N8" i="4" s="1"/>
  <c r="R48" i="1"/>
  <c r="R8" i="4" s="1"/>
  <c r="S8" i="4" s="1"/>
  <c r="W48" i="1"/>
  <c r="W8" i="4" s="1"/>
  <c r="X8" i="4" s="1"/>
  <c r="AB48" i="1"/>
  <c r="AB8" i="4" s="1"/>
  <c r="AG48" i="1"/>
  <c r="AG8" i="4" s="1"/>
  <c r="AH8" i="4" s="1"/>
  <c r="AM48" i="1"/>
  <c r="AR48" i="1"/>
  <c r="M49" i="1"/>
  <c r="M9" i="4" s="1"/>
  <c r="R49" i="1"/>
  <c r="R9" i="4" s="1"/>
  <c r="S9" i="4" s="1"/>
  <c r="W49" i="1"/>
  <c r="W9" i="4" s="1"/>
  <c r="AB49" i="1"/>
  <c r="AB9" i="4" s="1"/>
  <c r="AG49" i="1"/>
  <c r="AG9" i="4" s="1"/>
  <c r="AM49" i="1"/>
  <c r="AR49" i="1"/>
  <c r="M51" i="1"/>
  <c r="M11" i="4" s="1"/>
  <c r="N11" i="4" s="1"/>
  <c r="R51" i="1"/>
  <c r="R11" i="4" s="1"/>
  <c r="S11" i="4" s="1"/>
  <c r="W51" i="1"/>
  <c r="W11" i="4" s="1"/>
  <c r="X11" i="4" s="1"/>
  <c r="AB51" i="1"/>
  <c r="AB11" i="4" s="1"/>
  <c r="AG51" i="1"/>
  <c r="AG11" i="4" s="1"/>
  <c r="AH11" i="4" s="1"/>
  <c r="AM51" i="1"/>
  <c r="AR51" i="1"/>
  <c r="M52" i="1"/>
  <c r="M12" i="4" s="1"/>
  <c r="R52" i="1"/>
  <c r="R12" i="4" s="1"/>
  <c r="S12" i="4" s="1"/>
  <c r="W52" i="1"/>
  <c r="W12" i="4" s="1"/>
  <c r="X12" i="4" s="1"/>
  <c r="AB52" i="1"/>
  <c r="AB12" i="4" s="1"/>
  <c r="AC12" i="4" s="1"/>
  <c r="AG52" i="1"/>
  <c r="AG12" i="4" s="1"/>
  <c r="AH12" i="4" s="1"/>
  <c r="AM52" i="1"/>
  <c r="AR52" i="1"/>
  <c r="I53" i="1"/>
  <c r="I13" i="4" s="1"/>
  <c r="M53" i="1"/>
  <c r="M13" i="4" s="1"/>
  <c r="N13" i="4" s="1"/>
  <c r="R53" i="1"/>
  <c r="R13" i="4" s="1"/>
  <c r="W53" i="1"/>
  <c r="W13" i="4" s="1"/>
  <c r="AB53" i="1"/>
  <c r="AB13" i="4" s="1"/>
  <c r="AG53" i="1"/>
  <c r="AG13" i="4" s="1"/>
  <c r="AH13" i="4" s="1"/>
  <c r="AM53" i="1"/>
  <c r="AR53" i="1"/>
  <c r="I54" i="1"/>
  <c r="I14" i="4" s="1"/>
  <c r="M54" i="1"/>
  <c r="M14" i="4" s="1"/>
  <c r="N14" i="4" s="1"/>
  <c r="R54" i="1"/>
  <c r="R14" i="4" s="1"/>
  <c r="S14" i="4" s="1"/>
  <c r="W54" i="1"/>
  <c r="W14" i="4" s="1"/>
  <c r="AB54" i="1"/>
  <c r="AB14" i="4" s="1"/>
  <c r="AC14" i="4" s="1"/>
  <c r="AG54" i="1"/>
  <c r="AG14" i="4" s="1"/>
  <c r="AH14" i="4" s="1"/>
  <c r="AM54" i="1"/>
  <c r="AR54" i="1"/>
  <c r="C55" i="1"/>
  <c r="C64" i="1" s="1"/>
  <c r="D55" i="1"/>
  <c r="D64" i="1" s="1"/>
  <c r="E55" i="1"/>
  <c r="E64" i="1" s="1"/>
  <c r="F55" i="1"/>
  <c r="G55" i="1"/>
  <c r="G64" i="1" s="1"/>
  <c r="H55" i="1"/>
  <c r="H64" i="1" s="1"/>
  <c r="J55" i="1"/>
  <c r="J64" i="1" s="1"/>
  <c r="K55" i="1"/>
  <c r="K64" i="1" s="1"/>
  <c r="L55" i="1"/>
  <c r="L64" i="1" s="1"/>
  <c r="N55" i="1"/>
  <c r="O55" i="1"/>
  <c r="O64" i="1" s="1"/>
  <c r="P55" i="1"/>
  <c r="P64" i="1" s="1"/>
  <c r="Q55" i="1"/>
  <c r="Q64" i="1" s="1"/>
  <c r="S55" i="1"/>
  <c r="T55" i="1"/>
  <c r="T64" i="1" s="1"/>
  <c r="U55" i="1"/>
  <c r="V55" i="1"/>
  <c r="V64" i="1" s="1"/>
  <c r="X55" i="1"/>
  <c r="W55" i="1" s="1"/>
  <c r="Y55" i="1"/>
  <c r="Y64" i="1" s="1"/>
  <c r="Z55" i="1"/>
  <c r="Z64" i="1" s="1"/>
  <c r="AA55" i="1"/>
  <c r="AA64" i="1" s="1"/>
  <c r="AC55" i="1"/>
  <c r="AD55" i="1"/>
  <c r="AD64" i="1" s="1"/>
  <c r="AE55" i="1"/>
  <c r="AE64" i="1" s="1"/>
  <c r="AF55" i="1"/>
  <c r="AF64" i="1" s="1"/>
  <c r="AH55" i="1"/>
  <c r="AI55" i="1"/>
  <c r="AI64" i="1" s="1"/>
  <c r="AJ55" i="1"/>
  <c r="AJ64" i="1" s="1"/>
  <c r="AK55" i="1"/>
  <c r="AK64" i="1" s="1"/>
  <c r="AL55" i="1"/>
  <c r="AL64" i="1" s="1"/>
  <c r="AN55" i="1"/>
  <c r="AN64" i="1" s="1"/>
  <c r="AO55" i="1"/>
  <c r="AO64" i="1" s="1"/>
  <c r="AP55" i="1"/>
  <c r="AP64" i="1" s="1"/>
  <c r="AQ55" i="1"/>
  <c r="AQ64" i="1" s="1"/>
  <c r="AS55" i="1"/>
  <c r="AS64" i="1" s="1"/>
  <c r="AT55" i="1"/>
  <c r="AT64" i="1" s="1"/>
  <c r="AU55" i="1"/>
  <c r="AU64" i="1" s="1"/>
  <c r="M56" i="1"/>
  <c r="M16" i="4" s="1"/>
  <c r="N16" i="4" s="1"/>
  <c r="R56" i="1"/>
  <c r="R16" i="4" s="1"/>
  <c r="S16" i="4" s="1"/>
  <c r="W56" i="1"/>
  <c r="W16" i="4" s="1"/>
  <c r="X16" i="4" s="1"/>
  <c r="AB56" i="1"/>
  <c r="AB16" i="4" s="1"/>
  <c r="AC16" i="4" s="1"/>
  <c r="AG56" i="1"/>
  <c r="AG16" i="4" s="1"/>
  <c r="AH16" i="4" s="1"/>
  <c r="AM56" i="1"/>
  <c r="AR56" i="1"/>
  <c r="M57" i="1"/>
  <c r="M17" i="4" s="1"/>
  <c r="R57" i="1"/>
  <c r="R17" i="4" s="1"/>
  <c r="W57" i="1"/>
  <c r="W17" i="4" s="1"/>
  <c r="X17" i="4" s="1"/>
  <c r="AB57" i="1"/>
  <c r="AB17" i="4" s="1"/>
  <c r="AG57" i="1"/>
  <c r="AG17" i="4" s="1"/>
  <c r="AM57" i="1"/>
  <c r="AR57" i="1"/>
  <c r="M58" i="1"/>
  <c r="M18" i="4" s="1"/>
  <c r="N18" i="4" s="1"/>
  <c r="R58" i="1"/>
  <c r="R18" i="4" s="1"/>
  <c r="S18" i="4" s="1"/>
  <c r="W58" i="1"/>
  <c r="W18" i="4" s="1"/>
  <c r="X18" i="4" s="1"/>
  <c r="AB58" i="1"/>
  <c r="AB18" i="4" s="1"/>
  <c r="AC18" i="4" s="1"/>
  <c r="AG58" i="1"/>
  <c r="AG18" i="4" s="1"/>
  <c r="AM58" i="1"/>
  <c r="AR58" i="1"/>
  <c r="M59" i="1"/>
  <c r="M19" i="4" s="1"/>
  <c r="N19" i="4" s="1"/>
  <c r="R59" i="1"/>
  <c r="R19" i="4" s="1"/>
  <c r="W59" i="1"/>
  <c r="W19" i="4" s="1"/>
  <c r="X19" i="4" s="1"/>
  <c r="AB59" i="1"/>
  <c r="AB19" i="4" s="1"/>
  <c r="AC19" i="4" s="1"/>
  <c r="AG59" i="1"/>
  <c r="AG19" i="4" s="1"/>
  <c r="AH19" i="4" s="1"/>
  <c r="AM59" i="1"/>
  <c r="AR59" i="1"/>
  <c r="M60" i="1"/>
  <c r="M20" i="4" s="1"/>
  <c r="N20" i="4" s="1"/>
  <c r="R60" i="1"/>
  <c r="R20" i="4" s="1"/>
  <c r="S20" i="4" s="1"/>
  <c r="W60" i="1"/>
  <c r="W20" i="4" s="1"/>
  <c r="X20" i="4" s="1"/>
  <c r="AB60" i="1"/>
  <c r="AB20" i="4" s="1"/>
  <c r="AG60" i="1"/>
  <c r="AG20" i="4" s="1"/>
  <c r="AH20" i="4" s="1"/>
  <c r="AM60" i="1"/>
  <c r="AR60" i="1"/>
  <c r="M61" i="1"/>
  <c r="M21" i="4" s="1"/>
  <c r="N21" i="4" s="1"/>
  <c r="R61" i="1"/>
  <c r="R21" i="4" s="1"/>
  <c r="W61" i="1"/>
  <c r="W21" i="4" s="1"/>
  <c r="AB61" i="1"/>
  <c r="AB21" i="4" s="1"/>
  <c r="AG61" i="1"/>
  <c r="AG21" i="4" s="1"/>
  <c r="AM61" i="1"/>
  <c r="AR61" i="1"/>
  <c r="M62" i="1"/>
  <c r="M22" i="4" s="1"/>
  <c r="N22" i="4" s="1"/>
  <c r="R62" i="1"/>
  <c r="R22" i="4" s="1"/>
  <c r="S22" i="4" s="1"/>
  <c r="U62" i="1"/>
  <c r="U22" i="4" s="1"/>
  <c r="W62" i="1"/>
  <c r="W22" i="4" s="1"/>
  <c r="X22" i="4" s="1"/>
  <c r="AB62" i="1"/>
  <c r="AB22" i="4" s="1"/>
  <c r="AC22" i="4" s="1"/>
  <c r="AG62" i="1"/>
  <c r="AG22" i="4" s="1"/>
  <c r="AH22" i="4" s="1"/>
  <c r="AM62" i="1"/>
  <c r="AR62" i="1"/>
  <c r="F63" i="1"/>
  <c r="F64" i="1" s="1"/>
  <c r="N63" i="1"/>
  <c r="M63" i="1" s="1"/>
  <c r="M23" i="4" s="1"/>
  <c r="N23" i="4" s="1"/>
  <c r="R63" i="1"/>
  <c r="R23" i="4" s="1"/>
  <c r="S23" i="4" s="1"/>
  <c r="W63" i="1"/>
  <c r="W23" i="4" s="1"/>
  <c r="X23" i="4" s="1"/>
  <c r="AB63" i="1"/>
  <c r="AB23" i="4" s="1"/>
  <c r="AC23" i="4" s="1"/>
  <c r="AG63" i="1"/>
  <c r="AG23" i="4" s="1"/>
  <c r="AM63" i="1"/>
  <c r="AR63" i="1"/>
  <c r="M67" i="1"/>
  <c r="M27" i="4" s="1"/>
  <c r="R67" i="1"/>
  <c r="R27" i="4" s="1"/>
  <c r="W67" i="1"/>
  <c r="W27" i="4" s="1"/>
  <c r="AB67" i="1"/>
  <c r="AB27" i="4" s="1"/>
  <c r="AG67" i="1"/>
  <c r="AG27" i="4" s="1"/>
  <c r="AH27" i="4" s="1"/>
  <c r="AN27" i="4"/>
  <c r="M69" i="1"/>
  <c r="M29" i="4" s="1"/>
  <c r="N29" i="4" s="1"/>
  <c r="R69" i="1"/>
  <c r="R29" i="4" s="1"/>
  <c r="S29" i="4" s="1"/>
  <c r="W69" i="1"/>
  <c r="W29" i="4" s="1"/>
  <c r="X29" i="4" s="1"/>
  <c r="AB69" i="1"/>
  <c r="AB29" i="4" s="1"/>
  <c r="AC29" i="4" s="1"/>
  <c r="AG69" i="1"/>
  <c r="AG29" i="4" s="1"/>
  <c r="AH29" i="4" s="1"/>
  <c r="AM69" i="1"/>
  <c r="AR69" i="1"/>
  <c r="M70" i="1"/>
  <c r="M30" i="4" s="1"/>
  <c r="N30" i="4" s="1"/>
  <c r="R70" i="1"/>
  <c r="R30" i="4" s="1"/>
  <c r="S30" i="4" s="1"/>
  <c r="W70" i="1"/>
  <c r="W30" i="4" s="1"/>
  <c r="AB70" i="1"/>
  <c r="AB30" i="4" s="1"/>
  <c r="AC30" i="4" s="1"/>
  <c r="AG70" i="1"/>
  <c r="AG30" i="4" s="1"/>
  <c r="AH30" i="4" s="1"/>
  <c r="AM70" i="1"/>
  <c r="AR70" i="1"/>
  <c r="M71" i="1"/>
  <c r="M31" i="4" s="1"/>
  <c r="R71" i="1"/>
  <c r="R31" i="4" s="1"/>
  <c r="W71" i="1"/>
  <c r="W31" i="4" s="1"/>
  <c r="X31" i="4" s="1"/>
  <c r="AB71" i="1"/>
  <c r="AB31" i="4" s="1"/>
  <c r="AG71" i="1"/>
  <c r="AG31" i="4" s="1"/>
  <c r="AM71" i="1"/>
  <c r="AR71" i="1"/>
  <c r="M72" i="1"/>
  <c r="M32" i="4" s="1"/>
  <c r="N32" i="4" s="1"/>
  <c r="R72" i="1"/>
  <c r="R32" i="4" s="1"/>
  <c r="W72" i="1"/>
  <c r="W32" i="4" s="1"/>
  <c r="X32" i="4" s="1"/>
  <c r="AB72" i="1"/>
  <c r="AB32" i="4" s="1"/>
  <c r="AC32" i="4" s="1"/>
  <c r="AG72" i="1"/>
  <c r="AG32" i="4" s="1"/>
  <c r="AH32" i="4" s="1"/>
  <c r="AM72" i="1"/>
  <c r="AR72" i="1"/>
  <c r="C73" i="1"/>
  <c r="C79" i="1" s="1"/>
  <c r="D73" i="1"/>
  <c r="D79" i="1" s="1"/>
  <c r="E73" i="1"/>
  <c r="E79" i="1" s="1"/>
  <c r="F73" i="1"/>
  <c r="F79" i="1" s="1"/>
  <c r="G73" i="1"/>
  <c r="H73" i="1"/>
  <c r="H79" i="1" s="1"/>
  <c r="I73" i="1"/>
  <c r="I79" i="1" s="1"/>
  <c r="J73" i="1"/>
  <c r="J79" i="1" s="1"/>
  <c r="K73" i="1"/>
  <c r="K79" i="1" s="1"/>
  <c r="L73" i="1"/>
  <c r="L79" i="1" s="1"/>
  <c r="N73" i="1"/>
  <c r="O73" i="1"/>
  <c r="P73" i="1"/>
  <c r="Q73" i="1"/>
  <c r="S73" i="1"/>
  <c r="R73" i="1" s="1"/>
  <c r="T73" i="1"/>
  <c r="U73" i="1"/>
  <c r="V73" i="1"/>
  <c r="X73" i="1"/>
  <c r="W73" i="1" s="1"/>
  <c r="Y73" i="1"/>
  <c r="Y79" i="1" s="1"/>
  <c r="Z73" i="1"/>
  <c r="Z79" i="1" s="1"/>
  <c r="AA73" i="1"/>
  <c r="AA79" i="1" s="1"/>
  <c r="AC73" i="1"/>
  <c r="AD73" i="1"/>
  <c r="AE73" i="1"/>
  <c r="AF73" i="1"/>
  <c r="AH73" i="1"/>
  <c r="AI73" i="1"/>
  <c r="AI79" i="1" s="1"/>
  <c r="AN73" i="1"/>
  <c r="AN79" i="1" s="1"/>
  <c r="M74" i="1"/>
  <c r="M34" i="4" s="1"/>
  <c r="N34" i="4" s="1"/>
  <c r="R74" i="1"/>
  <c r="R34" i="4" s="1"/>
  <c r="S34" i="4" s="1"/>
  <c r="W74" i="1"/>
  <c r="W34" i="4" s="1"/>
  <c r="X34" i="4" s="1"/>
  <c r="AB74" i="1"/>
  <c r="AB34" i="4" s="1"/>
  <c r="AC34" i="4" s="1"/>
  <c r="AG74" i="1"/>
  <c r="AG34" i="4" s="1"/>
  <c r="AH34" i="4" s="1"/>
  <c r="AM74" i="1"/>
  <c r="AR74" i="1"/>
  <c r="M75" i="1"/>
  <c r="M35" i="4" s="1"/>
  <c r="N35" i="4" s="1"/>
  <c r="R75" i="1"/>
  <c r="R35" i="4" s="1"/>
  <c r="S35" i="4" s="1"/>
  <c r="W75" i="1"/>
  <c r="W35" i="4" s="1"/>
  <c r="X35" i="4" s="1"/>
  <c r="AB75" i="1"/>
  <c r="AB35" i="4" s="1"/>
  <c r="AG75" i="1"/>
  <c r="AG35" i="4" s="1"/>
  <c r="AH35" i="4" s="1"/>
  <c r="AM75" i="1"/>
  <c r="AR75" i="1"/>
  <c r="M76" i="1"/>
  <c r="M36" i="4" s="1"/>
  <c r="N36" i="4" s="1"/>
  <c r="R76" i="1"/>
  <c r="R36" i="4" s="1"/>
  <c r="S36" i="4" s="1"/>
  <c r="W76" i="1"/>
  <c r="W36" i="4" s="1"/>
  <c r="X36" i="4" s="1"/>
  <c r="AB76" i="1"/>
  <c r="AB36" i="4" s="1"/>
  <c r="AC36" i="4" s="1"/>
  <c r="AG76" i="1"/>
  <c r="AG36" i="4" s="1"/>
  <c r="AH36" i="4" s="1"/>
  <c r="AM76" i="1"/>
  <c r="AR76" i="1"/>
  <c r="G77" i="1"/>
  <c r="G37" i="4" s="1"/>
  <c r="N77" i="1"/>
  <c r="M77" i="1" s="1"/>
  <c r="M37" i="4" s="1"/>
  <c r="O77" i="1"/>
  <c r="P77" i="1"/>
  <c r="P37" i="4" s="1"/>
  <c r="Q77" i="1"/>
  <c r="Q37" i="4" s="1"/>
  <c r="S77" i="1"/>
  <c r="T77" i="1"/>
  <c r="T37" i="4" s="1"/>
  <c r="U77" i="1"/>
  <c r="U37" i="4" s="1"/>
  <c r="V77" i="1"/>
  <c r="W77" i="1"/>
  <c r="W37" i="4" s="1"/>
  <c r="X37" i="4" s="1"/>
  <c r="AC77" i="1"/>
  <c r="AB77" i="1" s="1"/>
  <c r="AB37" i="4" s="1"/>
  <c r="AC37" i="4" s="1"/>
  <c r="AD77" i="1"/>
  <c r="AD37" i="4" s="1"/>
  <c r="AE77" i="1"/>
  <c r="AE37" i="4" s="1"/>
  <c r="AF77" i="1"/>
  <c r="AF37" i="4" s="1"/>
  <c r="AG77" i="1"/>
  <c r="AG37" i="4" s="1"/>
  <c r="AH37" i="4" s="1"/>
  <c r="AM77" i="1"/>
  <c r="AR77" i="1"/>
  <c r="M78" i="1"/>
  <c r="M38" i="4" s="1"/>
  <c r="N38" i="4" s="1"/>
  <c r="R78" i="1"/>
  <c r="R38" i="4" s="1"/>
  <c r="W78" i="1"/>
  <c r="W38" i="4" s="1"/>
  <c r="AB78" i="1"/>
  <c r="AB38" i="4" s="1"/>
  <c r="AG78" i="1"/>
  <c r="AG38" i="4" s="1"/>
  <c r="AM78" i="1"/>
  <c r="AR78" i="1"/>
  <c r="M80" i="1"/>
  <c r="M40" i="4" s="1"/>
  <c r="N40" i="4" s="1"/>
  <c r="R80" i="1"/>
  <c r="R40" i="4" s="1"/>
  <c r="W80" i="1"/>
  <c r="W40" i="4" s="1"/>
  <c r="X40" i="4" s="1"/>
  <c r="AB80" i="1"/>
  <c r="AB40" i="4" s="1"/>
  <c r="AC40" i="4" s="1"/>
  <c r="AG80" i="1"/>
  <c r="AG40" i="4" s="1"/>
  <c r="AM80" i="1"/>
  <c r="AR80" i="1"/>
  <c r="M81" i="1"/>
  <c r="M41" i="4" s="1"/>
  <c r="R81" i="1"/>
  <c r="R41" i="4" s="1"/>
  <c r="S41" i="4" s="1"/>
  <c r="W81" i="1"/>
  <c r="W41" i="4" s="1"/>
  <c r="X41" i="4" s="1"/>
  <c r="AB81" i="1"/>
  <c r="AB41" i="4" s="1"/>
  <c r="AC41" i="4" s="1"/>
  <c r="AG81" i="1"/>
  <c r="AG41" i="4" s="1"/>
  <c r="AH41" i="4" s="1"/>
  <c r="AM81" i="1"/>
  <c r="AR81" i="1"/>
  <c r="M82" i="1"/>
  <c r="M42" i="4" s="1"/>
  <c r="N42" i="4" s="1"/>
  <c r="R82" i="1"/>
  <c r="R42" i="4" s="1"/>
  <c r="S42" i="4" s="1"/>
  <c r="W82" i="1"/>
  <c r="W42" i="4" s="1"/>
  <c r="AB82" i="1"/>
  <c r="AB42" i="4" s="1"/>
  <c r="AC42" i="4" s="1"/>
  <c r="AG82" i="1"/>
  <c r="AG42" i="4" s="1"/>
  <c r="AH42" i="4" s="1"/>
  <c r="AM82" i="1"/>
  <c r="AR82" i="1"/>
  <c r="D83" i="1"/>
  <c r="D43" i="4" s="1"/>
  <c r="E83" i="1"/>
  <c r="E43" i="4" s="1"/>
  <c r="F83" i="1"/>
  <c r="F43" i="4" s="1"/>
  <c r="G83" i="1"/>
  <c r="G43" i="4" s="1"/>
  <c r="M83" i="1"/>
  <c r="M43" i="4" s="1"/>
  <c r="N43" i="4" s="1"/>
  <c r="R83" i="1"/>
  <c r="R43" i="4" s="1"/>
  <c r="S43" i="4" s="1"/>
  <c r="W83" i="1"/>
  <c r="W43" i="4" s="1"/>
  <c r="X43" i="4" s="1"/>
  <c r="AB83" i="1"/>
  <c r="AB43" i="4" s="1"/>
  <c r="AC43" i="4" s="1"/>
  <c r="AG83" i="1"/>
  <c r="AG43" i="4" s="1"/>
  <c r="AH43" i="4" s="1"/>
  <c r="AM83" i="1"/>
  <c r="AR83" i="1"/>
  <c r="M84" i="1"/>
  <c r="M44" i="4" s="1"/>
  <c r="N44" i="4" s="1"/>
  <c r="R84" i="1"/>
  <c r="R44" i="4" s="1"/>
  <c r="S44" i="4" s="1"/>
  <c r="W84" i="1"/>
  <c r="W44" i="4" s="1"/>
  <c r="X44" i="4" s="1"/>
  <c r="AB84" i="1"/>
  <c r="AB44" i="4" s="1"/>
  <c r="AC44" i="4" s="1"/>
  <c r="AG84" i="1"/>
  <c r="AG44" i="4" s="1"/>
  <c r="AH44" i="4" s="1"/>
  <c r="AM84" i="1"/>
  <c r="AR84" i="1"/>
  <c r="M85" i="1"/>
  <c r="M45" i="4" s="1"/>
  <c r="N45" i="4" s="1"/>
  <c r="R85" i="1"/>
  <c r="R45" i="4" s="1"/>
  <c r="S45" i="4" s="1"/>
  <c r="W85" i="1"/>
  <c r="W45" i="4" s="1"/>
  <c r="X45" i="4" s="1"/>
  <c r="AB85" i="1"/>
  <c r="AB45" i="4" s="1"/>
  <c r="AC45" i="4" s="1"/>
  <c r="AG85" i="1"/>
  <c r="AG45" i="4" s="1"/>
  <c r="AH45" i="4" s="1"/>
  <c r="AM85" i="1"/>
  <c r="AR85" i="1"/>
  <c r="C86" i="1"/>
  <c r="C88" i="1" s="1"/>
  <c r="H86" i="1"/>
  <c r="H88" i="1" s="1"/>
  <c r="I86" i="1"/>
  <c r="I88" i="1" s="1"/>
  <c r="J86" i="1"/>
  <c r="J88" i="1" s="1"/>
  <c r="K86" i="1"/>
  <c r="K88" i="1" s="1"/>
  <c r="L86" i="1"/>
  <c r="L88" i="1" s="1"/>
  <c r="N86" i="1"/>
  <c r="M86" i="1" s="1"/>
  <c r="O86" i="1"/>
  <c r="O88" i="1" s="1"/>
  <c r="P86" i="1"/>
  <c r="P88" i="1" s="1"/>
  <c r="Q86" i="1"/>
  <c r="Q88" i="1" s="1"/>
  <c r="S86" i="1"/>
  <c r="R86" i="1" s="1"/>
  <c r="T86" i="1"/>
  <c r="T88" i="1" s="1"/>
  <c r="U86" i="1"/>
  <c r="U88" i="1" s="1"/>
  <c r="V86" i="1"/>
  <c r="V88" i="1" s="1"/>
  <c r="X86" i="1"/>
  <c r="W86" i="1" s="1"/>
  <c r="Y86" i="1"/>
  <c r="Y88" i="1" s="1"/>
  <c r="Z86" i="1"/>
  <c r="Z88" i="1" s="1"/>
  <c r="AA86" i="1"/>
  <c r="AA88" i="1" s="1"/>
  <c r="AC86" i="1"/>
  <c r="AB86" i="1" s="1"/>
  <c r="AD86" i="1"/>
  <c r="AD88" i="1" s="1"/>
  <c r="AE86" i="1"/>
  <c r="AE88" i="1" s="1"/>
  <c r="AF86" i="1"/>
  <c r="AF88" i="1" s="1"/>
  <c r="AH86" i="1"/>
  <c r="AI86" i="1"/>
  <c r="AI88" i="1" s="1"/>
  <c r="AJ86" i="1"/>
  <c r="AJ88" i="1" s="1"/>
  <c r="AK86" i="1"/>
  <c r="AK88" i="1" s="1"/>
  <c r="AL86" i="1"/>
  <c r="AL88" i="1" s="1"/>
  <c r="AN86" i="1"/>
  <c r="AN88" i="1" s="1"/>
  <c r="AO86" i="1"/>
  <c r="AO88" i="1" s="1"/>
  <c r="AP86" i="1"/>
  <c r="AP88" i="1" s="1"/>
  <c r="AQ86" i="1"/>
  <c r="AQ88" i="1" s="1"/>
  <c r="AS86" i="1"/>
  <c r="AS88" i="1" s="1"/>
  <c r="AT86" i="1"/>
  <c r="AT88" i="1" s="1"/>
  <c r="AU86" i="1"/>
  <c r="AU88" i="1" s="1"/>
  <c r="M87" i="1"/>
  <c r="M47" i="4" s="1"/>
  <c r="N47" i="4" s="1"/>
  <c r="R87" i="1"/>
  <c r="R47" i="4" s="1"/>
  <c r="W87" i="1"/>
  <c r="W47" i="4" s="1"/>
  <c r="AB87" i="1"/>
  <c r="AB47" i="4" s="1"/>
  <c r="AG87" i="1"/>
  <c r="AG47" i="4" s="1"/>
  <c r="AM87" i="1"/>
  <c r="AR87" i="1"/>
  <c r="M96" i="1"/>
  <c r="R96" i="1"/>
  <c r="W96" i="1"/>
  <c r="AB96" i="1"/>
  <c r="AG96" i="1"/>
  <c r="AM96" i="1"/>
  <c r="AR96" i="1"/>
  <c r="M97" i="1"/>
  <c r="R97" i="1"/>
  <c r="W97" i="1"/>
  <c r="AB97" i="1"/>
  <c r="AG97" i="1"/>
  <c r="AM97" i="1"/>
  <c r="AR97" i="1"/>
  <c r="M98" i="1"/>
  <c r="R98" i="1"/>
  <c r="W98" i="1"/>
  <c r="AB98" i="1"/>
  <c r="AG98" i="1"/>
  <c r="AM98" i="1"/>
  <c r="AR98" i="1"/>
  <c r="M99" i="1"/>
  <c r="R99" i="1"/>
  <c r="W99" i="1"/>
  <c r="AB99" i="1"/>
  <c r="AG99" i="1"/>
  <c r="AM99" i="1"/>
  <c r="AR99" i="1"/>
  <c r="M100" i="1"/>
  <c r="R100" i="1"/>
  <c r="W100" i="1"/>
  <c r="AB100" i="1"/>
  <c r="AG100" i="1"/>
  <c r="AM100" i="1"/>
  <c r="AR100" i="1"/>
  <c r="M101" i="1"/>
  <c r="R101" i="1"/>
  <c r="W101" i="1"/>
  <c r="AB101" i="1"/>
  <c r="AG101" i="1"/>
  <c r="AM101" i="1"/>
  <c r="AR101" i="1"/>
  <c r="M102" i="1"/>
  <c r="R102" i="1"/>
  <c r="W102" i="1"/>
  <c r="AB102" i="1"/>
  <c r="AG102" i="1"/>
  <c r="AM102" i="1"/>
  <c r="AR102" i="1"/>
  <c r="M103" i="1"/>
  <c r="R103" i="1"/>
  <c r="W103" i="1"/>
  <c r="AB103" i="1"/>
  <c r="AG103" i="1"/>
  <c r="AM103" i="1"/>
  <c r="AR103" i="1"/>
  <c r="M104" i="1"/>
  <c r="R104" i="1"/>
  <c r="W104" i="1"/>
  <c r="AB104" i="1"/>
  <c r="AG104" i="1"/>
  <c r="AM104" i="1"/>
  <c r="AR104" i="1"/>
  <c r="F105" i="1"/>
  <c r="F16" i="5" s="1"/>
  <c r="H105" i="1"/>
  <c r="I105" i="1"/>
  <c r="I16" i="5" s="1"/>
  <c r="J105" i="1"/>
  <c r="J16" i="5" s="1"/>
  <c r="K105" i="1"/>
  <c r="L105" i="1"/>
  <c r="N105" i="1"/>
  <c r="M105" i="1" s="1"/>
  <c r="O105" i="1"/>
  <c r="O16" i="5" s="1"/>
  <c r="P105" i="1"/>
  <c r="Q105" i="1"/>
  <c r="S105" i="1"/>
  <c r="R105" i="1" s="1"/>
  <c r="T105" i="1"/>
  <c r="T16" i="5" s="1"/>
  <c r="U105" i="1"/>
  <c r="V105" i="1"/>
  <c r="X105" i="1"/>
  <c r="W105" i="1" s="1"/>
  <c r="Y105" i="1"/>
  <c r="Y16" i="5" s="1"/>
  <c r="Z105" i="1"/>
  <c r="AA105" i="1"/>
  <c r="AC105" i="1"/>
  <c r="AB105" i="1" s="1"/>
  <c r="AG105" i="1"/>
  <c r="AM105" i="1"/>
  <c r="AR105" i="1"/>
  <c r="K106" i="1"/>
  <c r="N106" i="1"/>
  <c r="M106" i="1" s="1"/>
  <c r="R106" i="1"/>
  <c r="W106" i="1"/>
  <c r="AB106" i="1"/>
  <c r="AG106" i="1"/>
  <c r="AM106" i="1"/>
  <c r="AR106" i="1"/>
  <c r="AD107" i="1"/>
  <c r="AD121" i="1" s="1"/>
  <c r="AE107" i="1"/>
  <c r="AE121" i="1" s="1"/>
  <c r="AF107" i="1"/>
  <c r="AF121" i="1" s="1"/>
  <c r="AH107" i="1"/>
  <c r="AI107" i="1"/>
  <c r="AI121" i="1" s="1"/>
  <c r="M108" i="1"/>
  <c r="R108" i="1"/>
  <c r="W108" i="1"/>
  <c r="AB108" i="1"/>
  <c r="AG108" i="1"/>
  <c r="AM108" i="1"/>
  <c r="AR108" i="1"/>
  <c r="M111" i="1"/>
  <c r="R111" i="1"/>
  <c r="W111" i="1"/>
  <c r="AB111" i="1"/>
  <c r="AG111" i="1"/>
  <c r="AM111" i="1"/>
  <c r="AR111" i="1"/>
  <c r="M112" i="1"/>
  <c r="R112" i="1"/>
  <c r="W112" i="1"/>
  <c r="AB112" i="1"/>
  <c r="AG112" i="1"/>
  <c r="M110" i="1"/>
  <c r="R110" i="1"/>
  <c r="W110" i="1"/>
  <c r="AB110" i="1"/>
  <c r="AG110" i="1"/>
  <c r="AM110" i="1"/>
  <c r="AR110" i="1"/>
  <c r="M114" i="1"/>
  <c r="R114" i="1"/>
  <c r="W114" i="1"/>
  <c r="AB114" i="1"/>
  <c r="AG114" i="1"/>
  <c r="AM114" i="1"/>
  <c r="AR114" i="1"/>
  <c r="M115" i="1"/>
  <c r="Q115" i="1"/>
  <c r="R115" i="1"/>
  <c r="T115" i="1"/>
  <c r="T26" i="5" s="1"/>
  <c r="U26" i="5" s="1"/>
  <c r="W115" i="1"/>
  <c r="AB115" i="1"/>
  <c r="AG115" i="1"/>
  <c r="AM115" i="1"/>
  <c r="AR115" i="1"/>
  <c r="G116" i="1"/>
  <c r="G27" i="5" s="1"/>
  <c r="H116" i="1"/>
  <c r="I116" i="1"/>
  <c r="I27" i="5" s="1"/>
  <c r="J116" i="1"/>
  <c r="J27" i="5" s="1"/>
  <c r="K116" i="1"/>
  <c r="L116" i="1"/>
  <c r="N116" i="1"/>
  <c r="O116" i="1"/>
  <c r="O27" i="5" s="1"/>
  <c r="P116" i="1"/>
  <c r="Q116" i="1"/>
  <c r="R116" i="1"/>
  <c r="T116" i="1"/>
  <c r="T27" i="5" s="1"/>
  <c r="U116" i="1"/>
  <c r="V116" i="1"/>
  <c r="X116" i="1"/>
  <c r="X107" i="1" s="1"/>
  <c r="Y116" i="1"/>
  <c r="Z116" i="1"/>
  <c r="Z107" i="1" s="1"/>
  <c r="AA116" i="1"/>
  <c r="AA107" i="1" s="1"/>
  <c r="AC116" i="1"/>
  <c r="AG116" i="1"/>
  <c r="AM116" i="1"/>
  <c r="M119" i="1"/>
  <c r="S119" i="1"/>
  <c r="R119" i="1" s="1"/>
  <c r="W119" i="1"/>
  <c r="AB119" i="1"/>
  <c r="AG119" i="1"/>
  <c r="AM119" i="1"/>
  <c r="C120" i="1"/>
  <c r="C31" i="5" s="1"/>
  <c r="D120" i="1"/>
  <c r="D31" i="5" s="1"/>
  <c r="E120" i="1"/>
  <c r="E31" i="5" s="1"/>
  <c r="F120" i="1"/>
  <c r="G120" i="1"/>
  <c r="G31" i="5" s="1"/>
  <c r="H120" i="1"/>
  <c r="H31" i="5" s="1"/>
  <c r="I120" i="1"/>
  <c r="I31" i="5" s="1"/>
  <c r="J120" i="1"/>
  <c r="J31" i="5" s="1"/>
  <c r="K120" i="1"/>
  <c r="L120" i="1"/>
  <c r="N120" i="1"/>
  <c r="M120" i="1" s="1"/>
  <c r="O120" i="1"/>
  <c r="O31" i="5" s="1"/>
  <c r="P120" i="1"/>
  <c r="S120" i="1"/>
  <c r="U120" i="1"/>
  <c r="V120" i="1"/>
  <c r="W120" i="1"/>
  <c r="AB120" i="1"/>
  <c r="AG120" i="1"/>
  <c r="AM120" i="1"/>
  <c r="AO120" i="1"/>
  <c r="M122" i="1"/>
  <c r="R122" i="1"/>
  <c r="W122" i="1"/>
  <c r="AB122" i="1"/>
  <c r="AG122" i="1"/>
  <c r="AM122" i="1"/>
  <c r="AR122" i="1"/>
  <c r="M123" i="1"/>
  <c r="R123" i="1"/>
  <c r="W123" i="1"/>
  <c r="AB123" i="1"/>
  <c r="AG123" i="1"/>
  <c r="AM123" i="1"/>
  <c r="AR123" i="1"/>
  <c r="K124" i="1"/>
  <c r="M124" i="1"/>
  <c r="R124" i="1"/>
  <c r="W124" i="1"/>
  <c r="AB124" i="1"/>
  <c r="AG124" i="1"/>
  <c r="AM124" i="1"/>
  <c r="AR124" i="1"/>
  <c r="K125" i="1"/>
  <c r="M125" i="1"/>
  <c r="R125" i="1"/>
  <c r="W125" i="1"/>
  <c r="AB125" i="1"/>
  <c r="AG125" i="1"/>
  <c r="AM125" i="1"/>
  <c r="AR125" i="1"/>
  <c r="L126" i="1"/>
  <c r="M126" i="1"/>
  <c r="R126" i="1"/>
  <c r="W126" i="1"/>
  <c r="AB126" i="1"/>
  <c r="AG126" i="1"/>
  <c r="AM126" i="1"/>
  <c r="AR126" i="1"/>
  <c r="C127" i="1"/>
  <c r="C38" i="5" s="1"/>
  <c r="D127" i="1"/>
  <c r="D128" i="1" s="1"/>
  <c r="E127" i="1"/>
  <c r="F127" i="1"/>
  <c r="F128" i="1" s="1"/>
  <c r="G127" i="1"/>
  <c r="G38" i="5" s="1"/>
  <c r="H127" i="1"/>
  <c r="H38" i="5" s="1"/>
  <c r="I127" i="1"/>
  <c r="I38" i="5" s="1"/>
  <c r="J127" i="1"/>
  <c r="K127" i="1"/>
  <c r="L127" i="1"/>
  <c r="N127" i="1"/>
  <c r="M127" i="1" s="1"/>
  <c r="O127" i="1"/>
  <c r="Q127" i="1"/>
  <c r="Q128" i="1" s="1"/>
  <c r="S127" i="1"/>
  <c r="R127" i="1" s="1"/>
  <c r="X127" i="1"/>
  <c r="AB127" i="1"/>
  <c r="AG127" i="1"/>
  <c r="AL127" i="1"/>
  <c r="AM127" i="1" s="1"/>
  <c r="AO127" i="1"/>
  <c r="AP127" i="1"/>
  <c r="AP128" i="1" s="1"/>
  <c r="AQ127" i="1"/>
  <c r="P128" i="1"/>
  <c r="T128" i="1"/>
  <c r="U128" i="1"/>
  <c r="V128" i="1"/>
  <c r="Y128" i="1"/>
  <c r="Z128" i="1"/>
  <c r="AA128" i="1"/>
  <c r="AC128" i="1"/>
  <c r="AB128" i="1" s="1"/>
  <c r="AD128" i="1"/>
  <c r="AE128" i="1"/>
  <c r="AF128" i="1"/>
  <c r="AH128" i="1"/>
  <c r="AG128" i="1" s="1"/>
  <c r="AI128" i="1"/>
  <c r="AJ128" i="1"/>
  <c r="AK128" i="1"/>
  <c r="AN128" i="1"/>
  <c r="AS128" i="1"/>
  <c r="AT128" i="1"/>
  <c r="AU128" i="1"/>
  <c r="M129" i="1"/>
  <c r="R129" i="1"/>
  <c r="W129" i="1"/>
  <c r="AB129" i="1"/>
  <c r="AG129" i="1"/>
  <c r="AM129" i="1"/>
  <c r="AR129" i="1"/>
  <c r="M130" i="1"/>
  <c r="R130" i="1"/>
  <c r="W130" i="1"/>
  <c r="AB130" i="1"/>
  <c r="AG130" i="1"/>
  <c r="AM130" i="1"/>
  <c r="AR130" i="1"/>
  <c r="M131" i="1"/>
  <c r="R131" i="1"/>
  <c r="W131" i="1"/>
  <c r="AB131" i="1"/>
  <c r="AG131" i="1"/>
  <c r="AM131" i="1"/>
  <c r="AR131" i="1"/>
  <c r="M132" i="1"/>
  <c r="R132" i="1"/>
  <c r="W132" i="1"/>
  <c r="AB132" i="1"/>
  <c r="AG132" i="1"/>
  <c r="AM132" i="1"/>
  <c r="AR132" i="1"/>
  <c r="M133" i="1"/>
  <c r="R133" i="1"/>
  <c r="W133" i="1"/>
  <c r="AB133" i="1"/>
  <c r="AG133" i="1"/>
  <c r="AM133" i="1"/>
  <c r="AR133" i="1"/>
  <c r="M134" i="1"/>
  <c r="R134" i="1"/>
  <c r="W134" i="1"/>
  <c r="AB134" i="1"/>
  <c r="AG134" i="1"/>
  <c r="AM134" i="1"/>
  <c r="AR134" i="1"/>
  <c r="M135" i="1"/>
  <c r="R135" i="1"/>
  <c r="W135" i="1"/>
  <c r="AB135" i="1"/>
  <c r="AG135" i="1"/>
  <c r="AM135" i="1"/>
  <c r="AR135" i="1"/>
  <c r="M136" i="1"/>
  <c r="R136" i="1"/>
  <c r="W136" i="1"/>
  <c r="AB136" i="1"/>
  <c r="AH136" i="1"/>
  <c r="AG136" i="1" s="1"/>
  <c r="AM136" i="1"/>
  <c r="AN136" i="1"/>
  <c r="AN47" i="5" s="1"/>
  <c r="AR136" i="1"/>
  <c r="C137" i="1"/>
  <c r="D137" i="1"/>
  <c r="E137" i="1"/>
  <c r="F137" i="1"/>
  <c r="G137" i="1"/>
  <c r="H137" i="1"/>
  <c r="I137" i="1"/>
  <c r="J137" i="1"/>
  <c r="K137" i="1"/>
  <c r="L137" i="1"/>
  <c r="N137" i="1"/>
  <c r="M137" i="1" s="1"/>
  <c r="O137" i="1"/>
  <c r="P137" i="1"/>
  <c r="Q137" i="1"/>
  <c r="S137" i="1"/>
  <c r="R137" i="1" s="1"/>
  <c r="T137" i="1"/>
  <c r="U137" i="1"/>
  <c r="V137" i="1"/>
  <c r="X137" i="1"/>
  <c r="W137" i="1" s="1"/>
  <c r="Y137" i="1"/>
  <c r="Z137" i="1"/>
  <c r="AA137" i="1"/>
  <c r="AC137" i="1"/>
  <c r="AB137" i="1" s="1"/>
  <c r="AD137" i="1"/>
  <c r="AE137" i="1"/>
  <c r="AF137" i="1"/>
  <c r="AI137" i="1"/>
  <c r="AJ137" i="1"/>
  <c r="AK137" i="1"/>
  <c r="AL137" i="1"/>
  <c r="AO137" i="1"/>
  <c r="AP137" i="1"/>
  <c r="AQ137" i="1"/>
  <c r="AS137" i="1"/>
  <c r="AT137" i="1"/>
  <c r="AU137" i="1"/>
  <c r="M138" i="1"/>
  <c r="R138" i="1"/>
  <c r="W138" i="1"/>
  <c r="AB138" i="1"/>
  <c r="AG138" i="1"/>
  <c r="AM138" i="1"/>
  <c r="AR138" i="1"/>
  <c r="M140" i="1"/>
  <c r="R140" i="1"/>
  <c r="W140" i="1"/>
  <c r="AB140" i="1"/>
  <c r="AG140" i="1"/>
  <c r="M150" i="1"/>
  <c r="M36" i="2" s="1"/>
  <c r="R150" i="1"/>
  <c r="R36" i="2" s="1"/>
  <c r="W150" i="1"/>
  <c r="W36" i="2" s="1"/>
  <c r="AB150" i="1"/>
  <c r="AB36" i="2" s="1"/>
  <c r="AB84" i="2" s="1"/>
  <c r="AG150" i="1"/>
  <c r="AG36" i="2" s="1"/>
  <c r="AG84" i="2" s="1"/>
  <c r="AM150" i="1"/>
  <c r="AR150" i="1"/>
  <c r="R151" i="1"/>
  <c r="R38" i="2" s="1"/>
  <c r="W151" i="1"/>
  <c r="AB151" i="1"/>
  <c r="AM151" i="1"/>
  <c r="AR151" i="1"/>
  <c r="R152" i="1"/>
  <c r="R39" i="2" s="1"/>
  <c r="W152" i="1"/>
  <c r="W39" i="2" s="1"/>
  <c r="AB152" i="1"/>
  <c r="AB39" i="2" s="1"/>
  <c r="AM152" i="1"/>
  <c r="AR152" i="1"/>
  <c r="R153" i="1"/>
  <c r="R40" i="2" s="1"/>
  <c r="W153" i="1"/>
  <c r="W40" i="2" s="1"/>
  <c r="AB153" i="1"/>
  <c r="AB40" i="2" s="1"/>
  <c r="AM153" i="1"/>
  <c r="AR153" i="1"/>
  <c r="M154" i="1"/>
  <c r="M41" i="2" s="1"/>
  <c r="R154" i="1"/>
  <c r="R41" i="2" s="1"/>
  <c r="M155" i="1"/>
  <c r="M42" i="2" s="1"/>
  <c r="R155" i="1"/>
  <c r="R42" i="2" s="1"/>
  <c r="M156" i="1"/>
  <c r="M43" i="2" s="1"/>
  <c r="R156" i="1"/>
  <c r="R43" i="2" s="1"/>
  <c r="M157" i="1"/>
  <c r="M44" i="2" s="1"/>
  <c r="R157" i="1"/>
  <c r="R44" i="2" s="1"/>
  <c r="D160" i="1"/>
  <c r="D165" i="1" s="1"/>
  <c r="E160" i="1"/>
  <c r="E165" i="1" s="1"/>
  <c r="F160" i="1"/>
  <c r="F165" i="1" s="1"/>
  <c r="G160" i="1"/>
  <c r="G165" i="1" s="1"/>
  <c r="H160" i="1"/>
  <c r="H165" i="1" s="1"/>
  <c r="I160" i="1"/>
  <c r="I165" i="1" s="1"/>
  <c r="J160" i="1"/>
  <c r="K160" i="1"/>
  <c r="K165" i="1" s="1"/>
  <c r="L160" i="1"/>
  <c r="L165" i="1" s="1"/>
  <c r="N160" i="1"/>
  <c r="N165" i="1" s="1"/>
  <c r="O160" i="1"/>
  <c r="O165" i="1" s="1"/>
  <c r="P160" i="1"/>
  <c r="Q160" i="1"/>
  <c r="Q165" i="1" s="1"/>
  <c r="S160" i="1"/>
  <c r="S165" i="1" s="1"/>
  <c r="T160" i="1"/>
  <c r="T165" i="1" s="1"/>
  <c r="U160" i="1"/>
  <c r="U165" i="1" s="1"/>
  <c r="V160" i="1"/>
  <c r="V165" i="1" s="1"/>
  <c r="X160" i="1"/>
  <c r="X165" i="1" s="1"/>
  <c r="Y160" i="1"/>
  <c r="Y165" i="1" s="1"/>
  <c r="Z160" i="1"/>
  <c r="Z165" i="1" s="1"/>
  <c r="AA160" i="1"/>
  <c r="AA165" i="1" s="1"/>
  <c r="AC160" i="1"/>
  <c r="AC165" i="1" s="1"/>
  <c r="AD160" i="1"/>
  <c r="AD165" i="1" s="1"/>
  <c r="AE160" i="1"/>
  <c r="AE165" i="1" s="1"/>
  <c r="AF160" i="1"/>
  <c r="AF165" i="1" s="1"/>
  <c r="AG160" i="1"/>
  <c r="AH160" i="1"/>
  <c r="AH165" i="1" s="1"/>
  <c r="AI160" i="1"/>
  <c r="AI165" i="1" s="1"/>
  <c r="AJ160" i="1"/>
  <c r="AJ165" i="1" s="1"/>
  <c r="AK160" i="1"/>
  <c r="AL160" i="1"/>
  <c r="AL165" i="1" s="1"/>
  <c r="AN160" i="1"/>
  <c r="AN165" i="1" s="1"/>
  <c r="AO160" i="1"/>
  <c r="AO212" i="1" s="1"/>
  <c r="AP160" i="1"/>
  <c r="AP165" i="1" s="1"/>
  <c r="AQ160" i="1"/>
  <c r="AQ165" i="1" s="1"/>
  <c r="AS160" i="1"/>
  <c r="AS165" i="1" s="1"/>
  <c r="AT160" i="1"/>
  <c r="AT165" i="1" s="1"/>
  <c r="AU160" i="1"/>
  <c r="AU165" i="1" s="1"/>
  <c r="M162" i="1"/>
  <c r="M79" i="2" s="1"/>
  <c r="R162" i="1"/>
  <c r="R79" i="2" s="1"/>
  <c r="W162" i="1"/>
  <c r="W79" i="2" s="1"/>
  <c r="AB162" i="1"/>
  <c r="AB79" i="2" s="1"/>
  <c r="AG162" i="1"/>
  <c r="AG79" i="2" s="1"/>
  <c r="AM162" i="1"/>
  <c r="AR162" i="1"/>
  <c r="M163" i="1"/>
  <c r="M80" i="2" s="1"/>
  <c r="R163" i="1"/>
  <c r="R80" i="2" s="1"/>
  <c r="W163" i="1"/>
  <c r="W80" i="2" s="1"/>
  <c r="AB163" i="1"/>
  <c r="AB80" i="2" s="1"/>
  <c r="AG163" i="1"/>
  <c r="AG80" i="2" s="1"/>
  <c r="AM163" i="1"/>
  <c r="AR163" i="1"/>
  <c r="M164" i="1"/>
  <c r="M81" i="2" s="1"/>
  <c r="R164" i="1"/>
  <c r="R81" i="2" s="1"/>
  <c r="W164" i="1"/>
  <c r="W81" i="2" s="1"/>
  <c r="AB164" i="1"/>
  <c r="AB81" i="2" s="1"/>
  <c r="AG164" i="1"/>
  <c r="AG81" i="2" s="1"/>
  <c r="AM164" i="1"/>
  <c r="AR164" i="1"/>
  <c r="C165" i="1"/>
  <c r="M170" i="1"/>
  <c r="M168" i="2" s="1"/>
  <c r="R170" i="1"/>
  <c r="R168" i="2" s="1"/>
  <c r="R190" i="2" s="1"/>
  <c r="R191" i="2" s="1"/>
  <c r="W170" i="1"/>
  <c r="AB170" i="1"/>
  <c r="AB168" i="2" s="1"/>
  <c r="AB190" i="2" s="1"/>
  <c r="AG170" i="1"/>
  <c r="AG168" i="2" s="1"/>
  <c r="AM170" i="1"/>
  <c r="AR170" i="1"/>
  <c r="R171" i="1"/>
  <c r="R169" i="2" s="1"/>
  <c r="W171" i="1"/>
  <c r="W169" i="2" s="1"/>
  <c r="AB171" i="1"/>
  <c r="AG171" i="1"/>
  <c r="AG169" i="2" s="1"/>
  <c r="AM171" i="1"/>
  <c r="AR171" i="1"/>
  <c r="R172" i="1"/>
  <c r="R170" i="2" s="1"/>
  <c r="W172" i="1"/>
  <c r="W170" i="2" s="1"/>
  <c r="AB172" i="1"/>
  <c r="AB170" i="2" s="1"/>
  <c r="AG172" i="1"/>
  <c r="AG170" i="2" s="1"/>
  <c r="AM172" i="1"/>
  <c r="AR172" i="1"/>
  <c r="R173" i="1"/>
  <c r="R171" i="2" s="1"/>
  <c r="W173" i="1"/>
  <c r="AB173" i="1"/>
  <c r="AB171" i="2" s="1"/>
  <c r="AG173" i="1"/>
  <c r="AG171" i="2" s="1"/>
  <c r="AM173" i="1"/>
  <c r="AR173" i="1"/>
  <c r="M174" i="1"/>
  <c r="M172" i="2" s="1"/>
  <c r="R174" i="1"/>
  <c r="R172" i="2" s="1"/>
  <c r="M175" i="1"/>
  <c r="M173" i="2" s="1"/>
  <c r="R175" i="1"/>
  <c r="R173" i="2" s="1"/>
  <c r="W259" i="2" s="1"/>
  <c r="M176" i="1"/>
  <c r="M174" i="2" s="1"/>
  <c r="R176" i="1"/>
  <c r="R174" i="2" s="1"/>
  <c r="M177" i="1"/>
  <c r="M175" i="2" s="1"/>
  <c r="R177" i="1"/>
  <c r="R175" i="2" s="1"/>
  <c r="W261" i="2" s="1"/>
  <c r="D180" i="1"/>
  <c r="D183" i="1" s="1"/>
  <c r="E180" i="1"/>
  <c r="E183" i="1" s="1"/>
  <c r="F180" i="1"/>
  <c r="F183" i="1" s="1"/>
  <c r="G180" i="1"/>
  <c r="G183" i="1" s="1"/>
  <c r="H180" i="1"/>
  <c r="H183" i="1" s="1"/>
  <c r="I180" i="1"/>
  <c r="I183" i="1" s="1"/>
  <c r="J180" i="1"/>
  <c r="J183" i="1" s="1"/>
  <c r="K180" i="1"/>
  <c r="K183" i="1" s="1"/>
  <c r="L180" i="1"/>
  <c r="L183" i="1" s="1"/>
  <c r="N180" i="1"/>
  <c r="N183" i="1" s="1"/>
  <c r="O180" i="1"/>
  <c r="O183" i="1" s="1"/>
  <c r="P180" i="1"/>
  <c r="P183" i="1" s="1"/>
  <c r="Q180" i="1"/>
  <c r="Q183" i="1" s="1"/>
  <c r="S180" i="1"/>
  <c r="S183" i="1" s="1"/>
  <c r="T180" i="1"/>
  <c r="T183" i="1" s="1"/>
  <c r="U180" i="1"/>
  <c r="U183" i="1" s="1"/>
  <c r="V180" i="1"/>
  <c r="V183" i="1" s="1"/>
  <c r="X180" i="1"/>
  <c r="X183" i="1" s="1"/>
  <c r="Y180" i="1"/>
  <c r="Y183" i="1" s="1"/>
  <c r="Z180" i="1"/>
  <c r="Z183" i="1" s="1"/>
  <c r="AA180" i="1"/>
  <c r="AA183" i="1" s="1"/>
  <c r="AC180" i="1"/>
  <c r="AC183" i="1" s="1"/>
  <c r="AD180" i="1"/>
  <c r="AD183" i="1" s="1"/>
  <c r="AE180" i="1"/>
  <c r="AE183" i="1" s="1"/>
  <c r="AF180" i="1"/>
  <c r="AF183" i="1" s="1"/>
  <c r="AH180" i="1"/>
  <c r="AH183" i="1" s="1"/>
  <c r="AI180" i="1"/>
  <c r="AI183" i="1" s="1"/>
  <c r="AJ180" i="1"/>
  <c r="AJ183" i="1" s="1"/>
  <c r="AK180" i="1"/>
  <c r="AK183" i="1" s="1"/>
  <c r="AL180" i="1"/>
  <c r="AL183" i="1" s="1"/>
  <c r="AN180" i="1"/>
  <c r="AN183" i="1" s="1"/>
  <c r="AO180" i="1"/>
  <c r="AO183" i="1" s="1"/>
  <c r="AP180" i="1"/>
  <c r="AP183" i="1" s="1"/>
  <c r="AQ180" i="1"/>
  <c r="AQ183" i="1" s="1"/>
  <c r="AS180" i="1"/>
  <c r="AS183" i="1" s="1"/>
  <c r="AT180" i="1"/>
  <c r="AT183" i="1" s="1"/>
  <c r="AU180" i="1"/>
  <c r="AU183" i="1" s="1"/>
  <c r="M182" i="1"/>
  <c r="M180" i="2" s="1"/>
  <c r="R182" i="1"/>
  <c r="R180" i="2" s="1"/>
  <c r="W182" i="1"/>
  <c r="W180" i="2" s="1"/>
  <c r="AB182" i="1"/>
  <c r="AB180" i="2" s="1"/>
  <c r="AG182" i="1"/>
  <c r="AG180" i="2" s="1"/>
  <c r="AM182" i="1"/>
  <c r="AR182" i="1"/>
  <c r="C183" i="1"/>
  <c r="C190" i="1" s="1"/>
  <c r="M184" i="1"/>
  <c r="M181" i="2" s="1"/>
  <c r="R184" i="1"/>
  <c r="R181" i="2" s="1"/>
  <c r="W184" i="1"/>
  <c r="W181" i="2" s="1"/>
  <c r="AB184" i="1"/>
  <c r="AB181" i="2" s="1"/>
  <c r="AG184" i="1"/>
  <c r="AG181" i="2" s="1"/>
  <c r="AM184" i="1"/>
  <c r="AR184" i="1"/>
  <c r="P185" i="1"/>
  <c r="P182" i="2" s="1"/>
  <c r="Q185" i="1"/>
  <c r="U185" i="1"/>
  <c r="U182" i="2" s="1"/>
  <c r="U48" i="3" s="1"/>
  <c r="V185" i="1"/>
  <c r="V182" i="2" s="1"/>
  <c r="V48" i="3" s="1"/>
  <c r="AB185" i="1"/>
  <c r="AB182" i="2" s="1"/>
  <c r="AB48" i="3" s="1"/>
  <c r="AG185" i="1"/>
  <c r="AG182" i="2" s="1"/>
  <c r="AI185" i="1"/>
  <c r="AJ185" i="1"/>
  <c r="AJ189" i="1" s="1"/>
  <c r="AK185" i="1"/>
  <c r="AK182" i="2" s="1"/>
  <c r="AK48" i="3" s="1"/>
  <c r="AL185" i="1"/>
  <c r="AL182" i="2" s="1"/>
  <c r="AL48" i="3" s="1"/>
  <c r="AN185" i="1"/>
  <c r="AN182" i="2" s="1"/>
  <c r="AO185" i="1"/>
  <c r="AP185" i="1"/>
  <c r="AP182" i="2" s="1"/>
  <c r="AP48" i="3" s="1"/>
  <c r="AQ185" i="1"/>
  <c r="AT185" i="1"/>
  <c r="AU185" i="1"/>
  <c r="AU182" i="2" s="1"/>
  <c r="AU48" i="3" s="1"/>
  <c r="M186" i="1"/>
  <c r="M183" i="2" s="1"/>
  <c r="R186" i="1"/>
  <c r="R183" i="2" s="1"/>
  <c r="W186" i="1"/>
  <c r="W183" i="2" s="1"/>
  <c r="AB186" i="1"/>
  <c r="AB183" i="2" s="1"/>
  <c r="AG186" i="1"/>
  <c r="AG183" i="2" s="1"/>
  <c r="AM186" i="1"/>
  <c r="AR186" i="1"/>
  <c r="R187" i="1"/>
  <c r="R184" i="2" s="1"/>
  <c r="W187" i="1"/>
  <c r="W184" i="2" s="1"/>
  <c r="AB187" i="1"/>
  <c r="AB184" i="2" s="1"/>
  <c r="AG187" i="1"/>
  <c r="AG184" i="2" s="1"/>
  <c r="AM187" i="1"/>
  <c r="AR187" i="1"/>
  <c r="J188" i="1"/>
  <c r="J185" i="2" s="1"/>
  <c r="K188" i="1"/>
  <c r="K185" i="2" s="1"/>
  <c r="L188" i="1"/>
  <c r="L185" i="2" s="1"/>
  <c r="P188" i="1"/>
  <c r="P185" i="2" s="1"/>
  <c r="Q188" i="1"/>
  <c r="Q185" i="2" s="1"/>
  <c r="U188" i="1"/>
  <c r="U185" i="2" s="1"/>
  <c r="V188" i="1"/>
  <c r="V185" i="2" s="1"/>
  <c r="AB188" i="1"/>
  <c r="AB185" i="2" s="1"/>
  <c r="AG188" i="1"/>
  <c r="AG185" i="2" s="1"/>
  <c r="AL188" i="1"/>
  <c r="AL185" i="2" s="1"/>
  <c r="AN188" i="1"/>
  <c r="AN185" i="2" s="1"/>
  <c r="AO188" i="1"/>
  <c r="AO185" i="2" s="1"/>
  <c r="AP188" i="1"/>
  <c r="AP185" i="2" s="1"/>
  <c r="AQ188" i="1"/>
  <c r="AQ185" i="2" s="1"/>
  <c r="AS188" i="1"/>
  <c r="AT188" i="1"/>
  <c r="AT185" i="2" s="1"/>
  <c r="AU188" i="1"/>
  <c r="AU185" i="2" s="1"/>
  <c r="D189" i="1"/>
  <c r="D186" i="2" s="1"/>
  <c r="E189" i="1"/>
  <c r="E186" i="2" s="1"/>
  <c r="F189" i="1"/>
  <c r="F186" i="2" s="1"/>
  <c r="G189" i="1"/>
  <c r="G186" i="2" s="1"/>
  <c r="H189" i="1"/>
  <c r="H186" i="2" s="1"/>
  <c r="I189" i="1"/>
  <c r="I186" i="2" s="1"/>
  <c r="N189" i="1"/>
  <c r="O189" i="1"/>
  <c r="O186" i="2" s="1"/>
  <c r="S189" i="1"/>
  <c r="T189" i="1"/>
  <c r="T186" i="2" s="1"/>
  <c r="X189" i="1"/>
  <c r="Y189" i="1"/>
  <c r="Y186" i="2" s="1"/>
  <c r="Z189" i="1"/>
  <c r="Z186" i="2" s="1"/>
  <c r="AA189" i="1"/>
  <c r="AC189" i="1"/>
  <c r="AD189" i="1"/>
  <c r="AD186" i="2" s="1"/>
  <c r="AE189" i="1"/>
  <c r="AE186" i="2" s="1"/>
  <c r="AF189" i="1"/>
  <c r="AH189" i="1"/>
  <c r="M193" i="1"/>
  <c r="M290" i="2" s="1"/>
  <c r="N290" i="2" s="1"/>
  <c r="R193" i="1"/>
  <c r="R210" i="1" s="1"/>
  <c r="W193" i="1"/>
  <c r="W290" i="2" s="1"/>
  <c r="W308" i="2" s="1"/>
  <c r="AB193" i="1"/>
  <c r="AG193" i="1"/>
  <c r="AG290" i="2" s="1"/>
  <c r="AH290" i="2" s="1"/>
  <c r="AM193" i="1"/>
  <c r="AM210" i="1" s="1"/>
  <c r="AR193" i="1"/>
  <c r="AR210" i="1" s="1"/>
  <c r="R194" i="1"/>
  <c r="R291" i="2" s="1"/>
  <c r="S291" i="2" s="1"/>
  <c r="W194" i="1"/>
  <c r="AB194" i="1"/>
  <c r="AG194" i="1"/>
  <c r="AG291" i="2" s="1"/>
  <c r="AH291" i="2" s="1"/>
  <c r="AM194" i="1"/>
  <c r="AR194" i="1"/>
  <c r="R195" i="1"/>
  <c r="R292" i="2" s="1"/>
  <c r="S292" i="2" s="1"/>
  <c r="W195" i="1"/>
  <c r="W292" i="2" s="1"/>
  <c r="AB195" i="1"/>
  <c r="AB292" i="2" s="1"/>
  <c r="AC292" i="2" s="1"/>
  <c r="AG195" i="1"/>
  <c r="AG292" i="2" s="1"/>
  <c r="AM195" i="1"/>
  <c r="AR195" i="1"/>
  <c r="R196" i="1"/>
  <c r="R293" i="2" s="1"/>
  <c r="S293" i="2" s="1"/>
  <c r="W196" i="1"/>
  <c r="W293" i="2" s="1"/>
  <c r="AB196" i="1"/>
  <c r="AB293" i="2" s="1"/>
  <c r="AC293" i="2" s="1"/>
  <c r="AG196" i="1"/>
  <c r="AM196" i="1"/>
  <c r="AR196" i="1"/>
  <c r="M197" i="1"/>
  <c r="M294" i="2" s="1"/>
  <c r="N294" i="2" s="1"/>
  <c r="R197" i="1"/>
  <c r="R294" i="2" s="1"/>
  <c r="M198" i="1"/>
  <c r="M295" i="2" s="1"/>
  <c r="N295" i="2" s="1"/>
  <c r="R198" i="1"/>
  <c r="R295" i="2" s="1"/>
  <c r="S295" i="2" s="1"/>
  <c r="M199" i="1"/>
  <c r="M296" i="2" s="1"/>
  <c r="R199" i="1"/>
  <c r="R296" i="2" s="1"/>
  <c r="S296" i="2" s="1"/>
  <c r="M200" i="1"/>
  <c r="M297" i="2" s="1"/>
  <c r="N297" i="2" s="1"/>
  <c r="R200" i="1"/>
  <c r="R297" i="2" s="1"/>
  <c r="D203" i="1"/>
  <c r="D206" i="1" s="1"/>
  <c r="E203" i="1"/>
  <c r="E206" i="1" s="1"/>
  <c r="F203" i="1"/>
  <c r="F206" i="1" s="1"/>
  <c r="F208" i="1" s="1"/>
  <c r="G203" i="1"/>
  <c r="G206" i="1" s="1"/>
  <c r="H203" i="1"/>
  <c r="H206" i="1" s="1"/>
  <c r="I203" i="1"/>
  <c r="I206" i="1" s="1"/>
  <c r="J203" i="1"/>
  <c r="J206" i="1" s="1"/>
  <c r="J208" i="1" s="1"/>
  <c r="K203" i="1"/>
  <c r="K206" i="1" s="1"/>
  <c r="K208" i="1" s="1"/>
  <c r="L203" i="1"/>
  <c r="L206" i="1" s="1"/>
  <c r="L208" i="1" s="1"/>
  <c r="N203" i="1"/>
  <c r="O203" i="1"/>
  <c r="O206" i="1" s="1"/>
  <c r="P203" i="1"/>
  <c r="P206" i="1" s="1"/>
  <c r="P208" i="1" s="1"/>
  <c r="Q203" i="1"/>
  <c r="Q206" i="1" s="1"/>
  <c r="Q208" i="1" s="1"/>
  <c r="S203" i="1"/>
  <c r="S206" i="1" s="1"/>
  <c r="T203" i="1"/>
  <c r="T206" i="1" s="1"/>
  <c r="U203" i="1"/>
  <c r="U206" i="1" s="1"/>
  <c r="V203" i="1"/>
  <c r="V206" i="1" s="1"/>
  <c r="V208" i="1" s="1"/>
  <c r="X203" i="1"/>
  <c r="X206" i="1" s="1"/>
  <c r="X208" i="1" s="1"/>
  <c r="W208" i="1" s="1"/>
  <c r="Y203" i="1"/>
  <c r="Z203" i="1"/>
  <c r="AA203" i="1"/>
  <c r="AA206" i="1" s="1"/>
  <c r="AC203" i="1"/>
  <c r="AC206" i="1" s="1"/>
  <c r="AC208" i="1" s="1"/>
  <c r="AB208" i="1" s="1"/>
  <c r="AD203" i="1"/>
  <c r="AE203" i="1"/>
  <c r="AE206" i="1" s="1"/>
  <c r="AF203" i="1"/>
  <c r="AF206" i="1" s="1"/>
  <c r="AF208" i="1" s="1"/>
  <c r="AH203" i="1"/>
  <c r="AI203" i="1"/>
  <c r="AI206" i="1" s="1"/>
  <c r="AI208" i="1" s="1"/>
  <c r="AJ203" i="1"/>
  <c r="AJ206" i="1" s="1"/>
  <c r="AJ208" i="1" s="1"/>
  <c r="AK203" i="1"/>
  <c r="AL203" i="1"/>
  <c r="AN203" i="1"/>
  <c r="AN206" i="1" s="1"/>
  <c r="AN208" i="1" s="1"/>
  <c r="AT203" i="1"/>
  <c r="AT206" i="1" s="1"/>
  <c r="AT208" i="1" s="1"/>
  <c r="AU203" i="1"/>
  <c r="AU206" i="1" s="1"/>
  <c r="C206" i="1"/>
  <c r="C208" i="1" s="1"/>
  <c r="AO206" i="1"/>
  <c r="AO208" i="1" s="1"/>
  <c r="AP206" i="1"/>
  <c r="AP208" i="1" s="1"/>
  <c r="AQ206" i="1"/>
  <c r="AQ208" i="1" s="1"/>
  <c r="AS206" i="1"/>
  <c r="AS208" i="1" s="1"/>
  <c r="M207" i="1"/>
  <c r="M303" i="2" s="1"/>
  <c r="N303" i="2" s="1"/>
  <c r="R207" i="1"/>
  <c r="R303" i="2" s="1"/>
  <c r="S303" i="2" s="1"/>
  <c r="W207" i="1"/>
  <c r="W303" i="2" s="1"/>
  <c r="X303" i="2" s="1"/>
  <c r="AB207" i="1"/>
  <c r="AB303" i="2" s="1"/>
  <c r="AC303" i="2" s="1"/>
  <c r="AG207" i="1"/>
  <c r="AG303" i="2" s="1"/>
  <c r="AH303" i="2" s="1"/>
  <c r="AM207" i="1"/>
  <c r="AR207" i="1"/>
  <c r="C210" i="1"/>
  <c r="D210" i="1"/>
  <c r="E210" i="1"/>
  <c r="F210" i="1"/>
  <c r="G210" i="1"/>
  <c r="H210" i="1"/>
  <c r="I210" i="1"/>
  <c r="J210" i="1"/>
  <c r="K210" i="1"/>
  <c r="L210" i="1"/>
  <c r="N210" i="1"/>
  <c r="O210" i="1"/>
  <c r="P210" i="1"/>
  <c r="Q210" i="1"/>
  <c r="S210" i="1"/>
  <c r="T210" i="1"/>
  <c r="U210" i="1"/>
  <c r="V210" i="1"/>
  <c r="X210" i="1"/>
  <c r="Y210" i="1"/>
  <c r="Z210" i="1"/>
  <c r="AA210" i="1"/>
  <c r="AC210" i="1"/>
  <c r="AD210" i="1"/>
  <c r="AE210" i="1"/>
  <c r="AF210" i="1"/>
  <c r="AH210" i="1"/>
  <c r="AI210" i="1"/>
  <c r="AJ210" i="1"/>
  <c r="AK210" i="1"/>
  <c r="AL210" i="1"/>
  <c r="AN210" i="1"/>
  <c r="AO210" i="1"/>
  <c r="AP210" i="1"/>
  <c r="AQ210" i="1"/>
  <c r="AS210" i="1"/>
  <c r="AT210" i="1"/>
  <c r="AU210" i="1"/>
  <c r="C212" i="1"/>
  <c r="AF215" i="1"/>
  <c r="AM215" i="1"/>
  <c r="M218" i="1"/>
  <c r="M314" i="2" s="1"/>
  <c r="R218" i="1"/>
  <c r="R314" i="2" s="1"/>
  <c r="W218" i="1"/>
  <c r="W314" i="2" s="1"/>
  <c r="W324" i="2" s="1"/>
  <c r="AB218" i="1"/>
  <c r="AB314" i="2" s="1"/>
  <c r="AB324" i="2" s="1"/>
  <c r="AG218" i="1"/>
  <c r="AG314" i="2" s="1"/>
  <c r="AG324" i="2" s="1"/>
  <c r="AL218" i="1"/>
  <c r="AL314" i="2" s="1"/>
  <c r="AL324" i="2" s="1"/>
  <c r="M219" i="1"/>
  <c r="M315" i="2" s="1"/>
  <c r="R219" i="1"/>
  <c r="R315" i="2" s="1"/>
  <c r="W219" i="1"/>
  <c r="W315" i="2" s="1"/>
  <c r="AB219" i="1"/>
  <c r="AB315" i="2" s="1"/>
  <c r="AG219" i="1"/>
  <c r="AG315" i="2" s="1"/>
  <c r="AL219" i="1"/>
  <c r="AL315" i="2" s="1"/>
  <c r="AQ219" i="1"/>
  <c r="AQ315" i="2" s="1"/>
  <c r="M220" i="1"/>
  <c r="M316" i="2" s="1"/>
  <c r="R220" i="1"/>
  <c r="W220" i="1"/>
  <c r="W316" i="2" s="1"/>
  <c r="AB220" i="1"/>
  <c r="AB316" i="2" s="1"/>
  <c r="AG220" i="1"/>
  <c r="AG316" i="2" s="1"/>
  <c r="AL220" i="1"/>
  <c r="AL316" i="2" s="1"/>
  <c r="AQ220" i="1"/>
  <c r="AQ316" i="2" s="1"/>
  <c r="AQ326" i="2" s="1"/>
  <c r="M221" i="1"/>
  <c r="M317" i="2" s="1"/>
  <c r="R221" i="1"/>
  <c r="R317" i="2" s="1"/>
  <c r="W221" i="1"/>
  <c r="W317" i="2" s="1"/>
  <c r="W327" i="2" s="1"/>
  <c r="AB221" i="1"/>
  <c r="AB317" i="2" s="1"/>
  <c r="AB327" i="2" s="1"/>
  <c r="AG221" i="1"/>
  <c r="AG317" i="2" s="1"/>
  <c r="AG327" i="2" s="1"/>
  <c r="AL221" i="1"/>
  <c r="AL317" i="2" s="1"/>
  <c r="AL327" i="2" s="1"/>
  <c r="AQ221" i="1"/>
  <c r="AQ317" i="2" s="1"/>
  <c r="AQ327" i="2" s="1"/>
  <c r="M222" i="1"/>
  <c r="M318" i="2" s="1"/>
  <c r="R222" i="1"/>
  <c r="R318" i="2" s="1"/>
  <c r="W222" i="1"/>
  <c r="W318" i="2" s="1"/>
  <c r="W328" i="2" s="1"/>
  <c r="AB222" i="1"/>
  <c r="AB318" i="2" s="1"/>
  <c r="AG222" i="1"/>
  <c r="AL222" i="1"/>
  <c r="AL318" i="2" s="1"/>
  <c r="AQ222" i="1"/>
  <c r="AQ318" i="2" s="1"/>
  <c r="M223" i="1"/>
  <c r="M319" i="2" s="1"/>
  <c r="R223" i="1"/>
  <c r="R319" i="2" s="1"/>
  <c r="W223" i="1"/>
  <c r="W319" i="2" s="1"/>
  <c r="AB223" i="1"/>
  <c r="AB319" i="2" s="1"/>
  <c r="AG223" i="1"/>
  <c r="AG319" i="2" s="1"/>
  <c r="AL223" i="1"/>
  <c r="AL319" i="2" s="1"/>
  <c r="AQ223" i="1"/>
  <c r="AQ319" i="2" s="1"/>
  <c r="M225" i="1"/>
  <c r="M320" i="2" s="1"/>
  <c r="M330" i="2" s="1"/>
  <c r="R225" i="1"/>
  <c r="R320" i="2" s="1"/>
  <c r="R330" i="2" s="1"/>
  <c r="W225" i="1"/>
  <c r="W320" i="2" s="1"/>
  <c r="W330" i="2" s="1"/>
  <c r="AB225" i="1"/>
  <c r="AB320" i="2" s="1"/>
  <c r="AB330" i="2" s="1"/>
  <c r="AG225" i="1"/>
  <c r="AG320" i="2" s="1"/>
  <c r="AG330" i="2" s="1"/>
  <c r="AL225" i="1"/>
  <c r="AL320" i="2" s="1"/>
  <c r="AL330" i="2" s="1"/>
  <c r="AQ225" i="1"/>
  <c r="AQ320" i="2" s="1"/>
  <c r="AQ330" i="2" s="1"/>
  <c r="F226" i="1"/>
  <c r="F321" i="2" s="1"/>
  <c r="G226" i="1"/>
  <c r="G321" i="2" s="1"/>
  <c r="H226" i="1"/>
  <c r="H321" i="2" s="1"/>
  <c r="I226" i="1"/>
  <c r="I321" i="2" s="1"/>
  <c r="J226" i="1"/>
  <c r="J321" i="2" s="1"/>
  <c r="K226" i="1"/>
  <c r="K321" i="2" s="1"/>
  <c r="L226" i="1"/>
  <c r="L321" i="2" s="1"/>
  <c r="N226" i="1"/>
  <c r="N321" i="2" s="1"/>
  <c r="O226" i="1"/>
  <c r="O321" i="2" s="1"/>
  <c r="P226" i="1"/>
  <c r="P321" i="2" s="1"/>
  <c r="Q226" i="1"/>
  <c r="Q321" i="2" s="1"/>
  <c r="S226" i="1"/>
  <c r="S321" i="2" s="1"/>
  <c r="T226" i="1"/>
  <c r="T321" i="2" s="1"/>
  <c r="U226" i="1"/>
  <c r="U321" i="2" s="1"/>
  <c r="V226" i="1"/>
  <c r="V321" i="2" s="1"/>
  <c r="X226" i="1"/>
  <c r="X321" i="2" s="1"/>
  <c r="Y226" i="1"/>
  <c r="Y321" i="2" s="1"/>
  <c r="Z226" i="1"/>
  <c r="Z321" i="2" s="1"/>
  <c r="AA226" i="1"/>
  <c r="AA321" i="2" s="1"/>
  <c r="AC226" i="1"/>
  <c r="AC321" i="2" s="1"/>
  <c r="AD226" i="1"/>
  <c r="AD321" i="2" s="1"/>
  <c r="AE226" i="1"/>
  <c r="AE321" i="2" s="1"/>
  <c r="AF226" i="1"/>
  <c r="AF321" i="2" s="1"/>
  <c r="AH226" i="1"/>
  <c r="AH321" i="2" s="1"/>
  <c r="AI226" i="1"/>
  <c r="AI321" i="2" s="1"/>
  <c r="AJ226" i="1"/>
  <c r="AJ321" i="2" s="1"/>
  <c r="AK226" i="1"/>
  <c r="AK321" i="2" s="1"/>
  <c r="AM226" i="1"/>
  <c r="AM321" i="2" s="1"/>
  <c r="AN226" i="1"/>
  <c r="AN321" i="2" s="1"/>
  <c r="AO226" i="1"/>
  <c r="AO321" i="2" s="1"/>
  <c r="AP226" i="1"/>
  <c r="AP321" i="2" s="1"/>
  <c r="AR226" i="1"/>
  <c r="AR321" i="2" s="1"/>
  <c r="AS226" i="1"/>
  <c r="AS321" i="2" s="1"/>
  <c r="AT226" i="1"/>
  <c r="AT321" i="2" s="1"/>
  <c r="AU226" i="1"/>
  <c r="AU321" i="2" s="1"/>
  <c r="C252" i="1"/>
  <c r="D252" i="1"/>
  <c r="E252" i="1"/>
  <c r="F252" i="1"/>
  <c r="G252" i="1"/>
  <c r="H252" i="1"/>
  <c r="I252" i="1"/>
  <c r="N252" i="1"/>
  <c r="S252" i="1"/>
  <c r="X252" i="1"/>
  <c r="AC252" i="1"/>
  <c r="AH252" i="1"/>
  <c r="N253" i="1"/>
  <c r="S253" i="1"/>
  <c r="X253" i="1"/>
  <c r="AC253" i="1"/>
  <c r="AH253" i="1"/>
  <c r="C254" i="1"/>
  <c r="D254" i="1"/>
  <c r="E254" i="1"/>
  <c r="F254" i="1"/>
  <c r="G254" i="1"/>
  <c r="H254" i="1"/>
  <c r="I254" i="1"/>
  <c r="N254" i="1"/>
  <c r="S254" i="1"/>
  <c r="X254" i="1"/>
  <c r="AC254" i="1"/>
  <c r="AH254" i="1"/>
  <c r="X255" i="1"/>
  <c r="AC255" i="1"/>
  <c r="AH255" i="1"/>
  <c r="C256" i="1"/>
  <c r="D256" i="1"/>
  <c r="E256" i="1"/>
  <c r="F256" i="1"/>
  <c r="G256" i="1"/>
  <c r="H256" i="1"/>
  <c r="I256" i="1"/>
  <c r="N256" i="1"/>
  <c r="S256" i="1"/>
  <c r="X256" i="1"/>
  <c r="AC256" i="1"/>
  <c r="AH256" i="1"/>
  <c r="C257" i="1"/>
  <c r="D257" i="1"/>
  <c r="E257" i="1"/>
  <c r="F257" i="1"/>
  <c r="G257" i="1"/>
  <c r="H257" i="1"/>
  <c r="I257" i="1"/>
  <c r="N257" i="1"/>
  <c r="S257" i="1"/>
  <c r="X257" i="1"/>
  <c r="AC257" i="1"/>
  <c r="AH257" i="1"/>
  <c r="C258" i="1"/>
  <c r="D258" i="1"/>
  <c r="E258" i="1"/>
  <c r="F258" i="1"/>
  <c r="G258" i="1"/>
  <c r="H258" i="1"/>
  <c r="I258" i="1"/>
  <c r="N258" i="1"/>
  <c r="S258" i="1"/>
  <c r="X258" i="1"/>
  <c r="AC258" i="1"/>
  <c r="AH258" i="1"/>
  <c r="C259" i="1"/>
  <c r="D259" i="1"/>
  <c r="E259" i="1"/>
  <c r="F259" i="1"/>
  <c r="G259" i="1"/>
  <c r="H259" i="1"/>
  <c r="I259" i="1"/>
  <c r="N259" i="1"/>
  <c r="S259" i="1"/>
  <c r="X259" i="1"/>
  <c r="AC259" i="1"/>
  <c r="AH259" i="1"/>
  <c r="C260" i="1"/>
  <c r="D260" i="1"/>
  <c r="E260" i="1"/>
  <c r="F260" i="1"/>
  <c r="G260" i="1"/>
  <c r="H260" i="1"/>
  <c r="I260" i="1"/>
  <c r="N260" i="1"/>
  <c r="S260" i="1"/>
  <c r="X260" i="1"/>
  <c r="AC260" i="1"/>
  <c r="AH260" i="1"/>
  <c r="BB261" i="1"/>
  <c r="K266" i="1"/>
  <c r="L266" i="1"/>
  <c r="M266" i="1"/>
  <c r="M268" i="1" s="1"/>
  <c r="O266" i="1"/>
  <c r="P266" i="1"/>
  <c r="Q266" i="1"/>
  <c r="R266" i="1"/>
  <c r="T266" i="1"/>
  <c r="U266" i="1"/>
  <c r="V266" i="1"/>
  <c r="V280" i="1" s="1"/>
  <c r="W277" i="1" s="1"/>
  <c r="W266" i="1"/>
  <c r="W268" i="1" s="1"/>
  <c r="Y266" i="1"/>
  <c r="Z266" i="1"/>
  <c r="AA266" i="1"/>
  <c r="AB266" i="1"/>
  <c r="AD266" i="1"/>
  <c r="AE266" i="1"/>
  <c r="AF266" i="1"/>
  <c r="AG266" i="1"/>
  <c r="AG268" i="1" s="1"/>
  <c r="AI266" i="1"/>
  <c r="AR266" i="1"/>
  <c r="N267" i="1"/>
  <c r="S267" i="1"/>
  <c r="V267" i="1"/>
  <c r="X267" i="1" s="1"/>
  <c r="Z267" i="1"/>
  <c r="AC267" i="1" s="1"/>
  <c r="AH267" i="1"/>
  <c r="AI267" i="1"/>
  <c r="AM267" i="1" s="1"/>
  <c r="AR267" i="1"/>
  <c r="D268" i="1"/>
  <c r="E268" i="1"/>
  <c r="F268" i="1"/>
  <c r="G268" i="1"/>
  <c r="D271" i="1"/>
  <c r="D274" i="1" s="1"/>
  <c r="E271" i="1" s="1"/>
  <c r="E274" i="1" s="1"/>
  <c r="F271" i="1" s="1"/>
  <c r="F274" i="1" s="1"/>
  <c r="G271" i="1" s="1"/>
  <c r="G274" i="1" s="1"/>
  <c r="K271" i="1" s="1"/>
  <c r="K274" i="1" s="1"/>
  <c r="L271" i="1" s="1"/>
  <c r="L274" i="1" s="1"/>
  <c r="M271" i="1" s="1"/>
  <c r="M274" i="1" s="1"/>
  <c r="O271" i="1" s="1"/>
  <c r="O274" i="1" s="1"/>
  <c r="P271" i="1" s="1"/>
  <c r="P274" i="1" s="1"/>
  <c r="Q271" i="1" s="1"/>
  <c r="Q274" i="1" s="1"/>
  <c r="R271" i="1" s="1"/>
  <c r="R274" i="1" s="1"/>
  <c r="T271" i="1" s="1"/>
  <c r="T274" i="1" s="1"/>
  <c r="U271" i="1" s="1"/>
  <c r="U274" i="1" s="1"/>
  <c r="V271" i="1" s="1"/>
  <c r="V272" i="1" s="1"/>
  <c r="N272" i="1"/>
  <c r="S272" i="1"/>
  <c r="N273" i="1"/>
  <c r="S273" i="1"/>
  <c r="H274" i="1"/>
  <c r="I274" i="1"/>
  <c r="N271" i="1" s="1"/>
  <c r="J274" i="1"/>
  <c r="X278" i="1"/>
  <c r="AC278" i="1"/>
  <c r="AH278" i="1"/>
  <c r="AM278" i="1"/>
  <c r="AR278" i="1"/>
  <c r="X279" i="1"/>
  <c r="AC279" i="1"/>
  <c r="AH279" i="1"/>
  <c r="AM279" i="1"/>
  <c r="AR279" i="1"/>
  <c r="E283" i="1"/>
  <c r="E42" i="3" s="1"/>
  <c r="G283" i="1"/>
  <c r="G42" i="3" s="1"/>
  <c r="I283" i="1"/>
  <c r="I42" i="3" s="1"/>
  <c r="N283" i="1"/>
  <c r="S283" i="1"/>
  <c r="X283" i="1"/>
  <c r="AC283" i="1"/>
  <c r="AH283" i="1"/>
  <c r="AM283" i="1"/>
  <c r="AR283" i="1"/>
  <c r="M286" i="1"/>
  <c r="N286" i="1" s="1"/>
  <c r="R286" i="1"/>
  <c r="W286" i="1"/>
  <c r="W45" i="3" s="1"/>
  <c r="AB286" i="1"/>
  <c r="AB45" i="3" s="1"/>
  <c r="AG286" i="1"/>
  <c r="AG45" i="3" s="1"/>
  <c r="AL286" i="1"/>
  <c r="AL45" i="3" s="1"/>
  <c r="AO286" i="1"/>
  <c r="AO45" i="3" s="1"/>
  <c r="D290" i="1"/>
  <c r="E290" i="1"/>
  <c r="F290" i="1"/>
  <c r="G290" i="1"/>
  <c r="H290" i="1"/>
  <c r="I290" i="1"/>
  <c r="N290" i="1"/>
  <c r="S290" i="1"/>
  <c r="X290" i="1"/>
  <c r="AC290" i="1"/>
  <c r="AH290" i="1"/>
  <c r="AM290" i="1"/>
  <c r="AR290" i="1"/>
  <c r="M294" i="1"/>
  <c r="M381" i="2" s="1"/>
  <c r="R294" i="1"/>
  <c r="R381" i="2" s="1"/>
  <c r="W294" i="1"/>
  <c r="AB294" i="1"/>
  <c r="AB83" i="17" s="1"/>
  <c r="AG294" i="1"/>
  <c r="AG83" i="17" s="1"/>
  <c r="AM294" i="1"/>
  <c r="AM83" i="17" s="1"/>
  <c r="AR294" i="1"/>
  <c r="AR83" i="17" s="1"/>
  <c r="R295" i="1"/>
  <c r="R382" i="2" s="1"/>
  <c r="W295" i="1"/>
  <c r="W382" i="2" s="1"/>
  <c r="AB295" i="1"/>
  <c r="AB382" i="2" s="1"/>
  <c r="AG295" i="1"/>
  <c r="AG382" i="2" s="1"/>
  <c r="AM295" i="1"/>
  <c r="AR295" i="1"/>
  <c r="AR382" i="2" s="1"/>
  <c r="R296" i="1"/>
  <c r="R383" i="2" s="1"/>
  <c r="W296" i="1"/>
  <c r="W383" i="2" s="1"/>
  <c r="AB296" i="1"/>
  <c r="AB383" i="2" s="1"/>
  <c r="AG296" i="1"/>
  <c r="AG383" i="2" s="1"/>
  <c r="AM296" i="1"/>
  <c r="AR296" i="1"/>
  <c r="AR383" i="2" s="1"/>
  <c r="R297" i="1"/>
  <c r="R384" i="2" s="1"/>
  <c r="W297" i="1"/>
  <c r="W384" i="2" s="1"/>
  <c r="AB297" i="1"/>
  <c r="AB384" i="2" s="1"/>
  <c r="AG297" i="1"/>
  <c r="AG384" i="2" s="1"/>
  <c r="AM297" i="1"/>
  <c r="AR297" i="1"/>
  <c r="AR384" i="2" s="1"/>
  <c r="M298" i="1"/>
  <c r="M385" i="2" s="1"/>
  <c r="R298" i="1"/>
  <c r="R385" i="2" s="1"/>
  <c r="M299" i="1"/>
  <c r="M386" i="2" s="1"/>
  <c r="R299" i="1"/>
  <c r="R386" i="2" s="1"/>
  <c r="M300" i="1"/>
  <c r="M387" i="2" s="1"/>
  <c r="R300" i="1"/>
  <c r="R387" i="2" s="1"/>
  <c r="M301" i="1"/>
  <c r="M388" i="2" s="1"/>
  <c r="R301" i="1"/>
  <c r="R388" i="2" s="1"/>
  <c r="D304" i="1"/>
  <c r="D307" i="1" s="1"/>
  <c r="E304" i="1"/>
  <c r="E306" i="1" s="1"/>
  <c r="E393" i="2" s="1"/>
  <c r="F304" i="1"/>
  <c r="G304" i="1"/>
  <c r="G307" i="1" s="1"/>
  <c r="H304" i="1"/>
  <c r="H306" i="1" s="1"/>
  <c r="H393" i="2" s="1"/>
  <c r="I304" i="1"/>
  <c r="I306" i="1" s="1"/>
  <c r="I393" i="2" s="1"/>
  <c r="J304" i="1"/>
  <c r="J307" i="1" s="1"/>
  <c r="K304" i="1"/>
  <c r="K307" i="1" s="1"/>
  <c r="L304" i="1"/>
  <c r="L307" i="1" s="1"/>
  <c r="N304" i="1"/>
  <c r="N307" i="1" s="1"/>
  <c r="O304" i="1"/>
  <c r="O307" i="1" s="1"/>
  <c r="P304" i="1"/>
  <c r="P307" i="1" s="1"/>
  <c r="Q304" i="1"/>
  <c r="Q307" i="1" s="1"/>
  <c r="S304" i="1"/>
  <c r="S307" i="1" s="1"/>
  <c r="T304" i="1"/>
  <c r="T307" i="1" s="1"/>
  <c r="U304" i="1"/>
  <c r="U307" i="1" s="1"/>
  <c r="V304" i="1"/>
  <c r="V307" i="1" s="1"/>
  <c r="X304" i="1"/>
  <c r="X307" i="1" s="1"/>
  <c r="Y304" i="1"/>
  <c r="Y307" i="1" s="1"/>
  <c r="Z304" i="1"/>
  <c r="Z307" i="1" s="1"/>
  <c r="AA304" i="1"/>
  <c r="AA307" i="1" s="1"/>
  <c r="AC304" i="1"/>
  <c r="AC307" i="1" s="1"/>
  <c r="AD304" i="1"/>
  <c r="AD307" i="1" s="1"/>
  <c r="AE304" i="1"/>
  <c r="AE307" i="1" s="1"/>
  <c r="AF304" i="1"/>
  <c r="AF307" i="1" s="1"/>
  <c r="AH304" i="1"/>
  <c r="AI304" i="1"/>
  <c r="AI307" i="1" s="1"/>
  <c r="AJ304" i="1"/>
  <c r="AJ307" i="1" s="1"/>
  <c r="AK304" i="1"/>
  <c r="AK307" i="1" s="1"/>
  <c r="AL304" i="1"/>
  <c r="AL307" i="1" s="1"/>
  <c r="AN304" i="1"/>
  <c r="AN307" i="1" s="1"/>
  <c r="AO304" i="1"/>
  <c r="AO307" i="1" s="1"/>
  <c r="AP304" i="1"/>
  <c r="AP307" i="1" s="1"/>
  <c r="AQ304" i="1"/>
  <c r="AQ307" i="1" s="1"/>
  <c r="AS304" i="1"/>
  <c r="AS307" i="1" s="1"/>
  <c r="AT304" i="1"/>
  <c r="AT307" i="1" s="1"/>
  <c r="M306" i="1"/>
  <c r="M393" i="2" s="1"/>
  <c r="R306" i="1"/>
  <c r="R393" i="2" s="1"/>
  <c r="W306" i="1"/>
  <c r="W393" i="2" s="1"/>
  <c r="AB306" i="1"/>
  <c r="AB393" i="2" s="1"/>
  <c r="AG306" i="1"/>
  <c r="AG393" i="2" s="1"/>
  <c r="AM306" i="1"/>
  <c r="AR306" i="1"/>
  <c r="AR393" i="2" s="1"/>
  <c r="C307" i="1"/>
  <c r="S310" i="1"/>
  <c r="X310" i="1"/>
  <c r="AC310" i="1"/>
  <c r="AH310" i="1"/>
  <c r="AM310" i="1"/>
  <c r="AR310" i="1"/>
  <c r="N315" i="1"/>
  <c r="S315" i="1"/>
  <c r="X315" i="1"/>
  <c r="AC315" i="1"/>
  <c r="AH315" i="1"/>
  <c r="AM315" i="1"/>
  <c r="AR315" i="1"/>
  <c r="K316" i="1"/>
  <c r="P316" i="1"/>
  <c r="Q316" i="1" s="1"/>
  <c r="U316" i="1"/>
  <c r="Z316" i="1"/>
  <c r="AE316" i="1"/>
  <c r="AJ316" i="1"/>
  <c r="AM316" i="1"/>
  <c r="AQ316" i="1"/>
  <c r="BC83" i="17"/>
  <c r="BD83" i="17"/>
  <c r="AX73" i="1"/>
  <c r="AX79" i="1" s="1"/>
  <c r="BG261" i="1"/>
  <c r="CK40" i="4"/>
  <c r="CP40" i="4" s="1"/>
  <c r="CK23" i="4"/>
  <c r="CP23" i="4" s="1"/>
  <c r="CK41" i="4"/>
  <c r="CP41" i="4" s="1"/>
  <c r="CF36" i="4"/>
  <c r="BB83" i="17"/>
  <c r="AN22" i="5"/>
  <c r="BG101" i="2"/>
  <c r="CK12" i="4"/>
  <c r="CP12" i="4" s="1"/>
  <c r="BL101" i="2"/>
  <c r="BB101" i="2"/>
  <c r="AJ27" i="4"/>
  <c r="CK36" i="4"/>
  <c r="CP36" i="4" s="1"/>
  <c r="CB273" i="2"/>
  <c r="CD240" i="2"/>
  <c r="CD274" i="2"/>
  <c r="CE239" i="2"/>
  <c r="CE255" i="2"/>
  <c r="CB275" i="2"/>
  <c r="CD275" i="2"/>
  <c r="CD241" i="2"/>
  <c r="CE241" i="2"/>
  <c r="CE275" i="2"/>
  <c r="CE257" i="2"/>
  <c r="CB274" i="2"/>
  <c r="CD273" i="2"/>
  <c r="CD239" i="2"/>
  <c r="CE273" i="2"/>
  <c r="CE274" i="2"/>
  <c r="CE256" i="2"/>
  <c r="CE240" i="2"/>
  <c r="CF257" i="2"/>
  <c r="CF255" i="2"/>
  <c r="CF256" i="2"/>
  <c r="CK22" i="4"/>
  <c r="BV47" i="4"/>
  <c r="BC117" i="12"/>
  <c r="BH117" i="12" s="1"/>
  <c r="BM117" i="12" s="1"/>
  <c r="BD117" i="12"/>
  <c r="BI117" i="12" s="1"/>
  <c r="BN117" i="12" s="1"/>
  <c r="BS117" i="12" s="1"/>
  <c r="BX117" i="12" s="1"/>
  <c r="CC117" i="12" s="1"/>
  <c r="CH117" i="12" s="1"/>
  <c r="CM117" i="12" s="1"/>
  <c r="BE117" i="12"/>
  <c r="BJ117" i="12" s="1"/>
  <c r="BJ65" i="17" s="1"/>
  <c r="CF20" i="4"/>
  <c r="BV112" i="12"/>
  <c r="BV61" i="17" s="1"/>
  <c r="CF38" i="4"/>
  <c r="CD190" i="2"/>
  <c r="CD254" i="2"/>
  <c r="CK30" i="4"/>
  <c r="BR378" i="2"/>
  <c r="BY378" i="2"/>
  <c r="BX378" i="2"/>
  <c r="BV378" i="2"/>
  <c r="BU378" i="2"/>
  <c r="BW378" i="2"/>
  <c r="BS378" i="2"/>
  <c r="BT378" i="2"/>
  <c r="BF304" i="1"/>
  <c r="BF306" i="1"/>
  <c r="BF393" i="2" s="1"/>
  <c r="BG307" i="1"/>
  <c r="BQ43" i="4"/>
  <c r="CK28" i="4"/>
  <c r="CP28" i="4" s="1"/>
  <c r="BZ378" i="2"/>
  <c r="CA378" i="2"/>
  <c r="CA307" i="1"/>
  <c r="BZ294" i="1"/>
  <c r="CA381" i="2"/>
  <c r="AT23" i="5"/>
  <c r="BN23" i="5"/>
  <c r="CC43" i="5"/>
  <c r="CD43" i="5" s="1"/>
  <c r="CE43" i="5" s="1"/>
  <c r="CK8" i="5"/>
  <c r="CB213" i="1"/>
  <c r="CD189" i="1"/>
  <c r="BO165" i="1"/>
  <c r="BI182" i="2"/>
  <c r="BI48" i="3" s="1"/>
  <c r="BJ182" i="2"/>
  <c r="BS73" i="1"/>
  <c r="BS79" i="1" s="1"/>
  <c r="CB208" i="1"/>
  <c r="CC189" i="1"/>
  <c r="CA337" i="1"/>
  <c r="CF337" i="1" s="1"/>
  <c r="CD208" i="1"/>
  <c r="CA362" i="1"/>
  <c r="CP394" i="2"/>
  <c r="BN73" i="1"/>
  <c r="BN79" i="1" s="1"/>
  <c r="CA347" i="1"/>
  <c r="BN34" i="5"/>
  <c r="BO34" i="5" s="1"/>
  <c r="BP34" i="5" s="1"/>
  <c r="CF356" i="1"/>
  <c r="CF348" i="1"/>
  <c r="CK348" i="1" s="1"/>
  <c r="CA390" i="1"/>
  <c r="CA378" i="1"/>
  <c r="CA369" i="1"/>
  <c r="CF369" i="1" s="1"/>
  <c r="CK369" i="1" s="1"/>
  <c r="CB185" i="2"/>
  <c r="CB189" i="1"/>
  <c r="CA373" i="1"/>
  <c r="CF373" i="1" s="1"/>
  <c r="CA364" i="1"/>
  <c r="CF364" i="1" s="1"/>
  <c r="CK364" i="1" s="1"/>
  <c r="CB18" i="1"/>
  <c r="CB24" i="1" s="1"/>
  <c r="CB27" i="1" s="1"/>
  <c r="CD213" i="1"/>
  <c r="CI302" i="2"/>
  <c r="CN302" i="2"/>
  <c r="BX10" i="5"/>
  <c r="BY10" i="5" s="1"/>
  <c r="CC8" i="5"/>
  <c r="CD8" i="5" s="1"/>
  <c r="CE8" i="5" s="1"/>
  <c r="CE57" i="4"/>
  <c r="CD57" i="4" s="1"/>
  <c r="BQ28" i="4"/>
  <c r="CP302" i="2"/>
  <c r="CF7" i="4"/>
  <c r="CK19" i="4"/>
  <c r="CP19" i="4" s="1"/>
  <c r="CM284" i="2"/>
  <c r="CL284" i="2"/>
  <c r="CH266" i="2"/>
  <c r="CI309" i="2"/>
  <c r="CM266" i="2"/>
  <c r="CE127" i="2"/>
  <c r="CL250" i="2"/>
  <c r="CE284" i="2"/>
  <c r="CH309" i="2"/>
  <c r="CN268" i="2"/>
  <c r="CN286" i="2"/>
  <c r="CG309" i="2"/>
  <c r="CL266" i="2"/>
  <c r="CH284" i="2"/>
  <c r="CK34" i="4"/>
  <c r="CG63" i="4"/>
  <c r="CK14" i="4"/>
  <c r="CG46" i="3"/>
  <c r="CG33" i="3"/>
  <c r="CH194" i="2"/>
  <c r="CH264" i="2"/>
  <c r="CH248" i="2"/>
  <c r="CG194" i="2"/>
  <c r="CG195" i="2" s="1"/>
  <c r="CH282" i="2"/>
  <c r="CK10" i="4"/>
  <c r="CH63" i="4"/>
  <c r="CK21" i="4"/>
  <c r="CK18" i="4"/>
  <c r="CP18" i="4" s="1"/>
  <c r="CH33" i="3"/>
  <c r="CH49" i="3"/>
  <c r="CJ282" i="2"/>
  <c r="CK8" i="4"/>
  <c r="CI63" i="4"/>
  <c r="CI46" i="3"/>
  <c r="CI33" i="3"/>
  <c r="CI49" i="3"/>
  <c r="CK40" i="3"/>
  <c r="CJ33" i="3"/>
  <c r="CJ46" i="3"/>
  <c r="CJ49" i="3"/>
  <c r="CF21" i="5"/>
  <c r="CE60" i="4" l="1"/>
  <c r="BS33" i="3"/>
  <c r="BY267" i="2"/>
  <c r="BY264" i="2"/>
  <c r="BU224" i="2"/>
  <c r="CE128" i="2"/>
  <c r="CH250" i="2"/>
  <c r="CH127" i="2"/>
  <c r="CC231" i="2"/>
  <c r="CE272" i="2"/>
  <c r="CE344" i="2"/>
  <c r="CE360" i="2" s="1"/>
  <c r="BW60" i="3"/>
  <c r="BV208" i="1"/>
  <c r="CB129" i="2"/>
  <c r="CJ112" i="2"/>
  <c r="CB190" i="1"/>
  <c r="BP212" i="1"/>
  <c r="CD190" i="1"/>
  <c r="BL7" i="5"/>
  <c r="CE302" i="2"/>
  <c r="CE304" i="2" s="1"/>
  <c r="CF14" i="3"/>
  <c r="CJ107" i="2"/>
  <c r="CB89" i="1"/>
  <c r="CA375" i="1"/>
  <c r="CF375" i="1" s="1"/>
  <c r="CK375" i="1" s="1"/>
  <c r="CP375" i="1" s="1"/>
  <c r="CA391" i="1"/>
  <c r="CF391" i="1" s="1"/>
  <c r="CK391" i="1" s="1"/>
  <c r="BR189" i="1"/>
  <c r="AW67" i="1"/>
  <c r="AW73" i="1" s="1"/>
  <c r="AW79" i="1" s="1"/>
  <c r="AU73" i="1"/>
  <c r="AU79" i="1" s="1"/>
  <c r="BU117" i="2"/>
  <c r="BV13" i="1"/>
  <c r="BD212" i="1"/>
  <c r="AV27" i="4"/>
  <c r="DY120" i="12"/>
  <c r="DU70" i="12"/>
  <c r="BZ89" i="1"/>
  <c r="CF341" i="1"/>
  <c r="CK341" i="1" s="1"/>
  <c r="CP341" i="1" s="1"/>
  <c r="BR223" i="2"/>
  <c r="BI29" i="3"/>
  <c r="BZ57" i="4"/>
  <c r="BY57" i="4" s="1"/>
  <c r="BX57" i="4" s="1"/>
  <c r="AH104" i="2"/>
  <c r="BD223" i="2"/>
  <c r="BP119" i="2"/>
  <c r="BR275" i="2"/>
  <c r="BU283" i="2"/>
  <c r="BN233" i="2"/>
  <c r="BP223" i="2"/>
  <c r="BX256" i="2"/>
  <c r="BR233" i="2"/>
  <c r="BS255" i="2"/>
  <c r="BT275" i="2"/>
  <c r="BW222" i="2"/>
  <c r="BX233" i="2"/>
  <c r="BZ309" i="2"/>
  <c r="BO223" i="2"/>
  <c r="AE104" i="2"/>
  <c r="BX224" i="2"/>
  <c r="BY241" i="2"/>
  <c r="BX117" i="2"/>
  <c r="BX221" i="2"/>
  <c r="CB264" i="2"/>
  <c r="BX190" i="2"/>
  <c r="BX191" i="2" s="1"/>
  <c r="BY191" i="2"/>
  <c r="BI267" i="2"/>
  <c r="BT257" i="2"/>
  <c r="CC265" i="2"/>
  <c r="BT223" i="2"/>
  <c r="CC282" i="2"/>
  <c r="BY272" i="2"/>
  <c r="AN104" i="2"/>
  <c r="CG264" i="2"/>
  <c r="BT283" i="2"/>
  <c r="CB221" i="2"/>
  <c r="CB190" i="2"/>
  <c r="CB191" i="2" s="1"/>
  <c r="BV171" i="2"/>
  <c r="BW128" i="2"/>
  <c r="BU282" i="2"/>
  <c r="BX120" i="2"/>
  <c r="BW272" i="2"/>
  <c r="BW282" i="2"/>
  <c r="CB282" i="2"/>
  <c r="BR257" i="2"/>
  <c r="BW112" i="2"/>
  <c r="BV304" i="2"/>
  <c r="CD81" i="12"/>
  <c r="CD80" i="12" s="1"/>
  <c r="AK70" i="12"/>
  <c r="BT45" i="12"/>
  <c r="BZ112" i="2"/>
  <c r="BY319" i="2"/>
  <c r="G86" i="1"/>
  <c r="G88" i="1" s="1"/>
  <c r="BR108" i="2"/>
  <c r="BS257" i="2"/>
  <c r="BS70" i="12"/>
  <c r="BS69" i="12" s="1"/>
  <c r="BS43" i="17" s="1"/>
  <c r="CA40" i="2"/>
  <c r="CA360" i="1"/>
  <c r="CF360" i="1" s="1"/>
  <c r="BJ189" i="1"/>
  <c r="BJ190" i="1" s="1"/>
  <c r="BK212" i="1"/>
  <c r="BL21" i="5"/>
  <c r="BK63" i="4"/>
  <c r="AR104" i="2"/>
  <c r="W274" i="2"/>
  <c r="BC18" i="1"/>
  <c r="BC24" i="1" s="1"/>
  <c r="BC27" i="1" s="1"/>
  <c r="BC29" i="1" s="1"/>
  <c r="BI18" i="1"/>
  <c r="BI24" i="1" s="1"/>
  <c r="BI27" i="1" s="1"/>
  <c r="BI35" i="1" s="1"/>
  <c r="BI37" i="1" s="1"/>
  <c r="BI8" i="3"/>
  <c r="BI76" i="4" s="1"/>
  <c r="BM18" i="1"/>
  <c r="BM24" i="1" s="1"/>
  <c r="BM27" i="1" s="1"/>
  <c r="Z18" i="1"/>
  <c r="Z24" i="1" s="1"/>
  <c r="Z27" i="1" s="1"/>
  <c r="Z29" i="1" s="1"/>
  <c r="BJ222" i="2"/>
  <c r="BN120" i="2"/>
  <c r="BR337" i="2"/>
  <c r="BR353" i="2" s="1"/>
  <c r="BU18" i="1"/>
  <c r="BU24" i="1" s="1"/>
  <c r="BU27" i="1" s="1"/>
  <c r="BU35" i="1" s="1"/>
  <c r="BU37" i="1" s="1"/>
  <c r="BW117" i="2"/>
  <c r="BF275" i="2"/>
  <c r="BF274" i="2"/>
  <c r="BI120" i="2"/>
  <c r="BJ274" i="2"/>
  <c r="BM35" i="12"/>
  <c r="BM34" i="12" s="1"/>
  <c r="BM7" i="17" s="1"/>
  <c r="CA29" i="12"/>
  <c r="D107" i="1"/>
  <c r="D121" i="1" s="1"/>
  <c r="D139" i="1" s="1"/>
  <c r="D141" i="1" s="1"/>
  <c r="D144" i="1" s="1"/>
  <c r="AG223" i="2"/>
  <c r="BZ127" i="2"/>
  <c r="U244" i="2"/>
  <c r="R290" i="2"/>
  <c r="BK83" i="17"/>
  <c r="CJ250" i="2"/>
  <c r="BN110" i="2"/>
  <c r="BV25" i="3"/>
  <c r="BJ256" i="2"/>
  <c r="BL266" i="1"/>
  <c r="BJ255" i="2"/>
  <c r="BI272" i="2"/>
  <c r="BB21" i="4"/>
  <c r="BM109" i="2"/>
  <c r="BH275" i="2"/>
  <c r="BN266" i="2"/>
  <c r="CA380" i="1"/>
  <c r="CF380" i="1" s="1"/>
  <c r="CK380" i="1" s="1"/>
  <c r="BB32" i="1"/>
  <c r="C394" i="2"/>
  <c r="AF153" i="2"/>
  <c r="BK255" i="2"/>
  <c r="BH8" i="3"/>
  <c r="BH60" i="3" s="1"/>
  <c r="BP120" i="2"/>
  <c r="BK18" i="1"/>
  <c r="BK24" i="1" s="1"/>
  <c r="BK27" i="1" s="1"/>
  <c r="BK35" i="1" s="1"/>
  <c r="BK37" i="1" s="1"/>
  <c r="BY334" i="2"/>
  <c r="BQ188" i="1"/>
  <c r="BR284" i="2"/>
  <c r="BQ180" i="1"/>
  <c r="BQ183" i="1" s="1"/>
  <c r="BV128" i="1"/>
  <c r="BW139" i="1"/>
  <c r="BX89" i="1"/>
  <c r="CA107" i="1"/>
  <c r="CA121" i="1" s="1"/>
  <c r="CA86" i="1"/>
  <c r="CA88" i="1" s="1"/>
  <c r="BE274" i="2"/>
  <c r="BL184" i="2"/>
  <c r="BR266" i="2"/>
  <c r="BN118" i="2"/>
  <c r="BP18" i="1"/>
  <c r="BP24" i="1" s="1"/>
  <c r="BP27" i="1" s="1"/>
  <c r="BP29" i="1" s="1"/>
  <c r="BQ9" i="1"/>
  <c r="BQ256" i="1" s="1"/>
  <c r="AQ153" i="2"/>
  <c r="AJ153" i="2"/>
  <c r="AT107" i="1"/>
  <c r="AT121" i="1" s="1"/>
  <c r="AT139" i="1" s="1"/>
  <c r="D86" i="1"/>
  <c r="D88" i="1" s="1"/>
  <c r="D89" i="1" s="1"/>
  <c r="D92" i="1" s="1"/>
  <c r="DP70" i="12"/>
  <c r="DT77" i="12"/>
  <c r="DT120" i="12"/>
  <c r="BP35" i="12"/>
  <c r="BP34" i="12" s="1"/>
  <c r="BP7" i="17" s="1"/>
  <c r="BL77" i="12"/>
  <c r="BS334" i="2"/>
  <c r="BS350" i="2" s="1"/>
  <c r="AQ129" i="2"/>
  <c r="AD155" i="2"/>
  <c r="V109" i="2"/>
  <c r="BH223" i="2"/>
  <c r="BI233" i="2"/>
  <c r="BI224" i="2"/>
  <c r="BJ233" i="2"/>
  <c r="BJ224" i="2"/>
  <c r="BP240" i="2"/>
  <c r="BR250" i="2"/>
  <c r="BM300" i="2"/>
  <c r="BM302" i="2" s="1"/>
  <c r="BM304" i="2" s="1"/>
  <c r="BO221" i="2"/>
  <c r="BP113" i="2"/>
  <c r="BR82" i="2"/>
  <c r="BR133" i="2" s="1"/>
  <c r="BW274" i="2"/>
  <c r="BY233" i="2"/>
  <c r="CE249" i="2"/>
  <c r="CF69" i="2"/>
  <c r="CB232" i="2"/>
  <c r="CC186" i="2"/>
  <c r="CC188" i="2" s="1"/>
  <c r="CD107" i="2"/>
  <c r="CD282" i="2"/>
  <c r="BJ284" i="2"/>
  <c r="BN222" i="2"/>
  <c r="BU240" i="2"/>
  <c r="BW275" i="2"/>
  <c r="BW186" i="2"/>
  <c r="BW188" i="2" s="1"/>
  <c r="BI222" i="2"/>
  <c r="BS190" i="2"/>
  <c r="BS191" i="2" s="1"/>
  <c r="BK254" i="2"/>
  <c r="BU223" i="2"/>
  <c r="BJ178" i="2"/>
  <c r="BY254" i="2"/>
  <c r="BF272" i="2"/>
  <c r="T33" i="3"/>
  <c r="CF185" i="2"/>
  <c r="BB17" i="4"/>
  <c r="BB314" i="1" s="1"/>
  <c r="BB312" i="1" s="1"/>
  <c r="AB381" i="2"/>
  <c r="AC381" i="2" s="1"/>
  <c r="J212" i="1"/>
  <c r="AW31" i="4"/>
  <c r="AO118" i="2"/>
  <c r="BH119" i="2"/>
  <c r="BK108" i="2"/>
  <c r="BS256" i="2"/>
  <c r="BE284" i="2"/>
  <c r="BJ335" i="2"/>
  <c r="BJ351" i="2" s="1"/>
  <c r="BH189" i="1"/>
  <c r="BH190" i="1" s="1"/>
  <c r="BN18" i="1"/>
  <c r="BN24" i="1" s="1"/>
  <c r="BN27" i="1" s="1"/>
  <c r="BN31" i="1" s="1"/>
  <c r="BN33" i="1" s="1"/>
  <c r="BN189" i="1"/>
  <c r="BN190" i="1" s="1"/>
  <c r="BO224" i="2"/>
  <c r="BP241" i="2"/>
  <c r="BI212" i="1"/>
  <c r="U64" i="1"/>
  <c r="BK224" i="2"/>
  <c r="AW13" i="4"/>
  <c r="P107" i="1"/>
  <c r="P121" i="1" s="1"/>
  <c r="P139" i="1" s="1"/>
  <c r="P141" i="1" s="1"/>
  <c r="P144" i="1" s="1"/>
  <c r="AX255" i="2"/>
  <c r="BW300" i="2"/>
  <c r="BW302" i="2" s="1"/>
  <c r="BW304" i="2" s="1"/>
  <c r="BU337" i="2"/>
  <c r="BU353" i="2" s="1"/>
  <c r="BN394" i="2"/>
  <c r="BL391" i="2"/>
  <c r="BL394" i="2" s="1"/>
  <c r="BR8" i="3"/>
  <c r="BW335" i="2"/>
  <c r="BW351" i="2" s="1"/>
  <c r="BR394" i="2"/>
  <c r="BZ248" i="2"/>
  <c r="CE283" i="2"/>
  <c r="BP190" i="2"/>
  <c r="BP191" i="2" s="1"/>
  <c r="R83" i="17"/>
  <c r="BO250" i="2"/>
  <c r="AO9" i="5"/>
  <c r="AO54" i="3" s="1"/>
  <c r="CF362" i="1"/>
  <c r="CK362" i="1" s="1"/>
  <c r="BH178" i="2"/>
  <c r="BP110" i="2"/>
  <c r="BO139" i="1"/>
  <c r="BH274" i="2"/>
  <c r="AP189" i="1"/>
  <c r="AP190" i="1" s="1"/>
  <c r="E190" i="1"/>
  <c r="V107" i="1"/>
  <c r="V121" i="1" s="1"/>
  <c r="V139" i="1" s="1"/>
  <c r="V141" i="1" s="1"/>
  <c r="V144" i="1" s="1"/>
  <c r="AJ18" i="1"/>
  <c r="AJ24" i="1" s="1"/>
  <c r="AJ27" i="1" s="1"/>
  <c r="AJ29" i="1" s="1"/>
  <c r="I267" i="2"/>
  <c r="G262" i="2"/>
  <c r="H261" i="2"/>
  <c r="I259" i="2"/>
  <c r="K225" i="2"/>
  <c r="F241" i="2"/>
  <c r="E223" i="2"/>
  <c r="H126" i="2"/>
  <c r="I123" i="2"/>
  <c r="V120" i="2"/>
  <c r="AK152" i="2"/>
  <c r="AA151" i="2"/>
  <c r="AI8" i="3"/>
  <c r="BE118" i="2"/>
  <c r="AZ272" i="2"/>
  <c r="BI110" i="2"/>
  <c r="BD222" i="2"/>
  <c r="BJ110" i="2"/>
  <c r="BE285" i="2"/>
  <c r="BK267" i="2"/>
  <c r="BN238" i="2"/>
  <c r="BO238" i="2"/>
  <c r="BL185" i="2"/>
  <c r="BK233" i="2"/>
  <c r="BL55" i="1"/>
  <c r="BL64" i="1" s="1"/>
  <c r="BM117" i="2"/>
  <c r="BM285" i="2"/>
  <c r="BN69" i="2"/>
  <c r="BN82" i="2" s="1"/>
  <c r="BN272" i="2"/>
  <c r="BO119" i="2"/>
  <c r="BO222" i="2"/>
  <c r="BU334" i="2"/>
  <c r="BU350" i="2" s="1"/>
  <c r="BS335" i="2"/>
  <c r="BS351" i="2" s="1"/>
  <c r="BX337" i="2"/>
  <c r="BX353" i="2" s="1"/>
  <c r="BW118" i="2"/>
  <c r="BS222" i="2"/>
  <c r="BU275" i="2"/>
  <c r="BU29" i="3"/>
  <c r="BW233" i="2"/>
  <c r="BV183" i="1"/>
  <c r="BY117" i="2"/>
  <c r="CA183" i="1"/>
  <c r="CC254" i="2"/>
  <c r="CE250" i="2"/>
  <c r="CE82" i="2"/>
  <c r="CE145" i="2" s="1"/>
  <c r="CE326" i="1" s="1"/>
  <c r="BK274" i="2"/>
  <c r="P18" i="1"/>
  <c r="P24" i="1" s="1"/>
  <c r="P27" i="1" s="1"/>
  <c r="C308" i="2"/>
  <c r="Y129" i="2"/>
  <c r="P123" i="2"/>
  <c r="AO109" i="2"/>
  <c r="AA119" i="2"/>
  <c r="AX284" i="2"/>
  <c r="BI129" i="2"/>
  <c r="BK337" i="2"/>
  <c r="BK353" i="2" s="1"/>
  <c r="BI69" i="2"/>
  <c r="BI82" i="2" s="1"/>
  <c r="BI145" i="2" s="1"/>
  <c r="BI326" i="1" s="1"/>
  <c r="BM108" i="2"/>
  <c r="BK223" i="2"/>
  <c r="BK256" i="2"/>
  <c r="J107" i="1"/>
  <c r="J121" i="1" s="1"/>
  <c r="BL170" i="2"/>
  <c r="D38" i="5"/>
  <c r="D39" i="5" s="1"/>
  <c r="V268" i="1"/>
  <c r="W150" i="2"/>
  <c r="J224" i="2"/>
  <c r="AW210" i="1"/>
  <c r="BF224" i="2"/>
  <c r="BI223" i="2"/>
  <c r="BI178" i="2"/>
  <c r="BJ223" i="2"/>
  <c r="BJ273" i="2"/>
  <c r="BK222" i="2"/>
  <c r="BK191" i="2"/>
  <c r="BM255" i="2"/>
  <c r="BO241" i="2"/>
  <c r="BO300" i="2"/>
  <c r="BO302" i="2" s="1"/>
  <c r="BO304" i="2" s="1"/>
  <c r="BX334" i="2"/>
  <c r="BX350" i="2" s="1"/>
  <c r="BP254" i="2"/>
  <c r="BP233" i="2"/>
  <c r="BP185" i="2"/>
  <c r="BP186" i="2" s="1"/>
  <c r="BZ111" i="2"/>
  <c r="BP221" i="2"/>
  <c r="BH212" i="1"/>
  <c r="BL223" i="1"/>
  <c r="BL226" i="1" s="1"/>
  <c r="BL321" i="2" s="1"/>
  <c r="CB254" i="2"/>
  <c r="X18" i="2"/>
  <c r="X87" i="2" s="1"/>
  <c r="X94" i="2" s="1"/>
  <c r="AA316" i="1"/>
  <c r="BB160" i="1"/>
  <c r="BB165" i="1" s="1"/>
  <c r="L128" i="1"/>
  <c r="M11" i="1"/>
  <c r="M10" i="3" s="1"/>
  <c r="M12" i="3" s="1"/>
  <c r="CE191" i="2"/>
  <c r="BI273" i="2"/>
  <c r="BO110" i="2"/>
  <c r="BK272" i="2"/>
  <c r="BX110" i="2"/>
  <c r="BN178" i="2"/>
  <c r="BS264" i="2" s="1"/>
  <c r="BG67" i="1"/>
  <c r="BK213" i="1"/>
  <c r="BM190" i="2"/>
  <c r="BM191" i="2" s="1"/>
  <c r="K13" i="1"/>
  <c r="K18" i="1" s="1"/>
  <c r="K24" i="1" s="1"/>
  <c r="K27" i="1" s="1"/>
  <c r="K31" i="1" s="1"/>
  <c r="BS118" i="2"/>
  <c r="BQ160" i="1"/>
  <c r="BQ165" i="1" s="1"/>
  <c r="BZ282" i="2"/>
  <c r="BU257" i="2"/>
  <c r="BN257" i="2"/>
  <c r="AR51" i="2"/>
  <c r="AR91" i="2" s="1"/>
  <c r="AK189" i="1"/>
  <c r="AK190" i="1" s="1"/>
  <c r="N128" i="1"/>
  <c r="M128" i="1" s="1"/>
  <c r="AY73" i="1"/>
  <c r="AY79" i="1" s="1"/>
  <c r="AY89" i="1" s="1"/>
  <c r="BU319" i="2"/>
  <c r="AV110" i="2"/>
  <c r="BC337" i="2"/>
  <c r="BC353" i="2" s="1"/>
  <c r="BF285" i="2"/>
  <c r="BU129" i="2"/>
  <c r="Q44" i="17"/>
  <c r="Q46" i="17" s="1"/>
  <c r="CC59" i="3"/>
  <c r="CF359" i="1"/>
  <c r="CK359" i="1" s="1"/>
  <c r="CP359" i="1" s="1"/>
  <c r="CU359" i="1" s="1"/>
  <c r="BM319" i="2"/>
  <c r="Q79" i="1"/>
  <c r="Q89" i="1" s="1"/>
  <c r="Q92" i="1" s="1"/>
  <c r="BM239" i="2"/>
  <c r="BH221" i="2"/>
  <c r="BM284" i="2"/>
  <c r="BK221" i="2"/>
  <c r="BN319" i="2"/>
  <c r="BS120" i="2"/>
  <c r="BN224" i="2"/>
  <c r="BR118" i="2"/>
  <c r="BF27" i="4"/>
  <c r="K268" i="1"/>
  <c r="BP334" i="2"/>
  <c r="CA353" i="1"/>
  <c r="BN182" i="2"/>
  <c r="BN48" i="3" s="1"/>
  <c r="BN49" i="3" s="1"/>
  <c r="BM212" i="1"/>
  <c r="AV107" i="1"/>
  <c r="AV121" i="1" s="1"/>
  <c r="AV139" i="1" s="1"/>
  <c r="BZ264" i="2"/>
  <c r="CB112" i="2"/>
  <c r="BO275" i="2"/>
  <c r="G221" i="2"/>
  <c r="U243" i="2"/>
  <c r="BI275" i="2"/>
  <c r="BO257" i="2"/>
  <c r="BM257" i="2"/>
  <c r="H12" i="3"/>
  <c r="AU51" i="2"/>
  <c r="AU91" i="2" s="1"/>
  <c r="BK226" i="1"/>
  <c r="BK321" i="2" s="1"/>
  <c r="BM272" i="2"/>
  <c r="BL203" i="1"/>
  <c r="BL206" i="1" s="1"/>
  <c r="BL208" i="1" s="1"/>
  <c r="BJ186" i="2"/>
  <c r="BX272" i="2"/>
  <c r="E229" i="2"/>
  <c r="BZ194" i="2"/>
  <c r="BZ195" i="2" s="1"/>
  <c r="BK241" i="2"/>
  <c r="BH73" i="1"/>
  <c r="BH79" i="1" s="1"/>
  <c r="BH89" i="1" s="1"/>
  <c r="BU250" i="2"/>
  <c r="BK137" i="1"/>
  <c r="CB128" i="2"/>
  <c r="BW254" i="2"/>
  <c r="BU231" i="2"/>
  <c r="AQ212" i="1"/>
  <c r="L32" i="1"/>
  <c r="Y89" i="1"/>
  <c r="AM56" i="2"/>
  <c r="BH254" i="2"/>
  <c r="AJ69" i="2"/>
  <c r="AS29" i="3"/>
  <c r="BR238" i="2"/>
  <c r="BS110" i="2"/>
  <c r="BS241" i="2"/>
  <c r="BM267" i="2"/>
  <c r="BD69" i="2"/>
  <c r="BQ79" i="2"/>
  <c r="BD224" i="2"/>
  <c r="BK118" i="2"/>
  <c r="AI221" i="2"/>
  <c r="AB285" i="2"/>
  <c r="AD275" i="2"/>
  <c r="F59" i="3"/>
  <c r="AX233" i="2"/>
  <c r="BF267" i="2"/>
  <c r="BC120" i="2"/>
  <c r="BC256" i="2"/>
  <c r="BF223" i="2"/>
  <c r="BO240" i="2"/>
  <c r="BI241" i="2"/>
  <c r="BJ191" i="2"/>
  <c r="BM238" i="2"/>
  <c r="BP266" i="2"/>
  <c r="BI255" i="2"/>
  <c r="BS224" i="2"/>
  <c r="BN256" i="2"/>
  <c r="Y150" i="2"/>
  <c r="AZ336" i="2"/>
  <c r="AZ352" i="2" s="1"/>
  <c r="AP308" i="2"/>
  <c r="Y334" i="2"/>
  <c r="Y350" i="2" s="1"/>
  <c r="L228" i="2"/>
  <c r="I227" i="2"/>
  <c r="AQ224" i="2"/>
  <c r="AJ224" i="2"/>
  <c r="AP256" i="2"/>
  <c r="AR79" i="2"/>
  <c r="AO164" i="2" s="1"/>
  <c r="AF155" i="2"/>
  <c r="AT110" i="2"/>
  <c r="AP109" i="2"/>
  <c r="AU117" i="2"/>
  <c r="BD108" i="2"/>
  <c r="AY239" i="2"/>
  <c r="BZ272" i="2"/>
  <c r="BO273" i="2"/>
  <c r="AE7" i="5"/>
  <c r="AF7" i="5" s="1"/>
  <c r="T275" i="2"/>
  <c r="V110" i="2"/>
  <c r="BR109" i="2"/>
  <c r="BK57" i="4"/>
  <c r="BT255" i="2"/>
  <c r="W284" i="2"/>
  <c r="AN391" i="2"/>
  <c r="AN394" i="2" s="1"/>
  <c r="BH285" i="2"/>
  <c r="BN223" i="2"/>
  <c r="BE273" i="2"/>
  <c r="R225" i="2"/>
  <c r="I391" i="2"/>
  <c r="I394" i="2" s="1"/>
  <c r="AD223" i="2"/>
  <c r="P255" i="2"/>
  <c r="AK155" i="2"/>
  <c r="AA155" i="2"/>
  <c r="H122" i="2"/>
  <c r="AL152" i="2"/>
  <c r="AK151" i="2"/>
  <c r="AY33" i="3"/>
  <c r="BP129" i="2"/>
  <c r="AX191" i="2"/>
  <c r="AW304" i="1"/>
  <c r="AW307" i="1" s="1"/>
  <c r="J13" i="1"/>
  <c r="J18" i="1" s="1"/>
  <c r="J24" i="1" s="1"/>
  <c r="J27" i="1" s="1"/>
  <c r="J35" i="1" s="1"/>
  <c r="D247" i="2"/>
  <c r="AX274" i="2"/>
  <c r="BB170" i="2"/>
  <c r="BL169" i="2"/>
  <c r="BT129" i="2"/>
  <c r="BK391" i="2"/>
  <c r="BK394" i="2" s="1"/>
  <c r="BQ391" i="2"/>
  <c r="BQ394" i="2" s="1"/>
  <c r="BS284" i="2"/>
  <c r="BT186" i="2"/>
  <c r="BT188" i="2" s="1"/>
  <c r="BT213" i="2" s="1"/>
  <c r="BY82" i="2"/>
  <c r="BY136" i="2" s="1"/>
  <c r="E60" i="4"/>
  <c r="E61" i="4" s="1"/>
  <c r="J10" i="3"/>
  <c r="J12" i="3" s="1"/>
  <c r="J77" i="4" s="1"/>
  <c r="BK240" i="2"/>
  <c r="AX89" i="1"/>
  <c r="M15" i="5"/>
  <c r="N15" i="5" s="1"/>
  <c r="AV108" i="2"/>
  <c r="AM180" i="1"/>
  <c r="AM183" i="1" s="1"/>
  <c r="BL86" i="1"/>
  <c r="BL88" i="1" s="1"/>
  <c r="BL128" i="1"/>
  <c r="BO285" i="2"/>
  <c r="BS337" i="2"/>
  <c r="BS353" i="2" s="1"/>
  <c r="BR120" i="2"/>
  <c r="BR107" i="1"/>
  <c r="BR121" i="1" s="1"/>
  <c r="BR139" i="1" s="1"/>
  <c r="BE117" i="2"/>
  <c r="BB13" i="1"/>
  <c r="BG170" i="2"/>
  <c r="BE223" i="2"/>
  <c r="BK300" i="2"/>
  <c r="BK302" i="2" s="1"/>
  <c r="BK304" i="2" s="1"/>
  <c r="BL39" i="2"/>
  <c r="BD239" i="2"/>
  <c r="W280" i="1"/>
  <c r="CF355" i="1"/>
  <c r="CK355" i="1" s="1"/>
  <c r="CP355" i="1" s="1"/>
  <c r="Y308" i="2"/>
  <c r="F38" i="5"/>
  <c r="F39" i="5" s="1"/>
  <c r="AC88" i="1"/>
  <c r="AB88" i="1" s="1"/>
  <c r="AQ257" i="2"/>
  <c r="Q308" i="2"/>
  <c r="AK285" i="2"/>
  <c r="V284" i="2"/>
  <c r="F266" i="2"/>
  <c r="Q224" i="2"/>
  <c r="E224" i="2"/>
  <c r="Q274" i="2"/>
  <c r="E256" i="2"/>
  <c r="AQ155" i="2"/>
  <c r="Z155" i="2"/>
  <c r="H129" i="2"/>
  <c r="G126" i="2"/>
  <c r="F125" i="2"/>
  <c r="P69" i="2"/>
  <c r="AR40" i="2"/>
  <c r="AP162" i="2" s="1"/>
  <c r="Z153" i="2"/>
  <c r="AV109" i="2"/>
  <c r="AJ119" i="2"/>
  <c r="Q223" i="2"/>
  <c r="AQ151" i="2"/>
  <c r="AJ151" i="2"/>
  <c r="P222" i="2"/>
  <c r="AP150" i="2"/>
  <c r="M150" i="2"/>
  <c r="BB210" i="1"/>
  <c r="BC109" i="2"/>
  <c r="BG40" i="2"/>
  <c r="BG337" i="2" s="1"/>
  <c r="BG353" i="2" s="1"/>
  <c r="BG369" i="2" s="1"/>
  <c r="BJ120" i="2"/>
  <c r="BE107" i="1"/>
  <c r="BE121" i="1" s="1"/>
  <c r="BE139" i="1" s="1"/>
  <c r="BF69" i="2"/>
  <c r="BF82" i="2" s="1"/>
  <c r="BF89" i="1"/>
  <c r="BI107" i="2"/>
  <c r="BL300" i="2"/>
  <c r="BO255" i="2"/>
  <c r="AJ104" i="2"/>
  <c r="AM105" i="2" s="1"/>
  <c r="BP70" i="12"/>
  <c r="BP69" i="12" s="1"/>
  <c r="BP43" i="17" s="1"/>
  <c r="BP189" i="1"/>
  <c r="BP190" i="1" s="1"/>
  <c r="BQ13" i="4"/>
  <c r="F257" i="2"/>
  <c r="BA206" i="1"/>
  <c r="BA208" i="1" s="1"/>
  <c r="BA212" i="1"/>
  <c r="BT117" i="2"/>
  <c r="BT107" i="2"/>
  <c r="BP107" i="2"/>
  <c r="BP238" i="2"/>
  <c r="BP39" i="3"/>
  <c r="BP32" i="1"/>
  <c r="BW394" i="2"/>
  <c r="BL107" i="1"/>
  <c r="BL121" i="1" s="1"/>
  <c r="BU307" i="1"/>
  <c r="BU393" i="2"/>
  <c r="BU394" i="2" s="1"/>
  <c r="BU128" i="2"/>
  <c r="BZ128" i="2"/>
  <c r="BZ58" i="3"/>
  <c r="BZ76" i="4"/>
  <c r="BU309" i="2"/>
  <c r="CA223" i="1"/>
  <c r="CB234" i="1" s="1"/>
  <c r="CB244" i="1" s="1"/>
  <c r="BZ226" i="1"/>
  <c r="BZ321" i="2" s="1"/>
  <c r="CC226" i="1"/>
  <c r="CC321" i="2" s="1"/>
  <c r="CC319" i="2"/>
  <c r="CD127" i="2"/>
  <c r="CD309" i="2"/>
  <c r="BQ36" i="1"/>
  <c r="BQ32" i="1"/>
  <c r="I107" i="1"/>
  <c r="I121" i="1" s="1"/>
  <c r="BF8" i="3"/>
  <c r="BH165" i="1"/>
  <c r="BH213" i="1" s="1"/>
  <c r="BL160" i="1"/>
  <c r="BI189" i="1"/>
  <c r="BI190" i="1" s="1"/>
  <c r="BL210" i="1"/>
  <c r="BL290" i="2"/>
  <c r="BO272" i="2"/>
  <c r="BT238" i="2"/>
  <c r="BQ55" i="1"/>
  <c r="BQ64" i="1" s="1"/>
  <c r="BQ86" i="1"/>
  <c r="BQ88" i="1" s="1"/>
  <c r="BQ128" i="1"/>
  <c r="BQ137" i="1"/>
  <c r="BR240" i="2"/>
  <c r="BS9" i="5"/>
  <c r="BT9" i="5" s="1"/>
  <c r="BV9" i="4"/>
  <c r="BW76" i="4" s="1"/>
  <c r="AS212" i="1"/>
  <c r="AW160" i="1"/>
  <c r="AW165" i="1" s="1"/>
  <c r="F33" i="3"/>
  <c r="AU129" i="2"/>
  <c r="Q241" i="2"/>
  <c r="BN241" i="2"/>
  <c r="D255" i="2"/>
  <c r="P277" i="2"/>
  <c r="AX107" i="1"/>
  <c r="AX121" i="1" s="1"/>
  <c r="AX139" i="1" s="1"/>
  <c r="R244" i="2"/>
  <c r="Z121" i="1"/>
  <c r="Z139" i="1" s="1"/>
  <c r="Z141" i="1" s="1"/>
  <c r="Z144" i="1" s="1"/>
  <c r="AT266" i="2"/>
  <c r="AY250" i="2"/>
  <c r="F246" i="2"/>
  <c r="Z224" i="2"/>
  <c r="Q275" i="2"/>
  <c r="AO239" i="2"/>
  <c r="AO255" i="2"/>
  <c r="AF272" i="2"/>
  <c r="L272" i="2"/>
  <c r="AW80" i="2"/>
  <c r="AM80" i="2"/>
  <c r="G129" i="2"/>
  <c r="N78" i="2"/>
  <c r="N103" i="2" s="1"/>
  <c r="M103" i="2"/>
  <c r="E69" i="2"/>
  <c r="E82" i="2" s="1"/>
  <c r="E125" i="2"/>
  <c r="AP153" i="2"/>
  <c r="AA152" i="2"/>
  <c r="P151" i="2"/>
  <c r="BG188" i="1"/>
  <c r="BI300" i="2"/>
  <c r="BI302" i="2" s="1"/>
  <c r="BI304" i="2" s="1"/>
  <c r="BK189" i="1"/>
  <c r="BK190" i="1" s="1"/>
  <c r="BL80" i="2"/>
  <c r="BL25" i="3"/>
  <c r="BL6" i="3"/>
  <c r="BL9" i="1"/>
  <c r="BM107" i="2"/>
  <c r="BS254" i="2"/>
  <c r="BN190" i="2"/>
  <c r="BN191" i="2" s="1"/>
  <c r="BZ319" i="2"/>
  <c r="BP256" i="2"/>
  <c r="BR224" i="2"/>
  <c r="BS319" i="2"/>
  <c r="BS226" i="1"/>
  <c r="BS321" i="2" s="1"/>
  <c r="AJ89" i="1"/>
  <c r="AJ92" i="1" s="1"/>
  <c r="BT108" i="2"/>
  <c r="BT222" i="2"/>
  <c r="I121" i="2"/>
  <c r="H121" i="2"/>
  <c r="BI240" i="2"/>
  <c r="AY284" i="2"/>
  <c r="BZ128" i="1"/>
  <c r="BZ139" i="1" s="1"/>
  <c r="BH109" i="2"/>
  <c r="BD178" i="2"/>
  <c r="BQ6" i="3"/>
  <c r="BI274" i="2"/>
  <c r="T212" i="1"/>
  <c r="BH272" i="2"/>
  <c r="BD33" i="3"/>
  <c r="BG9" i="4"/>
  <c r="BN275" i="2"/>
  <c r="F261" i="1"/>
  <c r="AM185" i="1"/>
  <c r="AG107" i="1"/>
  <c r="AH121" i="1"/>
  <c r="AG121" i="1" s="1"/>
  <c r="P340" i="2"/>
  <c r="P356" i="2" s="1"/>
  <c r="AK336" i="2"/>
  <c r="AK352" i="2" s="1"/>
  <c r="BB38" i="2"/>
  <c r="AY69" i="2"/>
  <c r="AY82" i="2" s="1"/>
  <c r="AY145" i="2" s="1"/>
  <c r="AY326" i="1" s="1"/>
  <c r="AZ18" i="1"/>
  <c r="AZ24" i="1" s="1"/>
  <c r="AZ27" i="1" s="1"/>
  <c r="AZ35" i="1" s="1"/>
  <c r="AZ37" i="1" s="1"/>
  <c r="AZ189" i="1"/>
  <c r="AZ190" i="1" s="1"/>
  <c r="BE120" i="2"/>
  <c r="BB6" i="3"/>
  <c r="BB9" i="1"/>
  <c r="BC250" i="2"/>
  <c r="BC241" i="2"/>
  <c r="BD49" i="3"/>
  <c r="BO108" i="2"/>
  <c r="BJ272" i="2"/>
  <c r="BM118" i="2"/>
  <c r="BM222" i="2"/>
  <c r="BM221" i="2"/>
  <c r="BO256" i="2"/>
  <c r="BO274" i="2"/>
  <c r="BO29" i="3"/>
  <c r="BS300" i="2"/>
  <c r="BS302" i="2" s="1"/>
  <c r="BS304" i="2" s="1"/>
  <c r="R45" i="3"/>
  <c r="S45" i="3" s="1"/>
  <c r="S286" i="1"/>
  <c r="BQ185" i="1"/>
  <c r="AK274" i="2"/>
  <c r="O107" i="1"/>
  <c r="O121" i="1" s="1"/>
  <c r="M55" i="1"/>
  <c r="N64" i="1"/>
  <c r="M64" i="1" s="1"/>
  <c r="AO18" i="1"/>
  <c r="AO24" i="1" s="1"/>
  <c r="AO27" i="1" s="1"/>
  <c r="AO35" i="1" s="1"/>
  <c r="AO37" i="1" s="1"/>
  <c r="R21" i="5"/>
  <c r="S21" i="5" s="1"/>
  <c r="R17" i="5"/>
  <c r="S17" i="5" s="1"/>
  <c r="M13" i="5"/>
  <c r="N13" i="5" s="1"/>
  <c r="AB8" i="5"/>
  <c r="AC8" i="5" s="1"/>
  <c r="AW180" i="1"/>
  <c r="AW183" i="1" s="1"/>
  <c r="AW86" i="1"/>
  <c r="AW88" i="1" s="1"/>
  <c r="AZ212" i="1"/>
  <c r="BT241" i="2"/>
  <c r="BT335" i="2"/>
  <c r="BT351" i="2" s="1"/>
  <c r="BR300" i="2"/>
  <c r="BR309" i="2" s="1"/>
  <c r="U18" i="1"/>
  <c r="U24" i="1" s="1"/>
  <c r="U27" i="1" s="1"/>
  <c r="BB391" i="2"/>
  <c r="BB394" i="2" s="1"/>
  <c r="AQ267" i="2"/>
  <c r="O233" i="2"/>
  <c r="Q240" i="2"/>
  <c r="L223" i="2"/>
  <c r="AP255" i="2"/>
  <c r="R273" i="2"/>
  <c r="H190" i="2"/>
  <c r="H191" i="2" s="1"/>
  <c r="C82" i="2"/>
  <c r="C145" i="2" s="1"/>
  <c r="D129" i="2"/>
  <c r="G342" i="2"/>
  <c r="G358" i="2" s="1"/>
  <c r="G374" i="2" s="1"/>
  <c r="T243" i="2"/>
  <c r="AE153" i="2"/>
  <c r="Y241" i="2"/>
  <c r="AT336" i="2"/>
  <c r="AT352" i="2" s="1"/>
  <c r="AJ109" i="2"/>
  <c r="AI118" i="2"/>
  <c r="G239" i="2"/>
  <c r="BB11" i="3"/>
  <c r="AD79" i="1"/>
  <c r="AD89" i="1" s="1"/>
  <c r="AD92" i="1" s="1"/>
  <c r="AT18" i="1"/>
  <c r="AT24" i="1" s="1"/>
  <c r="AT27" i="1" s="1"/>
  <c r="AT29" i="1" s="1"/>
  <c r="AE18" i="1"/>
  <c r="AE24" i="1" s="1"/>
  <c r="AE27" i="1" s="1"/>
  <c r="AE31" i="1" s="1"/>
  <c r="AE33" i="1" s="1"/>
  <c r="K12" i="3"/>
  <c r="K13" i="3" s="1"/>
  <c r="K18" i="3" s="1"/>
  <c r="K85" i="4" s="1"/>
  <c r="AA18" i="1"/>
  <c r="AA24" i="1" s="1"/>
  <c r="AA27" i="1" s="1"/>
  <c r="AA31" i="1" s="1"/>
  <c r="AA33" i="1" s="1"/>
  <c r="Z391" i="2"/>
  <c r="Z394" i="2" s="1"/>
  <c r="X383" i="2"/>
  <c r="BD285" i="2"/>
  <c r="BL13" i="1"/>
  <c r="BM240" i="2"/>
  <c r="BN139" i="1"/>
  <c r="BN300" i="2"/>
  <c r="BN302" i="2" s="1"/>
  <c r="BN304" i="2" s="1"/>
  <c r="BO18" i="1"/>
  <c r="BO24" i="1" s="1"/>
  <c r="BO27" i="1" s="1"/>
  <c r="BO29" i="1" s="1"/>
  <c r="BR226" i="1"/>
  <c r="BR321" i="2" s="1"/>
  <c r="BR319" i="2"/>
  <c r="CC12" i="3"/>
  <c r="CC18" i="1"/>
  <c r="CC24" i="1" s="1"/>
  <c r="CC27" i="1" s="1"/>
  <c r="CC29" i="1" s="1"/>
  <c r="AN266" i="2"/>
  <c r="AI284" i="2"/>
  <c r="I247" i="2"/>
  <c r="H247" i="2"/>
  <c r="H230" i="2"/>
  <c r="Q279" i="2"/>
  <c r="V261" i="2"/>
  <c r="Q155" i="2"/>
  <c r="Q129" i="2"/>
  <c r="AS120" i="2"/>
  <c r="AX120" i="2"/>
  <c r="AP110" i="2"/>
  <c r="AM40" i="2"/>
  <c r="AL162" i="2" s="1"/>
  <c r="AK153" i="2"/>
  <c r="F353" i="2"/>
  <c r="F224" i="2"/>
  <c r="AH57" i="2"/>
  <c r="AH91" i="2" s="1"/>
  <c r="AD91" i="2"/>
  <c r="AJ84" i="2"/>
  <c r="AJ308" i="2"/>
  <c r="AO117" i="2"/>
  <c r="P84" i="2"/>
  <c r="Q150" i="2"/>
  <c r="AW292" i="2"/>
  <c r="AW300" i="2" s="1"/>
  <c r="AW302" i="2" s="1"/>
  <c r="AW304" i="2" s="1"/>
  <c r="AW203" i="1"/>
  <c r="AW206" i="1" s="1"/>
  <c r="AW208" i="1" s="1"/>
  <c r="BC189" i="1"/>
  <c r="BC190" i="1" s="1"/>
  <c r="BC182" i="2"/>
  <c r="BC48" i="3" s="1"/>
  <c r="BC49" i="3" s="1"/>
  <c r="BX240" i="2"/>
  <c r="BS109" i="2"/>
  <c r="BS336" i="2"/>
  <c r="BS352" i="2" s="1"/>
  <c r="BS240" i="2"/>
  <c r="AJ24" i="5"/>
  <c r="AK24" i="5" s="1"/>
  <c r="BR212" i="1"/>
  <c r="BR206" i="1"/>
  <c r="BR213" i="1" s="1"/>
  <c r="BV266" i="1"/>
  <c r="BT128" i="2"/>
  <c r="BT232" i="2"/>
  <c r="BR54" i="3"/>
  <c r="BP307" i="1"/>
  <c r="AY274" i="2"/>
  <c r="AB9" i="1"/>
  <c r="AY7" i="5"/>
  <c r="AZ7" i="5" s="1"/>
  <c r="AZ185" i="2"/>
  <c r="AZ186" i="2" s="1"/>
  <c r="P268" i="1"/>
  <c r="AS185" i="2"/>
  <c r="AS186" i="2" s="1"/>
  <c r="AS189" i="1"/>
  <c r="AS190" i="1" s="1"/>
  <c r="AQ182" i="2"/>
  <c r="AQ186" i="2" s="1"/>
  <c r="AR185" i="1"/>
  <c r="AG284" i="2"/>
  <c r="AG233" i="2"/>
  <c r="S172" i="2"/>
  <c r="W258" i="2"/>
  <c r="W38" i="2"/>
  <c r="W151" i="2" s="1"/>
  <c r="W160" i="1"/>
  <c r="AA121" i="1"/>
  <c r="AA139" i="1" s="1"/>
  <c r="AA141" i="1" s="1"/>
  <c r="AA144" i="1" s="1"/>
  <c r="BM224" i="2"/>
  <c r="BM337" i="2"/>
  <c r="BM353" i="2" s="1"/>
  <c r="BR110" i="2"/>
  <c r="BS267" i="2"/>
  <c r="BN285" i="2"/>
  <c r="BO189" i="1"/>
  <c r="BO190" i="1" s="1"/>
  <c r="BO182" i="2"/>
  <c r="BO186" i="2" s="1"/>
  <c r="BT250" i="2"/>
  <c r="BT266" i="2"/>
  <c r="BO206" i="1"/>
  <c r="BO213" i="1" s="1"/>
  <c r="BO212" i="1"/>
  <c r="V24" i="5"/>
  <c r="Z10" i="5"/>
  <c r="K7" i="5"/>
  <c r="AV11" i="3"/>
  <c r="AW11" i="3" s="1"/>
  <c r="AV13" i="1"/>
  <c r="AX273" i="2"/>
  <c r="AV178" i="2"/>
  <c r="AZ274" i="2"/>
  <c r="BF118" i="2"/>
  <c r="BA108" i="2"/>
  <c r="BA118" i="2"/>
  <c r="BP108" i="2"/>
  <c r="BP69" i="2"/>
  <c r="BU111" i="2" s="1"/>
  <c r="BP222" i="2"/>
  <c r="BR273" i="2"/>
  <c r="BK27" i="4"/>
  <c r="BL27" i="4" s="1"/>
  <c r="BL67" i="1"/>
  <c r="BL73" i="1" s="1"/>
  <c r="BL79" i="1" s="1"/>
  <c r="AL27" i="4"/>
  <c r="AM27" i="4" s="1"/>
  <c r="AL73" i="1"/>
  <c r="AL79" i="1" s="1"/>
  <c r="AL89" i="1" s="1"/>
  <c r="CD334" i="2"/>
  <c r="CD350" i="2" s="1"/>
  <c r="CF36" i="2"/>
  <c r="BQ13" i="1"/>
  <c r="BC178" i="2"/>
  <c r="BC188" i="2" s="1"/>
  <c r="BC212" i="2" s="1"/>
  <c r="AL391" i="2"/>
  <c r="AL394" i="2" s="1"/>
  <c r="R279" i="2"/>
  <c r="CC70" i="12"/>
  <c r="CC69" i="12" s="1"/>
  <c r="CC43" i="17" s="1"/>
  <c r="AE268" i="1"/>
  <c r="AH266" i="1"/>
  <c r="BU49" i="3"/>
  <c r="CK356" i="1"/>
  <c r="AX110" i="2"/>
  <c r="I254" i="2"/>
  <c r="AJ182" i="2"/>
  <c r="AJ48" i="3" s="1"/>
  <c r="S266" i="1"/>
  <c r="S268" i="1" s="1"/>
  <c r="BQ266" i="1"/>
  <c r="BQ268" i="1" s="1"/>
  <c r="K31" i="5"/>
  <c r="L31" i="5" s="1"/>
  <c r="M31" i="5" s="1"/>
  <c r="U35" i="5"/>
  <c r="BK73" i="1"/>
  <c r="BK79" i="1" s="1"/>
  <c r="BK89" i="1" s="1"/>
  <c r="AT25" i="5"/>
  <c r="AU25" i="5" s="1"/>
  <c r="AV25" i="5" s="1"/>
  <c r="AW268" i="1"/>
  <c r="AX221" i="2"/>
  <c r="BC254" i="2"/>
  <c r="BF254" i="2"/>
  <c r="BC272" i="2"/>
  <c r="BH257" i="2"/>
  <c r="BC224" i="2"/>
  <c r="BC27" i="4"/>
  <c r="BC73" i="1"/>
  <c r="BC79" i="1" s="1"/>
  <c r="BC89" i="1" s="1"/>
  <c r="AM112" i="1"/>
  <c r="AM107" i="1" s="1"/>
  <c r="AM121" i="1" s="1"/>
  <c r="AL107" i="1"/>
  <c r="AL121" i="1" s="1"/>
  <c r="BU108" i="2"/>
  <c r="CG127" i="2"/>
  <c r="CB231" i="2"/>
  <c r="CG248" i="2"/>
  <c r="CI19" i="12"/>
  <c r="CI35" i="12" s="1"/>
  <c r="CI34" i="12" s="1"/>
  <c r="CD35" i="12"/>
  <c r="CD34" i="12" s="1"/>
  <c r="CD7" i="17" s="1"/>
  <c r="K9" i="5"/>
  <c r="L9" i="5" s="1"/>
  <c r="AV222" i="2"/>
  <c r="CE265" i="2"/>
  <c r="AS33" i="3"/>
  <c r="BP213" i="1"/>
  <c r="BP335" i="2"/>
  <c r="BP351" i="2" s="1"/>
  <c r="CA188" i="1"/>
  <c r="AM67" i="1"/>
  <c r="AM73" i="1" s="1"/>
  <c r="AM79" i="1" s="1"/>
  <c r="AO7" i="5"/>
  <c r="BI113" i="2"/>
  <c r="BI250" i="2"/>
  <c r="BE182" i="2"/>
  <c r="BE186" i="2" s="1"/>
  <c r="BE189" i="1"/>
  <c r="BE190" i="1" s="1"/>
  <c r="BE233" i="2"/>
  <c r="BJ266" i="2"/>
  <c r="BH110" i="2"/>
  <c r="BH120" i="2"/>
  <c r="BL180" i="2"/>
  <c r="BM250" i="2"/>
  <c r="BH233" i="2"/>
  <c r="BI284" i="2"/>
  <c r="BL181" i="2"/>
  <c r="BI285" i="2"/>
  <c r="BJ221" i="2"/>
  <c r="BJ107" i="2"/>
  <c r="BK284" i="2"/>
  <c r="BK250" i="2"/>
  <c r="BP250" i="2"/>
  <c r="BM49" i="3"/>
  <c r="CC190" i="1"/>
  <c r="BR190" i="1"/>
  <c r="AN137" i="1"/>
  <c r="AZ224" i="2"/>
  <c r="BR241" i="2"/>
  <c r="AK316" i="1"/>
  <c r="H128" i="1"/>
  <c r="AM266" i="1"/>
  <c r="R25" i="5"/>
  <c r="S25" i="5" s="1"/>
  <c r="AG19" i="5"/>
  <c r="AH19" i="5" s="1"/>
  <c r="C222" i="2"/>
  <c r="BR334" i="2"/>
  <c r="BR350" i="2" s="1"/>
  <c r="T213" i="1"/>
  <c r="L212" i="1"/>
  <c r="M278" i="2"/>
  <c r="S81" i="2"/>
  <c r="W245" i="2"/>
  <c r="AM382" i="2"/>
  <c r="T267" i="2"/>
  <c r="V255" i="2"/>
  <c r="V129" i="2"/>
  <c r="O124" i="2"/>
  <c r="O123" i="2"/>
  <c r="O122" i="2"/>
  <c r="Y118" i="2"/>
  <c r="Z117" i="2"/>
  <c r="AW188" i="1"/>
  <c r="AY223" i="2"/>
  <c r="BI191" i="2"/>
  <c r="BB73" i="1"/>
  <c r="BB79" i="1" s="1"/>
  <c r="F23" i="4"/>
  <c r="AX49" i="3"/>
  <c r="S79" i="2"/>
  <c r="Q164" i="2" s="1"/>
  <c r="E267" i="2"/>
  <c r="L273" i="2"/>
  <c r="AX254" i="2"/>
  <c r="S29" i="2"/>
  <c r="BP60" i="4"/>
  <c r="BP61" i="4" s="1"/>
  <c r="CL94" i="2"/>
  <c r="Z268" i="1"/>
  <c r="P27" i="5"/>
  <c r="Q27" i="5" s="1"/>
  <c r="R27" i="5" s="1"/>
  <c r="S27" i="5" s="1"/>
  <c r="AG9" i="1"/>
  <c r="W9" i="1"/>
  <c r="R9" i="1"/>
  <c r="R40" i="5"/>
  <c r="S40" i="5" s="1"/>
  <c r="AG37" i="5"/>
  <c r="AH37" i="5" s="1"/>
  <c r="M22" i="5"/>
  <c r="N22" i="5" s="1"/>
  <c r="AB21" i="5"/>
  <c r="AC21" i="5" s="1"/>
  <c r="AB17" i="5"/>
  <c r="AC17" i="5" s="1"/>
  <c r="W15" i="5"/>
  <c r="X15" i="5" s="1"/>
  <c r="W13" i="5"/>
  <c r="X13" i="5" s="1"/>
  <c r="BO8" i="3"/>
  <c r="BU222" i="2"/>
  <c r="CA69" i="2"/>
  <c r="BX186" i="2"/>
  <c r="CB283" i="2"/>
  <c r="CD264" i="2"/>
  <c r="CE264" i="2"/>
  <c r="CF351" i="1"/>
  <c r="CK351" i="1" s="1"/>
  <c r="AW185" i="1"/>
  <c r="O212" i="1"/>
  <c r="I128" i="1"/>
  <c r="Q391" i="2"/>
  <c r="Q394" i="2" s="1"/>
  <c r="AS300" i="2"/>
  <c r="AS302" i="2" s="1"/>
  <c r="AS304" i="2" s="1"/>
  <c r="AE267" i="2"/>
  <c r="AH81" i="2"/>
  <c r="AI129" i="2"/>
  <c r="I124" i="2"/>
  <c r="P122" i="2"/>
  <c r="K69" i="2"/>
  <c r="AJ110" i="2"/>
  <c r="U120" i="2"/>
  <c r="AF152" i="2"/>
  <c r="AK91" i="2"/>
  <c r="F60" i="3"/>
  <c r="AP12" i="3"/>
  <c r="CA358" i="1"/>
  <c r="CF358" i="1" s="1"/>
  <c r="AQ286" i="1"/>
  <c r="AQ45" i="3" s="1"/>
  <c r="AR45" i="3" s="1"/>
  <c r="W226" i="1"/>
  <c r="W321" i="2" s="1"/>
  <c r="AH261" i="1"/>
  <c r="S128" i="1"/>
  <c r="R128" i="1" s="1"/>
  <c r="C107" i="1"/>
  <c r="C121" i="1" s="1"/>
  <c r="Y233" i="2"/>
  <c r="P239" i="2"/>
  <c r="AP129" i="2"/>
  <c r="G229" i="2"/>
  <c r="O226" i="2"/>
  <c r="AS110" i="2"/>
  <c r="AP120" i="2"/>
  <c r="AI120" i="2"/>
  <c r="T224" i="2"/>
  <c r="AQ109" i="2"/>
  <c r="AE152" i="2"/>
  <c r="AS69" i="2"/>
  <c r="AS82" i="2" s="1"/>
  <c r="AP118" i="2"/>
  <c r="AZ8" i="3"/>
  <c r="BS394" i="2"/>
  <c r="BY394" i="2"/>
  <c r="BP117" i="2"/>
  <c r="BS223" i="2"/>
  <c r="BT12" i="3"/>
  <c r="BT78" i="4" s="1"/>
  <c r="BT79" i="4" s="1"/>
  <c r="AG180" i="1"/>
  <c r="AG183" i="1" s="1"/>
  <c r="AK212" i="1"/>
  <c r="AF139" i="1"/>
  <c r="AF141" i="1" s="1"/>
  <c r="AF144" i="1" s="1"/>
  <c r="AA223" i="2"/>
  <c r="BD300" i="2"/>
  <c r="BD302" i="2" s="1"/>
  <c r="BD304" i="2" s="1"/>
  <c r="BA239" i="2"/>
  <c r="BD27" i="5"/>
  <c r="BE27" i="5" s="1"/>
  <c r="BF27" i="5" s="1"/>
  <c r="BG27" i="5" s="1"/>
  <c r="BE178" i="2"/>
  <c r="BF337" i="2"/>
  <c r="BF353" i="2" s="1"/>
  <c r="BJ300" i="2"/>
  <c r="BJ302" i="2" s="1"/>
  <c r="BJ337" i="2"/>
  <c r="BI239" i="2"/>
  <c r="BN254" i="2"/>
  <c r="BS238" i="2"/>
  <c r="BT300" i="2"/>
  <c r="BT302" i="2" s="1"/>
  <c r="BT304" i="2" s="1"/>
  <c r="BJ391" i="2"/>
  <c r="BJ394" i="2" s="1"/>
  <c r="BU139" i="1"/>
  <c r="AO189" i="1"/>
  <c r="AO190" i="1" s="1"/>
  <c r="Y285" i="2"/>
  <c r="AL266" i="2"/>
  <c r="AI274" i="2"/>
  <c r="Y274" i="2"/>
  <c r="O69" i="2"/>
  <c r="G69" i="2"/>
  <c r="G82" i="2" s="1"/>
  <c r="G137" i="2" s="1"/>
  <c r="AG110" i="2"/>
  <c r="P223" i="2"/>
  <c r="DK70" i="12"/>
  <c r="DO77" i="12"/>
  <c r="DO120" i="12"/>
  <c r="R94" i="2"/>
  <c r="CP104" i="2"/>
  <c r="V104" i="2"/>
  <c r="AX107" i="2"/>
  <c r="BW107" i="2"/>
  <c r="BQ77" i="12"/>
  <c r="BU35" i="12"/>
  <c r="BU34" i="12" s="1"/>
  <c r="BU7" i="17" s="1"/>
  <c r="BK35" i="12"/>
  <c r="BK34" i="12" s="1"/>
  <c r="BK7" i="17" s="1"/>
  <c r="BR70" i="12"/>
  <c r="BR69" i="12" s="1"/>
  <c r="BR43" i="17" s="1"/>
  <c r="BY7" i="5"/>
  <c r="CC55" i="5"/>
  <c r="CF16" i="5"/>
  <c r="BG26" i="5"/>
  <c r="U7" i="5"/>
  <c r="AM27" i="5"/>
  <c r="AJ10" i="5"/>
  <c r="AP24" i="5"/>
  <c r="AY45" i="5"/>
  <c r="BQ56" i="4"/>
  <c r="BR56" i="4" s="1"/>
  <c r="BL46" i="5"/>
  <c r="AM12" i="5"/>
  <c r="S56" i="4"/>
  <c r="BJ60" i="4"/>
  <c r="BJ61" i="4" s="1"/>
  <c r="AU63" i="4"/>
  <c r="AB60" i="4"/>
  <c r="AB61" i="4" s="1"/>
  <c r="BR60" i="4"/>
  <c r="BR61" i="4" s="1"/>
  <c r="BV56" i="4"/>
  <c r="BW56" i="4" s="1"/>
  <c r="R60" i="4"/>
  <c r="R61" i="4" s="1"/>
  <c r="AE63" i="4"/>
  <c r="AR9" i="4"/>
  <c r="AR31" i="4"/>
  <c r="BL13" i="4"/>
  <c r="BG17" i="4"/>
  <c r="CA13" i="4"/>
  <c r="AW17" i="4"/>
  <c r="AW314" i="1" s="1"/>
  <c r="E221" i="2"/>
  <c r="Y337" i="2"/>
  <c r="Y110" i="2"/>
  <c r="AI109" i="2"/>
  <c r="AI119" i="2"/>
  <c r="AP151" i="2"/>
  <c r="AO335" i="2"/>
  <c r="AO351" i="2" s="1"/>
  <c r="AD256" i="2"/>
  <c r="F254" i="2"/>
  <c r="AF33" i="3"/>
  <c r="AO120" i="2"/>
  <c r="AK129" i="2"/>
  <c r="U109" i="2"/>
  <c r="D223" i="2"/>
  <c r="E190" i="2"/>
  <c r="E235" i="2" s="1"/>
  <c r="AA300" i="2"/>
  <c r="AA302" i="2" s="1"/>
  <c r="AA304" i="2" s="1"/>
  <c r="AA335" i="2"/>
  <c r="AA351" i="2" s="1"/>
  <c r="AU308" i="2"/>
  <c r="AU267" i="2"/>
  <c r="AN267" i="2"/>
  <c r="J228" i="2"/>
  <c r="O225" i="2"/>
  <c r="G242" i="2"/>
  <c r="AO224" i="2"/>
  <c r="AN256" i="2"/>
  <c r="AZ104" i="2"/>
  <c r="H69" i="2"/>
  <c r="AT120" i="2"/>
  <c r="AU109" i="2"/>
  <c r="AN119" i="2"/>
  <c r="AA109" i="2"/>
  <c r="W152" i="2"/>
  <c r="AT118" i="2"/>
  <c r="AL118" i="2"/>
  <c r="AL151" i="2"/>
  <c r="AS117" i="2"/>
  <c r="AY129" i="2"/>
  <c r="V258" i="2"/>
  <c r="Q225" i="2"/>
  <c r="V242" i="2"/>
  <c r="AE334" i="2"/>
  <c r="AE350" i="2" s="1"/>
  <c r="AD113" i="2"/>
  <c r="AE308" i="2"/>
  <c r="AE110" i="2"/>
  <c r="AJ120" i="2"/>
  <c r="Z151" i="2"/>
  <c r="AN254" i="2"/>
  <c r="Q152" i="2"/>
  <c r="C229" i="2"/>
  <c r="W242" i="2"/>
  <c r="P391" i="2"/>
  <c r="P394" i="2" s="1"/>
  <c r="K308" i="2"/>
  <c r="AI266" i="2"/>
  <c r="AA255" i="2"/>
  <c r="H343" i="2"/>
  <c r="H359" i="2" s="1"/>
  <c r="H375" i="2" s="1"/>
  <c r="S44" i="2"/>
  <c r="J69" i="2"/>
  <c r="U119" i="2"/>
  <c r="AD108" i="2"/>
  <c r="T118" i="2"/>
  <c r="AD110" i="2"/>
  <c r="AJ117" i="2"/>
  <c r="T108" i="2"/>
  <c r="Z254" i="2"/>
  <c r="N386" i="2"/>
  <c r="AD274" i="2"/>
  <c r="AG240" i="2"/>
  <c r="S43" i="2"/>
  <c r="AN308" i="2"/>
  <c r="I243" i="2"/>
  <c r="Y120" i="2"/>
  <c r="AE224" i="2"/>
  <c r="AO110" i="2"/>
  <c r="P240" i="2"/>
  <c r="AJ257" i="2"/>
  <c r="CI248" i="2"/>
  <c r="BN221" i="2"/>
  <c r="BJ239" i="2"/>
  <c r="BJ108" i="2"/>
  <c r="BK335" i="2"/>
  <c r="BK351" i="2" s="1"/>
  <c r="BO266" i="2"/>
  <c r="H254" i="2"/>
  <c r="BK110" i="2"/>
  <c r="R228" i="2"/>
  <c r="BU107" i="2"/>
  <c r="BK334" i="2"/>
  <c r="BO233" i="2"/>
  <c r="AD120" i="2"/>
  <c r="AK69" i="2"/>
  <c r="AS273" i="2"/>
  <c r="AI233" i="2"/>
  <c r="S170" i="2"/>
  <c r="S256" i="2" s="1"/>
  <c r="S169" i="2"/>
  <c r="S255" i="2" s="1"/>
  <c r="AC81" i="2"/>
  <c r="AB12" i="3"/>
  <c r="AB78" i="4" s="1"/>
  <c r="AB79" i="4" s="1"/>
  <c r="D391" i="2"/>
  <c r="D394" i="2" s="1"/>
  <c r="K391" i="2"/>
  <c r="K394" i="2" s="1"/>
  <c r="AI391" i="2"/>
  <c r="AI394" i="2" s="1"/>
  <c r="Y391" i="2"/>
  <c r="Y394" i="2" s="1"/>
  <c r="AM383" i="2"/>
  <c r="C302" i="2"/>
  <c r="C304" i="2" s="1"/>
  <c r="AL275" i="2"/>
  <c r="F69" i="2"/>
  <c r="Y12" i="3"/>
  <c r="BT267" i="2"/>
  <c r="BW334" i="2"/>
  <c r="BW350" i="2" s="1"/>
  <c r="BI391" i="2"/>
  <c r="BI394" i="2" s="1"/>
  <c r="BI335" i="2"/>
  <c r="BI351" i="2" s="1"/>
  <c r="BI254" i="2"/>
  <c r="BK120" i="2"/>
  <c r="CH302" i="2"/>
  <c r="CH304" i="2" s="1"/>
  <c r="BV74" i="2"/>
  <c r="BV112" i="2" s="1"/>
  <c r="BR186" i="2"/>
  <c r="BR188" i="2" s="1"/>
  <c r="BR215" i="2" s="1"/>
  <c r="BF110" i="2"/>
  <c r="BN239" i="2"/>
  <c r="BU238" i="2"/>
  <c r="CD231" i="2"/>
  <c r="R278" i="2"/>
  <c r="Y153" i="2"/>
  <c r="BU272" i="2"/>
  <c r="W87" i="2"/>
  <c r="W94" i="2" s="1"/>
  <c r="T69" i="2"/>
  <c r="AJ150" i="2"/>
  <c r="AI285" i="2"/>
  <c r="M284" i="2"/>
  <c r="R226" i="2"/>
  <c r="H391" i="2"/>
  <c r="H394" i="2" s="1"/>
  <c r="T391" i="2"/>
  <c r="T394" i="2" s="1"/>
  <c r="AV337" i="2"/>
  <c r="AV353" i="2" s="1"/>
  <c r="AN300" i="2"/>
  <c r="AN302" i="2" s="1"/>
  <c r="V300" i="2"/>
  <c r="V302" i="2" s="1"/>
  <c r="AJ336" i="2"/>
  <c r="AJ352" i="2" s="1"/>
  <c r="AN335" i="2"/>
  <c r="AN351" i="2" s="1"/>
  <c r="AF308" i="2"/>
  <c r="G308" i="2"/>
  <c r="AF267" i="2"/>
  <c r="AS233" i="2"/>
  <c r="I233" i="2"/>
  <c r="E263" i="2"/>
  <c r="P227" i="2"/>
  <c r="T257" i="2"/>
  <c r="H223" i="2"/>
  <c r="AS255" i="2"/>
  <c r="H255" i="2"/>
  <c r="AW81" i="2"/>
  <c r="AR81" i="2"/>
  <c r="AU250" i="2"/>
  <c r="E233" i="2"/>
  <c r="AW40" i="2"/>
  <c r="AO153" i="2"/>
  <c r="AA110" i="2"/>
  <c r="AO69" i="2"/>
  <c r="AO82" i="2" s="1"/>
  <c r="AO146" i="2" s="1"/>
  <c r="AL119" i="2"/>
  <c r="P152" i="2"/>
  <c r="I223" i="2"/>
  <c r="C223" i="2"/>
  <c r="F91" i="2"/>
  <c r="AF108" i="2"/>
  <c r="V222" i="2"/>
  <c r="AT117" i="2"/>
  <c r="AE150" i="2"/>
  <c r="U97" i="2"/>
  <c r="U104" i="2" s="1"/>
  <c r="AC15" i="2"/>
  <c r="D12" i="3"/>
  <c r="BQ14" i="3"/>
  <c r="BQ25" i="3"/>
  <c r="BN334" i="2"/>
  <c r="CO334" i="2"/>
  <c r="BO267" i="2"/>
  <c r="Q14" i="17"/>
  <c r="Q16" i="17" s="1"/>
  <c r="P189" i="1"/>
  <c r="P186" i="2" s="1"/>
  <c r="P286" i="2" s="1"/>
  <c r="AM304" i="1"/>
  <c r="AM307" i="1" s="1"/>
  <c r="AU189" i="1"/>
  <c r="AD268" i="1"/>
  <c r="AD152" i="2"/>
  <c r="X18" i="1"/>
  <c r="X24" i="1" s="1"/>
  <c r="X27" i="1" s="1"/>
  <c r="X31" i="1" s="1"/>
  <c r="X33" i="1" s="1"/>
  <c r="AQ119" i="2"/>
  <c r="BU33" i="3"/>
  <c r="BH391" i="2"/>
  <c r="BH394" i="2" s="1"/>
  <c r="BP118" i="2"/>
  <c r="BS239" i="2"/>
  <c r="BS82" i="2"/>
  <c r="BS145" i="2" s="1"/>
  <c r="BS326" i="1" s="1"/>
  <c r="BS12" i="3"/>
  <c r="BS78" i="4" s="1"/>
  <c r="BS79" i="4" s="1"/>
  <c r="BW336" i="2"/>
  <c r="BW352" i="2" s="1"/>
  <c r="AB44" i="5"/>
  <c r="AC44" i="5" s="1"/>
  <c r="M41" i="5"/>
  <c r="N41" i="5" s="1"/>
  <c r="Y55" i="5"/>
  <c r="M30" i="5"/>
  <c r="N30" i="5" s="1"/>
  <c r="AG15" i="5"/>
  <c r="AH15" i="5" s="1"/>
  <c r="R8" i="5"/>
  <c r="S8" i="5" s="1"/>
  <c r="AW55" i="1"/>
  <c r="AW64" i="1" s="1"/>
  <c r="AW128" i="1"/>
  <c r="AW137" i="1"/>
  <c r="AV60" i="4"/>
  <c r="AV61" i="4" s="1"/>
  <c r="AX18" i="1"/>
  <c r="AX24" i="1" s="1"/>
  <c r="AX27" i="1" s="1"/>
  <c r="AX29" i="1" s="1"/>
  <c r="AX189" i="1"/>
  <c r="AX190" i="1" s="1"/>
  <c r="AZ15" i="4"/>
  <c r="AZ24" i="4" s="1"/>
  <c r="BA18" i="1"/>
  <c r="BA24" i="1" s="1"/>
  <c r="BA27" i="1" s="1"/>
  <c r="BA35" i="1" s="1"/>
  <c r="BA37" i="1" s="1"/>
  <c r="BB180" i="1"/>
  <c r="BB183" i="1" s="1"/>
  <c r="BB128" i="1"/>
  <c r="BB137" i="1"/>
  <c r="BB55" i="1"/>
  <c r="BB64" i="1" s="1"/>
  <c r="BB86" i="1"/>
  <c r="BB88" i="1" s="1"/>
  <c r="BD221" i="2"/>
  <c r="BD267" i="2"/>
  <c r="BH335" i="2"/>
  <c r="BH351" i="2" s="1"/>
  <c r="BI337" i="2"/>
  <c r="BI353" i="2" s="1"/>
  <c r="BL183" i="2"/>
  <c r="BM266" i="2"/>
  <c r="BL81" i="2"/>
  <c r="BQ169" i="2"/>
  <c r="BN336" i="2"/>
  <c r="BN352" i="2" s="1"/>
  <c r="AQ189" i="1"/>
  <c r="AQ190" i="1" s="1"/>
  <c r="K189" i="1"/>
  <c r="K186" i="2" s="1"/>
  <c r="N266" i="1"/>
  <c r="N268" i="1" s="1"/>
  <c r="Z16" i="5"/>
  <c r="AA16" i="5" s="1"/>
  <c r="AB16" i="5" s="1"/>
  <c r="AC16" i="5" s="1"/>
  <c r="AC18" i="1"/>
  <c r="AC24" i="1" s="1"/>
  <c r="AC27" i="1" s="1"/>
  <c r="AC29" i="1" s="1"/>
  <c r="AV129" i="2"/>
  <c r="AX275" i="2"/>
  <c r="BB81" i="2"/>
  <c r="BF300" i="2"/>
  <c r="BF302" i="2" s="1"/>
  <c r="BF304" i="2" s="1"/>
  <c r="BC108" i="2"/>
  <c r="BD275" i="2"/>
  <c r="BE256" i="2"/>
  <c r="BJ27" i="5"/>
  <c r="BK27" i="5" s="1"/>
  <c r="BO27" i="4"/>
  <c r="BP12" i="3"/>
  <c r="CB394" i="2"/>
  <c r="CD394" i="2"/>
  <c r="BV55" i="1"/>
  <c r="BV64" i="1" s="1"/>
  <c r="BV73" i="1"/>
  <c r="BV79" i="1" s="1"/>
  <c r="BV86" i="1"/>
  <c r="BV88" i="1" s="1"/>
  <c r="BV137" i="1"/>
  <c r="BY89" i="1"/>
  <c r="CC128" i="2"/>
  <c r="CA137" i="1"/>
  <c r="CC139" i="1"/>
  <c r="AG381" i="2"/>
  <c r="AH381" i="2" s="1"/>
  <c r="M60" i="3"/>
  <c r="H267" i="2"/>
  <c r="P274" i="2"/>
  <c r="H123" i="2"/>
  <c r="AN60" i="4"/>
  <c r="AN61" i="4" s="1"/>
  <c r="U60" i="4"/>
  <c r="U61" i="4" s="1"/>
  <c r="BB168" i="2"/>
  <c r="BB183" i="2"/>
  <c r="BB36" i="2"/>
  <c r="AY308" i="2" s="1"/>
  <c r="BA233" i="2"/>
  <c r="BH33" i="3"/>
  <c r="BH60" i="4"/>
  <c r="BH61" i="4" s="1"/>
  <c r="BK12" i="3"/>
  <c r="BJ107" i="1"/>
  <c r="BJ121" i="1" s="1"/>
  <c r="BJ139" i="1" s="1"/>
  <c r="AG178" i="2"/>
  <c r="AR86" i="1"/>
  <c r="AR88" i="1" s="1"/>
  <c r="AF391" i="2"/>
  <c r="AF394" i="2" s="1"/>
  <c r="AG8" i="5"/>
  <c r="AH8" i="5" s="1"/>
  <c r="O268" i="1"/>
  <c r="I190" i="1"/>
  <c r="AK206" i="1"/>
  <c r="AK208" i="1" s="1"/>
  <c r="L268" i="1"/>
  <c r="AB391" i="2"/>
  <c r="AE286" i="2"/>
  <c r="H190" i="1"/>
  <c r="X382" i="2"/>
  <c r="AO336" i="2"/>
  <c r="AO352" i="2" s="1"/>
  <c r="W334" i="2"/>
  <c r="G334" i="2"/>
  <c r="G350" i="2" s="1"/>
  <c r="G366" i="2" s="1"/>
  <c r="O243" i="2"/>
  <c r="V241" i="2"/>
  <c r="N224" i="2"/>
  <c r="AE223" i="2"/>
  <c r="M223" i="2"/>
  <c r="G223" i="2"/>
  <c r="AD222" i="2"/>
  <c r="L222" i="2"/>
  <c r="F222" i="2"/>
  <c r="AM81" i="2"/>
  <c r="AT233" i="2"/>
  <c r="AM79" i="2"/>
  <c r="AL164" i="2" s="1"/>
  <c r="AD129" i="2"/>
  <c r="H125" i="2"/>
  <c r="H228" i="2"/>
  <c r="P121" i="2"/>
  <c r="AL224" i="2"/>
  <c r="AE120" i="2"/>
  <c r="V119" i="2"/>
  <c r="AT69" i="2"/>
  <c r="AQ108" i="2"/>
  <c r="AE151" i="2"/>
  <c r="Z118" i="2"/>
  <c r="AP117" i="2"/>
  <c r="V117" i="2"/>
  <c r="AW56" i="4"/>
  <c r="AX56" i="4" s="1"/>
  <c r="BO30" i="17"/>
  <c r="CD235" i="1"/>
  <c r="CD245" i="1" s="1"/>
  <c r="CO235" i="1"/>
  <c r="CO245" i="1" s="1"/>
  <c r="BI235" i="1"/>
  <c r="BI245" i="1" s="1"/>
  <c r="BP235" i="1"/>
  <c r="BP245" i="1" s="1"/>
  <c r="BX235" i="1"/>
  <c r="BX245" i="1" s="1"/>
  <c r="AE45" i="30"/>
  <c r="CG30" i="17"/>
  <c r="BJ30" i="17"/>
  <c r="Z44" i="30"/>
  <c r="Z45" i="30" s="1"/>
  <c r="BK235" i="1"/>
  <c r="BK245" i="1" s="1"/>
  <c r="U44" i="30"/>
  <c r="U45" i="30" s="1"/>
  <c r="BZ235" i="1"/>
  <c r="BZ245" i="1" s="1"/>
  <c r="G84" i="30"/>
  <c r="G85" i="30" s="1"/>
  <c r="G86" i="30" s="1"/>
  <c r="V44" i="30"/>
  <c r="V45" i="30" s="1"/>
  <c r="CH235" i="1"/>
  <c r="CH245" i="1" s="1"/>
  <c r="BU30" i="17"/>
  <c r="CC235" i="1"/>
  <c r="CC245" i="1" s="1"/>
  <c r="Y70" i="12"/>
  <c r="AF70" i="12"/>
  <c r="AN70" i="12"/>
  <c r="AU42" i="17"/>
  <c r="AU44" i="17" s="1"/>
  <c r="AU46" i="17" s="1"/>
  <c r="BC234" i="1"/>
  <c r="BC244" i="1" s="1"/>
  <c r="BJ234" i="1"/>
  <c r="BJ244" i="1" s="1"/>
  <c r="CB42" i="17"/>
  <c r="CI234" i="1"/>
  <c r="CI244" i="1" s="1"/>
  <c r="Z70" i="12"/>
  <c r="AG70" i="12"/>
  <c r="AO70" i="12"/>
  <c r="AV42" i="17"/>
  <c r="AV44" i="17" s="1"/>
  <c r="AV46" i="17" s="1"/>
  <c r="BS42" i="17"/>
  <c r="T70" i="12"/>
  <c r="AA70" i="12"/>
  <c r="AI70" i="12"/>
  <c r="AP70" i="12"/>
  <c r="AX42" i="17"/>
  <c r="AX44" i="17" s="1"/>
  <c r="BT42" i="17"/>
  <c r="CD42" i="17"/>
  <c r="U70" i="12"/>
  <c r="AB70" i="12"/>
  <c r="AJ70" i="12"/>
  <c r="AQ70" i="12"/>
  <c r="BF42" i="17"/>
  <c r="BF44" i="17" s="1"/>
  <c r="BN42" i="17"/>
  <c r="CC42" i="17"/>
  <c r="V70" i="12"/>
  <c r="AD70" i="12"/>
  <c r="AS42" i="17"/>
  <c r="AS44" i="17" s="1"/>
  <c r="AS46" i="17" s="1"/>
  <c r="AZ42" i="17"/>
  <c r="AZ44" i="17" s="1"/>
  <c r="BO42" i="17"/>
  <c r="W70" i="12"/>
  <c r="AE70" i="12"/>
  <c r="AL70" i="12"/>
  <c r="AT70" i="12"/>
  <c r="BA42" i="17"/>
  <c r="BA44" i="17" s="1"/>
  <c r="BI234" i="1"/>
  <c r="BI244" i="1" s="1"/>
  <c r="BP42" i="17"/>
  <c r="BX42" i="17"/>
  <c r="AI35" i="12"/>
  <c r="AQ6" i="17"/>
  <c r="AQ8" i="17" s="1"/>
  <c r="BU6" i="17"/>
  <c r="CM230" i="1"/>
  <c r="CM240" i="1" s="1"/>
  <c r="BT6" i="17"/>
  <c r="V35" i="12"/>
  <c r="V114" i="12" s="1"/>
  <c r="V135" i="12" s="1"/>
  <c r="AD35" i="12"/>
  <c r="AD114" i="12" s="1"/>
  <c r="AK35" i="12"/>
  <c r="AS6" i="17"/>
  <c r="AS8" i="17" s="1"/>
  <c r="AZ35" i="12"/>
  <c r="BH6" i="17"/>
  <c r="BO230" i="1"/>
  <c r="BO240" i="1" s="1"/>
  <c r="BW6" i="17"/>
  <c r="CD6" i="17"/>
  <c r="CN230" i="1"/>
  <c r="CN240" i="1" s="1"/>
  <c r="W35" i="12"/>
  <c r="AL35" i="12"/>
  <c r="BA35" i="12"/>
  <c r="C66" i="30"/>
  <c r="C67" i="30" s="1"/>
  <c r="C68" i="30" s="1"/>
  <c r="CO230" i="1"/>
  <c r="CO240" i="1" s="1"/>
  <c r="Y35" i="12"/>
  <c r="Y114" i="12" s="1"/>
  <c r="AF35" i="12"/>
  <c r="AF114" i="12" s="1"/>
  <c r="AN35" i="12"/>
  <c r="AN114" i="12" s="1"/>
  <c r="AN135" i="12" s="1"/>
  <c r="AU6" i="17"/>
  <c r="AU8" i="17" s="1"/>
  <c r="BC6" i="17"/>
  <c r="BC8" i="17" s="1"/>
  <c r="BJ6" i="17"/>
  <c r="BY230" i="1"/>
  <c r="BY240" i="1" s="1"/>
  <c r="T35" i="12"/>
  <c r="AA35" i="12"/>
  <c r="AA114" i="12" s="1"/>
  <c r="AP6" i="17"/>
  <c r="AP8" i="17" s="1"/>
  <c r="AX35" i="12"/>
  <c r="BE6" i="17"/>
  <c r="BE8" i="17" s="1"/>
  <c r="BM6" i="17"/>
  <c r="AG35" i="12"/>
  <c r="AV35" i="12"/>
  <c r="BK230" i="1"/>
  <c r="BK240" i="1" s="1"/>
  <c r="BZ230" i="1"/>
  <c r="BZ240" i="1" s="1"/>
  <c r="E66" i="30"/>
  <c r="E67" i="30" s="1"/>
  <c r="F66" i="30"/>
  <c r="F67" i="30" s="1"/>
  <c r="BV40" i="3"/>
  <c r="AF12" i="3"/>
  <c r="AF77" i="4" s="1"/>
  <c r="V12" i="3"/>
  <c r="V78" i="4" s="1"/>
  <c r="V79" i="4" s="1"/>
  <c r="BH29" i="3"/>
  <c r="X20" i="3"/>
  <c r="AK12" i="3"/>
  <c r="AK78" i="4" s="1"/>
  <c r="AK79" i="4" s="1"/>
  <c r="L12" i="3"/>
  <c r="L77" i="4" s="1"/>
  <c r="Y54" i="3"/>
  <c r="I55" i="5"/>
  <c r="C55" i="5"/>
  <c r="AS55" i="5"/>
  <c r="P10" i="5"/>
  <c r="D18" i="5"/>
  <c r="BW55" i="5"/>
  <c r="BI35" i="5"/>
  <c r="BJ35" i="5" s="1"/>
  <c r="AT63" i="4"/>
  <c r="AC8" i="4"/>
  <c r="BG47" i="4"/>
  <c r="I60" i="4"/>
  <c r="I61" i="4" s="1"/>
  <c r="BE60" i="4"/>
  <c r="BE61" i="4" s="1"/>
  <c r="BZ60" i="4"/>
  <c r="BZ61" i="4" s="1"/>
  <c r="BA57" i="4"/>
  <c r="BZ78" i="4"/>
  <c r="BZ79" i="4" s="1"/>
  <c r="CA7" i="4"/>
  <c r="CA60" i="4" s="1"/>
  <c r="CB60" i="4"/>
  <c r="CB61" i="4" s="1"/>
  <c r="Y63" i="4"/>
  <c r="BN46" i="4"/>
  <c r="BN48" i="4" s="1"/>
  <c r="BN62" i="4" s="1"/>
  <c r="BN68" i="4" s="1"/>
  <c r="BW46" i="4"/>
  <c r="BW48" i="4" s="1"/>
  <c r="BW62" i="4" s="1"/>
  <c r="AM46" i="4"/>
  <c r="AD60" i="4"/>
  <c r="AD61" i="4" s="1"/>
  <c r="BX15" i="4"/>
  <c r="BX24" i="4" s="1"/>
  <c r="BP57" i="4"/>
  <c r="AC56" i="4"/>
  <c r="L46" i="4"/>
  <c r="G46" i="4"/>
  <c r="G48" i="4" s="1"/>
  <c r="G62" i="4" s="1"/>
  <c r="G68" i="4" s="1"/>
  <c r="H46" i="4"/>
  <c r="H48" i="4" s="1"/>
  <c r="H62" i="4" s="1"/>
  <c r="H68" i="4" s="1"/>
  <c r="BC107" i="2"/>
  <c r="BH117" i="2"/>
  <c r="BH107" i="2"/>
  <c r="BG171" i="2"/>
  <c r="BJ257" i="2"/>
  <c r="BE275" i="2"/>
  <c r="BE224" i="2"/>
  <c r="BK119" i="2"/>
  <c r="BK109" i="2"/>
  <c r="BM241" i="2"/>
  <c r="BH224" i="2"/>
  <c r="BL40" i="2"/>
  <c r="BL337" i="2" s="1"/>
  <c r="BL353" i="2" s="1"/>
  <c r="BL369" i="2" s="1"/>
  <c r="BN117" i="2"/>
  <c r="BI221" i="2"/>
  <c r="BL36" i="2"/>
  <c r="BK308" i="2" s="1"/>
  <c r="BI334" i="2"/>
  <c r="BI350" i="2" s="1"/>
  <c r="BN107" i="2"/>
  <c r="BO107" i="2"/>
  <c r="BJ117" i="2"/>
  <c r="BK275" i="2"/>
  <c r="BM275" i="2"/>
  <c r="BK178" i="2"/>
  <c r="BP257" i="2"/>
  <c r="BQ39" i="2"/>
  <c r="BQ336" i="2" s="1"/>
  <c r="BM336" i="2"/>
  <c r="BM352" i="2" s="1"/>
  <c r="BN113" i="2"/>
  <c r="BN129" i="2"/>
  <c r="BS250" i="2"/>
  <c r="BN284" i="2"/>
  <c r="BO118" i="2"/>
  <c r="BO69" i="2"/>
  <c r="BO82" i="2" s="1"/>
  <c r="BT254" i="2"/>
  <c r="BQ168" i="2"/>
  <c r="BQ190" i="2" s="1"/>
  <c r="BP272" i="2"/>
  <c r="BP273" i="2"/>
  <c r="BP239" i="2"/>
  <c r="BP255" i="2"/>
  <c r="BM394" i="2"/>
  <c r="BV39" i="2"/>
  <c r="BV336" i="2" s="1"/>
  <c r="BV352" i="2" s="1"/>
  <c r="BV368" i="2" s="1"/>
  <c r="BT119" i="2"/>
  <c r="BT240" i="2"/>
  <c r="BY240" i="2"/>
  <c r="BT274" i="2"/>
  <c r="BT256" i="2"/>
  <c r="BU109" i="2"/>
  <c r="BU119" i="2"/>
  <c r="BU274" i="2"/>
  <c r="BZ240" i="2"/>
  <c r="BW223" i="2"/>
  <c r="CB117" i="2"/>
  <c r="CB238" i="2"/>
  <c r="BX194" i="2"/>
  <c r="BX195" i="2" s="1"/>
  <c r="BY282" i="2"/>
  <c r="CA178" i="2"/>
  <c r="CA194" i="2" s="1"/>
  <c r="CC264" i="2"/>
  <c r="CC248" i="2"/>
  <c r="BZ249" i="2"/>
  <c r="BZ265" i="2"/>
  <c r="BZ232" i="2"/>
  <c r="CG111" i="2"/>
  <c r="CB248" i="2"/>
  <c r="CB249" i="2"/>
  <c r="CB265" i="2"/>
  <c r="CD238" i="2"/>
  <c r="CD221" i="2"/>
  <c r="CD117" i="2"/>
  <c r="R155" i="2"/>
  <c r="U391" i="2"/>
  <c r="U394" i="2" s="1"/>
  <c r="AH382" i="2"/>
  <c r="G391" i="2"/>
  <c r="G394" i="2" s="1"/>
  <c r="E342" i="2"/>
  <c r="E358" i="2" s="1"/>
  <c r="E374" i="2" s="1"/>
  <c r="AE337" i="2"/>
  <c r="AE353" i="2" s="1"/>
  <c r="AY336" i="2"/>
  <c r="AY352" i="2" s="1"/>
  <c r="AO308" i="2"/>
  <c r="AP334" i="2"/>
  <c r="AP350" i="2" s="1"/>
  <c r="K279" i="2"/>
  <c r="Z275" i="2"/>
  <c r="Y224" i="2"/>
  <c r="N257" i="2"/>
  <c r="AU178" i="2"/>
  <c r="E254" i="2"/>
  <c r="D254" i="2"/>
  <c r="AN129" i="2"/>
  <c r="AN250" i="2"/>
  <c r="AE129" i="2"/>
  <c r="AE155" i="2"/>
  <c r="AJ129" i="2"/>
  <c r="P129" i="2"/>
  <c r="L155" i="2"/>
  <c r="E126" i="2"/>
  <c r="D69" i="2"/>
  <c r="D127" i="2" s="1"/>
  <c r="Q122" i="2"/>
  <c r="Q69" i="2"/>
  <c r="Q339" i="2"/>
  <c r="Q355" i="2" s="1"/>
  <c r="I226" i="2"/>
  <c r="I69" i="2"/>
  <c r="Q121" i="2"/>
  <c r="L69" i="2"/>
  <c r="AK120" i="2"/>
  <c r="AH40" i="2"/>
  <c r="AE162" i="2" s="1"/>
  <c r="Y223" i="2"/>
  <c r="Y69" i="2"/>
  <c r="BB79" i="2"/>
  <c r="BC113" i="2"/>
  <c r="AZ285" i="2"/>
  <c r="BC336" i="2"/>
  <c r="BC352" i="2" s="1"/>
  <c r="AF275" i="2"/>
  <c r="AK257" i="2"/>
  <c r="Q190" i="2"/>
  <c r="Q191" i="2" s="1"/>
  <c r="Q272" i="2"/>
  <c r="Q254" i="2"/>
  <c r="Q221" i="2"/>
  <c r="BG181" i="2"/>
  <c r="BC238" i="2"/>
  <c r="BK285" i="2"/>
  <c r="BM119" i="2"/>
  <c r="Z267" i="2"/>
  <c r="U285" i="2"/>
  <c r="AJ284" i="2"/>
  <c r="AO266" i="2"/>
  <c r="P284" i="2"/>
  <c r="U266" i="2"/>
  <c r="AV274" i="2"/>
  <c r="AU274" i="2"/>
  <c r="AA190" i="2"/>
  <c r="AA191" i="2" s="1"/>
  <c r="AA272" i="2"/>
  <c r="I190" i="2"/>
  <c r="I235" i="2" s="1"/>
  <c r="I221" i="2"/>
  <c r="C190" i="2"/>
  <c r="C191" i="2" s="1"/>
  <c r="C254" i="2"/>
  <c r="AZ267" i="2"/>
  <c r="S173" i="2"/>
  <c r="S381" i="2"/>
  <c r="P250" i="2"/>
  <c r="T155" i="2"/>
  <c r="BM223" i="2"/>
  <c r="C221" i="2"/>
  <c r="G225" i="2"/>
  <c r="BE257" i="2"/>
  <c r="T260" i="2"/>
  <c r="O227" i="2"/>
  <c r="T244" i="2"/>
  <c r="AT241" i="2"/>
  <c r="AO241" i="2"/>
  <c r="AE274" i="2"/>
  <c r="AJ240" i="2"/>
  <c r="AT255" i="2"/>
  <c r="AT273" i="2"/>
  <c r="AS190" i="2"/>
  <c r="AS191" i="2" s="1"/>
  <c r="AS221" i="2"/>
  <c r="AS254" i="2"/>
  <c r="AS272" i="2"/>
  <c r="BJ241" i="2"/>
  <c r="O259" i="2"/>
  <c r="R227" i="2"/>
  <c r="BH241" i="2"/>
  <c r="S168" i="2"/>
  <c r="S190" i="2" s="1"/>
  <c r="BO190" i="2"/>
  <c r="BO191" i="2" s="1"/>
  <c r="AD241" i="2"/>
  <c r="V254" i="2"/>
  <c r="BH300" i="2"/>
  <c r="BH302" i="2" s="1"/>
  <c r="BJ285" i="2"/>
  <c r="BQ38" i="2"/>
  <c r="AJ256" i="2"/>
  <c r="BO254" i="2"/>
  <c r="AL155" i="2"/>
  <c r="AT129" i="2"/>
  <c r="CA394" i="2"/>
  <c r="CD191" i="2"/>
  <c r="BG38" i="2"/>
  <c r="BC69" i="2"/>
  <c r="AN152" i="2"/>
  <c r="BU82" i="2"/>
  <c r="BU135" i="2" s="1"/>
  <c r="BW266" i="2"/>
  <c r="CA38" i="2"/>
  <c r="BW249" i="2"/>
  <c r="CD265" i="2"/>
  <c r="BT282" i="2"/>
  <c r="BV168" i="2"/>
  <c r="AT250" i="2"/>
  <c r="U118" i="2"/>
  <c r="AE118" i="2"/>
  <c r="AJ108" i="2"/>
  <c r="AN109" i="2"/>
  <c r="BC190" i="2"/>
  <c r="BC191" i="2" s="1"/>
  <c r="M391" i="2"/>
  <c r="M394" i="2" s="1"/>
  <c r="W267" i="2"/>
  <c r="AB284" i="2"/>
  <c r="R261" i="2"/>
  <c r="R258" i="2"/>
  <c r="R272" i="2"/>
  <c r="R69" i="2"/>
  <c r="R82" i="2" s="1"/>
  <c r="R139" i="2" s="1"/>
  <c r="AG241" i="2"/>
  <c r="W223" i="2"/>
  <c r="S393" i="2"/>
  <c r="N388" i="2"/>
  <c r="S385" i="2"/>
  <c r="S384" i="2"/>
  <c r="AC383" i="2"/>
  <c r="AC382" i="2"/>
  <c r="AM305" i="2"/>
  <c r="H342" i="2"/>
  <c r="H358" i="2" s="1"/>
  <c r="H374" i="2" s="1"/>
  <c r="J340" i="2"/>
  <c r="J356" i="2" s="1"/>
  <c r="J300" i="2"/>
  <c r="J302" i="2" s="1"/>
  <c r="K338" i="2"/>
  <c r="K354" i="2" s="1"/>
  <c r="AJ337" i="2"/>
  <c r="AI300" i="2"/>
  <c r="AI302" i="2" s="1"/>
  <c r="AI304" i="2" s="1"/>
  <c r="AK308" i="2"/>
  <c r="T308" i="2"/>
  <c r="D334" i="2"/>
  <c r="AW79" i="2"/>
  <c r="U151" i="2"/>
  <c r="Z108" i="2"/>
  <c r="AS119" i="2"/>
  <c r="AL108" i="2"/>
  <c r="U69" i="2"/>
  <c r="H124" i="2"/>
  <c r="H245" i="2"/>
  <c r="N59" i="2"/>
  <c r="CC328" i="2"/>
  <c r="AN186" i="2"/>
  <c r="V113" i="2"/>
  <c r="AS109" i="2"/>
  <c r="BB80" i="2"/>
  <c r="BB180" i="2"/>
  <c r="BC334" i="2"/>
  <c r="BB79" i="12"/>
  <c r="AW79" i="12"/>
  <c r="S44" i="30"/>
  <c r="S45" i="30" s="1"/>
  <c r="AC17" i="3"/>
  <c r="BA29" i="3"/>
  <c r="AZ33" i="3"/>
  <c r="K59" i="3"/>
  <c r="AW17" i="3"/>
  <c r="CF19" i="3"/>
  <c r="BX74" i="3"/>
  <c r="BE12" i="3"/>
  <c r="BA33" i="3"/>
  <c r="BV15" i="3"/>
  <c r="BX60" i="3"/>
  <c r="BZ49" i="3"/>
  <c r="BM29" i="3"/>
  <c r="BD29" i="3"/>
  <c r="AR14" i="3"/>
  <c r="AC14" i="3"/>
  <c r="AH6" i="3"/>
  <c r="X14" i="3"/>
  <c r="BJ29" i="3"/>
  <c r="BB39" i="3"/>
  <c r="CM94" i="2"/>
  <c r="DJ77" i="12"/>
  <c r="BG53" i="12"/>
  <c r="BB53" i="12"/>
  <c r="BQ36" i="17"/>
  <c r="CK18" i="17"/>
  <c r="BB43" i="12"/>
  <c r="CK36" i="17"/>
  <c r="BG43" i="12"/>
  <c r="CF53" i="12"/>
  <c r="BL43" i="12"/>
  <c r="CP43" i="12"/>
  <c r="BQ58" i="12"/>
  <c r="DJ120" i="12"/>
  <c r="CA31" i="12"/>
  <c r="CF31" i="12"/>
  <c r="AN63" i="17"/>
  <c r="AN77" i="17" s="1"/>
  <c r="AA63" i="17"/>
  <c r="AA77" i="17" s="1"/>
  <c r="BN55" i="5"/>
  <c r="AI55" i="5"/>
  <c r="CH56" i="5"/>
  <c r="CH59" i="5" s="1"/>
  <c r="BN24" i="5"/>
  <c r="BO24" i="5" s="1"/>
  <c r="N27" i="4"/>
  <c r="BL9" i="4"/>
  <c r="BB38" i="4"/>
  <c r="BS15" i="4"/>
  <c r="BS24" i="4" s="1"/>
  <c r="CF27" i="4"/>
  <c r="CG77" i="4" s="1"/>
  <c r="AS57" i="4"/>
  <c r="AT57" i="4" s="1"/>
  <c r="AU57" i="4" s="1"/>
  <c r="AV57" i="4" s="1"/>
  <c r="H314" i="1"/>
  <c r="H312" i="1" s="1"/>
  <c r="AF33" i="4"/>
  <c r="AF39" i="4" s="1"/>
  <c r="L33" i="4"/>
  <c r="L39" i="4" s="1"/>
  <c r="O60" i="4"/>
  <c r="O61" i="4" s="1"/>
  <c r="X314" i="1"/>
  <c r="X312" i="1" s="1"/>
  <c r="AE33" i="4"/>
  <c r="AE39" i="4" s="1"/>
  <c r="AN15" i="4"/>
  <c r="AN24" i="4" s="1"/>
  <c r="AI60" i="4"/>
  <c r="AI61" i="4" s="1"/>
  <c r="T33" i="4"/>
  <c r="T39" i="4" s="1"/>
  <c r="BQ22" i="3"/>
  <c r="BE29" i="3"/>
  <c r="BL19" i="3"/>
  <c r="BB20" i="3"/>
  <c r="AX33" i="3"/>
  <c r="H59" i="3"/>
  <c r="AK8" i="3"/>
  <c r="BB16" i="3"/>
  <c r="AW15" i="3"/>
  <c r="X17" i="3"/>
  <c r="E60" i="3"/>
  <c r="AM14" i="3"/>
  <c r="BM8" i="3"/>
  <c r="BM59" i="3" s="1"/>
  <c r="BV180" i="2"/>
  <c r="BX222" i="2"/>
  <c r="BY309" i="2"/>
  <c r="CE107" i="2"/>
  <c r="BZ221" i="2"/>
  <c r="CC345" i="2"/>
  <c r="CC361" i="2" s="1"/>
  <c r="CC249" i="2"/>
  <c r="CD112" i="2"/>
  <c r="CF180" i="2"/>
  <c r="CE282" i="2"/>
  <c r="AB337" i="2"/>
  <c r="AB353" i="2" s="1"/>
  <c r="R339" i="2"/>
  <c r="R355" i="2" s="1"/>
  <c r="AC393" i="2"/>
  <c r="BE109" i="2"/>
  <c r="BG183" i="2"/>
  <c r="BF255" i="2"/>
  <c r="R257" i="2"/>
  <c r="L338" i="2"/>
  <c r="L354" i="2" s="1"/>
  <c r="AB109" i="2"/>
  <c r="T272" i="2"/>
  <c r="O391" i="2"/>
  <c r="O394" i="2" s="1"/>
  <c r="J391" i="2"/>
  <c r="J394" i="2" s="1"/>
  <c r="R151" i="2"/>
  <c r="K339" i="2"/>
  <c r="K355" i="2" s="1"/>
  <c r="S42" i="2"/>
  <c r="Y152" i="2"/>
  <c r="T151" i="2"/>
  <c r="S386" i="2"/>
  <c r="AM384" i="2"/>
  <c r="BA300" i="2"/>
  <c r="BA302" i="2" s="1"/>
  <c r="BA304" i="2" s="1"/>
  <c r="S80" i="2"/>
  <c r="V335" i="2"/>
  <c r="V351" i="2" s="1"/>
  <c r="D308" i="2"/>
  <c r="W336" i="2"/>
  <c r="W352" i="2" s="1"/>
  <c r="S38" i="2"/>
  <c r="P160" i="2" s="1"/>
  <c r="R245" i="2"/>
  <c r="AX113" i="2"/>
  <c r="X30" i="2"/>
  <c r="AB240" i="2"/>
  <c r="X39" i="2"/>
  <c r="W161" i="2" s="1"/>
  <c r="AB119" i="2"/>
  <c r="R275" i="2"/>
  <c r="AI335" i="2"/>
  <c r="AI351" i="2" s="1"/>
  <c r="AK334" i="2"/>
  <c r="AP108" i="2"/>
  <c r="BL168" i="2"/>
  <c r="CF27" i="12"/>
  <c r="BW35" i="12"/>
  <c r="BY35" i="12"/>
  <c r="BY34" i="12" s="1"/>
  <c r="BY7" i="17" s="1"/>
  <c r="BY81" i="12"/>
  <c r="BY80" i="12" s="1"/>
  <c r="CE70" i="12"/>
  <c r="CE69" i="12" s="1"/>
  <c r="CE43" i="17" s="1"/>
  <c r="CE35" i="12"/>
  <c r="CE34" i="12" s="1"/>
  <c r="CE7" i="17" s="1"/>
  <c r="AN16" i="17"/>
  <c r="AB63" i="17"/>
  <c r="AB77" i="17" s="1"/>
  <c r="CK337" i="1"/>
  <c r="CC117" i="2"/>
  <c r="CC272" i="2"/>
  <c r="CC190" i="2"/>
  <c r="CC191" i="2" s="1"/>
  <c r="CD226" i="1"/>
  <c r="CD321" i="2" s="1"/>
  <c r="CD319" i="2"/>
  <c r="CF17" i="4"/>
  <c r="CF47" i="4"/>
  <c r="CE238" i="2"/>
  <c r="CG282" i="2"/>
  <c r="BF178" i="2"/>
  <c r="BY78" i="4"/>
  <c r="BY79" i="4" s="1"/>
  <c r="CB107" i="1"/>
  <c r="CB121" i="1" s="1"/>
  <c r="CB139" i="1" s="1"/>
  <c r="CC232" i="2"/>
  <c r="D230" i="2"/>
  <c r="AX300" i="2"/>
  <c r="AX302" i="2" s="1"/>
  <c r="AX304" i="2" s="1"/>
  <c r="BY128" i="2"/>
  <c r="BW82" i="2"/>
  <c r="BW136" i="2" s="1"/>
  <c r="AR32" i="1"/>
  <c r="AB32" i="1"/>
  <c r="CD283" i="2"/>
  <c r="CA15" i="3"/>
  <c r="Z34" i="5"/>
  <c r="AA34" i="5" s="1"/>
  <c r="AB34" i="5" s="1"/>
  <c r="U272" i="2"/>
  <c r="BG160" i="1"/>
  <c r="BG165" i="1" s="1"/>
  <c r="BD27" i="4"/>
  <c r="BD73" i="1"/>
  <c r="BD79" i="1" s="1"/>
  <c r="BD89" i="1" s="1"/>
  <c r="AQ27" i="4"/>
  <c r="AR27" i="4" s="1"/>
  <c r="AQ73" i="1"/>
  <c r="AQ79" i="1" s="1"/>
  <c r="AQ89" i="1" s="1"/>
  <c r="AK73" i="1"/>
  <c r="AK79" i="1" s="1"/>
  <c r="AK89" i="1" s="1"/>
  <c r="AK92" i="1" s="1"/>
  <c r="AK27" i="4"/>
  <c r="BT60" i="4"/>
  <c r="BT61" i="4" s="1"/>
  <c r="BV20" i="3"/>
  <c r="BT29" i="3"/>
  <c r="BG39" i="2"/>
  <c r="BJ119" i="2"/>
  <c r="BV36" i="2"/>
  <c r="BU308" i="2" s="1"/>
  <c r="BZ117" i="2"/>
  <c r="CA36" i="2"/>
  <c r="CA308" i="2" s="1"/>
  <c r="CB272" i="2"/>
  <c r="CA168" i="2"/>
  <c r="CA190" i="2" s="1"/>
  <c r="BZ254" i="2"/>
  <c r="BZ238" i="2"/>
  <c r="BZ190" i="2"/>
  <c r="BZ191" i="2" s="1"/>
  <c r="CA19" i="4"/>
  <c r="CA38" i="4"/>
  <c r="CG113" i="2"/>
  <c r="CB82" i="2"/>
  <c r="CB143" i="2" s="1"/>
  <c r="R316" i="1"/>
  <c r="BV179" i="2"/>
  <c r="BX335" i="2"/>
  <c r="BX351" i="2" s="1"/>
  <c r="Q338" i="2"/>
  <c r="Q354" i="2" s="1"/>
  <c r="AS250" i="2"/>
  <c r="AS266" i="2"/>
  <c r="AX266" i="2"/>
  <c r="AA233" i="2"/>
  <c r="AA266" i="2"/>
  <c r="AF266" i="2"/>
  <c r="K228" i="2"/>
  <c r="L279" i="2"/>
  <c r="I260" i="2"/>
  <c r="I244" i="2"/>
  <c r="U258" i="2"/>
  <c r="U242" i="2"/>
  <c r="P225" i="2"/>
  <c r="P258" i="2"/>
  <c r="Q276" i="2"/>
  <c r="P242" i="2"/>
  <c r="AP241" i="2"/>
  <c r="AP257" i="2"/>
  <c r="AU241" i="2"/>
  <c r="AO240" i="2"/>
  <c r="AT240" i="2"/>
  <c r="AO256" i="2"/>
  <c r="AT256" i="2"/>
  <c r="V223" i="2"/>
  <c r="V240" i="2"/>
  <c r="V256" i="2"/>
  <c r="AN222" i="2"/>
  <c r="AO273" i="2"/>
  <c r="AN239" i="2"/>
  <c r="AS239" i="2"/>
  <c r="AN255" i="2"/>
  <c r="V273" i="2"/>
  <c r="U255" i="2"/>
  <c r="Z255" i="2"/>
  <c r="U155" i="2"/>
  <c r="U233" i="2"/>
  <c r="Q228" i="2"/>
  <c r="Q124" i="2"/>
  <c r="AZ110" i="2"/>
  <c r="AU110" i="2"/>
  <c r="AU120" i="2"/>
  <c r="AN110" i="2"/>
  <c r="AN120" i="2"/>
  <c r="AN153" i="2"/>
  <c r="AF224" i="2"/>
  <c r="AK241" i="2"/>
  <c r="AG153" i="2"/>
  <c r="AT109" i="2"/>
  <c r="AO152" i="2"/>
  <c r="AG152" i="2"/>
  <c r="AL109" i="2"/>
  <c r="AD119" i="2"/>
  <c r="AD240" i="2"/>
  <c r="O223" i="2"/>
  <c r="T109" i="2"/>
  <c r="AU108" i="2"/>
  <c r="AZ108" i="2"/>
  <c r="AU118" i="2"/>
  <c r="AN118" i="2"/>
  <c r="AS118" i="2"/>
  <c r="AN108" i="2"/>
  <c r="AN69" i="2"/>
  <c r="AO151" i="2"/>
  <c r="AK118" i="2"/>
  <c r="AG151" i="2"/>
  <c r="AF118" i="2"/>
  <c r="AF239" i="2"/>
  <c r="AK108" i="2"/>
  <c r="V151" i="2"/>
  <c r="V108" i="2"/>
  <c r="AA118" i="2"/>
  <c r="AD84" i="2"/>
  <c r="AD117" i="2"/>
  <c r="AD150" i="2"/>
  <c r="J84" i="2"/>
  <c r="K150" i="2"/>
  <c r="J59" i="3"/>
  <c r="AO63" i="4"/>
  <c r="C63" i="4"/>
  <c r="C69" i="4" s="1"/>
  <c r="AE24" i="5"/>
  <c r="AF24" i="5" s="1"/>
  <c r="AG24" i="5" s="1"/>
  <c r="AH24" i="5" s="1"/>
  <c r="AT10" i="5"/>
  <c r="AT54" i="3" s="1"/>
  <c r="AV6" i="3"/>
  <c r="AW6" i="3" s="1"/>
  <c r="AV9" i="1"/>
  <c r="AX285" i="2"/>
  <c r="AV267" i="2"/>
  <c r="AV206" i="1"/>
  <c r="AV208" i="1" s="1"/>
  <c r="AV212" i="1"/>
  <c r="BB40" i="2"/>
  <c r="BB337" i="2" s="1"/>
  <c r="BB353" i="2" s="1"/>
  <c r="BB369" i="2" s="1"/>
  <c r="BC110" i="2"/>
  <c r="AY9" i="5"/>
  <c r="BE337" i="2"/>
  <c r="BE353" i="2" s="1"/>
  <c r="BD337" i="2"/>
  <c r="BD353" i="2" s="1"/>
  <c r="AZ284" i="2"/>
  <c r="AZ60" i="4"/>
  <c r="AZ61" i="4" s="1"/>
  <c r="BB291" i="2"/>
  <c r="BB300" i="2" s="1"/>
  <c r="BB302" i="2" s="1"/>
  <c r="BB304" i="2" s="1"/>
  <c r="BB203" i="1"/>
  <c r="BB206" i="1" s="1"/>
  <c r="BB208" i="1" s="1"/>
  <c r="BA224" i="2"/>
  <c r="BF120" i="2"/>
  <c r="BA337" i="2"/>
  <c r="BA353" i="2" s="1"/>
  <c r="BA110" i="2"/>
  <c r="BA256" i="2"/>
  <c r="BA274" i="2"/>
  <c r="BC274" i="2"/>
  <c r="BB316" i="2"/>
  <c r="BB326" i="2" s="1"/>
  <c r="BB226" i="1"/>
  <c r="BB321" i="2" s="1"/>
  <c r="BG80" i="2"/>
  <c r="BC266" i="2"/>
  <c r="BH266" i="2"/>
  <c r="BC60" i="4"/>
  <c r="BC61" i="4" s="1"/>
  <c r="BD46" i="5"/>
  <c r="BE46" i="5" s="1"/>
  <c r="BD266" i="2"/>
  <c r="BD284" i="2"/>
  <c r="BO117" i="2"/>
  <c r="BQ36" i="2"/>
  <c r="BQ19" i="3"/>
  <c r="BU304" i="2"/>
  <c r="BE190" i="2"/>
  <c r="BE191" i="2" s="1"/>
  <c r="BG168" i="2"/>
  <c r="BG190" i="2" s="1"/>
  <c r="BY127" i="2"/>
  <c r="BT231" i="2"/>
  <c r="CA31" i="4"/>
  <c r="BY58" i="3"/>
  <c r="BY74" i="3"/>
  <c r="CA357" i="1"/>
  <c r="CF357" i="1" s="1"/>
  <c r="CC112" i="2"/>
  <c r="CC283" i="2"/>
  <c r="CF15" i="3"/>
  <c r="CE194" i="2"/>
  <c r="CE195" i="2" s="1"/>
  <c r="CI250" i="2"/>
  <c r="BI186" i="2"/>
  <c r="BZ77" i="4"/>
  <c r="CF302" i="2"/>
  <c r="CF304" i="2" s="1"/>
  <c r="CA185" i="1"/>
  <c r="BY232" i="2"/>
  <c r="BY112" i="2"/>
  <c r="J29" i="3"/>
  <c r="AR25" i="3"/>
  <c r="BZ283" i="2"/>
  <c r="BZ82" i="2"/>
  <c r="BZ144" i="2" s="1"/>
  <c r="AU257" i="2"/>
  <c r="Q245" i="2"/>
  <c r="AF305" i="2"/>
  <c r="AG215" i="1"/>
  <c r="AG305" i="2" s="1"/>
  <c r="AB291" i="2"/>
  <c r="AC291" i="2" s="1"/>
  <c r="AB203" i="1"/>
  <c r="AB206" i="1" s="1"/>
  <c r="AB290" i="2"/>
  <c r="AB308" i="2" s="1"/>
  <c r="AB210" i="1"/>
  <c r="AB169" i="2"/>
  <c r="AD273" i="2" s="1"/>
  <c r="AB180" i="1"/>
  <c r="M116" i="1"/>
  <c r="N107" i="1"/>
  <c r="M107" i="1" s="1"/>
  <c r="AH47" i="4"/>
  <c r="BS272" i="2"/>
  <c r="BT272" i="2"/>
  <c r="BX254" i="2"/>
  <c r="CF178" i="2"/>
  <c r="CI266" i="2"/>
  <c r="BF222" i="2"/>
  <c r="CD233" i="2"/>
  <c r="BV69" i="2"/>
  <c r="CF74" i="2"/>
  <c r="CF345" i="2" s="1"/>
  <c r="CF361" i="2" s="1"/>
  <c r="CF377" i="2" s="1"/>
  <c r="CE248" i="2"/>
  <c r="AN48" i="3"/>
  <c r="BJ48" i="3"/>
  <c r="BJ49" i="3" s="1"/>
  <c r="BH273" i="2"/>
  <c r="BK239" i="2"/>
  <c r="CB233" i="2"/>
  <c r="BV178" i="2"/>
  <c r="BY283" i="2"/>
  <c r="BY310" i="2"/>
  <c r="CA128" i="1"/>
  <c r="BU113" i="2"/>
  <c r="BT334" i="2"/>
  <c r="BT350" i="2" s="1"/>
  <c r="O339" i="2"/>
  <c r="O355" i="2" s="1"/>
  <c r="AO337" i="2"/>
  <c r="AO353" i="2" s="1"/>
  <c r="BX238" i="2"/>
  <c r="BE221" i="2"/>
  <c r="H227" i="2"/>
  <c r="CD232" i="2"/>
  <c r="CF384" i="1"/>
  <c r="CC221" i="2"/>
  <c r="CA8" i="3"/>
  <c r="CA179" i="2"/>
  <c r="BY248" i="2"/>
  <c r="BY111" i="2"/>
  <c r="T254" i="2"/>
  <c r="AP224" i="2"/>
  <c r="BL22" i="3"/>
  <c r="BI118" i="2"/>
  <c r="BL38" i="2"/>
  <c r="BJ118" i="2"/>
  <c r="BJ69" i="2"/>
  <c r="BK33" i="3"/>
  <c r="BL261" i="1"/>
  <c r="BQ40" i="2"/>
  <c r="BQ337" i="2" s="1"/>
  <c r="BQ353" i="2" s="1"/>
  <c r="BQ369" i="2" s="1"/>
  <c r="BM69" i="2"/>
  <c r="BR111" i="2" s="1"/>
  <c r="BM120" i="2"/>
  <c r="BN274" i="2"/>
  <c r="BM178" i="2"/>
  <c r="BR264" i="2" s="1"/>
  <c r="BM63" i="4"/>
  <c r="BN29" i="3"/>
  <c r="CE254" i="2"/>
  <c r="BJ240" i="2"/>
  <c r="CF179" i="2"/>
  <c r="CF168" i="2"/>
  <c r="CE117" i="2"/>
  <c r="BJ254" i="2"/>
  <c r="BF273" i="2"/>
  <c r="BE336" i="2"/>
  <c r="BE352" i="2" s="1"/>
  <c r="BT195" i="2"/>
  <c r="BY249" i="2"/>
  <c r="CC334" i="2"/>
  <c r="CC350" i="2" s="1"/>
  <c r="E247" i="2"/>
  <c r="BE69" i="2"/>
  <c r="BJ238" i="2"/>
  <c r="CG250" i="2"/>
  <c r="BT82" i="2"/>
  <c r="BT145" i="2" s="1"/>
  <c r="BT326" i="1" s="1"/>
  <c r="AP274" i="2"/>
  <c r="AK110" i="2"/>
  <c r="X384" i="2"/>
  <c r="AO31" i="5"/>
  <c r="AP31" i="5" s="1"/>
  <c r="AQ31" i="5" s="1"/>
  <c r="AR31" i="5" s="1"/>
  <c r="U16" i="5"/>
  <c r="V16" i="5" s="1"/>
  <c r="W16" i="5" s="1"/>
  <c r="X16" i="5" s="1"/>
  <c r="AG11" i="5"/>
  <c r="AH11" i="5" s="1"/>
  <c r="E300" i="2"/>
  <c r="E302" i="2" s="1"/>
  <c r="E304" i="2" s="1"/>
  <c r="AV285" i="2"/>
  <c r="L285" i="2"/>
  <c r="AP275" i="2"/>
  <c r="AO274" i="2"/>
  <c r="H256" i="2"/>
  <c r="U273" i="2"/>
  <c r="Z113" i="2"/>
  <c r="I122" i="2"/>
  <c r="AF69" i="2"/>
  <c r="AF151" i="2"/>
  <c r="AK150" i="2"/>
  <c r="BD8" i="3"/>
  <c r="CF210" i="1"/>
  <c r="AW7" i="3"/>
  <c r="AD308" i="2"/>
  <c r="V245" i="2"/>
  <c r="L227" i="2"/>
  <c r="V243" i="2"/>
  <c r="AU224" i="2"/>
  <c r="AS129" i="2"/>
  <c r="AW9" i="3"/>
  <c r="S387" i="2"/>
  <c r="AP186" i="2"/>
  <c r="R267" i="2"/>
  <c r="AC80" i="2"/>
  <c r="AS391" i="2"/>
  <c r="AS394" i="2" s="1"/>
  <c r="Q267" i="2"/>
  <c r="AD257" i="2"/>
  <c r="O254" i="2"/>
  <c r="Q123" i="2"/>
  <c r="J60" i="3"/>
  <c r="AX391" i="2"/>
  <c r="AX394" i="2" s="1"/>
  <c r="AF222" i="2"/>
  <c r="N222" i="2"/>
  <c r="BO12" i="3"/>
  <c r="BX60" i="4"/>
  <c r="V152" i="2"/>
  <c r="BQ18" i="1"/>
  <c r="BQ24" i="1" s="1"/>
  <c r="BQ27" i="1" s="1"/>
  <c r="BQ29" i="1" s="1"/>
  <c r="AR203" i="1"/>
  <c r="AR206" i="1" s="1"/>
  <c r="AR208" i="1" s="1"/>
  <c r="AJ190" i="1"/>
  <c r="W119" i="2"/>
  <c r="M334" i="2"/>
  <c r="M350" i="2" s="1"/>
  <c r="AR137" i="1"/>
  <c r="Y257" i="2"/>
  <c r="M190" i="2"/>
  <c r="M272" i="2"/>
  <c r="R254" i="2"/>
  <c r="O150" i="2"/>
  <c r="R260" i="2"/>
  <c r="G261" i="1"/>
  <c r="G212" i="1"/>
  <c r="AL113" i="2"/>
  <c r="AF29" i="3"/>
  <c r="D29" i="3"/>
  <c r="AJ8" i="3"/>
  <c r="AJ60" i="3" s="1"/>
  <c r="P8" i="3"/>
  <c r="AJ22" i="5"/>
  <c r="AK22" i="5" s="1"/>
  <c r="AL22" i="5" s="1"/>
  <c r="AM22" i="5" s="1"/>
  <c r="BW33" i="4"/>
  <c r="BW39" i="4" s="1"/>
  <c r="BX33" i="4"/>
  <c r="BX39" i="4" s="1"/>
  <c r="CA56" i="4"/>
  <c r="BZ56" i="4" s="1"/>
  <c r="CC195" i="2"/>
  <c r="CL56" i="5"/>
  <c r="CL59" i="5" s="1"/>
  <c r="W109" i="2"/>
  <c r="W244" i="2"/>
  <c r="X266" i="1"/>
  <c r="Q212" i="1"/>
  <c r="AC261" i="1"/>
  <c r="Y268" i="1"/>
  <c r="O266" i="2"/>
  <c r="AK224" i="2"/>
  <c r="AR17" i="3"/>
  <c r="S14" i="3"/>
  <c r="AV46" i="4"/>
  <c r="AV48" i="4" s="1"/>
  <c r="AV62" i="4" s="1"/>
  <c r="AY46" i="4"/>
  <c r="CM56" i="5"/>
  <c r="CM59" i="5" s="1"/>
  <c r="AB266" i="2"/>
  <c r="M84" i="2"/>
  <c r="M49" i="5"/>
  <c r="N49" i="5" s="1"/>
  <c r="U268" i="1"/>
  <c r="AB268" i="1"/>
  <c r="M304" i="1"/>
  <c r="R160" i="1"/>
  <c r="AR268" i="1"/>
  <c r="AM9" i="1"/>
  <c r="AM253" i="1" s="1"/>
  <c r="AK391" i="2"/>
  <c r="AK394" i="2" s="1"/>
  <c r="AL29" i="3"/>
  <c r="M308" i="2"/>
  <c r="M43" i="5"/>
  <c r="N43" i="5" s="1"/>
  <c r="W260" i="2"/>
  <c r="AO182" i="2"/>
  <c r="AL212" i="1"/>
  <c r="BS8" i="3"/>
  <c r="BS60" i="3" s="1"/>
  <c r="R178" i="2"/>
  <c r="E261" i="1"/>
  <c r="W307" i="1"/>
  <c r="D212" i="1"/>
  <c r="Z69" i="2"/>
  <c r="AY18" i="1"/>
  <c r="AY24" i="1" s="1"/>
  <c r="AY27" i="1" s="1"/>
  <c r="AY31" i="1" s="1"/>
  <c r="AY33" i="1" s="1"/>
  <c r="BZ74" i="3"/>
  <c r="AN113" i="2"/>
  <c r="AI113" i="2"/>
  <c r="R113" i="2"/>
  <c r="AU113" i="2"/>
  <c r="BG104" i="2"/>
  <c r="W113" i="2"/>
  <c r="CP91" i="2"/>
  <c r="CP94" i="2" s="1"/>
  <c r="AP113" i="2"/>
  <c r="AT113" i="2"/>
  <c r="V94" i="2"/>
  <c r="AY113" i="2"/>
  <c r="AS113" i="2"/>
  <c r="AA113" i="2"/>
  <c r="I113" i="2"/>
  <c r="AT32" i="17"/>
  <c r="AT34" i="17" s="1"/>
  <c r="AQ113" i="2"/>
  <c r="C104" i="2"/>
  <c r="AE113" i="2"/>
  <c r="AV32" i="17"/>
  <c r="AV34" i="17" s="1"/>
  <c r="AU32" i="17"/>
  <c r="AU34" i="17" s="1"/>
  <c r="BT81" i="12"/>
  <c r="BT80" i="12" s="1"/>
  <c r="CF25" i="12"/>
  <c r="BV77" i="12"/>
  <c r="BX70" i="12"/>
  <c r="BX69" i="12" s="1"/>
  <c r="BX43" i="17" s="1"/>
  <c r="CP365" i="1"/>
  <c r="BQ257" i="1"/>
  <c r="CC74" i="3"/>
  <c r="AS32" i="17"/>
  <c r="AS34" i="17" s="1"/>
  <c r="X44" i="17"/>
  <c r="X46" i="17" s="1"/>
  <c r="T337" i="2"/>
  <c r="W127" i="1"/>
  <c r="W38" i="5" s="1"/>
  <c r="X128" i="1"/>
  <c r="W128" i="1" s="1"/>
  <c r="CF378" i="1"/>
  <c r="CK378" i="1" s="1"/>
  <c r="CP378" i="1" s="1"/>
  <c r="AC38" i="17"/>
  <c r="AC40" i="17" s="1"/>
  <c r="Q40" i="12"/>
  <c r="S40" i="12" s="1"/>
  <c r="S39" i="12" s="1"/>
  <c r="Y27" i="5"/>
  <c r="Z27" i="5" s="1"/>
  <c r="AA27" i="5" s="1"/>
  <c r="Y107" i="1"/>
  <c r="Y121" i="1" s="1"/>
  <c r="Y139" i="1" s="1"/>
  <c r="Y141" i="1" s="1"/>
  <c r="Y144" i="1" s="1"/>
  <c r="AF46" i="4"/>
  <c r="Q33" i="4"/>
  <c r="Q39" i="4" s="1"/>
  <c r="AL15" i="4"/>
  <c r="AL24" i="4" s="1"/>
  <c r="AI255" i="2"/>
  <c r="AI239" i="2"/>
  <c r="Q12" i="3"/>
  <c r="T46" i="4"/>
  <c r="AS60" i="4"/>
  <c r="AS61" i="4" s="1"/>
  <c r="AA60" i="4"/>
  <c r="AA61" i="4" s="1"/>
  <c r="CF343" i="1"/>
  <c r="AR14" i="17"/>
  <c r="AR16" i="17" s="1"/>
  <c r="S6" i="17"/>
  <c r="Q8" i="17"/>
  <c r="Q10" i="17" s="1"/>
  <c r="X15" i="3"/>
  <c r="AL46" i="4"/>
  <c r="AT33" i="4"/>
  <c r="AT39" i="4" s="1"/>
  <c r="G33" i="4"/>
  <c r="G39" i="4" s="1"/>
  <c r="E15" i="4"/>
  <c r="E24" i="4" s="1"/>
  <c r="U245" i="2"/>
  <c r="P226" i="2"/>
  <c r="H226" i="2"/>
  <c r="M275" i="2"/>
  <c r="AS256" i="2"/>
  <c r="L274" i="2"/>
  <c r="K273" i="2"/>
  <c r="P103" i="2"/>
  <c r="U113" i="2" s="1"/>
  <c r="S78" i="2"/>
  <c r="S103" i="2" s="1"/>
  <c r="AK119" i="2"/>
  <c r="AV118" i="2"/>
  <c r="AQ118" i="2"/>
  <c r="AM17" i="3"/>
  <c r="AM15" i="3"/>
  <c r="AW14" i="3"/>
  <c r="N14" i="3"/>
  <c r="F12" i="3"/>
  <c r="F78" i="4" s="1"/>
  <c r="F79" i="4" s="1"/>
  <c r="AD8" i="3"/>
  <c r="E56" i="4"/>
  <c r="G56" i="4"/>
  <c r="AT46" i="4"/>
  <c r="AT48" i="4" s="1"/>
  <c r="AT62" i="4" s="1"/>
  <c r="AB19" i="5"/>
  <c r="AC19" i="5" s="1"/>
  <c r="BH12" i="3"/>
  <c r="BJ12" i="3"/>
  <c r="BN12" i="3"/>
  <c r="BN78" i="4" s="1"/>
  <c r="BN79" i="4" s="1"/>
  <c r="BP63" i="4"/>
  <c r="BV17" i="3"/>
  <c r="BV42" i="3"/>
  <c r="BT46" i="4"/>
  <c r="BT48" i="4" s="1"/>
  <c r="BT62" i="4" s="1"/>
  <c r="BX63" i="4"/>
  <c r="AB42" i="5"/>
  <c r="AC42" i="5" s="1"/>
  <c r="BH15" i="4"/>
  <c r="BH24" i="4" s="1"/>
  <c r="BH46" i="4"/>
  <c r="BH48" i="4" s="1"/>
  <c r="BH62" i="4" s="1"/>
  <c r="BO46" i="4"/>
  <c r="BO48" i="4" s="1"/>
  <c r="BO62" i="4" s="1"/>
  <c r="BO68" i="4" s="1"/>
  <c r="CA16" i="3"/>
  <c r="BY46" i="4"/>
  <c r="CB63" i="4"/>
  <c r="CB60" i="3"/>
  <c r="AX12" i="3"/>
  <c r="AZ29" i="3"/>
  <c r="BD46" i="4"/>
  <c r="BD48" i="4" s="1"/>
  <c r="BD62" i="4" s="1"/>
  <c r="BD68" i="4" s="1"/>
  <c r="BM12" i="3"/>
  <c r="BZ63" i="4"/>
  <c r="AZ46" i="4"/>
  <c r="AZ48" i="4" s="1"/>
  <c r="AZ62" i="4" s="1"/>
  <c r="BE15" i="4"/>
  <c r="BE24" i="4" s="1"/>
  <c r="BP15" i="4"/>
  <c r="BP24" i="4" s="1"/>
  <c r="BR46" i="4"/>
  <c r="BR48" i="4" s="1"/>
  <c r="BR62" i="4" s="1"/>
  <c r="BR68" i="4" s="1"/>
  <c r="BS46" i="4"/>
  <c r="CD63" i="4"/>
  <c r="BZ35" i="12"/>
  <c r="BZ34" i="12" s="1"/>
  <c r="BZ7" i="17" s="1"/>
  <c r="CF22" i="3"/>
  <c r="Z308" i="2"/>
  <c r="AR10" i="3"/>
  <c r="BA12" i="3"/>
  <c r="BA78" i="4" s="1"/>
  <c r="BA79" i="4" s="1"/>
  <c r="S7" i="3"/>
  <c r="AO8" i="3"/>
  <c r="V8" i="3"/>
  <c r="AM56" i="4"/>
  <c r="AL56" i="4" s="1"/>
  <c r="Z46" i="4"/>
  <c r="Z48" i="4" s="1"/>
  <c r="Z62" i="4" s="1"/>
  <c r="AZ49" i="3"/>
  <c r="BG14" i="3"/>
  <c r="BE46" i="4"/>
  <c r="BH137" i="1"/>
  <c r="BH139" i="1" s="1"/>
  <c r="BI73" i="1"/>
  <c r="BI79" i="1" s="1"/>
  <c r="BI89" i="1" s="1"/>
  <c r="BI12" i="3"/>
  <c r="BQ45" i="3"/>
  <c r="BQ15" i="3"/>
  <c r="BV19" i="3"/>
  <c r="BV87" i="17"/>
  <c r="BT213" i="1"/>
  <c r="BX46" i="4"/>
  <c r="BY63" i="4"/>
  <c r="CC33" i="3"/>
  <c r="CC15" i="4"/>
  <c r="CC24" i="4" s="1"/>
  <c r="CF73" i="12"/>
  <c r="AL267" i="2"/>
  <c r="O284" i="2"/>
  <c r="Y267" i="2"/>
  <c r="I225" i="2"/>
  <c r="AJ91" i="2"/>
  <c r="AS91" i="2"/>
  <c r="AS94" i="2" s="1"/>
  <c r="G91" i="2"/>
  <c r="Y108" i="2"/>
  <c r="AQ29" i="3"/>
  <c r="AU12" i="3"/>
  <c r="AU77" i="4" s="1"/>
  <c r="AE12" i="3"/>
  <c r="AE77" i="4" s="1"/>
  <c r="F67" i="3"/>
  <c r="K46" i="4"/>
  <c r="K48" i="4" s="1"/>
  <c r="K62" i="4" s="1"/>
  <c r="K68" i="4" s="1"/>
  <c r="Z33" i="4"/>
  <c r="Z39" i="4" s="1"/>
  <c r="H33" i="4"/>
  <c r="H39" i="4" s="1"/>
  <c r="K33" i="4"/>
  <c r="K39" i="4" s="1"/>
  <c r="F76" i="4"/>
  <c r="BI46" i="4"/>
  <c r="BJ46" i="4"/>
  <c r="BJ48" i="4" s="1"/>
  <c r="BJ62" i="4" s="1"/>
  <c r="BJ65" i="4" s="1"/>
  <c r="BM15" i="4"/>
  <c r="BM24" i="4" s="1"/>
  <c r="BM46" i="4"/>
  <c r="BL56" i="4"/>
  <c r="BK56" i="4" s="1"/>
  <c r="BS328" i="2"/>
  <c r="BS233" i="2"/>
  <c r="BY15" i="4"/>
  <c r="BY24" i="4" s="1"/>
  <c r="CB304" i="2"/>
  <c r="CI112" i="2"/>
  <c r="CD60" i="4"/>
  <c r="CD61" i="4" s="1"/>
  <c r="BX35" i="12"/>
  <c r="BX34" i="12" s="1"/>
  <c r="BX7" i="17" s="1"/>
  <c r="DE120" i="12"/>
  <c r="DE77" i="12"/>
  <c r="DB62" i="12"/>
  <c r="DE31" i="12"/>
  <c r="BY33" i="4"/>
  <c r="BY39" i="4" s="1"/>
  <c r="CC46" i="4"/>
  <c r="BJ15" i="4"/>
  <c r="BJ24" i="4" s="1"/>
  <c r="AQ46" i="4"/>
  <c r="AQ48" i="4" s="1"/>
  <c r="AQ62" i="4" s="1"/>
  <c r="AQ68" i="4" s="1"/>
  <c r="BN63" i="4"/>
  <c r="AU46" i="4"/>
  <c r="AP46" i="4"/>
  <c r="AE46" i="4"/>
  <c r="AE48" i="4" s="1"/>
  <c r="AE62" i="4" s="1"/>
  <c r="Y46" i="4"/>
  <c r="Q46" i="4"/>
  <c r="C46" i="4"/>
  <c r="BZ33" i="4"/>
  <c r="BZ39" i="4" s="1"/>
  <c r="G63" i="4"/>
  <c r="AR46" i="4"/>
  <c r="AC17" i="4"/>
  <c r="BR15" i="4"/>
  <c r="BR24" i="4" s="1"/>
  <c r="BI60" i="4"/>
  <c r="BI61" i="4" s="1"/>
  <c r="BS60" i="4"/>
  <c r="BS61" i="4" s="1"/>
  <c r="BO60" i="4"/>
  <c r="BO61" i="4" s="1"/>
  <c r="BL17" i="4"/>
  <c r="BL31" i="4"/>
  <c r="BG7" i="4"/>
  <c r="K63" i="4"/>
  <c r="AK63" i="4"/>
  <c r="D314" i="1"/>
  <c r="D312" i="1" s="1"/>
  <c r="BY77" i="4"/>
  <c r="BZ46" i="4"/>
  <c r="BZ48" i="4" s="1"/>
  <c r="BZ62" i="4" s="1"/>
  <c r="CD33" i="4"/>
  <c r="CD39" i="4" s="1"/>
  <c r="AS15" i="4"/>
  <c r="AS24" i="4" s="1"/>
  <c r="CC33" i="4"/>
  <c r="CC39" i="4" s="1"/>
  <c r="BE63" i="4"/>
  <c r="AR17" i="4"/>
  <c r="Q63" i="4"/>
  <c r="AP63" i="4"/>
  <c r="D46" i="4"/>
  <c r="I76" i="4"/>
  <c r="F33" i="4"/>
  <c r="F39" i="4" s="1"/>
  <c r="AM18" i="4"/>
  <c r="AY63" i="4"/>
  <c r="N17" i="4"/>
  <c r="AQ63" i="4"/>
  <c r="AL63" i="4"/>
  <c r="H63" i="4"/>
  <c r="AS63" i="4"/>
  <c r="AI63" i="4"/>
  <c r="U63" i="4"/>
  <c r="U33" i="4"/>
  <c r="U39" i="4" s="1"/>
  <c r="E33" i="4"/>
  <c r="E39" i="4" s="1"/>
  <c r="E63" i="4"/>
  <c r="V33" i="4"/>
  <c r="AM21" i="4"/>
  <c r="AR13" i="4"/>
  <c r="AM13" i="4"/>
  <c r="AR7" i="4"/>
  <c r="AQ15" i="4"/>
  <c r="AQ24" i="4" s="1"/>
  <c r="AF60" i="4"/>
  <c r="AF61" i="4" s="1"/>
  <c r="H60" i="4"/>
  <c r="H61" i="4" s="1"/>
  <c r="AW14" i="4"/>
  <c r="AX15" i="4"/>
  <c r="AX24" i="4" s="1"/>
  <c r="BA15" i="4"/>
  <c r="BA24" i="4" s="1"/>
  <c r="BB18" i="4"/>
  <c r="BH63" i="4"/>
  <c r="BL12" i="4"/>
  <c r="BL21" i="4"/>
  <c r="BL35" i="4"/>
  <c r="BM60" i="4"/>
  <c r="BM61" i="4" s="1"/>
  <c r="BQ9" i="4"/>
  <c r="BV34" i="4"/>
  <c r="BW63" i="4"/>
  <c r="CC60" i="4"/>
  <c r="CF9" i="4"/>
  <c r="CG76" i="4" s="1"/>
  <c r="BU33" i="4"/>
  <c r="BU39" i="4" s="1"/>
  <c r="T15" i="4"/>
  <c r="AF15" i="4"/>
  <c r="AF24" i="4" s="1"/>
  <c r="AM12" i="4"/>
  <c r="AI15" i="4"/>
  <c r="AI24" i="4" s="1"/>
  <c r="BZ15" i="4"/>
  <c r="BZ24" i="4" s="1"/>
  <c r="BR63" i="4"/>
  <c r="BO15" i="4"/>
  <c r="BN15" i="4"/>
  <c r="BN24" i="4" s="1"/>
  <c r="BT15" i="4"/>
  <c r="BT24" i="4" s="1"/>
  <c r="BT33" i="4"/>
  <c r="BT39" i="4" s="1"/>
  <c r="BI63" i="4"/>
  <c r="CC63" i="4"/>
  <c r="AP60" i="4"/>
  <c r="AP61" i="4" s="1"/>
  <c r="T60" i="4"/>
  <c r="T61" i="4" s="1"/>
  <c r="AC47" i="4"/>
  <c r="AF63" i="4"/>
  <c r="Z63" i="4"/>
  <c r="L63" i="4"/>
  <c r="D63" i="4"/>
  <c r="AA33" i="4"/>
  <c r="AA39" i="4" s="1"/>
  <c r="AA63" i="4"/>
  <c r="O63" i="4"/>
  <c r="O33" i="4"/>
  <c r="I63" i="4"/>
  <c r="I33" i="4"/>
  <c r="I39" i="4" s="1"/>
  <c r="AD33" i="4"/>
  <c r="AD39" i="4" s="1"/>
  <c r="J33" i="4"/>
  <c r="J39" i="4" s="1"/>
  <c r="I314" i="1"/>
  <c r="I312" i="1" s="1"/>
  <c r="AL60" i="4"/>
  <c r="AL61" i="4" s="1"/>
  <c r="AM7" i="4"/>
  <c r="Z60" i="4"/>
  <c r="Z61" i="4" s="1"/>
  <c r="L60" i="4"/>
  <c r="D60" i="4"/>
  <c r="D61" i="4" s="1"/>
  <c r="BB22" i="4"/>
  <c r="BA63" i="4"/>
  <c r="BD15" i="4"/>
  <c r="BD24" i="4" s="1"/>
  <c r="BG41" i="4"/>
  <c r="BG46" i="4" s="1"/>
  <c r="BF46" i="4"/>
  <c r="BF48" i="4" s="1"/>
  <c r="BF62" i="4" s="1"/>
  <c r="BL7" i="4"/>
  <c r="BK60" i="4"/>
  <c r="BK46" i="4"/>
  <c r="BK48" i="4" s="1"/>
  <c r="BK62" i="4" s="1"/>
  <c r="BL40" i="4"/>
  <c r="BL46" i="4" s="1"/>
  <c r="BO63" i="4"/>
  <c r="BQ23" i="4"/>
  <c r="BQ37" i="4"/>
  <c r="BV17" i="4"/>
  <c r="BV314" i="1" s="1"/>
  <c r="BV312" i="1" s="1"/>
  <c r="BU63" i="4"/>
  <c r="BW15" i="4"/>
  <c r="BW24" i="4" s="1"/>
  <c r="BY60" i="4"/>
  <c r="BY61" i="4" s="1"/>
  <c r="CA20" i="4"/>
  <c r="CA47" i="4"/>
  <c r="CA37" i="4"/>
  <c r="CA32" i="4"/>
  <c r="CE63" i="4"/>
  <c r="CE64" i="4" s="1"/>
  <c r="BU15" i="4"/>
  <c r="BU24" i="4" s="1"/>
  <c r="D15" i="4"/>
  <c r="D24" i="4" s="1"/>
  <c r="AN63" i="4"/>
  <c r="AP33" i="4"/>
  <c r="AP39" i="4" s="1"/>
  <c r="BR33" i="4"/>
  <c r="BI15" i="4"/>
  <c r="BI24" i="4" s="1"/>
  <c r="BK15" i="4"/>
  <c r="BK24" i="4" s="1"/>
  <c r="CA11" i="4"/>
  <c r="BA60" i="4"/>
  <c r="BA61" i="4" s="1"/>
  <c r="AQ60" i="4"/>
  <c r="AQ61" i="4" s="1"/>
  <c r="E314" i="1"/>
  <c r="E312" i="1" s="1"/>
  <c r="H15" i="4"/>
  <c r="H24" i="4" s="1"/>
  <c r="Z15" i="4"/>
  <c r="U15" i="4"/>
  <c r="U24" i="4" s="1"/>
  <c r="BD60" i="4"/>
  <c r="BD61" i="4" s="1"/>
  <c r="BD63" i="4"/>
  <c r="BV38" i="4"/>
  <c r="BQ47" i="4"/>
  <c r="T63" i="4"/>
  <c r="J76" i="4"/>
  <c r="E46" i="4"/>
  <c r="E48" i="4" s="1"/>
  <c r="AJ63" i="4"/>
  <c r="J63" i="4"/>
  <c r="BL42" i="3"/>
  <c r="BL20" i="3"/>
  <c r="BJ33" i="3"/>
  <c r="BB25" i="3"/>
  <c r="AX29" i="3"/>
  <c r="BL9" i="3"/>
  <c r="S17" i="3"/>
  <c r="AH17" i="3"/>
  <c r="AC16" i="3"/>
  <c r="BQ42" i="3"/>
  <c r="AR19" i="3"/>
  <c r="AY29" i="3"/>
  <c r="BB19" i="3"/>
  <c r="H60" i="3"/>
  <c r="BZ13" i="3"/>
  <c r="BZ18" i="3" s="1"/>
  <c r="BZ21" i="3" s="1"/>
  <c r="BZ63" i="3" s="1"/>
  <c r="BZ46" i="3" s="1"/>
  <c r="AW20" i="3"/>
  <c r="AR42" i="3"/>
  <c r="AV49" i="3"/>
  <c r="AV29" i="3"/>
  <c r="E67" i="3"/>
  <c r="N39" i="3"/>
  <c r="BX78" i="4"/>
  <c r="BX79" i="4" s="1"/>
  <c r="BI33" i="3"/>
  <c r="BM33" i="3"/>
  <c r="BG40" i="3"/>
  <c r="D60" i="3"/>
  <c r="L60" i="3"/>
  <c r="BZ60" i="3"/>
  <c r="BK29" i="3"/>
  <c r="BG22" i="3"/>
  <c r="BG16" i="3"/>
  <c r="BQ40" i="3"/>
  <c r="M74" i="3"/>
  <c r="BG25" i="3"/>
  <c r="AV33" i="3"/>
  <c r="BB14" i="3"/>
  <c r="E59" i="3"/>
  <c r="BL40" i="3"/>
  <c r="CF40" i="3"/>
  <c r="BC33" i="3"/>
  <c r="H76" i="4"/>
  <c r="L59" i="3"/>
  <c r="BQ20" i="3"/>
  <c r="BF33" i="3"/>
  <c r="AR40" i="3"/>
  <c r="BL16" i="3"/>
  <c r="BO120" i="2"/>
  <c r="R391" i="2"/>
  <c r="R394" i="2" s="1"/>
  <c r="AG391" i="2"/>
  <c r="AR391" i="2"/>
  <c r="AR394" i="2" s="1"/>
  <c r="R259" i="2"/>
  <c r="N393" i="2"/>
  <c r="F391" i="2"/>
  <c r="F394" i="2" s="1"/>
  <c r="L300" i="2"/>
  <c r="L302" i="2" s="1"/>
  <c r="L304" i="2" s="1"/>
  <c r="O300" i="2"/>
  <c r="AT337" i="2"/>
  <c r="AP337" i="2"/>
  <c r="AP353" i="2" s="1"/>
  <c r="AS336" i="2"/>
  <c r="AS352" i="2" s="1"/>
  <c r="AN336" i="2"/>
  <c r="AN352" i="2" s="1"/>
  <c r="AA336" i="2"/>
  <c r="AA352" i="2" s="1"/>
  <c r="V336" i="2"/>
  <c r="V352" i="2" s="1"/>
  <c r="AV335" i="2"/>
  <c r="AV351" i="2" s="1"/>
  <c r="AL335" i="2"/>
  <c r="AL351" i="2" s="1"/>
  <c r="Z335" i="2"/>
  <c r="Z351" i="2" s="1"/>
  <c r="AY334" i="2"/>
  <c r="Q334" i="2"/>
  <c r="Q350" i="2" s="1"/>
  <c r="K334" i="2"/>
  <c r="K350" i="2" s="1"/>
  <c r="AF233" i="2"/>
  <c r="Z250" i="2"/>
  <c r="T250" i="2"/>
  <c r="L233" i="2"/>
  <c r="I250" i="2"/>
  <c r="E250" i="2"/>
  <c r="AT178" i="2"/>
  <c r="AJ178" i="2"/>
  <c r="V178" i="2"/>
  <c r="P224" i="2"/>
  <c r="I241" i="2"/>
  <c r="D224" i="2"/>
  <c r="AI223" i="2"/>
  <c r="U240" i="2"/>
  <c r="AV239" i="2"/>
  <c r="AL222" i="2"/>
  <c r="Z239" i="2"/>
  <c r="AU221" i="2"/>
  <c r="AK191" i="2"/>
  <c r="AE221" i="2"/>
  <c r="Y221" i="2"/>
  <c r="K221" i="2"/>
  <c r="AR80" i="2"/>
  <c r="AO250" i="2"/>
  <c r="AJ155" i="2"/>
  <c r="F129" i="2"/>
  <c r="L339" i="2"/>
  <c r="L355" i="2" s="1"/>
  <c r="Q153" i="2"/>
  <c r="N241" i="2"/>
  <c r="AR39" i="2"/>
  <c r="AQ161" i="2" s="1"/>
  <c r="AT222" i="2"/>
  <c r="AR38" i="2"/>
  <c r="AN160" i="2" s="1"/>
  <c r="AJ222" i="2"/>
  <c r="U117" i="2"/>
  <c r="CB334" i="2"/>
  <c r="CB350" i="2" s="1"/>
  <c r="V274" i="1"/>
  <c r="AS213" i="1"/>
  <c r="W233" i="2"/>
  <c r="AB110" i="2"/>
  <c r="AK223" i="2"/>
  <c r="AK109" i="2"/>
  <c r="AS240" i="2"/>
  <c r="G254" i="2"/>
  <c r="T239" i="2"/>
  <c r="AA273" i="2"/>
  <c r="AF255" i="2"/>
  <c r="AO222" i="2"/>
  <c r="D256" i="2"/>
  <c r="H240" i="2"/>
  <c r="P256" i="2"/>
  <c r="O274" i="2"/>
  <c r="AU275" i="2"/>
  <c r="Z152" i="2"/>
  <c r="V212" i="1"/>
  <c r="AT108" i="2"/>
  <c r="D267" i="2"/>
  <c r="AJ233" i="2"/>
  <c r="AY256" i="2"/>
  <c r="AZ118" i="2"/>
  <c r="AY117" i="2"/>
  <c r="BO89" i="1"/>
  <c r="W243" i="2"/>
  <c r="X180" i="2"/>
  <c r="AM39" i="2"/>
  <c r="AI161" i="2" s="1"/>
  <c r="AP119" i="2"/>
  <c r="AO108" i="2"/>
  <c r="P254" i="2"/>
  <c r="AD254" i="2"/>
  <c r="N255" i="2"/>
  <c r="AQ222" i="2"/>
  <c r="K223" i="2"/>
  <c r="V274" i="2"/>
  <c r="AN240" i="2"/>
  <c r="V257" i="2"/>
  <c r="AJ241" i="2"/>
  <c r="Z285" i="2"/>
  <c r="AU223" i="2"/>
  <c r="AN273" i="2"/>
  <c r="AL206" i="1"/>
  <c r="AL208" i="1" s="1"/>
  <c r="AP155" i="2"/>
  <c r="V63" i="4"/>
  <c r="K190" i="2"/>
  <c r="K191" i="2" s="1"/>
  <c r="AK254" i="2"/>
  <c r="C314" i="1"/>
  <c r="C312" i="1" s="1"/>
  <c r="AB165" i="1"/>
  <c r="AX337" i="2"/>
  <c r="L213" i="1"/>
  <c r="AP69" i="2"/>
  <c r="AP240" i="2"/>
  <c r="T255" i="2"/>
  <c r="U223" i="2"/>
  <c r="AK275" i="2"/>
  <c r="AS178" i="2"/>
  <c r="Q278" i="2"/>
  <c r="E266" i="2"/>
  <c r="AF250" i="2"/>
  <c r="AC212" i="1"/>
  <c r="BU118" i="2"/>
  <c r="CB113" i="2"/>
  <c r="J94" i="2"/>
  <c r="U55" i="5"/>
  <c r="H55" i="5"/>
  <c r="D55" i="5"/>
  <c r="CA29" i="5"/>
  <c r="AY35" i="5"/>
  <c r="AY39" i="5" s="1"/>
  <c r="T55" i="5"/>
  <c r="BM55" i="5"/>
  <c r="AE35" i="5"/>
  <c r="AF35" i="5" s="1"/>
  <c r="AG38" i="5"/>
  <c r="AH38" i="5" s="1"/>
  <c r="W37" i="5"/>
  <c r="X37" i="5" s="1"/>
  <c r="U31" i="5"/>
  <c r="V31" i="5" s="1"/>
  <c r="W31" i="5" s="1"/>
  <c r="AG16" i="5"/>
  <c r="AH16" i="5" s="1"/>
  <c r="N15" i="3"/>
  <c r="S16" i="3"/>
  <c r="AW10" i="3"/>
  <c r="R8" i="3"/>
  <c r="AW25" i="3"/>
  <c r="AW33" i="3" s="1"/>
  <c r="AC19" i="3"/>
  <c r="AP33" i="3"/>
  <c r="S19" i="3"/>
  <c r="S15" i="3"/>
  <c r="S10" i="3"/>
  <c r="X42" i="3"/>
  <c r="S40" i="3"/>
  <c r="AU29" i="3"/>
  <c r="AP29" i="3"/>
  <c r="AE29" i="3"/>
  <c r="Y29" i="3"/>
  <c r="Q29" i="3"/>
  <c r="Z33" i="3"/>
  <c r="AW22" i="3"/>
  <c r="AT8" i="3"/>
  <c r="AT76" i="4" s="1"/>
  <c r="V235" i="2"/>
  <c r="CR117" i="12"/>
  <c r="CW70" i="12"/>
  <c r="CW69" i="12" s="1"/>
  <c r="CW43" i="17" s="1"/>
  <c r="CW44" i="17" s="1"/>
  <c r="BA107" i="2"/>
  <c r="W104" i="2"/>
  <c r="CZ77" i="12"/>
  <c r="CZ120" i="12"/>
  <c r="CN15" i="12"/>
  <c r="CZ31" i="12"/>
  <c r="CM15" i="12"/>
  <c r="CH35" i="12"/>
  <c r="CH34" i="12" s="1"/>
  <c r="CO15" i="12"/>
  <c r="CJ35" i="12"/>
  <c r="CJ34" i="12" s="1"/>
  <c r="CZ27" i="12"/>
  <c r="CL15" i="12"/>
  <c r="CG35" i="12"/>
  <c r="CG34" i="12" s="1"/>
  <c r="BB94" i="2"/>
  <c r="AL94" i="2"/>
  <c r="AM11" i="2"/>
  <c r="AN11" i="2"/>
  <c r="AO11" i="2" s="1"/>
  <c r="AO87" i="2" s="1"/>
  <c r="AO107" i="2" s="1"/>
  <c r="S405" i="2"/>
  <c r="BI42" i="17"/>
  <c r="G108" i="12"/>
  <c r="AU70" i="12"/>
  <c r="AR38" i="4"/>
  <c r="AR21" i="4"/>
  <c r="X9" i="4"/>
  <c r="AH19" i="3"/>
  <c r="AK29" i="3"/>
  <c r="S42" i="3"/>
  <c r="X25" i="3"/>
  <c r="AL33" i="3"/>
  <c r="AC42" i="3"/>
  <c r="Z29" i="3"/>
  <c r="P33" i="3"/>
  <c r="AM20" i="3"/>
  <c r="J33" i="3"/>
  <c r="T29" i="3"/>
  <c r="AD33" i="3"/>
  <c r="AQ33" i="3"/>
  <c r="Y8" i="3"/>
  <c r="F29" i="3"/>
  <c r="AC20" i="3"/>
  <c r="AH16" i="3"/>
  <c r="AZ221" i="2"/>
  <c r="AO391" i="2"/>
  <c r="AO394" i="2" s="1"/>
  <c r="AJ391" i="2"/>
  <c r="AJ394" i="2" s="1"/>
  <c r="AM381" i="2"/>
  <c r="J341" i="2"/>
  <c r="J357" i="2" s="1"/>
  <c r="AE241" i="2"/>
  <c r="BO129" i="2"/>
  <c r="BM335" i="2"/>
  <c r="BM351" i="2" s="1"/>
  <c r="AE391" i="2"/>
  <c r="AE394" i="2" s="1"/>
  <c r="AN233" i="2"/>
  <c r="BD213" i="1"/>
  <c r="S190" i="1"/>
  <c r="I266" i="2"/>
  <c r="AS335" i="2"/>
  <c r="AS351" i="2" s="1"/>
  <c r="BB184" i="2"/>
  <c r="BA285" i="2"/>
  <c r="BS129" i="2"/>
  <c r="BT190" i="2"/>
  <c r="BT191" i="2" s="1"/>
  <c r="CC49" i="3"/>
  <c r="AW39" i="3"/>
  <c r="CE221" i="2"/>
  <c r="U256" i="2"/>
  <c r="BI266" i="2"/>
  <c r="BZ59" i="3"/>
  <c r="BZ30" i="17"/>
  <c r="AL254" i="2"/>
  <c r="AG254" i="2"/>
  <c r="AI272" i="2"/>
  <c r="CD76" i="4"/>
  <c r="CD60" i="3"/>
  <c r="CD59" i="3"/>
  <c r="BN33" i="4"/>
  <c r="BN39" i="4" s="1"/>
  <c r="H268" i="2"/>
  <c r="AO165" i="1"/>
  <c r="AO213" i="1" s="1"/>
  <c r="AU18" i="1"/>
  <c r="AU24" i="1" s="1"/>
  <c r="AU27" i="1" s="1"/>
  <c r="AP18" i="1"/>
  <c r="AP24" i="1" s="1"/>
  <c r="AP27" i="1" s="1"/>
  <c r="AP35" i="1" s="1"/>
  <c r="AP37" i="1" s="1"/>
  <c r="Q18" i="1"/>
  <c r="Q24" i="1" s="1"/>
  <c r="Q27" i="1" s="1"/>
  <c r="Q31" i="1" s="1"/>
  <c r="Q33" i="1" s="1"/>
  <c r="F300" i="2"/>
  <c r="F302" i="2" s="1"/>
  <c r="F304" i="2" s="1"/>
  <c r="Q341" i="2"/>
  <c r="Q357" i="2" s="1"/>
  <c r="Q213" i="1"/>
  <c r="M45" i="3"/>
  <c r="N45" i="3" s="1"/>
  <c r="L189" i="1"/>
  <c r="L186" i="2" s="1"/>
  <c r="AU107" i="1"/>
  <c r="AU121" i="1" s="1"/>
  <c r="AU139" i="1" s="1"/>
  <c r="AP107" i="1"/>
  <c r="AP121" i="1" s="1"/>
  <c r="AP139" i="1" s="1"/>
  <c r="BT63" i="4"/>
  <c r="H212" i="1"/>
  <c r="AA213" i="1"/>
  <c r="U107" i="1"/>
  <c r="U121" i="1" s="1"/>
  <c r="U139" i="1" s="1"/>
  <c r="U141" i="1" s="1"/>
  <c r="U144" i="1" s="1"/>
  <c r="X64" i="1"/>
  <c r="W64" i="1" s="1"/>
  <c r="AN212" i="1"/>
  <c r="R188" i="1"/>
  <c r="R185" i="2" s="1"/>
  <c r="S185" i="2" s="1"/>
  <c r="K36" i="5"/>
  <c r="L36" i="5" s="1"/>
  <c r="M36" i="5" s="1"/>
  <c r="N36" i="5" s="1"/>
  <c r="K17" i="5"/>
  <c r="L17" i="5" s="1"/>
  <c r="M17" i="5" s="1"/>
  <c r="N17" i="5" s="1"/>
  <c r="T54" i="3"/>
  <c r="BV107" i="1"/>
  <c r="BV121" i="1" s="1"/>
  <c r="BW234" i="1"/>
  <c r="BW244" i="1" s="1"/>
  <c r="AF129" i="2"/>
  <c r="T129" i="2"/>
  <c r="I129" i="2"/>
  <c r="E129" i="2"/>
  <c r="G12" i="3"/>
  <c r="C12" i="3"/>
  <c r="C58" i="3" s="1"/>
  <c r="BK69" i="2"/>
  <c r="Q94" i="2"/>
  <c r="CO42" i="17"/>
  <c r="CO234" i="1"/>
  <c r="CO244" i="1" s="1"/>
  <c r="BD38" i="17"/>
  <c r="DO252" i="1"/>
  <c r="DT252" i="1" s="1"/>
  <c r="AT274" i="2"/>
  <c r="AM137" i="1"/>
  <c r="S17" i="4"/>
  <c r="AQ391" i="2"/>
  <c r="AQ394" i="2" s="1"/>
  <c r="AQ285" i="2"/>
  <c r="AP267" i="2"/>
  <c r="AL285" i="2"/>
  <c r="AK267" i="2"/>
  <c r="AQ266" i="2"/>
  <c r="AQ250" i="2"/>
  <c r="AS284" i="2"/>
  <c r="AQ233" i="2"/>
  <c r="AV266" i="2"/>
  <c r="AL233" i="2"/>
  <c r="AN284" i="2"/>
  <c r="Z266" i="2"/>
  <c r="AA284" i="2"/>
  <c r="T233" i="2"/>
  <c r="T266" i="2"/>
  <c r="H263" i="2"/>
  <c r="G230" i="2"/>
  <c r="C247" i="2"/>
  <c r="C230" i="2"/>
  <c r="F262" i="2"/>
  <c r="E178" i="2"/>
  <c r="E188" i="2" s="1"/>
  <c r="E211" i="2" s="1"/>
  <c r="P245" i="2"/>
  <c r="P228" i="2"/>
  <c r="P261" i="2"/>
  <c r="V244" i="2"/>
  <c r="Q227" i="2"/>
  <c r="Q260" i="2"/>
  <c r="Q244" i="2"/>
  <c r="L278" i="2"/>
  <c r="K227" i="2"/>
  <c r="H260" i="2"/>
  <c r="H244" i="2"/>
  <c r="T258" i="2"/>
  <c r="T242" i="2"/>
  <c r="P276" i="2"/>
  <c r="O276" i="2"/>
  <c r="O242" i="2"/>
  <c r="AT224" i="2"/>
  <c r="AY241" i="2"/>
  <c r="AT257" i="2"/>
  <c r="AO178" i="2"/>
  <c r="AO257" i="2"/>
  <c r="AD178" i="2"/>
  <c r="AE275" i="2"/>
  <c r="Q257" i="2"/>
  <c r="L224" i="2"/>
  <c r="I257" i="2"/>
  <c r="H224" i="2"/>
  <c r="E257" i="2"/>
  <c r="E241" i="2"/>
  <c r="AI256" i="2"/>
  <c r="AI240" i="2"/>
  <c r="AA256" i="2"/>
  <c r="AA240" i="2"/>
  <c r="AU254" i="2"/>
  <c r="AZ254" i="2"/>
  <c r="AE190" i="2"/>
  <c r="AE191" i="2" s="1"/>
  <c r="AE272" i="2"/>
  <c r="Y254" i="2"/>
  <c r="Y190" i="2"/>
  <c r="Y191" i="2" s="1"/>
  <c r="AO233" i="2"/>
  <c r="AO129" i="2"/>
  <c r="AD233" i="2"/>
  <c r="AI250" i="2"/>
  <c r="AA250" i="2"/>
  <c r="V233" i="2"/>
  <c r="AA129" i="2"/>
  <c r="P155" i="2"/>
  <c r="U250" i="2"/>
  <c r="P233" i="2"/>
  <c r="U129" i="2"/>
  <c r="J233" i="2"/>
  <c r="O129" i="2"/>
  <c r="K155" i="2"/>
  <c r="O250" i="2"/>
  <c r="F233" i="2"/>
  <c r="F250" i="2"/>
  <c r="C309" i="2"/>
  <c r="C231" i="2"/>
  <c r="C248" i="2"/>
  <c r="F126" i="2"/>
  <c r="E343" i="2"/>
  <c r="E359" i="2" s="1"/>
  <c r="E375" i="2" s="1"/>
  <c r="E230" i="2"/>
  <c r="F229" i="2"/>
  <c r="G125" i="2"/>
  <c r="F342" i="2"/>
  <c r="F358" i="2" s="1"/>
  <c r="F374" i="2" s="1"/>
  <c r="P341" i="2"/>
  <c r="P357" i="2" s="1"/>
  <c r="P124" i="2"/>
  <c r="S41" i="2"/>
  <c r="O121" i="2"/>
  <c r="AY120" i="2"/>
  <c r="AY110" i="2"/>
  <c r="M353" i="2"/>
  <c r="M224" i="2"/>
  <c r="I353" i="2"/>
  <c r="I224" i="2"/>
  <c r="AU69" i="2"/>
  <c r="AZ119" i="2"/>
  <c r="AZ109" i="2"/>
  <c r="AU119" i="2"/>
  <c r="AU240" i="2"/>
  <c r="AQ152" i="2"/>
  <c r="AP223" i="2"/>
  <c r="AF119" i="2"/>
  <c r="AF109" i="2"/>
  <c r="AH39" i="2"/>
  <c r="AF161" i="2" s="1"/>
  <c r="AE109" i="2"/>
  <c r="AC39" i="2"/>
  <c r="AA161" i="2" s="1"/>
  <c r="Z109" i="2"/>
  <c r="Z119" i="2"/>
  <c r="AE119" i="2"/>
  <c r="Y109" i="2"/>
  <c r="T119" i="2"/>
  <c r="Y119" i="2"/>
  <c r="U152" i="2"/>
  <c r="AT239" i="2"/>
  <c r="AY108" i="2"/>
  <c r="AX117" i="2"/>
  <c r="AW36" i="2"/>
  <c r="AW308" i="2" s="1"/>
  <c r="AN221" i="2"/>
  <c r="AN117" i="2"/>
  <c r="AO150" i="2"/>
  <c r="AI84" i="2"/>
  <c r="AN238" i="2" s="1"/>
  <c r="AI117" i="2"/>
  <c r="AA84" i="2"/>
  <c r="AB150" i="2"/>
  <c r="AA117" i="2"/>
  <c r="U84" i="2"/>
  <c r="U235" i="2" s="1"/>
  <c r="V150" i="2"/>
  <c r="AI191" i="2"/>
  <c r="T335" i="2"/>
  <c r="T351" i="2" s="1"/>
  <c r="Y33" i="4"/>
  <c r="Y39" i="4" s="1"/>
  <c r="C33" i="4"/>
  <c r="C39" i="4" s="1"/>
  <c r="AG44" i="5"/>
  <c r="AH44" i="5" s="1"/>
  <c r="AB38" i="5"/>
  <c r="AC38" i="5" s="1"/>
  <c r="AG26" i="5"/>
  <c r="AH26" i="5" s="1"/>
  <c r="W21" i="5"/>
  <c r="X21" i="5" s="1"/>
  <c r="R13" i="5"/>
  <c r="S13" i="5" s="1"/>
  <c r="AV69" i="2"/>
  <c r="AV82" i="2" s="1"/>
  <c r="AV134" i="2" s="1"/>
  <c r="BE334" i="2"/>
  <c r="BB56" i="4"/>
  <c r="BC56" i="4" s="1"/>
  <c r="BD273" i="2"/>
  <c r="CO345" i="2"/>
  <c r="W43" i="5"/>
  <c r="X43" i="5" s="1"/>
  <c r="T57" i="4"/>
  <c r="U57" i="4" s="1"/>
  <c r="O338" i="2"/>
  <c r="O354" i="2" s="1"/>
  <c r="R285" i="2"/>
  <c r="AO155" i="2"/>
  <c r="V155" i="2"/>
  <c r="I67" i="3"/>
  <c r="D76" i="4"/>
  <c r="AZ223" i="2"/>
  <c r="AN57" i="4"/>
  <c r="AO57" i="4" s="1"/>
  <c r="AP57" i="4" s="1"/>
  <c r="AW16" i="3"/>
  <c r="AX334" i="2"/>
  <c r="AI334" i="2"/>
  <c r="AH171" i="2"/>
  <c r="T152" i="2"/>
  <c r="BP337" i="2"/>
  <c r="AY328" i="2"/>
  <c r="BE73" i="17"/>
  <c r="BK126" i="12"/>
  <c r="BK73" i="17" s="1"/>
  <c r="BL326" i="2"/>
  <c r="BG45" i="12"/>
  <c r="M326" i="2"/>
  <c r="BJ326" i="2"/>
  <c r="BS235" i="1"/>
  <c r="BS245" i="1" s="1"/>
  <c r="BF326" i="2"/>
  <c r="BE69" i="17"/>
  <c r="J66" i="30"/>
  <c r="J67" i="30" s="1"/>
  <c r="CO6" i="17"/>
  <c r="BP123" i="12"/>
  <c r="BU123" i="12" s="1"/>
  <c r="BZ123" i="12" s="1"/>
  <c r="CE123" i="12" s="1"/>
  <c r="CJ123" i="12" s="1"/>
  <c r="CO123" i="12" s="1"/>
  <c r="CT123" i="12" s="1"/>
  <c r="BQ328" i="2"/>
  <c r="BC326" i="2"/>
  <c r="BG18" i="17"/>
  <c r="BG20" i="17" s="1"/>
  <c r="BG22" i="17" s="1"/>
  <c r="BM328" i="2"/>
  <c r="J26" i="30"/>
  <c r="J27" i="30" s="1"/>
  <c r="J28" i="30" s="1"/>
  <c r="K26" i="30"/>
  <c r="K27" i="30" s="1"/>
  <c r="K28" i="30" s="1"/>
  <c r="L26" i="30"/>
  <c r="L27" i="30" s="1"/>
  <c r="J84" i="30"/>
  <c r="J85" i="30" s="1"/>
  <c r="CO30" i="17"/>
  <c r="AC8" i="17"/>
  <c r="AC10" i="17" s="1"/>
  <c r="AM14" i="17"/>
  <c r="AM16" i="17" s="1"/>
  <c r="AB10" i="17"/>
  <c r="AB79" i="17" s="1"/>
  <c r="AH14" i="17"/>
  <c r="AH16" i="17" s="1"/>
  <c r="F63" i="17"/>
  <c r="F77" i="17" s="1"/>
  <c r="J63" i="17"/>
  <c r="J77" i="17" s="1"/>
  <c r="Y63" i="17"/>
  <c r="Y77" i="17" s="1"/>
  <c r="T63" i="17"/>
  <c r="T77" i="17" s="1"/>
  <c r="AM44" i="17"/>
  <c r="AM46" i="17" s="1"/>
  <c r="AN10" i="17"/>
  <c r="AL10" i="17"/>
  <c r="AL79" i="17" s="1"/>
  <c r="V10" i="17"/>
  <c r="P10" i="17"/>
  <c r="P79" i="17" s="1"/>
  <c r="P84" i="17" s="1"/>
  <c r="G10" i="17"/>
  <c r="G79" i="17" s="1"/>
  <c r="AF10" i="17"/>
  <c r="AF79" i="17" s="1"/>
  <c r="AA10" i="17"/>
  <c r="AA79" i="17" s="1"/>
  <c r="U10" i="17"/>
  <c r="U79" i="17" s="1"/>
  <c r="U84" i="17" s="1"/>
  <c r="O10" i="17"/>
  <c r="F10" i="17"/>
  <c r="D10" i="17"/>
  <c r="AE10" i="17"/>
  <c r="AE79" i="17" s="1"/>
  <c r="Z10" i="17"/>
  <c r="CO286" i="2"/>
  <c r="CM235" i="1"/>
  <c r="CM245" i="1" s="1"/>
  <c r="H84" i="30"/>
  <c r="H85" i="30" s="1"/>
  <c r="CN235" i="1"/>
  <c r="CN245" i="1" s="1"/>
  <c r="I84" i="30"/>
  <c r="I85" i="30" s="1"/>
  <c r="BT45" i="5"/>
  <c r="CA25" i="5"/>
  <c r="CF29" i="5"/>
  <c r="BB16" i="5"/>
  <c r="AW15" i="5"/>
  <c r="BJ45" i="5"/>
  <c r="U46" i="5"/>
  <c r="CA37" i="5"/>
  <c r="V34" i="5"/>
  <c r="W34" i="5" s="1"/>
  <c r="X34" i="5" s="1"/>
  <c r="BX45" i="5"/>
  <c r="AR14" i="5"/>
  <c r="CD35" i="5"/>
  <c r="CE35" i="5" s="1"/>
  <c r="AK23" i="5"/>
  <c r="AL23" i="5" s="1"/>
  <c r="BV104" i="2"/>
  <c r="DJ250" i="2"/>
  <c r="DJ266" i="2"/>
  <c r="G113" i="2"/>
  <c r="AS107" i="2"/>
  <c r="BA94" i="2"/>
  <c r="BV91" i="2"/>
  <c r="BV94" i="2" s="1"/>
  <c r="DJ42" i="17"/>
  <c r="DJ6" i="17"/>
  <c r="DJ30" i="17"/>
  <c r="CN42" i="17"/>
  <c r="CN234" i="1"/>
  <c r="CN244" i="1" s="1"/>
  <c r="AO35" i="5"/>
  <c r="P46" i="5"/>
  <c r="Q46" i="5" s="1"/>
  <c r="AX54" i="3"/>
  <c r="BD24" i="5"/>
  <c r="AR15" i="5"/>
  <c r="AJ46" i="5"/>
  <c r="AE45" i="5"/>
  <c r="BE8" i="3"/>
  <c r="BC8" i="3"/>
  <c r="AJ152" i="2"/>
  <c r="BV189" i="2"/>
  <c r="AA391" i="2"/>
  <c r="AA394" i="2" s="1"/>
  <c r="AN334" i="2"/>
  <c r="AN350" i="2" s="1"/>
  <c r="D266" i="2"/>
  <c r="AS222" i="2"/>
  <c r="AA239" i="2"/>
  <c r="I56" i="4"/>
  <c r="BP275" i="2"/>
  <c r="BH113" i="2"/>
  <c r="BI119" i="2"/>
  <c r="BL171" i="2"/>
  <c r="BW49" i="3"/>
  <c r="AX46" i="4"/>
  <c r="BB15" i="3"/>
  <c r="AZ12" i="3"/>
  <c r="BD119" i="2"/>
  <c r="BE335" i="2"/>
  <c r="BE351" i="2" s="1"/>
  <c r="CJ267" i="2"/>
  <c r="CG285" i="2"/>
  <c r="S39" i="2"/>
  <c r="O161" i="2" s="1"/>
  <c r="R152" i="2"/>
  <c r="AM36" i="4"/>
  <c r="AM31" i="4"/>
  <c r="AM63" i="4" s="1"/>
  <c r="AN54" i="3"/>
  <c r="AV250" i="2"/>
  <c r="BA250" i="2"/>
  <c r="AW38" i="4"/>
  <c r="AX109" i="2"/>
  <c r="BB39" i="2"/>
  <c r="AY273" i="2"/>
  <c r="AY222" i="2"/>
  <c r="AY178" i="2"/>
  <c r="AY285" i="2"/>
  <c r="BB181" i="2"/>
  <c r="AZ233" i="2"/>
  <c r="AZ129" i="2"/>
  <c r="BA273" i="2"/>
  <c r="AZ222" i="2"/>
  <c r="AZ178" i="2"/>
  <c r="AZ63" i="4"/>
  <c r="BF109" i="2"/>
  <c r="BA223" i="2"/>
  <c r="BA69" i="2"/>
  <c r="BA109" i="2"/>
  <c r="BF257" i="2"/>
  <c r="BA178" i="2"/>
  <c r="BA275" i="2"/>
  <c r="BB42" i="4"/>
  <c r="BB46" i="4" s="1"/>
  <c r="BA46" i="4"/>
  <c r="BA48" i="4" s="1"/>
  <c r="BA62" i="4" s="1"/>
  <c r="BB47" i="4"/>
  <c r="BG42" i="3"/>
  <c r="BD190" i="2"/>
  <c r="BD191" i="2" s="1"/>
  <c r="BD254" i="2"/>
  <c r="BD272" i="2"/>
  <c r="BE255" i="2"/>
  <c r="BF119" i="2"/>
  <c r="BF240" i="2"/>
  <c r="BF256" i="2"/>
  <c r="BG10" i="3"/>
  <c r="CC67" i="3"/>
  <c r="BQ63" i="4"/>
  <c r="BQ171" i="2"/>
  <c r="BV38" i="2"/>
  <c r="BN240" i="2"/>
  <c r="AG63" i="4"/>
  <c r="P33" i="4"/>
  <c r="P39" i="4" s="1"/>
  <c r="AC13" i="4"/>
  <c r="AH31" i="4"/>
  <c r="D33" i="4"/>
  <c r="AI33" i="4"/>
  <c r="AI39" i="4" s="1"/>
  <c r="BA266" i="2"/>
  <c r="AX129" i="2"/>
  <c r="BA241" i="2"/>
  <c r="BE239" i="2"/>
  <c r="AZ273" i="2"/>
  <c r="AV223" i="2"/>
  <c r="AD63" i="4"/>
  <c r="F63" i="4"/>
  <c r="G314" i="1"/>
  <c r="G312" i="1" s="1"/>
  <c r="BV328" i="2"/>
  <c r="BW127" i="2"/>
  <c r="AG86" i="1"/>
  <c r="AH88" i="1"/>
  <c r="AG73" i="1"/>
  <c r="AH79" i="1"/>
  <c r="AG79" i="1" s="1"/>
  <c r="AD190" i="2"/>
  <c r="AI254" i="2"/>
  <c r="AD221" i="2"/>
  <c r="P190" i="2"/>
  <c r="P191" i="2" s="1"/>
  <c r="P221" i="2"/>
  <c r="J190" i="2"/>
  <c r="J191" i="2" s="1"/>
  <c r="K272" i="2"/>
  <c r="F190" i="2"/>
  <c r="AT119" i="2"/>
  <c r="AY119" i="2"/>
  <c r="AY109" i="2"/>
  <c r="AY240" i="2"/>
  <c r="AO223" i="2"/>
  <c r="AP152" i="2"/>
  <c r="AO119" i="2"/>
  <c r="I352" i="2"/>
  <c r="I240" i="2"/>
  <c r="E352" i="2"/>
  <c r="E240" i="2"/>
  <c r="AX118" i="2"/>
  <c r="AX108" i="2"/>
  <c r="AS108" i="2"/>
  <c r="AI69" i="2"/>
  <c r="AI82" i="2" s="1"/>
  <c r="AI135" i="2" s="1"/>
  <c r="AI108" i="2"/>
  <c r="AA108" i="2"/>
  <c r="V69" i="2"/>
  <c r="V82" i="2" s="1"/>
  <c r="V146" i="2" s="1"/>
  <c r="U239" i="2"/>
  <c r="Q151" i="2"/>
  <c r="U108" i="2"/>
  <c r="I33" i="3"/>
  <c r="E29" i="3"/>
  <c r="AG57" i="4"/>
  <c r="AI57" i="4"/>
  <c r="AJ57" i="4" s="1"/>
  <c r="AK57" i="4" s="1"/>
  <c r="M57" i="4"/>
  <c r="O57" i="4"/>
  <c r="AR47" i="4"/>
  <c r="AM47" i="4"/>
  <c r="BR190" i="2"/>
  <c r="BR191" i="2" s="1"/>
  <c r="AB155" i="2"/>
  <c r="AY255" i="2"/>
  <c r="AX119" i="2"/>
  <c r="AZ117" i="2"/>
  <c r="I60" i="3"/>
  <c r="BP285" i="2"/>
  <c r="BY328" i="2"/>
  <c r="CD113" i="2"/>
  <c r="BY24" i="1"/>
  <c r="BY27" i="1" s="1"/>
  <c r="BY59" i="3"/>
  <c r="CN345" i="2"/>
  <c r="AX250" i="2"/>
  <c r="AV254" i="2"/>
  <c r="AW45" i="3"/>
  <c r="BF336" i="2"/>
  <c r="BF352" i="2" s="1"/>
  <c r="BE391" i="2"/>
  <c r="BE394" i="2" s="1"/>
  <c r="BU12" i="3"/>
  <c r="BU77" i="4" s="1"/>
  <c r="CB240" i="2"/>
  <c r="CN334" i="2"/>
  <c r="X80" i="2"/>
  <c r="AB30" i="5"/>
  <c r="AC30" i="5" s="1"/>
  <c r="AL18" i="1"/>
  <c r="AL24" i="1" s="1"/>
  <c r="AL27" i="1" s="1"/>
  <c r="AL35" i="1" s="1"/>
  <c r="AL37" i="1" s="1"/>
  <c r="BM326" i="2"/>
  <c r="BP267" i="2"/>
  <c r="BW113" i="2"/>
  <c r="CC111" i="2"/>
  <c r="AR405" i="2"/>
  <c r="E113" i="2"/>
  <c r="BG94" i="2"/>
  <c r="AY107" i="2"/>
  <c r="AU107" i="2"/>
  <c r="O113" i="2"/>
  <c r="BQ104" i="2"/>
  <c r="CA91" i="2"/>
  <c r="CR70" i="12"/>
  <c r="CR69" i="12" s="1"/>
  <c r="N405" i="2"/>
  <c r="AO113" i="2"/>
  <c r="AK113" i="2"/>
  <c r="AG113" i="2"/>
  <c r="Y113" i="2"/>
  <c r="BA113" i="2"/>
  <c r="F104" i="2"/>
  <c r="AY94" i="2"/>
  <c r="Q113" i="2"/>
  <c r="T113" i="2"/>
  <c r="BX107" i="2"/>
  <c r="AN45" i="30"/>
  <c r="CN30" i="17"/>
  <c r="I66" i="30"/>
  <c r="I73" i="30" s="1"/>
  <c r="CN6" i="17"/>
  <c r="CT250" i="2"/>
  <c r="CT266" i="2"/>
  <c r="CQ284" i="2"/>
  <c r="AP107" i="2"/>
  <c r="CU120" i="12"/>
  <c r="CU41" i="4"/>
  <c r="CU36" i="4"/>
  <c r="CU23" i="4"/>
  <c r="CU12" i="4"/>
  <c r="CU40" i="4"/>
  <c r="CU45" i="4"/>
  <c r="CP30" i="4"/>
  <c r="CU30" i="4"/>
  <c r="CZ30" i="4" s="1"/>
  <c r="DE30" i="4" s="1"/>
  <c r="DJ30" i="4" s="1"/>
  <c r="CS268" i="2"/>
  <c r="CU113" i="2"/>
  <c r="CU129" i="2"/>
  <c r="CP129" i="2"/>
  <c r="CS250" i="2"/>
  <c r="CS266" i="2"/>
  <c r="CU77" i="12"/>
  <c r="CM330" i="2"/>
  <c r="CM42" i="17"/>
  <c r="CM234" i="1"/>
  <c r="CM244" i="1" s="1"/>
  <c r="AS54" i="3"/>
  <c r="AX55" i="5"/>
  <c r="AJ7" i="5"/>
  <c r="AR8" i="5"/>
  <c r="P35" i="5"/>
  <c r="Q35" i="5" s="1"/>
  <c r="O48" i="5"/>
  <c r="BI24" i="5"/>
  <c r="BJ24" i="5" s="1"/>
  <c r="BC54" i="3"/>
  <c r="J54" i="3"/>
  <c r="AZ10" i="5"/>
  <c r="BG8" i="5"/>
  <c r="BN9" i="5"/>
  <c r="BO9" i="5" s="1"/>
  <c r="BP9" i="5" s="1"/>
  <c r="K46" i="5"/>
  <c r="L46" i="5" s="1"/>
  <c r="I54" i="3"/>
  <c r="AD54" i="3"/>
  <c r="CU19" i="4"/>
  <c r="CU28" i="4"/>
  <c r="CU44" i="4"/>
  <c r="CQ286" i="2"/>
  <c r="CT268" i="2"/>
  <c r="CR17" i="12"/>
  <c r="CS17" i="12" s="1"/>
  <c r="CT17" i="12" s="1"/>
  <c r="CU31" i="12"/>
  <c r="AP104" i="2"/>
  <c r="D104" i="2"/>
  <c r="M94" i="2"/>
  <c r="CN94" i="2"/>
  <c r="BY107" i="2"/>
  <c r="BB104" i="2"/>
  <c r="N8" i="17"/>
  <c r="AA285" i="2"/>
  <c r="BU284" i="2"/>
  <c r="AO284" i="2"/>
  <c r="AQ275" i="2"/>
  <c r="BJ267" i="2"/>
  <c r="AD268" i="2"/>
  <c r="E10" i="17"/>
  <c r="AL63" i="17"/>
  <c r="AL77" i="17" s="1"/>
  <c r="CP14" i="4"/>
  <c r="W255" i="2"/>
  <c r="BE35" i="5"/>
  <c r="BF35" i="5" s="1"/>
  <c r="AX186" i="2"/>
  <c r="BC268" i="2" s="1"/>
  <c r="AH38" i="4"/>
  <c r="P63" i="4"/>
  <c r="J60" i="4"/>
  <c r="J61" i="4" s="1"/>
  <c r="BC12" i="3"/>
  <c r="BC78" i="4" s="1"/>
  <c r="BC79" i="4" s="1"/>
  <c r="BO336" i="2"/>
  <c r="BO352" i="2" s="1"/>
  <c r="AX8" i="3"/>
  <c r="Z8" i="3"/>
  <c r="CD74" i="3"/>
  <c r="AW27" i="4"/>
  <c r="AI139" i="1"/>
  <c r="AI141" i="1" s="1"/>
  <c r="AI144" i="1" s="1"/>
  <c r="BB17" i="3"/>
  <c r="BE300" i="2"/>
  <c r="BE302" i="2" s="1"/>
  <c r="BE304" i="2" s="1"/>
  <c r="BX326" i="2"/>
  <c r="BP300" i="2"/>
  <c r="BU336" i="2"/>
  <c r="BU352" i="2" s="1"/>
  <c r="CM6" i="17"/>
  <c r="H66" i="30"/>
  <c r="CH230" i="1"/>
  <c r="CH240" i="1" s="1"/>
  <c r="D66" i="30"/>
  <c r="D67" i="30" s="1"/>
  <c r="CL230" i="1"/>
  <c r="CL240" i="1" s="1"/>
  <c r="G66" i="30"/>
  <c r="G73" i="30" s="1"/>
  <c r="CD234" i="1"/>
  <c r="CD244" i="1" s="1"/>
  <c r="BW38" i="17"/>
  <c r="CM329" i="2"/>
  <c r="BF69" i="17"/>
  <c r="AS70" i="12"/>
  <c r="CI42" i="17"/>
  <c r="AX70" i="12"/>
  <c r="BU38" i="17"/>
  <c r="BO328" i="2"/>
  <c r="BQ53" i="12"/>
  <c r="BV36" i="17"/>
  <c r="BP328" i="2"/>
  <c r="BU328" i="2"/>
  <c r="BR328" i="2"/>
  <c r="BS30" i="17"/>
  <c r="BB328" i="2"/>
  <c r="BN328" i="2"/>
  <c r="BT328" i="2"/>
  <c r="BV53" i="12"/>
  <c r="BI30" i="17"/>
  <c r="CO64" i="12"/>
  <c r="BZ20" i="17"/>
  <c r="CH195" i="2"/>
  <c r="N387" i="2"/>
  <c r="AA326" i="2"/>
  <c r="CB186" i="2"/>
  <c r="BD109" i="2"/>
  <c r="Q233" i="2"/>
  <c r="C233" i="2"/>
  <c r="BH238" i="2"/>
  <c r="BC233" i="2"/>
  <c r="U284" i="2"/>
  <c r="O258" i="2"/>
  <c r="AJ274" i="2"/>
  <c r="AF120" i="2"/>
  <c r="BU267" i="2"/>
  <c r="BV184" i="2"/>
  <c r="CC344" i="2"/>
  <c r="CC360" i="2" s="1"/>
  <c r="CF63" i="4"/>
  <c r="BQ46" i="4"/>
  <c r="AM393" i="2"/>
  <c r="BY13" i="3"/>
  <c r="BY18" i="3" s="1"/>
  <c r="BY85" i="4" s="1"/>
  <c r="AM19" i="3"/>
  <c r="AR56" i="4"/>
  <c r="AQ56" i="4" s="1"/>
  <c r="X56" i="4"/>
  <c r="H56" i="4"/>
  <c r="D56" i="4"/>
  <c r="AH56" i="4"/>
  <c r="N56" i="4"/>
  <c r="F56" i="4"/>
  <c r="BC15" i="4"/>
  <c r="BC24" i="4" s="1"/>
  <c r="BC46" i="4"/>
  <c r="BD334" i="2"/>
  <c r="BD129" i="2"/>
  <c r="BD240" i="2"/>
  <c r="BE119" i="2"/>
  <c r="BE250" i="2"/>
  <c r="BF241" i="2"/>
  <c r="BH118" i="2"/>
  <c r="BH256" i="2"/>
  <c r="BX274" i="2"/>
  <c r="CJ345" i="2"/>
  <c r="AO29" i="3"/>
  <c r="BG17" i="3"/>
  <c r="BE33" i="3"/>
  <c r="CF33" i="5"/>
  <c r="CF55" i="5" s="1"/>
  <c r="CE55" i="5"/>
  <c r="BJ25" i="5"/>
  <c r="BK25" i="5" s="1"/>
  <c r="CE61" i="4"/>
  <c r="CD55" i="5"/>
  <c r="AR185" i="2"/>
  <c r="CA314" i="1"/>
  <c r="CA312" i="1" s="1"/>
  <c r="CM344" i="2"/>
  <c r="CM360" i="2" s="1"/>
  <c r="AH168" i="2"/>
  <c r="AH190" i="2" s="1"/>
  <c r="AG272" i="2"/>
  <c r="AB274" i="2"/>
  <c r="AB256" i="2"/>
  <c r="AB223" i="2"/>
  <c r="I29" i="3"/>
  <c r="AD29" i="3"/>
  <c r="P29" i="3"/>
  <c r="D33" i="3"/>
  <c r="AR16" i="3"/>
  <c r="BC273" i="2"/>
  <c r="BC222" i="2"/>
  <c r="BH255" i="2"/>
  <c r="BH267" i="2"/>
  <c r="BC285" i="2"/>
  <c r="BC63" i="4"/>
  <c r="AT33" i="3"/>
  <c r="BC267" i="2"/>
  <c r="BC255" i="2"/>
  <c r="Z272" i="2"/>
  <c r="Z190" i="2"/>
  <c r="Z191" i="2" s="1"/>
  <c r="F343" i="2"/>
  <c r="F359" i="2" s="1"/>
  <c r="F375" i="2" s="1"/>
  <c r="AK33" i="3"/>
  <c r="BA221" i="2"/>
  <c r="BA190" i="2"/>
  <c r="BA191" i="2" s="1"/>
  <c r="BA254" i="2"/>
  <c r="BC284" i="2"/>
  <c r="BA284" i="2"/>
  <c r="BS35" i="5"/>
  <c r="AY23" i="5"/>
  <c r="BI33" i="5"/>
  <c r="BH55" i="5"/>
  <c r="BT33" i="3"/>
  <c r="AU23" i="5"/>
  <c r="V33" i="3"/>
  <c r="D59" i="3"/>
  <c r="S39" i="3"/>
  <c r="AR20" i="3"/>
  <c r="X22" i="3"/>
  <c r="AR39" i="3"/>
  <c r="BI117" i="2"/>
  <c r="BD117" i="2"/>
  <c r="AV33" i="4"/>
  <c r="AV39" i="4" s="1"/>
  <c r="BC221" i="2"/>
  <c r="BH129" i="2"/>
  <c r="BG169" i="2"/>
  <c r="BD113" i="2"/>
  <c r="AC31" i="4"/>
  <c r="BH69" i="2"/>
  <c r="AJ29" i="3"/>
  <c r="AB57" i="4"/>
  <c r="BD274" i="2"/>
  <c r="AE254" i="2"/>
  <c r="BD257" i="2"/>
  <c r="AY257" i="2"/>
  <c r="AZ275" i="2"/>
  <c r="AZ257" i="2"/>
  <c r="BE241" i="2"/>
  <c r="BB22" i="3"/>
  <c r="AG335" i="2"/>
  <c r="AG351" i="2" s="1"/>
  <c r="BC129" i="2"/>
  <c r="BC117" i="2"/>
  <c r="BD107" i="2"/>
  <c r="AN29" i="3"/>
  <c r="V29" i="3"/>
  <c r="BH240" i="2"/>
  <c r="BD256" i="2"/>
  <c r="F314" i="1"/>
  <c r="F312" i="1" s="1"/>
  <c r="R49" i="5"/>
  <c r="S49" i="5" s="1"/>
  <c r="R37" i="5"/>
  <c r="S37" i="5" s="1"/>
  <c r="W25" i="5"/>
  <c r="X25" i="5" s="1"/>
  <c r="AB22" i="5"/>
  <c r="AC22" i="5" s="1"/>
  <c r="R19" i="5"/>
  <c r="S19" i="5" s="1"/>
  <c r="AG12" i="5"/>
  <c r="AH12" i="5" s="1"/>
  <c r="M12" i="5"/>
  <c r="N12" i="5" s="1"/>
  <c r="AV119" i="2"/>
  <c r="BA240" i="2"/>
  <c r="BA119" i="2"/>
  <c r="AV190" i="2"/>
  <c r="AX272" i="2"/>
  <c r="AV221" i="2"/>
  <c r="AW47" i="4"/>
  <c r="AX222" i="2"/>
  <c r="AX69" i="2"/>
  <c r="BC118" i="2"/>
  <c r="AX256" i="2"/>
  <c r="BC240" i="2"/>
  <c r="AX240" i="2"/>
  <c r="AX63" i="4"/>
  <c r="AG285" i="2"/>
  <c r="AT326" i="2"/>
  <c r="BG391" i="2"/>
  <c r="BG394" i="2" s="1"/>
  <c r="AY391" i="2"/>
  <c r="AY394" i="2" s="1"/>
  <c r="AT391" i="2"/>
  <c r="AT394" i="2" s="1"/>
  <c r="F308" i="2"/>
  <c r="AO46" i="4"/>
  <c r="AA15" i="4"/>
  <c r="AA24" i="4" s="1"/>
  <c r="BA120" i="2"/>
  <c r="AV63" i="4"/>
  <c r="BE266" i="2"/>
  <c r="BA117" i="2"/>
  <c r="BA267" i="2"/>
  <c r="BC239" i="2"/>
  <c r="BD336" i="2"/>
  <c r="BD352" i="2" s="1"/>
  <c r="BD255" i="2"/>
  <c r="BZ33" i="3"/>
  <c r="BV22" i="3"/>
  <c r="AU33" i="4"/>
  <c r="AU39" i="4" s="1"/>
  <c r="BT120" i="2"/>
  <c r="CF183" i="2"/>
  <c r="CD248" i="2"/>
  <c r="CD186" i="2"/>
  <c r="AB49" i="5"/>
  <c r="AC49" i="5" s="1"/>
  <c r="W44" i="5"/>
  <c r="X44" i="5" s="1"/>
  <c r="AG21" i="5"/>
  <c r="AH21" i="5" s="1"/>
  <c r="M21" i="5"/>
  <c r="N21" i="5" s="1"/>
  <c r="W17" i="5"/>
  <c r="X17" i="5" s="1"/>
  <c r="AB13" i="5"/>
  <c r="AC13" i="5" s="1"/>
  <c r="R11" i="5"/>
  <c r="S11" i="5" s="1"/>
  <c r="W8" i="5"/>
  <c r="X8" i="5" s="1"/>
  <c r="BC391" i="2"/>
  <c r="BC394" i="2" s="1"/>
  <c r="BG81" i="2"/>
  <c r="BE129" i="2"/>
  <c r="BE240" i="2"/>
  <c r="BK257" i="2"/>
  <c r="CC309" i="2"/>
  <c r="AG33" i="5"/>
  <c r="AH33" i="5" s="1"/>
  <c r="M33" i="5"/>
  <c r="N33" i="5" s="1"/>
  <c r="BV210" i="1"/>
  <c r="CD111" i="2"/>
  <c r="CL334" i="2"/>
  <c r="CL345" i="2"/>
  <c r="CH325" i="2"/>
  <c r="BA391" i="2"/>
  <c r="BA394" i="2" s="1"/>
  <c r="AV391" i="2"/>
  <c r="AV394" i="2" s="1"/>
  <c r="AZ334" i="2"/>
  <c r="AU334" i="2"/>
  <c r="AU350" i="2" s="1"/>
  <c r="Q261" i="2"/>
  <c r="K276" i="2"/>
  <c r="AE257" i="2"/>
  <c r="AW170" i="2"/>
  <c r="I256" i="2"/>
  <c r="P272" i="2"/>
  <c r="AG69" i="2"/>
  <c r="AF110" i="2"/>
  <c r="Z110" i="2"/>
  <c r="T110" i="2"/>
  <c r="AT12" i="3"/>
  <c r="BW18" i="5"/>
  <c r="CF83" i="17"/>
  <c r="CH129" i="2"/>
  <c r="CM334" i="2"/>
  <c r="CM345" i="2"/>
  <c r="CL42" i="17"/>
  <c r="CL234" i="1"/>
  <c r="CL235" i="1"/>
  <c r="AZ20" i="17"/>
  <c r="AZ38" i="17"/>
  <c r="CJ30" i="17"/>
  <c r="CJ235" i="1"/>
  <c r="CJ245" i="1" s="1"/>
  <c r="CJ42" i="17"/>
  <c r="CJ234" i="1"/>
  <c r="CJ244" i="1" s="1"/>
  <c r="CI329" i="2"/>
  <c r="C108" i="12"/>
  <c r="CJ6" i="17"/>
  <c r="CJ230" i="1"/>
  <c r="CJ240" i="1" s="1"/>
  <c r="CK394" i="2"/>
  <c r="F36" i="30"/>
  <c r="F39" i="30" s="1"/>
  <c r="G36" i="30"/>
  <c r="G38" i="30" s="1"/>
  <c r="D36" i="30"/>
  <c r="D38" i="30" s="1"/>
  <c r="H36" i="30"/>
  <c r="H38" i="30" s="1"/>
  <c r="E36" i="30"/>
  <c r="E38" i="30" s="1"/>
  <c r="I36" i="30"/>
  <c r="I38" i="30" s="1"/>
  <c r="S15" i="30"/>
  <c r="CD230" i="1"/>
  <c r="CD240" i="1" s="1"/>
  <c r="BW326" i="2"/>
  <c r="BY6" i="17"/>
  <c r="BO234" i="1"/>
  <c r="BO244" i="1" s="1"/>
  <c r="AZ6" i="17"/>
  <c r="AZ8" i="17" s="1"/>
  <c r="BD326" i="2"/>
  <c r="AZ32" i="17"/>
  <c r="BH20" i="17"/>
  <c r="BH38" i="17"/>
  <c r="BC65" i="17"/>
  <c r="CI20" i="17"/>
  <c r="CG38" i="17"/>
  <c r="BD245" i="1"/>
  <c r="BY326" i="2"/>
  <c r="BS20" i="17"/>
  <c r="BD54" i="3"/>
  <c r="BO10" i="5"/>
  <c r="BP10" i="5" s="1"/>
  <c r="AV9" i="5"/>
  <c r="AA45" i="5"/>
  <c r="AF10" i="5"/>
  <c r="AE54" i="3"/>
  <c r="BJ10" i="5"/>
  <c r="BK10" i="5" s="1"/>
  <c r="AR12" i="5"/>
  <c r="Z9" i="5"/>
  <c r="F54" i="3"/>
  <c r="BM48" i="5"/>
  <c r="AW13" i="5"/>
  <c r="BC39" i="5"/>
  <c r="AT45" i="5"/>
  <c r="P7" i="5"/>
  <c r="E54" i="3"/>
  <c r="K10" i="5"/>
  <c r="BL26" i="5"/>
  <c r="AY46" i="5"/>
  <c r="AE46" i="5"/>
  <c r="AF46" i="5" s="1"/>
  <c r="AY24" i="5"/>
  <c r="R15" i="5"/>
  <c r="S15" i="5" s="1"/>
  <c r="BM54" i="3"/>
  <c r="BQ14" i="5"/>
  <c r="BG25" i="5"/>
  <c r="BB17" i="5"/>
  <c r="AM15" i="5"/>
  <c r="BP8" i="5"/>
  <c r="BQ8" i="5" s="1"/>
  <c r="AY55" i="5"/>
  <c r="AZ33" i="5"/>
  <c r="BX9" i="5"/>
  <c r="BX54" i="3" s="1"/>
  <c r="BW54" i="3"/>
  <c r="BX17" i="5"/>
  <c r="BY17" i="5" s="1"/>
  <c r="BZ17" i="5" s="1"/>
  <c r="BX35" i="5"/>
  <c r="CD40" i="5"/>
  <c r="BR18" i="5"/>
  <c r="BS22" i="5"/>
  <c r="BS33" i="5"/>
  <c r="BT33" i="5" s="1"/>
  <c r="BT55" i="5" s="1"/>
  <c r="BR55" i="5"/>
  <c r="R25" i="30"/>
  <c r="BN7" i="5"/>
  <c r="BN27" i="5"/>
  <c r="BO27" i="5" s="1"/>
  <c r="BP27" i="5" s="1"/>
  <c r="BN37" i="5"/>
  <c r="BN39" i="5" s="1"/>
  <c r="BM39" i="5"/>
  <c r="BN42" i="5"/>
  <c r="BN46" i="5"/>
  <c r="BS46" i="5"/>
  <c r="BX23" i="5"/>
  <c r="BY23" i="5" s="1"/>
  <c r="BY18" i="5" s="1"/>
  <c r="AP46" i="5"/>
  <c r="AQ46" i="5" s="1"/>
  <c r="AJ45" i="5"/>
  <c r="P45" i="5"/>
  <c r="Q45" i="5" s="1"/>
  <c r="AT43" i="5"/>
  <c r="Z43" i="5"/>
  <c r="AA43" i="5" s="1"/>
  <c r="AB43" i="5" s="1"/>
  <c r="P41" i="5"/>
  <c r="Q41" i="5" s="1"/>
  <c r="C48" i="5"/>
  <c r="AE40" i="5"/>
  <c r="AF40" i="5" s="1"/>
  <c r="AG40" i="5" s="1"/>
  <c r="AH40" i="5" s="1"/>
  <c r="K40" i="5"/>
  <c r="L40" i="5" s="1"/>
  <c r="M40" i="5" s="1"/>
  <c r="AT35" i="5"/>
  <c r="Z35" i="5"/>
  <c r="AO34" i="5"/>
  <c r="AN55" i="5"/>
  <c r="T18" i="5"/>
  <c r="AJ19" i="5"/>
  <c r="AK19" i="5" s="1"/>
  <c r="AL19" i="5" s="1"/>
  <c r="AT16" i="5"/>
  <c r="AU16" i="5" s="1"/>
  <c r="AV16" i="5" s="1"/>
  <c r="U14" i="5"/>
  <c r="V14" i="5" s="1"/>
  <c r="W14" i="5" s="1"/>
  <c r="X14" i="5" s="1"/>
  <c r="AJ13" i="5"/>
  <c r="AT11" i="5"/>
  <c r="Z11" i="5"/>
  <c r="AA11" i="5" s="1"/>
  <c r="AB11" i="5" s="1"/>
  <c r="AC11" i="5" s="1"/>
  <c r="U10" i="5"/>
  <c r="V10" i="5" s="1"/>
  <c r="W10" i="5" s="1"/>
  <c r="H54" i="3"/>
  <c r="D54" i="3"/>
  <c r="AI54" i="3"/>
  <c r="P9" i="5"/>
  <c r="O54" i="3"/>
  <c r="G54" i="3"/>
  <c r="C54" i="3"/>
  <c r="K8" i="5"/>
  <c r="L8" i="5" s="1"/>
  <c r="M8" i="5" s="1"/>
  <c r="AT7" i="5"/>
  <c r="Z7" i="5"/>
  <c r="AY21" i="5"/>
  <c r="AZ21" i="5" s="1"/>
  <c r="BA21" i="5" s="1"/>
  <c r="BB21" i="5" s="1"/>
  <c r="AX18" i="5"/>
  <c r="AY40" i="5"/>
  <c r="AX48" i="5"/>
  <c r="BD7" i="5"/>
  <c r="BD11" i="5"/>
  <c r="BD30" i="5"/>
  <c r="BE30" i="5" s="1"/>
  <c r="BF30" i="5" s="1"/>
  <c r="BD36" i="5"/>
  <c r="BE36" i="5" s="1"/>
  <c r="BF36" i="5" s="1"/>
  <c r="BD41" i="5"/>
  <c r="BE41" i="5" s="1"/>
  <c r="BF41" i="5" s="1"/>
  <c r="BC48" i="5"/>
  <c r="BD45" i="5"/>
  <c r="BI8" i="5"/>
  <c r="BI34" i="5"/>
  <c r="BH39" i="5"/>
  <c r="BI38" i="5"/>
  <c r="BI43" i="5"/>
  <c r="BH48" i="5"/>
  <c r="BX40" i="5"/>
  <c r="BW48" i="5"/>
  <c r="CE41" i="5"/>
  <c r="CF41" i="5" s="1"/>
  <c r="CD47" i="5"/>
  <c r="BO23" i="5"/>
  <c r="AX39" i="5"/>
  <c r="CK39" i="5"/>
  <c r="O94" i="2"/>
  <c r="CO79" i="12"/>
  <c r="CN79" i="12"/>
  <c r="CM30" i="17"/>
  <c r="CM79" i="12"/>
  <c r="CL30" i="17"/>
  <c r="CL79" i="12"/>
  <c r="CI235" i="1"/>
  <c r="CI245" i="1" s="1"/>
  <c r="AI45" i="30"/>
  <c r="BA328" i="2"/>
  <c r="AX328" i="2"/>
  <c r="BW42" i="17"/>
  <c r="BT235" i="1"/>
  <c r="BT245" i="1" s="1"/>
  <c r="BC42" i="17"/>
  <c r="BC44" i="17" s="1"/>
  <c r="BB36" i="17"/>
  <c r="F108" i="12"/>
  <c r="CH30" i="17"/>
  <c r="BC70" i="12"/>
  <c r="F70" i="12"/>
  <c r="F114" i="12" s="1"/>
  <c r="F329" i="2"/>
  <c r="AZ328" i="2"/>
  <c r="AH45" i="30"/>
  <c r="BR29" i="3"/>
  <c r="BY49" i="3"/>
  <c r="CF17" i="3"/>
  <c r="CJ302" i="2"/>
  <c r="CJ304" i="2" s="1"/>
  <c r="CJ264" i="2"/>
  <c r="AG14" i="5"/>
  <c r="AH14" i="5" s="1"/>
  <c r="BU110" i="2"/>
  <c r="BU120" i="2"/>
  <c r="BU241" i="2"/>
  <c r="BU273" i="2"/>
  <c r="BW273" i="2"/>
  <c r="BU255" i="2"/>
  <c r="BZ239" i="2"/>
  <c r="BW226" i="1"/>
  <c r="BW321" i="2" s="1"/>
  <c r="BW319" i="2"/>
  <c r="CC113" i="2"/>
  <c r="CC129" i="2"/>
  <c r="BZ284" i="2"/>
  <c r="CD266" i="2"/>
  <c r="BY33" i="3"/>
  <c r="CD128" i="2"/>
  <c r="CD249" i="2"/>
  <c r="CD82" i="2"/>
  <c r="CD135" i="2" s="1"/>
  <c r="CD15" i="4"/>
  <c r="BP230" i="1"/>
  <c r="BP240" i="1" s="1"/>
  <c r="BP6" i="17"/>
  <c r="BL58" i="12"/>
  <c r="BK70" i="12"/>
  <c r="BK69" i="12" s="1"/>
  <c r="BK43" i="17" s="1"/>
  <c r="BN235" i="1"/>
  <c r="BN245" i="1" s="1"/>
  <c r="BN30" i="17"/>
  <c r="BX30" i="17"/>
  <c r="Y44" i="30"/>
  <c r="Y45" i="30" s="1"/>
  <c r="CC30" i="17"/>
  <c r="AC45" i="30"/>
  <c r="BT35" i="12"/>
  <c r="BV19" i="12"/>
  <c r="CF14" i="4"/>
  <c r="CF30" i="4"/>
  <c r="CJ75" i="12"/>
  <c r="CO75" i="12" s="1"/>
  <c r="CT75" i="12" s="1"/>
  <c r="CY75" i="12" s="1"/>
  <c r="DD75" i="12" s="1"/>
  <c r="DI75" i="12" s="1"/>
  <c r="DN75" i="12" s="1"/>
  <c r="CE81" i="12"/>
  <c r="BU60" i="4"/>
  <c r="BU61" i="4" s="1"/>
  <c r="BV30" i="4"/>
  <c r="BV33" i="4" s="1"/>
  <c r="BV8" i="4"/>
  <c r="BV60" i="4" s="1"/>
  <c r="BV263" i="1" s="1"/>
  <c r="BZ241" i="2"/>
  <c r="AJ33" i="4"/>
  <c r="AJ39" i="4" s="1"/>
  <c r="BG19" i="3"/>
  <c r="BQ170" i="2"/>
  <c r="BP178" i="2"/>
  <c r="BU264" i="2" s="1"/>
  <c r="BU256" i="2"/>
  <c r="BP274" i="2"/>
  <c r="BP33" i="3"/>
  <c r="BQ14" i="4"/>
  <c r="BQ19" i="4"/>
  <c r="BP83" i="17"/>
  <c r="BQ83" i="17" s="1"/>
  <c r="BP381" i="2"/>
  <c r="BP394" i="2" s="1"/>
  <c r="BW256" i="2"/>
  <c r="BS274" i="2"/>
  <c r="BW240" i="2"/>
  <c r="BV170" i="2"/>
  <c r="BS7" i="5"/>
  <c r="AS27" i="4"/>
  <c r="AS73" i="1"/>
  <c r="AS79" i="1" s="1"/>
  <c r="AS89" i="1" s="1"/>
  <c r="AO73" i="1"/>
  <c r="AO79" i="1" s="1"/>
  <c r="AO89" i="1" s="1"/>
  <c r="AO27" i="4"/>
  <c r="AO33" i="4" s="1"/>
  <c r="AZ33" i="4"/>
  <c r="BA27" i="4"/>
  <c r="BA73" i="1"/>
  <c r="BA79" i="1" s="1"/>
  <c r="BA89" i="1" s="1"/>
  <c r="BM22" i="5"/>
  <c r="BM107" i="1"/>
  <c r="BM121" i="1" s="1"/>
  <c r="BM139" i="1" s="1"/>
  <c r="BC55" i="5"/>
  <c r="BD33" i="5"/>
  <c r="P33" i="5"/>
  <c r="Q33" i="5" s="1"/>
  <c r="O55" i="5"/>
  <c r="BT273" i="2"/>
  <c r="BY239" i="2"/>
  <c r="S60" i="4"/>
  <c r="BU36" i="5"/>
  <c r="BV36" i="5" s="1"/>
  <c r="CF347" i="1"/>
  <c r="CA74" i="2"/>
  <c r="BV13" i="4"/>
  <c r="BW190" i="2"/>
  <c r="BW191" i="2" s="1"/>
  <c r="BV22" i="4"/>
  <c r="BU239" i="2"/>
  <c r="BV40" i="2"/>
  <c r="AP10" i="5"/>
  <c r="CN304" i="2"/>
  <c r="BU46" i="4"/>
  <c r="BW212" i="1"/>
  <c r="CC238" i="2"/>
  <c r="BW39" i="5"/>
  <c r="CC31" i="5"/>
  <c r="BW60" i="4"/>
  <c r="CC82" i="2"/>
  <c r="BU57" i="4"/>
  <c r="BT57" i="4" s="1"/>
  <c r="BS57" i="4" s="1"/>
  <c r="BV169" i="2"/>
  <c r="Q182" i="2"/>
  <c r="R185" i="1"/>
  <c r="R182" i="2" s="1"/>
  <c r="Q189" i="1"/>
  <c r="Q186" i="2" s="1"/>
  <c r="W273" i="2"/>
  <c r="V316" i="1"/>
  <c r="AM32" i="1"/>
  <c r="AU256" i="2"/>
  <c r="V52" i="17"/>
  <c r="X50" i="17"/>
  <c r="X52" i="17" s="1"/>
  <c r="I16" i="17"/>
  <c r="I79" i="17" s="1"/>
  <c r="I90" i="17" s="1"/>
  <c r="BF239" i="2"/>
  <c r="W39" i="3"/>
  <c r="W32" i="1"/>
  <c r="AZ256" i="2"/>
  <c r="AZ240" i="2"/>
  <c r="Q66" i="2"/>
  <c r="Q101" i="2" s="1"/>
  <c r="P101" i="2"/>
  <c r="N31" i="2"/>
  <c r="M97" i="2"/>
  <c r="E26" i="2"/>
  <c r="E87" i="2" s="1"/>
  <c r="E94" i="2" s="1"/>
  <c r="D87" i="2"/>
  <c r="D107" i="2" s="1"/>
  <c r="AE33" i="3"/>
  <c r="AM9" i="4"/>
  <c r="L15" i="4"/>
  <c r="E76" i="4"/>
  <c r="K45" i="5"/>
  <c r="Z24" i="5"/>
  <c r="P24" i="5"/>
  <c r="Q24" i="5" s="1"/>
  <c r="R24" i="5" s="1"/>
  <c r="AV36" i="1"/>
  <c r="AV32" i="1"/>
  <c r="AV185" i="2"/>
  <c r="AV189" i="1"/>
  <c r="AV190" i="1" s="1"/>
  <c r="BA257" i="2"/>
  <c r="AV275" i="2"/>
  <c r="AV224" i="2"/>
  <c r="AV257" i="2"/>
  <c r="AW7" i="4"/>
  <c r="AW30" i="4"/>
  <c r="AW381" i="2"/>
  <c r="AX212" i="1"/>
  <c r="AX223" i="2"/>
  <c r="BC119" i="2"/>
  <c r="AX178" i="2"/>
  <c r="BC257" i="2"/>
  <c r="AY275" i="2"/>
  <c r="AX224" i="2"/>
  <c r="AX60" i="4"/>
  <c r="AX61" i="4" s="1"/>
  <c r="AY206" i="1"/>
  <c r="AY208" i="1" s="1"/>
  <c r="AY212" i="1"/>
  <c r="AY224" i="2"/>
  <c r="BD120" i="2"/>
  <c r="BD241" i="2"/>
  <c r="AY190" i="2"/>
  <c r="AY191" i="2" s="1"/>
  <c r="AY221" i="2"/>
  <c r="AY233" i="2"/>
  <c r="BD250" i="2"/>
  <c r="BE110" i="2"/>
  <c r="AZ120" i="2"/>
  <c r="AZ241" i="2"/>
  <c r="AZ69" i="2"/>
  <c r="BE238" i="2"/>
  <c r="BE254" i="2"/>
  <c r="AZ190" i="2"/>
  <c r="AZ191" i="2" s="1"/>
  <c r="BA272" i="2"/>
  <c r="BA182" i="2"/>
  <c r="BA48" i="3" s="1"/>
  <c r="BA49" i="3" s="1"/>
  <c r="BA189" i="1"/>
  <c r="BA190" i="1" s="1"/>
  <c r="BB185" i="1"/>
  <c r="BB169" i="2"/>
  <c r="BA255" i="2"/>
  <c r="BA222" i="2"/>
  <c r="BD118" i="2"/>
  <c r="BD335" i="2"/>
  <c r="BQ184" i="2"/>
  <c r="X169" i="2"/>
  <c r="W22" i="1"/>
  <c r="W19" i="3" s="1"/>
  <c r="CA367" i="1"/>
  <c r="CF367" i="1" s="1"/>
  <c r="CA342" i="1"/>
  <c r="AD18" i="1"/>
  <c r="AD24" i="1" s="1"/>
  <c r="AD27" i="1" s="1"/>
  <c r="Y18" i="1"/>
  <c r="AJ326" i="2"/>
  <c r="AY272" i="2"/>
  <c r="AY107" i="1"/>
  <c r="AY121" i="1" s="1"/>
  <c r="AY139" i="1" s="1"/>
  <c r="BS119" i="2"/>
  <c r="BS108" i="2"/>
  <c r="AY22" i="5"/>
  <c r="AT22" i="5"/>
  <c r="AU22" i="5" s="1"/>
  <c r="AV22" i="5" s="1"/>
  <c r="BW267" i="2"/>
  <c r="O278" i="2"/>
  <c r="R276" i="2"/>
  <c r="AG275" i="2"/>
  <c r="R150" i="2"/>
  <c r="AO38" i="5"/>
  <c r="AP38" i="5" s="1"/>
  <c r="AQ38" i="5" s="1"/>
  <c r="AR38" i="5" s="1"/>
  <c r="R34" i="5"/>
  <c r="S34" i="5" s="1"/>
  <c r="G191" i="2"/>
  <c r="BI257" i="2"/>
  <c r="BJ113" i="2"/>
  <c r="CF91" i="2"/>
  <c r="BX24" i="1"/>
  <c r="BX27" i="1" s="1"/>
  <c r="CA60" i="12"/>
  <c r="BL60" i="12"/>
  <c r="BI70" i="12"/>
  <c r="BI69" i="12" s="1"/>
  <c r="BI43" i="17" s="1"/>
  <c r="N385" i="2"/>
  <c r="S383" i="2"/>
  <c r="AM45" i="3"/>
  <c r="N80" i="2"/>
  <c r="R14" i="5"/>
  <c r="S14" i="5" s="1"/>
  <c r="AB12" i="5"/>
  <c r="AC12" i="5" s="1"/>
  <c r="W11" i="5"/>
  <c r="X11" i="5" s="1"/>
  <c r="P79" i="1"/>
  <c r="P89" i="1" s="1"/>
  <c r="P92" i="1" s="1"/>
  <c r="AH11" i="3"/>
  <c r="N11" i="3"/>
  <c r="AY300" i="2"/>
  <c r="AJ300" i="2"/>
  <c r="AJ302" i="2" s="1"/>
  <c r="AD300" i="2"/>
  <c r="AD302" i="2" s="1"/>
  <c r="X300" i="2"/>
  <c r="X302" i="2" s="1"/>
  <c r="X304" i="2" s="1"/>
  <c r="BA334" i="2"/>
  <c r="BA350" i="2" s="1"/>
  <c r="AV334" i="2"/>
  <c r="AJ285" i="2"/>
  <c r="F267" i="2"/>
  <c r="D246" i="2"/>
  <c r="O241" i="2"/>
  <c r="AL274" i="2"/>
  <c r="AF274" i="2"/>
  <c r="N256" i="2"/>
  <c r="Q97" i="2"/>
  <c r="Q107" i="2" s="1"/>
  <c r="O97" i="2"/>
  <c r="O104" i="2" s="1"/>
  <c r="AJ87" i="2"/>
  <c r="AJ107" i="2" s="1"/>
  <c r="CC233" i="2"/>
  <c r="X38" i="4"/>
  <c r="X63" i="4" s="1"/>
  <c r="CK338" i="1"/>
  <c r="CP338" i="1" s="1"/>
  <c r="AE190" i="1"/>
  <c r="L107" i="1"/>
  <c r="L121" i="1" s="1"/>
  <c r="E18" i="1"/>
  <c r="E24" i="1" s="1"/>
  <c r="E27" i="1" s="1"/>
  <c r="E35" i="1" s="1"/>
  <c r="P324" i="2"/>
  <c r="J327" i="2"/>
  <c r="AV300" i="2"/>
  <c r="AV302" i="2" s="1"/>
  <c r="AV304" i="2" s="1"/>
  <c r="AS337" i="2"/>
  <c r="AF300" i="2"/>
  <c r="AF302" i="2" s="1"/>
  <c r="AF304" i="2" s="1"/>
  <c r="Z300" i="2"/>
  <c r="Z302" i="2" s="1"/>
  <c r="Z304" i="2" s="1"/>
  <c r="U300" i="2"/>
  <c r="U302" i="2" s="1"/>
  <c r="U304" i="2" s="1"/>
  <c r="BA336" i="2"/>
  <c r="BA352" i="2" s="1"/>
  <c r="AV336" i="2"/>
  <c r="AV352" i="2" s="1"/>
  <c r="AP336" i="2"/>
  <c r="AP352" i="2" s="1"/>
  <c r="AL336" i="2"/>
  <c r="AL352" i="2" s="1"/>
  <c r="AE300" i="2"/>
  <c r="AE302" i="2" s="1"/>
  <c r="AE304" i="2" s="1"/>
  <c r="AT335" i="2"/>
  <c r="AT351" i="2" s="1"/>
  <c r="AS334" i="2"/>
  <c r="U334" i="2"/>
  <c r="AR184" i="2"/>
  <c r="AR183" i="2"/>
  <c r="X181" i="2"/>
  <c r="K285" i="2"/>
  <c r="H243" i="2"/>
  <c r="AM169" i="2"/>
  <c r="R255" i="2"/>
  <c r="AJ254" i="2"/>
  <c r="G101" i="2"/>
  <c r="G104" i="2" s="1"/>
  <c r="K94" i="2"/>
  <c r="AM36" i="2"/>
  <c r="AI159" i="2" s="1"/>
  <c r="AA150" i="2"/>
  <c r="T150" i="2"/>
  <c r="D221" i="2"/>
  <c r="N32" i="2"/>
  <c r="T97" i="2"/>
  <c r="C94" i="2"/>
  <c r="AC17" i="2"/>
  <c r="AR11" i="3"/>
  <c r="AI12" i="3"/>
  <c r="U12" i="3"/>
  <c r="S11" i="3"/>
  <c r="AM10" i="3"/>
  <c r="AH10" i="3"/>
  <c r="AC10" i="3"/>
  <c r="BB9" i="3"/>
  <c r="AH9" i="3"/>
  <c r="N9" i="3"/>
  <c r="AR7" i="3"/>
  <c r="AM7" i="3"/>
  <c r="AH7" i="3"/>
  <c r="AY8" i="3"/>
  <c r="AS8" i="3"/>
  <c r="AM6" i="3"/>
  <c r="AA8" i="3"/>
  <c r="X6" i="3"/>
  <c r="AS46" i="4"/>
  <c r="AS48" i="4" s="1"/>
  <c r="AS62" i="4" s="1"/>
  <c r="AF36" i="5"/>
  <c r="AG36" i="5" s="1"/>
  <c r="AH36" i="5" s="1"/>
  <c r="N212" i="1"/>
  <c r="AG13" i="1"/>
  <c r="AR9" i="1"/>
  <c r="AR253" i="1" s="1"/>
  <c r="AA221" i="2"/>
  <c r="U191" i="2"/>
  <c r="AZ107" i="2"/>
  <c r="BL94" i="2"/>
  <c r="L94" i="2"/>
  <c r="H113" i="2"/>
  <c r="D113" i="2"/>
  <c r="AX94" i="2"/>
  <c r="AT107" i="2"/>
  <c r="S65" i="2"/>
  <c r="C128" i="1"/>
  <c r="K16" i="5"/>
  <c r="AM405" i="2"/>
  <c r="AH405" i="2"/>
  <c r="AC405" i="2"/>
  <c r="X405" i="2"/>
  <c r="BT233" i="2"/>
  <c r="BU195" i="2"/>
  <c r="E104" i="2"/>
  <c r="K104" i="2"/>
  <c r="U94" i="2"/>
  <c r="CP113" i="2"/>
  <c r="BL17" i="12"/>
  <c r="AN46" i="4"/>
  <c r="AN48" i="4" s="1"/>
  <c r="AN62" i="4" s="1"/>
  <c r="AI46" i="4"/>
  <c r="AI48" i="4" s="1"/>
  <c r="AA46" i="4"/>
  <c r="U46" i="4"/>
  <c r="O46" i="4"/>
  <c r="O48" i="4" s="1"/>
  <c r="O62" i="4" s="1"/>
  <c r="I46" i="4"/>
  <c r="AO60" i="4"/>
  <c r="AO61" i="4" s="1"/>
  <c r="AE60" i="4"/>
  <c r="AE61" i="4" s="1"/>
  <c r="M47" i="5"/>
  <c r="N47" i="5" s="1"/>
  <c r="AG43" i="5"/>
  <c r="AH43" i="5" s="1"/>
  <c r="I48" i="5"/>
  <c r="I39" i="5"/>
  <c r="H39" i="5"/>
  <c r="G39" i="5"/>
  <c r="J18" i="5"/>
  <c r="BJ129" i="2"/>
  <c r="BG9" i="3"/>
  <c r="BF189" i="1"/>
  <c r="BF190" i="1" s="1"/>
  <c r="BJ27" i="4"/>
  <c r="BU285" i="2"/>
  <c r="BX394" i="2"/>
  <c r="BX113" i="2"/>
  <c r="CA346" i="1"/>
  <c r="CE345" i="2"/>
  <c r="CE361" i="2" s="1"/>
  <c r="CB15" i="4"/>
  <c r="CB33" i="4"/>
  <c r="CB39" i="4" s="1"/>
  <c r="CB46" i="4"/>
  <c r="CP39" i="5"/>
  <c r="BH70" i="12"/>
  <c r="BH69" i="12" s="1"/>
  <c r="BH43" i="17" s="1"/>
  <c r="BM70" i="12"/>
  <c r="CF21" i="12"/>
  <c r="BF108" i="2"/>
  <c r="BF83" i="17"/>
  <c r="BF107" i="1"/>
  <c r="BF121" i="1" s="1"/>
  <c r="CA104" i="2"/>
  <c r="BR119" i="2"/>
  <c r="BN60" i="4"/>
  <c r="BN61" i="4" s="1"/>
  <c r="BX300" i="2"/>
  <c r="BX129" i="2"/>
  <c r="BR336" i="2"/>
  <c r="BR352" i="2" s="1"/>
  <c r="BW108" i="2"/>
  <c r="BW257" i="2"/>
  <c r="BR73" i="1"/>
  <c r="BR79" i="1" s="1"/>
  <c r="BR89" i="1" s="1"/>
  <c r="CB55" i="5"/>
  <c r="CA386" i="1"/>
  <c r="BW119" i="2"/>
  <c r="CK91" i="2"/>
  <c r="CK104" i="2"/>
  <c r="BS35" i="12"/>
  <c r="BU235" i="1"/>
  <c r="BU245" i="1" s="1"/>
  <c r="BK30" i="17"/>
  <c r="BN234" i="1"/>
  <c r="BN244" i="1" s="1"/>
  <c r="AK328" i="2"/>
  <c r="BX234" i="1"/>
  <c r="BX244" i="1" s="1"/>
  <c r="CB328" i="2"/>
  <c r="CA77" i="12"/>
  <c r="P326" i="2"/>
  <c r="CE30" i="17"/>
  <c r="BP30" i="17"/>
  <c r="C70" i="12"/>
  <c r="C114" i="12" s="1"/>
  <c r="BS234" i="1"/>
  <c r="BS244" i="1" s="1"/>
  <c r="BB18" i="17"/>
  <c r="G68" i="12"/>
  <c r="AA44" i="30"/>
  <c r="AA45" i="30" s="1"/>
  <c r="AT42" i="17"/>
  <c r="AT44" i="17" s="1"/>
  <c r="AT46" i="17" s="1"/>
  <c r="CN329" i="2"/>
  <c r="CO33" i="12"/>
  <c r="CL33" i="12"/>
  <c r="CL6" i="17"/>
  <c r="CN33" i="12"/>
  <c r="BO43" i="5"/>
  <c r="BP43" i="5" s="1"/>
  <c r="BQ43" i="5" s="1"/>
  <c r="AG87" i="2"/>
  <c r="AG107" i="2" s="1"/>
  <c r="AI14" i="2"/>
  <c r="AM14" i="2" s="1"/>
  <c r="CD20" i="5"/>
  <c r="CE20" i="5" s="1"/>
  <c r="CF20" i="5" s="1"/>
  <c r="V42" i="5"/>
  <c r="W42" i="5" s="1"/>
  <c r="CF60" i="4"/>
  <c r="CF263" i="1" s="1"/>
  <c r="CK373" i="1"/>
  <c r="T208" i="1"/>
  <c r="CB29" i="1"/>
  <c r="CB31" i="1"/>
  <c r="CB33" i="1" s="1"/>
  <c r="CB35" i="1"/>
  <c r="CB37" i="1" s="1"/>
  <c r="BF10" i="5"/>
  <c r="D208" i="1"/>
  <c r="D213" i="1"/>
  <c r="E334" i="2"/>
  <c r="F334" i="2"/>
  <c r="AM183" i="2"/>
  <c r="AL186" i="2"/>
  <c r="AD266" i="2"/>
  <c r="Z284" i="2"/>
  <c r="Y266" i="2"/>
  <c r="AD250" i="2"/>
  <c r="Y250" i="2"/>
  <c r="P266" i="2"/>
  <c r="L284" i="2"/>
  <c r="K233" i="2"/>
  <c r="F263" i="2"/>
  <c r="F247" i="2"/>
  <c r="G247" i="2"/>
  <c r="F178" i="2"/>
  <c r="G263" i="2"/>
  <c r="O261" i="2"/>
  <c r="O178" i="2"/>
  <c r="O228" i="2"/>
  <c r="S175" i="2"/>
  <c r="T245" i="2"/>
  <c r="U260" i="2"/>
  <c r="P278" i="2"/>
  <c r="P260" i="2"/>
  <c r="P244" i="2"/>
  <c r="P178" i="2"/>
  <c r="N173" i="2"/>
  <c r="K178" i="2"/>
  <c r="P259" i="2"/>
  <c r="K277" i="2"/>
  <c r="K226" i="2"/>
  <c r="P243" i="2"/>
  <c r="L276" i="2"/>
  <c r="Q242" i="2"/>
  <c r="AS275" i="2"/>
  <c r="AS257" i="2"/>
  <c r="AS241" i="2"/>
  <c r="AR171" i="2"/>
  <c r="AN275" i="2"/>
  <c r="AN178" i="2"/>
  <c r="AN257" i="2"/>
  <c r="AI275" i="2"/>
  <c r="AM171" i="2"/>
  <c r="AI257" i="2"/>
  <c r="AI178" i="2"/>
  <c r="AI241" i="2"/>
  <c r="AF241" i="2"/>
  <c r="AF257" i="2"/>
  <c r="AA275" i="2"/>
  <c r="U224" i="2"/>
  <c r="Z241" i="2"/>
  <c r="V275" i="2"/>
  <c r="L275" i="2"/>
  <c r="P257" i="2"/>
  <c r="AE240" i="2"/>
  <c r="Z178" i="2"/>
  <c r="Z240" i="2"/>
  <c r="AC170" i="2"/>
  <c r="K274" i="2"/>
  <c r="J223" i="2"/>
  <c r="O256" i="2"/>
  <c r="AP222" i="2"/>
  <c r="AQ273" i="2"/>
  <c r="AP239" i="2"/>
  <c r="AP273" i="2"/>
  <c r="AE239" i="2"/>
  <c r="AE273" i="2"/>
  <c r="AE178" i="2"/>
  <c r="AJ239" i="2"/>
  <c r="AJ255" i="2"/>
  <c r="I255" i="2"/>
  <c r="I222" i="2"/>
  <c r="I239" i="2"/>
  <c r="AO272" i="2"/>
  <c r="AP272" i="2"/>
  <c r="AO190" i="2"/>
  <c r="AO191" i="2" s="1"/>
  <c r="AO221" i="2"/>
  <c r="AO254" i="2"/>
  <c r="AM42" i="3"/>
  <c r="AA29" i="3"/>
  <c r="C29" i="3"/>
  <c r="C33" i="3"/>
  <c r="AM22" i="3"/>
  <c r="AQ12" i="3"/>
  <c r="Z12" i="3"/>
  <c r="K74" i="3"/>
  <c r="K76" i="4"/>
  <c r="N8" i="3"/>
  <c r="K60" i="3"/>
  <c r="L74" i="3"/>
  <c r="G59" i="3"/>
  <c r="H67" i="3"/>
  <c r="G60" i="3"/>
  <c r="G76" i="4"/>
  <c r="G67" i="3"/>
  <c r="T8" i="3"/>
  <c r="T76" i="4" s="1"/>
  <c r="X7" i="3"/>
  <c r="O8" i="3"/>
  <c r="S6" i="3"/>
  <c r="L76" i="4"/>
  <c r="AT15" i="4"/>
  <c r="AT60" i="4"/>
  <c r="AJ15" i="4"/>
  <c r="AJ24" i="4" s="1"/>
  <c r="P60" i="4"/>
  <c r="P15" i="4"/>
  <c r="Q60" i="4"/>
  <c r="K60" i="4"/>
  <c r="C15" i="4"/>
  <c r="Z46" i="5"/>
  <c r="P44" i="5"/>
  <c r="AD48" i="5"/>
  <c r="F48" i="5"/>
  <c r="Z41" i="5"/>
  <c r="Y48" i="5"/>
  <c r="AO40" i="5"/>
  <c r="AP40" i="5" s="1"/>
  <c r="U40" i="5"/>
  <c r="V40" i="5" s="1"/>
  <c r="D48" i="5"/>
  <c r="Z37" i="5"/>
  <c r="Y39" i="5"/>
  <c r="AO36" i="5"/>
  <c r="AN39" i="5"/>
  <c r="AJ35" i="5"/>
  <c r="AI39" i="5"/>
  <c r="AD55" i="5"/>
  <c r="AD39" i="5"/>
  <c r="AE34" i="5"/>
  <c r="K34" i="5"/>
  <c r="J55" i="5"/>
  <c r="Z31" i="5"/>
  <c r="AJ30" i="5"/>
  <c r="AI18" i="5"/>
  <c r="P26" i="5"/>
  <c r="Q26" i="5" s="1"/>
  <c r="R26" i="5" s="1"/>
  <c r="S26" i="5" s="1"/>
  <c r="O18" i="5"/>
  <c r="AN27" i="5"/>
  <c r="AN107" i="1"/>
  <c r="AN121" i="1" s="1"/>
  <c r="BF221" i="2"/>
  <c r="BF238" i="2"/>
  <c r="BF334" i="2"/>
  <c r="BF117" i="2"/>
  <c r="BF107" i="2"/>
  <c r="BK107" i="2"/>
  <c r="BG36" i="2"/>
  <c r="BG180" i="2"/>
  <c r="BF250" i="2"/>
  <c r="BF284" i="2"/>
  <c r="BF233" i="2"/>
  <c r="BF266" i="2"/>
  <c r="BG20" i="3"/>
  <c r="BG36" i="4"/>
  <c r="BG31" i="4"/>
  <c r="BG22" i="4"/>
  <c r="BG13" i="4"/>
  <c r="BG8" i="4"/>
  <c r="BF15" i="4"/>
  <c r="BS34" i="5"/>
  <c r="BT34" i="5" s="1"/>
  <c r="BU34" i="5" s="1"/>
  <c r="BR39" i="5"/>
  <c r="BS38" i="5"/>
  <c r="BW18" i="1"/>
  <c r="BW24" i="1" s="1"/>
  <c r="BW27" i="1" s="1"/>
  <c r="BW12" i="3"/>
  <c r="AH170" i="2"/>
  <c r="AW31" i="5"/>
  <c r="AM11" i="3"/>
  <c r="D84" i="2"/>
  <c r="C250" i="2"/>
  <c r="AP178" i="2"/>
  <c r="AD206" i="1"/>
  <c r="AD208" i="1" s="1"/>
  <c r="AD212" i="1"/>
  <c r="I334" i="2"/>
  <c r="J334" i="2"/>
  <c r="AU285" i="2"/>
  <c r="AT267" i="2"/>
  <c r="AT285" i="2"/>
  <c r="AY267" i="2"/>
  <c r="AR181" i="2"/>
  <c r="AO285" i="2"/>
  <c r="AO267" i="2"/>
  <c r="AP285" i="2"/>
  <c r="AD267" i="2"/>
  <c r="AI267" i="2"/>
  <c r="AE285" i="2"/>
  <c r="Q285" i="2"/>
  <c r="P285" i="2"/>
  <c r="U267" i="2"/>
  <c r="P267" i="2"/>
  <c r="AP284" i="2"/>
  <c r="AP250" i="2"/>
  <c r="AP233" i="2"/>
  <c r="AQ284" i="2"/>
  <c r="AP266" i="2"/>
  <c r="AE284" i="2"/>
  <c r="AF284" i="2"/>
  <c r="AJ266" i="2"/>
  <c r="AE233" i="2"/>
  <c r="G266" i="2"/>
  <c r="H250" i="2"/>
  <c r="I246" i="2"/>
  <c r="H262" i="2"/>
  <c r="H229" i="2"/>
  <c r="I261" i="2"/>
  <c r="I228" i="2"/>
  <c r="I245" i="2"/>
  <c r="I178" i="2"/>
  <c r="O260" i="2"/>
  <c r="J178" i="2"/>
  <c r="J227" i="2"/>
  <c r="O244" i="2"/>
  <c r="G243" i="2"/>
  <c r="H259" i="2"/>
  <c r="H178" i="2"/>
  <c r="H242" i="2"/>
  <c r="H225" i="2"/>
  <c r="G224" i="2"/>
  <c r="G241" i="2"/>
  <c r="H257" i="2"/>
  <c r="D257" i="2"/>
  <c r="C257" i="2"/>
  <c r="AQ240" i="2"/>
  <c r="AS274" i="2"/>
  <c r="AQ256" i="2"/>
  <c r="AQ223" i="2"/>
  <c r="AK240" i="2"/>
  <c r="AF240" i="2"/>
  <c r="AF256" i="2"/>
  <c r="T223" i="2"/>
  <c r="T240" i="2"/>
  <c r="Y240" i="2"/>
  <c r="AU255" i="2"/>
  <c r="AV273" i="2"/>
  <c r="AZ239" i="2"/>
  <c r="AU222" i="2"/>
  <c r="AU239" i="2"/>
  <c r="AU273" i="2"/>
  <c r="Y222" i="2"/>
  <c r="Y255" i="2"/>
  <c r="AD255" i="2"/>
  <c r="Y273" i="2"/>
  <c r="AD239" i="2"/>
  <c r="M273" i="2"/>
  <c r="O273" i="2"/>
  <c r="M222" i="2"/>
  <c r="AT190" i="2"/>
  <c r="AT254" i="2"/>
  <c r="AT272" i="2"/>
  <c r="AY254" i="2"/>
  <c r="AT221" i="2"/>
  <c r="D351" i="2"/>
  <c r="D222" i="2"/>
  <c r="D239" i="2"/>
  <c r="AQ117" i="2"/>
  <c r="AQ150" i="2"/>
  <c r="AV117" i="2"/>
  <c r="AR36" i="2"/>
  <c r="AO159" i="2" s="1"/>
  <c r="AF117" i="2"/>
  <c r="AF84" i="2"/>
  <c r="AF235" i="2" s="1"/>
  <c r="AF334" i="2"/>
  <c r="AF221" i="2"/>
  <c r="AF150" i="2"/>
  <c r="L84" i="2"/>
  <c r="L235" i="2" s="1"/>
  <c r="L308" i="2"/>
  <c r="N34" i="2"/>
  <c r="J97" i="2"/>
  <c r="J104" i="2" s="1"/>
  <c r="Y87" i="2"/>
  <c r="Y107" i="2" s="1"/>
  <c r="AC18" i="2"/>
  <c r="U33" i="3"/>
  <c r="G29" i="3"/>
  <c r="AS12" i="3"/>
  <c r="AA12" i="3"/>
  <c r="AC11" i="3"/>
  <c r="AM9" i="3"/>
  <c r="AL12" i="3"/>
  <c r="T12" i="3"/>
  <c r="E12" i="3"/>
  <c r="C60" i="3"/>
  <c r="D67" i="3"/>
  <c r="C59" i="3"/>
  <c r="AR20" i="4"/>
  <c r="AM20" i="4"/>
  <c r="V15" i="4"/>
  <c r="V60" i="4"/>
  <c r="J15" i="4"/>
  <c r="F60" i="4"/>
  <c r="AU60" i="4"/>
  <c r="AU61" i="4" s="1"/>
  <c r="AP15" i="4"/>
  <c r="AP24" i="4" s="1"/>
  <c r="AK60" i="4"/>
  <c r="AK61" i="4" s="1"/>
  <c r="Y60" i="4"/>
  <c r="Y61" i="4" s="1"/>
  <c r="G60" i="4"/>
  <c r="G61" i="4" s="1"/>
  <c r="G15" i="4"/>
  <c r="AT46" i="5"/>
  <c r="AO45" i="5"/>
  <c r="AJ44" i="5"/>
  <c r="AK44" i="5" s="1"/>
  <c r="AI48" i="5"/>
  <c r="G48" i="5"/>
  <c r="K42" i="5"/>
  <c r="J48" i="5"/>
  <c r="AT41" i="5"/>
  <c r="AS48" i="5"/>
  <c r="H48" i="5"/>
  <c r="AT37" i="5"/>
  <c r="AU37" i="5" s="1"/>
  <c r="AS39" i="5"/>
  <c r="U36" i="5"/>
  <c r="T39" i="5"/>
  <c r="C18" i="5"/>
  <c r="AE25" i="5"/>
  <c r="AD18" i="5"/>
  <c r="AT24" i="5"/>
  <c r="AU24" i="5" s="1"/>
  <c r="AY12" i="5"/>
  <c r="BF129" i="2"/>
  <c r="BG79" i="2"/>
  <c r="BG15" i="3"/>
  <c r="BG7" i="3"/>
  <c r="BG9" i="1"/>
  <c r="BS13" i="5"/>
  <c r="BS43" i="5"/>
  <c r="BT43" i="5" s="1"/>
  <c r="BU43" i="5" s="1"/>
  <c r="CC7" i="5"/>
  <c r="CC11" i="5"/>
  <c r="CC22" i="5"/>
  <c r="CB18" i="5"/>
  <c r="CC42" i="5"/>
  <c r="CB48" i="5"/>
  <c r="AQ107" i="2"/>
  <c r="N36" i="2"/>
  <c r="N84" i="2" s="1"/>
  <c r="AH181" i="2"/>
  <c r="AD15" i="4"/>
  <c r="E48" i="5"/>
  <c r="G250" i="2"/>
  <c r="AU336" i="2"/>
  <c r="AU352" i="2" s="1"/>
  <c r="BK117" i="2"/>
  <c r="U308" i="2"/>
  <c r="CP348" i="1"/>
  <c r="BQ34" i="5"/>
  <c r="BO55" i="5"/>
  <c r="AV107" i="2"/>
  <c r="P279" i="2"/>
  <c r="R277" i="2"/>
  <c r="S171" i="2"/>
  <c r="S257" i="2" s="1"/>
  <c r="BK238" i="2"/>
  <c r="AG274" i="2"/>
  <c r="AC7" i="3"/>
  <c r="F15" i="4"/>
  <c r="AO15" i="4"/>
  <c r="AO24" i="4" s="1"/>
  <c r="AJ38" i="5"/>
  <c r="BF137" i="1"/>
  <c r="AY12" i="3"/>
  <c r="V337" i="2"/>
  <c r="N180" i="2"/>
  <c r="N266" i="2" s="1"/>
  <c r="AW42" i="3"/>
  <c r="AX241" i="2"/>
  <c r="L225" i="2"/>
  <c r="G226" i="2"/>
  <c r="Q243" i="2"/>
  <c r="O245" i="2"/>
  <c r="G233" i="2"/>
  <c r="AY335" i="2"/>
  <c r="AY351" i="2" s="1"/>
  <c r="AE336" i="2"/>
  <c r="AE352" i="2" s="1"/>
  <c r="AT300" i="2"/>
  <c r="BF12" i="3"/>
  <c r="AL308" i="2"/>
  <c r="BG226" i="1"/>
  <c r="BG321" i="2" s="1"/>
  <c r="O12" i="3"/>
  <c r="D241" i="2"/>
  <c r="AJ267" i="2"/>
  <c r="L150" i="2"/>
  <c r="V334" i="2"/>
  <c r="C76" i="4"/>
  <c r="AF337" i="2"/>
  <c r="AN224" i="2"/>
  <c r="O272" i="2"/>
  <c r="N168" i="2"/>
  <c r="N190" i="2" s="1"/>
  <c r="T274" i="2"/>
  <c r="AE42" i="5"/>
  <c r="N58" i="2"/>
  <c r="H246" i="2"/>
  <c r="H208" i="1"/>
  <c r="H213" i="1"/>
  <c r="Q36" i="5"/>
  <c r="R36" i="5" s="1"/>
  <c r="AK40" i="5"/>
  <c r="AR180" i="2"/>
  <c r="G267" i="2"/>
  <c r="Y206" i="1"/>
  <c r="Y212" i="1"/>
  <c r="AM293" i="2"/>
  <c r="AN337" i="2" s="1"/>
  <c r="AL300" i="2"/>
  <c r="AL302" i="2" s="1"/>
  <c r="AL304" i="2" s="1"/>
  <c r="Z336" i="2"/>
  <c r="Z352" i="2" s="1"/>
  <c r="Y336" i="2"/>
  <c r="Y352" i="2" s="1"/>
  <c r="AP335" i="2"/>
  <c r="AP351" i="2" s="1"/>
  <c r="AO300" i="2"/>
  <c r="AO302" i="2" s="1"/>
  <c r="AO304" i="2" s="1"/>
  <c r="V267" i="2"/>
  <c r="V285" i="2"/>
  <c r="AA267" i="2"/>
  <c r="O267" i="2"/>
  <c r="N181" i="2"/>
  <c r="N267" i="2" s="1"/>
  <c r="AZ266" i="2"/>
  <c r="AW180" i="2"/>
  <c r="AV284" i="2"/>
  <c r="AZ250" i="2"/>
  <c r="AL284" i="2"/>
  <c r="AK284" i="2"/>
  <c r="AM180" i="2"/>
  <c r="AK250" i="2"/>
  <c r="AK266" i="2"/>
  <c r="V266" i="2"/>
  <c r="Q284" i="2"/>
  <c r="V250" i="2"/>
  <c r="Q250" i="2"/>
  <c r="C266" i="2"/>
  <c r="D250" i="2"/>
  <c r="D229" i="2"/>
  <c r="E262" i="2"/>
  <c r="E246" i="2"/>
  <c r="D178" i="2"/>
  <c r="D264" i="2" s="1"/>
  <c r="V259" i="2"/>
  <c r="Q178" i="2"/>
  <c r="G240" i="2"/>
  <c r="F240" i="2"/>
  <c r="F256" i="2"/>
  <c r="AL273" i="2"/>
  <c r="AK178" i="2"/>
  <c r="AK222" i="2"/>
  <c r="AK239" i="2"/>
  <c r="Q255" i="2"/>
  <c r="Q239" i="2"/>
  <c r="V239" i="2"/>
  <c r="Q273" i="2"/>
  <c r="E222" i="2"/>
  <c r="E239" i="2"/>
  <c r="E255" i="2"/>
  <c r="F255" i="2"/>
  <c r="AJ221" i="2"/>
  <c r="AJ272" i="2"/>
  <c r="AJ190" i="2"/>
  <c r="AJ191" i="2" s="1"/>
  <c r="H351" i="2"/>
  <c r="H222" i="2"/>
  <c r="P91" i="2"/>
  <c r="S58" i="2"/>
  <c r="S91" i="2" s="1"/>
  <c r="S94" i="2" s="1"/>
  <c r="Z221" i="2"/>
  <c r="AE117" i="2"/>
  <c r="Z84" i="2"/>
  <c r="Z334" i="2"/>
  <c r="Z150" i="2"/>
  <c r="U150" i="2"/>
  <c r="T84" i="2"/>
  <c r="T117" i="2"/>
  <c r="X36" i="2"/>
  <c r="X84" i="2" s="1"/>
  <c r="H334" i="2"/>
  <c r="H350" i="2" s="1"/>
  <c r="H366" i="2" s="1"/>
  <c r="H308" i="2"/>
  <c r="AH15" i="2"/>
  <c r="AE87" i="2"/>
  <c r="AH42" i="3"/>
  <c r="AI33" i="3"/>
  <c r="AM25" i="3"/>
  <c r="O29" i="3"/>
  <c r="AR22" i="3"/>
  <c r="AC22" i="3"/>
  <c r="I12" i="3"/>
  <c r="I58" i="3" s="1"/>
  <c r="AN8" i="3"/>
  <c r="AR6" i="3"/>
  <c r="CF15" i="5"/>
  <c r="AQ300" i="2"/>
  <c r="AQ302" i="2" s="1"/>
  <c r="AQ304" i="2" s="1"/>
  <c r="T221" i="2"/>
  <c r="AC36" i="2"/>
  <c r="AC84" i="2" s="1"/>
  <c r="C188" i="2"/>
  <c r="C214" i="2" s="1"/>
  <c r="BF63" i="4"/>
  <c r="BF60" i="4"/>
  <c r="BF61" i="4" s="1"/>
  <c r="H241" i="2"/>
  <c r="AK272" i="2"/>
  <c r="CF16" i="3"/>
  <c r="CP369" i="1"/>
  <c r="AW168" i="2"/>
  <c r="AW190" i="2" s="1"/>
  <c r="S174" i="2"/>
  <c r="BK266" i="2"/>
  <c r="L97" i="2"/>
  <c r="L104" i="2" s="1"/>
  <c r="AH36" i="2"/>
  <c r="AL256" i="2"/>
  <c r="AR9" i="3"/>
  <c r="BR48" i="5"/>
  <c r="C39" i="5"/>
  <c r="BF182" i="2"/>
  <c r="AD285" i="2"/>
  <c r="W285" i="2"/>
  <c r="H221" i="2"/>
  <c r="L334" i="2"/>
  <c r="Y117" i="2"/>
  <c r="AS224" i="2"/>
  <c r="I242" i="2"/>
  <c r="Q226" i="2"/>
  <c r="AE250" i="2"/>
  <c r="AJ250" i="2"/>
  <c r="AK233" i="2"/>
  <c r="L221" i="2"/>
  <c r="Y284" i="2"/>
  <c r="U8" i="3"/>
  <c r="BV24" i="5"/>
  <c r="AJ335" i="2"/>
  <c r="BG185" i="1"/>
  <c r="AQ8" i="3"/>
  <c r="AN12" i="3"/>
  <c r="T48" i="5"/>
  <c r="U178" i="2"/>
  <c r="Y178" i="2"/>
  <c r="Y188" i="2" s="1"/>
  <c r="Z257" i="2"/>
  <c r="AK273" i="2"/>
  <c r="AR170" i="2"/>
  <c r="AA224" i="2"/>
  <c r="AK9" i="5"/>
  <c r="F230" i="2"/>
  <c r="BF35" i="12"/>
  <c r="BF6" i="17"/>
  <c r="BF8" i="17" s="1"/>
  <c r="CJ129" i="2"/>
  <c r="CF79" i="2"/>
  <c r="CE129" i="2"/>
  <c r="CF20" i="3"/>
  <c r="CF19" i="4"/>
  <c r="AH64" i="1"/>
  <c r="AG64" i="1" s="1"/>
  <c r="AG55" i="1"/>
  <c r="AB55" i="1"/>
  <c r="AC64" i="1"/>
  <c r="AB64" i="1" s="1"/>
  <c r="N36" i="1"/>
  <c r="N32" i="1"/>
  <c r="N20" i="3"/>
  <c r="H17" i="3"/>
  <c r="H18" i="1"/>
  <c r="H24" i="1" s="1"/>
  <c r="H27" i="1" s="1"/>
  <c r="H31" i="1" s="1"/>
  <c r="H33" i="1" s="1"/>
  <c r="X16" i="3"/>
  <c r="S18" i="1"/>
  <c r="S24" i="1" s="1"/>
  <c r="S27" i="1" s="1"/>
  <c r="S31" i="1" s="1"/>
  <c r="R13" i="1"/>
  <c r="X11" i="3"/>
  <c r="BX119" i="2"/>
  <c r="CC240" i="2"/>
  <c r="CA39" i="2"/>
  <c r="BX336" i="2"/>
  <c r="BX352" i="2" s="1"/>
  <c r="CC266" i="2"/>
  <c r="BY284" i="2"/>
  <c r="BX250" i="2"/>
  <c r="CA25" i="3"/>
  <c r="BX59" i="3"/>
  <c r="CC234" i="1"/>
  <c r="CC244" i="1" s="1"/>
  <c r="CP54" i="3"/>
  <c r="AB13" i="1"/>
  <c r="BE40" i="5"/>
  <c r="AW46" i="4"/>
  <c r="AD272" i="2"/>
  <c r="AB221" i="2"/>
  <c r="AH9" i="4"/>
  <c r="AN48" i="5"/>
  <c r="CB266" i="2"/>
  <c r="BW250" i="2"/>
  <c r="F87" i="2"/>
  <c r="F107" i="2" s="1"/>
  <c r="AK186" i="2"/>
  <c r="BF47" i="5"/>
  <c r="BG47" i="5" s="1"/>
  <c r="AR127" i="1"/>
  <c r="AR128" i="1" s="1"/>
  <c r="AQ128" i="1"/>
  <c r="AC107" i="1"/>
  <c r="AB107" i="1" s="1"/>
  <c r="AB116" i="1"/>
  <c r="R77" i="1"/>
  <c r="R37" i="4" s="1"/>
  <c r="S79" i="1"/>
  <c r="R79" i="1" s="1"/>
  <c r="AC21" i="4"/>
  <c r="X45" i="3"/>
  <c r="E18" i="5"/>
  <c r="AZ113" i="2"/>
  <c r="AV113" i="2"/>
  <c r="AJ113" i="2"/>
  <c r="AF113" i="2"/>
  <c r="AB113" i="2"/>
  <c r="AV233" i="2"/>
  <c r="BA129" i="2"/>
  <c r="BS10" i="5"/>
  <c r="AO23" i="5"/>
  <c r="AP23" i="5" s="1"/>
  <c r="BI23" i="5"/>
  <c r="CA266" i="1"/>
  <c r="AC184" i="2"/>
  <c r="AF191" i="2"/>
  <c r="AZ255" i="2"/>
  <c r="CF104" i="2"/>
  <c r="CA344" i="1"/>
  <c r="BU232" i="2"/>
  <c r="BQ94" i="2"/>
  <c r="CO94" i="2"/>
  <c r="X286" i="1"/>
  <c r="AH183" i="2"/>
  <c r="N183" i="2"/>
  <c r="AC182" i="2"/>
  <c r="AH180" i="2"/>
  <c r="Y92" i="1"/>
  <c r="BO226" i="1"/>
  <c r="BO321" i="2" s="1"/>
  <c r="BO319" i="2"/>
  <c r="CJ360" i="2"/>
  <c r="R15" i="30"/>
  <c r="CD33" i="3"/>
  <c r="O326" i="2"/>
  <c r="H300" i="2"/>
  <c r="H302" i="2" s="1"/>
  <c r="H304" i="2" s="1"/>
  <c r="D300" i="2"/>
  <c r="P338" i="2"/>
  <c r="P354" i="2" s="1"/>
  <c r="AM13" i="2"/>
  <c r="BG107" i="1"/>
  <c r="BG121" i="1" s="1"/>
  <c r="BY304" i="2"/>
  <c r="BW109" i="2"/>
  <c r="BV14" i="3"/>
  <c r="CA350" i="1"/>
  <c r="BX33" i="3"/>
  <c r="BW81" i="12"/>
  <c r="BW80" i="12" s="1"/>
  <c r="BW31" i="17" s="1"/>
  <c r="AH383" i="2"/>
  <c r="AH45" i="3"/>
  <c r="W337" i="2"/>
  <c r="T336" i="2"/>
  <c r="T352" i="2" s="1"/>
  <c r="T368" i="2" s="1"/>
  <c r="AC190" i="1"/>
  <c r="N81" i="2"/>
  <c r="AS326" i="2"/>
  <c r="AZ391" i="2"/>
  <c r="AZ394" i="2" s="1"/>
  <c r="AU391" i="2"/>
  <c r="AU394" i="2" s="1"/>
  <c r="G329" i="2"/>
  <c r="BH337" i="2"/>
  <c r="AA222" i="2"/>
  <c r="U222" i="2"/>
  <c r="AL272" i="2"/>
  <c r="BA8" i="3"/>
  <c r="BG56" i="4"/>
  <c r="BI47" i="5"/>
  <c r="BJ47" i="5" s="1"/>
  <c r="BK47" i="5" s="1"/>
  <c r="BL47" i="5" s="1"/>
  <c r="BJ18" i="1"/>
  <c r="BJ24" i="1" s="1"/>
  <c r="BJ27" i="1" s="1"/>
  <c r="BJ213" i="1"/>
  <c r="BT336" i="2"/>
  <c r="BT352" i="2" s="1"/>
  <c r="CA14" i="3"/>
  <c r="BJ35" i="12"/>
  <c r="BJ34" i="12" s="1"/>
  <c r="BJ7" i="17" s="1"/>
  <c r="BM81" i="12"/>
  <c r="BM80" i="12" s="1"/>
  <c r="P46" i="30" s="1"/>
  <c r="BJ70" i="12"/>
  <c r="BO70" i="12"/>
  <c r="BO69" i="12" s="1"/>
  <c r="BO43" i="17" s="1"/>
  <c r="AC45" i="3"/>
  <c r="AD336" i="2"/>
  <c r="AD352" i="2" s="1"/>
  <c r="T268" i="2"/>
  <c r="AG47" i="5"/>
  <c r="AH47" i="5" s="1"/>
  <c r="U27" i="5"/>
  <c r="C60" i="4"/>
  <c r="BF391" i="2"/>
  <c r="BF394" i="2" s="1"/>
  <c r="BX109" i="2"/>
  <c r="BO35" i="12"/>
  <c r="BU81" i="12"/>
  <c r="BU80" i="12" s="1"/>
  <c r="BU31" i="17" s="1"/>
  <c r="BZ70" i="12"/>
  <c r="BZ69" i="12" s="1"/>
  <c r="BZ43" i="17" s="1"/>
  <c r="F113" i="2"/>
  <c r="AR300" i="2"/>
  <c r="AR302" i="2" s="1"/>
  <c r="AR304" i="2" s="1"/>
  <c r="CP267" i="2"/>
  <c r="BL104" i="2"/>
  <c r="AZ94" i="2"/>
  <c r="CL302" i="2"/>
  <c r="AH182" i="2"/>
  <c r="AG48" i="3"/>
  <c r="AH48" i="3" s="1"/>
  <c r="AC6" i="3"/>
  <c r="AB8" i="3"/>
  <c r="AB76" i="4" s="1"/>
  <c r="BE16" i="5"/>
  <c r="CK31" i="4"/>
  <c r="CK20" i="4"/>
  <c r="AG336" i="2"/>
  <c r="AG352" i="2" s="1"/>
  <c r="AH292" i="2"/>
  <c r="AI336" i="2" s="1"/>
  <c r="N22" i="3"/>
  <c r="AP16" i="5"/>
  <c r="AQ16" i="5" s="1"/>
  <c r="CF46" i="4"/>
  <c r="X42" i="4"/>
  <c r="X46" i="4" s="1"/>
  <c r="W46" i="4"/>
  <c r="CB77" i="4"/>
  <c r="AG189" i="1"/>
  <c r="AG186" i="2" s="1"/>
  <c r="K27" i="5"/>
  <c r="AI89" i="1"/>
  <c r="AI92" i="1" s="1"/>
  <c r="Q256" i="2"/>
  <c r="I97" i="2"/>
  <c r="I104" i="2" s="1"/>
  <c r="H87" i="2"/>
  <c r="H107" i="2" s="1"/>
  <c r="BN109" i="2"/>
  <c r="BJ212" i="1"/>
  <c r="BW129" i="2"/>
  <c r="BT285" i="2"/>
  <c r="BW33" i="3"/>
  <c r="BX212" i="1"/>
  <c r="BW70" i="12"/>
  <c r="BW69" i="12" s="1"/>
  <c r="BW43" i="17" s="1"/>
  <c r="BU70" i="12"/>
  <c r="BU69" i="12" s="1"/>
  <c r="BU43" i="17" s="1"/>
  <c r="BR81" i="12"/>
  <c r="BR80" i="12" s="1"/>
  <c r="BR31" i="17" s="1"/>
  <c r="BC212" i="1"/>
  <c r="BE18" i="1"/>
  <c r="BE24" i="1" s="1"/>
  <c r="BE27" i="1" s="1"/>
  <c r="BF212" i="1"/>
  <c r="BJ8" i="3"/>
  <c r="BJ59" i="3" s="1"/>
  <c r="BR274" i="2"/>
  <c r="BS18" i="1"/>
  <c r="BS24" i="1" s="1"/>
  <c r="BS27" i="1" s="1"/>
  <c r="BT139" i="1"/>
  <c r="BU32" i="1"/>
  <c r="CD284" i="2"/>
  <c r="AR168" i="2"/>
  <c r="AR190" i="2" s="1"/>
  <c r="AI152" i="2"/>
  <c r="O152" i="2"/>
  <c r="BY76" i="4"/>
  <c r="CA210" i="1"/>
  <c r="CC60" i="3"/>
  <c r="Z190" i="1"/>
  <c r="K284" i="2"/>
  <c r="Q277" i="2"/>
  <c r="BB45" i="3"/>
  <c r="BF335" i="2"/>
  <c r="BF351" i="2" s="1"/>
  <c r="BE272" i="2"/>
  <c r="BM233" i="2"/>
  <c r="BO178" i="2"/>
  <c r="BT264" i="2" s="1"/>
  <c r="BS29" i="3"/>
  <c r="CA340" i="1"/>
  <c r="BT284" i="2"/>
  <c r="CF184" i="2"/>
  <c r="CP368" i="1"/>
  <c r="CU368" i="1" s="1"/>
  <c r="G208" i="1"/>
  <c r="G213" i="1"/>
  <c r="AH14" i="2"/>
  <c r="BE9" i="5"/>
  <c r="W391" i="2"/>
  <c r="AC266" i="1"/>
  <c r="AN189" i="1"/>
  <c r="Y190" i="1"/>
  <c r="C213" i="1"/>
  <c r="AG190" i="2"/>
  <c r="AF186" i="2"/>
  <c r="AF286" i="2" s="1"/>
  <c r="AH190" i="1"/>
  <c r="O190" i="1"/>
  <c r="AC213" i="1"/>
  <c r="W240" i="2"/>
  <c r="AF79" i="1"/>
  <c r="AF89" i="1" s="1"/>
  <c r="AF92" i="1" s="1"/>
  <c r="M17" i="1"/>
  <c r="M17" i="3" s="1"/>
  <c r="AH73" i="17"/>
  <c r="AH75" i="17" s="1"/>
  <c r="AF335" i="2"/>
  <c r="AF351" i="2" s="1"/>
  <c r="U335" i="2"/>
  <c r="U351" i="2" s="1"/>
  <c r="AT334" i="2"/>
  <c r="AO334" i="2"/>
  <c r="M274" i="2"/>
  <c r="AN155" i="2"/>
  <c r="H233" i="2"/>
  <c r="D233" i="2"/>
  <c r="AN151" i="2"/>
  <c r="AI151" i="2"/>
  <c r="AO12" i="3"/>
  <c r="AJ12" i="3"/>
  <c r="AD12" i="3"/>
  <c r="P12" i="3"/>
  <c r="P78" i="4" s="1"/>
  <c r="P79" i="4" s="1"/>
  <c r="BH18" i="1"/>
  <c r="BH24" i="1" s="1"/>
  <c r="BH27" i="1" s="1"/>
  <c r="BH29" i="1" s="1"/>
  <c r="BK273" i="2"/>
  <c r="BO335" i="2"/>
  <c r="BO351" i="2" s="1"/>
  <c r="BQ183" i="2"/>
  <c r="BQ16" i="3"/>
  <c r="BS63" i="4"/>
  <c r="CA336" i="1"/>
  <c r="CF336" i="1" s="1"/>
  <c r="CK336" i="1" s="1"/>
  <c r="CB241" i="2"/>
  <c r="CB239" i="2"/>
  <c r="BW285" i="2"/>
  <c r="CA80" i="2"/>
  <c r="BX275" i="2"/>
  <c r="CA183" i="2"/>
  <c r="BY266" i="2"/>
  <c r="BS112" i="2"/>
  <c r="BS128" i="2"/>
  <c r="BU190" i="2"/>
  <c r="BU191" i="2" s="1"/>
  <c r="CE267" i="2"/>
  <c r="CB285" i="2"/>
  <c r="BV32" i="1"/>
  <c r="BV36" i="1"/>
  <c r="CB250" i="2"/>
  <c r="CC284" i="2"/>
  <c r="CB284" i="2"/>
  <c r="CC9" i="5"/>
  <c r="BE42" i="17"/>
  <c r="BE44" i="17" s="1"/>
  <c r="BE234" i="1"/>
  <c r="BE244" i="1" s="1"/>
  <c r="S107" i="1"/>
  <c r="AI18" i="1"/>
  <c r="AI24" i="1" s="1"/>
  <c r="AI27" i="1" s="1"/>
  <c r="AI29" i="1" s="1"/>
  <c r="T18" i="1"/>
  <c r="T24" i="1" s="1"/>
  <c r="T27" i="1" s="1"/>
  <c r="T31" i="1" s="1"/>
  <c r="T33" i="1" s="1"/>
  <c r="O18" i="1"/>
  <c r="O24" i="1" s="1"/>
  <c r="AK300" i="2"/>
  <c r="AK302" i="2" s="1"/>
  <c r="AK304" i="2" s="1"/>
  <c r="Y300" i="2"/>
  <c r="Y302" i="2" s="1"/>
  <c r="Y304" i="2" s="1"/>
  <c r="AU233" i="2"/>
  <c r="AP8" i="3"/>
  <c r="AE8" i="3"/>
  <c r="Q8" i="3"/>
  <c r="Y15" i="4"/>
  <c r="BR117" i="2"/>
  <c r="BT226" i="1"/>
  <c r="BT321" i="2" s="1"/>
  <c r="BT319" i="2"/>
  <c r="AI63" i="17"/>
  <c r="AI77" i="17" s="1"/>
  <c r="J328" i="2"/>
  <c r="G300" i="2"/>
  <c r="G302" i="2" s="1"/>
  <c r="G304" i="2" s="1"/>
  <c r="L341" i="2"/>
  <c r="Q340" i="2"/>
  <c r="K340" i="2"/>
  <c r="K356" i="2" s="1"/>
  <c r="P300" i="2"/>
  <c r="J339" i="2"/>
  <c r="J355" i="2" s="1"/>
  <c r="I300" i="2"/>
  <c r="I302" i="2" s="1"/>
  <c r="I304" i="2" s="1"/>
  <c r="AY337" i="2"/>
  <c r="AU337" i="2"/>
  <c r="AQ110" i="2"/>
  <c r="C240" i="2"/>
  <c r="Z87" i="2"/>
  <c r="BD31" i="5"/>
  <c r="BE108" i="2"/>
  <c r="CA43" i="12"/>
  <c r="CA18" i="17"/>
  <c r="BS23" i="5"/>
  <c r="CA8" i="2"/>
  <c r="CA87" i="2" s="1"/>
  <c r="BZ87" i="2"/>
  <c r="BN70" i="12"/>
  <c r="BN69" i="12" s="1"/>
  <c r="BN43" i="17" s="1"/>
  <c r="K107" i="1"/>
  <c r="K121" i="1" s="1"/>
  <c r="AC79" i="1"/>
  <c r="AP391" i="2"/>
  <c r="AP394" i="2" s="1"/>
  <c r="AU266" i="2"/>
  <c r="AE266" i="2"/>
  <c r="Q266" i="2"/>
  <c r="H266" i="2"/>
  <c r="Z273" i="2"/>
  <c r="G246" i="2"/>
  <c r="K341" i="2"/>
  <c r="J225" i="2"/>
  <c r="BB171" i="2"/>
  <c r="BC223" i="2"/>
  <c r="BC275" i="2"/>
  <c r="BJ250" i="2"/>
  <c r="BQ181" i="2"/>
  <c r="BP139" i="1"/>
  <c r="AQ107" i="1"/>
  <c r="AQ121" i="1" s="1"/>
  <c r="AJ139" i="1"/>
  <c r="AJ141" i="1" s="1"/>
  <c r="AJ144" i="1" s="1"/>
  <c r="CF372" i="1"/>
  <c r="BU89" i="1"/>
  <c r="BU226" i="1"/>
  <c r="BU321" i="2" s="1"/>
  <c r="CD194" i="2"/>
  <c r="CD195" i="2" s="1"/>
  <c r="CE186" i="2"/>
  <c r="BU335" i="2"/>
  <c r="BU351" i="2" s="1"/>
  <c r="BO394" i="2"/>
  <c r="BR12" i="3"/>
  <c r="BP224" i="2"/>
  <c r="BQ210" i="1"/>
  <c r="BV81" i="2"/>
  <c r="BV83" i="17"/>
  <c r="CE381" i="2"/>
  <c r="CE394" i="2" s="1"/>
  <c r="BX77" i="4"/>
  <c r="BY60" i="3"/>
  <c r="CA180" i="1"/>
  <c r="CN56" i="5"/>
  <c r="CN59" i="5" s="1"/>
  <c r="BJ81" i="12"/>
  <c r="BJ80" i="12" s="1"/>
  <c r="N46" i="30" s="1"/>
  <c r="BT109" i="2"/>
  <c r="BZ334" i="2"/>
  <c r="BF245" i="1"/>
  <c r="CE113" i="2"/>
  <c r="CE334" i="2"/>
  <c r="CE350" i="2" s="1"/>
  <c r="BV180" i="1"/>
  <c r="BU8" i="3"/>
  <c r="BZ345" i="2"/>
  <c r="BZ361" i="2" s="1"/>
  <c r="CD345" i="2"/>
  <c r="CD361" i="2" s="1"/>
  <c r="CH112" i="2"/>
  <c r="CD272" i="2"/>
  <c r="BH35" i="12"/>
  <c r="CE232" i="2"/>
  <c r="CE33" i="3"/>
  <c r="CE213" i="1"/>
  <c r="CF185" i="1"/>
  <c r="AM34" i="5"/>
  <c r="Y268" i="2"/>
  <c r="Z286" i="2"/>
  <c r="AC7" i="4"/>
  <c r="AZ41" i="5"/>
  <c r="BA41" i="5" s="1"/>
  <c r="M279" i="2"/>
  <c r="N175" i="2"/>
  <c r="N261" i="2" s="1"/>
  <c r="AH39" i="3"/>
  <c r="AM37" i="5"/>
  <c r="AM36" i="5"/>
  <c r="BF15" i="5"/>
  <c r="BG15" i="5" s="1"/>
  <c r="X40" i="3"/>
  <c r="W33" i="3"/>
  <c r="M226" i="1"/>
  <c r="M321" i="2" s="1"/>
  <c r="W304" i="1"/>
  <c r="AC79" i="2"/>
  <c r="AB164" i="2" s="1"/>
  <c r="I18" i="5"/>
  <c r="AB36" i="1"/>
  <c r="N42" i="3"/>
  <c r="AG13" i="5"/>
  <c r="AH13" i="5" s="1"/>
  <c r="BF307" i="1"/>
  <c r="BT239" i="2"/>
  <c r="BO239" i="2"/>
  <c r="BT118" i="2"/>
  <c r="U153" i="2"/>
  <c r="V272" i="2"/>
  <c r="AM168" i="2"/>
  <c r="H239" i="2"/>
  <c r="D240" i="2"/>
  <c r="T241" i="2"/>
  <c r="Q300" i="2"/>
  <c r="P150" i="2"/>
  <c r="AA69" i="2"/>
  <c r="AL190" i="2"/>
  <c r="K300" i="2"/>
  <c r="AM38" i="17"/>
  <c r="AM40" i="17" s="1"/>
  <c r="AB63" i="4"/>
  <c r="AA120" i="2"/>
  <c r="R84" i="2"/>
  <c r="V213" i="1"/>
  <c r="AB226" i="1"/>
  <c r="AB321" i="2" s="1"/>
  <c r="I308" i="2"/>
  <c r="O334" i="2"/>
  <c r="AM16" i="3"/>
  <c r="AL257" i="2"/>
  <c r="T120" i="2"/>
  <c r="AL221" i="2"/>
  <c r="O191" i="2"/>
  <c r="AA254" i="2"/>
  <c r="AH8" i="17"/>
  <c r="X38" i="17"/>
  <c r="X40" i="17" s="1"/>
  <c r="H33" i="3"/>
  <c r="H29" i="3"/>
  <c r="Z120" i="2"/>
  <c r="AO22" i="5"/>
  <c r="AP22" i="5" s="1"/>
  <c r="AQ22" i="5" s="1"/>
  <c r="AR22" i="5" s="1"/>
  <c r="AL189" i="1"/>
  <c r="AL190" i="1" s="1"/>
  <c r="AZ73" i="1"/>
  <c r="AZ79" i="1" s="1"/>
  <c r="AZ89" i="1" s="1"/>
  <c r="G107" i="1"/>
  <c r="G121" i="1" s="1"/>
  <c r="O153" i="2"/>
  <c r="AO128" i="1"/>
  <c r="AH393" i="2"/>
  <c r="AC384" i="2"/>
  <c r="R340" i="2"/>
  <c r="R356" i="2" s="1"/>
  <c r="AM203" i="1"/>
  <c r="AA190" i="1"/>
  <c r="H27" i="5"/>
  <c r="H18" i="5" s="1"/>
  <c r="H107" i="1"/>
  <c r="H121" i="1" s="1"/>
  <c r="F58" i="17"/>
  <c r="AM185" i="2"/>
  <c r="D190" i="2"/>
  <c r="D191" i="2" s="1"/>
  <c r="W57" i="4"/>
  <c r="Y57" i="4"/>
  <c r="AI182" i="2"/>
  <c r="AI189" i="1"/>
  <c r="AI190" i="1" s="1"/>
  <c r="AV272" i="2"/>
  <c r="AU190" i="2"/>
  <c r="AU191" i="2" s="1"/>
  <c r="AP190" i="2"/>
  <c r="AP191" i="2" s="1"/>
  <c r="AQ272" i="2"/>
  <c r="AL110" i="2"/>
  <c r="AL120" i="2"/>
  <c r="AI29" i="3"/>
  <c r="BN45" i="5"/>
  <c r="BV181" i="2"/>
  <c r="BR267" i="2"/>
  <c r="BS285" i="2"/>
  <c r="BR33" i="3"/>
  <c r="BS206" i="1"/>
  <c r="BS212" i="1"/>
  <c r="BP73" i="1"/>
  <c r="BP79" i="1" s="1"/>
  <c r="BP89" i="1" s="1"/>
  <c r="BP27" i="4"/>
  <c r="BQ67" i="1"/>
  <c r="BQ73" i="1" s="1"/>
  <c r="BQ79" i="1" s="1"/>
  <c r="BQ89" i="1" s="1"/>
  <c r="BM27" i="4"/>
  <c r="BM73" i="1"/>
  <c r="BM79" i="1" s="1"/>
  <c r="BM89" i="1" s="1"/>
  <c r="BE27" i="4"/>
  <c r="BE73" i="1"/>
  <c r="BE79" i="1" s="1"/>
  <c r="BE89" i="1" s="1"/>
  <c r="BC22" i="5"/>
  <c r="BC107" i="1"/>
  <c r="BC121" i="1" s="1"/>
  <c r="BC139" i="1" s="1"/>
  <c r="CB60" i="17"/>
  <c r="CF111" i="12"/>
  <c r="CF60" i="17" s="1"/>
  <c r="CF9" i="1"/>
  <c r="CF6" i="3"/>
  <c r="AB272" i="2"/>
  <c r="AC168" i="2"/>
  <c r="U110" i="2"/>
  <c r="U221" i="2"/>
  <c r="AF254" i="2"/>
  <c r="AP254" i="2"/>
  <c r="P241" i="2"/>
  <c r="S36" i="2"/>
  <c r="AQ254" i="2"/>
  <c r="U79" i="1"/>
  <c r="U89" i="1" s="1"/>
  <c r="S212" i="1"/>
  <c r="AE212" i="1"/>
  <c r="AA153" i="2"/>
  <c r="N50" i="17"/>
  <c r="N52" i="17" s="1"/>
  <c r="AG33" i="4"/>
  <c r="AG39" i="4" s="1"/>
  <c r="E107" i="1"/>
  <c r="E121" i="1" s="1"/>
  <c r="R221" i="2"/>
  <c r="M180" i="1"/>
  <c r="M183" i="1" s="1"/>
  <c r="W185" i="1"/>
  <c r="W182" i="2" s="1"/>
  <c r="W48" i="3" s="1"/>
  <c r="X48" i="3" s="1"/>
  <c r="E308" i="2"/>
  <c r="O308" i="2"/>
  <c r="AA241" i="2"/>
  <c r="U254" i="2"/>
  <c r="AL69" i="2"/>
  <c r="AL153" i="2"/>
  <c r="AR112" i="1"/>
  <c r="AR107" i="1" s="1"/>
  <c r="AR121" i="1" s="1"/>
  <c r="V189" i="1"/>
  <c r="AD10" i="17"/>
  <c r="N274" i="1"/>
  <c r="S271" i="1" s="1"/>
  <c r="S274" i="1" s="1"/>
  <c r="AD190" i="1"/>
  <c r="AQ213" i="1"/>
  <c r="M221" i="2"/>
  <c r="AK139" i="1"/>
  <c r="AK141" i="1" s="1"/>
  <c r="AK144" i="1" s="1"/>
  <c r="E128" i="1"/>
  <c r="E38" i="5"/>
  <c r="AD139" i="1"/>
  <c r="AD141" i="1" s="1"/>
  <c r="AD144" i="1" s="1"/>
  <c r="S50" i="17"/>
  <c r="S52" i="17" s="1"/>
  <c r="O52" i="17"/>
  <c r="AX267" i="2"/>
  <c r="AS267" i="2"/>
  <c r="AT284" i="2"/>
  <c r="AU284" i="2"/>
  <c r="G228" i="2"/>
  <c r="G245" i="2"/>
  <c r="O151" i="2"/>
  <c r="M351" i="2"/>
  <c r="AN33" i="3"/>
  <c r="AO33" i="3"/>
  <c r="BB9" i="4"/>
  <c r="BC29" i="3"/>
  <c r="BB116" i="1"/>
  <c r="BB107" i="1" s="1"/>
  <c r="BB121" i="1" s="1"/>
  <c r="BA107" i="1"/>
  <c r="BA121" i="1" s="1"/>
  <c r="BA139" i="1" s="1"/>
  <c r="AH40" i="3"/>
  <c r="BV46" i="4"/>
  <c r="U337" i="2"/>
  <c r="O221" i="2"/>
  <c r="AP221" i="2"/>
  <c r="AU272" i="2"/>
  <c r="AZ337" i="2"/>
  <c r="AN272" i="2"/>
  <c r="AD63" i="17"/>
  <c r="AD77" i="17" s="1"/>
  <c r="R203" i="1"/>
  <c r="AA337" i="2"/>
  <c r="AJ212" i="1"/>
  <c r="S47" i="4"/>
  <c r="AL241" i="2"/>
  <c r="G63" i="17"/>
  <c r="G77" i="17" s="1"/>
  <c r="AS107" i="1"/>
  <c r="AS121" i="1" s="1"/>
  <c r="AS139" i="1" s="1"/>
  <c r="E86" i="1"/>
  <c r="E88" i="1" s="1"/>
  <c r="E89" i="1" s="1"/>
  <c r="E92" i="1" s="1"/>
  <c r="O33" i="3"/>
  <c r="AM188" i="1"/>
  <c r="L13" i="1"/>
  <c r="AT73" i="1"/>
  <c r="AT79" i="1" s="1"/>
  <c r="AT89" i="1" s="1"/>
  <c r="G190" i="1"/>
  <c r="AP73" i="1"/>
  <c r="AP79" i="1" s="1"/>
  <c r="AP89" i="1" s="1"/>
  <c r="AC44" i="17"/>
  <c r="AC46" i="17" s="1"/>
  <c r="L391" i="2"/>
  <c r="L394" i="2" s="1"/>
  <c r="Z129" i="2"/>
  <c r="Z233" i="2"/>
  <c r="AK84" i="2"/>
  <c r="AK221" i="2"/>
  <c r="AK117" i="2"/>
  <c r="G33" i="3"/>
  <c r="AG22" i="5"/>
  <c r="AH22" i="5" s="1"/>
  <c r="AH80" i="2"/>
  <c r="AP213" i="1"/>
  <c r="AE79" i="1"/>
  <c r="AE89" i="1" s="1"/>
  <c r="AE92" i="1" s="1"/>
  <c r="J89" i="1"/>
  <c r="J92" i="1" s="1"/>
  <c r="M33" i="4"/>
  <c r="M39" i="4" s="1"/>
  <c r="AM55" i="1"/>
  <c r="AM64" i="1" s="1"/>
  <c r="AR55" i="1"/>
  <c r="AR64" i="1" s="1"/>
  <c r="AB15" i="4"/>
  <c r="AB24" i="4" s="1"/>
  <c r="AR13" i="1"/>
  <c r="AC9" i="3"/>
  <c r="AV328" i="2"/>
  <c r="AQ336" i="2"/>
  <c r="AQ352" i="2" s="1"/>
  <c r="AF336" i="2"/>
  <c r="U336" i="2"/>
  <c r="AK335" i="2"/>
  <c r="AK351" i="2" s="1"/>
  <c r="AH185" i="2"/>
  <c r="AW184" i="2"/>
  <c r="AM184" i="2"/>
  <c r="AH184" i="2"/>
  <c r="X184" i="2"/>
  <c r="AW183" i="2"/>
  <c r="AC183" i="2"/>
  <c r="X183" i="2"/>
  <c r="S183" i="2"/>
  <c r="K278" i="2"/>
  <c r="M276" i="2"/>
  <c r="G257" i="2"/>
  <c r="O240" i="2"/>
  <c r="N239" i="2"/>
  <c r="AD224" i="2"/>
  <c r="P153" i="2"/>
  <c r="I91" i="2"/>
  <c r="AG91" i="2"/>
  <c r="AQ221" i="2"/>
  <c r="S32" i="2"/>
  <c r="R97" i="2"/>
  <c r="R107" i="2" s="1"/>
  <c r="S30" i="2"/>
  <c r="X29" i="2"/>
  <c r="M19" i="5"/>
  <c r="N19" i="5" s="1"/>
  <c r="BX108" i="2"/>
  <c r="BX118" i="2"/>
  <c r="CC239" i="2"/>
  <c r="BW194" i="2"/>
  <c r="BW195" i="2" s="1"/>
  <c r="BW264" i="2"/>
  <c r="BW231" i="2"/>
  <c r="BS194" i="2"/>
  <c r="BS195" i="2" s="1"/>
  <c r="BX248" i="2"/>
  <c r="BV300" i="2"/>
  <c r="BV212" i="1"/>
  <c r="AS285" i="2"/>
  <c r="AN285" i="2"/>
  <c r="AF285" i="2"/>
  <c r="AC181" i="2"/>
  <c r="T191" i="2"/>
  <c r="W36" i="1"/>
  <c r="L36" i="1"/>
  <c r="AG304" i="1"/>
  <c r="AR188" i="1"/>
  <c r="X81" i="2"/>
  <c r="AB160" i="1"/>
  <c r="T79" i="1"/>
  <c r="T89" i="1" s="1"/>
  <c r="T92" i="1" s="1"/>
  <c r="N18" i="1"/>
  <c r="AK18" i="1"/>
  <c r="AK24" i="1" s="1"/>
  <c r="AK27" i="1" s="1"/>
  <c r="AK31" i="1" s="1"/>
  <c r="AK33" i="1" s="1"/>
  <c r="AF18" i="1"/>
  <c r="AF24" i="1" s="1"/>
  <c r="AF27" i="1" s="1"/>
  <c r="V18" i="1"/>
  <c r="V24" i="1" s="1"/>
  <c r="G222" i="2"/>
  <c r="AH12" i="2"/>
  <c r="AY33" i="4"/>
  <c r="AY39" i="4" s="1"/>
  <c r="CF333" i="1"/>
  <c r="CG267" i="2"/>
  <c r="CC285" i="2"/>
  <c r="CF181" i="2"/>
  <c r="CK267" i="2" s="1"/>
  <c r="BZ208" i="1"/>
  <c r="BZ213" i="1"/>
  <c r="BZ302" i="2"/>
  <c r="AD46" i="4"/>
  <c r="J46" i="4"/>
  <c r="BD12" i="3"/>
  <c r="BD78" i="4" s="1"/>
  <c r="BD79" i="4" s="1"/>
  <c r="BE222" i="2"/>
  <c r="BR256" i="2"/>
  <c r="BM256" i="2"/>
  <c r="BQ17" i="3"/>
  <c r="BS273" i="2"/>
  <c r="BX255" i="2"/>
  <c r="CA377" i="1"/>
  <c r="CD129" i="2"/>
  <c r="BY129" i="2"/>
  <c r="CA22" i="3"/>
  <c r="BR128" i="2"/>
  <c r="BR232" i="2"/>
  <c r="BW265" i="2"/>
  <c r="BX187" i="2"/>
  <c r="BX189" i="1"/>
  <c r="BX190" i="1" s="1"/>
  <c r="BW59" i="3"/>
  <c r="CA334" i="1"/>
  <c r="CA261" i="1"/>
  <c r="CC46" i="5"/>
  <c r="CD46" i="5" s="1"/>
  <c r="CB33" i="3"/>
  <c r="CF25" i="3"/>
  <c r="AR15" i="3"/>
  <c r="BD238" i="2"/>
  <c r="BX239" i="2"/>
  <c r="BS107" i="2"/>
  <c r="BS117" i="2"/>
  <c r="BT394" i="2"/>
  <c r="BV39" i="3"/>
  <c r="CA352" i="1"/>
  <c r="BX128" i="1"/>
  <c r="BX139" i="1" s="1"/>
  <c r="BX38" i="5"/>
  <c r="BR221" i="2"/>
  <c r="CC10" i="5"/>
  <c r="CB54" i="3"/>
  <c r="CC208" i="1"/>
  <c r="CC302" i="2"/>
  <c r="CE285" i="2"/>
  <c r="CD267" i="2"/>
  <c r="CD285" i="2"/>
  <c r="CE89" i="1"/>
  <c r="CP48" i="3"/>
  <c r="CP187" i="2"/>
  <c r="BB10" i="3"/>
  <c r="AL8" i="3"/>
  <c r="AF8" i="3"/>
  <c r="BQ203" i="1"/>
  <c r="BQ206" i="1" s="1"/>
  <c r="BQ208" i="1" s="1"/>
  <c r="BQ291" i="2"/>
  <c r="BW284" i="2"/>
  <c r="BU266" i="2"/>
  <c r="BZ266" i="2"/>
  <c r="BX127" i="2"/>
  <c r="BX111" i="2"/>
  <c r="CC127" i="2"/>
  <c r="BU221" i="2"/>
  <c r="BV307" i="1"/>
  <c r="BV381" i="2"/>
  <c r="BV394" i="2" s="1"/>
  <c r="CA363" i="1"/>
  <c r="CI127" i="2"/>
  <c r="CD344" i="2"/>
  <c r="CD360" i="2" s="1"/>
  <c r="CP55" i="5"/>
  <c r="S25" i="30"/>
  <c r="CE233" i="2"/>
  <c r="CE266" i="2"/>
  <c r="BC300" i="2"/>
  <c r="BG86" i="1"/>
  <c r="BG88" i="1" s="1"/>
  <c r="BG128" i="1"/>
  <c r="BG180" i="1"/>
  <c r="BG183" i="1" s="1"/>
  <c r="BE326" i="2"/>
  <c r="BL185" i="1"/>
  <c r="BH108" i="2"/>
  <c r="BN267" i="2"/>
  <c r="BM280" i="1"/>
  <c r="BN277" i="1" s="1"/>
  <c r="BN280" i="1" s="1"/>
  <c r="BO277" i="1" s="1"/>
  <c r="BO280" i="1" s="1"/>
  <c r="BP277" i="1" s="1"/>
  <c r="BQ277" i="1" s="1"/>
  <c r="BK307" i="1"/>
  <c r="BQ81" i="2"/>
  <c r="BW337" i="2"/>
  <c r="BT8" i="3"/>
  <c r="BR49" i="3"/>
  <c r="BV188" i="1"/>
  <c r="BS232" i="2"/>
  <c r="BX283" i="2"/>
  <c r="BT221" i="2"/>
  <c r="BY238" i="2"/>
  <c r="CB345" i="2"/>
  <c r="CB361" i="2" s="1"/>
  <c r="BX76" i="4"/>
  <c r="CB195" i="2"/>
  <c r="CB38" i="5"/>
  <c r="BT70" i="12"/>
  <c r="AW107" i="1"/>
  <c r="AW121" i="1" s="1"/>
  <c r="AZ139" i="1"/>
  <c r="BD107" i="1"/>
  <c r="BD121" i="1" s="1"/>
  <c r="BD139" i="1" s="1"/>
  <c r="BM274" i="2"/>
  <c r="BN33" i="3"/>
  <c r="BT110" i="2"/>
  <c r="BP284" i="2"/>
  <c r="BV160" i="1"/>
  <c r="BV183" i="2"/>
  <c r="BX257" i="2"/>
  <c r="BT224" i="2"/>
  <c r="BT89" i="1"/>
  <c r="CC241" i="2"/>
  <c r="CA17" i="3"/>
  <c r="BX265" i="2"/>
  <c r="BX249" i="2"/>
  <c r="BY265" i="2"/>
  <c r="BZ231" i="2"/>
  <c r="CA165" i="1"/>
  <c r="CA18" i="1"/>
  <c r="CA24" i="1" s="1"/>
  <c r="CA27" i="1" s="1"/>
  <c r="BZ186" i="2"/>
  <c r="BZ189" i="1"/>
  <c r="BZ190" i="1" s="1"/>
  <c r="BW221" i="2"/>
  <c r="CD139" i="1"/>
  <c r="CO56" i="5"/>
  <c r="CF62" i="12"/>
  <c r="BV62" i="12"/>
  <c r="BK81" i="12"/>
  <c r="BK80" i="12" s="1"/>
  <c r="BP81" i="12"/>
  <c r="BY70" i="12"/>
  <c r="CE231" i="2"/>
  <c r="CE18" i="1"/>
  <c r="CE24" i="1" s="1"/>
  <c r="CE27" i="1" s="1"/>
  <c r="CF56" i="4"/>
  <c r="BJ336" i="2"/>
  <c r="BL39" i="3"/>
  <c r="BM273" i="2"/>
  <c r="BL180" i="1"/>
  <c r="BL183" i="1" s="1"/>
  <c r="BR255" i="2"/>
  <c r="BN213" i="1"/>
  <c r="BZ328" i="2"/>
  <c r="BP8" i="3"/>
  <c r="BV387" i="1"/>
  <c r="BW89" i="1"/>
  <c r="BX223" i="2"/>
  <c r="BY139" i="1"/>
  <c r="BW283" i="2"/>
  <c r="CA73" i="1"/>
  <c r="CA79" i="1" s="1"/>
  <c r="CF266" i="1"/>
  <c r="CC89" i="1"/>
  <c r="BL73" i="12"/>
  <c r="BV73" i="12"/>
  <c r="BO81" i="12"/>
  <c r="BO80" i="12" s="1"/>
  <c r="BO31" i="17" s="1"/>
  <c r="CF165" i="1"/>
  <c r="CF183" i="1"/>
  <c r="BI81" i="12"/>
  <c r="BI80" i="12" s="1"/>
  <c r="M46" i="30" s="1"/>
  <c r="BN81" i="12"/>
  <c r="BS81" i="12"/>
  <c r="BS80" i="12" s="1"/>
  <c r="BS31" i="17" s="1"/>
  <c r="BX81" i="12"/>
  <c r="BX80" i="12" s="1"/>
  <c r="BX31" i="17" s="1"/>
  <c r="CF86" i="1"/>
  <c r="CF88" i="1" s="1"/>
  <c r="CF261" i="1"/>
  <c r="CE307" i="1"/>
  <c r="BZ10" i="5"/>
  <c r="CP364" i="1"/>
  <c r="U35" i="1"/>
  <c r="U29" i="1"/>
  <c r="U31" i="1"/>
  <c r="U33" i="1" s="1"/>
  <c r="Z35" i="1"/>
  <c r="Z31" i="1"/>
  <c r="Z33" i="1" s="1"/>
  <c r="BK13" i="5"/>
  <c r="BL13" i="5" s="1"/>
  <c r="AT55" i="5"/>
  <c r="AR43" i="5"/>
  <c r="CB76" i="4"/>
  <c r="AU34" i="5"/>
  <c r="AV34" i="5" s="1"/>
  <c r="AV55" i="5" s="1"/>
  <c r="S316" i="1"/>
  <c r="BF213" i="1"/>
  <c r="BY36" i="5"/>
  <c r="BQ60" i="4"/>
  <c r="AJ213" i="1"/>
  <c r="BE42" i="5"/>
  <c r="BF42" i="5" s="1"/>
  <c r="AW40" i="5"/>
  <c r="CF43" i="5"/>
  <c r="BZ307" i="1"/>
  <c r="BZ381" i="2"/>
  <c r="BZ394" i="2" s="1"/>
  <c r="BZ83" i="17"/>
  <c r="CA83" i="17" s="1"/>
  <c r="BQ314" i="1"/>
  <c r="BQ312" i="1" s="1"/>
  <c r="AB33" i="4"/>
  <c r="AB39" i="4" s="1"/>
  <c r="AG17" i="5"/>
  <c r="AF27" i="5"/>
  <c r="AG27" i="5" s="1"/>
  <c r="X7" i="4"/>
  <c r="W60" i="4"/>
  <c r="W61" i="4" s="1"/>
  <c r="BG36" i="1"/>
  <c r="BG32" i="1"/>
  <c r="BG137" i="1"/>
  <c r="BG292" i="2"/>
  <c r="BH336" i="2" s="1"/>
  <c r="BG203" i="1"/>
  <c r="BF57" i="4"/>
  <c r="BH57" i="4"/>
  <c r="AL41" i="5"/>
  <c r="CD49" i="5"/>
  <c r="S38" i="4"/>
  <c r="M73" i="1"/>
  <c r="N79" i="1"/>
  <c r="M79" i="1" s="1"/>
  <c r="N31" i="4"/>
  <c r="M63" i="4"/>
  <c r="S13" i="4"/>
  <c r="S15" i="4" s="1"/>
  <c r="AC11" i="4"/>
  <c r="AC9" i="4"/>
  <c r="N9" i="4"/>
  <c r="M76" i="4"/>
  <c r="AG15" i="4"/>
  <c r="BH33" i="4"/>
  <c r="CK261" i="1"/>
  <c r="BL319" i="2"/>
  <c r="AO47" i="5"/>
  <c r="AP47" i="5" s="1"/>
  <c r="AQ47" i="5" s="1"/>
  <c r="AX35" i="1"/>
  <c r="AX37" i="1" s="1"/>
  <c r="AX31" i="1"/>
  <c r="AX33" i="1" s="1"/>
  <c r="AP9" i="5"/>
  <c r="AA40" i="5"/>
  <c r="AG318" i="2"/>
  <c r="AG328" i="2" s="1"/>
  <c r="AG226" i="1"/>
  <c r="AG321" i="2" s="1"/>
  <c r="R316" i="2"/>
  <c r="R326" i="2" s="1"/>
  <c r="R226" i="1"/>
  <c r="R321" i="2" s="1"/>
  <c r="S294" i="2"/>
  <c r="R338" i="2"/>
  <c r="R354" i="2" s="1"/>
  <c r="R300" i="2"/>
  <c r="W291" i="2"/>
  <c r="W203" i="1"/>
  <c r="CC76" i="4"/>
  <c r="BI213" i="1"/>
  <c r="M307" i="1"/>
  <c r="CF27" i="5"/>
  <c r="AM26" i="5"/>
  <c r="BB34" i="5"/>
  <c r="AK31" i="5"/>
  <c r="R10" i="17"/>
  <c r="AB307" i="1"/>
  <c r="R307" i="1"/>
  <c r="W83" i="17"/>
  <c r="W381" i="2"/>
  <c r="X381" i="2" s="1"/>
  <c r="N174" i="2"/>
  <c r="M277" i="2"/>
  <c r="M178" i="2"/>
  <c r="AC27" i="4"/>
  <c r="BG73" i="1"/>
  <c r="BG79" i="1" s="1"/>
  <c r="AZ208" i="1"/>
  <c r="AZ213" i="1"/>
  <c r="H261" i="1"/>
  <c r="D261" i="1"/>
  <c r="C261" i="1"/>
  <c r="Z206" i="1"/>
  <c r="Z212" i="1"/>
  <c r="N206" i="1"/>
  <c r="M203" i="1"/>
  <c r="AG293" i="2"/>
  <c r="AG203" i="1"/>
  <c r="AG212" i="1" s="1"/>
  <c r="AG257" i="2"/>
  <c r="R274" i="2"/>
  <c r="W256" i="2"/>
  <c r="AK165" i="1"/>
  <c r="AM160" i="1"/>
  <c r="AM165" i="1" s="1"/>
  <c r="AB152" i="2"/>
  <c r="AG119" i="2"/>
  <c r="AG109" i="2"/>
  <c r="V37" i="4"/>
  <c r="V79" i="1"/>
  <c r="V89" i="1" s="1"/>
  <c r="V92" i="1" s="1"/>
  <c r="O79" i="1"/>
  <c r="O89" i="1" s="1"/>
  <c r="O92" i="1" s="1"/>
  <c r="O37" i="4"/>
  <c r="W63" i="4"/>
  <c r="S27" i="4"/>
  <c r="AH18" i="4"/>
  <c r="R55" i="1"/>
  <c r="S64" i="1"/>
  <c r="R64" i="1" s="1"/>
  <c r="J40" i="17"/>
  <c r="N38" i="17"/>
  <c r="N40" i="17" s="1"/>
  <c r="AK10" i="17"/>
  <c r="AK79" i="17" s="1"/>
  <c r="AK84" i="17" s="1"/>
  <c r="AK63" i="17"/>
  <c r="AK77" i="17" s="1"/>
  <c r="L63" i="17"/>
  <c r="L77" i="17" s="1"/>
  <c r="L10" i="17"/>
  <c r="L79" i="17" s="1"/>
  <c r="BA335" i="2"/>
  <c r="BA351" i="2" s="1"/>
  <c r="AZ335" i="2"/>
  <c r="AZ351" i="2" s="1"/>
  <c r="AZ300" i="2"/>
  <c r="AZ302" i="2" s="1"/>
  <c r="AZ304" i="2" s="1"/>
  <c r="AU300" i="2"/>
  <c r="AU335" i="2"/>
  <c r="AU351" i="2" s="1"/>
  <c r="AP300" i="2"/>
  <c r="AQ335" i="2"/>
  <c r="AI308" i="2"/>
  <c r="AJ334" i="2"/>
  <c r="AA308" i="2"/>
  <c r="AA334" i="2"/>
  <c r="P334" i="2"/>
  <c r="P350" i="2" s="1"/>
  <c r="P308" i="2"/>
  <c r="G244" i="2"/>
  <c r="G227" i="2"/>
  <c r="G178" i="2"/>
  <c r="L277" i="2"/>
  <c r="Q259" i="2"/>
  <c r="L226" i="2"/>
  <c r="Q258" i="2"/>
  <c r="L178" i="2"/>
  <c r="N172" i="2"/>
  <c r="H258" i="2"/>
  <c r="I258" i="2"/>
  <c r="AX257" i="2"/>
  <c r="AW171" i="2"/>
  <c r="AT275" i="2"/>
  <c r="AO275" i="2"/>
  <c r="AN241" i="2"/>
  <c r="AJ275" i="2"/>
  <c r="AI224" i="2"/>
  <c r="AA257" i="2"/>
  <c r="AC171" i="2"/>
  <c r="AA178" i="2"/>
  <c r="U257" i="2"/>
  <c r="U275" i="2"/>
  <c r="U241" i="2"/>
  <c r="O257" i="2"/>
  <c r="P275" i="2"/>
  <c r="O224" i="2"/>
  <c r="O275" i="2"/>
  <c r="K275" i="2"/>
  <c r="K224" i="2"/>
  <c r="C241" i="2"/>
  <c r="C224" i="2"/>
  <c r="AQ274" i="2"/>
  <c r="AV256" i="2"/>
  <c r="AV240" i="2"/>
  <c r="AL223" i="2"/>
  <c r="AN274" i="2"/>
  <c r="AM170" i="2"/>
  <c r="AK256" i="2"/>
  <c r="AF223" i="2"/>
  <c r="AE256" i="2"/>
  <c r="AA274" i="2"/>
  <c r="Z256" i="2"/>
  <c r="Y256" i="2"/>
  <c r="U274" i="2"/>
  <c r="X170" i="2"/>
  <c r="T256" i="2"/>
  <c r="N223" i="2"/>
  <c r="N240" i="2"/>
  <c r="F223" i="2"/>
  <c r="G256" i="2"/>
  <c r="AQ239" i="2"/>
  <c r="AV255" i="2"/>
  <c r="AQ255" i="2"/>
  <c r="AQ178" i="2"/>
  <c r="AR169" i="2"/>
  <c r="AL178" i="2"/>
  <c r="AK255" i="2"/>
  <c r="AF178" i="2"/>
  <c r="AF273" i="2"/>
  <c r="AE255" i="2"/>
  <c r="Z222" i="2"/>
  <c r="T273" i="2"/>
  <c r="Y239" i="2"/>
  <c r="T222" i="2"/>
  <c r="O255" i="2"/>
  <c r="O239" i="2"/>
  <c r="J222" i="2"/>
  <c r="G255" i="2"/>
  <c r="F239" i="2"/>
  <c r="AQ120" i="2"/>
  <c r="AV120" i="2"/>
  <c r="AQ337" i="2"/>
  <c r="AV241" i="2"/>
  <c r="AQ69" i="2"/>
  <c r="AQ241" i="2"/>
  <c r="AI153" i="2"/>
  <c r="AI110" i="2"/>
  <c r="V153" i="2"/>
  <c r="V224" i="2"/>
  <c r="W153" i="2"/>
  <c r="X40" i="2"/>
  <c r="AJ118" i="2"/>
  <c r="AM38" i="2"/>
  <c r="AJ160" i="2" s="1"/>
  <c r="AE222" i="2"/>
  <c r="AH38" i="2"/>
  <c r="AE335" i="2"/>
  <c r="AE351" i="2" s="1"/>
  <c r="AE108" i="2"/>
  <c r="AE69" i="2"/>
  <c r="AE82" i="2" s="1"/>
  <c r="AE136" i="2" s="1"/>
  <c r="AD118" i="2"/>
  <c r="Y335" i="2"/>
  <c r="Q222" i="2"/>
  <c r="V118" i="2"/>
  <c r="AN150" i="2"/>
  <c r="AL150" i="2"/>
  <c r="AL334" i="2"/>
  <c r="AL350" i="2" s="1"/>
  <c r="AL84" i="2"/>
  <c r="F84" i="2"/>
  <c r="F221" i="2"/>
  <c r="E33" i="3"/>
  <c r="AM39" i="3"/>
  <c r="L29" i="3"/>
  <c r="AW18" i="1"/>
  <c r="AW24" i="1" s="1"/>
  <c r="AW27" i="1" s="1"/>
  <c r="AW29" i="1" s="1"/>
  <c r="AW256" i="1"/>
  <c r="AW253" i="1"/>
  <c r="AW260" i="1"/>
  <c r="AW254" i="1"/>
  <c r="AV15" i="4"/>
  <c r="AW9" i="4"/>
  <c r="AW318" i="2"/>
  <c r="AW328" i="2" s="1"/>
  <c r="AW226" i="1"/>
  <c r="AW321" i="2" s="1"/>
  <c r="AX307" i="1"/>
  <c r="BB304" i="1"/>
  <c r="BB307" i="1" s="1"/>
  <c r="AY185" i="2"/>
  <c r="BB188" i="1"/>
  <c r="AY189" i="1"/>
  <c r="AY15" i="4"/>
  <c r="AY60" i="4"/>
  <c r="BC20" i="17"/>
  <c r="BB42" i="3"/>
  <c r="BB7" i="4"/>
  <c r="AO107" i="1"/>
  <c r="AO121" i="1" s="1"/>
  <c r="BI29" i="5"/>
  <c r="BN108" i="2"/>
  <c r="BI108" i="2"/>
  <c r="BL17" i="3"/>
  <c r="BV25" i="5"/>
  <c r="BB13" i="5"/>
  <c r="AA268" i="1"/>
  <c r="R268" i="1"/>
  <c r="W171" i="2"/>
  <c r="W180" i="1"/>
  <c r="W183" i="1" s="1"/>
  <c r="W168" i="2"/>
  <c r="X168" i="2" s="1"/>
  <c r="J165" i="1"/>
  <c r="M160" i="1"/>
  <c r="O38" i="5"/>
  <c r="O128" i="1"/>
  <c r="J38" i="5"/>
  <c r="J128" i="1"/>
  <c r="Q107" i="1"/>
  <c r="Q121" i="1" s="1"/>
  <c r="Q139" i="1" s="1"/>
  <c r="Q141" i="1" s="1"/>
  <c r="Q144" i="1" s="1"/>
  <c r="M60" i="4"/>
  <c r="M61" i="4" s="1"/>
  <c r="N7" i="4"/>
  <c r="AG36" i="1"/>
  <c r="AG32" i="1"/>
  <c r="S32" i="1"/>
  <c r="R28" i="1"/>
  <c r="K25" i="3"/>
  <c r="K32" i="1"/>
  <c r="S52" i="12"/>
  <c r="R328" i="2" s="1"/>
  <c r="Q55" i="12"/>
  <c r="S55" i="12" s="1"/>
  <c r="Z46" i="17"/>
  <c r="Z63" i="17"/>
  <c r="Z77" i="17" s="1"/>
  <c r="H28" i="17"/>
  <c r="H79" i="17" s="1"/>
  <c r="H90" i="17" s="1"/>
  <c r="H63" i="17"/>
  <c r="H77" i="17" s="1"/>
  <c r="E28" i="17"/>
  <c r="E63" i="17"/>
  <c r="E77" i="17" s="1"/>
  <c r="AE268" i="2"/>
  <c r="N381" i="2"/>
  <c r="O213" i="1"/>
  <c r="N190" i="1"/>
  <c r="P212" i="1"/>
  <c r="P165" i="1"/>
  <c r="F31" i="5"/>
  <c r="F18" i="5" s="1"/>
  <c r="F107" i="1"/>
  <c r="F121" i="1" s="1"/>
  <c r="F139" i="1" s="1"/>
  <c r="F141" i="1" s="1"/>
  <c r="F144" i="1" s="1"/>
  <c r="H16" i="5"/>
  <c r="AU89" i="1"/>
  <c r="AN89" i="1"/>
  <c r="AO16" i="17"/>
  <c r="AO63" i="17"/>
  <c r="AO77" i="17" s="1"/>
  <c r="AJ60" i="4"/>
  <c r="AE15" i="4"/>
  <c r="U45" i="5"/>
  <c r="BM129" i="2"/>
  <c r="BL79" i="2"/>
  <c r="BH222" i="2"/>
  <c r="BH239" i="2"/>
  <c r="BH284" i="2"/>
  <c r="BH250" i="2"/>
  <c r="BN255" i="2"/>
  <c r="BN273" i="2"/>
  <c r="BO33" i="3"/>
  <c r="BY33" i="5"/>
  <c r="BZ33" i="5" s="1"/>
  <c r="CA33" i="5" s="1"/>
  <c r="BX55" i="5"/>
  <c r="AR73" i="1"/>
  <c r="AR79" i="1" s="1"/>
  <c r="Q268" i="1"/>
  <c r="AD337" i="2"/>
  <c r="X190" i="1"/>
  <c r="AT182" i="2"/>
  <c r="AT189" i="1"/>
  <c r="AM128" i="1"/>
  <c r="R28" i="17"/>
  <c r="S26" i="17"/>
  <c r="S28" i="17" s="1"/>
  <c r="BC213" i="1"/>
  <c r="G128" i="1"/>
  <c r="E268" i="2"/>
  <c r="AC185" i="2"/>
  <c r="S184" i="2"/>
  <c r="D190" i="1"/>
  <c r="AG224" i="2"/>
  <c r="AG256" i="2"/>
  <c r="AN213" i="1"/>
  <c r="F213" i="1"/>
  <c r="R120" i="1"/>
  <c r="M26" i="5"/>
  <c r="N26" i="5" s="1"/>
  <c r="AB25" i="5"/>
  <c r="AC25" i="5" s="1"/>
  <c r="Z89" i="1"/>
  <c r="Z92" i="1" s="1"/>
  <c r="C89" i="1"/>
  <c r="C92" i="1" s="1"/>
  <c r="AB73" i="1"/>
  <c r="L89" i="1"/>
  <c r="L92" i="1" s="1"/>
  <c r="AS18" i="1"/>
  <c r="AS24" i="1" s="1"/>
  <c r="AS27" i="1" s="1"/>
  <c r="AS35" i="1" s="1"/>
  <c r="AS37" i="1" s="1"/>
  <c r="AN18" i="1"/>
  <c r="AN24" i="1" s="1"/>
  <c r="AN27" i="1" s="1"/>
  <c r="AN29" i="1" s="1"/>
  <c r="W13" i="1"/>
  <c r="G18" i="1"/>
  <c r="G24" i="1" s="1"/>
  <c r="G27" i="1" s="1"/>
  <c r="G35" i="1" s="1"/>
  <c r="AM13" i="1"/>
  <c r="AI326" i="2"/>
  <c r="O279" i="2"/>
  <c r="AC15" i="3"/>
  <c r="AB15" i="5"/>
  <c r="AC15" i="5" s="1"/>
  <c r="AW391" i="2"/>
  <c r="BG45" i="3"/>
  <c r="BL49" i="5"/>
  <c r="BI139" i="1"/>
  <c r="BR113" i="2"/>
  <c r="T190" i="1"/>
  <c r="AT213" i="1"/>
  <c r="W41" i="5"/>
  <c r="X41" i="5" s="1"/>
  <c r="I89" i="1"/>
  <c r="AC46" i="4"/>
  <c r="W12" i="3"/>
  <c r="W77" i="4" s="1"/>
  <c r="AG8" i="3"/>
  <c r="AG59" i="3" s="1"/>
  <c r="W8" i="3"/>
  <c r="T79" i="17"/>
  <c r="T84" i="17" s="1"/>
  <c r="T285" i="2"/>
  <c r="AX213" i="1"/>
  <c r="BJ109" i="2"/>
  <c r="BR129" i="2"/>
  <c r="BM113" i="2"/>
  <c r="BN40" i="5"/>
  <c r="AH212" i="1"/>
  <c r="I268" i="2"/>
  <c r="AF190" i="1"/>
  <c r="AR180" i="1"/>
  <c r="AR183" i="1" s="1"/>
  <c r="AI213" i="1"/>
  <c r="AB36" i="5"/>
  <c r="AC36" i="5" s="1"/>
  <c r="K128" i="1"/>
  <c r="P31" i="5"/>
  <c r="Q31" i="5" s="1"/>
  <c r="G18" i="5"/>
  <c r="AE139" i="1"/>
  <c r="AE141" i="1" s="1"/>
  <c r="AE144" i="1" s="1"/>
  <c r="K89" i="1"/>
  <c r="K92" i="1" s="1"/>
  <c r="F46" i="4"/>
  <c r="F48" i="4" s="1"/>
  <c r="AM86" i="1"/>
  <c r="AM88" i="1" s="1"/>
  <c r="AA89" i="1"/>
  <c r="AA92" i="1" s="1"/>
  <c r="H89" i="1"/>
  <c r="H92" i="1" s="1"/>
  <c r="C24" i="1"/>
  <c r="C27" i="1" s="1"/>
  <c r="AQ18" i="1"/>
  <c r="AQ24" i="1" s="1"/>
  <c r="AQ27" i="1" s="1"/>
  <c r="AQ35" i="1" s="1"/>
  <c r="AQ37" i="1" s="1"/>
  <c r="AH18" i="1"/>
  <c r="AW330" i="2"/>
  <c r="P327" i="2"/>
  <c r="AT91" i="2"/>
  <c r="AT94" i="2" s="1"/>
  <c r="BD185" i="2"/>
  <c r="BD186" i="2" s="1"/>
  <c r="BD189" i="1"/>
  <c r="BK113" i="2"/>
  <c r="BK129" i="2"/>
  <c r="BM185" i="2"/>
  <c r="BM189" i="1"/>
  <c r="BS266" i="2"/>
  <c r="BN250" i="2"/>
  <c r="D63" i="17"/>
  <c r="D77" i="17" s="1"/>
  <c r="K79" i="17"/>
  <c r="K84" i="17" s="1"/>
  <c r="AJ79" i="17"/>
  <c r="AJ84" i="17" s="1"/>
  <c r="X393" i="2"/>
  <c r="E391" i="2"/>
  <c r="E394" i="2" s="1"/>
  <c r="S388" i="2"/>
  <c r="AH384" i="2"/>
  <c r="AD391" i="2"/>
  <c r="AD394" i="2" s="1"/>
  <c r="V391" i="2"/>
  <c r="V394" i="2" s="1"/>
  <c r="S382" i="2"/>
  <c r="L340" i="2"/>
  <c r="J338" i="2"/>
  <c r="AL337" i="2"/>
  <c r="Z337" i="2"/>
  <c r="T300" i="2"/>
  <c r="T302" i="2" s="1"/>
  <c r="T304" i="2" s="1"/>
  <c r="AV308" i="2"/>
  <c r="AQ308" i="2"/>
  <c r="AC48" i="3"/>
  <c r="V221" i="2"/>
  <c r="AN223" i="2"/>
  <c r="AD109" i="2"/>
  <c r="AH13" i="2"/>
  <c r="X9" i="3"/>
  <c r="BE107" i="2"/>
  <c r="BG12" i="5"/>
  <c r="BG55" i="1"/>
  <c r="BG64" i="1" s="1"/>
  <c r="BG326" i="2"/>
  <c r="BL15" i="3"/>
  <c r="BI256" i="2"/>
  <c r="BL10" i="3"/>
  <c r="BK336" i="2"/>
  <c r="BK352" i="2" s="1"/>
  <c r="G87" i="2"/>
  <c r="AM12" i="2"/>
  <c r="AH14" i="3"/>
  <c r="AU8" i="3"/>
  <c r="AK46" i="4"/>
  <c r="AJ46" i="4"/>
  <c r="V46" i="4"/>
  <c r="P46" i="4"/>
  <c r="AK15" i="4"/>
  <c r="R43" i="5"/>
  <c r="S43" i="5" s="1"/>
  <c r="AV89" i="1"/>
  <c r="BF18" i="1"/>
  <c r="BF24" i="1" s="1"/>
  <c r="BF27" i="1" s="1"/>
  <c r="BF29" i="1" s="1"/>
  <c r="BF40" i="1" s="1"/>
  <c r="BG210" i="1"/>
  <c r="BI238" i="2"/>
  <c r="BJ275" i="2"/>
  <c r="BI336" i="2"/>
  <c r="BI352" i="2" s="1"/>
  <c r="BL137" i="1"/>
  <c r="BL45" i="3"/>
  <c r="BN335" i="2"/>
  <c r="BN351" i="2" s="1"/>
  <c r="BN8" i="3"/>
  <c r="AS49" i="3"/>
  <c r="AW169" i="2"/>
  <c r="AJ273" i="2"/>
  <c r="P273" i="2"/>
  <c r="K222" i="2"/>
  <c r="C239" i="2"/>
  <c r="G343" i="2"/>
  <c r="G359" i="2" s="1"/>
  <c r="G375" i="2" s="1"/>
  <c r="P339" i="2"/>
  <c r="P355" i="2" s="1"/>
  <c r="J226" i="2"/>
  <c r="H101" i="2"/>
  <c r="H104" i="2" s="1"/>
  <c r="X65" i="2"/>
  <c r="AW38" i="2"/>
  <c r="AI91" i="2"/>
  <c r="S31" i="2"/>
  <c r="M44" i="5"/>
  <c r="N44" i="5" s="1"/>
  <c r="BG11" i="3"/>
  <c r="BE267" i="2"/>
  <c r="BG184" i="2"/>
  <c r="BD18" i="1"/>
  <c r="BD24" i="1" s="1"/>
  <c r="BD27" i="1" s="1"/>
  <c r="BD29" i="1" s="1"/>
  <c r="BD110" i="2"/>
  <c r="BG13" i="1"/>
  <c r="BH191" i="2"/>
  <c r="BK8" i="3"/>
  <c r="BL11" i="3"/>
  <c r="BR239" i="2"/>
  <c r="BM110" i="2"/>
  <c r="BO337" i="2"/>
  <c r="BO113" i="2"/>
  <c r="BO334" i="2"/>
  <c r="CF374" i="1"/>
  <c r="BP46" i="4"/>
  <c r="BP226" i="1"/>
  <c r="BP321" i="2" s="1"/>
  <c r="BR18" i="1"/>
  <c r="BR24" i="1" s="1"/>
  <c r="BR27" i="1" s="1"/>
  <c r="BR35" i="1" s="1"/>
  <c r="BR37" i="1" s="1"/>
  <c r="BS89" i="1"/>
  <c r="CA345" i="1"/>
  <c r="CC394" i="2"/>
  <c r="BU186" i="2"/>
  <c r="BU233" i="2"/>
  <c r="BV45" i="3"/>
  <c r="BW224" i="2"/>
  <c r="BW255" i="2"/>
  <c r="CA181" i="2"/>
  <c r="BY231" i="2"/>
  <c r="BT112" i="2"/>
  <c r="CA46" i="4"/>
  <c r="CA212" i="1"/>
  <c r="CA55" i="1"/>
  <c r="CA64" i="1" s="1"/>
  <c r="CF81" i="2"/>
  <c r="CF42" i="3"/>
  <c r="CD304" i="2"/>
  <c r="CD46" i="4"/>
  <c r="CD67" i="3"/>
  <c r="BQ15" i="12"/>
  <c r="BV17" i="12"/>
  <c r="CA19" i="12"/>
  <c r="CA25" i="12"/>
  <c r="CA62" i="12"/>
  <c r="CE107" i="1"/>
  <c r="CE121" i="1" s="1"/>
  <c r="CF128" i="1"/>
  <c r="CE15" i="4"/>
  <c r="CE33" i="4"/>
  <c r="CE39" i="4" s="1"/>
  <c r="CE46" i="4"/>
  <c r="BR285" i="2"/>
  <c r="BV185" i="1"/>
  <c r="BV80" i="2"/>
  <c r="BS185" i="2"/>
  <c r="BV185" i="2" s="1"/>
  <c r="G55" i="5"/>
  <c r="CA339" i="1"/>
  <c r="BT212" i="1"/>
  <c r="CA185" i="2"/>
  <c r="CA45" i="3"/>
  <c r="BX82" i="2"/>
  <c r="CC267" i="2"/>
  <c r="BS283" i="2"/>
  <c r="BW232" i="2"/>
  <c r="CF8" i="2"/>
  <c r="CF87" i="2" s="1"/>
  <c r="BV165" i="1"/>
  <c r="BV213" i="1" s="1"/>
  <c r="BV9" i="1"/>
  <c r="BW189" i="1"/>
  <c r="BW190" i="1" s="1"/>
  <c r="CK328" i="2"/>
  <c r="CI107" i="2"/>
  <c r="CD89" i="1"/>
  <c r="BH81" i="12"/>
  <c r="CF64" i="12"/>
  <c r="CE137" i="1"/>
  <c r="CF180" i="1"/>
  <c r="BZ81" i="12"/>
  <c r="CF55" i="1"/>
  <c r="CF64" i="1" s="1"/>
  <c r="BS139" i="1"/>
  <c r="F55" i="5"/>
  <c r="CA184" i="2"/>
  <c r="BX213" i="1"/>
  <c r="CA20" i="3"/>
  <c r="BW238" i="2"/>
  <c r="BY195" i="2"/>
  <c r="BT337" i="2"/>
  <c r="BD391" i="2"/>
  <c r="BD394" i="2" s="1"/>
  <c r="BP49" i="3"/>
  <c r="BP109" i="2"/>
  <c r="BQ80" i="2"/>
  <c r="BV16" i="3"/>
  <c r="CF394" i="2"/>
  <c r="E55" i="5"/>
  <c r="BT18" i="1"/>
  <c r="BT24" i="1" s="1"/>
  <c r="BT27" i="1" s="1"/>
  <c r="BT29" i="1" s="1"/>
  <c r="CA42" i="3"/>
  <c r="CA160" i="1"/>
  <c r="BY221" i="2"/>
  <c r="BY186" i="2"/>
  <c r="BY188" i="2" s="1"/>
  <c r="BY213" i="2" s="1"/>
  <c r="BS221" i="2"/>
  <c r="BZ250" i="2"/>
  <c r="BZ233" i="2"/>
  <c r="CF13" i="1"/>
  <c r="CG107" i="2"/>
  <c r="CJ266" i="2"/>
  <c r="CB81" i="12"/>
  <c r="BR35" i="12"/>
  <c r="CE208" i="1"/>
  <c r="CE128" i="1"/>
  <c r="CF73" i="1"/>
  <c r="CF79" i="1" s="1"/>
  <c r="P29" i="1"/>
  <c r="P35" i="1"/>
  <c r="P31" i="1"/>
  <c r="P33" i="1" s="1"/>
  <c r="AV29" i="5"/>
  <c r="AW29" i="5" s="1"/>
  <c r="AG49" i="5"/>
  <c r="AH49" i="5" s="1"/>
  <c r="W19" i="5"/>
  <c r="X19" i="5" s="1"/>
  <c r="M25" i="5"/>
  <c r="N25" i="5" s="1"/>
  <c r="AQ41" i="5"/>
  <c r="AR41" i="5" s="1"/>
  <c r="CF19" i="5"/>
  <c r="BB11" i="5"/>
  <c r="AW36" i="5"/>
  <c r="W12" i="5"/>
  <c r="AR37" i="5"/>
  <c r="W47" i="5"/>
  <c r="X47" i="5" s="1"/>
  <c r="AO29" i="1"/>
  <c r="BA29" i="5"/>
  <c r="BB29" i="5" s="1"/>
  <c r="AW14" i="5"/>
  <c r="AQ26" i="5"/>
  <c r="AR26" i="5" s="1"/>
  <c r="BL42" i="5"/>
  <c r="CC57" i="4"/>
  <c r="BK31" i="1"/>
  <c r="BK33" i="1" s="1"/>
  <c r="BK29" i="1"/>
  <c r="BF37" i="5"/>
  <c r="BG37" i="5" s="1"/>
  <c r="AE213" i="1"/>
  <c r="AE208" i="1"/>
  <c r="R206" i="1"/>
  <c r="S208" i="1"/>
  <c r="R208" i="1" s="1"/>
  <c r="S213" i="1"/>
  <c r="I208" i="1"/>
  <c r="I213" i="1"/>
  <c r="G268" i="2"/>
  <c r="F268" i="2"/>
  <c r="S180" i="2"/>
  <c r="W250" i="2"/>
  <c r="T284" i="2"/>
  <c r="W266" i="2"/>
  <c r="R233" i="2"/>
  <c r="R266" i="2"/>
  <c r="AF213" i="1"/>
  <c r="AG165" i="1"/>
  <c r="K213" i="1"/>
  <c r="M340" i="2"/>
  <c r="M356" i="2" s="1"/>
  <c r="N43" i="2"/>
  <c r="N123" i="2" s="1"/>
  <c r="R123" i="2"/>
  <c r="M227" i="2"/>
  <c r="R241" i="2"/>
  <c r="S40" i="2"/>
  <c r="O162" i="2" s="1"/>
  <c r="T153" i="2"/>
  <c r="W110" i="2"/>
  <c r="AG150" i="2"/>
  <c r="AG221" i="2"/>
  <c r="AH40" i="4"/>
  <c r="AH46" i="4" s="1"/>
  <c r="AG46" i="4"/>
  <c r="R33" i="4"/>
  <c r="R63" i="4"/>
  <c r="S31" i="4"/>
  <c r="AH21" i="4"/>
  <c r="S21" i="4"/>
  <c r="AC40" i="3"/>
  <c r="AH20" i="3"/>
  <c r="AH15" i="3"/>
  <c r="C79" i="17"/>
  <c r="C90" i="17" s="1"/>
  <c r="W63" i="17"/>
  <c r="W77" i="17" s="1"/>
  <c r="W10" i="17"/>
  <c r="AP49" i="5"/>
  <c r="AQ49" i="5" s="1"/>
  <c r="Q47" i="5"/>
  <c r="R47" i="5" s="1"/>
  <c r="AP30" i="5"/>
  <c r="W30" i="5"/>
  <c r="X30" i="5" s="1"/>
  <c r="V22" i="5"/>
  <c r="W22" i="5" s="1"/>
  <c r="AP13" i="5"/>
  <c r="AW19" i="3"/>
  <c r="AZ57" i="4"/>
  <c r="AZ31" i="5"/>
  <c r="BA31" i="5" s="1"/>
  <c r="BF19" i="5"/>
  <c r="BG19" i="5" s="1"/>
  <c r="BK30" i="5"/>
  <c r="BL30" i="5" s="1"/>
  <c r="BO29" i="5"/>
  <c r="BP29" i="5" s="1"/>
  <c r="BO35" i="5"/>
  <c r="BO44" i="5"/>
  <c r="BP44" i="5" s="1"/>
  <c r="BT16" i="5"/>
  <c r="BU16" i="5" s="1"/>
  <c r="BT31" i="5"/>
  <c r="BU31" i="5" s="1"/>
  <c r="BS48" i="3"/>
  <c r="BS49" i="3" s="1"/>
  <c r="BV182" i="2"/>
  <c r="AJ55" i="5"/>
  <c r="AK33" i="5"/>
  <c r="BY8" i="5"/>
  <c r="BY16" i="5"/>
  <c r="BZ16" i="5" s="1"/>
  <c r="BZ26" i="5"/>
  <c r="BZ31" i="5"/>
  <c r="CA31" i="5" s="1"/>
  <c r="BY47" i="5"/>
  <c r="CD30" i="5"/>
  <c r="CE30" i="5" s="1"/>
  <c r="BQ36" i="5"/>
  <c r="CP373" i="1"/>
  <c r="CJ194" i="2"/>
  <c r="BB19" i="5"/>
  <c r="AV44" i="5"/>
  <c r="BL36" i="5"/>
  <c r="BZ14" i="5"/>
  <c r="CA14" i="5" s="1"/>
  <c r="CA19" i="5"/>
  <c r="BQ33" i="5"/>
  <c r="BL19" i="5"/>
  <c r="BB43" i="5"/>
  <c r="BF38" i="5"/>
  <c r="L14" i="5"/>
  <c r="CF390" i="1"/>
  <c r="AM49" i="5"/>
  <c r="BV44" i="5"/>
  <c r="CF17" i="5"/>
  <c r="AL107" i="2"/>
  <c r="CC107" i="2"/>
  <c r="R284" i="2"/>
  <c r="AI150" i="2"/>
  <c r="R15" i="4"/>
  <c r="BT40" i="5"/>
  <c r="BT208" i="1"/>
  <c r="AB26" i="5"/>
  <c r="X10" i="3"/>
  <c r="W120" i="2"/>
  <c r="BI29" i="1"/>
  <c r="N37" i="4"/>
  <c r="AU213" i="1"/>
  <c r="AU208" i="1"/>
  <c r="S297" i="2"/>
  <c r="R341" i="2"/>
  <c r="AG267" i="2"/>
  <c r="AB267" i="2"/>
  <c r="AC180" i="2"/>
  <c r="AG266" i="2"/>
  <c r="AD284" i="2"/>
  <c r="AG250" i="2"/>
  <c r="AB250" i="2"/>
  <c r="AB233" i="2"/>
  <c r="M233" i="2"/>
  <c r="R129" i="2"/>
  <c r="N79" i="2"/>
  <c r="L164" i="2" s="1"/>
  <c r="O155" i="2"/>
  <c r="M155" i="2"/>
  <c r="X213" i="1"/>
  <c r="W165" i="1"/>
  <c r="M228" i="2"/>
  <c r="N44" i="2"/>
  <c r="M341" i="2"/>
  <c r="R124" i="2"/>
  <c r="AB153" i="2"/>
  <c r="AD153" i="2"/>
  <c r="AC40" i="2"/>
  <c r="Y162" i="2" s="1"/>
  <c r="AB120" i="2"/>
  <c r="AB224" i="2"/>
  <c r="AG120" i="2"/>
  <c r="R239" i="2"/>
  <c r="R222" i="2"/>
  <c r="L37" i="5"/>
  <c r="P16" i="5"/>
  <c r="X47" i="4"/>
  <c r="N41" i="4"/>
  <c r="N46" i="4" s="1"/>
  <c r="M46" i="4"/>
  <c r="X30" i="4"/>
  <c r="X27" i="4"/>
  <c r="W33" i="4"/>
  <c r="W39" i="4" s="1"/>
  <c r="AH17" i="4"/>
  <c r="X14" i="4"/>
  <c r="W15" i="4"/>
  <c r="I15" i="4"/>
  <c r="N12" i="4"/>
  <c r="M15" i="4"/>
  <c r="AH22" i="3"/>
  <c r="M59" i="3"/>
  <c r="N16" i="3"/>
  <c r="AG12" i="3"/>
  <c r="AG78" i="4" s="1"/>
  <c r="AG79" i="4" s="1"/>
  <c r="R12" i="3"/>
  <c r="S9" i="3"/>
  <c r="L24" i="5"/>
  <c r="Q22" i="5"/>
  <c r="AA14" i="5"/>
  <c r="AF9" i="5"/>
  <c r="AZ37" i="5"/>
  <c r="AY48" i="3"/>
  <c r="AT27" i="5"/>
  <c r="AS18" i="5"/>
  <c r="BJ11" i="5"/>
  <c r="BP11" i="5"/>
  <c r="BQ11" i="5" s="1"/>
  <c r="BO30" i="5"/>
  <c r="BP30" i="5" s="1"/>
  <c r="BW208" i="1"/>
  <c r="BW213" i="1"/>
  <c r="CD12" i="5"/>
  <c r="CD45" i="5"/>
  <c r="CB67" i="3"/>
  <c r="CB74" i="3"/>
  <c r="CB59" i="3"/>
  <c r="CB58" i="3"/>
  <c r="CB13" i="3"/>
  <c r="CE78" i="4"/>
  <c r="CE79" i="4" s="1"/>
  <c r="CE77" i="4"/>
  <c r="BQ19" i="5"/>
  <c r="BQ49" i="5"/>
  <c r="CF8" i="5"/>
  <c r="BV42" i="5"/>
  <c r="CJ127" i="2"/>
  <c r="Q42" i="5"/>
  <c r="AQ11" i="5"/>
  <c r="AR11" i="5" s="1"/>
  <c r="AM11" i="5"/>
  <c r="CO304" i="2"/>
  <c r="D58" i="17"/>
  <c r="AG308" i="2"/>
  <c r="R224" i="2"/>
  <c r="AB46" i="4"/>
  <c r="AW21" i="5"/>
  <c r="R153" i="2"/>
  <c r="BN29" i="1"/>
  <c r="BM35" i="1"/>
  <c r="BM37" i="1" s="1"/>
  <c r="BM29" i="1"/>
  <c r="BM31" i="1"/>
  <c r="BM33" i="1" s="1"/>
  <c r="U208" i="1"/>
  <c r="U213" i="1"/>
  <c r="O285" i="2"/>
  <c r="M285" i="2"/>
  <c r="AB129" i="2"/>
  <c r="X79" i="2"/>
  <c r="W129" i="2"/>
  <c r="W155" i="2"/>
  <c r="Y155" i="2"/>
  <c r="R242" i="2"/>
  <c r="N41" i="2"/>
  <c r="M225" i="2"/>
  <c r="R121" i="2"/>
  <c r="M69" i="2"/>
  <c r="M338" i="2"/>
  <c r="M354" i="2" s="1"/>
  <c r="R46" i="4"/>
  <c r="S40" i="4"/>
  <c r="S46" i="4" s="1"/>
  <c r="AH23" i="4"/>
  <c r="AH7" i="4"/>
  <c r="AG60" i="4"/>
  <c r="AC39" i="3"/>
  <c r="S22" i="3"/>
  <c r="S20" i="3"/>
  <c r="D35" i="1"/>
  <c r="D29" i="1"/>
  <c r="D31" i="1"/>
  <c r="D33" i="1" s="1"/>
  <c r="X8" i="17"/>
  <c r="AU47" i="5"/>
  <c r="AV47" i="5" s="1"/>
  <c r="AA47" i="5"/>
  <c r="AF41" i="5"/>
  <c r="AG41" i="5" s="1"/>
  <c r="AF31" i="5"/>
  <c r="AG31" i="5" s="1"/>
  <c r="Q30" i="5"/>
  <c r="R30" i="5" s="1"/>
  <c r="AP19" i="5"/>
  <c r="AX335" i="2"/>
  <c r="AX351" i="2" s="1"/>
  <c r="BF21" i="5"/>
  <c r="BG21" i="5" s="1"/>
  <c r="BK31" i="5"/>
  <c r="BL31" i="5" s="1"/>
  <c r="BO15" i="5"/>
  <c r="BP15" i="5" s="1"/>
  <c r="BO21" i="5"/>
  <c r="BP21" i="5" s="1"/>
  <c r="BP26" i="5"/>
  <c r="BQ26" i="5" s="1"/>
  <c r="BP28" i="5"/>
  <c r="BQ28" i="5" s="1"/>
  <c r="BO31" i="5"/>
  <c r="BO42" i="5"/>
  <c r="BQ226" i="1"/>
  <c r="BQ321" i="2" s="1"/>
  <c r="BQ319" i="2"/>
  <c r="BT8" i="5"/>
  <c r="BT14" i="5"/>
  <c r="BU14" i="5" s="1"/>
  <c r="AQ33" i="5"/>
  <c r="AR33" i="5" s="1"/>
  <c r="AA33" i="5"/>
  <c r="CF370" i="1"/>
  <c r="CF376" i="1"/>
  <c r="BZ30" i="5"/>
  <c r="CA30" i="5" s="1"/>
  <c r="CA19" i="3"/>
  <c r="CD13" i="5"/>
  <c r="CE13" i="5" s="1"/>
  <c r="CD26" i="5"/>
  <c r="CD13" i="3"/>
  <c r="CD18" i="3" s="1"/>
  <c r="CD77" i="4"/>
  <c r="CD78" i="4"/>
  <c r="CD79" i="4" s="1"/>
  <c r="CD58" i="3"/>
  <c r="CF45" i="3"/>
  <c r="CJ248" i="2"/>
  <c r="CK69" i="2"/>
  <c r="BV47" i="5"/>
  <c r="BV27" i="5"/>
  <c r="BB47" i="5"/>
  <c r="BV49" i="5"/>
  <c r="AM17" i="5"/>
  <c r="AG117" i="2"/>
  <c r="AG334" i="2"/>
  <c r="AG350" i="2" s="1"/>
  <c r="AL117" i="2"/>
  <c r="BQ25" i="5"/>
  <c r="AR29" i="5"/>
  <c r="BE43" i="5"/>
  <c r="R250" i="2"/>
  <c r="BU29" i="1"/>
  <c r="BU31" i="1"/>
  <c r="AY29" i="1"/>
  <c r="BF49" i="5"/>
  <c r="BG49" i="5" s="1"/>
  <c r="E208" i="1"/>
  <c r="E213" i="1"/>
  <c r="N296" i="2"/>
  <c r="M300" i="2"/>
  <c r="M302" i="2" s="1"/>
  <c r="AI273" i="2"/>
  <c r="AG222" i="2"/>
  <c r="AL255" i="2"/>
  <c r="AL239" i="2"/>
  <c r="AH169" i="2"/>
  <c r="AG273" i="2"/>
  <c r="AG155" i="2"/>
  <c r="AL129" i="2"/>
  <c r="AI155" i="2"/>
  <c r="AH79" i="2"/>
  <c r="AG164" i="2" s="1"/>
  <c r="AG129" i="2"/>
  <c r="AL250" i="2"/>
  <c r="R122" i="2"/>
  <c r="N42" i="2"/>
  <c r="M339" i="2"/>
  <c r="M355" i="2" s="1"/>
  <c r="R243" i="2"/>
  <c r="M226" i="2"/>
  <c r="W117" i="2"/>
  <c r="W84" i="2"/>
  <c r="AB117" i="2"/>
  <c r="W107" i="1"/>
  <c r="X121" i="1"/>
  <c r="V26" i="5"/>
  <c r="W26" i="5" s="1"/>
  <c r="AC35" i="4"/>
  <c r="S32" i="4"/>
  <c r="X21" i="4"/>
  <c r="AC20" i="4"/>
  <c r="S19" i="4"/>
  <c r="N40" i="3"/>
  <c r="C28" i="30" s="1"/>
  <c r="AB33" i="3"/>
  <c r="AB29" i="3"/>
  <c r="AC25" i="3"/>
  <c r="N19" i="3"/>
  <c r="AI79" i="17"/>
  <c r="AI84" i="17" s="1"/>
  <c r="AL240" i="2"/>
  <c r="AE57" i="4"/>
  <c r="AU49" i="5"/>
  <c r="W49" i="5"/>
  <c r="AU30" i="5"/>
  <c r="AV30" i="5" s="1"/>
  <c r="AG30" i="5"/>
  <c r="AH30" i="5" s="1"/>
  <c r="AK21" i="5"/>
  <c r="AK14" i="5"/>
  <c r="R12" i="5"/>
  <c r="S12" i="5" s="1"/>
  <c r="M11" i="5"/>
  <c r="N11" i="5" s="1"/>
  <c r="V9" i="5"/>
  <c r="AZ30" i="5"/>
  <c r="BA30" i="5" s="1"/>
  <c r="BE208" i="1"/>
  <c r="BE213" i="1"/>
  <c r="BI54" i="3"/>
  <c r="BJ9" i="5"/>
  <c r="BK17" i="5"/>
  <c r="BL17" i="5" s="1"/>
  <c r="BK186" i="2"/>
  <c r="BK48" i="3"/>
  <c r="BK49" i="3" s="1"/>
  <c r="BM208" i="1"/>
  <c r="BM213" i="1"/>
  <c r="BO12" i="5"/>
  <c r="BO16" i="5"/>
  <c r="BP16" i="5" s="1"/>
  <c r="BN89" i="1"/>
  <c r="BT12" i="5"/>
  <c r="BU12" i="5" s="1"/>
  <c r="BT15" i="5"/>
  <c r="BU15" i="5" s="1"/>
  <c r="BU19" i="5"/>
  <c r="BV19" i="5" s="1"/>
  <c r="BT30" i="5"/>
  <c r="BU30" i="5" s="1"/>
  <c r="BS33" i="4"/>
  <c r="BI33" i="4"/>
  <c r="AX33" i="4"/>
  <c r="BE23" i="5"/>
  <c r="W33" i="5"/>
  <c r="X33" i="5" s="1"/>
  <c r="CF335" i="1"/>
  <c r="BV226" i="1"/>
  <c r="BV321" i="2" s="1"/>
  <c r="BV319" i="2"/>
  <c r="BY46" i="5"/>
  <c r="CF379" i="1"/>
  <c r="CD34" i="5"/>
  <c r="CD35" i="1"/>
  <c r="CD37" i="1" s="1"/>
  <c r="CD29" i="1"/>
  <c r="CD31" i="1"/>
  <c r="CD33" i="1" s="1"/>
  <c r="CF107" i="1"/>
  <c r="CF121" i="1" s="1"/>
  <c r="CF137" i="1"/>
  <c r="CF226" i="1"/>
  <c r="CF321" i="2" s="1"/>
  <c r="Y79" i="17"/>
  <c r="Y84" i="17" s="1"/>
  <c r="BR222" i="2"/>
  <c r="CI111" i="2"/>
  <c r="BJ44" i="5"/>
  <c r="AR42" i="5"/>
  <c r="BV26" i="5"/>
  <c r="AA208" i="1"/>
  <c r="X261" i="1"/>
  <c r="AL226" i="1"/>
  <c r="AL321" i="2" s="1"/>
  <c r="U189" i="1"/>
  <c r="W210" i="1"/>
  <c r="AI268" i="1"/>
  <c r="M210" i="1"/>
  <c r="AH307" i="1"/>
  <c r="AG307" i="1" s="1"/>
  <c r="AF316" i="1"/>
  <c r="X13" i="4"/>
  <c r="O208" i="1"/>
  <c r="R223" i="2"/>
  <c r="X79" i="1"/>
  <c r="W79" i="1" s="1"/>
  <c r="AA212" i="1"/>
  <c r="AB38" i="2"/>
  <c r="F190" i="1"/>
  <c r="W188" i="1"/>
  <c r="W185" i="2" s="1"/>
  <c r="X185" i="2" s="1"/>
  <c r="AF268" i="1"/>
  <c r="C63" i="17"/>
  <c r="C77" i="17" s="1"/>
  <c r="AH44" i="17"/>
  <c r="AH46" i="17" s="1"/>
  <c r="AC14" i="17"/>
  <c r="K63" i="17"/>
  <c r="K77" i="17" s="1"/>
  <c r="S181" i="2"/>
  <c r="AQ334" i="2"/>
  <c r="M28" i="1"/>
  <c r="Q38" i="17"/>
  <c r="Z274" i="2"/>
  <c r="AY118" i="2"/>
  <c r="AP212" i="1"/>
  <c r="O63" i="17"/>
  <c r="O77" i="17" s="1"/>
  <c r="K35" i="5"/>
  <c r="V308" i="2"/>
  <c r="AC286" i="1"/>
  <c r="N88" i="1"/>
  <c r="AY266" i="2"/>
  <c r="AW39" i="2"/>
  <c r="AH137" i="1"/>
  <c r="AG63" i="17"/>
  <c r="AG77" i="17" s="1"/>
  <c r="P97" i="2"/>
  <c r="L33" i="3"/>
  <c r="X212" i="1"/>
  <c r="AQ91" i="2"/>
  <c r="H91" i="2"/>
  <c r="AO10" i="17"/>
  <c r="O341" i="2"/>
  <c r="BG303" i="2"/>
  <c r="AM47" i="5"/>
  <c r="AY27" i="5"/>
  <c r="BJ334" i="2"/>
  <c r="BD233" i="2"/>
  <c r="BO284" i="2"/>
  <c r="BP336" i="2"/>
  <c r="BP352" i="2" s="1"/>
  <c r="BQ38" i="5"/>
  <c r="BH182" i="2"/>
  <c r="BL28" i="5"/>
  <c r="BK107" i="1"/>
  <c r="BK121" i="1" s="1"/>
  <c r="BK139" i="1" s="1"/>
  <c r="BW248" i="2"/>
  <c r="BW241" i="2"/>
  <c r="BX273" i="2"/>
  <c r="CB127" i="2"/>
  <c r="BW120" i="2"/>
  <c r="BQ47" i="5"/>
  <c r="BX231" i="2"/>
  <c r="BS113" i="2"/>
  <c r="BX266" i="2"/>
  <c r="BV42" i="12"/>
  <c r="BX58" i="3"/>
  <c r="BP319" i="2"/>
  <c r="CA79" i="2"/>
  <c r="BZ113" i="2"/>
  <c r="BZ129" i="2"/>
  <c r="BX267" i="2"/>
  <c r="BX285" i="2"/>
  <c r="BX319" i="2"/>
  <c r="CA11" i="5"/>
  <c r="CA49" i="5"/>
  <c r="BQ112" i="1"/>
  <c r="BQ107" i="1" s="1"/>
  <c r="BQ121" i="1" s="1"/>
  <c r="BT11" i="5"/>
  <c r="BU11" i="5" s="1"/>
  <c r="BT17" i="5"/>
  <c r="BU17" i="5" s="1"/>
  <c r="BS189" i="1"/>
  <c r="CA349" i="1"/>
  <c r="CA371" i="1"/>
  <c r="CB267" i="2"/>
  <c r="BU189" i="1"/>
  <c r="BU190" i="1" s="1"/>
  <c r="CA42" i="5"/>
  <c r="BU112" i="2"/>
  <c r="CB111" i="2"/>
  <c r="BR195" i="2"/>
  <c r="BZ24" i="1"/>
  <c r="BZ27" i="1" s="1"/>
  <c r="BL15" i="12"/>
  <c r="BQ17" i="12"/>
  <c r="CF15" i="12"/>
  <c r="CB70" i="12"/>
  <c r="CB69" i="12" s="1"/>
  <c r="CB43" i="17" s="1"/>
  <c r="CD70" i="12"/>
  <c r="CD69" i="12" s="1"/>
  <c r="CD43" i="17" s="1"/>
  <c r="BL75" i="12"/>
  <c r="BV75" i="12"/>
  <c r="CN330" i="2"/>
  <c r="CE187" i="2"/>
  <c r="CF206" i="1"/>
  <c r="CE226" i="1"/>
  <c r="CE321" i="2" s="1"/>
  <c r="BB25" i="5"/>
  <c r="AG29" i="3"/>
  <c r="AB183" i="1"/>
  <c r="M83" i="17"/>
  <c r="AB336" i="2"/>
  <c r="I212" i="1"/>
  <c r="AA186" i="2"/>
  <c r="I261" i="1"/>
  <c r="L316" i="1"/>
  <c r="E212" i="1"/>
  <c r="AQ226" i="1"/>
  <c r="AQ321" i="2" s="1"/>
  <c r="AC38" i="4"/>
  <c r="AH206" i="1"/>
  <c r="AB304" i="1"/>
  <c r="AM181" i="2"/>
  <c r="T178" i="2"/>
  <c r="D268" i="2"/>
  <c r="AI222" i="2"/>
  <c r="Z223" i="2"/>
  <c r="AH38" i="17"/>
  <c r="N44" i="17"/>
  <c r="N46" i="17" s="1"/>
  <c r="I63" i="17"/>
  <c r="I77" i="17" s="1"/>
  <c r="X14" i="17"/>
  <c r="X16" i="17" s="1"/>
  <c r="O222" i="2"/>
  <c r="AN33" i="4"/>
  <c r="AT29" i="3"/>
  <c r="AX239" i="2"/>
  <c r="F86" i="1"/>
  <c r="F88" i="1" s="1"/>
  <c r="F89" i="1" s="1"/>
  <c r="F92" i="1" s="1"/>
  <c r="U212" i="1"/>
  <c r="AI212" i="1"/>
  <c r="AB275" i="2"/>
  <c r="O277" i="2"/>
  <c r="AA33" i="3"/>
  <c r="AF212" i="1"/>
  <c r="AM17" i="4"/>
  <c r="Q15" i="4"/>
  <c r="I59" i="3"/>
  <c r="O15" i="4"/>
  <c r="AU15" i="4"/>
  <c r="I18" i="1"/>
  <c r="I24" i="1" s="1"/>
  <c r="I27" i="1" s="1"/>
  <c r="T268" i="1"/>
  <c r="AV49" i="2"/>
  <c r="T107" i="1"/>
  <c r="T121" i="1" s="1"/>
  <c r="T139" i="1" s="1"/>
  <c r="T141" i="1" s="1"/>
  <c r="T144" i="1" s="1"/>
  <c r="AW259" i="1"/>
  <c r="AW257" i="1"/>
  <c r="AW255" i="1"/>
  <c r="AW83" i="17"/>
  <c r="AL128" i="1"/>
  <c r="N324" i="2"/>
  <c r="AU20" i="17"/>
  <c r="AU22" i="17" s="1"/>
  <c r="AQ20" i="17"/>
  <c r="AQ22" i="17" s="1"/>
  <c r="AF87" i="2"/>
  <c r="AF94" i="2" s="1"/>
  <c r="BE113" i="2"/>
  <c r="BF113" i="2"/>
  <c r="BI109" i="2"/>
  <c r="BE212" i="1"/>
  <c r="BF191" i="2"/>
  <c r="BQ180" i="2"/>
  <c r="BN337" i="2"/>
  <c r="BL188" i="1"/>
  <c r="BO109" i="2"/>
  <c r="BW239" i="2"/>
  <c r="CB309" i="2"/>
  <c r="BS275" i="2"/>
  <c r="BR231" i="2"/>
  <c r="BX241" i="2"/>
  <c r="BN212" i="1"/>
  <c r="BY250" i="2"/>
  <c r="BV79" i="2"/>
  <c r="CD250" i="2"/>
  <c r="CC250" i="2"/>
  <c r="BX13" i="3"/>
  <c r="BY285" i="2"/>
  <c r="BV6" i="3"/>
  <c r="CA12" i="5"/>
  <c r="H28" i="30"/>
  <c r="CA354" i="1"/>
  <c r="CA361" i="1"/>
  <c r="BY113" i="2"/>
  <c r="BT189" i="1"/>
  <c r="BT190" i="1" s="1"/>
  <c r="CF24" i="5"/>
  <c r="BX20" i="17"/>
  <c r="BY189" i="1"/>
  <c r="BY190" i="1" s="1"/>
  <c r="BX112" i="2"/>
  <c r="CB87" i="2"/>
  <c r="CA206" i="1"/>
  <c r="CG129" i="2"/>
  <c r="CG326" i="2"/>
  <c r="CH107" i="2"/>
  <c r="CI334" i="2"/>
  <c r="CK54" i="3"/>
  <c r="CI267" i="2"/>
  <c r="CI113" i="2"/>
  <c r="BQ19" i="12"/>
  <c r="CA15" i="12"/>
  <c r="CF17" i="12"/>
  <c r="CF23" i="12"/>
  <c r="CB35" i="12"/>
  <c r="CC81" i="12"/>
  <c r="BQ73" i="12"/>
  <c r="CA73" i="12"/>
  <c r="CF75" i="12"/>
  <c r="BQ60" i="12"/>
  <c r="BL62" i="12"/>
  <c r="BY234" i="1"/>
  <c r="BY244" i="1" s="1"/>
  <c r="CL325" i="2"/>
  <c r="CE8" i="3"/>
  <c r="CF212" i="1"/>
  <c r="BB42" i="5"/>
  <c r="AG33" i="3"/>
  <c r="R240" i="2"/>
  <c r="AB189" i="1"/>
  <c r="AG210" i="1"/>
  <c r="R180" i="1"/>
  <c r="R183" i="1" s="1"/>
  <c r="AT212" i="1"/>
  <c r="S261" i="1"/>
  <c r="R304" i="1"/>
  <c r="AR304" i="1"/>
  <c r="AR307" i="1" s="1"/>
  <c r="K212" i="1"/>
  <c r="AR160" i="1"/>
  <c r="X88" i="1"/>
  <c r="M188" i="1"/>
  <c r="M185" i="2" s="1"/>
  <c r="N185" i="2" s="1"/>
  <c r="J189" i="1"/>
  <c r="AW181" i="2"/>
  <c r="I55" i="1"/>
  <c r="I64" i="1" s="1"/>
  <c r="P63" i="17"/>
  <c r="P77" i="17" s="1"/>
  <c r="AF63" i="17"/>
  <c r="AF77" i="17" s="1"/>
  <c r="M63" i="17"/>
  <c r="M77" i="17" s="1"/>
  <c r="V63" i="17"/>
  <c r="V77" i="17" s="1"/>
  <c r="R63" i="17"/>
  <c r="R77" i="17" s="1"/>
  <c r="AE63" i="17"/>
  <c r="AE77" i="17" s="1"/>
  <c r="N14" i="17"/>
  <c r="T261" i="2"/>
  <c r="AK337" i="2"/>
  <c r="AU33" i="3"/>
  <c r="U29" i="3"/>
  <c r="AJ63" i="17"/>
  <c r="AJ77" i="17" s="1"/>
  <c r="AJ33" i="3"/>
  <c r="R256" i="2"/>
  <c r="AD69" i="2"/>
  <c r="N26" i="17"/>
  <c r="N28" i="17" s="1"/>
  <c r="AM55" i="2"/>
  <c r="AU212" i="1"/>
  <c r="U63" i="17"/>
  <c r="U77" i="17" s="1"/>
  <c r="J308" i="2"/>
  <c r="F212" i="1"/>
  <c r="Q33" i="3"/>
  <c r="K15" i="4"/>
  <c r="Y33" i="3"/>
  <c r="G79" i="1"/>
  <c r="W116" i="1"/>
  <c r="AK87" i="2"/>
  <c r="AK107" i="2" s="1"/>
  <c r="F18" i="1"/>
  <c r="F24" i="1" s="1"/>
  <c r="F27" i="1" s="1"/>
  <c r="S88" i="1"/>
  <c r="N261" i="1"/>
  <c r="AR10" i="2"/>
  <c r="AW252" i="1"/>
  <c r="BG290" i="2"/>
  <c r="AH25" i="3"/>
  <c r="BH54" i="3"/>
  <c r="BL14" i="3"/>
  <c r="BQ13" i="5"/>
  <c r="BM254" i="2"/>
  <c r="BH22" i="5"/>
  <c r="BN119" i="2"/>
  <c r="BL36" i="1"/>
  <c r="BX282" i="2"/>
  <c r="BS282" i="2"/>
  <c r="BW111" i="2"/>
  <c r="BX264" i="2"/>
  <c r="BS231" i="2"/>
  <c r="BT18" i="17"/>
  <c r="BT20" i="17" s="1"/>
  <c r="BT113" i="2"/>
  <c r="BZ344" i="2"/>
  <c r="BZ360" i="2" s="1"/>
  <c r="BX284" i="2"/>
  <c r="CA180" i="2"/>
  <c r="CA81" i="2"/>
  <c r="BZ267" i="2"/>
  <c r="BZ285" i="2"/>
  <c r="CA15" i="5"/>
  <c r="BW110" i="2"/>
  <c r="CA366" i="1"/>
  <c r="CF44" i="5"/>
  <c r="BX128" i="2"/>
  <c r="BX232" i="2"/>
  <c r="CA300" i="2"/>
  <c r="CI345" i="2"/>
  <c r="CJ56" i="5"/>
  <c r="CJ59" i="5" s="1"/>
  <c r="BL19" i="12"/>
  <c r="BV15" i="12"/>
  <c r="CA17" i="12"/>
  <c r="CF19" i="12"/>
  <c r="CA23" i="12"/>
  <c r="BR230" i="1"/>
  <c r="CB230" i="1"/>
  <c r="CC35" i="12"/>
  <c r="CC34" i="12" s="1"/>
  <c r="CC7" i="17" s="1"/>
  <c r="CJ70" i="12"/>
  <c r="CJ69" i="12" s="1"/>
  <c r="CJ43" i="17" s="1"/>
  <c r="BI35" i="12"/>
  <c r="BI34" i="12" s="1"/>
  <c r="BI7" i="17" s="1"/>
  <c r="BN35" i="12"/>
  <c r="BQ75" i="12"/>
  <c r="CA75" i="12"/>
  <c r="CF77" i="12"/>
  <c r="CF60" i="12"/>
  <c r="BV60" i="12"/>
  <c r="BQ62" i="12"/>
  <c r="BK234" i="1"/>
  <c r="BK244" i="1" s="1"/>
  <c r="BU234" i="1"/>
  <c r="BU244" i="1" s="1"/>
  <c r="CB235" i="1"/>
  <c r="CB245" i="1" s="1"/>
  <c r="CF66" i="12"/>
  <c r="CE189" i="1"/>
  <c r="CI230" i="1"/>
  <c r="CI240" i="1" s="1"/>
  <c r="CK17" i="4"/>
  <c r="AX20" i="17"/>
  <c r="CU20" i="17"/>
  <c r="CU22" i="17" s="1"/>
  <c r="AN108" i="12"/>
  <c r="AQ108" i="12"/>
  <c r="CP18" i="17"/>
  <c r="BQ67" i="12"/>
  <c r="BH230" i="1"/>
  <c r="BP326" i="2"/>
  <c r="AX32" i="17"/>
  <c r="BF20" i="17"/>
  <c r="BF38" i="17"/>
  <c r="BK38" i="17"/>
  <c r="BR38" i="17"/>
  <c r="CE38" i="17"/>
  <c r="CP45" i="12"/>
  <c r="CP44" i="12" s="1"/>
  <c r="CP19" i="17" s="1"/>
  <c r="BX38" i="17"/>
  <c r="CD20" i="17"/>
  <c r="CB38" i="17"/>
  <c r="CB20" i="17"/>
  <c r="BQ326" i="2"/>
  <c r="BN326" i="2"/>
  <c r="L327" i="2"/>
  <c r="U326" i="2"/>
  <c r="BP234" i="1"/>
  <c r="BP244" i="1" s="1"/>
  <c r="BA70" i="12"/>
  <c r="CP326" i="2"/>
  <c r="BJ73" i="17"/>
  <c r="BQ18" i="17"/>
  <c r="BQ43" i="12"/>
  <c r="X326" i="2"/>
  <c r="AQ67" i="17"/>
  <c r="AR67" i="17" s="1"/>
  <c r="AR66" i="17" s="1"/>
  <c r="BP20" i="17"/>
  <c r="BP38" i="17"/>
  <c r="BO326" i="2"/>
  <c r="AR67" i="12"/>
  <c r="CK71" i="2"/>
  <c r="CK92" i="2" s="1"/>
  <c r="BI65" i="17"/>
  <c r="BR6" i="17"/>
  <c r="CM304" i="2"/>
  <c r="AC16" i="2"/>
  <c r="AB87" i="2"/>
  <c r="AA87" i="2"/>
  <c r="AB235" i="2"/>
  <c r="BD65" i="17"/>
  <c r="BA326" i="2"/>
  <c r="L328" i="2"/>
  <c r="K328" i="2"/>
  <c r="AZ326" i="2"/>
  <c r="M328" i="2"/>
  <c r="AY326" i="2"/>
  <c r="AX326" i="2"/>
  <c r="N328" i="2"/>
  <c r="CI56" i="5"/>
  <c r="CI59" i="5" s="1"/>
  <c r="CK20" i="5"/>
  <c r="CK46" i="5"/>
  <c r="CK180" i="2"/>
  <c r="CN250" i="2"/>
  <c r="CN266" i="2"/>
  <c r="CJ284" i="2"/>
  <c r="CI264" i="2"/>
  <c r="CI282" i="2"/>
  <c r="CI194" i="2"/>
  <c r="AB326" i="2"/>
  <c r="CH20" i="17"/>
  <c r="CH38" i="17"/>
  <c r="CH42" i="17"/>
  <c r="CH234" i="1"/>
  <c r="CH244" i="1" s="1"/>
  <c r="CH129" i="12"/>
  <c r="CK129" i="12" s="1"/>
  <c r="CG235" i="1"/>
  <c r="AG45" i="30"/>
  <c r="CF45" i="12"/>
  <c r="CF44" i="12" s="1"/>
  <c r="CF19" i="17" s="1"/>
  <c r="CF55" i="12"/>
  <c r="CF54" i="12" s="1"/>
  <c r="CF37" i="17" s="1"/>
  <c r="AR118" i="12"/>
  <c r="AM326" i="2"/>
  <c r="AM38" i="12"/>
  <c r="AK326" i="2"/>
  <c r="AL326" i="2"/>
  <c r="BJ230" i="1"/>
  <c r="BJ240" i="1" s="1"/>
  <c r="BT230" i="1"/>
  <c r="BT240" i="1" s="1"/>
  <c r="AP35" i="12"/>
  <c r="BE35" i="12"/>
  <c r="AU35" i="12"/>
  <c r="BO6" i="17"/>
  <c r="CT331" i="2"/>
  <c r="CD108" i="12"/>
  <c r="CL108" i="12"/>
  <c r="CQ109" i="12" s="1"/>
  <c r="CM286" i="2"/>
  <c r="CP186" i="2"/>
  <c r="CH329" i="2"/>
  <c r="CL360" i="2"/>
  <c r="CL309" i="2"/>
  <c r="CL127" i="2"/>
  <c r="L191" i="2"/>
  <c r="AP94" i="2"/>
  <c r="CB49" i="3"/>
  <c r="CJ286" i="2"/>
  <c r="CJ309" i="2"/>
  <c r="CO268" i="2"/>
  <c r="O235" i="2"/>
  <c r="AB191" i="2"/>
  <c r="CN127" i="2"/>
  <c r="CP304" i="2"/>
  <c r="CN284" i="2"/>
  <c r="CI304" i="2"/>
  <c r="CJ94" i="2"/>
  <c r="CK42" i="3"/>
  <c r="CM250" i="2"/>
  <c r="Z326" i="2"/>
  <c r="S67" i="12"/>
  <c r="BX328" i="2"/>
  <c r="BG55" i="12"/>
  <c r="BG328" i="2"/>
  <c r="AD108" i="12"/>
  <c r="AQ42" i="17"/>
  <c r="AQ44" i="17" s="1"/>
  <c r="AQ46" i="17" s="1"/>
  <c r="AR36" i="17"/>
  <c r="AW30" i="17"/>
  <c r="AN328" i="2"/>
  <c r="BM230" i="1"/>
  <c r="AQ328" i="2"/>
  <c r="BW230" i="1"/>
  <c r="AC38" i="12"/>
  <c r="CA328" i="2"/>
  <c r="BD328" i="2"/>
  <c r="BC108" i="12"/>
  <c r="AV330" i="2"/>
  <c r="AO328" i="2"/>
  <c r="Y326" i="2"/>
  <c r="BH65" i="17"/>
  <c r="CA53" i="12"/>
  <c r="AR328" i="2"/>
  <c r="AP328" i="2"/>
  <c r="AC326" i="2"/>
  <c r="BB127" i="12"/>
  <c r="BC245" i="1"/>
  <c r="BU20" i="17"/>
  <c r="CB6" i="17"/>
  <c r="CK33" i="3"/>
  <c r="CN325" i="2"/>
  <c r="CJ33" i="12"/>
  <c r="D33" i="30"/>
  <c r="C33" i="30"/>
  <c r="C34" i="30"/>
  <c r="G33" i="30"/>
  <c r="G34" i="30"/>
  <c r="W45" i="30"/>
  <c r="N9" i="30"/>
  <c r="N31" i="30" s="1"/>
  <c r="J34" i="30"/>
  <c r="J33" i="30"/>
  <c r="F33" i="30"/>
  <c r="F34" i="30"/>
  <c r="L33" i="30"/>
  <c r="L34" i="30"/>
  <c r="E33" i="30"/>
  <c r="E34" i="30"/>
  <c r="H34" i="30"/>
  <c r="M9" i="30"/>
  <c r="M31" i="30" s="1"/>
  <c r="P6" i="30"/>
  <c r="Q5" i="30"/>
  <c r="Q6" i="30" s="1"/>
  <c r="L36" i="30"/>
  <c r="L39" i="30" s="1"/>
  <c r="H33" i="30"/>
  <c r="I34" i="30"/>
  <c r="I33" i="30"/>
  <c r="M17" i="30"/>
  <c r="M26" i="30" s="1"/>
  <c r="O9" i="30"/>
  <c r="O31" i="30" s="1"/>
  <c r="O16" i="30"/>
  <c r="K33" i="30"/>
  <c r="K34" i="30"/>
  <c r="C36" i="30"/>
  <c r="C38" i="30" s="1"/>
  <c r="CC20" i="17"/>
  <c r="CE20" i="17"/>
  <c r="CD38" i="17"/>
  <c r="CO326" i="2"/>
  <c r="CU38" i="17"/>
  <c r="CU40" i="17" s="1"/>
  <c r="CA67" i="12"/>
  <c r="CG328" i="2"/>
  <c r="CI108" i="12"/>
  <c r="CG33" i="12"/>
  <c r="CG230" i="1"/>
  <c r="CG42" i="17"/>
  <c r="CG234" i="1"/>
  <c r="CI30" i="17"/>
  <c r="BJ108" i="12"/>
  <c r="BO235" i="1"/>
  <c r="BO245" i="1" s="1"/>
  <c r="BT108" i="12"/>
  <c r="BO108" i="12"/>
  <c r="BT30" i="17"/>
  <c r="BY30" i="17"/>
  <c r="CD30" i="17"/>
  <c r="BV78" i="12"/>
  <c r="CF78" i="12"/>
  <c r="CP78" i="12"/>
  <c r="DJ331" i="2"/>
  <c r="CO108" i="12"/>
  <c r="CT109" i="12" s="1"/>
  <c r="BY235" i="1"/>
  <c r="BY245" i="1" s="1"/>
  <c r="M79" i="17"/>
  <c r="AG79" i="17"/>
  <c r="AP20" i="17"/>
  <c r="AW124" i="12"/>
  <c r="CP32" i="12"/>
  <c r="BN20" i="17"/>
  <c r="BA20" i="17"/>
  <c r="BA32" i="17"/>
  <c r="BA38" i="17"/>
  <c r="BE20" i="17"/>
  <c r="BE38" i="17"/>
  <c r="BN38" i="17"/>
  <c r="BO20" i="17"/>
  <c r="CH94" i="2"/>
  <c r="CO266" i="2"/>
  <c r="CI286" i="2"/>
  <c r="CH286" i="2"/>
  <c r="CM268" i="2"/>
  <c r="CO250" i="2"/>
  <c r="CP180" i="2"/>
  <c r="CO284" i="2"/>
  <c r="BM73" i="17"/>
  <c r="BV67" i="12"/>
  <c r="BU108" i="12"/>
  <c r="N326" i="2"/>
  <c r="BA330" i="2"/>
  <c r="AW67" i="12"/>
  <c r="AC67" i="12"/>
  <c r="CK64" i="12"/>
  <c r="CM325" i="2"/>
  <c r="BZ108" i="12"/>
  <c r="CK67" i="12"/>
  <c r="CK17" i="12"/>
  <c r="M108" i="12"/>
  <c r="BK108" i="12"/>
  <c r="AX108" i="12"/>
  <c r="CH108" i="12"/>
  <c r="BG36" i="17"/>
  <c r="BG38" i="17" s="1"/>
  <c r="BG40" i="17" s="1"/>
  <c r="CI325" i="2"/>
  <c r="BP108" i="12"/>
  <c r="O108" i="12"/>
  <c r="BF108" i="12"/>
  <c r="BK42" i="17"/>
  <c r="AV70" i="12"/>
  <c r="AS35" i="12"/>
  <c r="X44" i="30"/>
  <c r="X45" i="30" s="1"/>
  <c r="BH73" i="17"/>
  <c r="Q326" i="2"/>
  <c r="CF36" i="17"/>
  <c r="BY38" i="17"/>
  <c r="R108" i="12"/>
  <c r="AB108" i="12"/>
  <c r="AV108" i="12"/>
  <c r="AW132" i="12"/>
  <c r="BI20" i="17"/>
  <c r="BI38" i="17"/>
  <c r="CO60" i="12"/>
  <c r="CT60" i="12" s="1"/>
  <c r="CY60" i="12" s="1"/>
  <c r="DD60" i="12" s="1"/>
  <c r="DI60" i="12" s="1"/>
  <c r="CH70" i="12"/>
  <c r="CH69" i="12" s="1"/>
  <c r="CH43" i="17" s="1"/>
  <c r="AQ75" i="17"/>
  <c r="AR75" i="17" s="1"/>
  <c r="AR74" i="17" s="1"/>
  <c r="BN65" i="17"/>
  <c r="L326" i="2"/>
  <c r="K326" i="2"/>
  <c r="AW43" i="12"/>
  <c r="BG67" i="12"/>
  <c r="AM67" i="12"/>
  <c r="N67" i="12"/>
  <c r="CN108" i="12"/>
  <c r="CS109" i="12" s="1"/>
  <c r="BW108" i="12"/>
  <c r="CK31" i="12"/>
  <c r="AG108" i="12"/>
  <c r="BC328" i="2"/>
  <c r="Y108" i="12"/>
  <c r="AI108" i="12"/>
  <c r="AL108" i="12"/>
  <c r="W108" i="12"/>
  <c r="AX6" i="17"/>
  <c r="AX8" i="17" s="1"/>
  <c r="CK53" i="12"/>
  <c r="BW30" i="17"/>
  <c r="CD328" i="2"/>
  <c r="S326" i="2"/>
  <c r="BC73" i="17"/>
  <c r="AE326" i="2"/>
  <c r="BF32" i="17"/>
  <c r="CG20" i="17"/>
  <c r="CK15" i="12"/>
  <c r="AS108" i="12"/>
  <c r="BE65" i="17"/>
  <c r="J326" i="2"/>
  <c r="BB30" i="17"/>
  <c r="BB67" i="12"/>
  <c r="AH67" i="12"/>
  <c r="BM108" i="12"/>
  <c r="BE328" i="2"/>
  <c r="BF328" i="2"/>
  <c r="J108" i="12"/>
  <c r="T108" i="12"/>
  <c r="BF70" i="12"/>
  <c r="BF234" i="1"/>
  <c r="BF244" i="1" s="1"/>
  <c r="AQ71" i="17"/>
  <c r="AR71" i="17" s="1"/>
  <c r="AR70" i="17" s="1"/>
  <c r="CE328" i="2"/>
  <c r="BC35" i="12"/>
  <c r="CJ328" i="2"/>
  <c r="BC69" i="17"/>
  <c r="CF328" i="2"/>
  <c r="AH326" i="2"/>
  <c r="BB55" i="12"/>
  <c r="BB54" i="12" s="1"/>
  <c r="BB37" i="17" s="1"/>
  <c r="AC55" i="12"/>
  <c r="AC54" i="12" s="1"/>
  <c r="CA129" i="12"/>
  <c r="CA130" i="12" s="1"/>
  <c r="N327" i="2"/>
  <c r="AW73" i="17"/>
  <c r="AW118" i="12"/>
  <c r="W326" i="2"/>
  <c r="K327" i="2"/>
  <c r="AI328" i="2"/>
  <c r="BH326" i="2"/>
  <c r="BL45" i="12"/>
  <c r="BY42" i="17"/>
  <c r="H70" i="12"/>
  <c r="H114" i="12" s="1"/>
  <c r="AJ328" i="2"/>
  <c r="AL328" i="2"/>
  <c r="BK326" i="2"/>
  <c r="AM328" i="2"/>
  <c r="AQ35" i="12"/>
  <c r="AB35" i="12"/>
  <c r="AV6" i="17"/>
  <c r="AV8" i="17" s="1"/>
  <c r="CP55" i="12"/>
  <c r="CP54" i="12" s="1"/>
  <c r="CP37" i="17" s="1"/>
  <c r="CF129" i="12"/>
  <c r="CL129" i="12"/>
  <c r="CQ129" i="12" s="1"/>
  <c r="CV129" i="12" s="1"/>
  <c r="DA129" i="12" s="1"/>
  <c r="DF129" i="12" s="1"/>
  <c r="DK129" i="12" s="1"/>
  <c r="DP129" i="12" s="1"/>
  <c r="DU129" i="12" s="1"/>
  <c r="M327" i="2"/>
  <c r="N48" i="12"/>
  <c r="BE132" i="12"/>
  <c r="BO117" i="12"/>
  <c r="BG235" i="1"/>
  <c r="BB118" i="12"/>
  <c r="BW328" i="2"/>
  <c r="T326" i="2"/>
  <c r="BA108" i="12"/>
  <c r="H108" i="12"/>
  <c r="H329" i="2"/>
  <c r="AZ70" i="12"/>
  <c r="BL18" i="17"/>
  <c r="BL20" i="17" s="1"/>
  <c r="BL22" i="17" s="1"/>
  <c r="BI326" i="2"/>
  <c r="AU108" i="12"/>
  <c r="D70" i="12"/>
  <c r="D114" i="12" s="1"/>
  <c r="R35" i="12"/>
  <c r="R114" i="12" s="1"/>
  <c r="BA6" i="17"/>
  <c r="BA8" i="17" s="1"/>
  <c r="BE70" i="12"/>
  <c r="BK6" i="17"/>
  <c r="BZ6" i="17"/>
  <c r="BG126" i="12"/>
  <c r="BG127" i="12" s="1"/>
  <c r="CA36" i="17"/>
  <c r="V326" i="2"/>
  <c r="BD73" i="17"/>
  <c r="BT234" i="1"/>
  <c r="BT244" i="1" s="1"/>
  <c r="AP42" i="17"/>
  <c r="AP44" i="17" s="1"/>
  <c r="AP46" i="17" s="1"/>
  <c r="BJ42" i="17"/>
  <c r="BO38" i="17"/>
  <c r="CK304" i="2"/>
  <c r="BT49" i="3"/>
  <c r="AU49" i="3"/>
  <c r="AD16" i="2"/>
  <c r="G235" i="2"/>
  <c r="CH360" i="2"/>
  <c r="CK48" i="3"/>
  <c r="CK49" i="3" s="1"/>
  <c r="CM309" i="2"/>
  <c r="AS104" i="2"/>
  <c r="T94" i="2"/>
  <c r="CL286" i="2"/>
  <c r="BA104" i="2"/>
  <c r="AV38" i="17"/>
  <c r="AV40" i="17" s="1"/>
  <c r="AQ38" i="17"/>
  <c r="AQ40" i="17" s="1"/>
  <c r="BE32" i="17"/>
  <c r="BS38" i="17"/>
  <c r="BU230" i="1"/>
  <c r="BU240" i="1" s="1"/>
  <c r="CU30" i="17"/>
  <c r="BB132" i="12"/>
  <c r="AC85" i="12"/>
  <c r="AC86" i="12" s="1"/>
  <c r="N85" i="12"/>
  <c r="N86" i="12" s="1"/>
  <c r="AW55" i="12"/>
  <c r="AW54" i="12" s="1"/>
  <c r="AW37" i="17" s="1"/>
  <c r="AR55" i="12"/>
  <c r="AR54" i="12" s="1"/>
  <c r="AR37" i="17" s="1"/>
  <c r="AM55" i="12"/>
  <c r="AM54" i="12" s="1"/>
  <c r="AH55" i="12"/>
  <c r="AH54" i="12" s="1"/>
  <c r="N55" i="12"/>
  <c r="N54" i="12" s="1"/>
  <c r="BB81" i="12"/>
  <c r="BB80" i="12" s="1"/>
  <c r="BB31" i="17" s="1"/>
  <c r="AW81" i="12"/>
  <c r="AW80" i="12" s="1"/>
  <c r="AW31" i="17" s="1"/>
  <c r="S50" i="12"/>
  <c r="S49" i="12" s="1"/>
  <c r="N50" i="12"/>
  <c r="N49" i="12" s="1"/>
  <c r="AY20" i="17"/>
  <c r="AY32" i="17"/>
  <c r="BM20" i="17"/>
  <c r="BM38" i="17"/>
  <c r="CA55" i="12"/>
  <c r="CA54" i="12" s="1"/>
  <c r="CA37" i="17" s="1"/>
  <c r="BW20" i="17"/>
  <c r="BY20" i="17"/>
  <c r="CC38" i="17"/>
  <c r="AA108" i="12"/>
  <c r="AF108" i="12"/>
  <c r="AK108" i="12"/>
  <c r="AP108" i="12"/>
  <c r="AZ108" i="12"/>
  <c r="BE108" i="12"/>
  <c r="CK178" i="2"/>
  <c r="CK194" i="2" s="1"/>
  <c r="CM127" i="2"/>
  <c r="CN360" i="2"/>
  <c r="CN309" i="2"/>
  <c r="CI94" i="2"/>
  <c r="BI49" i="3"/>
  <c r="CG94" i="2"/>
  <c r="CG112" i="2"/>
  <c r="CK186" i="2"/>
  <c r="CG56" i="5"/>
  <c r="CG59" i="5" s="1"/>
  <c r="CK56" i="5"/>
  <c r="CK38" i="4"/>
  <c r="CJ63" i="4"/>
  <c r="CJ57" i="4"/>
  <c r="CI57" i="4" s="1"/>
  <c r="CH57" i="4" s="1"/>
  <c r="CG57" i="4" s="1"/>
  <c r="CP22" i="4"/>
  <c r="CU22" i="4" s="1"/>
  <c r="CZ22" i="4" s="1"/>
  <c r="DE22" i="4" s="1"/>
  <c r="DJ22" i="4" s="1"/>
  <c r="CK29" i="4"/>
  <c r="CP29" i="4" s="1"/>
  <c r="CM46" i="3"/>
  <c r="CM33" i="3"/>
  <c r="CG49" i="3"/>
  <c r="AN191" i="2"/>
  <c r="AQ191" i="2"/>
  <c r="AM40" i="12"/>
  <c r="AM39" i="12" s="1"/>
  <c r="X40" i="12"/>
  <c r="X39" i="12" s="1"/>
  <c r="N40" i="12"/>
  <c r="N39" i="12" s="1"/>
  <c r="AD45" i="30"/>
  <c r="BE245" i="1"/>
  <c r="BJ235" i="1"/>
  <c r="BJ245" i="1" s="1"/>
  <c r="BM65" i="17"/>
  <c r="BR117" i="12"/>
  <c r="BW117" i="12" s="1"/>
  <c r="CB117" i="12" s="1"/>
  <c r="CG117" i="12" s="1"/>
  <c r="AW65" i="17"/>
  <c r="S85" i="12"/>
  <c r="S86" i="12" s="1"/>
  <c r="AR127" i="12"/>
  <c r="AW326" i="2"/>
  <c r="AV326" i="2"/>
  <c r="AY330" i="2"/>
  <c r="BB124" i="12"/>
  <c r="M114" i="12"/>
  <c r="AA86" i="12"/>
  <c r="AW71" i="17"/>
  <c r="AA328" i="2"/>
  <c r="Z328" i="2"/>
  <c r="L324" i="2"/>
  <c r="K324" i="2"/>
  <c r="AS328" i="2"/>
  <c r="AW53" i="12"/>
  <c r="AT38" i="17"/>
  <c r="AT40" i="17" s="1"/>
  <c r="AW18" i="17"/>
  <c r="AU326" i="2"/>
  <c r="BB330" i="2"/>
  <c r="AX330" i="2"/>
  <c r="BB69" i="17"/>
  <c r="BB71" i="17" s="1"/>
  <c r="AT328" i="2"/>
  <c r="BT126" i="12"/>
  <c r="BY126" i="12" s="1"/>
  <c r="CD126" i="12" s="1"/>
  <c r="AB328" i="2"/>
  <c r="AC328" i="2"/>
  <c r="Y328" i="2"/>
  <c r="J324" i="2"/>
  <c r="M324" i="2"/>
  <c r="BR20" i="17"/>
  <c r="CP120" i="12"/>
  <c r="AW75" i="17"/>
  <c r="AM132" i="12"/>
  <c r="AZ330" i="2"/>
  <c r="AW69" i="17"/>
  <c r="BC132" i="12"/>
  <c r="AU328" i="2"/>
  <c r="AW36" i="17"/>
  <c r="AF326" i="2"/>
  <c r="AG326" i="2"/>
  <c r="AD326" i="2"/>
  <c r="BB45" i="12"/>
  <c r="BB44" i="12" s="1"/>
  <c r="BB19" i="17" s="1"/>
  <c r="AH40" i="12"/>
  <c r="AH39" i="12" s="1"/>
  <c r="AV20" i="17"/>
  <c r="AV22" i="17" s="1"/>
  <c r="BQ45" i="12"/>
  <c r="BQ44" i="12" s="1"/>
  <c r="BQ19" i="17" s="1"/>
  <c r="CK45" i="12"/>
  <c r="CK44" i="12" s="1"/>
  <c r="CK19" i="17" s="1"/>
  <c r="CL73" i="12"/>
  <c r="CG81" i="12"/>
  <c r="CG80" i="12" s="1"/>
  <c r="CL27" i="12"/>
  <c r="CK27" i="12"/>
  <c r="CM19" i="12"/>
  <c r="CL21" i="12"/>
  <c r="CP21" i="12" s="1"/>
  <c r="CK21" i="12"/>
  <c r="CL29" i="12"/>
  <c r="CK29" i="12"/>
  <c r="CM73" i="12"/>
  <c r="CH81" i="12"/>
  <c r="CH80" i="12" s="1"/>
  <c r="CO19" i="12"/>
  <c r="CQ19" i="12" s="1"/>
  <c r="CL19" i="12"/>
  <c r="AW45" i="12"/>
  <c r="AW44" i="12" s="1"/>
  <c r="AW19" i="17" s="1"/>
  <c r="AU38" i="17"/>
  <c r="AP38" i="17"/>
  <c r="AS38" i="17"/>
  <c r="AS40" i="17" s="1"/>
  <c r="CF29" i="12"/>
  <c r="CK55" i="12"/>
  <c r="CK54" i="12" s="1"/>
  <c r="CK37" i="17" s="1"/>
  <c r="BD20" i="17"/>
  <c r="BD32" i="17"/>
  <c r="BC32" i="17"/>
  <c r="BJ38" i="17"/>
  <c r="BQ55" i="12"/>
  <c r="BQ54" i="12" s="1"/>
  <c r="BQ37" i="17" s="1"/>
  <c r="BT38" i="17"/>
  <c r="BV55" i="12"/>
  <c r="BV54" i="12" s="1"/>
  <c r="BV37" i="17" s="1"/>
  <c r="AS20" i="17"/>
  <c r="AS22" i="17" s="1"/>
  <c r="AW127" i="12"/>
  <c r="X85" i="12"/>
  <c r="X86" i="12" s="1"/>
  <c r="X55" i="12"/>
  <c r="X67" i="12"/>
  <c r="BC38" i="17"/>
  <c r="BH328" i="2"/>
  <c r="BJ328" i="2"/>
  <c r="BL328" i="2"/>
  <c r="BI328" i="2"/>
  <c r="BL36" i="17"/>
  <c r="BL38" i="17" s="1"/>
  <c r="BL40" i="17" s="1"/>
  <c r="BL55" i="12"/>
  <c r="BL53" i="12"/>
  <c r="BK328" i="2"/>
  <c r="BJ20" i="17"/>
  <c r="BV45" i="12"/>
  <c r="CA45" i="12"/>
  <c r="CA44" i="12" s="1"/>
  <c r="CA19" i="17" s="1"/>
  <c r="CI38" i="17"/>
  <c r="CK43" i="12"/>
  <c r="CJ326" i="2"/>
  <c r="CK326" i="2"/>
  <c r="P108" i="12"/>
  <c r="P35" i="12"/>
  <c r="S32" i="12"/>
  <c r="Z35" i="12"/>
  <c r="AC32" i="12"/>
  <c r="Z108" i="12"/>
  <c r="AO108" i="12"/>
  <c r="AO35" i="12"/>
  <c r="AR32" i="12"/>
  <c r="BD6" i="17"/>
  <c r="BD8" i="17" s="1"/>
  <c r="BD35" i="12"/>
  <c r="BG32" i="12"/>
  <c r="BD108" i="12"/>
  <c r="BS108" i="12"/>
  <c r="BS230" i="1"/>
  <c r="BS240" i="1" s="1"/>
  <c r="BS6" i="17"/>
  <c r="BV32" i="12"/>
  <c r="CG70" i="12"/>
  <c r="CK60" i="12"/>
  <c r="CL60" i="12"/>
  <c r="BS123" i="12"/>
  <c r="BN69" i="17"/>
  <c r="BD330" i="2"/>
  <c r="BG81" i="12"/>
  <c r="BE330" i="2"/>
  <c r="BG330" i="2"/>
  <c r="BG79" i="12"/>
  <c r="BG30" i="17"/>
  <c r="BG32" i="17" s="1"/>
  <c r="BC330" i="2"/>
  <c r="BF330" i="2"/>
  <c r="CO328" i="2"/>
  <c r="CP328" i="2"/>
  <c r="CP36" i="17"/>
  <c r="CP53" i="12"/>
  <c r="U108" i="12"/>
  <c r="U35" i="12"/>
  <c r="X32" i="12"/>
  <c r="AJ35" i="12"/>
  <c r="AJ108" i="12"/>
  <c r="AM32" i="12"/>
  <c r="AY6" i="17"/>
  <c r="AY8" i="17" s="1"/>
  <c r="AY35" i="12"/>
  <c r="AY108" i="12"/>
  <c r="BB32" i="12"/>
  <c r="BN230" i="1"/>
  <c r="BN240" i="1" s="1"/>
  <c r="BQ32" i="12"/>
  <c r="BN6" i="17"/>
  <c r="BN108" i="12"/>
  <c r="CC6" i="17"/>
  <c r="CC108" i="12"/>
  <c r="CF32" i="12"/>
  <c r="CC230" i="1"/>
  <c r="CC240" i="1" s="1"/>
  <c r="E68" i="12"/>
  <c r="E70" i="12"/>
  <c r="E114" i="12" s="1"/>
  <c r="CN75" i="12"/>
  <c r="CS75" i="12" s="1"/>
  <c r="CI81" i="12"/>
  <c r="CO73" i="12"/>
  <c r="CT73" i="12" s="1"/>
  <c r="CK73" i="12"/>
  <c r="E108" i="12"/>
  <c r="BK117" i="12"/>
  <c r="BL117" i="12" s="1"/>
  <c r="BF65" i="17"/>
  <c r="BG117" i="12"/>
  <c r="BF132" i="12"/>
  <c r="CF71" i="2"/>
  <c r="CF92" i="2" s="1"/>
  <c r="CE92" i="2"/>
  <c r="K108" i="12"/>
  <c r="N32" i="12"/>
  <c r="K35" i="12"/>
  <c r="K114" i="12" s="1"/>
  <c r="AE35" i="12"/>
  <c r="AE108" i="12"/>
  <c r="AH32" i="12"/>
  <c r="AT35" i="12"/>
  <c r="AW32" i="12"/>
  <c r="AT108" i="12"/>
  <c r="AT6" i="17"/>
  <c r="AT8" i="17" s="1"/>
  <c r="BI230" i="1"/>
  <c r="BI240" i="1" s="1"/>
  <c r="BI6" i="17"/>
  <c r="BI108" i="12"/>
  <c r="BX230" i="1"/>
  <c r="BX240" i="1" s="1"/>
  <c r="BX6" i="17"/>
  <c r="BX108" i="12"/>
  <c r="CA32" i="12"/>
  <c r="CN60" i="12"/>
  <c r="CS60" i="12" s="1"/>
  <c r="CX60" i="12" s="1"/>
  <c r="DC60" i="12" s="1"/>
  <c r="DH60" i="12" s="1"/>
  <c r="CI70" i="12"/>
  <c r="CI69" i="12" s="1"/>
  <c r="CI43" i="17" s="1"/>
  <c r="I68" i="12"/>
  <c r="I108" i="12"/>
  <c r="I70" i="12"/>
  <c r="I114" i="12" s="1"/>
  <c r="I329" i="2"/>
  <c r="CJ108" i="12"/>
  <c r="CK78" i="12"/>
  <c r="CK77" i="12"/>
  <c r="BL32" i="12"/>
  <c r="BI132" i="12"/>
  <c r="BI69" i="17"/>
  <c r="AY38" i="17"/>
  <c r="BI73" i="17"/>
  <c r="BN126" i="12"/>
  <c r="BD69" i="17"/>
  <c r="BG123" i="12"/>
  <c r="BD132" i="12"/>
  <c r="CN62" i="12"/>
  <c r="CK62" i="12"/>
  <c r="BH235" i="1"/>
  <c r="BL78" i="12"/>
  <c r="BH30" i="17"/>
  <c r="BH108" i="12"/>
  <c r="BM235" i="1"/>
  <c r="BQ78" i="12"/>
  <c r="BM30" i="17"/>
  <c r="BR235" i="1"/>
  <c r="T44" i="30"/>
  <c r="T45" i="30" s="1"/>
  <c r="BR30" i="17"/>
  <c r="BR108" i="12"/>
  <c r="BW235" i="1"/>
  <c r="CA78" i="12"/>
  <c r="AB45" i="30"/>
  <c r="CB108" i="12"/>
  <c r="CB30" i="17"/>
  <c r="CE230" i="1"/>
  <c r="CE240" i="1" s="1"/>
  <c r="CE108" i="12"/>
  <c r="CM108" i="12"/>
  <c r="CR109" i="12" s="1"/>
  <c r="CL330" i="2"/>
  <c r="CE234" i="1"/>
  <c r="CE244" i="1" s="1"/>
  <c r="CE42" i="17"/>
  <c r="CF67" i="12"/>
  <c r="CP67" i="12"/>
  <c r="CL329" i="2"/>
  <c r="CK66" i="12"/>
  <c r="CO25" i="12"/>
  <c r="CK25" i="12"/>
  <c r="S48" i="12"/>
  <c r="O327" i="2"/>
  <c r="Q327" i="2"/>
  <c r="S327" i="2"/>
  <c r="R327" i="2"/>
  <c r="AC40" i="12"/>
  <c r="AC39" i="12" s="1"/>
  <c r="BU42" i="17"/>
  <c r="BZ234" i="1"/>
  <c r="BZ42" i="17"/>
  <c r="AM124" i="12"/>
  <c r="AR124" i="12"/>
  <c r="AR132" i="12"/>
  <c r="C93" i="12"/>
  <c r="AG86" i="12"/>
  <c r="AH85" i="12"/>
  <c r="AH86" i="12" s="1"/>
  <c r="S324" i="2"/>
  <c r="R324" i="2"/>
  <c r="O324" i="2"/>
  <c r="Q324" i="2"/>
  <c r="AH53" i="12"/>
  <c r="AE328" i="2"/>
  <c r="AH328" i="2"/>
  <c r="AD328" i="2"/>
  <c r="AF328" i="2"/>
  <c r="BZ38" i="17"/>
  <c r="CF43" i="12"/>
  <c r="CB326" i="2"/>
  <c r="CE326" i="2"/>
  <c r="CF18" i="17"/>
  <c r="CD326" i="2"/>
  <c r="CF326" i="2"/>
  <c r="CC326" i="2"/>
  <c r="AY42" i="17"/>
  <c r="AY44" i="17" s="1"/>
  <c r="AY70" i="12"/>
  <c r="BD42" i="17"/>
  <c r="BD44" i="17" s="1"/>
  <c r="BD70" i="12"/>
  <c r="BD234" i="1"/>
  <c r="BD244" i="1" s="1"/>
  <c r="BH42" i="17"/>
  <c r="BL67" i="12"/>
  <c r="BH234" i="1"/>
  <c r="BH244" i="1" s="1"/>
  <c r="BM42" i="17"/>
  <c r="BM234" i="1"/>
  <c r="BR234" i="1"/>
  <c r="BR42" i="17"/>
  <c r="L114" i="12"/>
  <c r="L108" i="12"/>
  <c r="Q108" i="12"/>
  <c r="AT20" i="17"/>
  <c r="AT22" i="17" s="1"/>
  <c r="CK23" i="12"/>
  <c r="G114" i="12"/>
  <c r="CU6" i="17"/>
  <c r="CM33" i="12"/>
  <c r="CI6" i="17"/>
  <c r="CI33" i="12"/>
  <c r="CH6" i="17"/>
  <c r="CH33" i="12"/>
  <c r="CK32" i="12"/>
  <c r="CG108" i="12"/>
  <c r="CG6" i="17"/>
  <c r="BO123" i="12"/>
  <c r="BJ132" i="12"/>
  <c r="BJ69" i="17"/>
  <c r="BM123" i="12"/>
  <c r="BH132" i="12"/>
  <c r="BL123" i="12"/>
  <c r="BH69" i="17"/>
  <c r="AX38" i="17"/>
  <c r="BK20" i="17"/>
  <c r="D68" i="12"/>
  <c r="N70" i="12"/>
  <c r="AW67" i="17"/>
  <c r="O114" i="12"/>
  <c r="CP23" i="12"/>
  <c r="CP31" i="12"/>
  <c r="BY108" i="12"/>
  <c r="V108" i="12"/>
  <c r="J114" i="12"/>
  <c r="S70" i="12"/>
  <c r="CP77" i="12"/>
  <c r="CM70" i="12"/>
  <c r="CP17" i="12"/>
  <c r="CE235" i="1"/>
  <c r="CE245" i="1" s="1"/>
  <c r="CE6" i="17"/>
  <c r="BZ326" i="2"/>
  <c r="CA326" i="2"/>
  <c r="G89" i="1" l="1"/>
  <c r="G92" i="1" s="1"/>
  <c r="BP35" i="1"/>
  <c r="BP37" i="1" s="1"/>
  <c r="BC31" i="1"/>
  <c r="BC33" i="1" s="1"/>
  <c r="BL212" i="1"/>
  <c r="BC35" i="1"/>
  <c r="BC37" i="1" s="1"/>
  <c r="AH215" i="1"/>
  <c r="BN35" i="1"/>
  <c r="BN37" i="1" s="1"/>
  <c r="BP31" i="1"/>
  <c r="BP33" i="1" s="1"/>
  <c r="AO31" i="1"/>
  <c r="AO33" i="1" s="1"/>
  <c r="L190" i="1"/>
  <c r="AA29" i="1"/>
  <c r="BA29" i="1"/>
  <c r="K190" i="1"/>
  <c r="BB18" i="1"/>
  <c r="BB24" i="1" s="1"/>
  <c r="BB27" i="1" s="1"/>
  <c r="BB29" i="1" s="1"/>
  <c r="BI127" i="2"/>
  <c r="DV308" i="2"/>
  <c r="DP308" i="2"/>
  <c r="DW308" i="2"/>
  <c r="DX308" i="2"/>
  <c r="DU308" i="2"/>
  <c r="DY121" i="12"/>
  <c r="DU69" i="12"/>
  <c r="DU43" i="17" s="1"/>
  <c r="DU44" i="17" s="1"/>
  <c r="BH59" i="3"/>
  <c r="R334" i="2"/>
  <c r="R350" i="2" s="1"/>
  <c r="AW185" i="2"/>
  <c r="R302" i="2"/>
  <c r="R304" i="2" s="1"/>
  <c r="R311" i="2" s="1"/>
  <c r="R308" i="2"/>
  <c r="BW309" i="2"/>
  <c r="S290" i="2"/>
  <c r="T334" i="2" s="1"/>
  <c r="BR145" i="2"/>
  <c r="BR326" i="1" s="1"/>
  <c r="BR144" i="2"/>
  <c r="BN186" i="2"/>
  <c r="BN268" i="2" s="1"/>
  <c r="BY350" i="2"/>
  <c r="BY366" i="2" s="1"/>
  <c r="BZ350" i="2"/>
  <c r="CD366" i="2" s="1"/>
  <c r="AB394" i="2"/>
  <c r="BV257" i="2"/>
  <c r="AJ186" i="2"/>
  <c r="AK286" i="2" s="1"/>
  <c r="AR105" i="2"/>
  <c r="AK114" i="12"/>
  <c r="CA241" i="2"/>
  <c r="BV89" i="1"/>
  <c r="C235" i="2"/>
  <c r="BN350" i="2"/>
  <c r="AL139" i="1"/>
  <c r="J31" i="1"/>
  <c r="J33" i="1" s="1"/>
  <c r="AB316" i="1"/>
  <c r="BR60" i="3"/>
  <c r="AK213" i="1"/>
  <c r="BP56" i="4"/>
  <c r="BP69" i="4" s="1"/>
  <c r="BP70" i="4" s="1"/>
  <c r="AN139" i="1"/>
  <c r="BQ69" i="4"/>
  <c r="I39" i="30"/>
  <c r="BO31" i="1"/>
  <c r="BO33" i="1" s="1"/>
  <c r="J29" i="1"/>
  <c r="H39" i="30"/>
  <c r="BI74" i="3"/>
  <c r="BI31" i="1"/>
  <c r="BI33" i="1" s="1"/>
  <c r="AM268" i="1"/>
  <c r="CK19" i="12"/>
  <c r="CE143" i="2"/>
  <c r="BV29" i="3"/>
  <c r="BP350" i="2"/>
  <c r="BT366" i="2" s="1"/>
  <c r="BI59" i="3"/>
  <c r="BL256" i="2"/>
  <c r="CE135" i="2"/>
  <c r="CF231" i="2"/>
  <c r="BR59" i="3"/>
  <c r="BI60" i="3"/>
  <c r="AK162" i="2"/>
  <c r="BR134" i="2"/>
  <c r="CH268" i="2"/>
  <c r="AX282" i="2"/>
  <c r="O164" i="2"/>
  <c r="S225" i="2"/>
  <c r="BR146" i="2"/>
  <c r="BR136" i="2"/>
  <c r="BR135" i="2"/>
  <c r="BR143" i="2"/>
  <c r="S258" i="2"/>
  <c r="BK282" i="2"/>
  <c r="BJ264" i="2"/>
  <c r="BJ188" i="2"/>
  <c r="BJ212" i="2" s="1"/>
  <c r="AW51" i="2"/>
  <c r="BT216" i="2"/>
  <c r="BX286" i="2"/>
  <c r="BH31" i="1"/>
  <c r="BH33" i="1" s="1"/>
  <c r="BQ223" i="2"/>
  <c r="AW110" i="2"/>
  <c r="BB63" i="4"/>
  <c r="BB69" i="4" s="1"/>
  <c r="BJ282" i="2"/>
  <c r="BU56" i="4"/>
  <c r="BT56" i="4" s="1"/>
  <c r="BW69" i="4"/>
  <c r="BW70" i="4" s="1"/>
  <c r="Q190" i="1"/>
  <c r="BR69" i="4"/>
  <c r="BR70" i="4" s="1"/>
  <c r="BR72" i="4" s="1"/>
  <c r="AW89" i="1"/>
  <c r="CP362" i="1"/>
  <c r="CU362" i="1" s="1"/>
  <c r="BB139" i="1"/>
  <c r="U92" i="1"/>
  <c r="AI60" i="3"/>
  <c r="E39" i="30"/>
  <c r="BI136" i="2"/>
  <c r="BI146" i="2"/>
  <c r="AM91" i="2"/>
  <c r="Q29" i="1"/>
  <c r="BL89" i="1"/>
  <c r="AA10" i="5"/>
  <c r="CA139" i="1"/>
  <c r="AA35" i="1"/>
  <c r="AA43" i="1" s="1"/>
  <c r="N121" i="1"/>
  <c r="N139" i="1" s="1"/>
  <c r="M139" i="1" s="1"/>
  <c r="BE64" i="4"/>
  <c r="AM260" i="1"/>
  <c r="BP64" i="4"/>
  <c r="BL268" i="1"/>
  <c r="BQ259" i="1"/>
  <c r="BQ253" i="1"/>
  <c r="BQ333" i="1" s="1"/>
  <c r="BQ252" i="1"/>
  <c r="BQ334" i="1" s="1"/>
  <c r="BZ7" i="5"/>
  <c r="CA7" i="5" s="1"/>
  <c r="P14" i="30" s="1"/>
  <c r="AM257" i="1"/>
  <c r="AY309" i="2"/>
  <c r="BQ254" i="1"/>
  <c r="BL165" i="1"/>
  <c r="BL213" i="1" s="1"/>
  <c r="AO135" i="2"/>
  <c r="BS248" i="2"/>
  <c r="CA89" i="1"/>
  <c r="BQ258" i="1"/>
  <c r="BQ374" i="1" s="1"/>
  <c r="BQ260" i="1"/>
  <c r="BN231" i="2"/>
  <c r="M104" i="2"/>
  <c r="BQ255" i="1"/>
  <c r="AJ35" i="1"/>
  <c r="AJ37" i="1" s="1"/>
  <c r="BO268" i="2"/>
  <c r="H235" i="2"/>
  <c r="H238" i="2"/>
  <c r="AP164" i="2"/>
  <c r="BH264" i="2"/>
  <c r="AN164" i="2"/>
  <c r="CE146" i="2"/>
  <c r="CF309" i="2"/>
  <c r="BN264" i="2"/>
  <c r="R154" i="2"/>
  <c r="CE136" i="2"/>
  <c r="CF344" i="2"/>
  <c r="CF360" i="2" s="1"/>
  <c r="CF376" i="2" s="1"/>
  <c r="CE346" i="2"/>
  <c r="CE362" i="2" s="1"/>
  <c r="CE134" i="2"/>
  <c r="AQ164" i="2"/>
  <c r="DL308" i="2"/>
  <c r="DS308" i="2"/>
  <c r="DQ308" i="2"/>
  <c r="DR308" i="2"/>
  <c r="DT121" i="12"/>
  <c r="DP69" i="12"/>
  <c r="DP43" i="17" s="1"/>
  <c r="DP44" i="17" s="1"/>
  <c r="BT202" i="2"/>
  <c r="BQ109" i="2"/>
  <c r="BC231" i="2"/>
  <c r="L286" i="2"/>
  <c r="BP82" i="2"/>
  <c r="BP134" i="2" s="1"/>
  <c r="BQ119" i="2"/>
  <c r="BI282" i="2"/>
  <c r="BT214" i="2"/>
  <c r="BT327" i="1" s="1"/>
  <c r="BG256" i="2"/>
  <c r="BL223" i="2"/>
  <c r="H78" i="4"/>
  <c r="H79" i="4" s="1"/>
  <c r="H77" i="4"/>
  <c r="AI59" i="3"/>
  <c r="H58" i="3"/>
  <c r="H13" i="3"/>
  <c r="H18" i="3" s="1"/>
  <c r="AV49" i="4"/>
  <c r="BL60" i="4"/>
  <c r="BL263" i="1" s="1"/>
  <c r="AZ68" i="4"/>
  <c r="AS78" i="4"/>
  <c r="AS79" i="4" s="1"/>
  <c r="AU48" i="4"/>
  <c r="AU62" i="4" s="1"/>
  <c r="BK68" i="4"/>
  <c r="H75" i="4"/>
  <c r="BA65" i="4"/>
  <c r="AS56" i="4"/>
  <c r="AT56" i="4" s="1"/>
  <c r="AP7" i="5"/>
  <c r="AQ7" i="5" s="1"/>
  <c r="P55" i="5"/>
  <c r="S44" i="17"/>
  <c r="S46" i="17" s="1"/>
  <c r="BT205" i="2"/>
  <c r="CE144" i="2"/>
  <c r="AR129" i="2"/>
  <c r="CE311" i="2"/>
  <c r="BW67" i="3"/>
  <c r="AR113" i="2"/>
  <c r="BS111" i="2"/>
  <c r="BN309" i="2"/>
  <c r="BJ353" i="2"/>
  <c r="BM369" i="2" s="1"/>
  <c r="AD162" i="2"/>
  <c r="AG239" i="2"/>
  <c r="AB300" i="2"/>
  <c r="AB302" i="2" s="1"/>
  <c r="AB304" i="2" s="1"/>
  <c r="AR60" i="4"/>
  <c r="AR61" i="4" s="1"/>
  <c r="BP127" i="2"/>
  <c r="BF33" i="4"/>
  <c r="BF39" i="4" s="1"/>
  <c r="BF49" i="4" s="1"/>
  <c r="AL33" i="4"/>
  <c r="AL39" i="4" s="1"/>
  <c r="BQ267" i="2"/>
  <c r="T56" i="4"/>
  <c r="U56" i="4" s="1"/>
  <c r="AX238" i="2"/>
  <c r="AK164" i="2"/>
  <c r="AJ164" i="2"/>
  <c r="BG27" i="4"/>
  <c r="BH282" i="2"/>
  <c r="BT215" i="2"/>
  <c r="CE133" i="2"/>
  <c r="BS127" i="2"/>
  <c r="BU127" i="2"/>
  <c r="BQ233" i="2"/>
  <c r="BU268" i="2"/>
  <c r="AH305" i="2"/>
  <c r="AL29" i="1"/>
  <c r="BO208" i="1"/>
  <c r="AQ48" i="3"/>
  <c r="CP337" i="1"/>
  <c r="CU337" i="1" s="1"/>
  <c r="BB335" i="2"/>
  <c r="BB351" i="2" s="1"/>
  <c r="BB367" i="2" s="1"/>
  <c r="AL24" i="5"/>
  <c r="BB222" i="2"/>
  <c r="E64" i="4"/>
  <c r="BL109" i="2"/>
  <c r="H29" i="1"/>
  <c r="BC335" i="2"/>
  <c r="BC351" i="2" s="1"/>
  <c r="BC367" i="2" s="1"/>
  <c r="AJ31" i="1"/>
  <c r="AJ33" i="1" s="1"/>
  <c r="BQ185" i="2"/>
  <c r="V46" i="5"/>
  <c r="W222" i="2"/>
  <c r="X38" i="2"/>
  <c r="X69" i="2" s="1"/>
  <c r="H35" i="1"/>
  <c r="H43" i="1" s="1"/>
  <c r="Y151" i="2"/>
  <c r="L139" i="1"/>
  <c r="L141" i="1" s="1"/>
  <c r="L144" i="1" s="1"/>
  <c r="BB35" i="1"/>
  <c r="BB37" i="1" s="1"/>
  <c r="W239" i="2"/>
  <c r="AR233" i="2"/>
  <c r="P190" i="1"/>
  <c r="BI188" i="2"/>
  <c r="BI203" i="2" s="1"/>
  <c r="BA31" i="1"/>
  <c r="BA33" i="1" s="1"/>
  <c r="AS127" i="2"/>
  <c r="BL302" i="2"/>
  <c r="BL304" i="2" s="1"/>
  <c r="I139" i="1"/>
  <c r="I141" i="1" s="1"/>
  <c r="I144" i="1" s="1"/>
  <c r="C238" i="2"/>
  <c r="AY35" i="1"/>
  <c r="AY37" i="1" s="1"/>
  <c r="P164" i="2"/>
  <c r="CC31" i="1"/>
  <c r="CC33" i="1" s="1"/>
  <c r="AF162" i="2"/>
  <c r="AP29" i="1"/>
  <c r="AP160" i="2"/>
  <c r="R164" i="2"/>
  <c r="BD82" i="2"/>
  <c r="BD146" i="2" s="1"/>
  <c r="AL213" i="1"/>
  <c r="AP31" i="1"/>
  <c r="AP33" i="1" s="1"/>
  <c r="H139" i="1"/>
  <c r="H141" i="1" s="1"/>
  <c r="H144" i="1" s="1"/>
  <c r="AO162" i="2"/>
  <c r="BN248" i="2"/>
  <c r="AG162" i="2"/>
  <c r="BN127" i="2"/>
  <c r="O82" i="2"/>
  <c r="O138" i="2" s="1"/>
  <c r="AO160" i="2"/>
  <c r="BI231" i="2"/>
  <c r="BI133" i="2"/>
  <c r="X113" i="2"/>
  <c r="AR189" i="1"/>
  <c r="AR190" i="1" s="1"/>
  <c r="BY145" i="2"/>
  <c r="BY326" i="1" s="1"/>
  <c r="C139" i="1"/>
  <c r="C141" i="1" s="1"/>
  <c r="C52" i="5" s="1"/>
  <c r="D51" i="5" s="1"/>
  <c r="T48" i="4"/>
  <c r="T62" i="4" s="1"/>
  <c r="T65" i="4" s="1"/>
  <c r="DI308" i="2"/>
  <c r="BD111" i="2"/>
  <c r="BI135" i="2"/>
  <c r="BN111" i="2"/>
  <c r="BI134" i="2"/>
  <c r="AR89" i="1"/>
  <c r="BQ139" i="1"/>
  <c r="AC169" i="2"/>
  <c r="AC255" i="2" s="1"/>
  <c r="K29" i="1"/>
  <c r="BY311" i="2"/>
  <c r="BF60" i="3"/>
  <c r="BY135" i="2"/>
  <c r="AZ45" i="5"/>
  <c r="I64" i="4"/>
  <c r="BT204" i="2"/>
  <c r="DO22" i="4"/>
  <c r="DR22" i="4" s="1"/>
  <c r="DS22" i="4" s="1"/>
  <c r="DT22" i="4" s="1"/>
  <c r="DU22" i="4" s="1"/>
  <c r="DV22" i="4" s="1"/>
  <c r="DW22" i="4" s="1"/>
  <c r="DX22" i="4" s="1"/>
  <c r="DY22" i="4" s="1"/>
  <c r="AN162" i="2"/>
  <c r="AQ162" i="2"/>
  <c r="BL139" i="1"/>
  <c r="AM18" i="1"/>
  <c r="AM24" i="1" s="1"/>
  <c r="AM27" i="1" s="1"/>
  <c r="AM29" i="1" s="1"/>
  <c r="K33" i="1"/>
  <c r="AM259" i="1"/>
  <c r="BR78" i="4"/>
  <c r="BR79" i="4" s="1"/>
  <c r="BY133" i="2"/>
  <c r="BB256" i="2"/>
  <c r="AR314" i="1"/>
  <c r="BR208" i="1"/>
  <c r="BG224" i="2"/>
  <c r="BQ255" i="2"/>
  <c r="AJ82" i="2"/>
  <c r="AO130" i="2" s="1"/>
  <c r="P82" i="2"/>
  <c r="BI111" i="2"/>
  <c r="BD127" i="2"/>
  <c r="BB212" i="1"/>
  <c r="AI64" i="4"/>
  <c r="BT203" i="2"/>
  <c r="P154" i="2"/>
  <c r="D39" i="30"/>
  <c r="K36" i="30"/>
  <c r="K38" i="30" s="1"/>
  <c r="BY146" i="2"/>
  <c r="BH35" i="1"/>
  <c r="BH37" i="1" s="1"/>
  <c r="BO35" i="1"/>
  <c r="BO37" i="1" s="1"/>
  <c r="AW394" i="2"/>
  <c r="O139" i="1"/>
  <c r="O141" i="1" s="1"/>
  <c r="O144" i="1" s="1"/>
  <c r="AR18" i="1"/>
  <c r="AR24" i="1" s="1"/>
  <c r="AR27" i="1" s="1"/>
  <c r="AR31" i="1" s="1"/>
  <c r="AR33" i="1" s="1"/>
  <c r="AM256" i="1"/>
  <c r="P113" i="2"/>
  <c r="AJ282" i="2"/>
  <c r="BY143" i="2"/>
  <c r="CC13" i="3"/>
  <c r="CC18" i="3" s="1"/>
  <c r="CC53" i="3" s="1"/>
  <c r="CC62" i="3" s="1"/>
  <c r="AM258" i="1"/>
  <c r="BN49" i="4"/>
  <c r="BN50" i="4" s="1"/>
  <c r="BH74" i="3"/>
  <c r="W69" i="2"/>
  <c r="BL222" i="2"/>
  <c r="W118" i="2"/>
  <c r="BM334" i="2"/>
  <c r="AG7" i="5"/>
  <c r="W108" i="2"/>
  <c r="BL267" i="2"/>
  <c r="CF353" i="1"/>
  <c r="AG255" i="2"/>
  <c r="AI143" i="1"/>
  <c r="AD213" i="1"/>
  <c r="S14" i="17"/>
  <c r="S16" i="17" s="1"/>
  <c r="AB255" i="2"/>
  <c r="BY134" i="2"/>
  <c r="AR224" i="2"/>
  <c r="BF59" i="3"/>
  <c r="AJ231" i="2"/>
  <c r="BT212" i="2"/>
  <c r="BY144" i="2"/>
  <c r="AB273" i="2"/>
  <c r="AR256" i="1"/>
  <c r="U54" i="3"/>
  <c r="AF143" i="1"/>
  <c r="AB178" i="2"/>
  <c r="AB282" i="2" s="1"/>
  <c r="AM252" i="1"/>
  <c r="DO30" i="4"/>
  <c r="BF76" i="4"/>
  <c r="K35" i="1"/>
  <c r="BG118" i="2"/>
  <c r="BL18" i="1"/>
  <c r="BL24" i="1" s="1"/>
  <c r="BL27" i="1" s="1"/>
  <c r="BL35" i="1" s="1"/>
  <c r="BL37" i="1" s="1"/>
  <c r="BO59" i="3"/>
  <c r="BO60" i="3"/>
  <c r="V77" i="4"/>
  <c r="BO76" i="4"/>
  <c r="BO13" i="3"/>
  <c r="BO18" i="3" s="1"/>
  <c r="BO21" i="3" s="1"/>
  <c r="D13" i="3"/>
  <c r="D18" i="3" s="1"/>
  <c r="D21" i="3" s="1"/>
  <c r="P268" i="2"/>
  <c r="BT49" i="4"/>
  <c r="BT50" i="4" s="1"/>
  <c r="BD282" i="2"/>
  <c r="K77" i="4"/>
  <c r="BR67" i="3"/>
  <c r="AF58" i="3"/>
  <c r="K58" i="3"/>
  <c r="BO32" i="17"/>
  <c r="AZ60" i="3"/>
  <c r="BZ85" i="4"/>
  <c r="K78" i="4"/>
  <c r="K79" i="4" s="1"/>
  <c r="AF78" i="4"/>
  <c r="AF79" i="4" s="1"/>
  <c r="AL31" i="1"/>
  <c r="AL33" i="1" s="1"/>
  <c r="AA7" i="5"/>
  <c r="AE35" i="1"/>
  <c r="AE43" i="1" s="1"/>
  <c r="V7" i="5"/>
  <c r="W7" i="5" s="1"/>
  <c r="BU8" i="17"/>
  <c r="BT77" i="4"/>
  <c r="BG63" i="4"/>
  <c r="BG69" i="4" s="1"/>
  <c r="O32" i="5"/>
  <c r="O54" i="5" s="1"/>
  <c r="O56" i="5" s="1"/>
  <c r="O59" i="5" s="1"/>
  <c r="N10" i="3"/>
  <c r="N12" i="3" s="1"/>
  <c r="N13" i="3" s="1"/>
  <c r="H65" i="4"/>
  <c r="AX336" i="2"/>
  <c r="AX352" i="2" s="1"/>
  <c r="AZ368" i="2" s="1"/>
  <c r="BK78" i="4"/>
  <c r="BK79" i="4" s="1"/>
  <c r="BS44" i="17"/>
  <c r="AP78" i="4"/>
  <c r="AP79" i="4" s="1"/>
  <c r="AV186" i="2"/>
  <c r="AV188" i="2" s="1"/>
  <c r="BW344" i="2"/>
  <c r="BW360" i="2" s="1"/>
  <c r="BR75" i="4"/>
  <c r="DO121" i="12"/>
  <c r="BI248" i="2"/>
  <c r="BD264" i="2"/>
  <c r="BS309" i="2"/>
  <c r="AI235" i="2"/>
  <c r="BV119" i="2"/>
  <c r="I127" i="2"/>
  <c r="DB308" i="2"/>
  <c r="E127" i="2"/>
  <c r="CO308" i="2"/>
  <c r="AX353" i="2"/>
  <c r="BP286" i="2"/>
  <c r="CD308" i="2"/>
  <c r="CI308" i="2"/>
  <c r="BI264" i="2"/>
  <c r="BE350" i="2"/>
  <c r="CQ308" i="2"/>
  <c r="CY308" i="2"/>
  <c r="AS309" i="2"/>
  <c r="AC31" i="1"/>
  <c r="AC33" i="1" s="1"/>
  <c r="BL189" i="1"/>
  <c r="BL190" i="1" s="1"/>
  <c r="CA319" i="2"/>
  <c r="CA329" i="2" s="1"/>
  <c r="CA226" i="1"/>
  <c r="CA321" i="2" s="1"/>
  <c r="BD231" i="2"/>
  <c r="AA84" i="4"/>
  <c r="M9" i="5"/>
  <c r="N9" i="5" s="1"/>
  <c r="CU341" i="1"/>
  <c r="CZ341" i="1" s="1"/>
  <c r="AQ24" i="5"/>
  <c r="AV12" i="3"/>
  <c r="AV77" i="4" s="1"/>
  <c r="CF342" i="1"/>
  <c r="CK342" i="1" s="1"/>
  <c r="BY48" i="4"/>
  <c r="BY62" i="4" s="1"/>
  <c r="BY68" i="4" s="1"/>
  <c r="AX48" i="4"/>
  <c r="AX62" i="4" s="1"/>
  <c r="AX68" i="4" s="1"/>
  <c r="AE29" i="1"/>
  <c r="BV139" i="1"/>
  <c r="AV213" i="1"/>
  <c r="AZ31" i="1"/>
  <c r="AZ33" i="1" s="1"/>
  <c r="AC35" i="1"/>
  <c r="AC43" i="1" s="1"/>
  <c r="C146" i="2"/>
  <c r="BQ39" i="3"/>
  <c r="AZ29" i="1"/>
  <c r="AU55" i="5"/>
  <c r="AI35" i="1"/>
  <c r="AI37" i="1" s="1"/>
  <c r="BS344" i="2"/>
  <c r="BS360" i="2" s="1"/>
  <c r="BQ31" i="1"/>
  <c r="BQ33" i="1" s="1"/>
  <c r="S33" i="1"/>
  <c r="AS33" i="4"/>
  <c r="AS39" i="4" s="1"/>
  <c r="AS49" i="4" s="1"/>
  <c r="AS50" i="4" s="1"/>
  <c r="BR32" i="5"/>
  <c r="BR54" i="5" s="1"/>
  <c r="BR56" i="5" s="1"/>
  <c r="BR59" i="5" s="1"/>
  <c r="AB212" i="1"/>
  <c r="Y75" i="4"/>
  <c r="AS76" i="4"/>
  <c r="Q286" i="2"/>
  <c r="CC77" i="4"/>
  <c r="V35" i="5"/>
  <c r="Z65" i="4"/>
  <c r="BZ64" i="4"/>
  <c r="BZ66" i="4" s="1"/>
  <c r="BO33" i="4"/>
  <c r="BO39" i="4" s="1"/>
  <c r="BO49" i="4" s="1"/>
  <c r="BR302" i="2"/>
  <c r="BS346" i="2" s="1"/>
  <c r="T161" i="2"/>
  <c r="C133" i="2"/>
  <c r="BI309" i="2"/>
  <c r="BC33" i="4"/>
  <c r="BC75" i="4" s="1"/>
  <c r="BP29" i="3"/>
  <c r="CC35" i="1"/>
  <c r="CC37" i="1" s="1"/>
  <c r="AI31" i="1"/>
  <c r="AI33" i="1" s="1"/>
  <c r="AT35" i="1"/>
  <c r="AT37" i="1" s="1"/>
  <c r="BQ35" i="1"/>
  <c r="BQ37" i="1" s="1"/>
  <c r="AN190" i="1"/>
  <c r="X29" i="1"/>
  <c r="BH76" i="4"/>
  <c r="AM254" i="1"/>
  <c r="AZ65" i="4"/>
  <c r="AF64" i="4"/>
  <c r="S8" i="17"/>
  <c r="BQ334" i="2"/>
  <c r="CC78" i="4"/>
  <c r="CC79" i="4" s="1"/>
  <c r="CF127" i="2"/>
  <c r="J36" i="30"/>
  <c r="J38" i="30" s="1"/>
  <c r="V161" i="2"/>
  <c r="G39" i="30"/>
  <c r="S29" i="1"/>
  <c r="AT31" i="1"/>
  <c r="AT33" i="1" s="1"/>
  <c r="BE48" i="3"/>
  <c r="BE49" i="3" s="1"/>
  <c r="AY213" i="1"/>
  <c r="S314" i="1"/>
  <c r="S312" i="1" s="1"/>
  <c r="U18" i="5"/>
  <c r="U32" i="5" s="1"/>
  <c r="CF314" i="1"/>
  <c r="CF312" i="1" s="1"/>
  <c r="BT64" i="4"/>
  <c r="BT66" i="4" s="1"/>
  <c r="AB213" i="1"/>
  <c r="BA213" i="1"/>
  <c r="CB64" i="4"/>
  <c r="CC58" i="3"/>
  <c r="AR182" i="2"/>
  <c r="BB89" i="1"/>
  <c r="C311" i="2"/>
  <c r="CN19" i="12"/>
  <c r="CN35" i="12" s="1"/>
  <c r="CN34" i="12" s="1"/>
  <c r="CN7" i="17" s="1"/>
  <c r="CN8" i="17" s="1"/>
  <c r="CB44" i="17"/>
  <c r="CC44" i="17"/>
  <c r="Z114" i="12"/>
  <c r="Z135" i="12" s="1"/>
  <c r="BG108" i="2"/>
  <c r="BA308" i="2"/>
  <c r="O309" i="2"/>
  <c r="BG107" i="2"/>
  <c r="P161" i="2"/>
  <c r="S240" i="2"/>
  <c r="X109" i="2"/>
  <c r="S118" i="2"/>
  <c r="BE188" i="2"/>
  <c r="BE215" i="2" s="1"/>
  <c r="AB114" i="12"/>
  <c r="AZ67" i="3"/>
  <c r="AJ13" i="3"/>
  <c r="AJ18" i="3" s="1"/>
  <c r="AJ53" i="3" s="1"/>
  <c r="AZ59" i="3"/>
  <c r="CP351" i="1"/>
  <c r="CU351" i="1" s="1"/>
  <c r="CH308" i="2"/>
  <c r="BT268" i="2"/>
  <c r="AI162" i="2"/>
  <c r="AS238" i="2"/>
  <c r="BE282" i="2"/>
  <c r="CF334" i="2"/>
  <c r="CF350" i="2" s="1"/>
  <c r="CF366" i="2" s="1"/>
  <c r="BO58" i="3"/>
  <c r="I238" i="2"/>
  <c r="BV109" i="2"/>
  <c r="AM110" i="2"/>
  <c r="CA344" i="2"/>
  <c r="Q35" i="1"/>
  <c r="Q43" i="1" s="1"/>
  <c r="CL308" i="2"/>
  <c r="AK29" i="1"/>
  <c r="G139" i="1"/>
  <c r="G141" i="1" s="1"/>
  <c r="G144" i="1" s="1"/>
  <c r="AG190" i="1"/>
  <c r="BQ182" i="2"/>
  <c r="X35" i="1"/>
  <c r="X43" i="1" s="1"/>
  <c r="Q48" i="4"/>
  <c r="Q49" i="4" s="1"/>
  <c r="BO48" i="3"/>
  <c r="BO49" i="3" s="1"/>
  <c r="AW213" i="1"/>
  <c r="BV33" i="3"/>
  <c r="BM56" i="4"/>
  <c r="BM69" i="4" s="1"/>
  <c r="BM70" i="4" s="1"/>
  <c r="CS308" i="2"/>
  <c r="CX308" i="2"/>
  <c r="BS77" i="4"/>
  <c r="DC308" i="2"/>
  <c r="AK111" i="2"/>
  <c r="AV18" i="1"/>
  <c r="AV24" i="1" s="1"/>
  <c r="AV27" i="1" s="1"/>
  <c r="AV29" i="1" s="1"/>
  <c r="BK33" i="4"/>
  <c r="BK39" i="4" s="1"/>
  <c r="BK49" i="4" s="1"/>
  <c r="BK50" i="4" s="1"/>
  <c r="DM308" i="2"/>
  <c r="V238" i="2"/>
  <c r="CE308" i="2"/>
  <c r="F38" i="30"/>
  <c r="AM120" i="2"/>
  <c r="BU145" i="2"/>
  <c r="BU326" i="1" s="1"/>
  <c r="CC308" i="2"/>
  <c r="BP280" i="1"/>
  <c r="BQ280" i="1" s="1"/>
  <c r="BR277" i="1" s="1"/>
  <c r="BR280" i="1" s="1"/>
  <c r="BS277" i="1" s="1"/>
  <c r="BS280" i="1" s="1"/>
  <c r="BT277" i="1" s="1"/>
  <c r="BT280" i="1" s="1"/>
  <c r="BU277" i="1" s="1"/>
  <c r="BU280" i="1" s="1"/>
  <c r="BV280" i="1" s="1"/>
  <c r="BW277" i="1" s="1"/>
  <c r="BW280" i="1" s="1"/>
  <c r="BX277" i="1" s="1"/>
  <c r="BX280" i="1" s="1"/>
  <c r="BY277" i="1" s="1"/>
  <c r="BY280" i="1" s="1"/>
  <c r="BK69" i="4"/>
  <c r="BG18" i="1"/>
  <c r="BG24" i="1" s="1"/>
  <c r="BG27" i="1" s="1"/>
  <c r="BG31" i="1" s="1"/>
  <c r="BG33" i="1" s="1"/>
  <c r="BR84" i="4"/>
  <c r="AW139" i="1"/>
  <c r="AM224" i="2"/>
  <c r="CB308" i="2"/>
  <c r="R56" i="4"/>
  <c r="U64" i="4"/>
  <c r="DA308" i="2"/>
  <c r="BV268" i="1"/>
  <c r="X391" i="2"/>
  <c r="X394" i="2" s="1"/>
  <c r="DF308" i="2"/>
  <c r="W24" i="5"/>
  <c r="AR120" i="2"/>
  <c r="P127" i="2"/>
  <c r="BU134" i="2"/>
  <c r="AK35" i="1"/>
  <c r="AK43" i="1" s="1"/>
  <c r="AZ35" i="5"/>
  <c r="BA35" i="5" s="1"/>
  <c r="BG182" i="2"/>
  <c r="Q10" i="5"/>
  <c r="R10" i="5" s="1"/>
  <c r="BN65" i="4"/>
  <c r="DG308" i="2"/>
  <c r="DN308" i="2"/>
  <c r="BX48" i="4"/>
  <c r="BX49" i="4" s="1"/>
  <c r="BX50" i="4" s="1"/>
  <c r="W18" i="1"/>
  <c r="CP356" i="1"/>
  <c r="CU356" i="1" s="1"/>
  <c r="AF45" i="5"/>
  <c r="BR39" i="4"/>
  <c r="BR49" i="4" s="1"/>
  <c r="BR50" i="4" s="1"/>
  <c r="CR308" i="2"/>
  <c r="CV308" i="2"/>
  <c r="AL316" i="1"/>
  <c r="DH308" i="2"/>
  <c r="DK308" i="2"/>
  <c r="AH268" i="1"/>
  <c r="L7" i="5"/>
  <c r="CM308" i="2"/>
  <c r="CN308" i="2"/>
  <c r="BV254" i="2"/>
  <c r="Q235" i="2"/>
  <c r="E111" i="2"/>
  <c r="CG308" i="2"/>
  <c r="CF308" i="2"/>
  <c r="AJ162" i="2"/>
  <c r="D111" i="2"/>
  <c r="AR110" i="2"/>
  <c r="CJ308" i="2"/>
  <c r="R189" i="1"/>
  <c r="R186" i="2" s="1"/>
  <c r="T286" i="2" s="1"/>
  <c r="AW212" i="1"/>
  <c r="CF111" i="2"/>
  <c r="CT308" i="2"/>
  <c r="CW308" i="2"/>
  <c r="DD308" i="2"/>
  <c r="AW25" i="5"/>
  <c r="AZ76" i="4"/>
  <c r="BA74" i="3"/>
  <c r="AJ154" i="2"/>
  <c r="R140" i="2"/>
  <c r="AO111" i="2"/>
  <c r="AO133" i="2"/>
  <c r="H344" i="2"/>
  <c r="G127" i="2"/>
  <c r="T127" i="2"/>
  <c r="F111" i="2"/>
  <c r="R133" i="2"/>
  <c r="T114" i="12"/>
  <c r="T135" i="12" s="1"/>
  <c r="S254" i="2"/>
  <c r="Q154" i="2"/>
  <c r="BL120" i="2"/>
  <c r="AO134" i="2"/>
  <c r="BB190" i="2"/>
  <c r="BB191" i="2" s="1"/>
  <c r="BV108" i="2"/>
  <c r="U154" i="2"/>
  <c r="BB129" i="2"/>
  <c r="R145" i="2"/>
  <c r="R326" i="1" s="1"/>
  <c r="AO127" i="2"/>
  <c r="T82" i="2"/>
  <c r="BG110" i="2"/>
  <c r="T154" i="2"/>
  <c r="AO145" i="2"/>
  <c r="AO326" i="1" s="1"/>
  <c r="F127" i="2"/>
  <c r="W350" i="2"/>
  <c r="X266" i="2"/>
  <c r="K82" i="2"/>
  <c r="K138" i="2" s="1"/>
  <c r="CA195" i="2"/>
  <c r="R138" i="2"/>
  <c r="CC268" i="2"/>
  <c r="BT309" i="2"/>
  <c r="AO136" i="2"/>
  <c r="AC266" i="2"/>
  <c r="F82" i="2"/>
  <c r="F145" i="2" s="1"/>
  <c r="F326" i="1" s="1"/>
  <c r="Q82" i="2"/>
  <c r="V114" i="2" s="1"/>
  <c r="R146" i="2"/>
  <c r="R137" i="2"/>
  <c r="BG221" i="2"/>
  <c r="BU144" i="2"/>
  <c r="AT350" i="2"/>
  <c r="BU136" i="2"/>
  <c r="R127" i="2"/>
  <c r="BK350" i="2"/>
  <c r="BX188" i="2"/>
  <c r="BX234" i="2" s="1"/>
  <c r="Q309" i="2"/>
  <c r="N91" i="2"/>
  <c r="N94" i="2" s="1"/>
  <c r="F231" i="2"/>
  <c r="BE127" i="2"/>
  <c r="BD309" i="2"/>
  <c r="AZ127" i="2"/>
  <c r="BZ81" i="4"/>
  <c r="BW81" i="4"/>
  <c r="BH65" i="4"/>
  <c r="AN64" i="4"/>
  <c r="AN66" i="4" s="1"/>
  <c r="AO346" i="2"/>
  <c r="AO362" i="2" s="1"/>
  <c r="DK69" i="12"/>
  <c r="DK43" i="17" s="1"/>
  <c r="DK44" i="17" s="1"/>
  <c r="BD76" i="4"/>
  <c r="BD67" i="3"/>
  <c r="BE74" i="3"/>
  <c r="BI67" i="3"/>
  <c r="BD74" i="3"/>
  <c r="BL33" i="3"/>
  <c r="BD59" i="3"/>
  <c r="BB33" i="3"/>
  <c r="BD60" i="3"/>
  <c r="CA127" i="2"/>
  <c r="BS311" i="2"/>
  <c r="E231" i="2"/>
  <c r="U111" i="2"/>
  <c r="CF190" i="2"/>
  <c r="CF191" i="2" s="1"/>
  <c r="AO309" i="2"/>
  <c r="E214" i="2"/>
  <c r="E327" i="1" s="1"/>
  <c r="BZ130" i="2"/>
  <c r="BV128" i="2"/>
  <c r="BF308" i="2"/>
  <c r="AQ160" i="2"/>
  <c r="AA238" i="2"/>
  <c r="AW120" i="2"/>
  <c r="BJ286" i="2"/>
  <c r="CF254" i="2"/>
  <c r="BG117" i="2"/>
  <c r="J309" i="2"/>
  <c r="CE130" i="2"/>
  <c r="E212" i="2"/>
  <c r="BZ136" i="2"/>
  <c r="BC308" i="2"/>
  <c r="AO154" i="2"/>
  <c r="AU82" i="2"/>
  <c r="AU133" i="2" s="1"/>
  <c r="BZ143" i="2"/>
  <c r="BZ134" i="2"/>
  <c r="R231" i="2"/>
  <c r="AX309" i="2"/>
  <c r="D77" i="4"/>
  <c r="D78" i="4"/>
  <c r="D79" i="4" s="1"/>
  <c r="L28" i="30"/>
  <c r="BP78" i="4"/>
  <c r="BP79" i="4" s="1"/>
  <c r="AK74" i="3"/>
  <c r="D58" i="3"/>
  <c r="AZ188" i="2"/>
  <c r="AZ216" i="2" s="1"/>
  <c r="BW268" i="2"/>
  <c r="BR286" i="2"/>
  <c r="F79" i="17"/>
  <c r="F90" i="17" s="1"/>
  <c r="F91" i="17" s="1"/>
  <c r="BC264" i="2"/>
  <c r="AQ309" i="2"/>
  <c r="U127" i="2"/>
  <c r="V154" i="2"/>
  <c r="BC350" i="2"/>
  <c r="H82" i="2"/>
  <c r="H141" i="2" s="1"/>
  <c r="I231" i="2"/>
  <c r="CA128" i="2"/>
  <c r="BV232" i="2"/>
  <c r="E191" i="2"/>
  <c r="J82" i="2"/>
  <c r="AW113" i="2"/>
  <c r="AW129" i="2"/>
  <c r="BB113" i="2"/>
  <c r="Z111" i="2"/>
  <c r="BS144" i="2"/>
  <c r="U82" i="2"/>
  <c r="U311" i="2" s="1"/>
  <c r="K154" i="2"/>
  <c r="H127" i="2"/>
  <c r="BC202" i="2"/>
  <c r="O127" i="2"/>
  <c r="BS136" i="2"/>
  <c r="BU311" i="2"/>
  <c r="D309" i="2"/>
  <c r="AK231" i="2"/>
  <c r="BG113" i="2"/>
  <c r="I191" i="2"/>
  <c r="AM255" i="2"/>
  <c r="S259" i="2"/>
  <c r="BU133" i="2"/>
  <c r="BB233" i="2"/>
  <c r="AN309" i="2"/>
  <c r="BU143" i="2"/>
  <c r="BF369" i="2"/>
  <c r="BU146" i="2"/>
  <c r="D82" i="2"/>
  <c r="D133" i="2" s="1"/>
  <c r="BV190" i="2"/>
  <c r="BV191" i="2" s="1"/>
  <c r="AP188" i="2"/>
  <c r="AP202" i="2" s="1"/>
  <c r="X243" i="2"/>
  <c r="BQ239" i="2"/>
  <c r="BW144" i="2"/>
  <c r="S227" i="2"/>
  <c r="AF309" i="2"/>
  <c r="BF350" i="2"/>
  <c r="BW133" i="2"/>
  <c r="BF309" i="2"/>
  <c r="BQ222" i="2"/>
  <c r="V136" i="2"/>
  <c r="BM264" i="2"/>
  <c r="BE309" i="2"/>
  <c r="AM233" i="2"/>
  <c r="CA111" i="2"/>
  <c r="BB334" i="2"/>
  <c r="AZ308" i="2"/>
  <c r="BG335" i="2"/>
  <c r="BG351" i="2" s="1"/>
  <c r="BG367" i="2" s="1"/>
  <c r="CF264" i="2"/>
  <c r="BV308" i="2"/>
  <c r="BT308" i="2"/>
  <c r="BO309" i="2"/>
  <c r="BE231" i="2"/>
  <c r="R264" i="2"/>
  <c r="BT111" i="2"/>
  <c r="D350" i="2"/>
  <c r="D366" i="2" s="1"/>
  <c r="BU248" i="2"/>
  <c r="Y353" i="2"/>
  <c r="BR308" i="2"/>
  <c r="BB221" i="2"/>
  <c r="AI164" i="2"/>
  <c r="BW143" i="2"/>
  <c r="BG267" i="2"/>
  <c r="CA265" i="2"/>
  <c r="BT127" i="2"/>
  <c r="CA231" i="2"/>
  <c r="BB308" i="2"/>
  <c r="S228" i="2"/>
  <c r="BF264" i="2"/>
  <c r="AX308" i="2"/>
  <c r="BB110" i="2"/>
  <c r="BP44" i="17"/>
  <c r="W114" i="12"/>
  <c r="W135" i="12" s="1"/>
  <c r="D32" i="5"/>
  <c r="D54" i="5" s="1"/>
  <c r="D56" i="5" s="1"/>
  <c r="D59" i="5" s="1"/>
  <c r="AJ54" i="3"/>
  <c r="AK10" i="5"/>
  <c r="AK54" i="3" s="1"/>
  <c r="X42" i="5"/>
  <c r="V55" i="5"/>
  <c r="BF65" i="4"/>
  <c r="BU75" i="4"/>
  <c r="BG314" i="1"/>
  <c r="BG312" i="1" s="1"/>
  <c r="BT84" i="4"/>
  <c r="E84" i="4"/>
  <c r="AS64" i="4"/>
  <c r="AS66" i="4" s="1"/>
  <c r="AV56" i="4"/>
  <c r="AV69" i="4" s="1"/>
  <c r="AV70" i="4" s="1"/>
  <c r="AK46" i="5"/>
  <c r="BL33" i="4"/>
  <c r="BL39" i="4" s="1"/>
  <c r="Y18" i="5"/>
  <c r="I69" i="4"/>
  <c r="I70" i="4" s="1"/>
  <c r="BI81" i="4"/>
  <c r="BA68" i="4"/>
  <c r="AB56" i="4"/>
  <c r="AU10" i="5"/>
  <c r="BF68" i="4"/>
  <c r="AY56" i="4"/>
  <c r="BP24" i="5"/>
  <c r="BY56" i="4"/>
  <c r="CB56" i="4"/>
  <c r="CB69" i="4" s="1"/>
  <c r="CB70" i="4" s="1"/>
  <c r="BT75" i="4"/>
  <c r="BL27" i="5"/>
  <c r="E49" i="4"/>
  <c r="E50" i="4" s="1"/>
  <c r="T64" i="4"/>
  <c r="CC64" i="4"/>
  <c r="AP64" i="4"/>
  <c r="BY64" i="4"/>
  <c r="BX81" i="4"/>
  <c r="AR15" i="4"/>
  <c r="AR24" i="4" s="1"/>
  <c r="AS81" i="4" s="1"/>
  <c r="L48" i="4"/>
  <c r="L62" i="4" s="1"/>
  <c r="L65" i="4" s="1"/>
  <c r="BO77" i="4"/>
  <c r="CB78" i="4"/>
  <c r="CB79" i="4" s="1"/>
  <c r="CB80" i="4" s="1"/>
  <c r="AL48" i="4"/>
  <c r="AL62" i="4" s="1"/>
  <c r="AA75" i="4"/>
  <c r="H69" i="4"/>
  <c r="H71" i="4" s="1"/>
  <c r="BU84" i="4"/>
  <c r="AM23" i="5"/>
  <c r="BR64" i="4"/>
  <c r="BR66" i="4" s="1"/>
  <c r="BI64" i="4"/>
  <c r="BK35" i="5"/>
  <c r="O64" i="4"/>
  <c r="O66" i="4" s="1"/>
  <c r="AQ33" i="4"/>
  <c r="AQ39" i="4" s="1"/>
  <c r="AQ49" i="4" s="1"/>
  <c r="AQ50" i="4" s="1"/>
  <c r="BU64" i="4"/>
  <c r="BA64" i="4"/>
  <c r="BA66" i="4" s="1"/>
  <c r="L64" i="4"/>
  <c r="CD64" i="4"/>
  <c r="BX84" i="4"/>
  <c r="N314" i="1"/>
  <c r="N312" i="1" s="1"/>
  <c r="BJ64" i="4"/>
  <c r="BJ66" i="4" s="1"/>
  <c r="BV61" i="4"/>
  <c r="AA48" i="4"/>
  <c r="AA62" i="4" s="1"/>
  <c r="AA65" i="4" s="1"/>
  <c r="BX75" i="4"/>
  <c r="L61" i="4"/>
  <c r="AV64" i="4"/>
  <c r="AV66" i="4" s="1"/>
  <c r="CC61" i="4"/>
  <c r="Z75" i="4"/>
  <c r="G49" i="4"/>
  <c r="AN78" i="4"/>
  <c r="AN79" i="4" s="1"/>
  <c r="G65" i="4"/>
  <c r="AD64" i="4"/>
  <c r="AR63" i="4"/>
  <c r="AI84" i="4"/>
  <c r="AF48" i="4"/>
  <c r="AF62" i="4" s="1"/>
  <c r="CC81" i="4"/>
  <c r="G69" i="4"/>
  <c r="G70" i="4" s="1"/>
  <c r="G72" i="4" s="1"/>
  <c r="AE64" i="4"/>
  <c r="AE66" i="4" s="1"/>
  <c r="O65" i="4"/>
  <c r="BE48" i="4"/>
  <c r="BE62" i="4" s="1"/>
  <c r="BE65" i="4" s="1"/>
  <c r="BM76" i="4"/>
  <c r="BE81" i="4"/>
  <c r="BI48" i="4"/>
  <c r="BI62" i="4" s="1"/>
  <c r="BI65" i="4" s="1"/>
  <c r="BD65" i="4"/>
  <c r="BH64" i="4"/>
  <c r="BH66" i="4" s="1"/>
  <c r="H49" i="4"/>
  <c r="H50" i="4" s="1"/>
  <c r="BW65" i="4"/>
  <c r="BC214" i="2"/>
  <c r="BC327" i="1" s="1"/>
  <c r="BS135" i="2"/>
  <c r="BL190" i="2"/>
  <c r="BL191" i="2" s="1"/>
  <c r="I82" i="2"/>
  <c r="I146" i="2" s="1"/>
  <c r="BV334" i="2"/>
  <c r="BV350" i="2" s="1"/>
  <c r="BV366" i="2" s="1"/>
  <c r="AG154" i="2"/>
  <c r="AJ74" i="3"/>
  <c r="BP58" i="3"/>
  <c r="BS114" i="2"/>
  <c r="BA264" i="2"/>
  <c r="F309" i="2"/>
  <c r="CA254" i="2"/>
  <c r="BO78" i="4"/>
  <c r="BO79" i="4" s="1"/>
  <c r="BZ133" i="2"/>
  <c r="BW135" i="2"/>
  <c r="BC205" i="2"/>
  <c r="BE82" i="2"/>
  <c r="BE135" i="2" s="1"/>
  <c r="BF282" i="2"/>
  <c r="BL107" i="2"/>
  <c r="BL117" i="2"/>
  <c r="Y111" i="2"/>
  <c r="BC203" i="2"/>
  <c r="BS308" i="2"/>
  <c r="BS134" i="2"/>
  <c r="BS146" i="2"/>
  <c r="AT82" i="2"/>
  <c r="AT133" i="2" s="1"/>
  <c r="I111" i="2"/>
  <c r="AC391" i="2"/>
  <c r="AC394" i="2" s="1"/>
  <c r="BF346" i="2"/>
  <c r="BF362" i="2" s="1"/>
  <c r="BQ33" i="3"/>
  <c r="BM67" i="3"/>
  <c r="BZ53" i="3"/>
  <c r="BZ62" i="3" s="1"/>
  <c r="BJ308" i="2"/>
  <c r="L13" i="3"/>
  <c r="L18" i="3" s="1"/>
  <c r="L78" i="4"/>
  <c r="L79" i="4" s="1"/>
  <c r="L80" i="4" s="1"/>
  <c r="CF265" i="2"/>
  <c r="AJ59" i="3"/>
  <c r="BW114" i="2"/>
  <c r="Y82" i="2"/>
  <c r="Y135" i="2" s="1"/>
  <c r="AK127" i="2"/>
  <c r="L58" i="3"/>
  <c r="AK154" i="2"/>
  <c r="BW346" i="2"/>
  <c r="BF231" i="2"/>
  <c r="I13" i="3"/>
  <c r="I18" i="3" s="1"/>
  <c r="I21" i="3" s="1"/>
  <c r="BN282" i="2"/>
  <c r="BZ146" i="2"/>
  <c r="BW146" i="2"/>
  <c r="BC215" i="2"/>
  <c r="O111" i="2"/>
  <c r="CF221" i="2"/>
  <c r="AT127" i="2"/>
  <c r="Y127" i="2"/>
  <c r="BC204" i="2"/>
  <c r="AF82" i="2"/>
  <c r="AF136" i="2" s="1"/>
  <c r="BV221" i="2"/>
  <c r="BS133" i="2"/>
  <c r="AK82" i="2"/>
  <c r="AK146" i="2" s="1"/>
  <c r="AY127" i="2"/>
  <c r="BX130" i="2"/>
  <c r="AA309" i="2"/>
  <c r="BG257" i="2"/>
  <c r="BZ24" i="3"/>
  <c r="BZ32" i="3" s="1"/>
  <c r="BC282" i="2"/>
  <c r="BI308" i="2"/>
  <c r="AY111" i="2"/>
  <c r="AT231" i="2"/>
  <c r="AB77" i="4"/>
  <c r="AB80" i="4" s="1"/>
  <c r="BW234" i="2"/>
  <c r="AM391" i="2"/>
  <c r="AM394" i="2" s="1"/>
  <c r="BZ135" i="2"/>
  <c r="U161" i="2"/>
  <c r="BZ145" i="2"/>
  <c r="BZ326" i="1" s="1"/>
  <c r="BW134" i="2"/>
  <c r="BQ254" i="2"/>
  <c r="BC216" i="2"/>
  <c r="AL161" i="2"/>
  <c r="BW145" i="2"/>
  <c r="BW326" i="1" s="1"/>
  <c r="BS143" i="2"/>
  <c r="BW130" i="2"/>
  <c r="AJ76" i="4"/>
  <c r="BI268" i="2"/>
  <c r="BV309" i="2"/>
  <c r="J231" i="2"/>
  <c r="BH308" i="2"/>
  <c r="AG394" i="2"/>
  <c r="Z154" i="2"/>
  <c r="BC82" i="2"/>
  <c r="BC146" i="2" s="1"/>
  <c r="CA264" i="2"/>
  <c r="V282" i="2"/>
  <c r="BE111" i="2"/>
  <c r="BL221" i="2"/>
  <c r="BG178" i="2"/>
  <c r="BM60" i="3"/>
  <c r="BL308" i="2"/>
  <c r="BW366" i="2"/>
  <c r="W316" i="1"/>
  <c r="BM48" i="4"/>
  <c r="BM62" i="4" s="1"/>
  <c r="BM68" i="4" s="1"/>
  <c r="AM255" i="1"/>
  <c r="AQ65" i="4"/>
  <c r="BY55" i="5"/>
  <c r="AM336" i="2"/>
  <c r="AM352" i="2" s="1"/>
  <c r="DY252" i="1"/>
  <c r="DZ252" i="1" s="1"/>
  <c r="EA252" i="1" s="1"/>
  <c r="BK264" i="2"/>
  <c r="U84" i="4"/>
  <c r="K49" i="4"/>
  <c r="K65" i="4"/>
  <c r="AU190" i="1"/>
  <c r="AU186" i="2"/>
  <c r="X70" i="12"/>
  <c r="AN286" i="2"/>
  <c r="AS268" i="2"/>
  <c r="BO44" i="17"/>
  <c r="BM8" i="17"/>
  <c r="AL114" i="12"/>
  <c r="AZ114" i="12"/>
  <c r="AZ135" i="12" s="1"/>
  <c r="CD44" i="17"/>
  <c r="BN44" i="17"/>
  <c r="X35" i="12"/>
  <c r="X34" i="12" s="1"/>
  <c r="BA114" i="12"/>
  <c r="AX114" i="12"/>
  <c r="BH58" i="3"/>
  <c r="F58" i="3"/>
  <c r="BM13" i="3"/>
  <c r="BM18" i="3" s="1"/>
  <c r="BM21" i="3" s="1"/>
  <c r="BM24" i="3" s="1"/>
  <c r="I78" i="4"/>
  <c r="I79" i="4" s="1"/>
  <c r="AK77" i="4"/>
  <c r="BB29" i="3"/>
  <c r="AH70" i="12"/>
  <c r="AH69" i="12" s="1"/>
  <c r="AQ114" i="12"/>
  <c r="AR70" i="12"/>
  <c r="AR69" i="12" s="1"/>
  <c r="AR43" i="17" s="1"/>
  <c r="BJ8" i="17"/>
  <c r="AM35" i="12"/>
  <c r="AM34" i="12" s="1"/>
  <c r="CD8" i="17"/>
  <c r="AC70" i="12"/>
  <c r="AC69" i="12" s="1"/>
  <c r="AG114" i="12"/>
  <c r="AG135" i="12" s="1"/>
  <c r="BB35" i="12"/>
  <c r="BB34" i="12" s="1"/>
  <c r="D68" i="30"/>
  <c r="E68" i="30" s="1"/>
  <c r="F68" i="30" s="1"/>
  <c r="AP114" i="12"/>
  <c r="AP135" i="12" s="1"/>
  <c r="AI114" i="12"/>
  <c r="AN115" i="12" s="1"/>
  <c r="AM70" i="12"/>
  <c r="AM69" i="12" s="1"/>
  <c r="BX44" i="17"/>
  <c r="BX366" i="2"/>
  <c r="BU32" i="17"/>
  <c r="AV114" i="12"/>
  <c r="AV135" i="12" s="1"/>
  <c r="BZ80" i="4"/>
  <c r="BE78" i="4"/>
  <c r="BE79" i="4" s="1"/>
  <c r="BV43" i="5"/>
  <c r="CF35" i="5"/>
  <c r="Q44" i="5"/>
  <c r="R44" i="5" s="1"/>
  <c r="S44" i="5" s="1"/>
  <c r="AC34" i="5"/>
  <c r="Z55" i="5"/>
  <c r="CA263" i="1"/>
  <c r="CA61" i="4"/>
  <c r="BW84" i="4"/>
  <c r="E62" i="4"/>
  <c r="E65" i="4" s="1"/>
  <c r="AO81" i="4"/>
  <c r="CA15" i="4"/>
  <c r="CA24" i="4" s="1"/>
  <c r="BM64" i="4"/>
  <c r="BW49" i="4"/>
  <c r="BW50" i="4" s="1"/>
  <c r="BW68" i="4"/>
  <c r="AG56" i="4"/>
  <c r="AG69" i="4" s="1"/>
  <c r="AG70" i="4" s="1"/>
  <c r="CC48" i="4"/>
  <c r="CC49" i="4" s="1"/>
  <c r="BD33" i="4"/>
  <c r="BD39" i="4" s="1"/>
  <c r="BD49" i="4" s="1"/>
  <c r="BD50" i="4" s="1"/>
  <c r="BA56" i="4"/>
  <c r="AI56" i="4"/>
  <c r="AI69" i="4" s="1"/>
  <c r="AI70" i="4" s="1"/>
  <c r="BY81" i="4"/>
  <c r="BR81" i="4"/>
  <c r="AA64" i="4"/>
  <c r="CA33" i="4"/>
  <c r="CA39" i="4" s="1"/>
  <c r="BG48" i="4"/>
  <c r="BG62" i="4" s="1"/>
  <c r="BG68" i="4" s="1"/>
  <c r="Y48" i="4"/>
  <c r="Y62" i="4" s="1"/>
  <c r="Y65" i="4" s="1"/>
  <c r="BL15" i="4"/>
  <c r="H84" i="4"/>
  <c r="BW75" i="4"/>
  <c r="AD56" i="4"/>
  <c r="E69" i="4"/>
  <c r="E70" i="4" s="1"/>
  <c r="D69" i="4"/>
  <c r="D70" i="4" s="1"/>
  <c r="T75" i="4"/>
  <c r="BZ49" i="4"/>
  <c r="BZ50" i="4" s="1"/>
  <c r="AR48" i="4"/>
  <c r="AR62" i="4" s="1"/>
  <c r="BU48" i="4"/>
  <c r="BU49" i="4" s="1"/>
  <c r="BU50" i="4" s="1"/>
  <c r="AC314" i="1"/>
  <c r="AC312" i="1" s="1"/>
  <c r="AW63" i="4"/>
  <c r="BD64" i="4"/>
  <c r="BD66" i="4" s="1"/>
  <c r="J64" i="4"/>
  <c r="BZ84" i="4"/>
  <c r="D64" i="4"/>
  <c r="F69" i="4"/>
  <c r="F70" i="4" s="1"/>
  <c r="AT49" i="4"/>
  <c r="BB117" i="2"/>
  <c r="BM282" i="2"/>
  <c r="AV282" i="2"/>
  <c r="BL110" i="2"/>
  <c r="BK188" i="2"/>
  <c r="BK202" i="2" s="1"/>
  <c r="AU231" i="2"/>
  <c r="BY114" i="2"/>
  <c r="BK111" i="2"/>
  <c r="Z309" i="2"/>
  <c r="AJ353" i="2"/>
  <c r="Z350" i="2"/>
  <c r="AV133" i="2"/>
  <c r="BP111" i="2"/>
  <c r="Y231" i="2"/>
  <c r="Q127" i="2"/>
  <c r="AA235" i="2"/>
  <c r="AU264" i="2"/>
  <c r="BL241" i="2"/>
  <c r="L82" i="2"/>
  <c r="L311" i="2" s="1"/>
  <c r="Z127" i="2"/>
  <c r="BV107" i="2"/>
  <c r="L154" i="2"/>
  <c r="M235" i="2"/>
  <c r="CA221" i="2"/>
  <c r="O79" i="17"/>
  <c r="O84" i="17" s="1"/>
  <c r="O85" i="17" s="1"/>
  <c r="CK20" i="17"/>
  <c r="CK22" i="17" s="1"/>
  <c r="AN79" i="17"/>
  <c r="AN84" i="17" s="1"/>
  <c r="AN85" i="17" s="1"/>
  <c r="BQ38" i="17"/>
  <c r="BQ40" i="17" s="1"/>
  <c r="CG80" i="4"/>
  <c r="P67" i="3"/>
  <c r="P60" i="3"/>
  <c r="AV8" i="3"/>
  <c r="AX74" i="3" s="1"/>
  <c r="CA33" i="3"/>
  <c r="Y13" i="3"/>
  <c r="Y18" i="3" s="1"/>
  <c r="Y85" i="4" s="1"/>
  <c r="AX81" i="4"/>
  <c r="AW29" i="3"/>
  <c r="Y59" i="3"/>
  <c r="CA76" i="4"/>
  <c r="AK76" i="4"/>
  <c r="CA60" i="3"/>
  <c r="Y58" i="3"/>
  <c r="AX60" i="3"/>
  <c r="Y60" i="3"/>
  <c r="AK58" i="3"/>
  <c r="CF61" i="4"/>
  <c r="AM8" i="3"/>
  <c r="AM60" i="3" s="1"/>
  <c r="CA59" i="3"/>
  <c r="Y76" i="4"/>
  <c r="BE77" i="4"/>
  <c r="AK13" i="3"/>
  <c r="AK18" i="3" s="1"/>
  <c r="AK21" i="3" s="1"/>
  <c r="AK63" i="3" s="1"/>
  <c r="V76" i="4"/>
  <c r="BE58" i="3"/>
  <c r="AK59" i="3"/>
  <c r="AX59" i="3"/>
  <c r="BE13" i="3"/>
  <c r="BE18" i="3" s="1"/>
  <c r="BE53" i="3" s="1"/>
  <c r="BE62" i="3" s="1"/>
  <c r="AK60" i="3"/>
  <c r="AX76" i="4"/>
  <c r="J72" i="30"/>
  <c r="T69" i="30"/>
  <c r="BR214" i="2"/>
  <c r="BR327" i="1" s="1"/>
  <c r="BN136" i="2"/>
  <c r="V135" i="2"/>
  <c r="BT134" i="2"/>
  <c r="R66" i="2"/>
  <c r="S66" i="2" s="1"/>
  <c r="S101" i="2" s="1"/>
  <c r="CA248" i="2"/>
  <c r="BW213" i="2"/>
  <c r="BK248" i="2"/>
  <c r="BK127" i="2"/>
  <c r="BP248" i="2"/>
  <c r="V133" i="2"/>
  <c r="AK161" i="2"/>
  <c r="Y309" i="2"/>
  <c r="F94" i="2"/>
  <c r="BE264" i="2"/>
  <c r="BK231" i="2"/>
  <c r="BK82" i="2"/>
  <c r="BK145" i="2" s="1"/>
  <c r="BK326" i="1" s="1"/>
  <c r="BQ221" i="2"/>
  <c r="BR204" i="2"/>
  <c r="BP188" i="2"/>
  <c r="BR287" i="2" s="1"/>
  <c r="BP231" i="2"/>
  <c r="L309" i="2"/>
  <c r="AJ161" i="2"/>
  <c r="J350" i="2"/>
  <c r="V231" i="2"/>
  <c r="CA266" i="2"/>
  <c r="CA238" i="2"/>
  <c r="CB134" i="2"/>
  <c r="AA344" i="2"/>
  <c r="BK309" i="2"/>
  <c r="AR250" i="2"/>
  <c r="BR234" i="2"/>
  <c r="AP127" i="2"/>
  <c r="BP264" i="2"/>
  <c r="BQ107" i="2"/>
  <c r="Z82" i="2"/>
  <c r="Z346" i="2" s="1"/>
  <c r="Z362" i="2" s="1"/>
  <c r="AS111" i="2"/>
  <c r="V145" i="2"/>
  <c r="V326" i="1" s="1"/>
  <c r="V107" i="2"/>
  <c r="BV231" i="2"/>
  <c r="BO127" i="2"/>
  <c r="Q302" i="2"/>
  <c r="Q304" i="2" s="1"/>
  <c r="V309" i="2"/>
  <c r="BV194" i="2"/>
  <c r="BV195" i="2" s="1"/>
  <c r="E309" i="2"/>
  <c r="V134" i="2"/>
  <c r="BV335" i="2"/>
  <c r="BV351" i="2" s="1"/>
  <c r="BV367" i="2" s="1"/>
  <c r="BW204" i="2"/>
  <c r="BW269" i="2"/>
  <c r="BW308" i="2"/>
  <c r="CA334" i="2"/>
  <c r="CA350" i="2" s="1"/>
  <c r="CA366" i="2" s="1"/>
  <c r="CA191" i="2"/>
  <c r="CB146" i="2"/>
  <c r="BW251" i="2"/>
  <c r="BW214" i="2"/>
  <c r="BW327" i="1" s="1"/>
  <c r="BG223" i="2"/>
  <c r="BM82" i="2"/>
  <c r="BM145" i="2" s="1"/>
  <c r="BM326" i="1" s="1"/>
  <c r="BJ111" i="2"/>
  <c r="BJ82" i="2"/>
  <c r="BJ133" i="2" s="1"/>
  <c r="AP82" i="2"/>
  <c r="AP156" i="2" s="1"/>
  <c r="BL224" i="2"/>
  <c r="S226" i="2"/>
  <c r="AO344" i="2"/>
  <c r="BM231" i="2"/>
  <c r="BM111" i="2"/>
  <c r="BW203" i="2"/>
  <c r="CF238" i="2"/>
  <c r="CF117" i="2"/>
  <c r="BZ308" i="2"/>
  <c r="BX308" i="2"/>
  <c r="CB135" i="2"/>
  <c r="CB311" i="2"/>
  <c r="BJ309" i="2"/>
  <c r="BG69" i="2"/>
  <c r="BG82" i="2" s="1"/>
  <c r="BG135" i="2" s="1"/>
  <c r="BR202" i="2"/>
  <c r="AP111" i="2"/>
  <c r="BR248" i="2"/>
  <c r="BJ248" i="2"/>
  <c r="BO111" i="2"/>
  <c r="BW205" i="2"/>
  <c r="I350" i="2"/>
  <c r="I366" i="2" s="1"/>
  <c r="BY308" i="2"/>
  <c r="CB136" i="2"/>
  <c r="CB144" i="2"/>
  <c r="BQ240" i="2"/>
  <c r="BW217" i="2"/>
  <c r="AJ309" i="2"/>
  <c r="AU111" i="2"/>
  <c r="M191" i="2"/>
  <c r="G94" i="2"/>
  <c r="BL119" i="2"/>
  <c r="BG240" i="2"/>
  <c r="BW215" i="2"/>
  <c r="BW216" i="2"/>
  <c r="CB145" i="2"/>
  <c r="CB326" i="1" s="1"/>
  <c r="CB130" i="2"/>
  <c r="AN87" i="2"/>
  <c r="AN107" i="2" s="1"/>
  <c r="BJ231" i="2"/>
  <c r="BR213" i="2"/>
  <c r="BR216" i="2"/>
  <c r="AU127" i="2"/>
  <c r="O302" i="2"/>
  <c r="O304" i="2" s="1"/>
  <c r="AR11" i="2"/>
  <c r="AR87" i="2" s="1"/>
  <c r="BM309" i="2"/>
  <c r="AS350" i="2"/>
  <c r="CB133" i="2"/>
  <c r="BW212" i="2"/>
  <c r="CA117" i="2"/>
  <c r="BL240" i="2"/>
  <c r="BW202" i="2"/>
  <c r="AR119" i="2"/>
  <c r="Q238" i="2"/>
  <c r="BR127" i="2"/>
  <c r="BR212" i="2"/>
  <c r="BR205" i="2"/>
  <c r="BJ127" i="2"/>
  <c r="AP154" i="2"/>
  <c r="CF107" i="2"/>
  <c r="BR203" i="2"/>
  <c r="X97" i="2"/>
  <c r="X107" i="2" s="1"/>
  <c r="R238" i="2"/>
  <c r="S69" i="2"/>
  <c r="P163" i="2" s="1"/>
  <c r="AY302" i="2"/>
  <c r="AY304" i="2" s="1"/>
  <c r="AY311" i="2" s="1"/>
  <c r="BM127" i="2"/>
  <c r="AU248" i="2"/>
  <c r="AT248" i="2"/>
  <c r="C251" i="2"/>
  <c r="AX127" i="2"/>
  <c r="AU282" i="2"/>
  <c r="E107" i="2"/>
  <c r="U309" i="2"/>
  <c r="C234" i="2"/>
  <c r="C216" i="2"/>
  <c r="S222" i="2"/>
  <c r="Q160" i="2"/>
  <c r="S391" i="2"/>
  <c r="S394" i="2" s="1"/>
  <c r="R160" i="2"/>
  <c r="AK350" i="2"/>
  <c r="AX248" i="2"/>
  <c r="CF232" i="2"/>
  <c r="BL257" i="2"/>
  <c r="BH309" i="2"/>
  <c r="BE344" i="2"/>
  <c r="BE360" i="2" s="1"/>
  <c r="BH248" i="2"/>
  <c r="C202" i="2"/>
  <c r="C269" i="2"/>
  <c r="S239" i="2"/>
  <c r="S108" i="2"/>
  <c r="BL178" i="2"/>
  <c r="O160" i="2"/>
  <c r="BG191" i="2"/>
  <c r="AT353" i="2"/>
  <c r="AP231" i="2"/>
  <c r="C215" i="2"/>
  <c r="AX82" i="2"/>
  <c r="AX135" i="2" s="1"/>
  <c r="BQ241" i="2"/>
  <c r="U231" i="2"/>
  <c r="BH231" i="2"/>
  <c r="BM248" i="2"/>
  <c r="AX111" i="2"/>
  <c r="CK38" i="17"/>
  <c r="CK40" i="17" s="1"/>
  <c r="BY114" i="12"/>
  <c r="DJ121" i="12"/>
  <c r="CA35" i="12"/>
  <c r="CA34" i="12" s="1"/>
  <c r="CH7" i="17"/>
  <c r="CH8" i="17" s="1"/>
  <c r="BW34" i="12"/>
  <c r="BW7" i="17" s="1"/>
  <c r="BW8" i="17" s="1"/>
  <c r="CG7" i="17"/>
  <c r="CG8" i="17" s="1"/>
  <c r="CJ7" i="17"/>
  <c r="CJ8" i="17" s="1"/>
  <c r="CR43" i="17"/>
  <c r="CR44" i="17" s="1"/>
  <c r="AR329" i="2"/>
  <c r="AW329" i="2"/>
  <c r="BG230" i="1"/>
  <c r="BG240" i="1" s="1"/>
  <c r="DC62" i="12"/>
  <c r="DC70" i="12" s="1"/>
  <c r="DC69" i="12" s="1"/>
  <c r="DC43" i="17" s="1"/>
  <c r="DC44" i="17" s="1"/>
  <c r="DG62" i="12"/>
  <c r="DL62" i="12" s="1"/>
  <c r="DQ62" i="12" s="1"/>
  <c r="DV62" i="12" s="1"/>
  <c r="BL126" i="12"/>
  <c r="BL127" i="12" s="1"/>
  <c r="AZ9" i="5"/>
  <c r="AY54" i="3"/>
  <c r="AW33" i="4"/>
  <c r="AW39" i="4" s="1"/>
  <c r="C48" i="4"/>
  <c r="C62" i="4" s="1"/>
  <c r="C65" i="4" s="1"/>
  <c r="AF75" i="4"/>
  <c r="CA63" i="4"/>
  <c r="CA69" i="4" s="1"/>
  <c r="CA70" i="4" s="1"/>
  <c r="AV65" i="4"/>
  <c r="D48" i="4"/>
  <c r="D62" i="4" s="1"/>
  <c r="L84" i="4"/>
  <c r="E81" i="4"/>
  <c r="BV63" i="4"/>
  <c r="BC64" i="4"/>
  <c r="AM60" i="4"/>
  <c r="AM61" i="4" s="1"/>
  <c r="BR76" i="4"/>
  <c r="AZ64" i="4"/>
  <c r="AZ66" i="4" s="1"/>
  <c r="BQ15" i="4"/>
  <c r="BQ24" i="4" s="1"/>
  <c r="AL69" i="4"/>
  <c r="AL70" i="4" s="1"/>
  <c r="BO65" i="4"/>
  <c r="AJ84" i="4"/>
  <c r="BS64" i="4"/>
  <c r="AF84" i="4"/>
  <c r="BY80" i="4"/>
  <c r="AY48" i="4"/>
  <c r="AY62" i="4" s="1"/>
  <c r="AY65" i="4" s="1"/>
  <c r="BK65" i="4"/>
  <c r="AN56" i="4"/>
  <c r="AO56" i="4" s="1"/>
  <c r="AJ75" i="4"/>
  <c r="U75" i="4"/>
  <c r="AO64" i="4"/>
  <c r="BZ75" i="4"/>
  <c r="BN75" i="4"/>
  <c r="BX64" i="4"/>
  <c r="BL12" i="3"/>
  <c r="BS74" i="3"/>
  <c r="AO67" i="3"/>
  <c r="BS81" i="4"/>
  <c r="BH13" i="3"/>
  <c r="BH18" i="3" s="1"/>
  <c r="BH21" i="3" s="1"/>
  <c r="BH63" i="3" s="1"/>
  <c r="BH46" i="3" s="1"/>
  <c r="R76" i="4"/>
  <c r="AU78" i="4"/>
  <c r="AU79" i="4" s="1"/>
  <c r="AO58" i="3"/>
  <c r="AY13" i="3"/>
  <c r="AY18" i="3" s="1"/>
  <c r="AY53" i="3" s="1"/>
  <c r="AO59" i="3"/>
  <c r="BS58" i="3"/>
  <c r="F77" i="4"/>
  <c r="F80" i="4" s="1"/>
  <c r="AO60" i="3"/>
  <c r="F13" i="3"/>
  <c r="F18" i="3" s="1"/>
  <c r="F53" i="3" s="1"/>
  <c r="F55" i="3" s="1"/>
  <c r="BS13" i="3"/>
  <c r="BS18" i="3" s="1"/>
  <c r="BS53" i="3" s="1"/>
  <c r="BS62" i="3" s="1"/>
  <c r="AO76" i="4"/>
  <c r="BS76" i="4"/>
  <c r="BS59" i="3"/>
  <c r="BX67" i="3"/>
  <c r="AX13" i="3"/>
  <c r="AX18" i="3" s="1"/>
  <c r="AD67" i="3"/>
  <c r="BL238" i="2"/>
  <c r="X242" i="2"/>
  <c r="BB223" i="2"/>
  <c r="AI282" i="2"/>
  <c r="BX367" i="2"/>
  <c r="BF248" i="2"/>
  <c r="BL335" i="2"/>
  <c r="BL351" i="2" s="1"/>
  <c r="BL367" i="2" s="1"/>
  <c r="BL108" i="2"/>
  <c r="BU366" i="2"/>
  <c r="N259" i="2"/>
  <c r="AT344" i="2"/>
  <c r="BO264" i="2"/>
  <c r="G111" i="2"/>
  <c r="BG238" i="2"/>
  <c r="AV135" i="2"/>
  <c r="N226" i="2"/>
  <c r="BX344" i="2"/>
  <c r="BX360" i="2" s="1"/>
  <c r="V344" i="2"/>
  <c r="BG120" i="2"/>
  <c r="BQ108" i="2"/>
  <c r="AR69" i="2"/>
  <c r="AR309" i="2" s="1"/>
  <c r="AV136" i="2"/>
  <c r="BB120" i="2"/>
  <c r="BQ118" i="2"/>
  <c r="BO188" i="2"/>
  <c r="BO214" i="2" s="1"/>
  <c r="BO327" i="1" s="1"/>
  <c r="O107" i="2"/>
  <c r="BG254" i="2"/>
  <c r="AV127" i="2"/>
  <c r="AO161" i="2"/>
  <c r="BB107" i="2"/>
  <c r="CF248" i="2"/>
  <c r="AT308" i="2"/>
  <c r="BL69" i="2"/>
  <c r="BL309" i="2" s="1"/>
  <c r="BL254" i="2"/>
  <c r="AV145" i="2"/>
  <c r="AV326" i="1" s="1"/>
  <c r="BO231" i="2"/>
  <c r="F188" i="2"/>
  <c r="F269" i="2" s="1"/>
  <c r="G248" i="2"/>
  <c r="AN161" i="2"/>
  <c r="Y238" i="2"/>
  <c r="AV311" i="2"/>
  <c r="BL118" i="2"/>
  <c r="AP161" i="2"/>
  <c r="CF194" i="2"/>
  <c r="CF195" i="2" s="1"/>
  <c r="AS308" i="2"/>
  <c r="CD143" i="2"/>
  <c r="CD145" i="2"/>
  <c r="CD326" i="1" s="1"/>
  <c r="AV146" i="2"/>
  <c r="AI350" i="2"/>
  <c r="BB182" i="2"/>
  <c r="BA186" i="2"/>
  <c r="BC286" i="2" s="1"/>
  <c r="AS248" i="2"/>
  <c r="AI264" i="2"/>
  <c r="BE369" i="2"/>
  <c r="CE114" i="12"/>
  <c r="BM81" i="4"/>
  <c r="BH81" i="4"/>
  <c r="BZ69" i="4"/>
  <c r="BZ70" i="4" s="1"/>
  <c r="AK33" i="4"/>
  <c r="AK39" i="4" s="1"/>
  <c r="BY75" i="4"/>
  <c r="P76" i="4"/>
  <c r="BG33" i="3"/>
  <c r="BR65" i="4"/>
  <c r="AC290" i="2"/>
  <c r="AD334" i="2" s="1"/>
  <c r="AH334" i="2" s="1"/>
  <c r="AH350" i="2" s="1"/>
  <c r="AB334" i="2"/>
  <c r="AC334" i="2" s="1"/>
  <c r="AV344" i="2"/>
  <c r="AV360" i="2" s="1"/>
  <c r="AD59" i="3"/>
  <c r="AE78" i="4"/>
  <c r="AE79" i="4" s="1"/>
  <c r="T84" i="4"/>
  <c r="BT144" i="2"/>
  <c r="BP308" i="2"/>
  <c r="AY136" i="2"/>
  <c r="BI58" i="3"/>
  <c r="AD13" i="3"/>
  <c r="AD18" i="3" s="1"/>
  <c r="AD21" i="3" s="1"/>
  <c r="AT282" i="2"/>
  <c r="BV120" i="2"/>
  <c r="Z161" i="2"/>
  <c r="BN308" i="2"/>
  <c r="BQ110" i="2"/>
  <c r="AX77" i="4"/>
  <c r="AX231" i="2"/>
  <c r="BY130" i="2"/>
  <c r="AR252" i="1"/>
  <c r="BR335" i="2"/>
  <c r="BR351" i="2" s="1"/>
  <c r="BR367" i="2" s="1"/>
  <c r="CF268" i="1"/>
  <c r="W74" i="3"/>
  <c r="AO186" i="2"/>
  <c r="AR186" i="2" s="1"/>
  <c r="AQ64" i="4"/>
  <c r="AQ66" i="4" s="1"/>
  <c r="AR260" i="1"/>
  <c r="T24" i="4"/>
  <c r="U81" i="4" s="1"/>
  <c r="P74" i="3"/>
  <c r="CF15" i="4"/>
  <c r="AY350" i="2"/>
  <c r="AI67" i="3"/>
  <c r="BL314" i="1"/>
  <c r="BL312" i="1" s="1"/>
  <c r="Z49" i="4"/>
  <c r="BX61" i="4"/>
  <c r="BQ120" i="2"/>
  <c r="BI78" i="4"/>
  <c r="BI79" i="4" s="1"/>
  <c r="BM308" i="2"/>
  <c r="AR254" i="1"/>
  <c r="CE366" i="2"/>
  <c r="AR258" i="1"/>
  <c r="BO308" i="2"/>
  <c r="AC109" i="2"/>
  <c r="BI77" i="4"/>
  <c r="AD76" i="4"/>
  <c r="BQ238" i="2"/>
  <c r="AS231" i="2"/>
  <c r="AX78" i="4"/>
  <c r="AX79" i="4" s="1"/>
  <c r="AX188" i="2"/>
  <c r="AX216" i="2" s="1"/>
  <c r="BT146" i="2"/>
  <c r="AR255" i="1"/>
  <c r="BO24" i="4"/>
  <c r="BF64" i="4"/>
  <c r="BF66" i="4" s="1"/>
  <c r="AO48" i="3"/>
  <c r="BC248" i="2"/>
  <c r="BJ77" i="4"/>
  <c r="AW250" i="2"/>
  <c r="Z24" i="4"/>
  <c r="AA81" i="4" s="1"/>
  <c r="X268" i="1"/>
  <c r="AN82" i="2"/>
  <c r="AS130" i="2" s="1"/>
  <c r="BT135" i="2"/>
  <c r="BQ191" i="2"/>
  <c r="BQ308" i="2"/>
  <c r="CA239" i="2"/>
  <c r="Z84" i="4"/>
  <c r="H64" i="4"/>
  <c r="H66" i="4" s="1"/>
  <c r="BV117" i="2"/>
  <c r="BQ69" i="2"/>
  <c r="BQ82" i="2" s="1"/>
  <c r="BI13" i="3"/>
  <c r="BI18" i="3" s="1"/>
  <c r="AD60" i="3"/>
  <c r="AD74" i="3"/>
  <c r="V58" i="3"/>
  <c r="BF344" i="2"/>
  <c r="BQ117" i="2"/>
  <c r="BT143" i="2"/>
  <c r="AR259" i="1"/>
  <c r="BO64" i="4"/>
  <c r="BO66" i="4" s="1"/>
  <c r="BJ78" i="4"/>
  <c r="BJ79" i="4" s="1"/>
  <c r="R212" i="1"/>
  <c r="BB213" i="1"/>
  <c r="CK360" i="1"/>
  <c r="C70" i="4"/>
  <c r="BY45" i="5"/>
  <c r="BV39" i="4"/>
  <c r="P59" i="3"/>
  <c r="BF46" i="5"/>
  <c r="BG46" i="5" s="1"/>
  <c r="V59" i="3"/>
  <c r="CK384" i="1"/>
  <c r="CF385" i="1"/>
  <c r="AX58" i="3"/>
  <c r="BT133" i="2"/>
  <c r="AH257" i="2"/>
  <c r="BY84" i="4"/>
  <c r="CF33" i="4"/>
  <c r="CF39" i="4" s="1"/>
  <c r="BT234" i="2"/>
  <c r="Y164" i="2"/>
  <c r="V13" i="3"/>
  <c r="V18" i="3" s="1"/>
  <c r="V85" i="4" s="1"/>
  <c r="BV238" i="2"/>
  <c r="BV118" i="2"/>
  <c r="BT136" i="2"/>
  <c r="AR257" i="1"/>
  <c r="CC75" i="4"/>
  <c r="CC84" i="4"/>
  <c r="AC43" i="5"/>
  <c r="BC111" i="2"/>
  <c r="AE58" i="3"/>
  <c r="X277" i="1"/>
  <c r="X280" i="1" s="1"/>
  <c r="Y277" i="1" s="1"/>
  <c r="Y280" i="1" s="1"/>
  <c r="Z277" i="1" s="1"/>
  <c r="Z280" i="1" s="1"/>
  <c r="AA277" i="1" s="1"/>
  <c r="AA280" i="1" s="1"/>
  <c r="AB277" i="1" s="1"/>
  <c r="AB280" i="1" s="1"/>
  <c r="V60" i="3"/>
  <c r="AH117" i="2"/>
  <c r="P282" i="2"/>
  <c r="AR109" i="2"/>
  <c r="Y235" i="2"/>
  <c r="AD238" i="2"/>
  <c r="J235" i="2"/>
  <c r="O238" i="2"/>
  <c r="AD235" i="2"/>
  <c r="G238" i="2"/>
  <c r="K235" i="2"/>
  <c r="U58" i="3"/>
  <c r="BU78" i="4"/>
  <c r="BU79" i="4" s="1"/>
  <c r="K21" i="3"/>
  <c r="K24" i="3" s="1"/>
  <c r="M78" i="4"/>
  <c r="M79" i="4" s="1"/>
  <c r="C77" i="4"/>
  <c r="M13" i="3"/>
  <c r="M18" i="3" s="1"/>
  <c r="U13" i="3"/>
  <c r="U18" i="3" s="1"/>
  <c r="U21" i="3" s="1"/>
  <c r="U24" i="3" s="1"/>
  <c r="U77" i="4"/>
  <c r="BD58" i="3"/>
  <c r="U78" i="4"/>
  <c r="U79" i="4" s="1"/>
  <c r="G77" i="4"/>
  <c r="G13" i="3"/>
  <c r="G18" i="3" s="1"/>
  <c r="G53" i="3" s="1"/>
  <c r="BQ12" i="3"/>
  <c r="BQ78" i="4" s="1"/>
  <c r="BQ79" i="4" s="1"/>
  <c r="G58" i="3"/>
  <c r="G78" i="4"/>
  <c r="G79" i="4" s="1"/>
  <c r="AD77" i="4"/>
  <c r="AT77" i="4"/>
  <c r="AN77" i="4"/>
  <c r="W78" i="4"/>
  <c r="W79" i="4" s="1"/>
  <c r="BR58" i="3"/>
  <c r="AQ58" i="3"/>
  <c r="Q77" i="4"/>
  <c r="Q78" i="4"/>
  <c r="Q79" i="4" s="1"/>
  <c r="AQ77" i="4"/>
  <c r="BA77" i="4"/>
  <c r="BM58" i="3"/>
  <c r="BR13" i="3"/>
  <c r="BR18" i="3" s="1"/>
  <c r="BR85" i="4" s="1"/>
  <c r="S12" i="3"/>
  <c r="BM78" i="4"/>
  <c r="BM79" i="4" s="1"/>
  <c r="AB159" i="2"/>
  <c r="AW334" i="2"/>
  <c r="AW233" i="2"/>
  <c r="AA159" i="2"/>
  <c r="AW336" i="2"/>
  <c r="AW352" i="2" s="1"/>
  <c r="X244" i="2"/>
  <c r="AK282" i="2"/>
  <c r="AW108" i="2"/>
  <c r="AR222" i="2"/>
  <c r="CA94" i="2"/>
  <c r="AS344" i="2"/>
  <c r="AS360" i="2" s="1"/>
  <c r="AO248" i="2"/>
  <c r="CF186" i="2"/>
  <c r="CK268" i="2" s="1"/>
  <c r="CU268" i="2"/>
  <c r="U162" i="2"/>
  <c r="AC121" i="1"/>
  <c r="AC139" i="1" s="1"/>
  <c r="G29" i="1"/>
  <c r="AM63" i="17"/>
  <c r="AM77" i="17" s="1"/>
  <c r="BB31" i="1"/>
  <c r="BB33" i="1" s="1"/>
  <c r="S35" i="1"/>
  <c r="S43" i="1" s="1"/>
  <c r="AQ268" i="2"/>
  <c r="BF139" i="1"/>
  <c r="CF18" i="1"/>
  <c r="CF24" i="1" s="1"/>
  <c r="CF27" i="1" s="1"/>
  <c r="CF35" i="1" s="1"/>
  <c r="CF37" i="1" s="1"/>
  <c r="BS48" i="4"/>
  <c r="BS62" i="4" s="1"/>
  <c r="BS68" i="4" s="1"/>
  <c r="AR336" i="2"/>
  <c r="AR352" i="2" s="1"/>
  <c r="Y80" i="17"/>
  <c r="BO329" i="2"/>
  <c r="AK48" i="4"/>
  <c r="AK62" i="4" s="1"/>
  <c r="D231" i="2"/>
  <c r="G64" i="4"/>
  <c r="G66" i="4" s="1"/>
  <c r="BC48" i="4"/>
  <c r="BC62" i="4" s="1"/>
  <c r="BX48" i="5"/>
  <c r="AK7" i="5"/>
  <c r="AL7" i="5" s="1"/>
  <c r="AP48" i="4"/>
  <c r="BN84" i="4"/>
  <c r="BY269" i="2"/>
  <c r="AC190" i="2"/>
  <c r="AC191" i="2" s="1"/>
  <c r="U282" i="2"/>
  <c r="AR33" i="4"/>
  <c r="AR39" i="4" s="1"/>
  <c r="D188" i="2"/>
  <c r="D216" i="2" s="1"/>
  <c r="BL63" i="4"/>
  <c r="BL69" i="4" s="1"/>
  <c r="CK343" i="1"/>
  <c r="T353" i="2"/>
  <c r="T369" i="2" s="1"/>
  <c r="E75" i="4"/>
  <c r="CU365" i="1"/>
  <c r="AI238" i="2"/>
  <c r="AD191" i="2"/>
  <c r="DE121" i="12"/>
  <c r="DB70" i="12"/>
  <c r="DB69" i="12" s="1"/>
  <c r="DB43" i="17" s="1"/>
  <c r="DB44" i="17" s="1"/>
  <c r="AS59" i="3"/>
  <c r="BC67" i="3"/>
  <c r="BH67" i="3"/>
  <c r="AS13" i="3"/>
  <c r="AS18" i="3" s="1"/>
  <c r="AS53" i="3" s="1"/>
  <c r="AS55" i="3" s="1"/>
  <c r="AS58" i="3"/>
  <c r="AS60" i="3"/>
  <c r="AX67" i="3"/>
  <c r="CH376" i="2"/>
  <c r="O371" i="2"/>
  <c r="BJ23" i="5"/>
  <c r="BK23" i="5" s="1"/>
  <c r="AW34" i="5"/>
  <c r="AW55" i="5" s="1"/>
  <c r="BL10" i="5"/>
  <c r="AM33" i="4"/>
  <c r="AM39" i="4" s="1"/>
  <c r="AL64" i="4"/>
  <c r="BK61" i="4"/>
  <c r="BK64" i="4"/>
  <c r="BK66" i="4" s="1"/>
  <c r="Z64" i="4"/>
  <c r="Z66" i="4" s="1"/>
  <c r="C13" i="3"/>
  <c r="C18" i="3" s="1"/>
  <c r="C53" i="3" s="1"/>
  <c r="AT59" i="3"/>
  <c r="D28" i="30"/>
  <c r="BU58" i="3"/>
  <c r="AT67" i="3"/>
  <c r="AR33" i="3"/>
  <c r="R67" i="3"/>
  <c r="I28" i="30"/>
  <c r="R58" i="3"/>
  <c r="C78" i="4"/>
  <c r="C79" i="4" s="1"/>
  <c r="BV12" i="3"/>
  <c r="BV78" i="4" s="1"/>
  <c r="BV79" i="4" s="1"/>
  <c r="AT58" i="3"/>
  <c r="AT60" i="3"/>
  <c r="J58" i="3"/>
  <c r="J78" i="4"/>
  <c r="J79" i="4" s="1"/>
  <c r="J80" i="4" s="1"/>
  <c r="R60" i="3"/>
  <c r="AT74" i="3"/>
  <c r="J13" i="3"/>
  <c r="J18" i="3" s="1"/>
  <c r="J53" i="3" s="1"/>
  <c r="J55" i="3" s="1"/>
  <c r="R74" i="3"/>
  <c r="R59" i="3"/>
  <c r="S61" i="4"/>
  <c r="T85" i="17"/>
  <c r="Z79" i="17"/>
  <c r="Z80" i="17" s="1"/>
  <c r="AL80" i="17"/>
  <c r="H91" i="17"/>
  <c r="V79" i="17"/>
  <c r="V80" i="17" s="1"/>
  <c r="AO48" i="4"/>
  <c r="AO62" i="4" s="1"/>
  <c r="AO65" i="4" s="1"/>
  <c r="L75" i="4"/>
  <c r="L24" i="4"/>
  <c r="G107" i="2"/>
  <c r="D248" i="2"/>
  <c r="N334" i="2"/>
  <c r="AZ264" i="2"/>
  <c r="BC127" i="2"/>
  <c r="BV222" i="2"/>
  <c r="AY58" i="3"/>
  <c r="BV256" i="2"/>
  <c r="AH8" i="3"/>
  <c r="AH59" i="3" s="1"/>
  <c r="BJ76" i="4"/>
  <c r="AZ74" i="3"/>
  <c r="AY67" i="3"/>
  <c r="BC81" i="4"/>
  <c r="AY60" i="3"/>
  <c r="AY74" i="3"/>
  <c r="AY76" i="4"/>
  <c r="AY59" i="3"/>
  <c r="BC58" i="3"/>
  <c r="CP15" i="12"/>
  <c r="BB38" i="17"/>
  <c r="BB40" i="17" s="1"/>
  <c r="AS114" i="12"/>
  <c r="AS135" i="12" s="1"/>
  <c r="AS136" i="12" s="1"/>
  <c r="AU114" i="12"/>
  <c r="BP126" i="12"/>
  <c r="BU126" i="12" s="1"/>
  <c r="BZ126" i="12" s="1"/>
  <c r="CE126" i="12" s="1"/>
  <c r="CJ126" i="12" s="1"/>
  <c r="CO126" i="12" s="1"/>
  <c r="CT126" i="12" s="1"/>
  <c r="CY126" i="12" s="1"/>
  <c r="DD126" i="12" s="1"/>
  <c r="DI126" i="12" s="1"/>
  <c r="DN126" i="12" s="1"/>
  <c r="DS126" i="12" s="1"/>
  <c r="DX126" i="12" s="1"/>
  <c r="CY123" i="12"/>
  <c r="DD123" i="12" s="1"/>
  <c r="DI123" i="12" s="1"/>
  <c r="DN123" i="12" s="1"/>
  <c r="DS123" i="12" s="1"/>
  <c r="DX123" i="12" s="1"/>
  <c r="CW117" i="12"/>
  <c r="DB117" i="12" s="1"/>
  <c r="DG117" i="12" s="1"/>
  <c r="DL117" i="12" s="1"/>
  <c r="DQ117" i="12" s="1"/>
  <c r="DV117" i="12" s="1"/>
  <c r="BW114" i="12"/>
  <c r="CJ81" i="12"/>
  <c r="CJ114" i="12" s="1"/>
  <c r="CK75" i="12"/>
  <c r="AL309" i="2"/>
  <c r="BY268" i="2"/>
  <c r="Q282" i="2"/>
  <c r="F235" i="2"/>
  <c r="AM257" i="2"/>
  <c r="CZ45" i="4"/>
  <c r="CZ36" i="4"/>
  <c r="CZ23" i="4"/>
  <c r="CZ40" i="4"/>
  <c r="CZ41" i="4"/>
  <c r="CZ12" i="4"/>
  <c r="CZ44" i="4"/>
  <c r="CZ19" i="4"/>
  <c r="CZ28" i="4"/>
  <c r="BP69" i="17"/>
  <c r="BI44" i="17"/>
  <c r="CS81" i="12"/>
  <c r="CX75" i="12"/>
  <c r="DC75" i="12" s="1"/>
  <c r="DH75" i="12" s="1"/>
  <c r="DM75" i="12" s="1"/>
  <c r="CT81" i="12"/>
  <c r="CY73" i="12"/>
  <c r="CL35" i="12"/>
  <c r="CL34" i="12" s="1"/>
  <c r="CL7" i="17" s="1"/>
  <c r="CL8" i="17" s="1"/>
  <c r="CQ15" i="12"/>
  <c r="CO35" i="12"/>
  <c r="CM35" i="12"/>
  <c r="CM34" i="12" s="1"/>
  <c r="CM7" i="17" s="1"/>
  <c r="CM8" i="17" s="1"/>
  <c r="CZ121" i="12"/>
  <c r="BP13" i="3"/>
  <c r="BP18" i="3" s="1"/>
  <c r="K53" i="3"/>
  <c r="BC13" i="3"/>
  <c r="BC18" i="3" s="1"/>
  <c r="BC53" i="3" s="1"/>
  <c r="BP60" i="3"/>
  <c r="AA13" i="3"/>
  <c r="AA18" i="3" s="1"/>
  <c r="AA21" i="3" s="1"/>
  <c r="AB60" i="3"/>
  <c r="BG12" i="3"/>
  <c r="BG78" i="4" s="1"/>
  <c r="BG79" i="4" s="1"/>
  <c r="BO67" i="3"/>
  <c r="BU67" i="3"/>
  <c r="O76" i="4"/>
  <c r="E28" i="30"/>
  <c r="BR74" i="3"/>
  <c r="AB74" i="3"/>
  <c r="BJ58" i="3"/>
  <c r="G331" i="2"/>
  <c r="AJ94" i="2"/>
  <c r="BE268" i="2"/>
  <c r="BT248" i="2"/>
  <c r="E210" i="2"/>
  <c r="CF249" i="2"/>
  <c r="AI133" i="2"/>
  <c r="AI136" i="2"/>
  <c r="AC119" i="2"/>
  <c r="BO282" i="2"/>
  <c r="BQ257" i="2"/>
  <c r="AB161" i="2"/>
  <c r="BW286" i="2"/>
  <c r="U238" i="2"/>
  <c r="AI309" i="2"/>
  <c r="AP268" i="2"/>
  <c r="AH109" i="2"/>
  <c r="I248" i="2"/>
  <c r="S223" i="2"/>
  <c r="AF238" i="2"/>
  <c r="E248" i="2"/>
  <c r="AR267" i="2"/>
  <c r="F191" i="2"/>
  <c r="BW368" i="2"/>
  <c r="AI231" i="2"/>
  <c r="AN111" i="2"/>
  <c r="AW337" i="2"/>
  <c r="AW353" i="2" s="1"/>
  <c r="E202" i="2"/>
  <c r="AI134" i="2"/>
  <c r="AI146" i="2"/>
  <c r="BU346" i="2"/>
  <c r="BJ268" i="2"/>
  <c r="X119" i="2"/>
  <c r="AL286" i="2"/>
  <c r="AO264" i="2"/>
  <c r="BB69" i="2"/>
  <c r="AM241" i="2"/>
  <c r="AE235" i="2"/>
  <c r="P235" i="2"/>
  <c r="P238" i="2"/>
  <c r="Y161" i="2"/>
  <c r="AO231" i="2"/>
  <c r="CD130" i="2"/>
  <c r="R161" i="2"/>
  <c r="I188" i="2"/>
  <c r="I216" i="2" s="1"/>
  <c r="AR256" i="2"/>
  <c r="AT264" i="2"/>
  <c r="AN127" i="2"/>
  <c r="S119" i="2"/>
  <c r="AI311" i="2"/>
  <c r="BQ224" i="2"/>
  <c r="BO248" i="2"/>
  <c r="BM367" i="2"/>
  <c r="E216" i="2"/>
  <c r="AI145" i="2"/>
  <c r="AI326" i="1" s="1"/>
  <c r="BX368" i="2"/>
  <c r="CA112" i="2"/>
  <c r="CD114" i="2"/>
  <c r="AR241" i="2"/>
  <c r="CA249" i="2"/>
  <c r="H309" i="2"/>
  <c r="S191" i="2"/>
  <c r="CD133" i="2"/>
  <c r="E215" i="2"/>
  <c r="AU344" i="2"/>
  <c r="AU360" i="2" s="1"/>
  <c r="CD136" i="2"/>
  <c r="F248" i="2"/>
  <c r="AH224" i="2"/>
  <c r="BM344" i="2"/>
  <c r="BM360" i="2" s="1"/>
  <c r="BB109" i="2"/>
  <c r="CA240" i="2"/>
  <c r="S109" i="2"/>
  <c r="AI80" i="17"/>
  <c r="I91" i="17"/>
  <c r="C91" i="17"/>
  <c r="K80" i="17"/>
  <c r="AH12" i="3"/>
  <c r="AH78" i="4" s="1"/>
  <c r="AH79" i="4" s="1"/>
  <c r="BY286" i="2"/>
  <c r="BY251" i="2"/>
  <c r="R79" i="17"/>
  <c r="R84" i="17" s="1"/>
  <c r="R85" i="17" s="1"/>
  <c r="G90" i="17"/>
  <c r="G91" i="17" s="1"/>
  <c r="CF64" i="4"/>
  <c r="C61" i="4"/>
  <c r="BW32" i="5"/>
  <c r="BW54" i="5" s="1"/>
  <c r="BW56" i="5" s="1"/>
  <c r="BW59" i="5" s="1"/>
  <c r="AE49" i="4"/>
  <c r="H67" i="30"/>
  <c r="H72" i="30" s="1"/>
  <c r="H73" i="30"/>
  <c r="J73" i="30"/>
  <c r="CG376" i="2"/>
  <c r="CJ376" i="2"/>
  <c r="CM376" i="2"/>
  <c r="CN376" i="2"/>
  <c r="CL376" i="2"/>
  <c r="CI376" i="2"/>
  <c r="I309" i="2"/>
  <c r="BP282" i="2"/>
  <c r="AA127" i="2"/>
  <c r="AW256" i="2"/>
  <c r="Q248" i="2"/>
  <c r="AV231" i="2"/>
  <c r="F264" i="2"/>
  <c r="AM254" i="2"/>
  <c r="AC223" i="2"/>
  <c r="I344" i="2"/>
  <c r="BO350" i="2"/>
  <c r="O13" i="3"/>
  <c r="O18" i="3" s="1"/>
  <c r="O21" i="3" s="1"/>
  <c r="O63" i="3" s="1"/>
  <c r="O46" i="3" s="1"/>
  <c r="O78" i="4"/>
  <c r="O79" i="4" s="1"/>
  <c r="AT302" i="2"/>
  <c r="AT304" i="2" s="1"/>
  <c r="AT309" i="2"/>
  <c r="Z76" i="4"/>
  <c r="Z13" i="3"/>
  <c r="Z18" i="3" s="1"/>
  <c r="Z59" i="3"/>
  <c r="Z58" i="3"/>
  <c r="Z60" i="3"/>
  <c r="AE67" i="3"/>
  <c r="AC8" i="3"/>
  <c r="AU35" i="1"/>
  <c r="AU37" i="1" s="1"/>
  <c r="AU29" i="1"/>
  <c r="AU31" i="1"/>
  <c r="AU33" i="1" s="1"/>
  <c r="V264" i="2"/>
  <c r="V248" i="2"/>
  <c r="BV48" i="4"/>
  <c r="BV62" i="4" s="1"/>
  <c r="CF363" i="1"/>
  <c r="CK363" i="1" s="1"/>
  <c r="AB79" i="1"/>
  <c r="AC89" i="1"/>
  <c r="AB89" i="1" s="1"/>
  <c r="AB92" i="1" s="1"/>
  <c r="AD58" i="3"/>
  <c r="AD78" i="4"/>
  <c r="AD79" i="4" s="1"/>
  <c r="AG191" i="2"/>
  <c r="AG235" i="2"/>
  <c r="CF340" i="1"/>
  <c r="CK340" i="1" s="1"/>
  <c r="BS31" i="1"/>
  <c r="BS33" i="1" s="1"/>
  <c r="BS29" i="1"/>
  <c r="BS35" i="1"/>
  <c r="BS37" i="1" s="1"/>
  <c r="AJ351" i="2"/>
  <c r="AK367" i="2" s="1"/>
  <c r="AJ344" i="2"/>
  <c r="AJ360" i="2" s="1"/>
  <c r="AF159" i="2"/>
  <c r="AG159" i="2"/>
  <c r="BT13" i="5"/>
  <c r="BU13" i="5" s="1"/>
  <c r="AZ12" i="5"/>
  <c r="BA12" i="5" s="1"/>
  <c r="AF25" i="5"/>
  <c r="AG25" i="5" s="1"/>
  <c r="AH25" i="5" s="1"/>
  <c r="AE18" i="5"/>
  <c r="J24" i="4"/>
  <c r="J84" i="4"/>
  <c r="J75" i="4"/>
  <c r="AI32" i="5"/>
  <c r="AI54" i="5" s="1"/>
  <c r="AI56" i="5" s="1"/>
  <c r="AI59" i="5" s="1"/>
  <c r="O188" i="2"/>
  <c r="O209" i="2" s="1"/>
  <c r="O264" i="2"/>
  <c r="O231" i="2"/>
  <c r="BQ48" i="4"/>
  <c r="BQ62" i="4" s="1"/>
  <c r="BQ68" i="4" s="1"/>
  <c r="BQ71" i="4" s="1"/>
  <c r="AA59" i="3"/>
  <c r="AB45" i="5"/>
  <c r="J56" i="4"/>
  <c r="J69" i="4" s="1"/>
  <c r="AP35" i="5"/>
  <c r="BU45" i="5"/>
  <c r="V57" i="4"/>
  <c r="U48" i="4"/>
  <c r="Y56" i="4"/>
  <c r="W56" i="4"/>
  <c r="CB188" i="2"/>
  <c r="CB215" i="2" s="1"/>
  <c r="CG268" i="2"/>
  <c r="AD188" i="2"/>
  <c r="AD202" i="2" s="1"/>
  <c r="AD264" i="2"/>
  <c r="BG255" i="2"/>
  <c r="BL239" i="2"/>
  <c r="O58" i="3"/>
  <c r="Q25" i="30"/>
  <c r="BV18" i="1"/>
  <c r="BV24" i="1" s="1"/>
  <c r="BV27" i="1" s="1"/>
  <c r="BV31" i="1" s="1"/>
  <c r="BV33" i="1" s="1"/>
  <c r="BV255" i="1"/>
  <c r="BV252" i="1"/>
  <c r="BV334" i="1" s="1"/>
  <c r="Z159" i="2"/>
  <c r="Y159" i="2"/>
  <c r="Z74" i="3"/>
  <c r="AI58" i="3"/>
  <c r="AI78" i="4"/>
  <c r="AI79" i="4" s="1"/>
  <c r="AI77" i="4"/>
  <c r="E31" i="1"/>
  <c r="E33" i="1" s="1"/>
  <c r="E29" i="1"/>
  <c r="CU338" i="1"/>
  <c r="BV15" i="4"/>
  <c r="BV24" i="4" s="1"/>
  <c r="BA33" i="4"/>
  <c r="BA39" i="4" s="1"/>
  <c r="BA49" i="4" s="1"/>
  <c r="BA50" i="4" s="1"/>
  <c r="BB27" i="4"/>
  <c r="BQ256" i="2"/>
  <c r="BQ178" i="2"/>
  <c r="CD24" i="4"/>
  <c r="CD81" i="4" s="1"/>
  <c r="CD84" i="4"/>
  <c r="CD75" i="4"/>
  <c r="AX32" i="5"/>
  <c r="AX50" i="5" s="1"/>
  <c r="BT22" i="5"/>
  <c r="BU22" i="5" s="1"/>
  <c r="AU45" i="5"/>
  <c r="AH33" i="4"/>
  <c r="AH39" i="4" s="1"/>
  <c r="BF111" i="2"/>
  <c r="BF127" i="2"/>
  <c r="BA111" i="2"/>
  <c r="BA309" i="2"/>
  <c r="BA127" i="2"/>
  <c r="BA248" i="2"/>
  <c r="AY231" i="2"/>
  <c r="AY282" i="2"/>
  <c r="AY264" i="2"/>
  <c r="AY248" i="2"/>
  <c r="AZ282" i="2"/>
  <c r="BD248" i="2"/>
  <c r="AZ58" i="3"/>
  <c r="AZ77" i="4"/>
  <c r="AZ13" i="3"/>
  <c r="AZ18" i="3" s="1"/>
  <c r="AZ53" i="3" s="1"/>
  <c r="AZ62" i="3" s="1"/>
  <c r="AZ78" i="4"/>
  <c r="AZ79" i="4" s="1"/>
  <c r="Q231" i="2"/>
  <c r="R282" i="2"/>
  <c r="BW61" i="4"/>
  <c r="BW64" i="4"/>
  <c r="BW66" i="4" s="1"/>
  <c r="AV23" i="5"/>
  <c r="O56" i="4"/>
  <c r="O69" i="4" s="1"/>
  <c r="O70" i="4" s="1"/>
  <c r="M56" i="4"/>
  <c r="BP302" i="2"/>
  <c r="BP304" i="2" s="1"/>
  <c r="BP309" i="2"/>
  <c r="BQ9" i="5"/>
  <c r="N15" i="30" s="1"/>
  <c r="AE161" i="2"/>
  <c r="AD161" i="2"/>
  <c r="AM119" i="2"/>
  <c r="AH119" i="2"/>
  <c r="AM109" i="2"/>
  <c r="AG161" i="2"/>
  <c r="AH69" i="2"/>
  <c r="Q188" i="2"/>
  <c r="Q202" i="2" s="1"/>
  <c r="O77" i="4"/>
  <c r="M159" i="2"/>
  <c r="D302" i="2"/>
  <c r="D304" i="2" s="1"/>
  <c r="D344" i="2"/>
  <c r="CA268" i="1"/>
  <c r="AB27" i="5"/>
  <c r="AC27" i="5" s="1"/>
  <c r="F75" i="4"/>
  <c r="F84" i="4"/>
  <c r="F24" i="4"/>
  <c r="F81" i="4" s="1"/>
  <c r="AS77" i="4"/>
  <c r="AM48" i="4"/>
  <c r="P57" i="4"/>
  <c r="Q57" i="4" s="1"/>
  <c r="O68" i="4"/>
  <c r="BD368" i="2"/>
  <c r="CF267" i="2"/>
  <c r="AG75" i="4"/>
  <c r="BS18" i="5"/>
  <c r="BS32" i="5" s="1"/>
  <c r="AH223" i="2"/>
  <c r="BO367" i="2"/>
  <c r="BQ213" i="1"/>
  <c r="CZ368" i="1"/>
  <c r="AQ139" i="1"/>
  <c r="AE282" i="2"/>
  <c r="J139" i="1"/>
  <c r="J141" i="1" s="1"/>
  <c r="J144" i="1" s="1"/>
  <c r="X69" i="4"/>
  <c r="BM240" i="1"/>
  <c r="BQ230" i="1"/>
  <c r="BQ240" i="1" s="1"/>
  <c r="CG240" i="1"/>
  <c r="CK230" i="1"/>
  <c r="CK240" i="1" s="1"/>
  <c r="BW240" i="1"/>
  <c r="CA230" i="1"/>
  <c r="CA240" i="1" s="1"/>
  <c r="CB240" i="1"/>
  <c r="CF230" i="1"/>
  <c r="CF240" i="1" s="1"/>
  <c r="CL245" i="1"/>
  <c r="CP235" i="1"/>
  <c r="CP245" i="1" s="1"/>
  <c r="CP230" i="1"/>
  <c r="CP240" i="1" s="1"/>
  <c r="BH240" i="1"/>
  <c r="BL230" i="1"/>
  <c r="BL240" i="1" s="1"/>
  <c r="BR240" i="1"/>
  <c r="BV230" i="1"/>
  <c r="BV240" i="1" s="1"/>
  <c r="CL244" i="1"/>
  <c r="CP234" i="1"/>
  <c r="CP244" i="1" s="1"/>
  <c r="V48" i="4"/>
  <c r="V62" i="4" s="1"/>
  <c r="BG139" i="1"/>
  <c r="BP353" i="2"/>
  <c r="AX350" i="2"/>
  <c r="E344" i="2"/>
  <c r="J80" i="30"/>
  <c r="M27" i="30"/>
  <c r="M28" i="30" s="1"/>
  <c r="AT10" i="17"/>
  <c r="AT79" i="17" s="1"/>
  <c r="AU10" i="17"/>
  <c r="AM10" i="17"/>
  <c r="AM79" i="17" s="1"/>
  <c r="AM90" i="17" s="1"/>
  <c r="AP10" i="17"/>
  <c r="AV10" i="17"/>
  <c r="AV79" i="17" s="1"/>
  <c r="AS10" i="17"/>
  <c r="AS79" i="17" s="1"/>
  <c r="AD79" i="17"/>
  <c r="AQ10" i="17"/>
  <c r="AQ79" i="17" s="1"/>
  <c r="AH10" i="17"/>
  <c r="N10" i="17"/>
  <c r="I81" i="17"/>
  <c r="H81" i="17"/>
  <c r="CJ195" i="2"/>
  <c r="H86" i="30"/>
  <c r="I86" i="30" s="1"/>
  <c r="J86" i="30" s="1"/>
  <c r="K86" i="30" s="1"/>
  <c r="L86" i="30" s="1"/>
  <c r="M86" i="30" s="1"/>
  <c r="N86" i="30" s="1"/>
  <c r="O86" i="30" s="1"/>
  <c r="P86" i="30" s="1"/>
  <c r="Q86" i="30" s="1"/>
  <c r="R86" i="30" s="1"/>
  <c r="S86" i="30" s="1"/>
  <c r="T86" i="30" s="1"/>
  <c r="U86" i="30" s="1"/>
  <c r="V86" i="30" s="1"/>
  <c r="W86" i="30" s="1"/>
  <c r="X86" i="30" s="1"/>
  <c r="Y86" i="30" s="1"/>
  <c r="I67" i="30"/>
  <c r="I72" i="30" s="1"/>
  <c r="M46" i="5"/>
  <c r="BK45" i="5"/>
  <c r="AG238" i="2"/>
  <c r="AT111" i="2"/>
  <c r="H264" i="2"/>
  <c r="J159" i="2"/>
  <c r="AR191" i="2"/>
  <c r="D94" i="2"/>
  <c r="BG233" i="2"/>
  <c r="BV240" i="2"/>
  <c r="S339" i="2"/>
  <c r="S355" i="2" s="1"/>
  <c r="AY146" i="2"/>
  <c r="U353" i="2"/>
  <c r="L159" i="2"/>
  <c r="BV241" i="2"/>
  <c r="I94" i="2"/>
  <c r="BG241" i="2"/>
  <c r="AD248" i="2"/>
  <c r="BL250" i="2"/>
  <c r="V127" i="2"/>
  <c r="P111" i="2"/>
  <c r="AY238" i="2"/>
  <c r="Q161" i="2"/>
  <c r="CU17" i="12"/>
  <c r="CV17" i="12" s="1"/>
  <c r="G109" i="12"/>
  <c r="BE24" i="5"/>
  <c r="BE60" i="3"/>
  <c r="BE76" i="4"/>
  <c r="BF74" i="3"/>
  <c r="BE59" i="3"/>
  <c r="BG8" i="3"/>
  <c r="BG76" i="4" s="1"/>
  <c r="BC60" i="3"/>
  <c r="BC59" i="3"/>
  <c r="BE67" i="3"/>
  <c r="BG15" i="4"/>
  <c r="BY29" i="1"/>
  <c r="BY35" i="1"/>
  <c r="BY37" i="1" s="1"/>
  <c r="BY31" i="1"/>
  <c r="BY33" i="1" s="1"/>
  <c r="BA82" i="2"/>
  <c r="BA114" i="2" s="1"/>
  <c r="AV68" i="4"/>
  <c r="V27" i="5"/>
  <c r="W27" i="5" s="1"/>
  <c r="O248" i="2"/>
  <c r="J32" i="5"/>
  <c r="J54" i="5" s="1"/>
  <c r="J56" i="5" s="1"/>
  <c r="J59" i="5" s="1"/>
  <c r="BA231" i="2"/>
  <c r="BA282" i="2"/>
  <c r="BH78" i="4"/>
  <c r="BH79" i="4" s="1"/>
  <c r="D39" i="4"/>
  <c r="D84" i="4"/>
  <c r="D75" i="4"/>
  <c r="AG88" i="1"/>
  <c r="AH89" i="1"/>
  <c r="BB336" i="2"/>
  <c r="BB352" i="2" s="1"/>
  <c r="BB368" i="2" s="1"/>
  <c r="BG109" i="2"/>
  <c r="BG119" i="2"/>
  <c r="AI75" i="4"/>
  <c r="AH191" i="2"/>
  <c r="BA238" i="2"/>
  <c r="AJ235" i="2"/>
  <c r="AD127" i="2"/>
  <c r="N244" i="2"/>
  <c r="AD159" i="2"/>
  <c r="AE159" i="2"/>
  <c r="AH84" i="2"/>
  <c r="AH235" i="2" s="1"/>
  <c r="BT346" i="2"/>
  <c r="AH221" i="2"/>
  <c r="AH308" i="2"/>
  <c r="AW107" i="2"/>
  <c r="BV223" i="2"/>
  <c r="CD134" i="2"/>
  <c r="CD144" i="2"/>
  <c r="AP159" i="2"/>
  <c r="AN159" i="2"/>
  <c r="AZ111" i="2"/>
  <c r="K159" i="2"/>
  <c r="N308" i="2"/>
  <c r="CK94" i="2"/>
  <c r="N228" i="2"/>
  <c r="BE248" i="2"/>
  <c r="AG94" i="2"/>
  <c r="S117" i="2"/>
  <c r="AL159" i="2"/>
  <c r="S123" i="2"/>
  <c r="AW117" i="2"/>
  <c r="AC117" i="2"/>
  <c r="CD146" i="2"/>
  <c r="CA232" i="2"/>
  <c r="S120" i="2"/>
  <c r="AR308" i="2"/>
  <c r="N221" i="2"/>
  <c r="CA345" i="2"/>
  <c r="CA361" i="2" s="1"/>
  <c r="CA377" i="2" s="1"/>
  <c r="T107" i="2"/>
  <c r="S300" i="2"/>
  <c r="S129" i="2"/>
  <c r="M164" i="2"/>
  <c r="P162" i="2"/>
  <c r="Q162" i="2"/>
  <c r="R162" i="2"/>
  <c r="N129" i="2"/>
  <c r="S110" i="2"/>
  <c r="AL154" i="2"/>
  <c r="DZ120" i="12"/>
  <c r="EA120" i="12" s="1"/>
  <c r="EB120" i="12" s="1"/>
  <c r="AL238" i="2"/>
  <c r="N97" i="2"/>
  <c r="N107" i="2" s="1"/>
  <c r="CO360" i="2"/>
  <c r="DN344" i="2"/>
  <c r="CI195" i="2"/>
  <c r="CD268" i="2"/>
  <c r="CU266" i="2"/>
  <c r="CU250" i="2"/>
  <c r="CN264" i="2"/>
  <c r="CS248" i="2"/>
  <c r="CS264" i="2"/>
  <c r="AR46" i="5"/>
  <c r="BP54" i="3"/>
  <c r="N40" i="5"/>
  <c r="BG10" i="5"/>
  <c r="BU33" i="5"/>
  <c r="BU55" i="5" s="1"/>
  <c r="AU7" i="5"/>
  <c r="BN54" i="3"/>
  <c r="BA10" i="5"/>
  <c r="BS55" i="5"/>
  <c r="BO54" i="3"/>
  <c r="BQ27" i="5"/>
  <c r="AT191" i="2"/>
  <c r="AL191" i="2"/>
  <c r="AJ238" i="2"/>
  <c r="CB268" i="2"/>
  <c r="AS188" i="2"/>
  <c r="AS204" i="2" s="1"/>
  <c r="CC286" i="2"/>
  <c r="AX268" i="2"/>
  <c r="CP29" i="12"/>
  <c r="CQ29" i="12"/>
  <c r="CL81" i="12"/>
  <c r="CL80" i="12" s="1"/>
  <c r="CQ73" i="12"/>
  <c r="CV73" i="12" s="1"/>
  <c r="DA73" i="12" s="1"/>
  <c r="DF73" i="12" s="1"/>
  <c r="DK73" i="12" s="1"/>
  <c r="DP73" i="12" s="1"/>
  <c r="DU73" i="12" s="1"/>
  <c r="CP64" i="12"/>
  <c r="CT64" i="12"/>
  <c r="CU75" i="12"/>
  <c r="CP62" i="12"/>
  <c r="CS62" i="12"/>
  <c r="CL70" i="12"/>
  <c r="CL69" i="12" s="1"/>
  <c r="CL43" i="17" s="1"/>
  <c r="CL44" i="17" s="1"/>
  <c r="CQ60" i="12"/>
  <c r="CV60" i="12" s="1"/>
  <c r="DA60" i="12" s="1"/>
  <c r="DF60" i="12" s="1"/>
  <c r="CR19" i="12"/>
  <c r="CS19" i="12" s="1"/>
  <c r="CT19" i="12" s="1"/>
  <c r="CM81" i="12"/>
  <c r="CM80" i="12" s="1"/>
  <c r="CR73" i="12"/>
  <c r="CP27" i="12"/>
  <c r="CQ27" i="12"/>
  <c r="CV27" i="12" s="1"/>
  <c r="DA27" i="12" s="1"/>
  <c r="CU121" i="12"/>
  <c r="N391" i="2"/>
  <c r="N394" i="2" s="1"/>
  <c r="BJ67" i="3"/>
  <c r="AN58" i="3"/>
  <c r="AN13" i="3"/>
  <c r="AN18" i="3" s="1"/>
  <c r="BJ60" i="3"/>
  <c r="BJ74" i="3"/>
  <c r="BP74" i="3"/>
  <c r="BP81" i="4"/>
  <c r="G28" i="30"/>
  <c r="BU13" i="3"/>
  <c r="BU18" i="3" s="1"/>
  <c r="AR12" i="3"/>
  <c r="BJ81" i="4"/>
  <c r="BJ13" i="3"/>
  <c r="BJ18" i="3" s="1"/>
  <c r="BJ85" i="4" s="1"/>
  <c r="BK74" i="3"/>
  <c r="BP59" i="3"/>
  <c r="BP76" i="4"/>
  <c r="AL84" i="17"/>
  <c r="AL85" i="17" s="1"/>
  <c r="AI85" i="17"/>
  <c r="J79" i="17"/>
  <c r="J84" i="17" s="1"/>
  <c r="BX32" i="17"/>
  <c r="BV38" i="17"/>
  <c r="BV40" i="17" s="1"/>
  <c r="BD48" i="5"/>
  <c r="AJ48" i="4"/>
  <c r="AJ62" i="4" s="1"/>
  <c r="BM186" i="2"/>
  <c r="BV8" i="3"/>
  <c r="BV59" i="3" s="1"/>
  <c r="BF136" i="2"/>
  <c r="BL25" i="5"/>
  <c r="AH63" i="4"/>
  <c r="AH69" i="4" s="1"/>
  <c r="J62" i="30"/>
  <c r="G67" i="30"/>
  <c r="D235" i="2"/>
  <c r="BW44" i="17"/>
  <c r="CP75" i="12"/>
  <c r="CO81" i="12"/>
  <c r="CO80" i="12" s="1"/>
  <c r="BS32" i="17"/>
  <c r="BU114" i="12"/>
  <c r="O328" i="2"/>
  <c r="BY8" i="17"/>
  <c r="BP8" i="17"/>
  <c r="BJ31" i="17"/>
  <c r="BJ32" i="17" s="1"/>
  <c r="S328" i="2"/>
  <c r="CI44" i="17"/>
  <c r="BB20" i="17"/>
  <c r="BB22" i="17" s="1"/>
  <c r="D109" i="12"/>
  <c r="S54" i="12"/>
  <c r="BS114" i="12"/>
  <c r="BS34" i="12"/>
  <c r="BS7" i="17" s="1"/>
  <c r="BS8" i="17" s="1"/>
  <c r="Q114" i="12"/>
  <c r="BH44" i="17"/>
  <c r="CJ44" i="17"/>
  <c r="F331" i="2"/>
  <c r="BV35" i="12"/>
  <c r="BV34" i="12" s="1"/>
  <c r="AR257" i="2"/>
  <c r="AL353" i="2"/>
  <c r="BW353" i="2"/>
  <c r="W353" i="2"/>
  <c r="AF353" i="2"/>
  <c r="BN353" i="2"/>
  <c r="AU353" i="2"/>
  <c r="AN353" i="2"/>
  <c r="AD353" i="2"/>
  <c r="AA353" i="2"/>
  <c r="AY353" i="2"/>
  <c r="V353" i="2"/>
  <c r="AS353" i="2"/>
  <c r="AK353" i="2"/>
  <c r="Z353" i="2"/>
  <c r="AQ353" i="2"/>
  <c r="AZ353" i="2"/>
  <c r="BD369" i="2" s="1"/>
  <c r="BH353" i="2"/>
  <c r="AF154" i="2"/>
  <c r="AE127" i="2"/>
  <c r="AR178" i="2"/>
  <c r="AV367" i="2"/>
  <c r="AW367" i="2" s="1"/>
  <c r="Q268" i="2"/>
  <c r="E264" i="2"/>
  <c r="Z235" i="2"/>
  <c r="AV350" i="2"/>
  <c r="AH336" i="2"/>
  <c r="AH352" i="2" s="1"/>
  <c r="X337" i="2"/>
  <c r="X353" i="2" s="1"/>
  <c r="CD377" i="2"/>
  <c r="Q356" i="2"/>
  <c r="BF134" i="2"/>
  <c r="BD350" i="2"/>
  <c r="AJ81" i="4"/>
  <c r="AM267" i="2"/>
  <c r="S243" i="2"/>
  <c r="BY217" i="2"/>
  <c r="BY215" i="2"/>
  <c r="BY214" i="2"/>
  <c r="BY327" i="1" s="1"/>
  <c r="BY216" i="2"/>
  <c r="BY202" i="2"/>
  <c r="AJ350" i="2"/>
  <c r="BY212" i="2"/>
  <c r="BY234" i="2"/>
  <c r="CC346" i="2"/>
  <c r="CC362" i="2" s="1"/>
  <c r="CC304" i="2"/>
  <c r="CD347" i="2" s="1"/>
  <c r="CD363" i="2" s="1"/>
  <c r="S37" i="4"/>
  <c r="AS68" i="4"/>
  <c r="AS65" i="4"/>
  <c r="AY49" i="3"/>
  <c r="BB48" i="3"/>
  <c r="BB49" i="3" s="1"/>
  <c r="BG35" i="5"/>
  <c r="X10" i="5"/>
  <c r="C212" i="2"/>
  <c r="AV37" i="5"/>
  <c r="AW37" i="5" s="1"/>
  <c r="F61" i="4"/>
  <c r="F64" i="4"/>
  <c r="V24" i="4"/>
  <c r="V81" i="4" s="1"/>
  <c r="V84" i="4"/>
  <c r="V75" i="4"/>
  <c r="H188" i="2"/>
  <c r="H206" i="2" s="1"/>
  <c r="H231" i="2"/>
  <c r="CA12" i="3"/>
  <c r="CA78" i="4" s="1"/>
  <c r="CA79" i="4" s="1"/>
  <c r="BW77" i="4"/>
  <c r="BG60" i="4"/>
  <c r="BG263" i="1" s="1"/>
  <c r="BD308" i="2"/>
  <c r="BE308" i="2"/>
  <c r="AN18" i="5"/>
  <c r="AN32" i="5" s="1"/>
  <c r="AO27" i="5"/>
  <c r="AP27" i="5" s="1"/>
  <c r="AQ27" i="5" s="1"/>
  <c r="AR27" i="5" s="1"/>
  <c r="L34" i="5"/>
  <c r="Q61" i="4"/>
  <c r="Q64" i="4"/>
  <c r="AH256" i="2"/>
  <c r="AC256" i="2"/>
  <c r="P231" i="2"/>
  <c r="P188" i="2"/>
  <c r="U248" i="2"/>
  <c r="AZ22" i="5"/>
  <c r="BA22" i="5" s="1"/>
  <c r="BD351" i="2"/>
  <c r="BD344" i="2"/>
  <c r="BD360" i="2" s="1"/>
  <c r="K48" i="5"/>
  <c r="L45" i="5"/>
  <c r="AZ75" i="4"/>
  <c r="AZ39" i="4"/>
  <c r="AZ49" i="4" s="1"/>
  <c r="AZ50" i="4" s="1"/>
  <c r="AZ84" i="4"/>
  <c r="CE40" i="5"/>
  <c r="AW9" i="5"/>
  <c r="AT78" i="4"/>
  <c r="AT79" i="4" s="1"/>
  <c r="AT13" i="3"/>
  <c r="AT18" i="3" s="1"/>
  <c r="AT21" i="3" s="1"/>
  <c r="AI154" i="2"/>
  <c r="AG82" i="2"/>
  <c r="AG135" i="2" s="1"/>
  <c r="AG231" i="2"/>
  <c r="AL111" i="2"/>
  <c r="AZ350" i="2"/>
  <c r="CD188" i="2"/>
  <c r="CD287" i="2" s="1"/>
  <c r="CI268" i="2"/>
  <c r="CD286" i="2"/>
  <c r="AX64" i="4"/>
  <c r="AX69" i="4"/>
  <c r="AX70" i="4" s="1"/>
  <c r="AV191" i="2"/>
  <c r="AV238" i="2"/>
  <c r="BG222" i="2"/>
  <c r="BL255" i="2"/>
  <c r="BG239" i="2"/>
  <c r="AR29" i="3"/>
  <c r="AE344" i="2"/>
  <c r="BD22" i="5"/>
  <c r="BD18" i="5" s="1"/>
  <c r="BC18" i="5"/>
  <c r="BC32" i="5" s="1"/>
  <c r="BF40" i="5"/>
  <c r="BG40" i="5" s="1"/>
  <c r="L350" i="2"/>
  <c r="CB24" i="4"/>
  <c r="CB81" i="4" s="1"/>
  <c r="CB75" i="4"/>
  <c r="CB84" i="4"/>
  <c r="I48" i="4"/>
  <c r="BA7" i="5"/>
  <c r="BJ43" i="5"/>
  <c r="BK43" i="5" s="1"/>
  <c r="BI48" i="5"/>
  <c r="BE11" i="5"/>
  <c r="BF11" i="5" s="1"/>
  <c r="BG11" i="5" s="1"/>
  <c r="AU43" i="5"/>
  <c r="AV43" i="5" s="1"/>
  <c r="AW43" i="5" s="1"/>
  <c r="P48" i="4"/>
  <c r="P62" i="4" s="1"/>
  <c r="BF9" i="5"/>
  <c r="BF54" i="3" s="1"/>
  <c r="N17" i="3"/>
  <c r="CF48" i="4"/>
  <c r="CF62" i="4" s="1"/>
  <c r="CE47" i="5"/>
  <c r="CF47" i="5" s="1"/>
  <c r="BI55" i="5"/>
  <c r="BJ33" i="5"/>
  <c r="BT35" i="5"/>
  <c r="AH267" i="2"/>
  <c r="AR139" i="1"/>
  <c r="BH127" i="2"/>
  <c r="BH111" i="2"/>
  <c r="BH82" i="2"/>
  <c r="F344" i="2"/>
  <c r="BG308" i="2"/>
  <c r="R39" i="4"/>
  <c r="CF82" i="2"/>
  <c r="CF133" i="2" s="1"/>
  <c r="AC233" i="2"/>
  <c r="AW48" i="4"/>
  <c r="AW62" i="4" s="1"/>
  <c r="U264" i="2"/>
  <c r="Z264" i="2"/>
  <c r="P248" i="2"/>
  <c r="AZ23" i="5"/>
  <c r="P371" i="2"/>
  <c r="CA48" i="4"/>
  <c r="CA62" i="4" s="1"/>
  <c r="BS186" i="2"/>
  <c r="BS286" i="2" s="1"/>
  <c r="AW257" i="2"/>
  <c r="BG89" i="1"/>
  <c r="BT34" i="12"/>
  <c r="BT7" i="17" s="1"/>
  <c r="BT8" i="17" s="1"/>
  <c r="BK8" i="17"/>
  <c r="T235" i="2"/>
  <c r="X255" i="2"/>
  <c r="BW367" i="2"/>
  <c r="K231" i="2"/>
  <c r="AN248" i="2"/>
  <c r="BV110" i="2"/>
  <c r="BV224" i="2"/>
  <c r="AE238" i="2"/>
  <c r="BN145" i="2"/>
  <c r="BN326" i="1" s="1"/>
  <c r="S241" i="2"/>
  <c r="S233" i="2"/>
  <c r="BN135" i="2"/>
  <c r="AA164" i="2"/>
  <c r="BV255" i="2"/>
  <c r="BB250" i="2"/>
  <c r="AU238" i="2"/>
  <c r="AR117" i="2"/>
  <c r="AP344" i="2"/>
  <c r="AC87" i="2"/>
  <c r="AC94" i="2" s="1"/>
  <c r="BB266" i="2"/>
  <c r="L282" i="2"/>
  <c r="P94" i="2"/>
  <c r="BN346" i="2"/>
  <c r="BN362" i="2" s="1"/>
  <c r="T238" i="2"/>
  <c r="AN344" i="2"/>
  <c r="AN360" i="2" s="1"/>
  <c r="BG129" i="2"/>
  <c r="BF311" i="2"/>
  <c r="BF133" i="2"/>
  <c r="AR337" i="2"/>
  <c r="AR353" i="2" s="1"/>
  <c r="AO94" i="2"/>
  <c r="CA107" i="2"/>
  <c r="BV337" i="2"/>
  <c r="BV353" i="2" s="1"/>
  <c r="BV369" i="2" s="1"/>
  <c r="T344" i="2"/>
  <c r="BG250" i="2"/>
  <c r="BU344" i="2"/>
  <c r="BU360" i="2" s="1"/>
  <c r="AI87" i="2"/>
  <c r="AI107" i="2" s="1"/>
  <c r="Z164" i="2"/>
  <c r="AH240" i="2"/>
  <c r="AH113" i="2"/>
  <c r="Q344" i="2"/>
  <c r="BV239" i="2"/>
  <c r="Z238" i="2"/>
  <c r="AK264" i="2"/>
  <c r="AP248" i="2"/>
  <c r="AZ238" i="2"/>
  <c r="BF135" i="2"/>
  <c r="BF347" i="2"/>
  <c r="BF363" i="2" s="1"/>
  <c r="AK188" i="2"/>
  <c r="AK216" i="2" s="1"/>
  <c r="AE188" i="2"/>
  <c r="AE205" i="2" s="1"/>
  <c r="BS130" i="2"/>
  <c r="AL344" i="2"/>
  <c r="U367" i="2"/>
  <c r="S224" i="2"/>
  <c r="AK309" i="2"/>
  <c r="AV309" i="2"/>
  <c r="AO238" i="2"/>
  <c r="AM117" i="2"/>
  <c r="AM300" i="2"/>
  <c r="AM302" i="2" s="1"/>
  <c r="AM304" i="2" s="1"/>
  <c r="CL304" i="2"/>
  <c r="CK30" i="17"/>
  <c r="CD31" i="17"/>
  <c r="CD32" i="17" s="1"/>
  <c r="CG245" i="1"/>
  <c r="CK235" i="1"/>
  <c r="CK245" i="1" s="1"/>
  <c r="CG244" i="1"/>
  <c r="CK234" i="1"/>
  <c r="CK244" i="1" s="1"/>
  <c r="CL282" i="2"/>
  <c r="CK6" i="17"/>
  <c r="CP56" i="5"/>
  <c r="BM114" i="12"/>
  <c r="BQ70" i="12"/>
  <c r="BQ69" i="12" s="1"/>
  <c r="BQ43" i="17" s="1"/>
  <c r="BC114" i="12"/>
  <c r="BM69" i="12"/>
  <c r="BM43" i="17" s="1"/>
  <c r="BM44" i="17" s="1"/>
  <c r="P48" i="5"/>
  <c r="BQ10" i="5"/>
  <c r="L10" i="5"/>
  <c r="AA9" i="5"/>
  <c r="Z54" i="3"/>
  <c r="AK35" i="5"/>
  <c r="AL35" i="5" s="1"/>
  <c r="BO46" i="5"/>
  <c r="AJ48" i="5"/>
  <c r="BS48" i="5"/>
  <c r="I32" i="5"/>
  <c r="K54" i="3"/>
  <c r="AL9" i="5"/>
  <c r="AM9" i="5" s="1"/>
  <c r="AT39" i="5"/>
  <c r="BS54" i="3"/>
  <c r="AG10" i="5"/>
  <c r="BX18" i="5"/>
  <c r="AZ24" i="5"/>
  <c r="Q7" i="5"/>
  <c r="AZ46" i="5"/>
  <c r="BA46" i="5" s="1"/>
  <c r="BP23" i="5"/>
  <c r="P18" i="5"/>
  <c r="AO39" i="5"/>
  <c r="AW16" i="5"/>
  <c r="BJ34" i="5"/>
  <c r="BI39" i="5"/>
  <c r="BE45" i="5"/>
  <c r="BE48" i="5" s="1"/>
  <c r="BG36" i="5"/>
  <c r="BE7" i="5"/>
  <c r="AU11" i="5"/>
  <c r="AM19" i="5"/>
  <c r="AP34" i="5"/>
  <c r="AO55" i="5"/>
  <c r="AK45" i="5"/>
  <c r="CA17" i="5"/>
  <c r="Q9" i="5"/>
  <c r="P54" i="3"/>
  <c r="AA35" i="5"/>
  <c r="BO37" i="5"/>
  <c r="BO39" i="5" s="1"/>
  <c r="BO7" i="5"/>
  <c r="BY9" i="5"/>
  <c r="BY32" i="5" s="1"/>
  <c r="BY40" i="5"/>
  <c r="BJ38" i="5"/>
  <c r="BJ8" i="5"/>
  <c r="BK8" i="5" s="1"/>
  <c r="BL8" i="5" s="1"/>
  <c r="AY48" i="5"/>
  <c r="AZ40" i="5"/>
  <c r="BT46" i="5"/>
  <c r="BT48" i="5" s="1"/>
  <c r="AZ55" i="5"/>
  <c r="BA33" i="5"/>
  <c r="BG30" i="5"/>
  <c r="T32" i="5"/>
  <c r="T54" i="5" s="1"/>
  <c r="T56" i="5" s="1"/>
  <c r="T59" i="5" s="1"/>
  <c r="AK13" i="5"/>
  <c r="AL13" i="5" s="1"/>
  <c r="AM13" i="5" s="1"/>
  <c r="AU35" i="5"/>
  <c r="BY35" i="5"/>
  <c r="AR223" i="2"/>
  <c r="AQ159" i="2"/>
  <c r="W107" i="2"/>
  <c r="S261" i="2"/>
  <c r="CK344" i="2"/>
  <c r="CK360" i="2" s="1"/>
  <c r="CK376" i="2" s="1"/>
  <c r="BK59" i="3"/>
  <c r="S8" i="3"/>
  <c r="S76" i="4" s="1"/>
  <c r="BP67" i="3"/>
  <c r="X12" i="3"/>
  <c r="X77" i="4" s="1"/>
  <c r="BL81" i="12"/>
  <c r="BL80" i="12" s="1"/>
  <c r="BL31" i="17" s="1"/>
  <c r="BV81" i="12"/>
  <c r="BV80" i="12" s="1"/>
  <c r="BV31" i="17" s="1"/>
  <c r="CE80" i="12"/>
  <c r="BR114" i="12"/>
  <c r="CK329" i="2"/>
  <c r="CK42" i="17"/>
  <c r="AJ45" i="30"/>
  <c r="AA74" i="3"/>
  <c r="AA76" i="4"/>
  <c r="AF74" i="3"/>
  <c r="AA60" i="3"/>
  <c r="AA67" i="3"/>
  <c r="AG58" i="3"/>
  <c r="AE13" i="3"/>
  <c r="AE18" i="3" s="1"/>
  <c r="AE21" i="3" s="1"/>
  <c r="AG76" i="4"/>
  <c r="AJ67" i="3"/>
  <c r="AE76" i="4"/>
  <c r="AE59" i="3"/>
  <c r="AI74" i="3"/>
  <c r="AE74" i="3"/>
  <c r="AE60" i="3"/>
  <c r="BB8" i="3"/>
  <c r="BB76" i="4" s="1"/>
  <c r="AG60" i="3"/>
  <c r="AL67" i="3"/>
  <c r="X8" i="3"/>
  <c r="X59" i="3" s="1"/>
  <c r="CJ268" i="2"/>
  <c r="BE286" i="2"/>
  <c r="AD31" i="1"/>
  <c r="AD33" i="1" s="1"/>
  <c r="AD35" i="1"/>
  <c r="AD29" i="1"/>
  <c r="AM15" i="4"/>
  <c r="AM24" i="4" s="1"/>
  <c r="AN81" i="4" s="1"/>
  <c r="BN22" i="5"/>
  <c r="BM18" i="5"/>
  <c r="AW239" i="2"/>
  <c r="AZ231" i="2"/>
  <c r="AZ82" i="2"/>
  <c r="AZ311" i="2" s="1"/>
  <c r="X39" i="3"/>
  <c r="W29" i="3"/>
  <c r="AZ248" i="2"/>
  <c r="CC136" i="2"/>
  <c r="CC133" i="2"/>
  <c r="CC135" i="2"/>
  <c r="CC146" i="2"/>
  <c r="CC143" i="2"/>
  <c r="CC145" i="2"/>
  <c r="CC326" i="1" s="1"/>
  <c r="CC144" i="2"/>
  <c r="CC134" i="2"/>
  <c r="CD31" i="5"/>
  <c r="CE31" i="5" s="1"/>
  <c r="BD55" i="5"/>
  <c r="BD39" i="5"/>
  <c r="BE33" i="5"/>
  <c r="AP77" i="4"/>
  <c r="AR16" i="5"/>
  <c r="BX35" i="1"/>
  <c r="BX37" i="1" s="1"/>
  <c r="BX29" i="1"/>
  <c r="BX31" i="1"/>
  <c r="BX33" i="1" s="1"/>
  <c r="X19" i="3"/>
  <c r="AX264" i="2"/>
  <c r="S182" i="2"/>
  <c r="CF128" i="2"/>
  <c r="CK347" i="1"/>
  <c r="BT7" i="5"/>
  <c r="Y24" i="1"/>
  <c r="AB18" i="1"/>
  <c r="AW60" i="4"/>
  <c r="AA24" i="5"/>
  <c r="AQ10" i="5"/>
  <c r="AY367" i="2"/>
  <c r="G141" i="2"/>
  <c r="CH44" i="17"/>
  <c r="F28" i="30"/>
  <c r="AG77" i="4"/>
  <c r="Z344" i="2"/>
  <c r="Z360" i="2" s="1"/>
  <c r="AW118" i="2"/>
  <c r="AQ154" i="2"/>
  <c r="AC337" i="2"/>
  <c r="AC353" i="2" s="1"/>
  <c r="BX114" i="2"/>
  <c r="AW335" i="2"/>
  <c r="AW351" i="2" s="1"/>
  <c r="Q264" i="2"/>
  <c r="BL8" i="3"/>
  <c r="BL60" i="3" s="1"/>
  <c r="BK60" i="3"/>
  <c r="BV259" i="1"/>
  <c r="BV379" i="1" s="1"/>
  <c r="BV258" i="1"/>
  <c r="BV374" i="1" s="1"/>
  <c r="BL35" i="12"/>
  <c r="BL34" i="12" s="1"/>
  <c r="BO114" i="12"/>
  <c r="BO135" i="12" s="1"/>
  <c r="Y64" i="4"/>
  <c r="CF386" i="1"/>
  <c r="CA387" i="1"/>
  <c r="CC114" i="2"/>
  <c r="AG13" i="3"/>
  <c r="AG18" i="3" s="1"/>
  <c r="AG85" i="4" s="1"/>
  <c r="AU13" i="3"/>
  <c r="AU18" i="3" s="1"/>
  <c r="AU85" i="4" s="1"/>
  <c r="AR255" i="2"/>
  <c r="AY134" i="2"/>
  <c r="P344" i="2"/>
  <c r="BT368" i="2"/>
  <c r="BA344" i="2"/>
  <c r="N124" i="2"/>
  <c r="CP20" i="17"/>
  <c r="CP22" i="17" s="1"/>
  <c r="F238" i="2"/>
  <c r="W190" i="2"/>
  <c r="W238" i="2" s="1"/>
  <c r="BK13" i="3"/>
  <c r="BK18" i="3" s="1"/>
  <c r="BK21" i="3" s="1"/>
  <c r="BK24" i="3" s="1"/>
  <c r="BK76" i="4"/>
  <c r="BV257" i="1"/>
  <c r="BV378" i="1" s="1"/>
  <c r="BF35" i="1"/>
  <c r="BF37" i="1" s="1"/>
  <c r="AH391" i="2"/>
  <c r="AH394" i="2" s="1"/>
  <c r="AH250" i="2"/>
  <c r="CB48" i="4"/>
  <c r="BN64" i="4"/>
  <c r="BN66" i="4" s="1"/>
  <c r="BM31" i="17"/>
  <c r="BM32" i="17" s="1"/>
  <c r="AB67" i="3"/>
  <c r="AY133" i="2"/>
  <c r="BG334" i="2"/>
  <c r="BG350" i="2" s="1"/>
  <c r="BG366" i="2" s="1"/>
  <c r="AY135" i="2"/>
  <c r="AJ85" i="17"/>
  <c r="AK85" i="17"/>
  <c r="AX367" i="2"/>
  <c r="BV253" i="1"/>
  <c r="BV333" i="1" s="1"/>
  <c r="BV260" i="1"/>
  <c r="BV342" i="1" s="1"/>
  <c r="AZ367" i="2"/>
  <c r="CF346" i="1"/>
  <c r="L16" i="5"/>
  <c r="M16" i="5" s="1"/>
  <c r="N16" i="5" s="1"/>
  <c r="AK159" i="2"/>
  <c r="AJ159" i="2"/>
  <c r="U350" i="2"/>
  <c r="BX80" i="4"/>
  <c r="AK268" i="2"/>
  <c r="S36" i="5"/>
  <c r="I264" i="2"/>
  <c r="BX302" i="2"/>
  <c r="BY344" i="2"/>
  <c r="BY360" i="2" s="1"/>
  <c r="BX309" i="2"/>
  <c r="BJ33" i="4"/>
  <c r="BK77" i="4"/>
  <c r="AI13" i="3"/>
  <c r="AI18" i="3" s="1"/>
  <c r="AM308" i="2"/>
  <c r="CA20" i="17"/>
  <c r="CA22" i="17" s="1"/>
  <c r="BH34" i="12"/>
  <c r="BH7" i="17" s="1"/>
  <c r="BH8" i="17" s="1"/>
  <c r="W46" i="30"/>
  <c r="BQ35" i="12"/>
  <c r="BQ34" i="12" s="1"/>
  <c r="BJ114" i="12"/>
  <c r="BO34" i="12"/>
  <c r="BO7" i="17" s="1"/>
  <c r="BO8" i="17" s="1"/>
  <c r="BX114" i="12"/>
  <c r="BQ81" i="12"/>
  <c r="BH114" i="12"/>
  <c r="BH135" i="12" s="1"/>
  <c r="CA42" i="17"/>
  <c r="CC8" i="17"/>
  <c r="CF35" i="12"/>
  <c r="CF34" i="12" s="1"/>
  <c r="AN35" i="1"/>
  <c r="AN37" i="1" s="1"/>
  <c r="AN31" i="1"/>
  <c r="AN33" i="1" s="1"/>
  <c r="AA264" i="2"/>
  <c r="BJ352" i="2"/>
  <c r="BM368" i="2" s="1"/>
  <c r="BJ344" i="2"/>
  <c r="BZ268" i="2"/>
  <c r="CB286" i="2"/>
  <c r="BX39" i="5"/>
  <c r="BY38" i="5"/>
  <c r="CC48" i="5"/>
  <c r="AF29" i="1"/>
  <c r="AF35" i="1"/>
  <c r="L357" i="2"/>
  <c r="O27" i="1"/>
  <c r="R24" i="1"/>
  <c r="CD9" i="5"/>
  <c r="CE9" i="5" s="1"/>
  <c r="AU41" i="5"/>
  <c r="AT48" i="5"/>
  <c r="AF350" i="2"/>
  <c r="BZ80" i="12"/>
  <c r="BZ114" i="12"/>
  <c r="CA81" i="12"/>
  <c r="CA80" i="12" s="1"/>
  <c r="CA31" i="17" s="1"/>
  <c r="L356" i="2"/>
  <c r="M372" i="2" s="1"/>
  <c r="N372" i="2" s="1"/>
  <c r="L344" i="2"/>
  <c r="Y351" i="2"/>
  <c r="Y344" i="2"/>
  <c r="AI160" i="2"/>
  <c r="AR108" i="2"/>
  <c r="AL264" i="2"/>
  <c r="AL282" i="2"/>
  <c r="N258" i="2"/>
  <c r="N242" i="2"/>
  <c r="CE29" i="1"/>
  <c r="CF29" i="1" s="1"/>
  <c r="CE35" i="1"/>
  <c r="CE37" i="1" s="1"/>
  <c r="AM206" i="1"/>
  <c r="AM213" i="1" s="1"/>
  <c r="AM212" i="1"/>
  <c r="CA186" i="2"/>
  <c r="BJ31" i="1"/>
  <c r="BJ33" i="1" s="1"/>
  <c r="BJ35" i="1"/>
  <c r="BJ37" i="1" s="1"/>
  <c r="BJ29" i="1"/>
  <c r="CF350" i="1"/>
  <c r="AG46" i="5"/>
  <c r="BB254" i="2"/>
  <c r="CD42" i="5"/>
  <c r="CE42" i="5" s="1"/>
  <c r="CF42" i="5" s="1"/>
  <c r="CD11" i="5"/>
  <c r="CE11" i="5" s="1"/>
  <c r="E58" i="3"/>
  <c r="E78" i="4"/>
  <c r="E79" i="4" s="1"/>
  <c r="E13" i="3"/>
  <c r="E18" i="3" s="1"/>
  <c r="E77" i="4"/>
  <c r="AL231" i="2"/>
  <c r="CE377" i="2"/>
  <c r="BR330" i="2"/>
  <c r="BV79" i="12"/>
  <c r="AM250" i="2"/>
  <c r="AW241" i="2"/>
  <c r="BD286" i="2"/>
  <c r="BQ68" i="12"/>
  <c r="BQ42" i="17"/>
  <c r="BM329" i="2"/>
  <c r="CC54" i="3"/>
  <c r="BG41" i="5"/>
  <c r="N243" i="2"/>
  <c r="S122" i="2"/>
  <c r="CD346" i="2"/>
  <c r="CD362" i="2" s="1"/>
  <c r="U352" i="2"/>
  <c r="W368" i="2" s="1"/>
  <c r="X368" i="2" s="1"/>
  <c r="X336" i="2"/>
  <c r="X352" i="2" s="1"/>
  <c r="BN146" i="2"/>
  <c r="BN133" i="2"/>
  <c r="BN130" i="2"/>
  <c r="R235" i="2"/>
  <c r="AM239" i="2"/>
  <c r="AK160" i="2"/>
  <c r="BA367" i="2"/>
  <c r="CK111" i="2"/>
  <c r="AN282" i="2"/>
  <c r="BP329" i="2"/>
  <c r="BF114" i="12"/>
  <c r="BF135" i="12" s="1"/>
  <c r="BU286" i="2"/>
  <c r="AL188" i="2"/>
  <c r="BN80" i="12"/>
  <c r="BN31" i="17" s="1"/>
  <c r="BN32" i="17" s="1"/>
  <c r="AJ58" i="3"/>
  <c r="AO350" i="2"/>
  <c r="AW224" i="2"/>
  <c r="S221" i="2"/>
  <c r="Q159" i="2"/>
  <c r="N178" i="2"/>
  <c r="N264" i="2" s="1"/>
  <c r="BN134" i="2"/>
  <c r="BN114" i="2"/>
  <c r="BB238" i="2"/>
  <c r="AR254" i="2"/>
  <c r="N122" i="2"/>
  <c r="W67" i="3"/>
  <c r="AC33" i="3"/>
  <c r="AF31" i="1"/>
  <c r="AF33" i="1" s="1"/>
  <c r="W79" i="17"/>
  <c r="BN76" i="4"/>
  <c r="BB48" i="4"/>
  <c r="BB62" i="4" s="1"/>
  <c r="K139" i="1"/>
  <c r="K141" i="1" s="1"/>
  <c r="K144" i="1" s="1"/>
  <c r="BN48" i="5"/>
  <c r="BO40" i="5"/>
  <c r="AC48" i="4"/>
  <c r="AC62" i="4" s="1"/>
  <c r="AC68" i="4" s="1"/>
  <c r="AC33" i="4"/>
  <c r="AC39" i="4" s="1"/>
  <c r="N260" i="2"/>
  <c r="S244" i="2"/>
  <c r="N227" i="2"/>
  <c r="AQ9" i="5"/>
  <c r="AP54" i="3"/>
  <c r="R35" i="5"/>
  <c r="AF352" i="2"/>
  <c r="AG368" i="2" s="1"/>
  <c r="AH368" i="2" s="1"/>
  <c r="AF344" i="2"/>
  <c r="AC12" i="3"/>
  <c r="AK238" i="2"/>
  <c r="AK235" i="2"/>
  <c r="AB58" i="3"/>
  <c r="AB59" i="3"/>
  <c r="AB81" i="4"/>
  <c r="AB13" i="3"/>
  <c r="AB18" i="3" s="1"/>
  <c r="AB53" i="3" s="1"/>
  <c r="E32" i="5"/>
  <c r="E54" i="5" s="1"/>
  <c r="E56" i="5" s="1"/>
  <c r="BD56" i="4"/>
  <c r="BC69" i="4"/>
  <c r="BC70" i="4" s="1"/>
  <c r="AI76" i="4"/>
  <c r="M77" i="4"/>
  <c r="M58" i="3"/>
  <c r="BF13" i="3"/>
  <c r="BF78" i="4"/>
  <c r="BF79" i="4" s="1"/>
  <c r="BF58" i="3"/>
  <c r="BF77" i="4"/>
  <c r="AK38" i="5"/>
  <c r="AJ39" i="5"/>
  <c r="AA46" i="5"/>
  <c r="K61" i="4"/>
  <c r="K64" i="4"/>
  <c r="K66" i="4" s="1"/>
  <c r="P84" i="4"/>
  <c r="P75" i="4"/>
  <c r="P24" i="4"/>
  <c r="AT61" i="4"/>
  <c r="AT64" i="4"/>
  <c r="AT66" i="4" s="1"/>
  <c r="N60" i="3"/>
  <c r="N67" i="3"/>
  <c r="AQ78" i="4"/>
  <c r="AQ79" i="4" s="1"/>
  <c r="AQ13" i="3"/>
  <c r="AQ18" i="3" s="1"/>
  <c r="AQ53" i="3" s="1"/>
  <c r="AE264" i="2"/>
  <c r="AJ264" i="2"/>
  <c r="Z188" i="2"/>
  <c r="Z231" i="2"/>
  <c r="Z248" i="2"/>
  <c r="AN231" i="2"/>
  <c r="AO282" i="2"/>
  <c r="AN264" i="2"/>
  <c r="AS264" i="2"/>
  <c r="AN188" i="2"/>
  <c r="K282" i="2"/>
  <c r="K188" i="2"/>
  <c r="K215" i="2" s="1"/>
  <c r="S178" i="2"/>
  <c r="X245" i="2"/>
  <c r="E350" i="2"/>
  <c r="E366" i="2" s="1"/>
  <c r="AE65" i="4"/>
  <c r="CA68" i="12"/>
  <c r="BW329" i="2"/>
  <c r="BY329" i="2"/>
  <c r="BH80" i="12"/>
  <c r="BH31" i="17" s="1"/>
  <c r="BH32" i="17" s="1"/>
  <c r="BX329" i="2"/>
  <c r="AL160" i="2"/>
  <c r="CK127" i="2"/>
  <c r="AR20" i="17"/>
  <c r="AR22" i="17" s="1"/>
  <c r="P159" i="2"/>
  <c r="BZ286" i="2"/>
  <c r="BK114" i="12"/>
  <c r="AH129" i="2"/>
  <c r="AM129" i="2"/>
  <c r="C31" i="1"/>
  <c r="C33" i="1" s="1"/>
  <c r="C35" i="1"/>
  <c r="C43" i="1" s="1"/>
  <c r="Y74" i="3"/>
  <c r="W76" i="4"/>
  <c r="W58" i="3"/>
  <c r="W60" i="3"/>
  <c r="W59" i="3"/>
  <c r="AS29" i="1"/>
  <c r="AS31" i="1"/>
  <c r="AS33" i="1" s="1"/>
  <c r="BL70" i="12"/>
  <c r="BI114" i="12"/>
  <c r="BI135" i="12" s="1"/>
  <c r="BJ69" i="12"/>
  <c r="BJ43" i="17" s="1"/>
  <c r="BJ44" i="17" s="1"/>
  <c r="AM190" i="2"/>
  <c r="AM191" i="2" s="1"/>
  <c r="AC267" i="2"/>
  <c r="BN329" i="2"/>
  <c r="CB34" i="12"/>
  <c r="CB7" i="17" s="1"/>
  <c r="CB8" i="17" s="1"/>
  <c r="R46" i="30"/>
  <c r="S84" i="2"/>
  <c r="BH304" i="2"/>
  <c r="BI346" i="2"/>
  <c r="BI362" i="2" s="1"/>
  <c r="AM113" i="2"/>
  <c r="AW221" i="2"/>
  <c r="BD188" i="2"/>
  <c r="BD216" i="2" s="1"/>
  <c r="AA282" i="2"/>
  <c r="E311" i="2"/>
  <c r="BU188" i="2"/>
  <c r="BU212" i="2" s="1"/>
  <c r="AL248" i="2"/>
  <c r="R18" i="1"/>
  <c r="S242" i="2"/>
  <c r="AL44" i="5"/>
  <c r="AM44" i="5" s="1"/>
  <c r="CF89" i="1"/>
  <c r="BR31" i="1"/>
  <c r="BR33" i="1" s="1"/>
  <c r="BR29" i="1"/>
  <c r="BH352" i="2"/>
  <c r="BH344" i="2"/>
  <c r="BH360" i="2" s="1"/>
  <c r="AM87" i="2"/>
  <c r="AM107" i="2" s="1"/>
  <c r="N338" i="2"/>
  <c r="N354" i="2" s="1"/>
  <c r="W275" i="2"/>
  <c r="X171" i="2"/>
  <c r="X224" i="2" s="1"/>
  <c r="AE111" i="2"/>
  <c r="AE309" i="2"/>
  <c r="X223" i="2"/>
  <c r="X256" i="2"/>
  <c r="AM240" i="2"/>
  <c r="AM178" i="2"/>
  <c r="AM256" i="2"/>
  <c r="AQ351" i="2"/>
  <c r="AQ367" i="2" s="1"/>
  <c r="AR367" i="2" s="1"/>
  <c r="AQ344" i="2"/>
  <c r="AQ360" i="2" s="1"/>
  <c r="AB84" i="4"/>
  <c r="AB75" i="4"/>
  <c r="AW254" i="2"/>
  <c r="BP80" i="12"/>
  <c r="BP31" i="17" s="1"/>
  <c r="BP32" i="17" s="1"/>
  <c r="BP114" i="12"/>
  <c r="BT114" i="12"/>
  <c r="BT69" i="12"/>
  <c r="BT43" i="17" s="1"/>
  <c r="BT44" i="17" s="1"/>
  <c r="BV70" i="12"/>
  <c r="BV69" i="12" s="1"/>
  <c r="BV43" i="17" s="1"/>
  <c r="AF13" i="3"/>
  <c r="AF18" i="3" s="1"/>
  <c r="AF21" i="3" s="1"/>
  <c r="AF63" i="3" s="1"/>
  <c r="AF59" i="3"/>
  <c r="AG74" i="3"/>
  <c r="BD77" i="4"/>
  <c r="BD13" i="3"/>
  <c r="BD18" i="3" s="1"/>
  <c r="BZ304" i="2"/>
  <c r="BZ311" i="2" s="1"/>
  <c r="BZ346" i="2"/>
  <c r="AN68" i="4"/>
  <c r="AN65" i="4"/>
  <c r="AQ69" i="4"/>
  <c r="AQ70" i="4" s="1"/>
  <c r="AQ72" i="4" s="1"/>
  <c r="AN60" i="3"/>
  <c r="AN67" i="3"/>
  <c r="AO74" i="3"/>
  <c r="AN76" i="4"/>
  <c r="AS67" i="3"/>
  <c r="AN59" i="3"/>
  <c r="AM33" i="3"/>
  <c r="AE107" i="2"/>
  <c r="AE94" i="2"/>
  <c r="V159" i="2"/>
  <c r="W159" i="2"/>
  <c r="X308" i="2"/>
  <c r="U159" i="2"/>
  <c r="T159" i="2"/>
  <c r="Y208" i="1"/>
  <c r="Y213" i="1"/>
  <c r="AL40" i="5"/>
  <c r="AM40" i="5" s="1"/>
  <c r="N254" i="2"/>
  <c r="BT38" i="5"/>
  <c r="BS39" i="5"/>
  <c r="BG266" i="2"/>
  <c r="BL266" i="2"/>
  <c r="Z39" i="5"/>
  <c r="AA37" i="5"/>
  <c r="BO368" i="2"/>
  <c r="I92" i="1"/>
  <c r="AA188" i="2"/>
  <c r="AA216" i="2" s="1"/>
  <c r="AH266" i="2"/>
  <c r="AM139" i="1"/>
  <c r="BA60" i="3"/>
  <c r="BA76" i="4"/>
  <c r="BC74" i="3"/>
  <c r="BA13" i="3"/>
  <c r="BA18" i="3" s="1"/>
  <c r="BF67" i="3"/>
  <c r="BA58" i="3"/>
  <c r="BA59" i="3"/>
  <c r="AG35" i="5"/>
  <c r="CK129" i="2"/>
  <c r="CK113" i="2"/>
  <c r="CU369" i="1"/>
  <c r="I77" i="4"/>
  <c r="AM266" i="2"/>
  <c r="AD24" i="4"/>
  <c r="AD84" i="4"/>
  <c r="AD75" i="4"/>
  <c r="CF233" i="2"/>
  <c r="AD32" i="5"/>
  <c r="AP45" i="5"/>
  <c r="AP48" i="5" s="1"/>
  <c r="AP75" i="4"/>
  <c r="AP84" i="4"/>
  <c r="V61" i="4"/>
  <c r="V64" i="4"/>
  <c r="AA77" i="4"/>
  <c r="AA78" i="4"/>
  <c r="AA79" i="4" s="1"/>
  <c r="BW58" i="3"/>
  <c r="AK30" i="5"/>
  <c r="AK18" i="5" s="1"/>
  <c r="AJ18" i="5"/>
  <c r="AA41" i="5"/>
  <c r="Z48" i="5"/>
  <c r="P64" i="4"/>
  <c r="P61" i="4"/>
  <c r="AT24" i="4"/>
  <c r="AT75" i="4"/>
  <c r="AT84" i="4"/>
  <c r="Y67" i="3"/>
  <c r="T59" i="3"/>
  <c r="T13" i="3"/>
  <c r="T18" i="3" s="1"/>
  <c r="T60" i="3"/>
  <c r="T58" i="3"/>
  <c r="T74" i="3"/>
  <c r="T67" i="3"/>
  <c r="AP329" i="2"/>
  <c r="U80" i="17"/>
  <c r="S341" i="2"/>
  <c r="S357" i="2" s="1"/>
  <c r="S267" i="2"/>
  <c r="M371" i="2"/>
  <c r="N371" i="2" s="1"/>
  <c r="BU33" i="1"/>
  <c r="AG67" i="3"/>
  <c r="BV256" i="1"/>
  <c r="BV254" i="1"/>
  <c r="BV31" i="5"/>
  <c r="AO139" i="1"/>
  <c r="AL235" i="2"/>
  <c r="AQ264" i="2"/>
  <c r="CF33" i="3"/>
  <c r="AQ188" i="2"/>
  <c r="AQ204" i="2" s="1"/>
  <c r="BW13" i="3"/>
  <c r="BW18" i="3" s="1"/>
  <c r="BW85" i="4" s="1"/>
  <c r="BV267" i="2"/>
  <c r="AM189" i="1"/>
  <c r="AM190" i="1" s="1"/>
  <c r="BH56" i="4"/>
  <c r="BF56" i="4"/>
  <c r="Y94" i="2"/>
  <c r="BF145" i="2"/>
  <c r="BF326" i="1" s="1"/>
  <c r="BF146" i="2"/>
  <c r="C64" i="4"/>
  <c r="Z282" i="2"/>
  <c r="AW266" i="2"/>
  <c r="AR266" i="2"/>
  <c r="V350" i="2"/>
  <c r="BB12" i="3"/>
  <c r="AY78" i="4"/>
  <c r="AY79" i="4" s="1"/>
  <c r="AY77" i="4"/>
  <c r="CB32" i="5"/>
  <c r="CB54" i="5" s="1"/>
  <c r="CB56" i="5" s="1"/>
  <c r="CB59" i="5" s="1"/>
  <c r="CU348" i="1"/>
  <c r="CD22" i="5"/>
  <c r="CE22" i="5" s="1"/>
  <c r="CD7" i="5"/>
  <c r="V36" i="5"/>
  <c r="U39" i="5"/>
  <c r="G84" i="4"/>
  <c r="G24" i="4"/>
  <c r="H81" i="4" s="1"/>
  <c r="AL78" i="4"/>
  <c r="AL79" i="4" s="1"/>
  <c r="AL77" i="4"/>
  <c r="AT238" i="2"/>
  <c r="AU64" i="4"/>
  <c r="G75" i="4"/>
  <c r="AF34" i="5"/>
  <c r="AE39" i="5"/>
  <c r="AE55" i="5"/>
  <c r="AP36" i="5"/>
  <c r="P264" i="2"/>
  <c r="K55" i="5"/>
  <c r="CC18" i="5"/>
  <c r="CF344" i="1"/>
  <c r="BT10" i="5"/>
  <c r="BW78" i="4"/>
  <c r="BW79" i="4" s="1"/>
  <c r="BZ23" i="5"/>
  <c r="BZ18" i="5" s="1"/>
  <c r="AQ59" i="3"/>
  <c r="AQ76" i="4"/>
  <c r="AQ60" i="3"/>
  <c r="AS74" i="3"/>
  <c r="U67" i="3"/>
  <c r="U60" i="3"/>
  <c r="U76" i="4"/>
  <c r="U74" i="3"/>
  <c r="V74" i="3"/>
  <c r="Z67" i="3"/>
  <c r="U59" i="3"/>
  <c r="BF186" i="2"/>
  <c r="BF48" i="3"/>
  <c r="AF42" i="5"/>
  <c r="AE48" i="5"/>
  <c r="C32" i="5"/>
  <c r="L42" i="5"/>
  <c r="AU46" i="5"/>
  <c r="AK64" i="4"/>
  <c r="AP282" i="2"/>
  <c r="AP264" i="2"/>
  <c r="BF24" i="4"/>
  <c r="BF84" i="4"/>
  <c r="AA31" i="5"/>
  <c r="Z18" i="5"/>
  <c r="C24" i="4"/>
  <c r="C75" i="4"/>
  <c r="C84" i="4"/>
  <c r="O74" i="3"/>
  <c r="O59" i="3"/>
  <c r="O60" i="3"/>
  <c r="O67" i="3"/>
  <c r="Z77" i="4"/>
  <c r="Z78" i="4"/>
  <c r="Z79" i="4" s="1"/>
  <c r="F350" i="2"/>
  <c r="F366" i="2" s="1"/>
  <c r="AA58" i="3"/>
  <c r="CK357" i="1"/>
  <c r="AI62" i="4"/>
  <c r="AI49" i="4"/>
  <c r="AI50" i="4" s="1"/>
  <c r="CK309" i="2"/>
  <c r="AH254" i="2"/>
  <c r="AF264" i="2"/>
  <c r="V162" i="2"/>
  <c r="AQ286" i="2"/>
  <c r="BQ129" i="2"/>
  <c r="AA111" i="2"/>
  <c r="G309" i="2"/>
  <c r="G344" i="2"/>
  <c r="D238" i="2"/>
  <c r="AS286" i="2"/>
  <c r="G188" i="2"/>
  <c r="AF127" i="2"/>
  <c r="AK248" i="2"/>
  <c r="I107" i="2"/>
  <c r="N245" i="2"/>
  <c r="AM335" i="2"/>
  <c r="AM351" i="2" s="1"/>
  <c r="AP238" i="2"/>
  <c r="CA267" i="2"/>
  <c r="AQ238" i="2"/>
  <c r="X110" i="2"/>
  <c r="AA248" i="2"/>
  <c r="AC221" i="2"/>
  <c r="S124" i="2"/>
  <c r="S250" i="2"/>
  <c r="BP344" i="2"/>
  <c r="R248" i="2"/>
  <c r="AZ344" i="2"/>
  <c r="AZ360" i="2" s="1"/>
  <c r="S266" i="2"/>
  <c r="G264" i="2"/>
  <c r="U344" i="2"/>
  <c r="U360" i="2" s="1"/>
  <c r="AF111" i="2"/>
  <c r="AA154" i="2"/>
  <c r="N225" i="2"/>
  <c r="S97" i="2"/>
  <c r="S107" i="2" s="1"/>
  <c r="G347" i="2"/>
  <c r="G363" i="2" s="1"/>
  <c r="G379" i="2" s="1"/>
  <c r="CK195" i="2"/>
  <c r="AA231" i="2"/>
  <c r="S245" i="2"/>
  <c r="K344" i="2"/>
  <c r="AY344" i="2"/>
  <c r="E238" i="2"/>
  <c r="BS368" i="2"/>
  <c r="AM334" i="2"/>
  <c r="AH41" i="5"/>
  <c r="BQ44" i="5"/>
  <c r="CA10" i="5"/>
  <c r="BE31" i="1"/>
  <c r="BE33" i="1" s="1"/>
  <c r="BE29" i="1"/>
  <c r="BE35" i="1"/>
  <c r="BE37" i="1" s="1"/>
  <c r="W48" i="4"/>
  <c r="W62" i="4" s="1"/>
  <c r="W68" i="4" s="1"/>
  <c r="BF16" i="5"/>
  <c r="AR221" i="2"/>
  <c r="L27" i="5"/>
  <c r="M27" i="5" s="1"/>
  <c r="N27" i="5" s="1"/>
  <c r="K18" i="5"/>
  <c r="CG325" i="2"/>
  <c r="BR34" i="12"/>
  <c r="BR7" i="17" s="1"/>
  <c r="BR8" i="17" s="1"/>
  <c r="CE139" i="1"/>
  <c r="AR47" i="5"/>
  <c r="BT23" i="5"/>
  <c r="AP76" i="4"/>
  <c r="AP59" i="3"/>
  <c r="AP74" i="3"/>
  <c r="AP58" i="3"/>
  <c r="AP60" i="3"/>
  <c r="AP13" i="3"/>
  <c r="AP18" i="3" s="1"/>
  <c r="AR8" i="3"/>
  <c r="AR60" i="3" s="1"/>
  <c r="AQ74" i="3"/>
  <c r="AP67" i="3"/>
  <c r="BL48" i="4"/>
  <c r="BL62" i="4" s="1"/>
  <c r="BU9" i="5"/>
  <c r="BZ67" i="3"/>
  <c r="BW74" i="3"/>
  <c r="BU60" i="3"/>
  <c r="BU59" i="3"/>
  <c r="BU76" i="4"/>
  <c r="BU81" i="4"/>
  <c r="CE286" i="2"/>
  <c r="CG286" i="2"/>
  <c r="CK372" i="1"/>
  <c r="BB224" i="2"/>
  <c r="BB178" i="2"/>
  <c r="BE31" i="5"/>
  <c r="BF31" i="5" s="1"/>
  <c r="Y24" i="4"/>
  <c r="Y84" i="4"/>
  <c r="S121" i="1"/>
  <c r="R107" i="1"/>
  <c r="AJ77" i="4"/>
  <c r="AM12" i="3"/>
  <c r="AM77" i="4" s="1"/>
  <c r="AJ78" i="4"/>
  <c r="AJ79" i="4" s="1"/>
  <c r="AC268" i="1"/>
  <c r="BZ329" i="2"/>
  <c r="BQ21" i="5"/>
  <c r="BG42" i="5"/>
  <c r="CK358" i="1"/>
  <c r="P309" i="2"/>
  <c r="P302" i="2"/>
  <c r="P304" i="2" s="1"/>
  <c r="Q58" i="3"/>
  <c r="Q60" i="3"/>
  <c r="Q59" i="3"/>
  <c r="Q76" i="4"/>
  <c r="Q67" i="3"/>
  <c r="V67" i="3"/>
  <c r="Q74" i="3"/>
  <c r="T29" i="1"/>
  <c r="T35" i="1"/>
  <c r="AO78" i="4"/>
  <c r="AO79" i="4" s="1"/>
  <c r="AO77" i="4"/>
  <c r="Q13" i="3"/>
  <c r="Q18" i="3" s="1"/>
  <c r="BV14" i="5"/>
  <c r="AH17" i="5"/>
  <c r="K357" i="2"/>
  <c r="BZ94" i="2"/>
  <c r="BZ114" i="2" s="1"/>
  <c r="BZ107" i="2"/>
  <c r="Z94" i="2"/>
  <c r="Z107" i="2"/>
  <c r="P77" i="4"/>
  <c r="P58" i="3"/>
  <c r="P13" i="3"/>
  <c r="P18" i="3" s="1"/>
  <c r="BE54" i="3"/>
  <c r="AO13" i="3"/>
  <c r="AO18" i="3" s="1"/>
  <c r="W13" i="3"/>
  <c r="W18" i="3" s="1"/>
  <c r="M212" i="1"/>
  <c r="BG185" i="2"/>
  <c r="AH27" i="5"/>
  <c r="BZ188" i="2"/>
  <c r="CE268" i="2"/>
  <c r="CB39" i="5"/>
  <c r="CC38" i="5"/>
  <c r="AL58" i="3"/>
  <c r="AL59" i="3"/>
  <c r="AL13" i="3"/>
  <c r="AL18" i="3" s="1"/>
  <c r="AL74" i="3"/>
  <c r="AN74" i="3"/>
  <c r="AL60" i="3"/>
  <c r="AL76" i="4"/>
  <c r="CF334" i="1"/>
  <c r="BX48" i="3"/>
  <c r="CA187" i="2"/>
  <c r="CF377" i="1"/>
  <c r="V27" i="1"/>
  <c r="W24" i="1"/>
  <c r="O159" i="2"/>
  <c r="R159" i="2"/>
  <c r="X117" i="2"/>
  <c r="BS213" i="1"/>
  <c r="BS208" i="1"/>
  <c r="O350" i="2"/>
  <c r="Q366" i="2" s="1"/>
  <c r="X33" i="3"/>
  <c r="R46" i="5"/>
  <c r="BV186" i="2"/>
  <c r="BV188" i="2" s="1"/>
  <c r="BV202" i="2" s="1"/>
  <c r="N60" i="4"/>
  <c r="N61" i="4" s="1"/>
  <c r="CA35" i="1"/>
  <c r="CA37" i="1" s="1"/>
  <c r="CA29" i="1"/>
  <c r="BC302" i="2"/>
  <c r="BC304" i="2" s="1"/>
  <c r="BC309" i="2"/>
  <c r="BQ300" i="2"/>
  <c r="BQ335" i="2"/>
  <c r="BQ351" i="2" s="1"/>
  <c r="BQ367" i="2" s="1"/>
  <c r="CD10" i="5"/>
  <c r="BQ212" i="1"/>
  <c r="E39" i="5"/>
  <c r="BE33" i="4"/>
  <c r="BQ27" i="4"/>
  <c r="BP77" i="4"/>
  <c r="BP33" i="4"/>
  <c r="X182" i="2"/>
  <c r="K302" i="2"/>
  <c r="K304" i="2" s="1"/>
  <c r="K309" i="2"/>
  <c r="AM221" i="2"/>
  <c r="AQ67" i="3"/>
  <c r="CB114" i="12"/>
  <c r="F32" i="5"/>
  <c r="F54" i="5" s="1"/>
  <c r="F56" i="5" s="1"/>
  <c r="W394" i="2"/>
  <c r="BY69" i="12"/>
  <c r="BY43" i="17" s="1"/>
  <c r="BY44" i="17" s="1"/>
  <c r="CA70" i="12"/>
  <c r="CA69" i="12" s="1"/>
  <c r="CA43" i="17" s="1"/>
  <c r="BW29" i="1"/>
  <c r="BW35" i="1"/>
  <c r="BW37" i="1" s="1"/>
  <c r="BW31" i="1"/>
  <c r="BW33" i="1" s="1"/>
  <c r="BT60" i="3"/>
  <c r="BY67" i="3"/>
  <c r="BU74" i="3"/>
  <c r="BT76" i="4"/>
  <c r="BT13" i="3"/>
  <c r="BT18" i="3" s="1"/>
  <c r="BT74" i="3"/>
  <c r="BT67" i="3"/>
  <c r="BT59" i="3"/>
  <c r="BT58" i="3"/>
  <c r="BW39" i="3"/>
  <c r="J48" i="4"/>
  <c r="AL127" i="2"/>
  <c r="AN154" i="2"/>
  <c r="AL82" i="2"/>
  <c r="E139" i="1"/>
  <c r="E141" i="1" s="1"/>
  <c r="E144" i="1" s="1"/>
  <c r="AI186" i="2"/>
  <c r="AI286" i="2" s="1"/>
  <c r="AI48" i="3"/>
  <c r="AM48" i="3" s="1"/>
  <c r="AM182" i="2"/>
  <c r="S24" i="5"/>
  <c r="AC60" i="4"/>
  <c r="AC61" i="4" s="1"/>
  <c r="P370" i="2"/>
  <c r="N63" i="4"/>
  <c r="N69" i="4" s="1"/>
  <c r="BL29" i="3"/>
  <c r="CE56" i="4"/>
  <c r="CF69" i="4"/>
  <c r="CF70" i="4" s="1"/>
  <c r="AF76" i="4"/>
  <c r="AK67" i="3"/>
  <c r="AF60" i="3"/>
  <c r="AF67" i="3"/>
  <c r="CF352" i="1"/>
  <c r="AD48" i="4"/>
  <c r="CK333" i="1"/>
  <c r="N24" i="1"/>
  <c r="L18" i="1"/>
  <c r="L24" i="1" s="1"/>
  <c r="L27" i="1" s="1"/>
  <c r="M13" i="1"/>
  <c r="BC76" i="4"/>
  <c r="V186" i="2"/>
  <c r="AA268" i="2" s="1"/>
  <c r="V190" i="1"/>
  <c r="BN77" i="4"/>
  <c r="BM77" i="4"/>
  <c r="BM33" i="4"/>
  <c r="BO45" i="5"/>
  <c r="Z57" i="4"/>
  <c r="AB64" i="4"/>
  <c r="AA82" i="2"/>
  <c r="AA311" i="2" s="1"/>
  <c r="CK250" i="2"/>
  <c r="CK266" i="2"/>
  <c r="CK48" i="5"/>
  <c r="CK50" i="5" s="1"/>
  <c r="O154" i="2"/>
  <c r="M154" i="2"/>
  <c r="M309" i="2"/>
  <c r="W164" i="2"/>
  <c r="AC113" i="2"/>
  <c r="T164" i="2"/>
  <c r="X129" i="2"/>
  <c r="X250" i="2"/>
  <c r="V164" i="2"/>
  <c r="AC250" i="2"/>
  <c r="CF345" i="1"/>
  <c r="BZ36" i="5"/>
  <c r="CA36" i="5" s="1"/>
  <c r="AC329" i="2"/>
  <c r="Z329" i="2"/>
  <c r="BV250" i="2"/>
  <c r="BV15" i="5"/>
  <c r="AV49" i="5"/>
  <c r="AW49" i="5" s="1"/>
  <c r="G84" i="17"/>
  <c r="G80" i="17"/>
  <c r="BT353" i="2"/>
  <c r="BT344" i="2"/>
  <c r="BT360" i="2" s="1"/>
  <c r="CF339" i="1"/>
  <c r="CD48" i="4"/>
  <c r="CD62" i="4" s="1"/>
  <c r="Y203" i="2"/>
  <c r="Y205" i="2"/>
  <c r="Y212" i="2"/>
  <c r="Y215" i="2"/>
  <c r="Y204" i="2"/>
  <c r="Y214" i="2"/>
  <c r="Y327" i="1" s="1"/>
  <c r="Y216" i="2"/>
  <c r="Y202" i="2"/>
  <c r="AB329" i="2"/>
  <c r="N340" i="2"/>
  <c r="N356" i="2" s="1"/>
  <c r="O329" i="2"/>
  <c r="S68" i="12"/>
  <c r="BV129" i="2"/>
  <c r="Y248" i="2"/>
  <c r="T231" i="2"/>
  <c r="BP368" i="2"/>
  <c r="BY21" i="3"/>
  <c r="BY24" i="3" s="1"/>
  <c r="CP20" i="5"/>
  <c r="CP10" i="4"/>
  <c r="AA107" i="2"/>
  <c r="AA94" i="2"/>
  <c r="AW191" i="2"/>
  <c r="AW238" i="2"/>
  <c r="AI127" i="2"/>
  <c r="AD231" i="2"/>
  <c r="AD111" i="2"/>
  <c r="AD82" i="2"/>
  <c r="CC114" i="12"/>
  <c r="X221" i="2"/>
  <c r="AC254" i="2"/>
  <c r="BT35" i="1"/>
  <c r="BT37" i="1" s="1"/>
  <c r="BP31" i="5"/>
  <c r="BQ31" i="5" s="1"/>
  <c r="AW47" i="5"/>
  <c r="BV34" i="5"/>
  <c r="CA26" i="5"/>
  <c r="AQ31" i="1"/>
  <c r="AQ33" i="1" s="1"/>
  <c r="AQ29" i="1"/>
  <c r="X38" i="5"/>
  <c r="L84" i="17"/>
  <c r="L80" i="17"/>
  <c r="AT48" i="3"/>
  <c r="AW182" i="2"/>
  <c r="AL31" i="5"/>
  <c r="AM31" i="5" s="1"/>
  <c r="AC15" i="4"/>
  <c r="AC24" i="4" s="1"/>
  <c r="BI57" i="4"/>
  <c r="BH68" i="4"/>
  <c r="BG206" i="1"/>
  <c r="BG212" i="1"/>
  <c r="X60" i="4"/>
  <c r="AT68" i="4"/>
  <c r="AT65" i="4"/>
  <c r="I84" i="17"/>
  <c r="I80" i="17"/>
  <c r="BQ266" i="2"/>
  <c r="BQ250" i="2"/>
  <c r="H94" i="2"/>
  <c r="H111" i="2"/>
  <c r="CP69" i="2"/>
  <c r="CP344" i="2" s="1"/>
  <c r="V45" i="5"/>
  <c r="U48" i="5"/>
  <c r="AJ61" i="4"/>
  <c r="AJ64" i="4"/>
  <c r="R165" i="1"/>
  <c r="R213" i="1" s="1"/>
  <c r="P213" i="1"/>
  <c r="BJ29" i="5"/>
  <c r="BK29" i="5" s="1"/>
  <c r="AC129" i="2"/>
  <c r="AG80" i="17"/>
  <c r="AG84" i="17"/>
  <c r="AG85" i="17" s="1"/>
  <c r="CF30" i="17"/>
  <c r="CB330" i="2"/>
  <c r="R309" i="2"/>
  <c r="U164" i="2"/>
  <c r="CN248" i="2"/>
  <c r="X267" i="2"/>
  <c r="X233" i="2"/>
  <c r="BK286" i="2"/>
  <c r="CB80" i="12"/>
  <c r="CB31" i="17" s="1"/>
  <c r="CB32" i="17" s="1"/>
  <c r="CK233" i="2"/>
  <c r="Y78" i="4"/>
  <c r="Y79" i="4" s="1"/>
  <c r="BP268" i="2"/>
  <c r="BY53" i="3"/>
  <c r="M82" i="2"/>
  <c r="M145" i="2" s="1"/>
  <c r="M326" i="1" s="1"/>
  <c r="CK314" i="1"/>
  <c r="CK312" i="1" s="1"/>
  <c r="BN114" i="12"/>
  <c r="BN34" i="12"/>
  <c r="BN7" i="17" s="1"/>
  <c r="BN8" i="17" s="1"/>
  <c r="CB344" i="2"/>
  <c r="CB360" i="2" s="1"/>
  <c r="CD376" i="2" s="1"/>
  <c r="CA309" i="2"/>
  <c r="AF84" i="17"/>
  <c r="AF80" i="17"/>
  <c r="AQ350" i="2"/>
  <c r="BT31" i="1"/>
  <c r="BT33" i="1" s="1"/>
  <c r="N69" i="2"/>
  <c r="M163" i="2" s="1"/>
  <c r="N121" i="2"/>
  <c r="S121" i="2"/>
  <c r="AB14" i="5"/>
  <c r="AC14" i="5" s="1"/>
  <c r="AQ30" i="5"/>
  <c r="AR30" i="5" s="1"/>
  <c r="C84" i="17"/>
  <c r="C80" i="17"/>
  <c r="X12" i="5"/>
  <c r="CK374" i="1"/>
  <c r="BD31" i="1"/>
  <c r="BD33" i="1" s="1"/>
  <c r="BD35" i="1"/>
  <c r="BD37" i="1" s="1"/>
  <c r="BN60" i="3"/>
  <c r="BN58" i="3"/>
  <c r="BN13" i="3"/>
  <c r="BN18" i="3" s="1"/>
  <c r="BN74" i="3"/>
  <c r="BO74" i="3"/>
  <c r="BS67" i="3"/>
  <c r="BN81" i="4"/>
  <c r="BN59" i="3"/>
  <c r="BQ8" i="3"/>
  <c r="BQ59" i="3" s="1"/>
  <c r="BN67" i="3"/>
  <c r="J354" i="2"/>
  <c r="M370" i="2" s="1"/>
  <c r="N370" i="2" s="1"/>
  <c r="J344" i="2"/>
  <c r="J39" i="5"/>
  <c r="K38" i="5"/>
  <c r="J213" i="1"/>
  <c r="M165" i="1"/>
  <c r="Y275" i="2"/>
  <c r="W178" i="2"/>
  <c r="W224" i="2"/>
  <c r="W241" i="2"/>
  <c r="W257" i="2"/>
  <c r="AB241" i="2"/>
  <c r="AB257" i="2"/>
  <c r="AY24" i="4"/>
  <c r="AY75" i="4"/>
  <c r="AY84" i="4"/>
  <c r="BB185" i="2"/>
  <c r="AY186" i="2"/>
  <c r="AW31" i="1"/>
  <c r="AW33" i="1" s="1"/>
  <c r="AW35" i="1"/>
  <c r="AW37" i="1" s="1"/>
  <c r="AF160" i="2"/>
  <c r="AE160" i="2"/>
  <c r="AD160" i="2"/>
  <c r="AG160" i="2"/>
  <c r="AM108" i="2"/>
  <c r="W162" i="2"/>
  <c r="T162" i="2"/>
  <c r="X120" i="2"/>
  <c r="AF188" i="2"/>
  <c r="AF282" i="2"/>
  <c r="AG282" i="2"/>
  <c r="AF248" i="2"/>
  <c r="AF231" i="2"/>
  <c r="AQ282" i="2"/>
  <c r="AV264" i="2"/>
  <c r="AS282" i="2"/>
  <c r="AQ231" i="2"/>
  <c r="AQ248" i="2"/>
  <c r="AV248" i="2"/>
  <c r="G231" i="2"/>
  <c r="H248" i="2"/>
  <c r="AU302" i="2"/>
  <c r="AU309" i="2"/>
  <c r="V39" i="4"/>
  <c r="O282" i="2"/>
  <c r="M282" i="2"/>
  <c r="M231" i="2"/>
  <c r="AB40" i="5"/>
  <c r="BB255" i="2"/>
  <c r="AW222" i="2"/>
  <c r="AW178" i="2"/>
  <c r="BB239" i="2"/>
  <c r="AM89" i="1"/>
  <c r="H32" i="5"/>
  <c r="AB254" i="2"/>
  <c r="W272" i="2"/>
  <c r="W221" i="2"/>
  <c r="W254" i="2"/>
  <c r="AW15" i="4"/>
  <c r="AE231" i="2"/>
  <c r="AA350" i="2"/>
  <c r="W64" i="4"/>
  <c r="N208" i="1"/>
  <c r="M208" i="1" s="1"/>
  <c r="M206" i="1"/>
  <c r="N213" i="1"/>
  <c r="AM69" i="4"/>
  <c r="M64" i="4"/>
  <c r="BG336" i="2"/>
  <c r="BG352" i="2" s="1"/>
  <c r="BG368" i="2" s="1"/>
  <c r="BG300" i="2"/>
  <c r="BQ263" i="1"/>
  <c r="BQ64" i="4"/>
  <c r="BQ61" i="4"/>
  <c r="Z43" i="1"/>
  <c r="Z37" i="1"/>
  <c r="BP367" i="2"/>
  <c r="BI344" i="2"/>
  <c r="BI360" i="2" s="1"/>
  <c r="BN367" i="2"/>
  <c r="AM223" i="2"/>
  <c r="E79" i="17"/>
  <c r="E90" i="17" s="1"/>
  <c r="E91" i="17" s="1"/>
  <c r="T80" i="17"/>
  <c r="AZ309" i="2"/>
  <c r="AJ248" i="2"/>
  <c r="AJ127" i="2"/>
  <c r="T309" i="2"/>
  <c r="AR240" i="2"/>
  <c r="BK367" i="2"/>
  <c r="O39" i="4"/>
  <c r="O49" i="4" s="1"/>
  <c r="BB15" i="4"/>
  <c r="BB24" i="4" s="1"/>
  <c r="Y272" i="2"/>
  <c r="G31" i="1"/>
  <c r="G33" i="1" s="1"/>
  <c r="C29" i="1"/>
  <c r="AO48" i="5"/>
  <c r="BV11" i="5"/>
  <c r="BV16" i="5"/>
  <c r="BP48" i="4"/>
  <c r="BP62" i="4" s="1"/>
  <c r="BK58" i="3"/>
  <c r="BK67" i="3"/>
  <c r="BM74" i="3"/>
  <c r="AP81" i="4"/>
  <c r="AQ81" i="4"/>
  <c r="BQ113" i="2"/>
  <c r="BL113" i="2"/>
  <c r="AE24" i="4"/>
  <c r="AE84" i="4"/>
  <c r="AE75" i="4"/>
  <c r="K33" i="3"/>
  <c r="K29" i="3"/>
  <c r="P38" i="5"/>
  <c r="O39" i="5"/>
  <c r="BL129" i="2"/>
  <c r="AY190" i="1"/>
  <c r="BB189" i="1"/>
  <c r="BB190" i="1" s="1"/>
  <c r="AV24" i="4"/>
  <c r="AV84" i="4"/>
  <c r="AV75" i="4"/>
  <c r="AM29" i="3"/>
  <c r="AR118" i="2"/>
  <c r="AM222" i="2"/>
  <c r="AM69" i="2"/>
  <c r="AM118" i="2"/>
  <c r="BB257" i="2"/>
  <c r="BB241" i="2"/>
  <c r="AP302" i="2"/>
  <c r="AP309" i="2"/>
  <c r="W206" i="1"/>
  <c r="W213" i="1" s="1"/>
  <c r="W212" i="1"/>
  <c r="BH75" i="4"/>
  <c r="BH39" i="4"/>
  <c r="BH49" i="4" s="1"/>
  <c r="BH50" i="4" s="1"/>
  <c r="BH84" i="4"/>
  <c r="N76" i="4"/>
  <c r="CE49" i="5"/>
  <c r="AM41" i="5"/>
  <c r="BK24" i="5"/>
  <c r="CP380" i="1"/>
  <c r="CU364" i="1"/>
  <c r="CU378" i="1"/>
  <c r="CE24" i="4"/>
  <c r="CE81" i="4" s="1"/>
  <c r="CE84" i="4"/>
  <c r="CE75" i="4"/>
  <c r="BO353" i="2"/>
  <c r="BO344" i="2"/>
  <c r="BM190" i="1"/>
  <c r="BQ189" i="1"/>
  <c r="BQ190" i="1" s="1"/>
  <c r="BD190" i="1"/>
  <c r="BG189" i="1"/>
  <c r="BG190" i="1" s="1"/>
  <c r="AR35" i="12"/>
  <c r="BQ20" i="17"/>
  <c r="BQ22" i="17" s="1"/>
  <c r="CP268" i="2"/>
  <c r="CE347" i="2"/>
  <c r="CE363" i="2" s="1"/>
  <c r="CD311" i="2"/>
  <c r="AC240" i="2"/>
  <c r="X240" i="2"/>
  <c r="AR335" i="2"/>
  <c r="AR351" i="2" s="1"/>
  <c r="BL336" i="2"/>
  <c r="BL352" i="2" s="1"/>
  <c r="BL368" i="2" s="1"/>
  <c r="BV48" i="3"/>
  <c r="BV49" i="3" s="1"/>
  <c r="S338" i="2"/>
  <c r="S354" i="2" s="1"/>
  <c r="AE248" i="2"/>
  <c r="BN344" i="2"/>
  <c r="BK344" i="2"/>
  <c r="AJ111" i="2"/>
  <c r="AF107" i="2"/>
  <c r="AW255" i="2"/>
  <c r="P80" i="17"/>
  <c r="BB60" i="4"/>
  <c r="AC110" i="2"/>
  <c r="BX145" i="2"/>
  <c r="BX326" i="1" s="1"/>
  <c r="BX144" i="2"/>
  <c r="BX133" i="2"/>
  <c r="BX143" i="2"/>
  <c r="BX146" i="2"/>
  <c r="BX136" i="2"/>
  <c r="BX134" i="2"/>
  <c r="CC130" i="2"/>
  <c r="BX135" i="2"/>
  <c r="CE48" i="4"/>
  <c r="BB108" i="2"/>
  <c r="BB118" i="2"/>
  <c r="AK24" i="4"/>
  <c r="AU59" i="3"/>
  <c r="AU60" i="3"/>
  <c r="AU76" i="4"/>
  <c r="AU67" i="3"/>
  <c r="AU74" i="3"/>
  <c r="AU58" i="3"/>
  <c r="H84" i="17"/>
  <c r="H80" i="17"/>
  <c r="AH24" i="1"/>
  <c r="AG18" i="1"/>
  <c r="G32" i="5"/>
  <c r="AT186" i="2"/>
  <c r="AT190" i="1"/>
  <c r="AW189" i="1"/>
  <c r="AW190" i="1" s="1"/>
  <c r="AW22" i="5"/>
  <c r="S53" i="12"/>
  <c r="P328" i="2"/>
  <c r="Q328" i="2"/>
  <c r="R36" i="1"/>
  <c r="R25" i="3"/>
  <c r="R32" i="1"/>
  <c r="AY61" i="4"/>
  <c r="AY64" i="4"/>
  <c r="AQ82" i="2"/>
  <c r="AQ127" i="2"/>
  <c r="AR239" i="2"/>
  <c r="L188" i="2"/>
  <c r="L231" i="2"/>
  <c r="T77" i="4"/>
  <c r="AH293" i="2"/>
  <c r="AG337" i="2"/>
  <c r="AG300" i="2"/>
  <c r="Z208" i="1"/>
  <c r="Z213" i="1"/>
  <c r="S260" i="2"/>
  <c r="W335" i="2"/>
  <c r="W300" i="2"/>
  <c r="AG84" i="4"/>
  <c r="AG24" i="4"/>
  <c r="AG81" i="4" s="1"/>
  <c r="T78" i="4"/>
  <c r="T79" i="4" s="1"/>
  <c r="N33" i="4"/>
  <c r="N39" i="4" s="1"/>
  <c r="BL233" i="2"/>
  <c r="CP391" i="1"/>
  <c r="BQ70" i="4"/>
  <c r="X31" i="5"/>
  <c r="U43" i="1"/>
  <c r="U37" i="1"/>
  <c r="X55" i="5"/>
  <c r="AO39" i="4"/>
  <c r="AO84" i="4"/>
  <c r="AO75" i="4"/>
  <c r="CE59" i="3"/>
  <c r="CE13" i="3"/>
  <c r="CE18" i="3" s="1"/>
  <c r="CE60" i="3"/>
  <c r="CE76" i="4"/>
  <c r="CE80" i="4" s="1"/>
  <c r="CE58" i="3"/>
  <c r="CE74" i="3"/>
  <c r="CE67" i="3"/>
  <c r="CF8" i="3"/>
  <c r="CB94" i="2"/>
  <c r="CB114" i="2" s="1"/>
  <c r="CB107" i="2"/>
  <c r="CF354" i="1"/>
  <c r="BX18" i="3"/>
  <c r="AV91" i="2"/>
  <c r="AW49" i="2"/>
  <c r="O84" i="4"/>
  <c r="O24" i="4"/>
  <c r="O75" i="4"/>
  <c r="AG286" i="2"/>
  <c r="AH186" i="2"/>
  <c r="CF129" i="2"/>
  <c r="CA129" i="2"/>
  <c r="CF113" i="2"/>
  <c r="CA113" i="2"/>
  <c r="BV43" i="12"/>
  <c r="BT326" i="2"/>
  <c r="BS326" i="2"/>
  <c r="BR326" i="2"/>
  <c r="BU326" i="2"/>
  <c r="BV18" i="17"/>
  <c r="BV326" i="2"/>
  <c r="AW119" i="2"/>
  <c r="BB240" i="2"/>
  <c r="AW223" i="2"/>
  <c r="AW240" i="2"/>
  <c r="BB119" i="2"/>
  <c r="AG316" i="1"/>
  <c r="CE34" i="5"/>
  <c r="CA55" i="5"/>
  <c r="P25" i="30"/>
  <c r="BS39" i="4"/>
  <c r="BS84" i="4"/>
  <c r="BS75" i="4"/>
  <c r="AL21" i="5"/>
  <c r="CD21" i="3"/>
  <c r="CD53" i="3"/>
  <c r="CD85" i="4"/>
  <c r="CE46" i="5"/>
  <c r="CK376" i="1"/>
  <c r="CP336" i="1"/>
  <c r="AE80" i="17"/>
  <c r="AE84" i="17"/>
  <c r="S48" i="4"/>
  <c r="Q55" i="5"/>
  <c r="R33" i="5"/>
  <c r="S33" i="5" s="1"/>
  <c r="BK11" i="5"/>
  <c r="AS32" i="5"/>
  <c r="R77" i="4"/>
  <c r="R13" i="3"/>
  <c r="R18" i="3" s="1"/>
  <c r="AH314" i="1"/>
  <c r="AH312" i="1" s="1"/>
  <c r="Q16" i="5"/>
  <c r="M357" i="2"/>
  <c r="N341" i="2"/>
  <c r="N357" i="2" s="1"/>
  <c r="M14" i="5"/>
  <c r="R45" i="5"/>
  <c r="AL33" i="5"/>
  <c r="AM33" i="5" s="1"/>
  <c r="AK55" i="5"/>
  <c r="AV24" i="5"/>
  <c r="AW24" i="5" s="1"/>
  <c r="AA84" i="17"/>
  <c r="AA80" i="17"/>
  <c r="R64" i="4"/>
  <c r="AH48" i="4"/>
  <c r="N8" i="5"/>
  <c r="BZ68" i="4"/>
  <c r="BZ65" i="4"/>
  <c r="BU330" i="2"/>
  <c r="BT330" i="2"/>
  <c r="BV30" i="17"/>
  <c r="BU368" i="2"/>
  <c r="N339" i="2"/>
  <c r="N355" i="2" s="1"/>
  <c r="N113" i="2"/>
  <c r="AE135" i="2"/>
  <c r="R344" i="2"/>
  <c r="R360" i="2" s="1"/>
  <c r="R357" i="2"/>
  <c r="P329" i="2"/>
  <c r="BQ329" i="2"/>
  <c r="CF38" i="17"/>
  <c r="CF40" i="17" s="1"/>
  <c r="CC80" i="12"/>
  <c r="L38" i="30"/>
  <c r="R78" i="4"/>
  <c r="R79" i="4" s="1"/>
  <c r="X254" i="2"/>
  <c r="M344" i="2"/>
  <c r="AE134" i="2"/>
  <c r="AE133" i="2"/>
  <c r="AR334" i="2"/>
  <c r="AC224" i="2"/>
  <c r="AD309" i="2"/>
  <c r="S113" i="2"/>
  <c r="J164" i="2"/>
  <c r="AH120" i="2"/>
  <c r="Z162" i="2"/>
  <c r="CF70" i="12"/>
  <c r="CF69" i="12" s="1"/>
  <c r="CF43" i="17" s="1"/>
  <c r="AI248" i="2"/>
  <c r="AI111" i="2"/>
  <c r="AE154" i="2"/>
  <c r="X190" i="2"/>
  <c r="X235" i="2" s="1"/>
  <c r="K75" i="4"/>
  <c r="K84" i="4"/>
  <c r="K24" i="4"/>
  <c r="X89" i="1"/>
  <c r="W88" i="1"/>
  <c r="BV113" i="2"/>
  <c r="AH40" i="17"/>
  <c r="AH63" i="17"/>
  <c r="AH77" i="17" s="1"/>
  <c r="T248" i="2"/>
  <c r="T188" i="2"/>
  <c r="Y264" i="2"/>
  <c r="T264" i="2"/>
  <c r="T282" i="2"/>
  <c r="AH213" i="1"/>
  <c r="AH208" i="1"/>
  <c r="AG208" i="1" s="1"/>
  <c r="AG206" i="1"/>
  <c r="AG213" i="1" s="1"/>
  <c r="AA286" i="2"/>
  <c r="AF268" i="2"/>
  <c r="AB352" i="2"/>
  <c r="AC336" i="2"/>
  <c r="AC352" i="2" s="1"/>
  <c r="BZ35" i="1"/>
  <c r="BZ37" i="1" s="1"/>
  <c r="BZ29" i="1"/>
  <c r="CF371" i="1"/>
  <c r="O357" i="2"/>
  <c r="P104" i="2"/>
  <c r="U107" i="2"/>
  <c r="P107" i="2"/>
  <c r="L35" i="5"/>
  <c r="X15" i="4"/>
  <c r="CF139" i="1"/>
  <c r="CK367" i="1"/>
  <c r="CK335" i="1"/>
  <c r="BF23" i="5"/>
  <c r="BV12" i="5"/>
  <c r="BB30" i="5"/>
  <c r="AQ40" i="5"/>
  <c r="AR40" i="5" s="1"/>
  <c r="X26" i="5"/>
  <c r="R31" i="5"/>
  <c r="S31" i="5" s="1"/>
  <c r="AE164" i="2"/>
  <c r="AH233" i="2"/>
  <c r="AF164" i="2"/>
  <c r="AD164" i="2"/>
  <c r="BV266" i="2"/>
  <c r="BF43" i="5"/>
  <c r="BG43" i="5" s="1"/>
  <c r="CF13" i="5"/>
  <c r="BU8" i="5"/>
  <c r="BP42" i="5"/>
  <c r="BQ15" i="5"/>
  <c r="X10" i="17"/>
  <c r="X63" i="17"/>
  <c r="X77" i="17" s="1"/>
  <c r="X7" i="17"/>
  <c r="AG61" i="4"/>
  <c r="AG64" i="4"/>
  <c r="R48" i="4"/>
  <c r="R42" i="5"/>
  <c r="CB18" i="3"/>
  <c r="AU27" i="5"/>
  <c r="AU18" i="5" s="1"/>
  <c r="AT18" i="5"/>
  <c r="AG9" i="5"/>
  <c r="AF54" i="3"/>
  <c r="R22" i="5"/>
  <c r="Q18" i="5"/>
  <c r="M75" i="4"/>
  <c r="M24" i="4"/>
  <c r="M84" i="4"/>
  <c r="W84" i="4"/>
  <c r="W75" i="4"/>
  <c r="W24" i="4"/>
  <c r="F49" i="4"/>
  <c r="F62" i="4"/>
  <c r="M37" i="5"/>
  <c r="N37" i="5" s="1"/>
  <c r="BU40" i="5"/>
  <c r="R75" i="4"/>
  <c r="R24" i="4"/>
  <c r="R84" i="4"/>
  <c r="CO309" i="2"/>
  <c r="CO127" i="2"/>
  <c r="CF30" i="5"/>
  <c r="BQ29" i="5"/>
  <c r="BB31" i="5"/>
  <c r="X22" i="5"/>
  <c r="AC26" i="5"/>
  <c r="S47" i="5"/>
  <c r="P85" i="17"/>
  <c r="BG38" i="5"/>
  <c r="AK94" i="2"/>
  <c r="P43" i="1"/>
  <c r="P37" i="1"/>
  <c r="AI367" i="2"/>
  <c r="AK344" i="2"/>
  <c r="AL268" i="2"/>
  <c r="AE311" i="2"/>
  <c r="AK80" i="17"/>
  <c r="CF81" i="12"/>
  <c r="CF80" i="12" s="1"/>
  <c r="AW69" i="2"/>
  <c r="AW309" i="2" s="1"/>
  <c r="BV82" i="2"/>
  <c r="N233" i="2"/>
  <c r="BV233" i="2"/>
  <c r="N250" i="2"/>
  <c r="AC120" i="2"/>
  <c r="K164" i="2"/>
  <c r="AH241" i="2"/>
  <c r="AH110" i="2"/>
  <c r="AA162" i="2"/>
  <c r="AB162" i="2"/>
  <c r="CE190" i="1"/>
  <c r="CF189" i="1"/>
  <c r="CF190" i="1" s="1"/>
  <c r="CA233" i="2"/>
  <c r="CF266" i="2"/>
  <c r="BH18" i="5"/>
  <c r="BI22" i="5"/>
  <c r="AH29" i="3"/>
  <c r="AH33" i="3"/>
  <c r="R88" i="1"/>
  <c r="S89" i="1"/>
  <c r="N16" i="17"/>
  <c r="N63" i="17"/>
  <c r="N77" i="17" s="1"/>
  <c r="AW267" i="2"/>
  <c r="BB267" i="2"/>
  <c r="AB186" i="2"/>
  <c r="AB190" i="1"/>
  <c r="E43" i="1"/>
  <c r="E37" i="1"/>
  <c r="I29" i="1"/>
  <c r="I31" i="1"/>
  <c r="I33" i="1" s="1"/>
  <c r="I35" i="1"/>
  <c r="Q84" i="4"/>
  <c r="Q75" i="4"/>
  <c r="Q24" i="4"/>
  <c r="AC63" i="4"/>
  <c r="CF213" i="1"/>
  <c r="CF208" i="1"/>
  <c r="CF349" i="1"/>
  <c r="CA381" i="1"/>
  <c r="BV189" i="1"/>
  <c r="BV190" i="1" s="1"/>
  <c r="BS190" i="1"/>
  <c r="BH48" i="3"/>
  <c r="BH186" i="2"/>
  <c r="BL182" i="2"/>
  <c r="BL186" i="2" s="1"/>
  <c r="BJ350" i="2"/>
  <c r="AO79" i="17"/>
  <c r="AQ111" i="2"/>
  <c r="AQ94" i="2"/>
  <c r="N89" i="1"/>
  <c r="M88" i="1"/>
  <c r="S38" i="17"/>
  <c r="Q63" i="17"/>
  <c r="Q77" i="17" s="1"/>
  <c r="Q40" i="17"/>
  <c r="AB222" i="2"/>
  <c r="AB108" i="2"/>
  <c r="AG108" i="2"/>
  <c r="AB239" i="2"/>
  <c r="AB335" i="2"/>
  <c r="AC38" i="2"/>
  <c r="AB160" i="2" s="1"/>
  <c r="AB118" i="2"/>
  <c r="AD151" i="2"/>
  <c r="AG118" i="2"/>
  <c r="AB69" i="2"/>
  <c r="AD154" i="2" s="1"/>
  <c r="AB151" i="2"/>
  <c r="BZ46" i="5"/>
  <c r="BZ55" i="5"/>
  <c r="BI39" i="4"/>
  <c r="BI84" i="4"/>
  <c r="BI75" i="4"/>
  <c r="BP12" i="5"/>
  <c r="BK9" i="5"/>
  <c r="BL9" i="5" s="1"/>
  <c r="BJ54" i="3"/>
  <c r="AL14" i="5"/>
  <c r="AF57" i="4"/>
  <c r="AE68" i="4"/>
  <c r="AC29" i="3"/>
  <c r="AH178" i="2"/>
  <c r="AH222" i="2"/>
  <c r="O340" i="2"/>
  <c r="N300" i="2"/>
  <c r="BB41" i="5"/>
  <c r="R41" i="5"/>
  <c r="CF250" i="2"/>
  <c r="AG188" i="2"/>
  <c r="AG216" i="2" s="1"/>
  <c r="CD80" i="4"/>
  <c r="CK370" i="1"/>
  <c r="AA55" i="5"/>
  <c r="AB33" i="5"/>
  <c r="AQ19" i="5"/>
  <c r="AR19" i="5" s="1"/>
  <c r="AH31" i="5"/>
  <c r="D43" i="1"/>
  <c r="D37" i="1"/>
  <c r="N31" i="5"/>
  <c r="D79" i="17"/>
  <c r="CE12" i="5"/>
  <c r="BF39" i="3"/>
  <c r="BF32" i="1"/>
  <c r="BF31" i="1"/>
  <c r="BA37" i="5"/>
  <c r="N59" i="3"/>
  <c r="N15" i="4"/>
  <c r="M48" i="4"/>
  <c r="BZ47" i="5"/>
  <c r="BZ8" i="5"/>
  <c r="AR49" i="5"/>
  <c r="AD335" i="2"/>
  <c r="AC300" i="2"/>
  <c r="BT65" i="4"/>
  <c r="BT68" i="4"/>
  <c r="CE44" i="17"/>
  <c r="AW109" i="2"/>
  <c r="CA82" i="2"/>
  <c r="CA143" i="2" s="1"/>
  <c r="CA324" i="1" s="1"/>
  <c r="CD114" i="12"/>
  <c r="AJ80" i="17"/>
  <c r="CA250" i="2"/>
  <c r="CF366" i="1"/>
  <c r="BH334" i="2"/>
  <c r="BL334" i="2"/>
  <c r="AW261" i="1"/>
  <c r="F31" i="1"/>
  <c r="F33" i="1" s="1"/>
  <c r="F35" i="1"/>
  <c r="F29" i="1"/>
  <c r="J186" i="2"/>
  <c r="J190" i="1"/>
  <c r="M189" i="1"/>
  <c r="AR165" i="1"/>
  <c r="AR213" i="1" s="1"/>
  <c r="AR212" i="1"/>
  <c r="CA208" i="1"/>
  <c r="CA302" i="2"/>
  <c r="CA213" i="1"/>
  <c r="CF361" i="1"/>
  <c r="AU75" i="4"/>
  <c r="AU24" i="4"/>
  <c r="AU84" i="4"/>
  <c r="AM314" i="1"/>
  <c r="AM312" i="1" s="1"/>
  <c r="AN84" i="4"/>
  <c r="AN39" i="4"/>
  <c r="AN49" i="4" s="1"/>
  <c r="AN50" i="4" s="1"/>
  <c r="AN75" i="4"/>
  <c r="M316" i="1"/>
  <c r="CF187" i="2"/>
  <c r="CE48" i="3"/>
  <c r="CE188" i="2"/>
  <c r="AZ27" i="5"/>
  <c r="AY18" i="5"/>
  <c r="AG137" i="1"/>
  <c r="AH139" i="1"/>
  <c r="M32" i="1"/>
  <c r="M36" i="1"/>
  <c r="M25" i="3"/>
  <c r="AC63" i="17"/>
  <c r="AC77" i="17" s="1"/>
  <c r="AC16" i="17"/>
  <c r="U186" i="2"/>
  <c r="U190" i="1"/>
  <c r="W189" i="1"/>
  <c r="BK44" i="5"/>
  <c r="BL44" i="5" s="1"/>
  <c r="CK379" i="1"/>
  <c r="W55" i="5"/>
  <c r="AX39" i="4"/>
  <c r="AX75" i="4"/>
  <c r="AX84" i="4"/>
  <c r="BV30" i="5"/>
  <c r="BQ16" i="5"/>
  <c r="W9" i="5"/>
  <c r="V54" i="3"/>
  <c r="AW30" i="5"/>
  <c r="W40" i="5"/>
  <c r="X40" i="5" s="1"/>
  <c r="X49" i="5"/>
  <c r="G43" i="1"/>
  <c r="G37" i="1"/>
  <c r="W121" i="1"/>
  <c r="X139" i="1"/>
  <c r="CE26" i="5"/>
  <c r="S30" i="5"/>
  <c r="AB47" i="5"/>
  <c r="AH60" i="4"/>
  <c r="AH15" i="4"/>
  <c r="AQ23" i="5"/>
  <c r="AB48" i="4"/>
  <c r="J37" i="1"/>
  <c r="J43" i="1"/>
  <c r="CE45" i="5"/>
  <c r="CA189" i="1"/>
  <c r="CA190" i="1" s="1"/>
  <c r="BV17" i="5"/>
  <c r="BQ30" i="5"/>
  <c r="M24" i="5"/>
  <c r="I24" i="4"/>
  <c r="I75" i="4"/>
  <c r="I84" i="4"/>
  <c r="X33" i="4"/>
  <c r="X39" i="4" s="1"/>
  <c r="Y77" i="4"/>
  <c r="N48" i="4"/>
  <c r="CK390" i="1"/>
  <c r="BQ55" i="5"/>
  <c r="AW44" i="5"/>
  <c r="CU373" i="1"/>
  <c r="CA16" i="5"/>
  <c r="BP35" i="5"/>
  <c r="AQ13" i="5"/>
  <c r="AR13" i="5" s="1"/>
  <c r="K85" i="17"/>
  <c r="S33" i="4"/>
  <c r="S63" i="4"/>
  <c r="AG48" i="4"/>
  <c r="CU375" i="1"/>
  <c r="CU355" i="1"/>
  <c r="CZ359" i="1"/>
  <c r="S24" i="4"/>
  <c r="X48" i="4"/>
  <c r="AQ109" i="12"/>
  <c r="CE8" i="17"/>
  <c r="BV330" i="2"/>
  <c r="Z46" i="30"/>
  <c r="BS330" i="2"/>
  <c r="AW42" i="17"/>
  <c r="AR68" i="12"/>
  <c r="AW35" i="12"/>
  <c r="AW34" i="12" s="1"/>
  <c r="BB70" i="12"/>
  <c r="BB69" i="12" s="1"/>
  <c r="BB43" i="17" s="1"/>
  <c r="AV329" i="2"/>
  <c r="AU329" i="2"/>
  <c r="AO329" i="2"/>
  <c r="AN329" i="2"/>
  <c r="AR42" i="17"/>
  <c r="AQ329" i="2"/>
  <c r="Y109" i="12"/>
  <c r="CF20" i="17"/>
  <c r="CF22" i="17" s="1"/>
  <c r="AW32" i="17"/>
  <c r="CF130" i="12"/>
  <c r="S329" i="2"/>
  <c r="CM129" i="12"/>
  <c r="BI31" i="17"/>
  <c r="BI32" i="17" s="1"/>
  <c r="BE63" i="17"/>
  <c r="BE77" i="17" s="1"/>
  <c r="AW74" i="17"/>
  <c r="R329" i="2"/>
  <c r="S69" i="12"/>
  <c r="Q329" i="2"/>
  <c r="AD109" i="12"/>
  <c r="CG330" i="2"/>
  <c r="CI330" i="2"/>
  <c r="CI331" i="2" s="1"/>
  <c r="CH330" i="2"/>
  <c r="CH331" i="2" s="1"/>
  <c r="BG73" i="17"/>
  <c r="BG75" i="17" s="1"/>
  <c r="BE114" i="12"/>
  <c r="BE135" i="12" s="1"/>
  <c r="CI109" i="12"/>
  <c r="BO135" i="2"/>
  <c r="BO133" i="2"/>
  <c r="BT130" i="2"/>
  <c r="BO346" i="2"/>
  <c r="BO362" i="2" s="1"/>
  <c r="BT114" i="2"/>
  <c r="BO146" i="2"/>
  <c r="BO134" i="2"/>
  <c r="BF368" i="2"/>
  <c r="BE368" i="2"/>
  <c r="AD304" i="2"/>
  <c r="AE346" i="2"/>
  <c r="AE362" i="2" s="1"/>
  <c r="AN304" i="2"/>
  <c r="AO347" i="2" s="1"/>
  <c r="AO363" i="2" s="1"/>
  <c r="BO136" i="2"/>
  <c r="G139" i="2"/>
  <c r="G142" i="2"/>
  <c r="CM194" i="2"/>
  <c r="CM264" i="2"/>
  <c r="BO145" i="2"/>
  <c r="BO326" i="1" s="1"/>
  <c r="CP266" i="2"/>
  <c r="CP250" i="2"/>
  <c r="AE146" i="2"/>
  <c r="AU94" i="2"/>
  <c r="AE145" i="2"/>
  <c r="AE326" i="1" s="1"/>
  <c r="AB107" i="2"/>
  <c r="AB94" i="2"/>
  <c r="BK44" i="17"/>
  <c r="D135" i="12"/>
  <c r="AG46" i="30"/>
  <c r="AA368" i="2"/>
  <c r="BR368" i="2"/>
  <c r="CK264" i="2"/>
  <c r="BL234" i="1"/>
  <c r="BL244" i="1" s="1"/>
  <c r="CP79" i="12"/>
  <c r="CI126" i="12"/>
  <c r="CN126" i="12" s="1"/>
  <c r="CS126" i="12" s="1"/>
  <c r="CX126" i="12" s="1"/>
  <c r="DC126" i="12" s="1"/>
  <c r="DH126" i="12" s="1"/>
  <c r="DM126" i="12" s="1"/>
  <c r="DR126" i="12" s="1"/>
  <c r="DW126" i="12" s="1"/>
  <c r="CK130" i="12"/>
  <c r="CP6" i="17"/>
  <c r="G311" i="2"/>
  <c r="G146" i="2"/>
  <c r="G145" i="2"/>
  <c r="CL194" i="2"/>
  <c r="CL248" i="2"/>
  <c r="CL264" i="2"/>
  <c r="CN194" i="2"/>
  <c r="R370" i="2"/>
  <c r="S370" i="2" s="1"/>
  <c r="Q370" i="2"/>
  <c r="G133" i="2"/>
  <c r="G138" i="2"/>
  <c r="AV368" i="2"/>
  <c r="AW368" i="2" s="1"/>
  <c r="AU368" i="2"/>
  <c r="R371" i="2"/>
  <c r="S371" i="2" s="1"/>
  <c r="Q371" i="2"/>
  <c r="Z368" i="2"/>
  <c r="G346" i="2"/>
  <c r="G362" i="2" s="1"/>
  <c r="G378" i="2" s="1"/>
  <c r="G140" i="2"/>
  <c r="CN331" i="2"/>
  <c r="E142" i="2"/>
  <c r="E234" i="2"/>
  <c r="E146" i="2"/>
  <c r="E145" i="2"/>
  <c r="E141" i="2"/>
  <c r="E133" i="2"/>
  <c r="AS134" i="2"/>
  <c r="AS133" i="2"/>
  <c r="AS135" i="2"/>
  <c r="AS145" i="2"/>
  <c r="AS326" i="1" s="1"/>
  <c r="AS136" i="2"/>
  <c r="AS146" i="2"/>
  <c r="AW105" i="2"/>
  <c r="CO70" i="12"/>
  <c r="CO69" i="12" s="1"/>
  <c r="CO43" i="17" s="1"/>
  <c r="CO44" i="17" s="1"/>
  <c r="AV109" i="12"/>
  <c r="BO109" i="12"/>
  <c r="AX63" i="17"/>
  <c r="AX77" i="17" s="1"/>
  <c r="AP368" i="2"/>
  <c r="O370" i="2"/>
  <c r="AQ368" i="2"/>
  <c r="AR368" i="2" s="1"/>
  <c r="V304" i="2"/>
  <c r="V346" i="2"/>
  <c r="V362" i="2" s="1"/>
  <c r="CN282" i="2"/>
  <c r="BC368" i="2"/>
  <c r="AJ304" i="2"/>
  <c r="BW347" i="2"/>
  <c r="BW363" i="2" s="1"/>
  <c r="BW311" i="2"/>
  <c r="AS346" i="2"/>
  <c r="AS362" i="2" s="1"/>
  <c r="AI352" i="2"/>
  <c r="AT368" i="2"/>
  <c r="AS368" i="2"/>
  <c r="V367" i="2"/>
  <c r="T367" i="2"/>
  <c r="CK248" i="2"/>
  <c r="CM282" i="2"/>
  <c r="CM248" i="2"/>
  <c r="CK31" i="5"/>
  <c r="BI367" i="2"/>
  <c r="CC212" i="2"/>
  <c r="CC214" i="2"/>
  <c r="CC327" i="1" s="1"/>
  <c r="CC234" i="2"/>
  <c r="CC202" i="2"/>
  <c r="CC216" i="2"/>
  <c r="CC213" i="2"/>
  <c r="CC215" i="2"/>
  <c r="CC217" i="2"/>
  <c r="BK65" i="17"/>
  <c r="CC330" i="2"/>
  <c r="CD330" i="2"/>
  <c r="CA38" i="17"/>
  <c r="CA40" i="17" s="1"/>
  <c r="AF45" i="30"/>
  <c r="BB32" i="17"/>
  <c r="U46" i="30"/>
  <c r="CE330" i="2"/>
  <c r="Y46" i="30"/>
  <c r="CF79" i="12"/>
  <c r="AD46" i="30"/>
  <c r="CF330" i="2"/>
  <c r="CK59" i="5"/>
  <c r="AG109" i="12"/>
  <c r="H331" i="2"/>
  <c r="BK109" i="12"/>
  <c r="AS109" i="12"/>
  <c r="AL109" i="12"/>
  <c r="CN109" i="12"/>
  <c r="AB109" i="12"/>
  <c r="CP325" i="2"/>
  <c r="CP33" i="12"/>
  <c r="CO325" i="2"/>
  <c r="CI7" i="17"/>
  <c r="CI8" i="17" s="1"/>
  <c r="P16" i="30"/>
  <c r="P9" i="30"/>
  <c r="P31" i="30" s="1"/>
  <c r="Q16" i="30"/>
  <c r="Q9" i="30"/>
  <c r="Q31" i="30" s="1"/>
  <c r="M34" i="30"/>
  <c r="M33" i="30"/>
  <c r="C39" i="30"/>
  <c r="O17" i="30"/>
  <c r="M36" i="30"/>
  <c r="AW66" i="17"/>
  <c r="AR44" i="17"/>
  <c r="CP121" i="12"/>
  <c r="BF109" i="12"/>
  <c r="AW38" i="17"/>
  <c r="CO330" i="2"/>
  <c r="AF109" i="12"/>
  <c r="BE109" i="12"/>
  <c r="AQ63" i="17"/>
  <c r="AQ77" i="17" s="1"/>
  <c r="AZ109" i="12"/>
  <c r="BZ8" i="17"/>
  <c r="BA109" i="12"/>
  <c r="BF63" i="17"/>
  <c r="BF77" i="17" s="1"/>
  <c r="S35" i="12"/>
  <c r="S34" i="12" s="1"/>
  <c r="CP30" i="17"/>
  <c r="AP22" i="17"/>
  <c r="X46" i="30"/>
  <c r="BW32" i="17"/>
  <c r="AP109" i="12"/>
  <c r="AW70" i="12"/>
  <c r="AW69" i="12" s="1"/>
  <c r="AW43" i="17" s="1"/>
  <c r="AU109" i="12"/>
  <c r="N69" i="12"/>
  <c r="AI109" i="12"/>
  <c r="AN109" i="12"/>
  <c r="BJ109" i="12"/>
  <c r="R109" i="12"/>
  <c r="CK68" i="12"/>
  <c r="CJ329" i="2"/>
  <c r="CG329" i="2"/>
  <c r="AK109" i="12"/>
  <c r="CM331" i="2"/>
  <c r="AJ114" i="12"/>
  <c r="BY31" i="17"/>
  <c r="BY32" i="17" s="1"/>
  <c r="BQ235" i="1"/>
  <c r="BQ245" i="1" s="1"/>
  <c r="CP330" i="2"/>
  <c r="V46" i="30"/>
  <c r="BT31" i="17"/>
  <c r="BT32" i="17" s="1"/>
  <c r="BT109" i="12"/>
  <c r="BL235" i="1"/>
  <c r="BL245" i="1" s="1"/>
  <c r="M80" i="17"/>
  <c r="M84" i="17"/>
  <c r="U85" i="17"/>
  <c r="Y85" i="17"/>
  <c r="AB80" i="17"/>
  <c r="AB84" i="17"/>
  <c r="W109" i="12"/>
  <c r="AO109" i="12"/>
  <c r="AW20" i="17"/>
  <c r="CH31" i="17"/>
  <c r="CH32" i="17" s="1"/>
  <c r="AH46" i="30"/>
  <c r="CP233" i="2"/>
  <c r="T109" i="12"/>
  <c r="K329" i="2"/>
  <c r="N329" i="2"/>
  <c r="J329" i="2"/>
  <c r="L329" i="2"/>
  <c r="N68" i="12"/>
  <c r="M329" i="2"/>
  <c r="CN81" i="12"/>
  <c r="CN80" i="12" s="1"/>
  <c r="AN46" i="30" s="1"/>
  <c r="O109" i="12"/>
  <c r="AH68" i="12"/>
  <c r="AE329" i="2"/>
  <c r="AH329" i="2"/>
  <c r="AD329" i="2"/>
  <c r="AF329" i="2"/>
  <c r="AG329" i="2"/>
  <c r="AL329" i="2"/>
  <c r="AM68" i="12"/>
  <c r="AJ329" i="2"/>
  <c r="AM329" i="2"/>
  <c r="AK329" i="2"/>
  <c r="AI329" i="2"/>
  <c r="CP38" i="17"/>
  <c r="CP40" i="17" s="1"/>
  <c r="AX329" i="2"/>
  <c r="BB68" i="12"/>
  <c r="BB329" i="2"/>
  <c r="BB42" i="17"/>
  <c r="AZ329" i="2"/>
  <c r="BA329" i="2"/>
  <c r="AY329" i="2"/>
  <c r="BG68" i="12"/>
  <c r="BF329" i="2"/>
  <c r="BG329" i="2"/>
  <c r="BG42" i="17"/>
  <c r="BG44" i="17" s="1"/>
  <c r="BG46" i="17" s="1"/>
  <c r="BG70" i="12"/>
  <c r="BC329" i="2"/>
  <c r="BE329" i="2"/>
  <c r="BD329" i="2"/>
  <c r="BP109" i="12"/>
  <c r="AX109" i="12"/>
  <c r="AC68" i="12"/>
  <c r="Y329" i="2"/>
  <c r="AA329" i="2"/>
  <c r="BU109" i="12"/>
  <c r="AW22" i="17"/>
  <c r="BZ109" i="12"/>
  <c r="AS329" i="2"/>
  <c r="AW68" i="12"/>
  <c r="AT329" i="2"/>
  <c r="BV68" i="12"/>
  <c r="BR329" i="2"/>
  <c r="BV329" i="2"/>
  <c r="BV42" i="17"/>
  <c r="BU329" i="2"/>
  <c r="BS329" i="2"/>
  <c r="BT329" i="2"/>
  <c r="BC109" i="12"/>
  <c r="H135" i="12"/>
  <c r="CP25" i="12"/>
  <c r="H115" i="12"/>
  <c r="CF235" i="1"/>
  <c r="CF245" i="1" s="1"/>
  <c r="G135" i="12"/>
  <c r="BX8" i="17"/>
  <c r="BT117" i="12"/>
  <c r="BY117" i="12" s="1"/>
  <c r="CD117" i="12" s="1"/>
  <c r="CI117" i="12" s="1"/>
  <c r="CN117" i="12" s="1"/>
  <c r="BO65" i="17"/>
  <c r="H109" i="12"/>
  <c r="CK231" i="2"/>
  <c r="BJ367" i="2"/>
  <c r="AH16" i="2"/>
  <c r="AH87" i="2" s="1"/>
  <c r="AD87" i="2"/>
  <c r="AO311" i="2"/>
  <c r="AO367" i="2"/>
  <c r="AP367" i="2"/>
  <c r="M304" i="2"/>
  <c r="BU347" i="2"/>
  <c r="BU363" i="2" s="1"/>
  <c r="BT311" i="2"/>
  <c r="BT347" i="2"/>
  <c r="BT363" i="2" s="1"/>
  <c r="Q111" i="2"/>
  <c r="Q104" i="2"/>
  <c r="V111" i="2"/>
  <c r="BJ304" i="2"/>
  <c r="BO311" i="2"/>
  <c r="BO347" i="2"/>
  <c r="BO363" i="2" s="1"/>
  <c r="BN311" i="2"/>
  <c r="BN347" i="2"/>
  <c r="BN363" i="2" s="1"/>
  <c r="AS347" i="2"/>
  <c r="AS363" i="2" s="1"/>
  <c r="AS311" i="2"/>
  <c r="AN368" i="2"/>
  <c r="AO368" i="2"/>
  <c r="U109" i="12"/>
  <c r="CP66" i="12"/>
  <c r="BC63" i="17"/>
  <c r="BC77" i="17" s="1"/>
  <c r="O46" i="30"/>
  <c r="BK31" i="17"/>
  <c r="BK32" i="17" s="1"/>
  <c r="BQ352" i="2"/>
  <c r="BQ368" i="2" s="1"/>
  <c r="BI311" i="2"/>
  <c r="J304" i="2"/>
  <c r="CK16" i="4"/>
  <c r="CK35" i="4"/>
  <c r="CK11" i="4"/>
  <c r="CK30" i="5"/>
  <c r="CP57" i="4"/>
  <c r="CO57" i="4" s="1"/>
  <c r="CN57" i="4" s="1"/>
  <c r="CM57" i="4" s="1"/>
  <c r="CL57" i="4" s="1"/>
  <c r="CK32" i="4"/>
  <c r="CK20" i="3"/>
  <c r="CK37" i="4"/>
  <c r="CK26" i="5"/>
  <c r="CK47" i="4"/>
  <c r="CK63" i="4"/>
  <c r="CH60" i="4"/>
  <c r="CG60" i="4"/>
  <c r="CN33" i="3"/>
  <c r="CN46" i="3"/>
  <c r="N235" i="2"/>
  <c r="N191" i="2"/>
  <c r="N238" i="2"/>
  <c r="BR44" i="17"/>
  <c r="G115" i="12"/>
  <c r="AT63" i="17"/>
  <c r="AT77" i="17" s="1"/>
  <c r="P114" i="12"/>
  <c r="AD135" i="12"/>
  <c r="AY63" i="17"/>
  <c r="AY77" i="17" s="1"/>
  <c r="Q109" i="12"/>
  <c r="AC35" i="12"/>
  <c r="AC34" i="12" s="1"/>
  <c r="M135" i="12"/>
  <c r="CK35" i="12"/>
  <c r="CK34" i="12" s="1"/>
  <c r="BG234" i="1"/>
  <c r="BG244" i="1" s="1"/>
  <c r="CH114" i="12"/>
  <c r="AW70" i="17"/>
  <c r="AS63" i="17"/>
  <c r="AS77" i="17" s="1"/>
  <c r="CG114" i="12"/>
  <c r="AO114" i="12"/>
  <c r="I331" i="2"/>
  <c r="AL45" i="30"/>
  <c r="S6" i="30" s="1"/>
  <c r="S16" i="30" s="1"/>
  <c r="AV63" i="17"/>
  <c r="AV77" i="17" s="1"/>
  <c r="CG31" i="17"/>
  <c r="CG32" i="17" s="1"/>
  <c r="AP40" i="17"/>
  <c r="AP63" i="17"/>
  <c r="AP77" i="17" s="1"/>
  <c r="AR38" i="17"/>
  <c r="AU40" i="17"/>
  <c r="AU63" i="17"/>
  <c r="AU77" i="17" s="1"/>
  <c r="AA109" i="12"/>
  <c r="CL331" i="2"/>
  <c r="BR32" i="17"/>
  <c r="CN70" i="12"/>
  <c r="CN69" i="12" s="1"/>
  <c r="CN43" i="17" s="1"/>
  <c r="CN44" i="17" s="1"/>
  <c r="W329" i="2"/>
  <c r="X329" i="2"/>
  <c r="T329" i="2"/>
  <c r="V329" i="2"/>
  <c r="X68" i="12"/>
  <c r="U329" i="2"/>
  <c r="AT109" i="12"/>
  <c r="C135" i="12"/>
  <c r="BW245" i="1"/>
  <c r="CA235" i="1"/>
  <c r="CA245" i="1" s="1"/>
  <c r="BN73" i="17"/>
  <c r="BS126" i="12"/>
  <c r="BN132" i="12"/>
  <c r="I135" i="12"/>
  <c r="I115" i="12"/>
  <c r="E109" i="12"/>
  <c r="F109" i="12"/>
  <c r="BB33" i="12"/>
  <c r="AY325" i="2"/>
  <c r="BB108" i="12"/>
  <c r="BA325" i="2"/>
  <c r="AX325" i="2"/>
  <c r="BB6" i="17"/>
  <c r="BB325" i="2"/>
  <c r="AZ325" i="2"/>
  <c r="BX123" i="12"/>
  <c r="BD114" i="12"/>
  <c r="S325" i="2"/>
  <c r="P325" i="2"/>
  <c r="R325" i="2"/>
  <c r="S33" i="12"/>
  <c r="Q325" i="2"/>
  <c r="S108" i="12"/>
  <c r="O325" i="2"/>
  <c r="BV44" i="12"/>
  <c r="BV19" i="17" s="1"/>
  <c r="BH245" i="1"/>
  <c r="N35" i="12"/>
  <c r="N114" i="12" s="1"/>
  <c r="CP73" i="12"/>
  <c r="BK132" i="12"/>
  <c r="BP117" i="12"/>
  <c r="BU117" i="12" s="1"/>
  <c r="L135" i="12"/>
  <c r="BV234" i="1"/>
  <c r="BV244" i="1" s="1"/>
  <c r="BR244" i="1"/>
  <c r="BL68" i="12"/>
  <c r="BK329" i="2"/>
  <c r="BL42" i="17"/>
  <c r="BH329" i="2"/>
  <c r="BL329" i="2"/>
  <c r="BJ329" i="2"/>
  <c r="BI329" i="2"/>
  <c r="BZ44" i="17"/>
  <c r="CP42" i="17"/>
  <c r="CO329" i="2"/>
  <c r="CP329" i="2"/>
  <c r="CP68" i="12"/>
  <c r="CB109" i="12"/>
  <c r="BR109" i="12"/>
  <c r="BW109" i="12"/>
  <c r="BR245" i="1"/>
  <c r="BV235" i="1"/>
  <c r="BV245" i="1" s="1"/>
  <c r="BM109" i="12"/>
  <c r="BH109" i="12"/>
  <c r="CP108" i="12"/>
  <c r="CU109" i="12" s="1"/>
  <c r="I109" i="12"/>
  <c r="BZ325" i="2"/>
  <c r="CA108" i="12"/>
  <c r="BY325" i="2"/>
  <c r="CA33" i="12"/>
  <c r="BX325" i="2"/>
  <c r="CA6" i="17"/>
  <c r="CA325" i="2"/>
  <c r="BW325" i="2"/>
  <c r="BI109" i="12"/>
  <c r="AE325" i="2"/>
  <c r="AH108" i="12"/>
  <c r="AH325" i="2"/>
  <c r="AG325" i="2"/>
  <c r="AF325" i="2"/>
  <c r="AD325" i="2"/>
  <c r="AH33" i="12"/>
  <c r="N108" i="12"/>
  <c r="L325" i="2"/>
  <c r="M325" i="2"/>
  <c r="N33" i="12"/>
  <c r="N325" i="2"/>
  <c r="J325" i="2"/>
  <c r="K325" i="2"/>
  <c r="CE94" i="2"/>
  <c r="CE114" i="2" s="1"/>
  <c r="CE112" i="2"/>
  <c r="BG65" i="17"/>
  <c r="BG67" i="17" s="1"/>
  <c r="BG132" i="12"/>
  <c r="BG118" i="12"/>
  <c r="D115" i="12"/>
  <c r="CI114" i="12"/>
  <c r="CI80" i="12"/>
  <c r="CH109" i="12"/>
  <c r="CC109" i="12"/>
  <c r="AY109" i="12"/>
  <c r="AJ109" i="12"/>
  <c r="BG34" i="17"/>
  <c r="CG69" i="12"/>
  <c r="CG43" i="17" s="1"/>
  <c r="CG44" i="17" s="1"/>
  <c r="CK70" i="12"/>
  <c r="CK69" i="12" s="1"/>
  <c r="CK43" i="17" s="1"/>
  <c r="BS109" i="12"/>
  <c r="Z109" i="12"/>
  <c r="CC325" i="2"/>
  <c r="CB325" i="2"/>
  <c r="CF33" i="12"/>
  <c r="CF108" i="12"/>
  <c r="CF6" i="17"/>
  <c r="CF325" i="2"/>
  <c r="CD325" i="2"/>
  <c r="CE325" i="2"/>
  <c r="CF234" i="1"/>
  <c r="CF244" i="1" s="1"/>
  <c r="AT114" i="12"/>
  <c r="AT135" i="12" s="1"/>
  <c r="U114" i="12"/>
  <c r="F135" i="12"/>
  <c r="F115" i="12"/>
  <c r="BM244" i="1"/>
  <c r="BQ234" i="1"/>
  <c r="BQ244" i="1" s="1"/>
  <c r="BZ244" i="1"/>
  <c r="CA234" i="1"/>
  <c r="CA244" i="1" s="1"/>
  <c r="CD329" i="2"/>
  <c r="CE329" i="2"/>
  <c r="CF42" i="17"/>
  <c r="CF329" i="2"/>
  <c r="CF68" i="12"/>
  <c r="CB329" i="2"/>
  <c r="CC329" i="2"/>
  <c r="CM109" i="12"/>
  <c r="CE109" i="12"/>
  <c r="BG69" i="17"/>
  <c r="BG71" i="17" s="1"/>
  <c r="BG124" i="12"/>
  <c r="BL33" i="12"/>
  <c r="BK325" i="2"/>
  <c r="BH325" i="2"/>
  <c r="BL325" i="2"/>
  <c r="BL6" i="17"/>
  <c r="BJ325" i="2"/>
  <c r="BI325" i="2"/>
  <c r="BL108" i="12"/>
  <c r="BX109" i="12"/>
  <c r="BI8" i="17"/>
  <c r="AE109" i="12"/>
  <c r="CF94" i="2"/>
  <c r="CF112" i="2"/>
  <c r="BN325" i="2"/>
  <c r="BO325" i="2"/>
  <c r="BQ325" i="2"/>
  <c r="BQ6" i="17"/>
  <c r="BP325" i="2"/>
  <c r="BM325" i="2"/>
  <c r="BQ108" i="12"/>
  <c r="BQ33" i="12"/>
  <c r="AY114" i="12"/>
  <c r="BU325" i="2"/>
  <c r="BV33" i="12"/>
  <c r="BS325" i="2"/>
  <c r="BR325" i="2"/>
  <c r="BV325" i="2"/>
  <c r="BV6" i="17"/>
  <c r="BV108" i="12"/>
  <c r="BT325" i="2"/>
  <c r="BD109" i="12"/>
  <c r="AR325" i="2"/>
  <c r="AP325" i="2"/>
  <c r="AR33" i="12"/>
  <c r="AQ325" i="2"/>
  <c r="AR6" i="17"/>
  <c r="AR108" i="12"/>
  <c r="AO325" i="2"/>
  <c r="AN325" i="2"/>
  <c r="AC108" i="12"/>
  <c r="AC325" i="2"/>
  <c r="Y325" i="2"/>
  <c r="AC33" i="12"/>
  <c r="AA325" i="2"/>
  <c r="AB325" i="2"/>
  <c r="Z325" i="2"/>
  <c r="P109" i="12"/>
  <c r="CO109" i="12"/>
  <c r="CJ109" i="12"/>
  <c r="K135" i="12"/>
  <c r="E135" i="12"/>
  <c r="E115" i="12"/>
  <c r="AM325" i="2"/>
  <c r="AM33" i="12"/>
  <c r="AJ325" i="2"/>
  <c r="AL325" i="2"/>
  <c r="AI325" i="2"/>
  <c r="AM108" i="12"/>
  <c r="AK325" i="2"/>
  <c r="BM245" i="1"/>
  <c r="V109" i="12"/>
  <c r="BU44" i="17"/>
  <c r="CA330" i="2"/>
  <c r="BW330" i="2"/>
  <c r="BY330" i="2"/>
  <c r="CA79" i="12"/>
  <c r="BZ330" i="2"/>
  <c r="BX330" i="2"/>
  <c r="CA30" i="17"/>
  <c r="BQ79" i="12"/>
  <c r="BM330" i="2"/>
  <c r="BP330" i="2"/>
  <c r="BQ330" i="2"/>
  <c r="BO330" i="2"/>
  <c r="BQ30" i="17"/>
  <c r="BN330" i="2"/>
  <c r="BJ330" i="2"/>
  <c r="BK330" i="2"/>
  <c r="BI330" i="2"/>
  <c r="BL330" i="2"/>
  <c r="BG245" i="1"/>
  <c r="BL30" i="17"/>
  <c r="BH330" i="2"/>
  <c r="BL79" i="12"/>
  <c r="CK79" i="12"/>
  <c r="CJ330" i="2"/>
  <c r="CK330" i="2"/>
  <c r="AW33" i="12"/>
  <c r="AT325" i="2"/>
  <c r="AU325" i="2"/>
  <c r="AS325" i="2"/>
  <c r="AW6" i="17"/>
  <c r="AV325" i="2"/>
  <c r="AW108" i="12"/>
  <c r="AW325" i="2"/>
  <c r="AE114" i="12"/>
  <c r="AH35" i="12"/>
  <c r="AH34" i="12" s="1"/>
  <c r="BN109" i="12"/>
  <c r="U325" i="2"/>
  <c r="T325" i="2"/>
  <c r="X325" i="2"/>
  <c r="V325" i="2"/>
  <c r="W325" i="2"/>
  <c r="X33" i="12"/>
  <c r="X108" i="12"/>
  <c r="CP60" i="12"/>
  <c r="BG33" i="12"/>
  <c r="BF325" i="2"/>
  <c r="BG325" i="2"/>
  <c r="BC325" i="2"/>
  <c r="BE325" i="2"/>
  <c r="BD325" i="2"/>
  <c r="BG6" i="17"/>
  <c r="BG8" i="17" s="1"/>
  <c r="BG108" i="12"/>
  <c r="BG35" i="12"/>
  <c r="BD63" i="17"/>
  <c r="BD77" i="17" s="1"/>
  <c r="CL109" i="12"/>
  <c r="CG109" i="12"/>
  <c r="CK33" i="12"/>
  <c r="CJ325" i="2"/>
  <c r="CK325" i="2"/>
  <c r="CK108" i="12"/>
  <c r="AW34" i="17"/>
  <c r="AR46" i="17"/>
  <c r="BT123" i="12"/>
  <c r="BO132" i="12"/>
  <c r="BO69" i="17"/>
  <c r="BA63" i="17"/>
  <c r="BA77" i="17" s="1"/>
  <c r="AZ63" i="17"/>
  <c r="AZ77" i="17" s="1"/>
  <c r="BR123" i="12"/>
  <c r="BM132" i="12"/>
  <c r="BM69" i="17"/>
  <c r="BQ123" i="12"/>
  <c r="O135" i="12"/>
  <c r="BL124" i="12"/>
  <c r="BL69" i="17"/>
  <c r="BL71" i="17" s="1"/>
  <c r="CD109" i="12"/>
  <c r="BY109" i="12"/>
  <c r="BL118" i="12"/>
  <c r="BL65" i="17"/>
  <c r="AA135" i="12"/>
  <c r="AA136" i="12" s="1"/>
  <c r="AA115" i="12"/>
  <c r="AD115" i="12"/>
  <c r="Y135" i="12"/>
  <c r="CM69" i="12"/>
  <c r="CM43" i="17" s="1"/>
  <c r="CM44" i="17" s="1"/>
  <c r="R135" i="12"/>
  <c r="R115" i="12"/>
  <c r="AF115" i="12"/>
  <c r="AF135" i="12"/>
  <c r="O115" i="12"/>
  <c r="J135" i="12"/>
  <c r="AW46" i="17"/>
  <c r="CL117" i="12"/>
  <c r="AR35" i="1" l="1"/>
  <c r="AR37" i="1" s="1"/>
  <c r="AR29" i="1"/>
  <c r="AC277" i="1"/>
  <c r="AC280" i="1" s="1"/>
  <c r="AA37" i="1"/>
  <c r="AV31" i="1"/>
  <c r="AV33" i="1" s="1"/>
  <c r="DU81" i="12"/>
  <c r="DV70" i="12"/>
  <c r="EB252" i="1"/>
  <c r="S334" i="2"/>
  <c r="S350" i="2" s="1"/>
  <c r="BH77" i="4"/>
  <c r="BH80" i="4" s="1"/>
  <c r="S308" i="2"/>
  <c r="X334" i="2"/>
  <c r="X350" i="2" s="1"/>
  <c r="S302" i="2"/>
  <c r="S304" i="2" s="1"/>
  <c r="T347" i="2" s="1"/>
  <c r="T350" i="2"/>
  <c r="V366" i="2" s="1"/>
  <c r="AK115" i="12"/>
  <c r="AJ268" i="2"/>
  <c r="AJ188" i="2"/>
  <c r="AJ212" i="2" s="1"/>
  <c r="AF347" i="2"/>
  <c r="AF363" i="2" s="1"/>
  <c r="CC366" i="2"/>
  <c r="BZ366" i="2"/>
  <c r="CB366" i="2"/>
  <c r="BO286" i="2"/>
  <c r="BN188" i="2"/>
  <c r="BN216" i="2" s="1"/>
  <c r="BN286" i="2"/>
  <c r="AW91" i="2"/>
  <c r="AW94" i="2" s="1"/>
  <c r="AK135" i="12"/>
  <c r="AP136" i="12" s="1"/>
  <c r="BU130" i="2"/>
  <c r="AZ205" i="2"/>
  <c r="BD136" i="2"/>
  <c r="AZ203" i="2"/>
  <c r="AM31" i="1"/>
  <c r="AM33" i="1" s="1"/>
  <c r="AJ43" i="1"/>
  <c r="AC316" i="1"/>
  <c r="BR147" i="2"/>
  <c r="CZ338" i="1"/>
  <c r="BJ216" i="2"/>
  <c r="BJ214" i="2"/>
  <c r="BJ327" i="1" s="1"/>
  <c r="BJ203" i="2"/>
  <c r="BJ202" i="2"/>
  <c r="BX62" i="4"/>
  <c r="BX68" i="4" s="1"/>
  <c r="BU62" i="4"/>
  <c r="BU68" i="4" s="1"/>
  <c r="BR366" i="2"/>
  <c r="BJ205" i="2"/>
  <c r="BJ215" i="2"/>
  <c r="BJ204" i="2"/>
  <c r="BR50" i="5"/>
  <c r="BS56" i="4"/>
  <c r="BS69" i="4" s="1"/>
  <c r="BS70" i="4" s="1"/>
  <c r="BS72" i="4" s="1"/>
  <c r="BT69" i="4"/>
  <c r="BT70" i="4" s="1"/>
  <c r="BT72" i="4" s="1"/>
  <c r="BU69" i="4"/>
  <c r="BU70" i="4" s="1"/>
  <c r="BC344" i="2"/>
  <c r="BF75" i="4"/>
  <c r="BW71" i="4"/>
  <c r="BA45" i="5"/>
  <c r="O114" i="2"/>
  <c r="BK71" i="4"/>
  <c r="AR48" i="3"/>
  <c r="AR49" i="3" s="1"/>
  <c r="AH255" i="2"/>
  <c r="O145" i="2"/>
  <c r="O326" i="1" s="1"/>
  <c r="O146" i="2"/>
  <c r="O140" i="2"/>
  <c r="O137" i="2"/>
  <c r="BS21" i="3"/>
  <c r="BS63" i="3" s="1"/>
  <c r="BS46" i="3" s="1"/>
  <c r="H80" i="4"/>
  <c r="BI143" i="2"/>
  <c r="BI147" i="2" s="1"/>
  <c r="CA81" i="4"/>
  <c r="X118" i="2"/>
  <c r="BY65" i="4"/>
  <c r="BE216" i="2"/>
  <c r="AE32" i="5"/>
  <c r="AE50" i="5" s="1"/>
  <c r="K39" i="30"/>
  <c r="BT218" i="2"/>
  <c r="AZ39" i="5"/>
  <c r="BJ287" i="2"/>
  <c r="BI204" i="2"/>
  <c r="BE214" i="2"/>
  <c r="BE327" i="1" s="1"/>
  <c r="BE212" i="2"/>
  <c r="M121" i="1"/>
  <c r="BE204" i="2"/>
  <c r="BI214" i="2"/>
  <c r="BI327" i="1" s="1"/>
  <c r="AM9" i="17"/>
  <c r="BI216" i="2"/>
  <c r="BE205" i="2"/>
  <c r="AB121" i="1"/>
  <c r="BR71" i="4"/>
  <c r="BD133" i="2"/>
  <c r="C144" i="1"/>
  <c r="BK369" i="2"/>
  <c r="BN369" i="2"/>
  <c r="BD311" i="2"/>
  <c r="BD130" i="2"/>
  <c r="D146" i="2"/>
  <c r="BJ269" i="2"/>
  <c r="BP136" i="2"/>
  <c r="BL61" i="4"/>
  <c r="AM35" i="1"/>
  <c r="AM37" i="1" s="1"/>
  <c r="F84" i="17"/>
  <c r="F85" i="17" s="1"/>
  <c r="N141" i="1"/>
  <c r="M141" i="1" s="1"/>
  <c r="M144" i="1" s="1"/>
  <c r="BY147" i="2"/>
  <c r="BE66" i="4"/>
  <c r="BL29" i="1"/>
  <c r="BV373" i="1"/>
  <c r="BP145" i="2"/>
  <c r="BP326" i="1" s="1"/>
  <c r="D145" i="2"/>
  <c r="D326" i="1" s="1"/>
  <c r="F114" i="2"/>
  <c r="BI202" i="2"/>
  <c r="BP135" i="2"/>
  <c r="H37" i="1"/>
  <c r="BV277" i="1"/>
  <c r="E68" i="4"/>
  <c r="E72" i="4" s="1"/>
  <c r="BD114" i="2"/>
  <c r="AS69" i="4"/>
  <c r="AS70" i="4" s="1"/>
  <c r="AS72" i="4" s="1"/>
  <c r="BD80" i="4"/>
  <c r="D142" i="2"/>
  <c r="E114" i="2"/>
  <c r="AB10" i="5"/>
  <c r="BI212" i="2"/>
  <c r="BQ261" i="1"/>
  <c r="BQ381" i="1"/>
  <c r="AR7" i="5"/>
  <c r="BI234" i="2"/>
  <c r="BI215" i="2"/>
  <c r="BP146" i="2"/>
  <c r="BU114" i="2"/>
  <c r="S37" i="1"/>
  <c r="AI43" i="1"/>
  <c r="BI130" i="2"/>
  <c r="BP347" i="2"/>
  <c r="BP363" i="2" s="1"/>
  <c r="D130" i="2"/>
  <c r="BL31" i="1"/>
  <c r="BL33" i="1" s="1"/>
  <c r="E130" i="2"/>
  <c r="BE347" i="2"/>
  <c r="BE363" i="2" s="1"/>
  <c r="BN56" i="4"/>
  <c r="BD145" i="2"/>
  <c r="BD326" i="1" s="1"/>
  <c r="CA360" i="2"/>
  <c r="CA376" i="2" s="1"/>
  <c r="BP133" i="2"/>
  <c r="BI205" i="2"/>
  <c r="M69" i="4"/>
  <c r="M70" i="4" s="1"/>
  <c r="AG264" i="2"/>
  <c r="D141" i="2"/>
  <c r="BL70" i="4"/>
  <c r="U163" i="2"/>
  <c r="V163" i="2"/>
  <c r="AC178" i="2"/>
  <c r="AH264" i="2" s="1"/>
  <c r="O139" i="2"/>
  <c r="T130" i="2"/>
  <c r="X239" i="2"/>
  <c r="X108" i="2"/>
  <c r="P156" i="2"/>
  <c r="X222" i="2"/>
  <c r="BQ186" i="2"/>
  <c r="BQ188" i="2" s="1"/>
  <c r="BQ216" i="2" s="1"/>
  <c r="O133" i="2"/>
  <c r="BE22" i="5"/>
  <c r="BF22" i="5" s="1"/>
  <c r="AL46" i="5"/>
  <c r="BT80" i="4"/>
  <c r="BV35" i="1"/>
  <c r="BV37" i="1" s="1"/>
  <c r="DR30" i="4"/>
  <c r="DS30" i="4" s="1"/>
  <c r="DT30" i="4" s="1"/>
  <c r="DO69" i="2"/>
  <c r="DO344" i="2" s="1"/>
  <c r="DS69" i="2"/>
  <c r="DX69" i="2" s="1"/>
  <c r="CE147" i="2"/>
  <c r="DP81" i="12"/>
  <c r="DT75" i="12"/>
  <c r="DR81" i="12"/>
  <c r="DQ70" i="12"/>
  <c r="F80" i="17"/>
  <c r="G81" i="17"/>
  <c r="AV268" i="2"/>
  <c r="AF146" i="2"/>
  <c r="AX344" i="2"/>
  <c r="AX360" i="2" s="1"/>
  <c r="AF135" i="2"/>
  <c r="AF311" i="2"/>
  <c r="AX286" i="2"/>
  <c r="AF134" i="2"/>
  <c r="H85" i="4"/>
  <c r="H21" i="3"/>
  <c r="H24" i="3" s="1"/>
  <c r="H53" i="3"/>
  <c r="H69" i="3" s="1"/>
  <c r="CC85" i="4"/>
  <c r="D53" i="3"/>
  <c r="D55" i="3" s="1"/>
  <c r="D85" i="4"/>
  <c r="AL84" i="4"/>
  <c r="E66" i="4"/>
  <c r="BG33" i="4"/>
  <c r="BG39" i="4" s="1"/>
  <c r="BG49" i="4" s="1"/>
  <c r="T68" i="4"/>
  <c r="T69" i="4"/>
  <c r="T70" i="4" s="1"/>
  <c r="CA84" i="4"/>
  <c r="Y49" i="4"/>
  <c r="Y50" i="4" s="1"/>
  <c r="AU49" i="4"/>
  <c r="AU50" i="4" s="1"/>
  <c r="BL77" i="4"/>
  <c r="U69" i="4"/>
  <c r="U70" i="4" s="1"/>
  <c r="CA75" i="4"/>
  <c r="V56" i="4"/>
  <c r="V69" i="4" s="1"/>
  <c r="V70" i="4" s="1"/>
  <c r="AR64" i="4"/>
  <c r="AR66" i="4" s="1"/>
  <c r="AL75" i="4"/>
  <c r="F50" i="4"/>
  <c r="BO84" i="4"/>
  <c r="AB7" i="5"/>
  <c r="O50" i="5"/>
  <c r="AX65" i="4"/>
  <c r="CC21" i="3"/>
  <c r="CC24" i="3" s="1"/>
  <c r="CC32" i="3" s="1"/>
  <c r="W154" i="2"/>
  <c r="W127" i="2"/>
  <c r="AE50" i="4"/>
  <c r="AM24" i="5"/>
  <c r="AG45" i="5"/>
  <c r="AS75" i="4"/>
  <c r="AX72" i="4"/>
  <c r="BF367" i="2"/>
  <c r="AV286" i="2"/>
  <c r="AX49" i="4"/>
  <c r="AX50" i="4" s="1"/>
  <c r="P311" i="2"/>
  <c r="AS84" i="4"/>
  <c r="AX66" i="4"/>
  <c r="AR24" i="5"/>
  <c r="W82" i="2"/>
  <c r="Y156" i="2" s="1"/>
  <c r="K311" i="2"/>
  <c r="K140" i="2"/>
  <c r="Y154" i="2"/>
  <c r="BC39" i="4"/>
  <c r="BC49" i="4" s="1"/>
  <c r="BC50" i="4" s="1"/>
  <c r="AD282" i="2"/>
  <c r="AJ136" i="2"/>
  <c r="AB264" i="2"/>
  <c r="BC84" i="4"/>
  <c r="H130" i="2"/>
  <c r="V160" i="2"/>
  <c r="U160" i="2"/>
  <c r="W160" i="2"/>
  <c r="T160" i="2"/>
  <c r="AY368" i="2"/>
  <c r="BA368" i="2"/>
  <c r="J50" i="5"/>
  <c r="DE368" i="1"/>
  <c r="H142" i="2"/>
  <c r="T49" i="4"/>
  <c r="T50" i="4" s="1"/>
  <c r="AJ114" i="2"/>
  <c r="AX368" i="2"/>
  <c r="T66" i="4"/>
  <c r="AJ134" i="2"/>
  <c r="AJ346" i="2"/>
  <c r="AJ362" i="2" s="1"/>
  <c r="AJ130" i="2"/>
  <c r="AE37" i="1"/>
  <c r="AA49" i="4"/>
  <c r="AA50" i="4" s="1"/>
  <c r="AO114" i="2"/>
  <c r="CA64" i="4"/>
  <c r="CA66" i="4" s="1"/>
  <c r="R286" i="2"/>
  <c r="AJ156" i="2"/>
  <c r="W35" i="5"/>
  <c r="AJ133" i="2"/>
  <c r="R190" i="1"/>
  <c r="BK84" i="4"/>
  <c r="W46" i="5"/>
  <c r="AF66" i="4"/>
  <c r="AZ48" i="5"/>
  <c r="AH7" i="5"/>
  <c r="W163" i="2"/>
  <c r="BE145" i="2"/>
  <c r="BE326" i="1" s="1"/>
  <c r="X309" i="2"/>
  <c r="BE134" i="2"/>
  <c r="AK37" i="1"/>
  <c r="Q37" i="1"/>
  <c r="X37" i="1"/>
  <c r="BI114" i="2"/>
  <c r="BS65" i="4"/>
  <c r="O24" i="3"/>
  <c r="O57" i="5" s="1"/>
  <c r="BE311" i="2"/>
  <c r="O206" i="2"/>
  <c r="AL49" i="4"/>
  <c r="AL50" i="4" s="1"/>
  <c r="BD134" i="2"/>
  <c r="BV380" i="1"/>
  <c r="AV10" i="5"/>
  <c r="BA69" i="4"/>
  <c r="BA71" i="4" s="1"/>
  <c r="G71" i="4"/>
  <c r="BE346" i="2"/>
  <c r="BE362" i="2" s="1"/>
  <c r="BD135" i="2"/>
  <c r="V80" i="4"/>
  <c r="P56" i="4"/>
  <c r="Q56" i="4" s="1"/>
  <c r="D50" i="5"/>
  <c r="D52" i="5" s="1"/>
  <c r="E51" i="5" s="1"/>
  <c r="BO75" i="4"/>
  <c r="CK353" i="1"/>
  <c r="AI50" i="5"/>
  <c r="K145" i="2"/>
  <c r="K326" i="1" s="1"/>
  <c r="AA66" i="4"/>
  <c r="BM66" i="4"/>
  <c r="K80" i="4"/>
  <c r="BM350" i="2"/>
  <c r="BO366" i="2" s="1"/>
  <c r="P145" i="2"/>
  <c r="P326" i="1" s="1"/>
  <c r="P139" i="2"/>
  <c r="P146" i="2"/>
  <c r="P137" i="2"/>
  <c r="P133" i="2"/>
  <c r="P138" i="2"/>
  <c r="P140" i="2"/>
  <c r="C147" i="2"/>
  <c r="K43" i="1"/>
  <c r="K37" i="1"/>
  <c r="AJ135" i="2"/>
  <c r="AJ145" i="2"/>
  <c r="AJ326" i="1" s="1"/>
  <c r="AJ146" i="2"/>
  <c r="AE115" i="12"/>
  <c r="AH60" i="3"/>
  <c r="BO53" i="3"/>
  <c r="BO62" i="3" s="1"/>
  <c r="BO85" i="4"/>
  <c r="AM76" i="4"/>
  <c r="CC80" i="4"/>
  <c r="D80" i="4"/>
  <c r="BM85" i="4"/>
  <c r="BQ29" i="3"/>
  <c r="CP19" i="12"/>
  <c r="AF80" i="4"/>
  <c r="BE202" i="2"/>
  <c r="BE203" i="2"/>
  <c r="BE234" i="2"/>
  <c r="O71" i="4"/>
  <c r="X316" i="1"/>
  <c r="AF48" i="5"/>
  <c r="AV78" i="4"/>
  <c r="AV79" i="4" s="1"/>
  <c r="BC66" i="4"/>
  <c r="BR304" i="2"/>
  <c r="BS347" i="2" s="1"/>
  <c r="BS363" i="2" s="1"/>
  <c r="BW379" i="2" s="1"/>
  <c r="AC37" i="1"/>
  <c r="BQ350" i="2"/>
  <c r="BQ366" i="2" s="1"/>
  <c r="I85" i="4"/>
  <c r="AW12" i="3"/>
  <c r="AW78" i="4" s="1"/>
  <c r="AW79" i="4" s="1"/>
  <c r="AK48" i="5"/>
  <c r="AS80" i="4"/>
  <c r="AO143" i="2"/>
  <c r="AO147" i="2" s="1"/>
  <c r="DJ60" i="12"/>
  <c r="DF70" i="12"/>
  <c r="DF69" i="12" s="1"/>
  <c r="AZ202" i="2"/>
  <c r="K137" i="2"/>
  <c r="H360" i="2"/>
  <c r="H376" i="2" s="1"/>
  <c r="D58" i="5"/>
  <c r="F346" i="2"/>
  <c r="F362" i="2" s="1"/>
  <c r="F378" i="2" s="1"/>
  <c r="BE269" i="2"/>
  <c r="I347" i="2"/>
  <c r="I363" i="2" s="1"/>
  <c r="I379" i="2" s="1"/>
  <c r="K133" i="2"/>
  <c r="AZ215" i="2"/>
  <c r="D347" i="2"/>
  <c r="D363" i="2" s="1"/>
  <c r="D379" i="2" s="1"/>
  <c r="K139" i="2"/>
  <c r="BK311" i="2"/>
  <c r="K146" i="2"/>
  <c r="AZ214" i="2"/>
  <c r="AZ327" i="1" s="1"/>
  <c r="D114" i="2"/>
  <c r="P130" i="2"/>
  <c r="AZ204" i="2"/>
  <c r="F142" i="2"/>
  <c r="BX212" i="2"/>
  <c r="AB69" i="4"/>
  <c r="AB70" i="4" s="1"/>
  <c r="AA360" i="2"/>
  <c r="BX214" i="2"/>
  <c r="BX327" i="1" s="1"/>
  <c r="G130" i="2"/>
  <c r="F133" i="2"/>
  <c r="BX204" i="2"/>
  <c r="AG18" i="5"/>
  <c r="AF18" i="5"/>
  <c r="BK70" i="4"/>
  <c r="BK72" i="4" s="1"/>
  <c r="BY287" i="2"/>
  <c r="AO49" i="4"/>
  <c r="AO50" i="4" s="1"/>
  <c r="BG29" i="1"/>
  <c r="Q62" i="4"/>
  <c r="Q68" i="4" s="1"/>
  <c r="BO80" i="4"/>
  <c r="F130" i="2"/>
  <c r="CC269" i="2"/>
  <c r="AV35" i="1"/>
  <c r="AV37" i="1" s="1"/>
  <c r="AJ21" i="3"/>
  <c r="AJ24" i="3" s="1"/>
  <c r="I137" i="2"/>
  <c r="BX217" i="2"/>
  <c r="BX215" i="2"/>
  <c r="F141" i="2"/>
  <c r="AU54" i="3"/>
  <c r="AC92" i="1"/>
  <c r="BG35" i="1"/>
  <c r="BG37" i="1" s="1"/>
  <c r="BV45" i="5"/>
  <c r="AM261" i="1"/>
  <c r="AD69" i="4"/>
  <c r="AD70" i="4" s="1"/>
  <c r="AE56" i="4"/>
  <c r="AE69" i="4" s="1"/>
  <c r="AE70" i="4" s="1"/>
  <c r="AE72" i="4" s="1"/>
  <c r="BL75" i="4"/>
  <c r="G114" i="2"/>
  <c r="BX287" i="2"/>
  <c r="J39" i="30"/>
  <c r="AJ85" i="4"/>
  <c r="BX213" i="2"/>
  <c r="F347" i="2"/>
  <c r="F363" i="2" s="1"/>
  <c r="F379" i="2" s="1"/>
  <c r="BX202" i="2"/>
  <c r="BX205" i="2"/>
  <c r="AU135" i="2"/>
  <c r="AT136" i="2"/>
  <c r="W81" i="4"/>
  <c r="D49" i="4"/>
  <c r="D50" i="4" s="1"/>
  <c r="S10" i="5"/>
  <c r="S10" i="17"/>
  <c r="S7" i="17"/>
  <c r="BX216" i="2"/>
  <c r="F311" i="2"/>
  <c r="CC251" i="2"/>
  <c r="R69" i="4"/>
  <c r="R70" i="4" s="1"/>
  <c r="V49" i="4"/>
  <c r="V50" i="4" s="1"/>
  <c r="F146" i="2"/>
  <c r="BY49" i="4"/>
  <c r="BY50" i="4" s="1"/>
  <c r="BQ24" i="5"/>
  <c r="BY66" i="4"/>
  <c r="AB135" i="12"/>
  <c r="AB136" i="12" s="1"/>
  <c r="AR114" i="12"/>
  <c r="AR135" i="12" s="1"/>
  <c r="BE366" i="2"/>
  <c r="J346" i="2"/>
  <c r="J362" i="2" s="1"/>
  <c r="J139" i="2"/>
  <c r="U145" i="2"/>
  <c r="U326" i="1" s="1"/>
  <c r="BX203" i="2"/>
  <c r="O214" i="2"/>
  <c r="O327" i="1" s="1"/>
  <c r="AZ212" i="2"/>
  <c r="R143" i="2"/>
  <c r="R147" i="2" s="1"/>
  <c r="J133" i="2"/>
  <c r="U347" i="2"/>
  <c r="U363" i="2" s="1"/>
  <c r="T134" i="2"/>
  <c r="U130" i="2"/>
  <c r="U134" i="2"/>
  <c r="T234" i="2"/>
  <c r="U114" i="2"/>
  <c r="J138" i="2"/>
  <c r="U346" i="2"/>
  <c r="U362" i="2" s="1"/>
  <c r="V130" i="2"/>
  <c r="J145" i="2"/>
  <c r="J326" i="1" s="1"/>
  <c r="U133" i="2"/>
  <c r="AD163" i="2"/>
  <c r="J140" i="2"/>
  <c r="J137" i="2"/>
  <c r="V156" i="2"/>
  <c r="J146" i="2"/>
  <c r="T136" i="2"/>
  <c r="U136" i="2"/>
  <c r="O130" i="2"/>
  <c r="U135" i="2"/>
  <c r="K156" i="2"/>
  <c r="U146" i="2"/>
  <c r="L156" i="2"/>
  <c r="Y115" i="12"/>
  <c r="T115" i="12"/>
  <c r="T136" i="12"/>
  <c r="BG186" i="2"/>
  <c r="BG188" i="2" s="1"/>
  <c r="BU147" i="2"/>
  <c r="BP346" i="2"/>
  <c r="BP362" i="2" s="1"/>
  <c r="Q133" i="2"/>
  <c r="BY69" i="4"/>
  <c r="BY70" i="4" s="1"/>
  <c r="BY72" i="4" s="1"/>
  <c r="AL10" i="5"/>
  <c r="L49" i="4"/>
  <c r="L50" i="4" s="1"/>
  <c r="Q311" i="2"/>
  <c r="X24" i="5"/>
  <c r="Q140" i="2"/>
  <c r="Q139" i="2"/>
  <c r="T133" i="2"/>
  <c r="T145" i="2"/>
  <c r="T326" i="1" s="1"/>
  <c r="AK135" i="2"/>
  <c r="AR261" i="1"/>
  <c r="CP360" i="1"/>
  <c r="BX56" i="4"/>
  <c r="BQ48" i="3"/>
  <c r="BQ49" i="3" s="1"/>
  <c r="H70" i="4"/>
  <c r="H72" i="4" s="1"/>
  <c r="AP204" i="2"/>
  <c r="BL64" i="4"/>
  <c r="BL66" i="4" s="1"/>
  <c r="T135" i="2"/>
  <c r="BV364" i="1"/>
  <c r="AY69" i="4"/>
  <c r="AY70" i="4" s="1"/>
  <c r="L68" i="4"/>
  <c r="N46" i="5"/>
  <c r="BO50" i="4"/>
  <c r="T311" i="2"/>
  <c r="U156" i="2"/>
  <c r="R156" i="2"/>
  <c r="Q146" i="2"/>
  <c r="T146" i="2"/>
  <c r="AZ56" i="4"/>
  <c r="CP342" i="1"/>
  <c r="L66" i="4"/>
  <c r="S186" i="2"/>
  <c r="S188" i="2" s="1"/>
  <c r="S216" i="2" s="1"/>
  <c r="T156" i="2"/>
  <c r="Q145" i="2"/>
  <c r="Q326" i="1" s="1"/>
  <c r="Q138" i="2"/>
  <c r="Q156" i="2"/>
  <c r="Q137" i="2"/>
  <c r="BK212" i="2"/>
  <c r="BV29" i="1"/>
  <c r="BZ89" i="4"/>
  <c r="BS80" i="4"/>
  <c r="AF49" i="4"/>
  <c r="AF50" i="4" s="1"/>
  <c r="BK75" i="4"/>
  <c r="R188" i="2"/>
  <c r="R216" i="2" s="1"/>
  <c r="M7" i="5"/>
  <c r="AD53" i="3"/>
  <c r="AD55" i="3" s="1"/>
  <c r="BH53" i="3"/>
  <c r="BH62" i="3" s="1"/>
  <c r="AP134" i="2"/>
  <c r="W115" i="12"/>
  <c r="AP115" i="12"/>
  <c r="AB115" i="12"/>
  <c r="H114" i="2"/>
  <c r="H311" i="2"/>
  <c r="H145" i="2"/>
  <c r="H326" i="1" s="1"/>
  <c r="H138" i="2"/>
  <c r="H139" i="2"/>
  <c r="H347" i="2"/>
  <c r="H363" i="2" s="1"/>
  <c r="H379" i="2" s="1"/>
  <c r="H140" i="2"/>
  <c r="H346" i="2"/>
  <c r="H362" i="2" s="1"/>
  <c r="H378" i="2" s="1"/>
  <c r="H146" i="2"/>
  <c r="H137" i="2"/>
  <c r="N104" i="2"/>
  <c r="H133" i="2"/>
  <c r="X114" i="12"/>
  <c r="X135" i="12" s="1"/>
  <c r="BA135" i="12"/>
  <c r="BA136" i="12" s="1"/>
  <c r="AV115" i="12"/>
  <c r="AQ75" i="4"/>
  <c r="DL70" i="12"/>
  <c r="DK81" i="12"/>
  <c r="DM81" i="12"/>
  <c r="DO75" i="12"/>
  <c r="I53" i="3"/>
  <c r="I62" i="3" s="1"/>
  <c r="BZ64" i="3"/>
  <c r="BK130" i="2"/>
  <c r="AU146" i="2"/>
  <c r="L146" i="2"/>
  <c r="L133" i="2"/>
  <c r="AU134" i="2"/>
  <c r="BK133" i="2"/>
  <c r="L139" i="2"/>
  <c r="L137" i="2"/>
  <c r="AU145" i="2"/>
  <c r="AU326" i="1" s="1"/>
  <c r="AU136" i="2"/>
  <c r="BK134" i="2"/>
  <c r="AU114" i="2"/>
  <c r="BH24" i="3"/>
  <c r="BH32" i="3" s="1"/>
  <c r="BH34" i="3" s="1"/>
  <c r="BH85" i="4"/>
  <c r="F62" i="3"/>
  <c r="BK234" i="2"/>
  <c r="AX135" i="12"/>
  <c r="AX136" i="12" s="1"/>
  <c r="AQ115" i="12"/>
  <c r="AQ135" i="12"/>
  <c r="AV136" i="12" s="1"/>
  <c r="O80" i="17"/>
  <c r="R80" i="17"/>
  <c r="J80" i="17"/>
  <c r="V84" i="17"/>
  <c r="V85" i="17" s="1"/>
  <c r="AP203" i="2"/>
  <c r="AP212" i="2"/>
  <c r="AP214" i="2"/>
  <c r="AP327" i="1" s="1"/>
  <c r="AP215" i="2"/>
  <c r="AP216" i="2"/>
  <c r="AX202" i="2"/>
  <c r="AO366" i="2"/>
  <c r="AN94" i="2"/>
  <c r="AN114" i="2" s="1"/>
  <c r="AP205" i="2"/>
  <c r="Q216" i="2"/>
  <c r="BF360" i="2"/>
  <c r="BI376" i="2" s="1"/>
  <c r="BC218" i="2"/>
  <c r="Y130" i="2"/>
  <c r="BG231" i="2"/>
  <c r="Y311" i="2"/>
  <c r="Z146" i="2"/>
  <c r="BM114" i="2"/>
  <c r="Y133" i="2"/>
  <c r="Z130" i="2"/>
  <c r="Y114" i="2"/>
  <c r="AE114" i="2"/>
  <c r="DN127" i="2"/>
  <c r="DN360" i="2"/>
  <c r="DQ376" i="2" s="1"/>
  <c r="DN309" i="2"/>
  <c r="BZ147" i="2"/>
  <c r="Y134" i="2"/>
  <c r="AK133" i="2"/>
  <c r="AK311" i="2"/>
  <c r="Y347" i="2"/>
  <c r="Y363" i="2" s="1"/>
  <c r="BH367" i="2"/>
  <c r="AK156" i="2"/>
  <c r="M366" i="2"/>
  <c r="N366" i="2" s="1"/>
  <c r="AR82" i="2"/>
  <c r="AN165" i="2" s="1"/>
  <c r="AP133" i="2"/>
  <c r="AP234" i="2"/>
  <c r="BC134" i="2"/>
  <c r="BB350" i="2"/>
  <c r="BB366" i="2" s="1"/>
  <c r="Q130" i="2"/>
  <c r="BP114" i="2"/>
  <c r="BR114" i="2"/>
  <c r="AP136" i="2"/>
  <c r="L140" i="2"/>
  <c r="AF346" i="2"/>
  <c r="AF362" i="2" s="1"/>
  <c r="AP114" i="2"/>
  <c r="BK135" i="2"/>
  <c r="BK136" i="2"/>
  <c r="V143" i="2"/>
  <c r="V147" i="2" s="1"/>
  <c r="BS147" i="2"/>
  <c r="BK346" i="2"/>
  <c r="BK362" i="2" s="1"/>
  <c r="AQ163" i="2"/>
  <c r="AP146" i="2"/>
  <c r="AP135" i="2"/>
  <c r="BA286" i="2"/>
  <c r="AR231" i="2"/>
  <c r="BC136" i="2"/>
  <c r="BC133" i="2"/>
  <c r="T163" i="2"/>
  <c r="AP163" i="2"/>
  <c r="BK114" i="2"/>
  <c r="BE136" i="2"/>
  <c r="AU130" i="2"/>
  <c r="AF133" i="2"/>
  <c r="BE146" i="2"/>
  <c r="AF156" i="2"/>
  <c r="Q114" i="2"/>
  <c r="BL127" i="2"/>
  <c r="X82" i="2"/>
  <c r="BK146" i="2"/>
  <c r="T66" i="2"/>
  <c r="X66" i="2" s="1"/>
  <c r="X101" i="2" s="1"/>
  <c r="X104" i="2" s="1"/>
  <c r="BE133" i="2"/>
  <c r="BM311" i="2"/>
  <c r="AP145" i="2"/>
  <c r="AP326" i="1" s="1"/>
  <c r="L138" i="2"/>
  <c r="AF145" i="2"/>
  <c r="AF326" i="1" s="1"/>
  <c r="AK114" i="2"/>
  <c r="L145" i="2"/>
  <c r="L326" i="1" s="1"/>
  <c r="BN368" i="2"/>
  <c r="BG264" i="2"/>
  <c r="BP130" i="2"/>
  <c r="BJ146" i="2"/>
  <c r="BC115" i="12"/>
  <c r="AL135" i="12"/>
  <c r="AL136" i="12" s="1"/>
  <c r="AN80" i="17"/>
  <c r="AM7" i="5"/>
  <c r="BQ54" i="3"/>
  <c r="BL35" i="5"/>
  <c r="BJ48" i="5"/>
  <c r="Q48" i="5"/>
  <c r="L18" i="5"/>
  <c r="Y32" i="5"/>
  <c r="AN69" i="4"/>
  <c r="AN71" i="4" s="1"/>
  <c r="CD66" i="4"/>
  <c r="BT18" i="5"/>
  <c r="C66" i="4"/>
  <c r="BD75" i="4"/>
  <c r="AW49" i="4"/>
  <c r="AR75" i="4"/>
  <c r="AR84" i="4"/>
  <c r="BD84" i="4"/>
  <c r="AQ84" i="4"/>
  <c r="AY55" i="3"/>
  <c r="AY61" i="3" s="1"/>
  <c r="CC62" i="4"/>
  <c r="CC66" i="4" s="1"/>
  <c r="AH18" i="5"/>
  <c r="V18" i="5"/>
  <c r="C68" i="4"/>
  <c r="C71" i="4" s="1"/>
  <c r="BM71" i="4"/>
  <c r="BE68" i="4"/>
  <c r="BI49" i="4"/>
  <c r="BI50" i="4" s="1"/>
  <c r="K56" i="4"/>
  <c r="L56" i="4" s="1"/>
  <c r="BL84" i="4"/>
  <c r="AV72" i="4"/>
  <c r="BA84" i="4"/>
  <c r="AT80" i="4"/>
  <c r="AR69" i="4"/>
  <c r="AR70" i="4" s="1"/>
  <c r="BL24" i="4"/>
  <c r="BG65" i="4"/>
  <c r="AF68" i="4"/>
  <c r="BM72" i="4"/>
  <c r="BW72" i="4"/>
  <c r="AF65" i="4"/>
  <c r="BI66" i="4"/>
  <c r="BM65" i="4"/>
  <c r="I140" i="2"/>
  <c r="AD215" i="2"/>
  <c r="I114" i="2"/>
  <c r="Y145" i="2"/>
  <c r="Y326" i="1" s="1"/>
  <c r="R347" i="2"/>
  <c r="R363" i="2" s="1"/>
  <c r="Q203" i="2"/>
  <c r="AN367" i="2"/>
  <c r="X127" i="2"/>
  <c r="AM59" i="3"/>
  <c r="Y53" i="3"/>
  <c r="I133" i="2"/>
  <c r="Y136" i="2"/>
  <c r="Y234" i="2"/>
  <c r="BS85" i="4"/>
  <c r="AK145" i="2"/>
  <c r="AK326" i="1" s="1"/>
  <c r="AT135" i="2"/>
  <c r="BA346" i="2"/>
  <c r="BA362" i="2" s="1"/>
  <c r="BG309" i="2"/>
  <c r="I130" i="2"/>
  <c r="Z114" i="2"/>
  <c r="L85" i="4"/>
  <c r="L53" i="3"/>
  <c r="L62" i="3" s="1"/>
  <c r="AT114" i="2"/>
  <c r="AY130" i="2"/>
  <c r="BM346" i="2"/>
  <c r="BM362" i="2" s="1"/>
  <c r="AY114" i="2"/>
  <c r="Z156" i="2"/>
  <c r="Y346" i="2"/>
  <c r="Y362" i="2" s="1"/>
  <c r="AT311" i="2"/>
  <c r="L21" i="3"/>
  <c r="L63" i="3" s="1"/>
  <c r="L46" i="3" s="1"/>
  <c r="BL82" i="2"/>
  <c r="BQ130" i="2" s="1"/>
  <c r="AC59" i="3"/>
  <c r="Y146" i="2"/>
  <c r="Z134" i="2"/>
  <c r="BM130" i="2"/>
  <c r="AK134" i="2"/>
  <c r="AT134" i="2"/>
  <c r="AN346" i="2"/>
  <c r="AN362" i="2" s="1"/>
  <c r="AP130" i="2"/>
  <c r="BA347" i="2"/>
  <c r="BA363" i="2" s="1"/>
  <c r="I311" i="2"/>
  <c r="AO360" i="2"/>
  <c r="S231" i="2"/>
  <c r="AT145" i="2"/>
  <c r="AT326" i="1" s="1"/>
  <c r="BC145" i="2"/>
  <c r="BC326" i="1" s="1"/>
  <c r="BC234" i="2"/>
  <c r="AK346" i="2"/>
  <c r="AK362" i="2" s="1"/>
  <c r="I139" i="2"/>
  <c r="AK136" i="2"/>
  <c r="BZ26" i="3"/>
  <c r="Q163" i="2"/>
  <c r="AY346" i="2"/>
  <c r="AY362" i="2" s="1"/>
  <c r="AY347" i="2"/>
  <c r="AY363" i="2" s="1"/>
  <c r="I138" i="2"/>
  <c r="Z311" i="2"/>
  <c r="AK130" i="2"/>
  <c r="Z135" i="2"/>
  <c r="BW147" i="2"/>
  <c r="AS114" i="2"/>
  <c r="I346" i="2"/>
  <c r="I362" i="2" s="1"/>
  <c r="I378" i="2" s="1"/>
  <c r="AT130" i="2"/>
  <c r="AT146" i="2"/>
  <c r="I145" i="2"/>
  <c r="I326" i="1" s="1"/>
  <c r="BC311" i="2"/>
  <c r="Z366" i="2"/>
  <c r="BR268" i="2"/>
  <c r="CC55" i="3"/>
  <c r="CC61" i="3" s="1"/>
  <c r="BS55" i="3"/>
  <c r="BS61" i="3" s="1"/>
  <c r="BC135" i="2"/>
  <c r="D360" i="2"/>
  <c r="D376" i="2" s="1"/>
  <c r="Z50" i="4"/>
  <c r="AZ268" i="2"/>
  <c r="AU268" i="2"/>
  <c r="AK366" i="2"/>
  <c r="AU188" i="2"/>
  <c r="AV287" i="2" s="1"/>
  <c r="CF84" i="4"/>
  <c r="AK80" i="4"/>
  <c r="I80" i="4"/>
  <c r="BK287" i="2"/>
  <c r="BK214" i="2"/>
  <c r="BK327" i="1" s="1"/>
  <c r="BK205" i="2"/>
  <c r="BK203" i="2"/>
  <c r="BK215" i="2"/>
  <c r="BK204" i="2"/>
  <c r="BK216" i="2"/>
  <c r="AZ115" i="12"/>
  <c r="BA115" i="12"/>
  <c r="BJ53" i="3"/>
  <c r="BJ62" i="3" s="1"/>
  <c r="AE80" i="4"/>
  <c r="BM53" i="3"/>
  <c r="BM62" i="3" s="1"/>
  <c r="AI135" i="12"/>
  <c r="AN136" i="12" s="1"/>
  <c r="AI115" i="12"/>
  <c r="CO31" i="17"/>
  <c r="CO32" i="17" s="1"/>
  <c r="AO46" i="30"/>
  <c r="AM114" i="12"/>
  <c r="AM135" i="12" s="1"/>
  <c r="AL115" i="12"/>
  <c r="AG115" i="12"/>
  <c r="BT367" i="2"/>
  <c r="AI366" i="2"/>
  <c r="BS367" i="2"/>
  <c r="AT360" i="2"/>
  <c r="AV74" i="3"/>
  <c r="BA67" i="3"/>
  <c r="AW8" i="3"/>
  <c r="BB67" i="3" s="1"/>
  <c r="AV59" i="3"/>
  <c r="AV58" i="3"/>
  <c r="AV13" i="3"/>
  <c r="AV18" i="3" s="1"/>
  <c r="AV21" i="3" s="1"/>
  <c r="AV76" i="4"/>
  <c r="AV67" i="3"/>
  <c r="AX54" i="5"/>
  <c r="AX56" i="5" s="1"/>
  <c r="AX59" i="5" s="1"/>
  <c r="BA9" i="5"/>
  <c r="AZ54" i="3"/>
  <c r="AZ55" i="3" s="1"/>
  <c r="AO66" i="4"/>
  <c r="C49" i="4"/>
  <c r="C50" i="4" s="1"/>
  <c r="AJ56" i="4"/>
  <c r="AW69" i="4"/>
  <c r="AW70" i="4" s="1"/>
  <c r="AW64" i="4"/>
  <c r="AW66" i="4" s="1"/>
  <c r="D66" i="4"/>
  <c r="AK84" i="4"/>
  <c r="AO68" i="4"/>
  <c r="BS66" i="4"/>
  <c r="M81" i="4"/>
  <c r="BQ66" i="4"/>
  <c r="AK75" i="4"/>
  <c r="AM64" i="4"/>
  <c r="CF75" i="4"/>
  <c r="BT81" i="4"/>
  <c r="AR49" i="4"/>
  <c r="AR50" i="4" s="1"/>
  <c r="AM70" i="4"/>
  <c r="AJ49" i="4"/>
  <c r="AJ50" i="4" s="1"/>
  <c r="O72" i="4"/>
  <c r="BL248" i="2"/>
  <c r="AN366" i="2"/>
  <c r="BT147" i="2"/>
  <c r="AV143" i="2"/>
  <c r="AV147" i="2" s="1"/>
  <c r="Y21" i="3"/>
  <c r="Y63" i="3" s="1"/>
  <c r="AY21" i="3"/>
  <c r="AY24" i="3" s="1"/>
  <c r="AY26" i="3" s="1"/>
  <c r="AY85" i="4"/>
  <c r="U85" i="4"/>
  <c r="J85" i="4"/>
  <c r="U53" i="3"/>
  <c r="U62" i="3" s="1"/>
  <c r="P80" i="4"/>
  <c r="AY62" i="3"/>
  <c r="AV60" i="3"/>
  <c r="BE85" i="4"/>
  <c r="AK24" i="3"/>
  <c r="AK26" i="3" s="1"/>
  <c r="V21" i="3"/>
  <c r="V63" i="3" s="1"/>
  <c r="V46" i="3" s="1"/>
  <c r="BE55" i="3"/>
  <c r="BE61" i="3" s="1"/>
  <c r="F21" i="3"/>
  <c r="F63" i="3" s="1"/>
  <c r="F46" i="3" s="1"/>
  <c r="K63" i="3"/>
  <c r="K46" i="3" s="1"/>
  <c r="BJ21" i="3"/>
  <c r="BJ24" i="3" s="1"/>
  <c r="BJ26" i="3" s="1"/>
  <c r="BE21" i="3"/>
  <c r="BE24" i="3" s="1"/>
  <c r="BE32" i="3" s="1"/>
  <c r="AA85" i="4"/>
  <c r="AI80" i="4"/>
  <c r="AK53" i="3"/>
  <c r="AK62" i="3" s="1"/>
  <c r="G69" i="3"/>
  <c r="BL78" i="4"/>
  <c r="BL79" i="4" s="1"/>
  <c r="BQ77" i="4"/>
  <c r="V53" i="3"/>
  <c r="V62" i="3" s="1"/>
  <c r="BE80" i="4"/>
  <c r="AZ80" i="4"/>
  <c r="AK85" i="4"/>
  <c r="AD85" i="4"/>
  <c r="F85" i="4"/>
  <c r="M80" i="4"/>
  <c r="AU80" i="4"/>
  <c r="BI80" i="4"/>
  <c r="AX80" i="4"/>
  <c r="BO205" i="2"/>
  <c r="BP214" i="2"/>
  <c r="BP327" i="1" s="1"/>
  <c r="BP215" i="2"/>
  <c r="BP204" i="2"/>
  <c r="BF268" i="2"/>
  <c r="BA188" i="2"/>
  <c r="BA212" i="2" s="1"/>
  <c r="BO215" i="2"/>
  <c r="BP216" i="2"/>
  <c r="BL132" i="12"/>
  <c r="BL111" i="2"/>
  <c r="S82" i="2"/>
  <c r="Q165" i="2" s="1"/>
  <c r="AN163" i="2"/>
  <c r="BM136" i="2"/>
  <c r="BP202" i="2"/>
  <c r="R101" i="2"/>
  <c r="R104" i="2" s="1"/>
  <c r="R114" i="2" s="1"/>
  <c r="AH238" i="2"/>
  <c r="AE130" i="2"/>
  <c r="BL264" i="2"/>
  <c r="F211" i="2"/>
  <c r="BR344" i="2"/>
  <c r="BR360" i="2" s="1"/>
  <c r="BU376" i="2" s="1"/>
  <c r="BU367" i="2"/>
  <c r="AO286" i="2"/>
  <c r="BP234" i="2"/>
  <c r="AP286" i="2"/>
  <c r="F251" i="2"/>
  <c r="BR130" i="2"/>
  <c r="BP205" i="2"/>
  <c r="BP251" i="2"/>
  <c r="BP212" i="2"/>
  <c r="F216" i="2"/>
  <c r="F234" i="2"/>
  <c r="BM133" i="2"/>
  <c r="BP203" i="2"/>
  <c r="Z136" i="2"/>
  <c r="Z133" i="2"/>
  <c r="BM134" i="2"/>
  <c r="AL366" i="2"/>
  <c r="AM366" i="2" s="1"/>
  <c r="D211" i="2"/>
  <c r="CC347" i="2"/>
  <c r="CC363" i="2" s="1"/>
  <c r="F210" i="2"/>
  <c r="BG127" i="2"/>
  <c r="O163" i="2"/>
  <c r="BM146" i="2"/>
  <c r="AC235" i="2"/>
  <c r="F215" i="2"/>
  <c r="U369" i="2"/>
  <c r="R163" i="2"/>
  <c r="BL231" i="2"/>
  <c r="BV111" i="2"/>
  <c r="AO163" i="2"/>
  <c r="BM135" i="2"/>
  <c r="Z145" i="2"/>
  <c r="Z326" i="1" s="1"/>
  <c r="Z347" i="2"/>
  <c r="Z363" i="2" s="1"/>
  <c r="AL367" i="2"/>
  <c r="AM367" i="2" s="1"/>
  <c r="AX133" i="2"/>
  <c r="CC311" i="2"/>
  <c r="BA268" i="2"/>
  <c r="F214" i="2"/>
  <c r="F327" i="1" s="1"/>
  <c r="F212" i="2"/>
  <c r="F202" i="2"/>
  <c r="R346" i="2"/>
  <c r="R362" i="2" s="1"/>
  <c r="BP269" i="2"/>
  <c r="BQ264" i="2"/>
  <c r="BR218" i="2"/>
  <c r="BW218" i="2"/>
  <c r="CB147" i="2"/>
  <c r="AC350" i="2"/>
  <c r="BJ234" i="2"/>
  <c r="BQ127" i="2"/>
  <c r="BO114" i="2"/>
  <c r="BJ114" i="2"/>
  <c r="D202" i="2"/>
  <c r="BJ346" i="2"/>
  <c r="BJ362" i="2" s="1"/>
  <c r="BV127" i="2"/>
  <c r="BJ130" i="2"/>
  <c r="BO130" i="2"/>
  <c r="D215" i="2"/>
  <c r="D214" i="2"/>
  <c r="D327" i="1" s="1"/>
  <c r="BJ135" i="2"/>
  <c r="D269" i="2"/>
  <c r="V360" i="2"/>
  <c r="BQ111" i="2"/>
  <c r="BJ134" i="2"/>
  <c r="E269" i="2"/>
  <c r="D212" i="2"/>
  <c r="BJ145" i="2"/>
  <c r="BJ326" i="1" s="1"/>
  <c r="AV369" i="2"/>
  <c r="AW369" i="2" s="1"/>
  <c r="AX369" i="2"/>
  <c r="AI143" i="2"/>
  <c r="AI147" i="2" s="1"/>
  <c r="BJ347" i="2"/>
  <c r="BJ363" i="2" s="1"/>
  <c r="BJ251" i="2"/>
  <c r="BJ136" i="2"/>
  <c r="D251" i="2"/>
  <c r="D210" i="2"/>
  <c r="E251" i="2"/>
  <c r="D234" i="2"/>
  <c r="AE163" i="2"/>
  <c r="BO203" i="2"/>
  <c r="AW350" i="2"/>
  <c r="BO234" i="2"/>
  <c r="O207" i="2"/>
  <c r="O205" i="2"/>
  <c r="AX134" i="2"/>
  <c r="AO188" i="2"/>
  <c r="AO204" i="2" s="1"/>
  <c r="C218" i="2"/>
  <c r="AX205" i="2"/>
  <c r="AC308" i="2"/>
  <c r="BO269" i="2"/>
  <c r="BV248" i="2"/>
  <c r="AG163" i="2"/>
  <c r="AX130" i="2"/>
  <c r="I360" i="2"/>
  <c r="I376" i="2" s="1"/>
  <c r="BO202" i="2"/>
  <c r="AX347" i="2"/>
  <c r="AX363" i="2" s="1"/>
  <c r="BO204" i="2"/>
  <c r="O234" i="2"/>
  <c r="AX214" i="2"/>
  <c r="AX327" i="1" s="1"/>
  <c r="AC302" i="2"/>
  <c r="AC304" i="2" s="1"/>
  <c r="AD347" i="2" s="1"/>
  <c r="AD363" i="2" s="1"/>
  <c r="O203" i="2"/>
  <c r="O202" i="2"/>
  <c r="AX136" i="2"/>
  <c r="BO212" i="2"/>
  <c r="BV264" i="2"/>
  <c r="AF163" i="2"/>
  <c r="AX311" i="2"/>
  <c r="BT251" i="2"/>
  <c r="AX114" i="2"/>
  <c r="O216" i="2"/>
  <c r="O208" i="2"/>
  <c r="BC251" i="2"/>
  <c r="AX146" i="2"/>
  <c r="AX212" i="2"/>
  <c r="AX215" i="2"/>
  <c r="AX346" i="2"/>
  <c r="AX362" i="2" s="1"/>
  <c r="AO268" i="2"/>
  <c r="BT269" i="2"/>
  <c r="DI127" i="2"/>
  <c r="DI360" i="2"/>
  <c r="DM376" i="2" s="1"/>
  <c r="DI309" i="2"/>
  <c r="DJ69" i="2"/>
  <c r="BO251" i="2"/>
  <c r="BP287" i="2"/>
  <c r="O204" i="2"/>
  <c r="O212" i="2"/>
  <c r="BC114" i="2"/>
  <c r="AX145" i="2"/>
  <c r="AX326" i="1" s="1"/>
  <c r="AX203" i="2"/>
  <c r="BO216" i="2"/>
  <c r="AX234" i="2"/>
  <c r="O215" i="2"/>
  <c r="BC269" i="2"/>
  <c r="AT268" i="2"/>
  <c r="BC130" i="2"/>
  <c r="AX204" i="2"/>
  <c r="BQ126" i="12"/>
  <c r="BQ73" i="17" s="1"/>
  <c r="BQ75" i="17" s="1"/>
  <c r="BP73" i="17"/>
  <c r="CK7" i="17"/>
  <c r="CK8" i="17" s="1"/>
  <c r="BB7" i="17"/>
  <c r="BB8" i="17" s="1"/>
  <c r="AW7" i="17"/>
  <c r="AW8" i="17" s="1"/>
  <c r="BV7" i="17"/>
  <c r="BV8" i="17" s="1"/>
  <c r="CA7" i="17"/>
  <c r="CA8" i="17" s="1"/>
  <c r="BQ7" i="17"/>
  <c r="BQ8" i="17" s="1"/>
  <c r="BL7" i="17"/>
  <c r="BL8" i="17" s="1"/>
  <c r="DF81" i="12"/>
  <c r="DF80" i="12" s="1"/>
  <c r="DF31" i="17" s="1"/>
  <c r="DF32" i="17" s="1"/>
  <c r="DH81" i="12"/>
  <c r="DH80" i="12" s="1"/>
  <c r="DH31" i="17" s="1"/>
  <c r="DH32" i="17" s="1"/>
  <c r="DJ75" i="12"/>
  <c r="DG70" i="12"/>
  <c r="BL73" i="17"/>
  <c r="BL75" i="17" s="1"/>
  <c r="DD62" i="12"/>
  <c r="DH62" i="12"/>
  <c r="BP46" i="5"/>
  <c r="CD48" i="5"/>
  <c r="S35" i="5"/>
  <c r="BY48" i="5"/>
  <c r="BZ45" i="5"/>
  <c r="BA75" i="4"/>
  <c r="BQ65" i="4"/>
  <c r="AY49" i="4"/>
  <c r="AY50" i="4" s="1"/>
  <c r="BV49" i="4"/>
  <c r="BV50" i="4" s="1"/>
  <c r="BV84" i="4"/>
  <c r="CF24" i="4"/>
  <c r="CF81" i="4" s="1"/>
  <c r="AY66" i="4"/>
  <c r="BV75" i="4"/>
  <c r="BU80" i="4"/>
  <c r="BC65" i="4"/>
  <c r="G80" i="4"/>
  <c r="BO81" i="4"/>
  <c r="AK49" i="4"/>
  <c r="AK50" i="4" s="1"/>
  <c r="BC68" i="4"/>
  <c r="BC71" i="4" s="1"/>
  <c r="AY68" i="4"/>
  <c r="BG64" i="4"/>
  <c r="BG66" i="4" s="1"/>
  <c r="BS49" i="4"/>
  <c r="BS50" i="4" s="1"/>
  <c r="BV69" i="4"/>
  <c r="BV70" i="4" s="1"/>
  <c r="BV64" i="4"/>
  <c r="BV66" i="4" s="1"/>
  <c r="G55" i="3"/>
  <c r="G61" i="3" s="1"/>
  <c r="G85" i="4"/>
  <c r="G21" i="3"/>
  <c r="G24" i="3" s="1"/>
  <c r="G64" i="3" s="1"/>
  <c r="W80" i="4"/>
  <c r="G62" i="3"/>
  <c r="U63" i="3"/>
  <c r="U46" i="3" s="1"/>
  <c r="BJ80" i="4"/>
  <c r="BB186" i="2"/>
  <c r="BB188" i="2" s="1"/>
  <c r="BB82" i="2"/>
  <c r="BB347" i="2" s="1"/>
  <c r="BB363" i="2" s="1"/>
  <c r="BB379" i="2" s="1"/>
  <c r="BC366" i="2"/>
  <c r="AY369" i="2"/>
  <c r="D311" i="2"/>
  <c r="CP384" i="1"/>
  <c r="CK385" i="1"/>
  <c r="AN146" i="2"/>
  <c r="AN145" i="2"/>
  <c r="AN326" i="1" s="1"/>
  <c r="AN133" i="2"/>
  <c r="AN134" i="2"/>
  <c r="AO156" i="2"/>
  <c r="AN136" i="2"/>
  <c r="AN135" i="2"/>
  <c r="AN130" i="2"/>
  <c r="AB350" i="2"/>
  <c r="AD350" i="2"/>
  <c r="AG366" i="2" s="1"/>
  <c r="AH366" i="2" s="1"/>
  <c r="N18" i="3"/>
  <c r="N85" i="4" s="1"/>
  <c r="Z84" i="17"/>
  <c r="Z85" i="17" s="1"/>
  <c r="AM91" i="17"/>
  <c r="CJ80" i="12"/>
  <c r="CK81" i="12"/>
  <c r="CK80" i="12" s="1"/>
  <c r="CK31" i="17" s="1"/>
  <c r="CK32" i="17" s="1"/>
  <c r="AX115" i="12"/>
  <c r="M85" i="4"/>
  <c r="M53" i="3"/>
  <c r="M62" i="3" s="1"/>
  <c r="M21" i="3"/>
  <c r="M63" i="3" s="1"/>
  <c r="M46" i="3" s="1"/>
  <c r="S77" i="4"/>
  <c r="BR21" i="3"/>
  <c r="BR24" i="3" s="1"/>
  <c r="BR89" i="4" s="1"/>
  <c r="J62" i="3"/>
  <c r="J21" i="3"/>
  <c r="J24" i="3" s="1"/>
  <c r="J89" i="4" s="1"/>
  <c r="U80" i="4"/>
  <c r="N58" i="3"/>
  <c r="BR53" i="3"/>
  <c r="BS76" i="3" s="1"/>
  <c r="C80" i="4"/>
  <c r="K76" i="3"/>
  <c r="Q80" i="4"/>
  <c r="BA80" i="4"/>
  <c r="AD80" i="4"/>
  <c r="K62" i="3"/>
  <c r="BM63" i="3"/>
  <c r="BM46" i="3" s="1"/>
  <c r="S78" i="4"/>
  <c r="S79" i="4" s="1"/>
  <c r="AN80" i="4"/>
  <c r="BM80" i="4"/>
  <c r="K55" i="3"/>
  <c r="K61" i="3" s="1"/>
  <c r="X78" i="4"/>
  <c r="X79" i="4" s="1"/>
  <c r="AR78" i="4"/>
  <c r="AR79" i="4" s="1"/>
  <c r="BG77" i="4"/>
  <c r="BG80" i="4" s="1"/>
  <c r="AR77" i="4"/>
  <c r="C85" i="4"/>
  <c r="CF188" i="2"/>
  <c r="CF234" i="2" s="1"/>
  <c r="CF268" i="2"/>
  <c r="Q215" i="2"/>
  <c r="AJ367" i="2"/>
  <c r="N350" i="2"/>
  <c r="BV203" i="2"/>
  <c r="P287" i="2"/>
  <c r="AS234" i="2"/>
  <c r="AD214" i="2"/>
  <c r="AD327" i="1" s="1"/>
  <c r="AQ203" i="2"/>
  <c r="CM114" i="12"/>
  <c r="CM115" i="12" s="1"/>
  <c r="I214" i="2"/>
  <c r="I327" i="1" s="1"/>
  <c r="K234" i="2"/>
  <c r="CE165" i="2"/>
  <c r="I212" i="2"/>
  <c r="I215" i="2"/>
  <c r="I209" i="2"/>
  <c r="K212" i="2"/>
  <c r="CF143" i="2"/>
  <c r="CF324" i="1" s="1"/>
  <c r="I206" i="2"/>
  <c r="I202" i="2"/>
  <c r="I208" i="2"/>
  <c r="CF311" i="2"/>
  <c r="AQ234" i="2"/>
  <c r="CF145" i="2"/>
  <c r="CF326" i="1" s="1"/>
  <c r="AU115" i="12"/>
  <c r="AP62" i="4"/>
  <c r="AP49" i="4"/>
  <c r="AP50" i="4" s="1"/>
  <c r="CZ365" i="1"/>
  <c r="CP343" i="1"/>
  <c r="BV33" i="5"/>
  <c r="BV55" i="5" s="1"/>
  <c r="Z86" i="30"/>
  <c r="AA86" i="30" s="1"/>
  <c r="AB86" i="30" s="1"/>
  <c r="AC86" i="30" s="1"/>
  <c r="AD86" i="30" s="1"/>
  <c r="AE86" i="30" s="1"/>
  <c r="AF86" i="30" s="1"/>
  <c r="AG86" i="30" s="1"/>
  <c r="AH86" i="30" s="1"/>
  <c r="BD367" i="2"/>
  <c r="AJ366" i="2"/>
  <c r="BE367" i="2"/>
  <c r="BG133" i="2"/>
  <c r="S309" i="2"/>
  <c r="DD309" i="2"/>
  <c r="DD360" i="2"/>
  <c r="BY115" i="12"/>
  <c r="DE12" i="4"/>
  <c r="DE36" i="4"/>
  <c r="DE41" i="4"/>
  <c r="DE45" i="4"/>
  <c r="DE40" i="4"/>
  <c r="DE23" i="4"/>
  <c r="DE28" i="4"/>
  <c r="DE44" i="4"/>
  <c r="DE19" i="4"/>
  <c r="AS85" i="4"/>
  <c r="AS62" i="3"/>
  <c r="AS21" i="3"/>
  <c r="AS24" i="3" s="1"/>
  <c r="AS28" i="3" s="1"/>
  <c r="DD127" i="2"/>
  <c r="DE69" i="2"/>
  <c r="DE344" i="2" s="1"/>
  <c r="DA81" i="12"/>
  <c r="DC81" i="12"/>
  <c r="DC80" i="12" s="1"/>
  <c r="DC31" i="17" s="1"/>
  <c r="DC32" i="17" s="1"/>
  <c r="DE75" i="12"/>
  <c r="CY81" i="12"/>
  <c r="CY80" i="12" s="1"/>
  <c r="DD73" i="12"/>
  <c r="DA70" i="12"/>
  <c r="DE60" i="12"/>
  <c r="AU135" i="12"/>
  <c r="AU136" i="12" s="1"/>
  <c r="I207" i="2"/>
  <c r="AA39" i="5"/>
  <c r="Y68" i="4"/>
  <c r="BW53" i="3"/>
  <c r="BW55" i="3" s="1"/>
  <c r="C21" i="3"/>
  <c r="C63" i="3" s="1"/>
  <c r="C46" i="3" s="1"/>
  <c r="AH76" i="4"/>
  <c r="AH13" i="3"/>
  <c r="AH18" i="3" s="1"/>
  <c r="AH53" i="3" s="1"/>
  <c r="BV77" i="4"/>
  <c r="AH77" i="4"/>
  <c r="AH58" i="3"/>
  <c r="BK85" i="4"/>
  <c r="AM67" i="3"/>
  <c r="K216" i="2"/>
  <c r="K214" i="2"/>
  <c r="K327" i="1" s="1"/>
  <c r="K202" i="2"/>
  <c r="BU205" i="2"/>
  <c r="K209" i="2"/>
  <c r="K206" i="2"/>
  <c r="K208" i="2"/>
  <c r="CD18" i="5"/>
  <c r="AQ71" i="4"/>
  <c r="S58" i="3"/>
  <c r="CD49" i="4"/>
  <c r="P49" i="4"/>
  <c r="P50" i="4" s="1"/>
  <c r="AM208" i="1"/>
  <c r="BQ72" i="4"/>
  <c r="N64" i="4"/>
  <c r="AQ21" i="3"/>
  <c r="AQ24" i="3" s="1"/>
  <c r="AQ26" i="3" s="1"/>
  <c r="AS251" i="2"/>
  <c r="BV22" i="5"/>
  <c r="K207" i="2"/>
  <c r="BG61" i="4"/>
  <c r="E218" i="2"/>
  <c r="AH67" i="3"/>
  <c r="CN31" i="17"/>
  <c r="CN32" i="17" s="1"/>
  <c r="Q208" i="2"/>
  <c r="Q234" i="2"/>
  <c r="Q209" i="2"/>
  <c r="BQ231" i="2"/>
  <c r="BB309" i="2"/>
  <c r="AE214" i="2"/>
  <c r="AE327" i="1" s="1"/>
  <c r="Q269" i="2"/>
  <c r="BQ344" i="2"/>
  <c r="BQ360" i="2" s="1"/>
  <c r="BQ376" i="2" s="1"/>
  <c r="AT347" i="2"/>
  <c r="AT363" i="2" s="1"/>
  <c r="AA212" i="2"/>
  <c r="Q204" i="2"/>
  <c r="Q207" i="2"/>
  <c r="Q206" i="2"/>
  <c r="AH82" i="2"/>
  <c r="AE165" i="2" s="1"/>
  <c r="BI251" i="2"/>
  <c r="BQ248" i="2"/>
  <c r="AP366" i="2"/>
  <c r="AM127" i="2"/>
  <c r="BJ369" i="2"/>
  <c r="CC165" i="2"/>
  <c r="H209" i="2"/>
  <c r="BG111" i="2"/>
  <c r="H215" i="2"/>
  <c r="CB213" i="2"/>
  <c r="CD147" i="2"/>
  <c r="Q214" i="2"/>
  <c r="Q327" i="1" s="1"/>
  <c r="AA215" i="2"/>
  <c r="Q212" i="2"/>
  <c r="Q205" i="2"/>
  <c r="S264" i="2"/>
  <c r="BV344" i="2"/>
  <c r="BV360" i="2" s="1"/>
  <c r="BV376" i="2" s="1"/>
  <c r="BD203" i="2"/>
  <c r="BJ360" i="2"/>
  <c r="AT346" i="2"/>
  <c r="AT362" i="2" s="1"/>
  <c r="AE360" i="2"/>
  <c r="BD212" i="2"/>
  <c r="AC107" i="2"/>
  <c r="H269" i="2"/>
  <c r="BY376" i="2"/>
  <c r="BF130" i="2"/>
  <c r="BH311" i="2"/>
  <c r="AR188" i="2"/>
  <c r="AR215" i="2" s="1"/>
  <c r="AY366" i="2"/>
  <c r="AR264" i="2"/>
  <c r="AT369" i="2"/>
  <c r="CW17" i="12"/>
  <c r="AU369" i="2"/>
  <c r="AL360" i="2"/>
  <c r="BF366" i="2"/>
  <c r="G360" i="2"/>
  <c r="G376" i="2" s="1"/>
  <c r="AF360" i="2"/>
  <c r="AL46" i="30"/>
  <c r="AU48" i="5"/>
  <c r="CA13" i="3"/>
  <c r="AS287" i="2"/>
  <c r="AS202" i="2"/>
  <c r="BK268" i="2"/>
  <c r="AX269" i="2"/>
  <c r="CB269" i="2"/>
  <c r="CB212" i="2"/>
  <c r="CB251" i="2"/>
  <c r="AS212" i="2"/>
  <c r="AX251" i="2"/>
  <c r="CB202" i="2"/>
  <c r="AS215" i="2"/>
  <c r="CC287" i="2"/>
  <c r="AS115" i="12"/>
  <c r="CO376" i="2"/>
  <c r="CS376" i="2"/>
  <c r="BC21" i="3"/>
  <c r="BC24" i="3" s="1"/>
  <c r="AC60" i="3"/>
  <c r="BV76" i="4"/>
  <c r="BC85" i="4"/>
  <c r="AZ85" i="4"/>
  <c r="O85" i="4"/>
  <c r="AC76" i="4"/>
  <c r="BV58" i="3"/>
  <c r="O53" i="3"/>
  <c r="O55" i="3" s="1"/>
  <c r="O61" i="3" s="1"/>
  <c r="AT85" i="4"/>
  <c r="BK63" i="3"/>
  <c r="BK46" i="3" s="1"/>
  <c r="BK53" i="3"/>
  <c r="BK62" i="3" s="1"/>
  <c r="BV13" i="3"/>
  <c r="AT53" i="3"/>
  <c r="AT55" i="3" s="1"/>
  <c r="AT86" i="4" s="1"/>
  <c r="AW10" i="17"/>
  <c r="CQ117" i="12"/>
  <c r="CV117" i="12" s="1"/>
  <c r="DA117" i="12" s="1"/>
  <c r="DF117" i="12" s="1"/>
  <c r="DK117" i="12" s="1"/>
  <c r="DP117" i="12" s="1"/>
  <c r="DU117" i="12" s="1"/>
  <c r="CS117" i="12"/>
  <c r="BW115" i="12"/>
  <c r="AN369" i="2"/>
  <c r="AP369" i="2"/>
  <c r="AQ369" i="2"/>
  <c r="AR369" i="2" s="1"/>
  <c r="AZ346" i="2"/>
  <c r="AZ362" i="2" s="1"/>
  <c r="AZ347" i="2"/>
  <c r="AZ363" i="2" s="1"/>
  <c r="BZ376" i="2"/>
  <c r="AR238" i="2"/>
  <c r="AD269" i="2"/>
  <c r="AD204" i="2"/>
  <c r="AO369" i="2"/>
  <c r="BE130" i="2"/>
  <c r="AZ369" i="2"/>
  <c r="AD234" i="2"/>
  <c r="AD205" i="2"/>
  <c r="BA369" i="2"/>
  <c r="AD212" i="2"/>
  <c r="AD216" i="2"/>
  <c r="BI347" i="2"/>
  <c r="BI363" i="2" s="1"/>
  <c r="AE212" i="2"/>
  <c r="AE215" i="2"/>
  <c r="BE114" i="2"/>
  <c r="BE251" i="2"/>
  <c r="BU251" i="2"/>
  <c r="BU234" i="2"/>
  <c r="AZ130" i="2"/>
  <c r="AD203" i="2"/>
  <c r="CY360" i="2"/>
  <c r="CY309" i="2"/>
  <c r="CR376" i="2"/>
  <c r="CR81" i="12"/>
  <c r="CR80" i="12" s="1"/>
  <c r="AR46" i="30" s="1"/>
  <c r="CW73" i="12"/>
  <c r="CU64" i="12"/>
  <c r="CY64" i="12"/>
  <c r="DD64" i="12" s="1"/>
  <c r="DI64" i="12" s="1"/>
  <c r="CU29" i="12"/>
  <c r="CV29" i="12"/>
  <c r="CQ35" i="12"/>
  <c r="CQ34" i="12" s="1"/>
  <c r="CR15" i="12"/>
  <c r="CU62" i="12"/>
  <c r="CX62" i="12"/>
  <c r="CV81" i="12"/>
  <c r="CX81" i="12"/>
  <c r="CZ75" i="12"/>
  <c r="CV70" i="12"/>
  <c r="CZ60" i="12"/>
  <c r="BG67" i="3"/>
  <c r="AG80" i="4"/>
  <c r="O80" i="4"/>
  <c r="AG53" i="3"/>
  <c r="AG62" i="3" s="1"/>
  <c r="CA67" i="3"/>
  <c r="AA53" i="3"/>
  <c r="AA62" i="3" s="1"/>
  <c r="BW21" i="3"/>
  <c r="BW24" i="3" s="1"/>
  <c r="CA77" i="4"/>
  <c r="CA80" i="4" s="1"/>
  <c r="AG21" i="3"/>
  <c r="AG63" i="3" s="1"/>
  <c r="BV60" i="3"/>
  <c r="AC78" i="4"/>
  <c r="AC79" i="4" s="1"/>
  <c r="AC58" i="3"/>
  <c r="AC77" i="4"/>
  <c r="AC13" i="3"/>
  <c r="AC18" i="3" s="1"/>
  <c r="AC21" i="3" s="1"/>
  <c r="CY127" i="2"/>
  <c r="CZ69" i="2"/>
  <c r="CZ344" i="2" s="1"/>
  <c r="S104" i="2"/>
  <c r="AM94" i="2"/>
  <c r="I234" i="2"/>
  <c r="AV7" i="5"/>
  <c r="AO18" i="5"/>
  <c r="BG9" i="5"/>
  <c r="BG54" i="3" s="1"/>
  <c r="BT54" i="3"/>
  <c r="BG315" i="1"/>
  <c r="AP18" i="5"/>
  <c r="BP40" i="5"/>
  <c r="BQ40" i="5" s="1"/>
  <c r="BL43" i="5"/>
  <c r="AM49" i="4"/>
  <c r="AM50" i="4" s="1"/>
  <c r="AB369" i="2"/>
  <c r="AC369" i="2" s="1"/>
  <c r="D81" i="17"/>
  <c r="D90" i="17"/>
  <c r="D91" i="17" s="1"/>
  <c r="BW50" i="5"/>
  <c r="P269" i="2"/>
  <c r="E346" i="2"/>
  <c r="E362" i="2" s="1"/>
  <c r="E378" i="2" s="1"/>
  <c r="P360" i="2"/>
  <c r="BP311" i="2"/>
  <c r="AK202" i="2"/>
  <c r="S39" i="4"/>
  <c r="S49" i="4" s="1"/>
  <c r="S50" i="4" s="1"/>
  <c r="BV357" i="1"/>
  <c r="AM62" i="4"/>
  <c r="AM68" i="4" s="1"/>
  <c r="S13" i="3"/>
  <c r="S18" i="3" s="1"/>
  <c r="S53" i="3" s="1"/>
  <c r="BV363" i="1"/>
  <c r="C37" i="1"/>
  <c r="BM286" i="2"/>
  <c r="BG24" i="4"/>
  <c r="S67" i="3"/>
  <c r="S59" i="3"/>
  <c r="D346" i="2"/>
  <c r="D362" i="2" s="1"/>
  <c r="D378" i="2" s="1"/>
  <c r="AA203" i="2"/>
  <c r="AA214" i="2"/>
  <c r="AA327" i="1" s="1"/>
  <c r="AP251" i="2"/>
  <c r="BL13" i="3"/>
  <c r="AR67" i="3"/>
  <c r="AA369" i="2"/>
  <c r="BV369" i="1"/>
  <c r="AF368" i="2"/>
  <c r="X67" i="3"/>
  <c r="BM188" i="2"/>
  <c r="BM212" i="2" s="1"/>
  <c r="BV362" i="1"/>
  <c r="BZ34" i="3"/>
  <c r="W69" i="4"/>
  <c r="W70" i="4" s="1"/>
  <c r="W72" i="4" s="1"/>
  <c r="AZ21" i="3"/>
  <c r="AZ63" i="3" s="1"/>
  <c r="AZ46" i="3" s="1"/>
  <c r="CA58" i="3"/>
  <c r="S60" i="3"/>
  <c r="BB344" i="2"/>
  <c r="BS366" i="2"/>
  <c r="N77" i="4"/>
  <c r="N78" i="4"/>
  <c r="N79" i="4" s="1"/>
  <c r="AX366" i="2"/>
  <c r="AA205" i="2"/>
  <c r="AA204" i="2"/>
  <c r="AA202" i="2"/>
  <c r="AA234" i="2"/>
  <c r="S248" i="2"/>
  <c r="AK214" i="2"/>
  <c r="AK327" i="1" s="1"/>
  <c r="AR58" i="3"/>
  <c r="AK204" i="2"/>
  <c r="AG146" i="2"/>
  <c r="BZ36" i="3"/>
  <c r="AP80" i="4"/>
  <c r="E347" i="2"/>
  <c r="E363" i="2" s="1"/>
  <c r="E379" i="2" s="1"/>
  <c r="G68" i="30"/>
  <c r="H68" i="30" s="1"/>
  <c r="I68" i="30" s="1"/>
  <c r="J68" i="30" s="1"/>
  <c r="K68" i="30" s="1"/>
  <c r="L68" i="30" s="1"/>
  <c r="M68" i="30" s="1"/>
  <c r="N68" i="30" s="1"/>
  <c r="O68" i="30" s="1"/>
  <c r="P68" i="30" s="1"/>
  <c r="Q68" i="30" s="1"/>
  <c r="R68" i="30" s="1"/>
  <c r="S68" i="30" s="1"/>
  <c r="T68" i="30" s="1"/>
  <c r="U68" i="30" s="1"/>
  <c r="V68" i="30" s="1"/>
  <c r="W68" i="30" s="1"/>
  <c r="G72" i="30"/>
  <c r="K360" i="2"/>
  <c r="Y366" i="2"/>
  <c r="CQ376" i="2"/>
  <c r="BF114" i="2"/>
  <c r="BA311" i="2"/>
  <c r="AY143" i="2"/>
  <c r="AY147" i="2" s="1"/>
  <c r="AR10" i="17"/>
  <c r="AQ80" i="17"/>
  <c r="AS369" i="2"/>
  <c r="AV45" i="5"/>
  <c r="CB217" i="2"/>
  <c r="CB214" i="2"/>
  <c r="CB327" i="1" s="1"/>
  <c r="CB234" i="2"/>
  <c r="CB216" i="2"/>
  <c r="U62" i="4"/>
  <c r="U49" i="4"/>
  <c r="U50" i="4" s="1"/>
  <c r="BG136" i="2"/>
  <c r="BV13" i="5"/>
  <c r="AW23" i="5"/>
  <c r="BB33" i="4"/>
  <c r="BB39" i="4" s="1"/>
  <c r="BB49" i="4" s="1"/>
  <c r="BB50" i="4" s="1"/>
  <c r="BC77" i="4"/>
  <c r="BC80" i="4" s="1"/>
  <c r="Z56" i="4"/>
  <c r="Y69" i="4"/>
  <c r="Z53" i="3"/>
  <c r="Z62" i="3" s="1"/>
  <c r="Z21" i="3"/>
  <c r="Z85" i="4"/>
  <c r="AQ35" i="5"/>
  <c r="AC45" i="5"/>
  <c r="CL195" i="2"/>
  <c r="BC346" i="2"/>
  <c r="BC362" i="2" s="1"/>
  <c r="AE251" i="2"/>
  <c r="BD366" i="2"/>
  <c r="W369" i="2"/>
  <c r="X369" i="2" s="1"/>
  <c r="CU27" i="12"/>
  <c r="CM31" i="17"/>
  <c r="CM32" i="17" s="1"/>
  <c r="CM63" i="17" s="1"/>
  <c r="AM46" i="30"/>
  <c r="N70" i="4"/>
  <c r="AB368" i="2"/>
  <c r="AC368" i="2" s="1"/>
  <c r="AU66" i="4"/>
  <c r="E360" i="2"/>
  <c r="E376" i="2" s="1"/>
  <c r="CT70" i="12"/>
  <c r="CT69" i="12" s="1"/>
  <c r="CT43" i="17" s="1"/>
  <c r="CT44" i="17" s="1"/>
  <c r="AZ114" i="2"/>
  <c r="CU19" i="12"/>
  <c r="S21" i="30"/>
  <c r="S17" i="30"/>
  <c r="BO63" i="17"/>
  <c r="BO77" i="17" s="1"/>
  <c r="AD84" i="17"/>
  <c r="AD80" i="17"/>
  <c r="E84" i="17"/>
  <c r="E85" i="17" s="1"/>
  <c r="E81" i="17"/>
  <c r="AM84" i="17"/>
  <c r="AM85" i="17" s="1"/>
  <c r="F81" i="17"/>
  <c r="CQ282" i="2"/>
  <c r="AK45" i="30"/>
  <c r="CS70" i="12"/>
  <c r="CS69" i="12" s="1"/>
  <c r="BL45" i="5"/>
  <c r="AM238" i="2"/>
  <c r="BF24" i="5"/>
  <c r="CF49" i="4"/>
  <c r="BW80" i="4"/>
  <c r="BG59" i="3"/>
  <c r="BG60" i="3"/>
  <c r="BG58" i="3"/>
  <c r="X27" i="5"/>
  <c r="W18" i="5"/>
  <c r="AG89" i="1"/>
  <c r="AG92" i="1" s="1"/>
  <c r="AH92" i="1"/>
  <c r="BA133" i="2"/>
  <c r="BA130" i="2"/>
  <c r="BA134" i="2"/>
  <c r="BA135" i="2"/>
  <c r="BA145" i="2"/>
  <c r="BA326" i="1" s="1"/>
  <c r="BA136" i="2"/>
  <c r="BA146" i="2"/>
  <c r="BL344" i="2"/>
  <c r="BL360" i="2" s="1"/>
  <c r="BL376" i="2" s="1"/>
  <c r="BY165" i="2"/>
  <c r="AA156" i="2"/>
  <c r="AF251" i="2"/>
  <c r="AA347" i="2"/>
  <c r="AA363" i="2" s="1"/>
  <c r="Q346" i="2"/>
  <c r="Q362" i="2" s="1"/>
  <c r="AE216" i="2"/>
  <c r="AE204" i="2"/>
  <c r="BU202" i="2"/>
  <c r="BZ269" i="2"/>
  <c r="BU269" i="2"/>
  <c r="BI269" i="2"/>
  <c r="BV215" i="2"/>
  <c r="AG133" i="2"/>
  <c r="BU216" i="2"/>
  <c r="O366" i="2"/>
  <c r="Q287" i="2"/>
  <c r="P251" i="2"/>
  <c r="AE287" i="2"/>
  <c r="AE203" i="2"/>
  <c r="BY218" i="2"/>
  <c r="BU203" i="2"/>
  <c r="BU214" i="2"/>
  <c r="BU327" i="1" s="1"/>
  <c r="P346" i="2"/>
  <c r="P362" i="2" s="1"/>
  <c r="BD214" i="2"/>
  <c r="BD327" i="1" s="1"/>
  <c r="Y369" i="2"/>
  <c r="V369" i="2"/>
  <c r="BU204" i="2"/>
  <c r="AV366" i="2"/>
  <c r="AW366" i="2" s="1"/>
  <c r="BV205" i="2"/>
  <c r="Q347" i="2"/>
  <c r="Q363" i="2" s="1"/>
  <c r="AE234" i="2"/>
  <c r="AE202" i="2"/>
  <c r="BU213" i="2"/>
  <c r="BE287" i="2"/>
  <c r="BA366" i="2"/>
  <c r="Z369" i="2"/>
  <c r="AL130" i="2"/>
  <c r="AG134" i="2"/>
  <c r="BU215" i="2"/>
  <c r="AG156" i="2"/>
  <c r="AG136" i="2"/>
  <c r="Q373" i="2"/>
  <c r="F360" i="2"/>
  <c r="F376" i="2" s="1"/>
  <c r="BU287" i="2"/>
  <c r="AG145" i="2"/>
  <c r="AG326" i="1" s="1"/>
  <c r="BS268" i="2"/>
  <c r="AM350" i="2"/>
  <c r="AS216" i="2"/>
  <c r="AS205" i="2"/>
  <c r="BG344" i="2"/>
  <c r="BG360" i="2" s="1"/>
  <c r="BG376" i="2" s="1"/>
  <c r="BS188" i="2"/>
  <c r="BX251" i="2" s="1"/>
  <c r="AS203" i="2"/>
  <c r="AS214" i="2"/>
  <c r="AS327" i="1" s="1"/>
  <c r="BN143" i="2"/>
  <c r="BN147" i="2" s="1"/>
  <c r="AI156" i="2"/>
  <c r="BG145" i="2"/>
  <c r="BG326" i="1" s="1"/>
  <c r="CT127" i="2"/>
  <c r="CU69" i="2"/>
  <c r="CT360" i="2"/>
  <c r="CT309" i="2"/>
  <c r="CU57" i="4"/>
  <c r="CN195" i="2"/>
  <c r="BO48" i="5"/>
  <c r="AK39" i="5"/>
  <c r="BB10" i="5"/>
  <c r="E59" i="5"/>
  <c r="E58" i="5"/>
  <c r="F59" i="5"/>
  <c r="F58" i="5"/>
  <c r="AL287" i="2"/>
  <c r="BT286" i="2"/>
  <c r="CQ70" i="12"/>
  <c r="CU60" i="12"/>
  <c r="CP129" i="12"/>
  <c r="CR129" i="12"/>
  <c r="CQ81" i="12"/>
  <c r="CU73" i="12"/>
  <c r="BP80" i="4"/>
  <c r="AF130" i="2"/>
  <c r="AV71" i="4"/>
  <c r="CA49" i="4"/>
  <c r="CA50" i="4" s="1"/>
  <c r="F66" i="4"/>
  <c r="AD81" i="4"/>
  <c r="CL31" i="17"/>
  <c r="CL32" i="17" s="1"/>
  <c r="CL63" i="17" s="1"/>
  <c r="BW63" i="17"/>
  <c r="AX71" i="4"/>
  <c r="BF143" i="2"/>
  <c r="BF147" i="2" s="1"/>
  <c r="AD369" i="2"/>
  <c r="BL11" i="5"/>
  <c r="R80" i="4"/>
  <c r="AF85" i="17"/>
  <c r="AD146" i="2"/>
  <c r="BD202" i="2"/>
  <c r="G212" i="2"/>
  <c r="I251" i="2"/>
  <c r="BD234" i="2"/>
  <c r="CF134" i="2"/>
  <c r="CF136" i="2"/>
  <c r="CF144" i="2"/>
  <c r="BZ347" i="2"/>
  <c r="BZ363" i="2" s="1"/>
  <c r="AD145" i="2"/>
  <c r="AD326" i="1" s="1"/>
  <c r="BW287" i="2"/>
  <c r="CF146" i="2"/>
  <c r="CB165" i="2"/>
  <c r="CD165" i="2"/>
  <c r="H214" i="2"/>
  <c r="H327" i="1" s="1"/>
  <c r="H207" i="2"/>
  <c r="H208" i="2"/>
  <c r="AE369" i="2"/>
  <c r="I269" i="2"/>
  <c r="AZ366" i="2"/>
  <c r="AF369" i="2"/>
  <c r="CF135" i="2"/>
  <c r="H202" i="2"/>
  <c r="BZ251" i="2"/>
  <c r="H216" i="2"/>
  <c r="H212" i="2"/>
  <c r="BB114" i="12"/>
  <c r="BS63" i="17"/>
  <c r="BB44" i="17"/>
  <c r="BB46" i="17" s="1"/>
  <c r="V115" i="12"/>
  <c r="Q115" i="12"/>
  <c r="Q135" i="12"/>
  <c r="V136" i="12" s="1"/>
  <c r="BX115" i="12"/>
  <c r="CC115" i="12"/>
  <c r="BN63" i="17"/>
  <c r="BN77" i="17" s="1"/>
  <c r="S46" i="30"/>
  <c r="CH115" i="12"/>
  <c r="BV114" i="12"/>
  <c r="AE46" i="30"/>
  <c r="CM195" i="2"/>
  <c r="BC369" i="2"/>
  <c r="BI369" i="2"/>
  <c r="BH369" i="2"/>
  <c r="AA114" i="2"/>
  <c r="AF114" i="2"/>
  <c r="CE376" i="2"/>
  <c r="BW376" i="2"/>
  <c r="CF40" i="5"/>
  <c r="I49" i="4"/>
  <c r="I50" i="4" s="1"/>
  <c r="I62" i="4"/>
  <c r="BX268" i="2"/>
  <c r="BH133" i="2"/>
  <c r="BH136" i="2"/>
  <c r="BH146" i="2"/>
  <c r="BH130" i="2"/>
  <c r="BH114" i="2"/>
  <c r="BH134" i="2"/>
  <c r="BH135" i="2"/>
  <c r="BH145" i="2"/>
  <c r="BH326" i="1" s="1"/>
  <c r="BU35" i="5"/>
  <c r="M45" i="5"/>
  <c r="H234" i="2"/>
  <c r="H210" i="2"/>
  <c r="H211" i="2"/>
  <c r="BA23" i="5"/>
  <c r="BB7" i="5"/>
  <c r="CD216" i="2"/>
  <c r="CD215" i="2"/>
  <c r="CD234" i="2"/>
  <c r="CD217" i="2"/>
  <c r="CD251" i="2"/>
  <c r="CD214" i="2"/>
  <c r="CD327" i="1" s="1"/>
  <c r="CD213" i="2"/>
  <c r="CD202" i="2"/>
  <c r="CD212" i="2"/>
  <c r="CD269" i="2"/>
  <c r="AT24" i="3"/>
  <c r="AT63" i="3"/>
  <c r="AT46" i="3" s="1"/>
  <c r="BB22" i="5"/>
  <c r="P234" i="2"/>
  <c r="P214" i="2"/>
  <c r="P327" i="1" s="1"/>
  <c r="P204" i="2"/>
  <c r="P206" i="2"/>
  <c r="P208" i="2"/>
  <c r="P216" i="2"/>
  <c r="P203" i="2"/>
  <c r="P215" i="2"/>
  <c r="P205" i="2"/>
  <c r="P202" i="2"/>
  <c r="P209" i="2"/>
  <c r="P212" i="2"/>
  <c r="P207" i="2"/>
  <c r="S84" i="4"/>
  <c r="AV269" i="2"/>
  <c r="AH10" i="5"/>
  <c r="BJ55" i="5"/>
  <c r="BK33" i="5"/>
  <c r="M34" i="5"/>
  <c r="M55" i="5" s="1"/>
  <c r="L55" i="5"/>
  <c r="BC135" i="12"/>
  <c r="CB115" i="12"/>
  <c r="CG115" i="12"/>
  <c r="BT115" i="12"/>
  <c r="BF115" i="12"/>
  <c r="CK44" i="17"/>
  <c r="CK46" i="17" s="1"/>
  <c r="BZ115" i="12"/>
  <c r="CE115" i="12"/>
  <c r="BH115" i="12"/>
  <c r="AP360" i="2"/>
  <c r="AI94" i="2"/>
  <c r="AI114" i="2" s="1"/>
  <c r="BV213" i="2"/>
  <c r="N248" i="2"/>
  <c r="AM231" i="2"/>
  <c r="W235" i="2"/>
  <c r="AB238" i="2"/>
  <c r="AV216" i="2"/>
  <c r="BG146" i="2"/>
  <c r="BG134" i="2"/>
  <c r="AQ205" i="2"/>
  <c r="AQ216" i="2"/>
  <c r="AQ287" i="2"/>
  <c r="AK215" i="2"/>
  <c r="K346" i="2"/>
  <c r="K362" i="2" s="1"/>
  <c r="AA287" i="2"/>
  <c r="BV212" i="2"/>
  <c r="AQ215" i="2"/>
  <c r="AQ212" i="2"/>
  <c r="AQ202" i="2"/>
  <c r="AL205" i="2"/>
  <c r="AK212" i="2"/>
  <c r="P366" i="2"/>
  <c r="L346" i="2"/>
  <c r="L362" i="2" s="1"/>
  <c r="AW344" i="2"/>
  <c r="AW360" i="2" s="1"/>
  <c r="Z234" i="2"/>
  <c r="BA360" i="2"/>
  <c r="BV216" i="2"/>
  <c r="Q360" i="2"/>
  <c r="W191" i="2"/>
  <c r="AX287" i="2"/>
  <c r="BV234" i="2"/>
  <c r="AL212" i="2"/>
  <c r="BV214" i="2"/>
  <c r="BV327" i="1" s="1"/>
  <c r="AQ214" i="2"/>
  <c r="AQ327" i="1" s="1"/>
  <c r="AK203" i="2"/>
  <c r="AK234" i="2"/>
  <c r="AP269" i="2"/>
  <c r="AE269" i="2"/>
  <c r="BV204" i="2"/>
  <c r="CA268" i="2"/>
  <c r="AK205" i="2"/>
  <c r="T360" i="2"/>
  <c r="AM264" i="2"/>
  <c r="P114" i="2"/>
  <c r="CB376" i="2"/>
  <c r="CC376" i="2"/>
  <c r="AK269" i="2"/>
  <c r="R366" i="2"/>
  <c r="S366" i="2" s="1"/>
  <c r="CE31" i="17"/>
  <c r="CE32" i="17" s="1"/>
  <c r="CF31" i="17"/>
  <c r="CF32" i="17" s="1"/>
  <c r="CF34" i="17" s="1"/>
  <c r="BM115" i="12"/>
  <c r="BS115" i="12"/>
  <c r="BR115" i="12"/>
  <c r="BM135" i="12"/>
  <c r="AC238" i="2"/>
  <c r="X191" i="2"/>
  <c r="CA188" i="2"/>
  <c r="L38" i="5"/>
  <c r="M38" i="5" s="1"/>
  <c r="AB37" i="5"/>
  <c r="BQ23" i="5"/>
  <c r="CC32" i="5"/>
  <c r="CC54" i="5" s="1"/>
  <c r="CC56" i="5" s="1"/>
  <c r="CF11" i="5"/>
  <c r="BA24" i="5"/>
  <c r="I54" i="5"/>
  <c r="I56" i="5" s="1"/>
  <c r="I50" i="5"/>
  <c r="M10" i="5"/>
  <c r="N10" i="5" s="1"/>
  <c r="L54" i="3"/>
  <c r="K39" i="5"/>
  <c r="P32" i="5"/>
  <c r="R7" i="5"/>
  <c r="F50" i="5"/>
  <c r="BX32" i="5"/>
  <c r="BX54" i="5" s="1"/>
  <c r="BX56" i="5" s="1"/>
  <c r="BX59" i="5" s="1"/>
  <c r="AB9" i="5"/>
  <c r="AA54" i="3"/>
  <c r="BZ35" i="5"/>
  <c r="X7" i="5"/>
  <c r="BB33" i="5"/>
  <c r="BB55" i="5" s="1"/>
  <c r="BA55" i="5"/>
  <c r="BA40" i="5"/>
  <c r="T50" i="5"/>
  <c r="AP55" i="5"/>
  <c r="AQ34" i="5"/>
  <c r="AU39" i="5"/>
  <c r="AV35" i="5"/>
  <c r="BK38" i="5"/>
  <c r="BL38" i="5" s="1"/>
  <c r="BP37" i="5"/>
  <c r="BP39" i="5" s="1"/>
  <c r="Q54" i="3"/>
  <c r="R9" i="5"/>
  <c r="BF7" i="5"/>
  <c r="AB35" i="5"/>
  <c r="AL45" i="5"/>
  <c r="AM45" i="5" s="1"/>
  <c r="AV11" i="5"/>
  <c r="BK34" i="5"/>
  <c r="BJ39" i="5"/>
  <c r="BU46" i="5"/>
  <c r="BZ40" i="5"/>
  <c r="BY54" i="3"/>
  <c r="BY55" i="3" s="1"/>
  <c r="BZ9" i="5"/>
  <c r="BZ32" i="5" s="1"/>
  <c r="BP7" i="5"/>
  <c r="BF45" i="5"/>
  <c r="CC147" i="2"/>
  <c r="AR81" i="4"/>
  <c r="AR13" i="3"/>
  <c r="BY63" i="3"/>
  <c r="BY46" i="3" s="1"/>
  <c r="AL80" i="4"/>
  <c r="BE115" i="12"/>
  <c r="Q46" i="30"/>
  <c r="BK115" i="12"/>
  <c r="AE24" i="3"/>
  <c r="AE32" i="3" s="1"/>
  <c r="AE63" i="3"/>
  <c r="AE46" i="3" s="1"/>
  <c r="AF85" i="4"/>
  <c r="AZ76" i="3"/>
  <c r="AF53" i="3"/>
  <c r="BB13" i="3"/>
  <c r="AQ62" i="3"/>
  <c r="AS76" i="3"/>
  <c r="AF24" i="3"/>
  <c r="AF64" i="3" s="1"/>
  <c r="BQ58" i="3"/>
  <c r="BB60" i="3"/>
  <c r="X76" i="4"/>
  <c r="AQ85" i="4"/>
  <c r="BN80" i="4"/>
  <c r="AE85" i="4"/>
  <c r="AE53" i="3"/>
  <c r="AJ69" i="3" s="1"/>
  <c r="AC67" i="3"/>
  <c r="X60" i="3"/>
  <c r="BB59" i="3"/>
  <c r="X13" i="3"/>
  <c r="X18" i="3" s="1"/>
  <c r="X21" i="3" s="1"/>
  <c r="X58" i="3"/>
  <c r="BQ60" i="3"/>
  <c r="AB24" i="5"/>
  <c r="CF31" i="5"/>
  <c r="BO22" i="5"/>
  <c r="BN18" i="5"/>
  <c r="AD43" i="1"/>
  <c r="AD37" i="1"/>
  <c r="M373" i="2"/>
  <c r="N373" i="2" s="1"/>
  <c r="CF22" i="5"/>
  <c r="AR10" i="5"/>
  <c r="Y27" i="1"/>
  <c r="AB24" i="1"/>
  <c r="BF33" i="5"/>
  <c r="BG33" i="5" s="1"/>
  <c r="BG39" i="5" s="1"/>
  <c r="BE55" i="5"/>
  <c r="BE39" i="5"/>
  <c r="X29" i="3"/>
  <c r="AM84" i="4"/>
  <c r="AM75" i="4"/>
  <c r="AW61" i="4"/>
  <c r="CP347" i="1"/>
  <c r="AZ133" i="2"/>
  <c r="AZ135" i="2"/>
  <c r="AZ134" i="2"/>
  <c r="AZ234" i="2"/>
  <c r="AZ136" i="2"/>
  <c r="AZ145" i="2"/>
  <c r="AZ326" i="1" s="1"/>
  <c r="AZ146" i="2"/>
  <c r="AQ80" i="4"/>
  <c r="E80" i="4"/>
  <c r="BU7" i="5"/>
  <c r="BM32" i="5"/>
  <c r="AA24" i="3"/>
  <c r="AA32" i="3" s="1"/>
  <c r="AA63" i="3"/>
  <c r="AA46" i="3" s="1"/>
  <c r="AS366" i="2"/>
  <c r="AQ366" i="2"/>
  <c r="AR366" i="2" s="1"/>
  <c r="BY62" i="3"/>
  <c r="BZ76" i="3"/>
  <c r="CP111" i="2"/>
  <c r="CP309" i="2"/>
  <c r="AY360" i="2"/>
  <c r="BV261" i="1"/>
  <c r="BV367" i="1"/>
  <c r="BU115" i="12"/>
  <c r="BL114" i="12"/>
  <c r="BL135" i="12" s="1"/>
  <c r="BL69" i="12"/>
  <c r="BL43" i="17" s="1"/>
  <c r="BL44" i="17" s="1"/>
  <c r="BL46" i="17" s="1"/>
  <c r="AU53" i="3"/>
  <c r="AU21" i="3"/>
  <c r="AU63" i="3" s="1"/>
  <c r="AU46" i="3" s="1"/>
  <c r="BL67" i="3"/>
  <c r="BL76" i="4"/>
  <c r="BL59" i="3"/>
  <c r="CP360" i="2"/>
  <c r="CP376" i="2" s="1"/>
  <c r="AU366" i="2"/>
  <c r="CF346" i="2"/>
  <c r="CF362" i="2" s="1"/>
  <c r="CF378" i="2" s="1"/>
  <c r="CA346" i="2"/>
  <c r="BV81" i="4"/>
  <c r="AL311" i="2"/>
  <c r="AL114" i="2"/>
  <c r="AL156" i="2"/>
  <c r="AY80" i="4"/>
  <c r="AH35" i="5"/>
  <c r="S235" i="2"/>
  <c r="X238" i="2"/>
  <c r="S238" i="2"/>
  <c r="AK360" i="2"/>
  <c r="W21" i="3"/>
  <c r="W24" i="3" s="1"/>
  <c r="W85" i="4"/>
  <c r="P81" i="4"/>
  <c r="O50" i="4"/>
  <c r="BB61" i="4"/>
  <c r="BB70" i="4"/>
  <c r="BB64" i="4"/>
  <c r="BB66" i="4" s="1"/>
  <c r="W65" i="4"/>
  <c r="AA366" i="2"/>
  <c r="AT81" i="4"/>
  <c r="AB41" i="5"/>
  <c r="AC41" i="5" s="1"/>
  <c r="AA48" i="5"/>
  <c r="BF18" i="3"/>
  <c r="BF85" i="4" s="1"/>
  <c r="BG13" i="3"/>
  <c r="AB21" i="3"/>
  <c r="AB63" i="3" s="1"/>
  <c r="AB85" i="4"/>
  <c r="W84" i="17"/>
  <c r="W85" i="17" s="1"/>
  <c r="W80" i="17"/>
  <c r="AL234" i="2"/>
  <c r="AL215" i="2"/>
  <c r="AQ269" i="2"/>
  <c r="AL216" i="2"/>
  <c r="AL203" i="2"/>
  <c r="AL214" i="2"/>
  <c r="AL327" i="1" s="1"/>
  <c r="AL202" i="2"/>
  <c r="AL204" i="2"/>
  <c r="AH46" i="5"/>
  <c r="L360" i="2"/>
  <c r="AF37" i="1"/>
  <c r="AF43" i="1"/>
  <c r="BY39" i="5"/>
  <c r="BZ38" i="5"/>
  <c r="BQ80" i="12"/>
  <c r="BQ31" i="17" s="1"/>
  <c r="BQ32" i="17" s="1"/>
  <c r="BQ114" i="12"/>
  <c r="BJ135" i="12"/>
  <c r="BO115" i="12"/>
  <c r="D65" i="4"/>
  <c r="D68" i="4"/>
  <c r="D71" i="4" s="1"/>
  <c r="BB127" i="2"/>
  <c r="BB111" i="2"/>
  <c r="AM58" i="3"/>
  <c r="AM13" i="3"/>
  <c r="AM18" i="3" s="1"/>
  <c r="AM85" i="4" s="1"/>
  <c r="G234" i="2"/>
  <c r="G216" i="2"/>
  <c r="G208" i="2"/>
  <c r="G215" i="2"/>
  <c r="G202" i="2"/>
  <c r="H251" i="2"/>
  <c r="G251" i="2"/>
  <c r="G206" i="2"/>
  <c r="G210" i="2"/>
  <c r="G211" i="2"/>
  <c r="X257" i="2"/>
  <c r="AC257" i="2"/>
  <c r="X178" i="2"/>
  <c r="X248" i="2" s="1"/>
  <c r="AC241" i="2"/>
  <c r="X241" i="2"/>
  <c r="BJ368" i="2"/>
  <c r="BI368" i="2"/>
  <c r="BK368" i="2"/>
  <c r="BH368" i="2"/>
  <c r="BL58" i="3"/>
  <c r="BP360" i="2"/>
  <c r="G214" i="2"/>
  <c r="BG248" i="2"/>
  <c r="CP127" i="2"/>
  <c r="W53" i="3"/>
  <c r="BB231" i="2"/>
  <c r="G207" i="2"/>
  <c r="BQ67" i="3"/>
  <c r="BL188" i="2"/>
  <c r="BL216" i="2" s="1"/>
  <c r="M360" i="2"/>
  <c r="CC31" i="17"/>
  <c r="CC32" i="17" s="1"/>
  <c r="AC46" i="30"/>
  <c r="BQ302" i="2"/>
  <c r="BV346" i="2" s="1"/>
  <c r="BQ309" i="2"/>
  <c r="AN212" i="2"/>
  <c r="AN287" i="2"/>
  <c r="AC49" i="4"/>
  <c r="AC50" i="4" s="1"/>
  <c r="W66" i="4"/>
  <c r="AA80" i="4"/>
  <c r="CK346" i="1"/>
  <c r="CB62" i="4"/>
  <c r="CB49" i="4"/>
  <c r="AW44" i="17"/>
  <c r="AW45" i="17" s="1"/>
  <c r="Y80" i="4"/>
  <c r="BV32" i="17"/>
  <c r="E50" i="5"/>
  <c r="CB50" i="5"/>
  <c r="CA114" i="12"/>
  <c r="CA44" i="17"/>
  <c r="CA46" i="17" s="1"/>
  <c r="BJ39" i="4"/>
  <c r="BJ49" i="4" s="1"/>
  <c r="BJ50" i="4" s="1"/>
  <c r="BJ84" i="4"/>
  <c r="BJ75" i="4"/>
  <c r="BX304" i="2"/>
  <c r="BY346" i="2"/>
  <c r="BX346" i="2"/>
  <c r="BB264" i="2"/>
  <c r="AI85" i="4"/>
  <c r="AI21" i="3"/>
  <c r="AI53" i="3"/>
  <c r="BK80" i="4"/>
  <c r="CK386" i="1"/>
  <c r="CF387" i="1"/>
  <c r="CB63" i="17"/>
  <c r="BP115" i="12"/>
  <c r="BQ44" i="17"/>
  <c r="BQ46" i="17" s="1"/>
  <c r="BK135" i="12"/>
  <c r="L46" i="30"/>
  <c r="CF114" i="12"/>
  <c r="AI65" i="4"/>
  <c r="AI68" i="4"/>
  <c r="AI71" i="4" s="1"/>
  <c r="D81" i="4"/>
  <c r="C81" i="4"/>
  <c r="BF81" i="4"/>
  <c r="BK81" i="4"/>
  <c r="M42" i="5"/>
  <c r="N42" i="5" s="1"/>
  <c r="L48" i="5"/>
  <c r="CA23" i="5"/>
  <c r="CA18" i="5" s="1"/>
  <c r="W36" i="5"/>
  <c r="V39" i="5"/>
  <c r="CZ348" i="1"/>
  <c r="BI56" i="4"/>
  <c r="BH69" i="4"/>
  <c r="BH71" i="4" s="1"/>
  <c r="AN54" i="5"/>
  <c r="AN56" i="5" s="1"/>
  <c r="AN59" i="5" s="1"/>
  <c r="AN50" i="5"/>
  <c r="AL38" i="5"/>
  <c r="E85" i="4"/>
  <c r="E21" i="3"/>
  <c r="E53" i="3"/>
  <c r="AV41" i="5"/>
  <c r="CP357" i="1"/>
  <c r="Z32" i="5"/>
  <c r="BF49" i="3"/>
  <c r="BG48" i="3"/>
  <c r="BG49" i="3" s="1"/>
  <c r="AI66" i="4"/>
  <c r="AJ32" i="5"/>
  <c r="AQ45" i="5"/>
  <c r="AQ48" i="5" s="1"/>
  <c r="AT69" i="4"/>
  <c r="AU56" i="4"/>
  <c r="CZ369" i="1"/>
  <c r="BD287" i="2"/>
  <c r="BD204" i="2"/>
  <c r="BD215" i="2"/>
  <c r="BD205" i="2"/>
  <c r="Y66" i="4"/>
  <c r="BD69" i="4"/>
  <c r="BE56" i="4"/>
  <c r="AU65" i="4"/>
  <c r="AU68" i="4"/>
  <c r="CK350" i="1"/>
  <c r="Y360" i="2"/>
  <c r="BL49" i="4"/>
  <c r="W49" i="4"/>
  <c r="W50" i="4" s="1"/>
  <c r="Z80" i="4"/>
  <c r="AB31" i="5"/>
  <c r="AA18" i="5"/>
  <c r="AV46" i="5"/>
  <c r="C54" i="5"/>
  <c r="C56" i="5" s="1"/>
  <c r="C50" i="5"/>
  <c r="AG42" i="5"/>
  <c r="BF188" i="2"/>
  <c r="BF286" i="2"/>
  <c r="BU10" i="5"/>
  <c r="AQ36" i="5"/>
  <c r="AP39" i="5"/>
  <c r="AG34" i="5"/>
  <c r="AH34" i="5" s="1"/>
  <c r="AF55" i="5"/>
  <c r="AF39" i="5"/>
  <c r="BB12" i="5"/>
  <c r="AL30" i="5"/>
  <c r="AM30" i="5" s="1"/>
  <c r="BA53" i="3"/>
  <c r="BA62" i="3" s="1"/>
  <c r="BA21" i="3"/>
  <c r="BA85" i="4"/>
  <c r="BU38" i="5"/>
  <c r="BT39" i="5"/>
  <c r="AN205" i="2"/>
  <c r="AN214" i="2"/>
  <c r="AN327" i="1" s="1"/>
  <c r="AN202" i="2"/>
  <c r="AN204" i="2"/>
  <c r="AS269" i="2"/>
  <c r="AN215" i="2"/>
  <c r="AN203" i="2"/>
  <c r="AN216" i="2"/>
  <c r="AN234" i="2"/>
  <c r="Z212" i="2"/>
  <c r="Z203" i="2"/>
  <c r="Z287" i="2"/>
  <c r="Z215" i="2"/>
  <c r="Z214" i="2"/>
  <c r="Z327" i="1" s="1"/>
  <c r="Z205" i="2"/>
  <c r="Z216" i="2"/>
  <c r="Z204" i="2"/>
  <c r="Z202" i="2"/>
  <c r="BF80" i="4"/>
  <c r="G81" i="4"/>
  <c r="AV234" i="2"/>
  <c r="AV202" i="2"/>
  <c r="AV212" i="2"/>
  <c r="AV205" i="2"/>
  <c r="AV203" i="2"/>
  <c r="AV215" i="2"/>
  <c r="AV214" i="2"/>
  <c r="AV327" i="1" s="1"/>
  <c r="AV204" i="2"/>
  <c r="CK344" i="1"/>
  <c r="CE7" i="5"/>
  <c r="BB77" i="4"/>
  <c r="BB78" i="4"/>
  <c r="BB79" i="4" s="1"/>
  <c r="BF69" i="4"/>
  <c r="G50" i="4"/>
  <c r="T21" i="3"/>
  <c r="T85" i="4"/>
  <c r="T53" i="3"/>
  <c r="AD54" i="5"/>
  <c r="AD56" i="5" s="1"/>
  <c r="AD59" i="5" s="1"/>
  <c r="AD50" i="5"/>
  <c r="AT50" i="4"/>
  <c r="BF50" i="4"/>
  <c r="AT367" i="2"/>
  <c r="AU367" i="2"/>
  <c r="AS367" i="2"/>
  <c r="BB58" i="3"/>
  <c r="AB46" i="5"/>
  <c r="AR9" i="5"/>
  <c r="AQ54" i="3"/>
  <c r="AQ55" i="3" s="1"/>
  <c r="AQ61" i="3" s="1"/>
  <c r="U368" i="2"/>
  <c r="Y368" i="2"/>
  <c r="V368" i="2"/>
  <c r="BZ31" i="17"/>
  <c r="BZ32" i="17" s="1"/>
  <c r="BZ63" i="17" s="1"/>
  <c r="AA46" i="30"/>
  <c r="O29" i="1"/>
  <c r="R29" i="1" s="1"/>
  <c r="R27" i="1"/>
  <c r="O31" i="1"/>
  <c r="O33" i="1" s="1"/>
  <c r="O35" i="1"/>
  <c r="L347" i="2"/>
  <c r="L363" i="2" s="1"/>
  <c r="BN360" i="2"/>
  <c r="AD251" i="2"/>
  <c r="O156" i="2"/>
  <c r="AD134" i="2"/>
  <c r="AD135" i="2"/>
  <c r="AQ114" i="2"/>
  <c r="AQ251" i="2"/>
  <c r="BD347" i="2"/>
  <c r="BD363" i="2" s="1"/>
  <c r="AD130" i="2"/>
  <c r="AD136" i="2"/>
  <c r="AI130" i="2"/>
  <c r="G209" i="2"/>
  <c r="G269" i="2"/>
  <c r="M346" i="2"/>
  <c r="M362" i="2" s="1"/>
  <c r="BC347" i="2"/>
  <c r="BC363" i="2" s="1"/>
  <c r="N344" i="2"/>
  <c r="N360" i="2" s="1"/>
  <c r="AE156" i="2"/>
  <c r="AD133" i="2"/>
  <c r="AM111" i="2"/>
  <c r="BD346" i="2"/>
  <c r="BD362" i="2" s="1"/>
  <c r="AM80" i="17"/>
  <c r="BG16" i="5"/>
  <c r="BG31" i="5"/>
  <c r="K32" i="5"/>
  <c r="K54" i="5" s="1"/>
  <c r="K56" i="5" s="1"/>
  <c r="K59" i="5" s="1"/>
  <c r="CF7" i="17"/>
  <c r="CF8" i="17" s="1"/>
  <c r="BB35" i="5"/>
  <c r="S46" i="5"/>
  <c r="BV9" i="5"/>
  <c r="BL29" i="5"/>
  <c r="CP358" i="1"/>
  <c r="Z81" i="4"/>
  <c r="BL68" i="4"/>
  <c r="BM92" i="4" s="1"/>
  <c r="BL65" i="4"/>
  <c r="AD277" i="1"/>
  <c r="AD280" i="1" s="1"/>
  <c r="AE277" i="1" s="1"/>
  <c r="AE280" i="1" s="1"/>
  <c r="AF277" i="1" s="1"/>
  <c r="AF280" i="1" s="1"/>
  <c r="AG277" i="1" s="1"/>
  <c r="AG280" i="1" s="1"/>
  <c r="AH277" i="1"/>
  <c r="AH280" i="1" s="1"/>
  <c r="AO80" i="4"/>
  <c r="AJ80" i="4"/>
  <c r="AR76" i="4"/>
  <c r="AR59" i="3"/>
  <c r="BW77" i="17"/>
  <c r="M18" i="1"/>
  <c r="AO21" i="3"/>
  <c r="AO85" i="4"/>
  <c r="AO53" i="3"/>
  <c r="AO69" i="3" s="1"/>
  <c r="P85" i="4"/>
  <c r="P21" i="3"/>
  <c r="P53" i="3"/>
  <c r="Q85" i="4"/>
  <c r="Q21" i="3"/>
  <c r="Q53" i="3"/>
  <c r="T37" i="1"/>
  <c r="T43" i="1"/>
  <c r="AM78" i="4"/>
  <c r="AM79" i="4" s="1"/>
  <c r="S139" i="1"/>
  <c r="R121" i="1"/>
  <c r="CP372" i="1"/>
  <c r="AP21" i="3"/>
  <c r="AP53" i="3"/>
  <c r="AP85" i="4"/>
  <c r="BU23" i="5"/>
  <c r="BV23" i="5" s="1"/>
  <c r="BF33" i="1"/>
  <c r="AE143" i="2"/>
  <c r="AE147" i="2" s="1"/>
  <c r="BX147" i="2"/>
  <c r="BP45" i="5"/>
  <c r="V268" i="2"/>
  <c r="V188" i="2"/>
  <c r="AD62" i="4"/>
  <c r="AD49" i="4"/>
  <c r="AD50" i="4" s="1"/>
  <c r="CK352" i="1"/>
  <c r="BE39" i="4"/>
  <c r="BE49" i="4" s="1"/>
  <c r="BE50" i="4" s="1"/>
  <c r="BE75" i="4"/>
  <c r="BE84" i="4"/>
  <c r="V29" i="1"/>
  <c r="W29" i="1" s="1"/>
  <c r="V35" i="1"/>
  <c r="W27" i="1"/>
  <c r="V31" i="1"/>
  <c r="V33" i="1" s="1"/>
  <c r="BX49" i="3"/>
  <c r="CA48" i="3"/>
  <c r="CA49" i="3" s="1"/>
  <c r="AL85" i="4"/>
  <c r="AL53" i="3"/>
  <c r="AL21" i="3"/>
  <c r="CD38" i="5"/>
  <c r="CC39" i="5"/>
  <c r="BZ214" i="2"/>
  <c r="BZ327" i="1" s="1"/>
  <c r="BZ215" i="2"/>
  <c r="BZ213" i="2"/>
  <c r="CB287" i="2"/>
  <c r="BZ216" i="2"/>
  <c r="BZ217" i="2"/>
  <c r="BZ234" i="2"/>
  <c r="BZ202" i="2"/>
  <c r="BZ212" i="2"/>
  <c r="BZ287" i="2"/>
  <c r="N27" i="1"/>
  <c r="M24" i="1"/>
  <c r="CD56" i="4"/>
  <c r="CE69" i="4"/>
  <c r="CE70" i="4" s="1"/>
  <c r="AJ286" i="2"/>
  <c r="AI188" i="2"/>
  <c r="AN268" i="2"/>
  <c r="AM186" i="2"/>
  <c r="AM268" i="2" s="1"/>
  <c r="AI268" i="2"/>
  <c r="CF9" i="5"/>
  <c r="J62" i="4"/>
  <c r="J49" i="4"/>
  <c r="J50" i="4" s="1"/>
  <c r="BT21" i="3"/>
  <c r="BT85" i="4"/>
  <c r="BT53" i="3"/>
  <c r="BP39" i="4"/>
  <c r="BP49" i="4" s="1"/>
  <c r="BP50" i="4" s="1"/>
  <c r="BP84" i="4"/>
  <c r="BP75" i="4"/>
  <c r="CK334" i="1"/>
  <c r="CA47" i="5"/>
  <c r="AR111" i="2"/>
  <c r="CD54" i="3"/>
  <c r="CD55" i="3" s="1"/>
  <c r="CE10" i="5"/>
  <c r="CK377" i="1"/>
  <c r="S75" i="4"/>
  <c r="S45" i="5"/>
  <c r="O373" i="2"/>
  <c r="R373" i="2"/>
  <c r="S373" i="2" s="1"/>
  <c r="AC40" i="5"/>
  <c r="AA134" i="2"/>
  <c r="AA136" i="2"/>
  <c r="AA145" i="2"/>
  <c r="AA326" i="1" s="1"/>
  <c r="AA146" i="2"/>
  <c r="AA135" i="2"/>
  <c r="AA133" i="2"/>
  <c r="AA346" i="2"/>
  <c r="AA362" i="2" s="1"/>
  <c r="AA130" i="2"/>
  <c r="AA57" i="4"/>
  <c r="AA68" i="4" s="1"/>
  <c r="Z68" i="4"/>
  <c r="BM39" i="4"/>
  <c r="BM49" i="4" s="1"/>
  <c r="BM50" i="4" s="1"/>
  <c r="BM75" i="4"/>
  <c r="BM84" i="4"/>
  <c r="L35" i="1"/>
  <c r="L29" i="1"/>
  <c r="L31" i="1"/>
  <c r="L33" i="1" s="1"/>
  <c r="CP333" i="1"/>
  <c r="CP340" i="1"/>
  <c r="AL134" i="2"/>
  <c r="AL146" i="2"/>
  <c r="AL346" i="2"/>
  <c r="AL362" i="2" s="1"/>
  <c r="AN156" i="2"/>
  <c r="AL135" i="2"/>
  <c r="AL133" i="2"/>
  <c r="AL347" i="2"/>
  <c r="AL363" i="2" s="1"/>
  <c r="AL145" i="2"/>
  <c r="AL326" i="1" s="1"/>
  <c r="AL136" i="2"/>
  <c r="BW29" i="3"/>
  <c r="BX39" i="3"/>
  <c r="BR77" i="4"/>
  <c r="BR80" i="4" s="1"/>
  <c r="BQ33" i="4"/>
  <c r="CZ356" i="1"/>
  <c r="W351" i="2"/>
  <c r="W344" i="2"/>
  <c r="X335" i="2"/>
  <c r="AH337" i="2"/>
  <c r="AH353" i="2" s="1"/>
  <c r="AG344" i="2"/>
  <c r="AG353" i="2"/>
  <c r="AH27" i="1"/>
  <c r="AG24" i="1"/>
  <c r="BK360" i="2"/>
  <c r="BL24" i="5"/>
  <c r="AF214" i="2"/>
  <c r="AF327" i="1" s="1"/>
  <c r="AF215" i="2"/>
  <c r="AF204" i="2"/>
  <c r="AF216" i="2"/>
  <c r="AF203" i="2"/>
  <c r="AF205" i="2"/>
  <c r="AF234" i="2"/>
  <c r="AF212" i="2"/>
  <c r="AF202" i="2"/>
  <c r="BN53" i="3"/>
  <c r="BN21" i="3"/>
  <c r="BN85" i="4"/>
  <c r="W45" i="5"/>
  <c r="CO248" i="2"/>
  <c r="CO264" i="2"/>
  <c r="CO194" i="2"/>
  <c r="X70" i="4"/>
  <c r="X61" i="4"/>
  <c r="X64" i="4"/>
  <c r="L85" i="17"/>
  <c r="CK339" i="1"/>
  <c r="S127" i="2"/>
  <c r="BQ13" i="3"/>
  <c r="AF287" i="2"/>
  <c r="M156" i="2"/>
  <c r="CD69" i="3"/>
  <c r="M137" i="2"/>
  <c r="AH239" i="2"/>
  <c r="AI337" i="2"/>
  <c r="AH300" i="2"/>
  <c r="L202" i="2"/>
  <c r="L208" i="2"/>
  <c r="L216" i="2"/>
  <c r="L215" i="2"/>
  <c r="L206" i="2"/>
  <c r="L209" i="2"/>
  <c r="L212" i="2"/>
  <c r="L207" i="2"/>
  <c r="L214" i="2"/>
  <c r="L327" i="1" s="1"/>
  <c r="BO360" i="2"/>
  <c r="CU380" i="1"/>
  <c r="AF81" i="4"/>
  <c r="AE81" i="4"/>
  <c r="L234" i="2"/>
  <c r="G85" i="17"/>
  <c r="AR344" i="2"/>
  <c r="AR360" i="2" s="1"/>
  <c r="AT366" i="2"/>
  <c r="AL269" i="2"/>
  <c r="E80" i="17"/>
  <c r="BE69" i="3"/>
  <c r="AW248" i="2"/>
  <c r="AK251" i="2"/>
  <c r="S111" i="2"/>
  <c r="M138" i="2"/>
  <c r="R130" i="2"/>
  <c r="BG23" i="5"/>
  <c r="CF12" i="5"/>
  <c r="CU391" i="1"/>
  <c r="G54" i="5"/>
  <c r="G56" i="5" s="1"/>
  <c r="G50" i="5"/>
  <c r="H85" i="17"/>
  <c r="AL81" i="4"/>
  <c r="AK81" i="4"/>
  <c r="BP369" i="2"/>
  <c r="BO369" i="2"/>
  <c r="BR369" i="2"/>
  <c r="BS369" i="2"/>
  <c r="CF49" i="5"/>
  <c r="AP304" i="2"/>
  <c r="AP346" i="2"/>
  <c r="AM82" i="2"/>
  <c r="AK163" i="2"/>
  <c r="AJ163" i="2"/>
  <c r="AM309" i="2"/>
  <c r="AI163" i="2"/>
  <c r="AL163" i="2"/>
  <c r="DE341" i="1"/>
  <c r="J61" i="3"/>
  <c r="J86" i="4"/>
  <c r="AW24" i="4"/>
  <c r="AW84" i="4"/>
  <c r="AW75" i="4"/>
  <c r="C85" i="17"/>
  <c r="I85" i="17"/>
  <c r="AT49" i="3"/>
  <c r="AW48" i="3"/>
  <c r="AW49" i="3" s="1"/>
  <c r="Y218" i="2"/>
  <c r="AP56" i="4"/>
  <c r="AO69" i="4"/>
  <c r="BX369" i="2"/>
  <c r="BT369" i="2"/>
  <c r="BU369" i="2"/>
  <c r="BW369" i="2"/>
  <c r="CZ378" i="1"/>
  <c r="L163" i="2"/>
  <c r="K163" i="2"/>
  <c r="N111" i="2"/>
  <c r="J163" i="2"/>
  <c r="N82" i="2"/>
  <c r="N127" i="2"/>
  <c r="BN135" i="12"/>
  <c r="BN136" i="12" s="1"/>
  <c r="AR34" i="12"/>
  <c r="AF269" i="2"/>
  <c r="M140" i="2"/>
  <c r="AQ145" i="2"/>
  <c r="AQ326" i="1" s="1"/>
  <c r="AQ134" i="2"/>
  <c r="AQ136" i="2"/>
  <c r="AQ135" i="2"/>
  <c r="AQ130" i="2"/>
  <c r="AV130" i="2"/>
  <c r="AQ156" i="2"/>
  <c r="AQ133" i="2"/>
  <c r="AQ146" i="2"/>
  <c r="AQ346" i="2"/>
  <c r="AQ362" i="2" s="1"/>
  <c r="BA81" i="4"/>
  <c r="AV81" i="4"/>
  <c r="BR263" i="1"/>
  <c r="H54" i="5"/>
  <c r="H56" i="5" s="1"/>
  <c r="H50" i="5"/>
  <c r="AU304" i="2"/>
  <c r="AV346" i="2"/>
  <c r="AV362" i="2" s="1"/>
  <c r="AU346" i="2"/>
  <c r="AU362" i="2" s="1"/>
  <c r="M213" i="1"/>
  <c r="BJ57" i="4"/>
  <c r="BJ68" i="4" s="1"/>
  <c r="BI68" i="4"/>
  <c r="BN115" i="12"/>
  <c r="BV20" i="17"/>
  <c r="BV22" i="17" s="1"/>
  <c r="CB77" i="17"/>
  <c r="AQ311" i="2"/>
  <c r="AV251" i="2"/>
  <c r="BB248" i="2"/>
  <c r="L287" i="2"/>
  <c r="CD115" i="12"/>
  <c r="AR23" i="5"/>
  <c r="V48" i="5"/>
  <c r="AM21" i="5"/>
  <c r="BQ76" i="4"/>
  <c r="BJ115" i="12"/>
  <c r="Q251" i="2"/>
  <c r="AB46" i="30"/>
  <c r="BV67" i="3"/>
  <c r="CP178" i="2"/>
  <c r="AR127" i="2"/>
  <c r="AW127" i="2"/>
  <c r="CO282" i="2"/>
  <c r="AD368" i="2"/>
  <c r="AR248" i="2"/>
  <c r="M139" i="2"/>
  <c r="M146" i="2"/>
  <c r="AL251" i="2"/>
  <c r="M133" i="2"/>
  <c r="BX376" i="2"/>
  <c r="AE368" i="2"/>
  <c r="CF13" i="3"/>
  <c r="CF12" i="3" s="1"/>
  <c r="CZ362" i="1"/>
  <c r="BV68" i="4"/>
  <c r="BV65" i="4"/>
  <c r="T80" i="4"/>
  <c r="W302" i="2"/>
  <c r="W309" i="2"/>
  <c r="AG302" i="2"/>
  <c r="AG309" i="2"/>
  <c r="R33" i="3"/>
  <c r="S25" i="3"/>
  <c r="R29" i="3"/>
  <c r="AT286" i="2"/>
  <c r="AU286" i="2"/>
  <c r="AW186" i="2"/>
  <c r="AT188" i="2"/>
  <c r="CE62" i="4"/>
  <c r="CE49" i="4"/>
  <c r="DE338" i="1"/>
  <c r="CZ364" i="1"/>
  <c r="CZ337" i="1"/>
  <c r="Q38" i="5"/>
  <c r="P39" i="5"/>
  <c r="AV50" i="4"/>
  <c r="AY268" i="2"/>
  <c r="AZ286" i="2"/>
  <c r="AY286" i="2"/>
  <c r="AY188" i="2"/>
  <c r="BD268" i="2"/>
  <c r="BD81" i="4"/>
  <c r="AY81" i="4"/>
  <c r="W282" i="2"/>
  <c r="W264" i="2"/>
  <c r="W248" i="2"/>
  <c r="W231" i="2"/>
  <c r="Y282" i="2"/>
  <c r="J360" i="2"/>
  <c r="CP374" i="1"/>
  <c r="BG302" i="2"/>
  <c r="BG213" i="1"/>
  <c r="BG208" i="1"/>
  <c r="AC75" i="4"/>
  <c r="AC84" i="4"/>
  <c r="AW264" i="2"/>
  <c r="N231" i="2"/>
  <c r="CK345" i="1"/>
  <c r="S55" i="5"/>
  <c r="J81" i="4"/>
  <c r="I81" i="4"/>
  <c r="M18" i="5"/>
  <c r="AH84" i="4"/>
  <c r="AH75" i="4"/>
  <c r="AH24" i="4"/>
  <c r="AG139" i="1"/>
  <c r="AH141" i="1"/>
  <c r="CK361" i="1"/>
  <c r="AD351" i="2"/>
  <c r="AD344" i="2"/>
  <c r="AH335" i="2"/>
  <c r="BL54" i="3"/>
  <c r="AB351" i="2"/>
  <c r="AB367" i="2" s="1"/>
  <c r="AC367" i="2" s="1"/>
  <c r="AB344" i="2"/>
  <c r="AC335" i="2"/>
  <c r="BV133" i="2"/>
  <c r="BT165" i="2"/>
  <c r="BV146" i="2"/>
  <c r="BR165" i="2"/>
  <c r="BV8" i="5"/>
  <c r="AV111" i="2"/>
  <c r="AV94" i="2"/>
  <c r="CK354" i="1"/>
  <c r="CF67" i="3"/>
  <c r="CF60" i="3"/>
  <c r="CF59" i="3"/>
  <c r="CF76" i="4"/>
  <c r="CE21" i="3"/>
  <c r="CE85" i="4"/>
  <c r="CE53" i="3"/>
  <c r="CA130" i="2"/>
  <c r="CA144" i="2"/>
  <c r="BW165" i="2"/>
  <c r="CA146" i="2"/>
  <c r="CP42" i="3"/>
  <c r="BV144" i="2"/>
  <c r="BV135" i="2"/>
  <c r="BU165" i="2"/>
  <c r="AW68" i="4"/>
  <c r="AW65" i="4"/>
  <c r="CZ355" i="1"/>
  <c r="CE48" i="5"/>
  <c r="AH64" i="4"/>
  <c r="AH61" i="4"/>
  <c r="AH70" i="4"/>
  <c r="BD32" i="5"/>
  <c r="W139" i="1"/>
  <c r="X141" i="1"/>
  <c r="W54" i="3"/>
  <c r="CF34" i="5"/>
  <c r="BG71" i="4"/>
  <c r="BG70" i="4"/>
  <c r="BG72" i="4" s="1"/>
  <c r="U286" i="2"/>
  <c r="Z268" i="2"/>
  <c r="V286" i="2"/>
  <c r="U188" i="2"/>
  <c r="U216" i="2" s="1"/>
  <c r="U268" i="2"/>
  <c r="N25" i="3"/>
  <c r="M33" i="3"/>
  <c r="M29" i="3"/>
  <c r="N316" i="1"/>
  <c r="AU81" i="4"/>
  <c r="AZ81" i="4"/>
  <c r="O268" i="2"/>
  <c r="K286" i="2"/>
  <c r="J188" i="2"/>
  <c r="AR94" i="2"/>
  <c r="AR107" i="2"/>
  <c r="AR68" i="4"/>
  <c r="AR65" i="4"/>
  <c r="AU32" i="5"/>
  <c r="D84" i="17"/>
  <c r="D80" i="17"/>
  <c r="BC50" i="5"/>
  <c r="BC54" i="5"/>
  <c r="BC56" i="5" s="1"/>
  <c r="BC59" i="5" s="1"/>
  <c r="N302" i="2"/>
  <c r="N309" i="2"/>
  <c r="Q79" i="17"/>
  <c r="CK349" i="1"/>
  <c r="I37" i="1"/>
  <c r="I43" i="1"/>
  <c r="AB286" i="2"/>
  <c r="AD286" i="2"/>
  <c r="AB188" i="2"/>
  <c r="N79" i="17"/>
  <c r="AW231" i="2"/>
  <c r="AW82" i="2"/>
  <c r="AJ66" i="4"/>
  <c r="AJ65" i="4"/>
  <c r="AJ68" i="4"/>
  <c r="AT32" i="5"/>
  <c r="CB21" i="3"/>
  <c r="CB53" i="3"/>
  <c r="CB85" i="4"/>
  <c r="CF18" i="3"/>
  <c r="AL65" i="4"/>
  <c r="AL68" i="4"/>
  <c r="AL66" i="4"/>
  <c r="CF46" i="5"/>
  <c r="BB46" i="5"/>
  <c r="AC186" i="2"/>
  <c r="AH268" i="2" s="1"/>
  <c r="L81" i="4"/>
  <c r="K81" i="4"/>
  <c r="K50" i="4"/>
  <c r="BB65" i="4"/>
  <c r="BB68" i="4"/>
  <c r="BB71" i="4" s="1"/>
  <c r="AL55" i="5"/>
  <c r="N14" i="5"/>
  <c r="BL23" i="5"/>
  <c r="AE85" i="17"/>
  <c r="J85" i="17"/>
  <c r="CP363" i="1"/>
  <c r="AM35" i="5"/>
  <c r="AG268" i="2"/>
  <c r="AK32" i="5"/>
  <c r="X9" i="5"/>
  <c r="BQ12" i="5"/>
  <c r="BH350" i="2"/>
  <c r="M62" i="4"/>
  <c r="M49" i="4"/>
  <c r="M50" i="4" s="1"/>
  <c r="AC64" i="4"/>
  <c r="AC66" i="4" s="1"/>
  <c r="AC69" i="4"/>
  <c r="AC65" i="4"/>
  <c r="S92" i="1"/>
  <c r="R89" i="1"/>
  <c r="R92" i="1" s="1"/>
  <c r="CF68" i="4"/>
  <c r="CF65" i="4"/>
  <c r="CF66" i="4"/>
  <c r="AG54" i="3"/>
  <c r="AH9" i="5"/>
  <c r="X79" i="17"/>
  <c r="X90" i="17" s="1"/>
  <c r="X91" i="17" s="1"/>
  <c r="AM14" i="5"/>
  <c r="CP335" i="1"/>
  <c r="X92" i="1"/>
  <c r="W89" i="1"/>
  <c r="W92" i="1" s="1"/>
  <c r="AR350" i="2"/>
  <c r="AA85" i="17"/>
  <c r="R55" i="5"/>
  <c r="BZ278" i="1"/>
  <c r="BZ277" i="1"/>
  <c r="CD24" i="3"/>
  <c r="CD70" i="3" s="1"/>
  <c r="CD63" i="3"/>
  <c r="CD46" i="3" s="1"/>
  <c r="CA114" i="2"/>
  <c r="CA136" i="2"/>
  <c r="CA135" i="2"/>
  <c r="BV311" i="2"/>
  <c r="BV145" i="2"/>
  <c r="BV326" i="1" s="1"/>
  <c r="BV136" i="2"/>
  <c r="X49" i="4"/>
  <c r="X62" i="4"/>
  <c r="N49" i="4"/>
  <c r="N62" i="4"/>
  <c r="N24" i="5"/>
  <c r="CF45" i="5"/>
  <c r="AB62" i="4"/>
  <c r="AB49" i="4"/>
  <c r="AB50" i="4" s="1"/>
  <c r="AC79" i="17"/>
  <c r="AC90" i="17" s="1"/>
  <c r="AC91" i="17" s="1"/>
  <c r="AY32" i="5"/>
  <c r="AC141" i="1"/>
  <c r="AB139" i="1"/>
  <c r="CA304" i="2"/>
  <c r="CB346" i="2"/>
  <c r="CB362" i="2" s="1"/>
  <c r="CK366" i="1"/>
  <c r="P373" i="2"/>
  <c r="BY54" i="5"/>
  <c r="BY56" i="5" s="1"/>
  <c r="BY59" i="5" s="1"/>
  <c r="BS50" i="5"/>
  <c r="BS54" i="5"/>
  <c r="BS56" i="5" s="1"/>
  <c r="BS59" i="5" s="1"/>
  <c r="AK66" i="4"/>
  <c r="AK65" i="4"/>
  <c r="AK68" i="4"/>
  <c r="BG39" i="3"/>
  <c r="BF29" i="3"/>
  <c r="CP370" i="1"/>
  <c r="AG203" i="2"/>
  <c r="AG202" i="2"/>
  <c r="AG287" i="2"/>
  <c r="AG204" i="2"/>
  <c r="AG205" i="2"/>
  <c r="AG215" i="2"/>
  <c r="AG214" i="2"/>
  <c r="AG327" i="1" s="1"/>
  <c r="AG212" i="2"/>
  <c r="AG234" i="2"/>
  <c r="O344" i="2"/>
  <c r="S340" i="2"/>
  <c r="O356" i="2"/>
  <c r="AH231" i="2"/>
  <c r="BK54" i="3"/>
  <c r="AO84" i="17"/>
  <c r="AO80" i="17"/>
  <c r="Q81" i="4"/>
  <c r="R81" i="4"/>
  <c r="Q50" i="4"/>
  <c r="BJ22" i="5"/>
  <c r="BI18" i="5"/>
  <c r="CD65" i="4"/>
  <c r="CD68" i="4"/>
  <c r="AV27" i="5"/>
  <c r="AV18" i="5" s="1"/>
  <c r="R62" i="4"/>
  <c r="R66" i="4" s="1"/>
  <c r="R49" i="4"/>
  <c r="R50" i="4" s="1"/>
  <c r="BQ42" i="5"/>
  <c r="CP367" i="1"/>
  <c r="X24" i="4"/>
  <c r="X75" i="4"/>
  <c r="X84" i="4"/>
  <c r="T215" i="2"/>
  <c r="T204" i="2"/>
  <c r="T203" i="2"/>
  <c r="T269" i="2"/>
  <c r="Y251" i="2"/>
  <c r="T205" i="2"/>
  <c r="T214" i="2"/>
  <c r="T327" i="1" s="1"/>
  <c r="T251" i="2"/>
  <c r="T216" i="2"/>
  <c r="T202" i="2"/>
  <c r="T212" i="2"/>
  <c r="Y269" i="2"/>
  <c r="AH79" i="17"/>
  <c r="AH90" i="17" s="1"/>
  <c r="AH91" i="17" s="1"/>
  <c r="CZ351" i="1"/>
  <c r="BZ92" i="4"/>
  <c r="BZ72" i="4"/>
  <c r="BZ71" i="4"/>
  <c r="AH62" i="4"/>
  <c r="AH49" i="4"/>
  <c r="R16" i="5"/>
  <c r="Q32" i="5"/>
  <c r="P66" i="4"/>
  <c r="P65" i="4"/>
  <c r="P68" i="4"/>
  <c r="S62" i="4"/>
  <c r="S68" i="4" s="1"/>
  <c r="CP376" i="1"/>
  <c r="AH188" i="2"/>
  <c r="BX53" i="3"/>
  <c r="BX85" i="4"/>
  <c r="CA18" i="3"/>
  <c r="BX21" i="3"/>
  <c r="CA8" i="5"/>
  <c r="AM248" i="2"/>
  <c r="S69" i="4"/>
  <c r="S64" i="4"/>
  <c r="CZ373" i="1"/>
  <c r="CP390" i="1"/>
  <c r="CE18" i="5"/>
  <c r="CF26" i="5"/>
  <c r="CP379" i="1"/>
  <c r="CE49" i="3"/>
  <c r="CF48" i="3"/>
  <c r="CF49" i="3" s="1"/>
  <c r="CA133" i="2"/>
  <c r="CF130" i="2"/>
  <c r="BP68" i="4"/>
  <c r="BP65" i="4"/>
  <c r="BP66" i="4"/>
  <c r="N75" i="4"/>
  <c r="N84" i="4"/>
  <c r="N24" i="4"/>
  <c r="S81" i="4" s="1"/>
  <c r="BH49" i="3"/>
  <c r="BL48" i="3"/>
  <c r="BL49" i="3" s="1"/>
  <c r="U54" i="5"/>
  <c r="U56" i="5" s="1"/>
  <c r="U59" i="5" s="1"/>
  <c r="U50" i="5"/>
  <c r="CK371" i="1"/>
  <c r="CF114" i="2"/>
  <c r="BX165" i="2"/>
  <c r="BZ165" i="2"/>
  <c r="CA134" i="2"/>
  <c r="CA145" i="2"/>
  <c r="CA326" i="1" s="1"/>
  <c r="BV134" i="2"/>
  <c r="BV143" i="2"/>
  <c r="BV324" i="1" s="1"/>
  <c r="BS165" i="2"/>
  <c r="T81" i="4"/>
  <c r="DE359" i="1"/>
  <c r="CZ375" i="1"/>
  <c r="AG49" i="4"/>
  <c r="AG50" i="4" s="1"/>
  <c r="AG62" i="4"/>
  <c r="BQ35" i="5"/>
  <c r="CA65" i="4"/>
  <c r="CA68" i="4"/>
  <c r="BK48" i="5"/>
  <c r="W190" i="1"/>
  <c r="W186" i="2"/>
  <c r="AB268" i="2" s="1"/>
  <c r="BA27" i="5"/>
  <c r="AZ18" i="5"/>
  <c r="CE213" i="2"/>
  <c r="CE251" i="2"/>
  <c r="CE269" i="2"/>
  <c r="CE234" i="2"/>
  <c r="CE202" i="2"/>
  <c r="CE215" i="2"/>
  <c r="CE212" i="2"/>
  <c r="CE287" i="2"/>
  <c r="CE214" i="2"/>
  <c r="CE327" i="1" s="1"/>
  <c r="CE216" i="2"/>
  <c r="CE217" i="2"/>
  <c r="M186" i="2"/>
  <c r="N186" i="2" s="1"/>
  <c r="M190" i="1"/>
  <c r="F37" i="1"/>
  <c r="F43" i="1"/>
  <c r="BL350" i="2"/>
  <c r="BL366" i="2" s="1"/>
  <c r="AM55" i="5"/>
  <c r="V65" i="4"/>
  <c r="V68" i="4"/>
  <c r="V66" i="4"/>
  <c r="BA39" i="5"/>
  <c r="AQ18" i="5"/>
  <c r="AB55" i="5"/>
  <c r="BX66" i="4"/>
  <c r="R48" i="5"/>
  <c r="S41" i="5"/>
  <c r="CA46" i="5"/>
  <c r="AG248" i="2"/>
  <c r="AB309" i="2"/>
  <c r="AG111" i="2"/>
  <c r="AB82" i="2"/>
  <c r="AB154" i="2"/>
  <c r="AB111" i="2"/>
  <c r="AB248" i="2"/>
  <c r="AB127" i="2"/>
  <c r="AB231" i="2"/>
  <c r="AG127" i="2"/>
  <c r="Y160" i="2"/>
  <c r="AA160" i="2"/>
  <c r="AH118" i="2"/>
  <c r="Z160" i="2"/>
  <c r="AC222" i="2"/>
  <c r="AC108" i="2"/>
  <c r="AC118" i="2"/>
  <c r="AH108" i="2"/>
  <c r="AC239" i="2"/>
  <c r="AC69" i="2"/>
  <c r="S63" i="17"/>
  <c r="S77" i="17" s="1"/>
  <c r="S40" i="17"/>
  <c r="M89" i="1"/>
  <c r="M92" i="1" s="1"/>
  <c r="N92" i="1"/>
  <c r="BH268" i="2"/>
  <c r="BH188" i="2"/>
  <c r="BH286" i="2"/>
  <c r="BI286" i="2"/>
  <c r="BM268" i="2"/>
  <c r="BH32" i="5"/>
  <c r="BV40" i="5"/>
  <c r="F65" i="4"/>
  <c r="F68" i="4"/>
  <c r="R18" i="5"/>
  <c r="S22" i="5"/>
  <c r="S18" i="5" s="1"/>
  <c r="S42" i="5"/>
  <c r="CF381" i="1"/>
  <c r="J70" i="4"/>
  <c r="M35" i="5"/>
  <c r="R21" i="3"/>
  <c r="R53" i="3"/>
  <c r="R85" i="4"/>
  <c r="AS50" i="5"/>
  <c r="AS54" i="5"/>
  <c r="AS56" i="5" s="1"/>
  <c r="AS59" i="5" s="1"/>
  <c r="CU336" i="1"/>
  <c r="CD62" i="3"/>
  <c r="CD76" i="3"/>
  <c r="AH316" i="1"/>
  <c r="AC47" i="5"/>
  <c r="AC33" i="5"/>
  <c r="BB37" i="5"/>
  <c r="BX77" i="17"/>
  <c r="BJ63" i="17"/>
  <c r="BJ77" i="17" s="1"/>
  <c r="AQ84" i="17"/>
  <c r="AW114" i="12"/>
  <c r="S114" i="12"/>
  <c r="S115" i="12" s="1"/>
  <c r="CD63" i="17"/>
  <c r="BV44" i="17"/>
  <c r="BV46" i="17" s="1"/>
  <c r="AC114" i="12"/>
  <c r="D136" i="12"/>
  <c r="BM63" i="17"/>
  <c r="BM77" i="17" s="1"/>
  <c r="BP65" i="17"/>
  <c r="E136" i="12"/>
  <c r="CP70" i="12"/>
  <c r="CP69" i="12" s="1"/>
  <c r="AE347" i="2"/>
  <c r="AD311" i="2"/>
  <c r="BO143" i="2"/>
  <c r="BO147" i="2" s="1"/>
  <c r="E143" i="2"/>
  <c r="AN311" i="2"/>
  <c r="AN347" i="2"/>
  <c r="AN363" i="2" s="1"/>
  <c r="G143" i="2"/>
  <c r="G147" i="2" s="1"/>
  <c r="AF46" i="30"/>
  <c r="AW21" i="17"/>
  <c r="BG114" i="12"/>
  <c r="BY63" i="17"/>
  <c r="BK63" i="17"/>
  <c r="BK77" i="17" s="1"/>
  <c r="BY77" i="17"/>
  <c r="BE136" i="12"/>
  <c r="F61" i="3"/>
  <c r="F86" i="4"/>
  <c r="BY26" i="3"/>
  <c r="BY32" i="3"/>
  <c r="BY64" i="3"/>
  <c r="BY89" i="4"/>
  <c r="BZ77" i="3"/>
  <c r="G326" i="1"/>
  <c r="E326" i="1"/>
  <c r="P347" i="2"/>
  <c r="P363" i="2" s="1"/>
  <c r="O311" i="2"/>
  <c r="AS143" i="2"/>
  <c r="AS147" i="2" s="1"/>
  <c r="CO114" i="12"/>
  <c r="V311" i="2"/>
  <c r="V347" i="2"/>
  <c r="V363" i="2" s="1"/>
  <c r="AJ347" i="2"/>
  <c r="AJ363" i="2" s="1"/>
  <c r="AJ311" i="2"/>
  <c r="AK347" i="2"/>
  <c r="AK363" i="2" s="1"/>
  <c r="AK368" i="2"/>
  <c r="AI368" i="2"/>
  <c r="AL368" i="2"/>
  <c r="AM368" i="2" s="1"/>
  <c r="AJ368" i="2"/>
  <c r="CC218" i="2"/>
  <c r="AN85" i="4"/>
  <c r="AR18" i="3"/>
  <c r="AN53" i="3"/>
  <c r="AN21" i="3"/>
  <c r="BC62" i="3"/>
  <c r="BC55" i="3"/>
  <c r="BO24" i="3"/>
  <c r="BO63" i="3"/>
  <c r="BO46" i="3" s="1"/>
  <c r="BM32" i="3"/>
  <c r="BM64" i="3"/>
  <c r="BM26" i="3"/>
  <c r="BM28" i="3"/>
  <c r="AK49" i="3"/>
  <c r="AK46" i="3"/>
  <c r="AS86" i="4"/>
  <c r="AS61" i="3"/>
  <c r="AB62" i="3"/>
  <c r="AJ62" i="3"/>
  <c r="AJ55" i="3"/>
  <c r="AD63" i="3"/>
  <c r="AD24" i="3"/>
  <c r="BK89" i="4"/>
  <c r="BK28" i="3"/>
  <c r="BK64" i="3"/>
  <c r="BK32" i="3"/>
  <c r="BK26" i="3"/>
  <c r="BM77" i="3"/>
  <c r="BU53" i="3"/>
  <c r="BU21" i="3"/>
  <c r="BU85" i="4"/>
  <c r="BV18" i="3"/>
  <c r="BP53" i="3"/>
  <c r="BP85" i="4"/>
  <c r="BP21" i="3"/>
  <c r="BQ18" i="3"/>
  <c r="AF46" i="3"/>
  <c r="AF49" i="3"/>
  <c r="D63" i="3"/>
  <c r="D46" i="3" s="1"/>
  <c r="D24" i="3"/>
  <c r="C62" i="3"/>
  <c r="C55" i="3"/>
  <c r="BL18" i="3"/>
  <c r="BI85" i="4"/>
  <c r="BI53" i="3"/>
  <c r="BI21" i="3"/>
  <c r="I24" i="3"/>
  <c r="I63" i="3"/>
  <c r="I46" i="3" s="1"/>
  <c r="K89" i="4"/>
  <c r="K26" i="3"/>
  <c r="K32" i="3"/>
  <c r="K28" i="3"/>
  <c r="K64" i="3"/>
  <c r="BD21" i="3"/>
  <c r="BD85" i="4"/>
  <c r="BD53" i="3"/>
  <c r="AX85" i="4"/>
  <c r="AX53" i="3"/>
  <c r="AX21" i="3"/>
  <c r="BB18" i="3"/>
  <c r="U26" i="3"/>
  <c r="U32" i="3"/>
  <c r="U64" i="3"/>
  <c r="U28" i="3"/>
  <c r="U89" i="4"/>
  <c r="AA331" i="2"/>
  <c r="BS77" i="17"/>
  <c r="BR77" i="17"/>
  <c r="BB34" i="17"/>
  <c r="BH63" i="17"/>
  <c r="BH77" i="17" s="1"/>
  <c r="N331" i="2"/>
  <c r="AJ135" i="12"/>
  <c r="U115" i="12"/>
  <c r="P135" i="12"/>
  <c r="P136" i="12" s="1"/>
  <c r="P115" i="12"/>
  <c r="CO34" i="12"/>
  <c r="CL114" i="12"/>
  <c r="P34" i="30"/>
  <c r="P33" i="30"/>
  <c r="P17" i="30"/>
  <c r="Q21" i="30"/>
  <c r="Q17" i="30"/>
  <c r="M38" i="30"/>
  <c r="M39" i="30"/>
  <c r="CP81" i="12"/>
  <c r="CP80" i="12" s="1"/>
  <c r="N34" i="12"/>
  <c r="AO115" i="12"/>
  <c r="BX63" i="17"/>
  <c r="G136" i="12"/>
  <c r="AD331" i="2"/>
  <c r="BB331" i="2"/>
  <c r="I136" i="12"/>
  <c r="CD77" i="17"/>
  <c r="BT63" i="17"/>
  <c r="CH77" i="17"/>
  <c r="BT77" i="17"/>
  <c r="CG331" i="2"/>
  <c r="AT80" i="17"/>
  <c r="CN114" i="12"/>
  <c r="CP35" i="12"/>
  <c r="O331" i="2"/>
  <c r="M85" i="17"/>
  <c r="AB85" i="17"/>
  <c r="AI46" i="30"/>
  <c r="H136" i="12"/>
  <c r="AH107" i="2"/>
  <c r="AH94" i="2"/>
  <c r="BM347" i="2"/>
  <c r="BM363" i="2" s="1"/>
  <c r="BN165" i="2"/>
  <c r="BM165" i="2"/>
  <c r="BQ134" i="2"/>
  <c r="BQ135" i="2"/>
  <c r="BP165" i="2"/>
  <c r="BO165" i="2"/>
  <c r="BQ146" i="2"/>
  <c r="BQ133" i="2"/>
  <c r="BQ145" i="2"/>
  <c r="BQ326" i="1" s="1"/>
  <c r="BQ136" i="2"/>
  <c r="BV130" i="2"/>
  <c r="BV114" i="2"/>
  <c r="CA323" i="1"/>
  <c r="BJ311" i="2"/>
  <c r="BK347" i="2"/>
  <c r="BK363" i="2" s="1"/>
  <c r="M347" i="2"/>
  <c r="M363" i="2" s="1"/>
  <c r="M311" i="2"/>
  <c r="AD94" i="2"/>
  <c r="AD114" i="2" s="1"/>
  <c r="AD107" i="2"/>
  <c r="J311" i="2"/>
  <c r="K347" i="2"/>
  <c r="K363" i="2" s="1"/>
  <c r="J347" i="2"/>
  <c r="CP21" i="4"/>
  <c r="CL63" i="4"/>
  <c r="CM63" i="4"/>
  <c r="CG64" i="4"/>
  <c r="CG61" i="4"/>
  <c r="CO59" i="5"/>
  <c r="CO33" i="3"/>
  <c r="CP46" i="5"/>
  <c r="CP40" i="3"/>
  <c r="CI60" i="4"/>
  <c r="CH64" i="4"/>
  <c r="CH61" i="4"/>
  <c r="CP331" i="2"/>
  <c r="AH114" i="12"/>
  <c r="AH135" i="12" s="1"/>
  <c r="BZ331" i="2"/>
  <c r="CH63" i="17"/>
  <c r="R331" i="2"/>
  <c r="AG331" i="2"/>
  <c r="AO331" i="2"/>
  <c r="O136" i="12"/>
  <c r="AN331" i="2"/>
  <c r="AQ331" i="2"/>
  <c r="AY115" i="12"/>
  <c r="S331" i="2"/>
  <c r="Z331" i="2"/>
  <c r="Y331" i="2"/>
  <c r="AB331" i="2"/>
  <c r="AC331" i="2"/>
  <c r="AF331" i="2"/>
  <c r="BR63" i="17"/>
  <c r="CA331" i="2"/>
  <c r="AT84" i="17"/>
  <c r="AO135" i="12"/>
  <c r="AT115" i="12"/>
  <c r="AL331" i="2"/>
  <c r="AU79" i="17"/>
  <c r="AW40" i="17"/>
  <c r="AW39" i="17" s="1"/>
  <c r="AK331" i="2"/>
  <c r="AJ331" i="2"/>
  <c r="BQ331" i="2"/>
  <c r="R5" i="30"/>
  <c r="R6" i="30" s="1"/>
  <c r="AI331" i="2"/>
  <c r="AM331" i="2"/>
  <c r="BK331" i="2"/>
  <c r="AR40" i="17"/>
  <c r="AR39" i="17" s="1"/>
  <c r="AP79" i="17"/>
  <c r="BC331" i="2"/>
  <c r="X331" i="2"/>
  <c r="CA32" i="17"/>
  <c r="AH331" i="2"/>
  <c r="AY331" i="2"/>
  <c r="BG331" i="2"/>
  <c r="AW331" i="2"/>
  <c r="AS331" i="2"/>
  <c r="AX331" i="2"/>
  <c r="BD331" i="2"/>
  <c r="BF331" i="2"/>
  <c r="CE331" i="2"/>
  <c r="BW331" i="2"/>
  <c r="CO331" i="2"/>
  <c r="Q331" i="2"/>
  <c r="P331" i="2"/>
  <c r="AZ331" i="2"/>
  <c r="BA331" i="2"/>
  <c r="BS331" i="2"/>
  <c r="BX126" i="12"/>
  <c r="BX132" i="12" s="1"/>
  <c r="BV126" i="12"/>
  <c r="AJ115" i="12"/>
  <c r="BQ117" i="12"/>
  <c r="BQ118" i="12" s="1"/>
  <c r="BP135" i="12"/>
  <c r="T331" i="2"/>
  <c r="AY135" i="12"/>
  <c r="BO331" i="2"/>
  <c r="BL32" i="17"/>
  <c r="BL109" i="12"/>
  <c r="BL331" i="2"/>
  <c r="CF109" i="12"/>
  <c r="CI115" i="12"/>
  <c r="BY331" i="2"/>
  <c r="BS132" i="12"/>
  <c r="BG10" i="17"/>
  <c r="BG63" i="17"/>
  <c r="BG77" i="17" s="1"/>
  <c r="BS135" i="12"/>
  <c r="BP132" i="12"/>
  <c r="CG77" i="17"/>
  <c r="W331" i="2"/>
  <c r="U331" i="2"/>
  <c r="AW109" i="12"/>
  <c r="AU331" i="2"/>
  <c r="AR109" i="12"/>
  <c r="AP331" i="2"/>
  <c r="BV331" i="2"/>
  <c r="BU331" i="2"/>
  <c r="BP331" i="2"/>
  <c r="BN331" i="2"/>
  <c r="CJ115" i="12"/>
  <c r="BI331" i="2"/>
  <c r="BH331" i="2"/>
  <c r="F136" i="12"/>
  <c r="CD331" i="2"/>
  <c r="K331" i="2"/>
  <c r="M331" i="2"/>
  <c r="AH109" i="12"/>
  <c r="BD135" i="12"/>
  <c r="BI136" i="12" s="1"/>
  <c r="BD115" i="12"/>
  <c r="BI115" i="12"/>
  <c r="AC109" i="12"/>
  <c r="X109" i="12"/>
  <c r="AE135" i="12"/>
  <c r="AE136" i="12" s="1"/>
  <c r="BV109" i="12"/>
  <c r="BM331" i="2"/>
  <c r="BI63" i="17"/>
  <c r="BI77" i="17" s="1"/>
  <c r="CC331" i="2"/>
  <c r="CI31" i="17"/>
  <c r="CI32" i="17" s="1"/>
  <c r="N109" i="12"/>
  <c r="S109" i="12"/>
  <c r="Z115" i="12"/>
  <c r="U135" i="12"/>
  <c r="BG109" i="12"/>
  <c r="BE331" i="2"/>
  <c r="BP63" i="17"/>
  <c r="V331" i="2"/>
  <c r="AV331" i="2"/>
  <c r="AT331" i="2"/>
  <c r="BU63" i="17"/>
  <c r="BU77" i="17"/>
  <c r="AM109" i="12"/>
  <c r="AR331" i="2"/>
  <c r="BT331" i="2"/>
  <c r="BR331" i="2"/>
  <c r="BQ109" i="12"/>
  <c r="BJ331" i="2"/>
  <c r="CF44" i="17"/>
  <c r="CF46" i="17" s="1"/>
  <c r="CF331" i="2"/>
  <c r="CB331" i="2"/>
  <c r="J331" i="2"/>
  <c r="L331" i="2"/>
  <c r="AE331" i="2"/>
  <c r="BX331" i="2"/>
  <c r="CA109" i="12"/>
  <c r="CC123" i="12"/>
  <c r="BB109" i="12"/>
  <c r="CJ331" i="2"/>
  <c r="CK331" i="2"/>
  <c r="CP109" i="12"/>
  <c r="CK109" i="12"/>
  <c r="CG63" i="17"/>
  <c r="CG117" i="2"/>
  <c r="CG350" i="2"/>
  <c r="CG366" i="2" s="1"/>
  <c r="BY123" i="12"/>
  <c r="BT135" i="12"/>
  <c r="BT136" i="12" s="1"/>
  <c r="BT132" i="12"/>
  <c r="AR45" i="17"/>
  <c r="AW33" i="17"/>
  <c r="BL67" i="17"/>
  <c r="BZ117" i="12"/>
  <c r="BV117" i="12"/>
  <c r="BU132" i="12"/>
  <c r="BU135" i="12"/>
  <c r="AS80" i="17"/>
  <c r="AS84" i="17"/>
  <c r="BQ124" i="12"/>
  <c r="BQ69" i="17"/>
  <c r="BQ71" i="17" s="1"/>
  <c r="BW123" i="12"/>
  <c r="BR132" i="12"/>
  <c r="BR135" i="12"/>
  <c r="BV123" i="12"/>
  <c r="BV124" i="12" s="1"/>
  <c r="N115" i="12"/>
  <c r="N135" i="12"/>
  <c r="N136" i="12" s="1"/>
  <c r="AD136" i="12"/>
  <c r="Y136" i="12"/>
  <c r="AV80" i="17"/>
  <c r="AV84" i="17"/>
  <c r="AF136" i="12"/>
  <c r="W136" i="12"/>
  <c r="R136" i="12"/>
  <c r="BT71" i="4" l="1"/>
  <c r="AJ234" i="2"/>
  <c r="F90" i="4"/>
  <c r="F143" i="2"/>
  <c r="F324" i="1" s="1"/>
  <c r="U366" i="2"/>
  <c r="BP379" i="2"/>
  <c r="W366" i="2"/>
  <c r="X366" i="2" s="1"/>
  <c r="T366" i="2"/>
  <c r="DU30" i="4"/>
  <c r="DV30" i="4" s="1"/>
  <c r="DW30" i="4" s="1"/>
  <c r="DX30" i="4" s="1"/>
  <c r="DY30" i="4" s="1"/>
  <c r="DZ30" i="4" s="1"/>
  <c r="EA30" i="4" s="1"/>
  <c r="EB30" i="4" s="1"/>
  <c r="DN376" i="2"/>
  <c r="DP376" i="2"/>
  <c r="DU80" i="12"/>
  <c r="DU31" i="17" s="1"/>
  <c r="DU32" i="17" s="1"/>
  <c r="DU114" i="12"/>
  <c r="DX360" i="2"/>
  <c r="DX376" i="2" s="1"/>
  <c r="DX309" i="2"/>
  <c r="DX178" i="2"/>
  <c r="DX127" i="2"/>
  <c r="DV69" i="12"/>
  <c r="DV43" i="17" s="1"/>
  <c r="DV44" i="17" s="1"/>
  <c r="T346" i="2"/>
  <c r="T362" i="2" s="1"/>
  <c r="V378" i="2" s="1"/>
  <c r="BU66" i="4"/>
  <c r="AJ214" i="2"/>
  <c r="AJ327" i="1" s="1"/>
  <c r="AJ216" i="2"/>
  <c r="AJ204" i="2"/>
  <c r="AJ215" i="2"/>
  <c r="AK287" i="2"/>
  <c r="AJ269" i="2"/>
  <c r="AJ205" i="2"/>
  <c r="AJ251" i="2"/>
  <c r="AJ202" i="2"/>
  <c r="AJ203" i="2"/>
  <c r="AK136" i="12"/>
  <c r="BN203" i="2"/>
  <c r="BN234" i="2"/>
  <c r="BN212" i="2"/>
  <c r="BN215" i="2"/>
  <c r="BN205" i="2"/>
  <c r="BN202" i="2"/>
  <c r="BN269" i="2"/>
  <c r="BN214" i="2"/>
  <c r="BN327" i="1" s="1"/>
  <c r="BO287" i="2"/>
  <c r="BN251" i="2"/>
  <c r="BN204" i="2"/>
  <c r="AW111" i="2"/>
  <c r="O143" i="2"/>
  <c r="O147" i="2" s="1"/>
  <c r="DO360" i="2"/>
  <c r="DL376" i="2"/>
  <c r="BJ218" i="2"/>
  <c r="BS71" i="4"/>
  <c r="BN69" i="4"/>
  <c r="BN70" i="4" s="1"/>
  <c r="BN72" i="4" s="1"/>
  <c r="BP143" i="2"/>
  <c r="BP147" i="2" s="1"/>
  <c r="BU65" i="4"/>
  <c r="D69" i="3"/>
  <c r="BO56" i="4"/>
  <c r="AC10" i="5"/>
  <c r="BE218" i="2"/>
  <c r="BC360" i="2"/>
  <c r="BF376" i="2" s="1"/>
  <c r="BX65" i="4"/>
  <c r="E71" i="4"/>
  <c r="AC7" i="5"/>
  <c r="D143" i="2"/>
  <c r="D147" i="2" s="1"/>
  <c r="BA48" i="5"/>
  <c r="BR311" i="2"/>
  <c r="BS24" i="3"/>
  <c r="BS28" i="3" s="1"/>
  <c r="AS71" i="4"/>
  <c r="BM366" i="2"/>
  <c r="AE54" i="5"/>
  <c r="AE56" i="5" s="1"/>
  <c r="AE59" i="5" s="1"/>
  <c r="E69" i="3"/>
  <c r="BB45" i="5"/>
  <c r="H55" i="3"/>
  <c r="H61" i="3" s="1"/>
  <c r="H62" i="3"/>
  <c r="BQ268" i="2"/>
  <c r="W133" i="2"/>
  <c r="BV268" i="2"/>
  <c r="BD143" i="2"/>
  <c r="BD147" i="2" s="1"/>
  <c r="AF143" i="2"/>
  <c r="AF147" i="2" s="1"/>
  <c r="BI218" i="2"/>
  <c r="AR18" i="5"/>
  <c r="AR32" i="5" s="1"/>
  <c r="AR54" i="5" s="1"/>
  <c r="Q65" i="4"/>
  <c r="N144" i="1"/>
  <c r="BA287" i="2"/>
  <c r="D62" i="3"/>
  <c r="BL133" i="2"/>
  <c r="BG84" i="4"/>
  <c r="W165" i="2"/>
  <c r="W134" i="2"/>
  <c r="W135" i="2"/>
  <c r="H63" i="3"/>
  <c r="H46" i="3" s="1"/>
  <c r="BE18" i="5"/>
  <c r="AM46" i="5"/>
  <c r="AM48" i="5" s="1"/>
  <c r="CU342" i="1"/>
  <c r="BG75" i="4"/>
  <c r="DO309" i="2"/>
  <c r="CU360" i="1"/>
  <c r="CZ360" i="1" s="1"/>
  <c r="AZ376" i="2"/>
  <c r="BP366" i="2"/>
  <c r="T71" i="4"/>
  <c r="AO165" i="2"/>
  <c r="BN366" i="2"/>
  <c r="DO178" i="2"/>
  <c r="DN282" i="2"/>
  <c r="AX376" i="2"/>
  <c r="AR95" i="2"/>
  <c r="DS178" i="2"/>
  <c r="DS282" i="2" s="1"/>
  <c r="DS127" i="2"/>
  <c r="DS309" i="2"/>
  <c r="DS360" i="2"/>
  <c r="DS376" i="2" s="1"/>
  <c r="DQ69" i="12"/>
  <c r="DQ43" i="17" s="1"/>
  <c r="DQ44" i="17" s="1"/>
  <c r="DR80" i="12"/>
  <c r="DR31" i="17" s="1"/>
  <c r="DR32" i="17" s="1"/>
  <c r="DP114" i="12"/>
  <c r="DP80" i="12"/>
  <c r="DP31" i="17" s="1"/>
  <c r="DP32" i="17" s="1"/>
  <c r="U143" i="2"/>
  <c r="U147" i="2" s="1"/>
  <c r="K143" i="2"/>
  <c r="K147" i="2" s="1"/>
  <c r="CC89" i="4"/>
  <c r="CC26" i="3"/>
  <c r="CC64" i="3"/>
  <c r="O64" i="3"/>
  <c r="CC57" i="5"/>
  <c r="O26" i="3"/>
  <c r="CC63" i="3"/>
  <c r="CC46" i="3" s="1"/>
  <c r="O32" i="3"/>
  <c r="O34" i="3" s="1"/>
  <c r="BX69" i="4"/>
  <c r="BX70" i="4" s="1"/>
  <c r="BX72" i="4" s="1"/>
  <c r="T72" i="4"/>
  <c r="Q69" i="4"/>
  <c r="Q71" i="4" s="1"/>
  <c r="P69" i="4"/>
  <c r="P70" i="4" s="1"/>
  <c r="P72" i="4" s="1"/>
  <c r="AF32" i="5"/>
  <c r="AF54" i="5" s="1"/>
  <c r="AF56" i="5" s="1"/>
  <c r="AH45" i="5"/>
  <c r="T165" i="2"/>
  <c r="X146" i="2"/>
  <c r="C72" i="4"/>
  <c r="W146" i="2"/>
  <c r="W156" i="2"/>
  <c r="W114" i="2"/>
  <c r="W145" i="2"/>
  <c r="W326" i="1" s="1"/>
  <c r="O28" i="3"/>
  <c r="O43" i="3" s="1"/>
  <c r="W130" i="2"/>
  <c r="BM91" i="4"/>
  <c r="CC65" i="4"/>
  <c r="W136" i="2"/>
  <c r="AJ143" i="2"/>
  <c r="AJ147" i="2" s="1"/>
  <c r="BL311" i="2"/>
  <c r="AW10" i="5"/>
  <c r="BT69" i="3"/>
  <c r="DJ368" i="1"/>
  <c r="BO55" i="3"/>
  <c r="BO61" i="3" s="1"/>
  <c r="BH376" i="2"/>
  <c r="K69" i="4"/>
  <c r="K71" i="4" s="1"/>
  <c r="AV54" i="3"/>
  <c r="BA70" i="4"/>
  <c r="BA72" i="4" s="1"/>
  <c r="X35" i="5"/>
  <c r="X46" i="5"/>
  <c r="BQ114" i="2"/>
  <c r="AD76" i="3"/>
  <c r="BE143" i="2"/>
  <c r="BE147" i="2" s="1"/>
  <c r="BP378" i="2"/>
  <c r="L32" i="5"/>
  <c r="L54" i="5" s="1"/>
  <c r="L56" i="5" s="1"/>
  <c r="L59" i="5" s="1"/>
  <c r="BY71" i="4"/>
  <c r="BZ91" i="4"/>
  <c r="BZ48" i="5"/>
  <c r="P143" i="2"/>
  <c r="P147" i="2" s="1"/>
  <c r="X18" i="5"/>
  <c r="CP353" i="1"/>
  <c r="BR28" i="3"/>
  <c r="BR30" i="3" s="1"/>
  <c r="AK76" i="3"/>
  <c r="BR63" i="3"/>
  <c r="BR46" i="3" s="1"/>
  <c r="BR70" i="3"/>
  <c r="AM80" i="4"/>
  <c r="J143" i="2"/>
  <c r="J147" i="2" s="1"/>
  <c r="AN70" i="4"/>
  <c r="AN72" i="4" s="1"/>
  <c r="AZ69" i="4"/>
  <c r="AZ70" i="4" s="1"/>
  <c r="AZ72" i="4" s="1"/>
  <c r="AM10" i="5"/>
  <c r="AM54" i="3" s="1"/>
  <c r="AY72" i="4"/>
  <c r="AU143" i="2"/>
  <c r="AU147" i="2" s="1"/>
  <c r="Q66" i="4"/>
  <c r="AW77" i="4"/>
  <c r="AL54" i="3"/>
  <c r="AL55" i="3" s="1"/>
  <c r="AL61" i="3" s="1"/>
  <c r="BR64" i="3"/>
  <c r="AJ63" i="3"/>
  <c r="AJ46" i="3" s="1"/>
  <c r="BR32" i="3"/>
  <c r="BR36" i="3" s="1"/>
  <c r="BR57" i="5"/>
  <c r="BR26" i="3"/>
  <c r="BR92" i="4"/>
  <c r="BE28" i="3"/>
  <c r="BE43" i="3" s="1"/>
  <c r="BR91" i="4"/>
  <c r="BH28" i="3"/>
  <c r="AG136" i="12"/>
  <c r="V24" i="3"/>
  <c r="V89" i="4" s="1"/>
  <c r="BH69" i="3"/>
  <c r="I69" i="3"/>
  <c r="I55" i="3"/>
  <c r="I86" i="4" s="1"/>
  <c r="Y24" i="3"/>
  <c r="Y28" i="3" s="1"/>
  <c r="AZ218" i="2"/>
  <c r="BT32" i="5"/>
  <c r="BT50" i="5" s="1"/>
  <c r="BL135" i="2"/>
  <c r="BC143" i="2"/>
  <c r="BC147" i="2" s="1"/>
  <c r="BL136" i="2"/>
  <c r="AY32" i="3"/>
  <c r="AY36" i="3" s="1"/>
  <c r="BJ165" i="2"/>
  <c r="AY89" i="4"/>
  <c r="AD62" i="3"/>
  <c r="AR146" i="2"/>
  <c r="AV80" i="4"/>
  <c r="DO127" i="2"/>
  <c r="DJ344" i="2"/>
  <c r="BX218" i="2"/>
  <c r="AX143" i="2"/>
  <c r="AX147" i="2" s="1"/>
  <c r="AF56" i="4"/>
  <c r="O165" i="2"/>
  <c r="AY64" i="3"/>
  <c r="J63" i="3"/>
  <c r="J46" i="3" s="1"/>
  <c r="R287" i="2"/>
  <c r="R165" i="2"/>
  <c r="AY28" i="3"/>
  <c r="AY30" i="3" s="1"/>
  <c r="AH85" i="4"/>
  <c r="AE71" i="4"/>
  <c r="BY50" i="5"/>
  <c r="L24" i="3"/>
  <c r="L77" i="3" s="1"/>
  <c r="AY91" i="4"/>
  <c r="BM70" i="3"/>
  <c r="M24" i="3"/>
  <c r="O77" i="3" s="1"/>
  <c r="BH36" i="3"/>
  <c r="AG32" i="5"/>
  <c r="AG54" i="5" s="1"/>
  <c r="T287" i="2"/>
  <c r="BL268" i="2"/>
  <c r="BC72" i="4"/>
  <c r="BH89" i="4"/>
  <c r="AD69" i="3"/>
  <c r="AT143" i="2"/>
  <c r="AT147" i="2" s="1"/>
  <c r="BK143" i="2"/>
  <c r="BK147" i="2" s="1"/>
  <c r="BG234" i="2"/>
  <c r="BG204" i="2"/>
  <c r="T143" i="2"/>
  <c r="T147" i="2" s="1"/>
  <c r="Q143" i="2"/>
  <c r="Q147" i="2" s="1"/>
  <c r="BG130" i="2"/>
  <c r="BF136" i="12"/>
  <c r="BL130" i="2"/>
  <c r="BL134" i="2"/>
  <c r="BO378" i="2"/>
  <c r="BH165" i="2"/>
  <c r="BL145" i="2"/>
  <c r="BL326" i="1" s="1"/>
  <c r="BL346" i="2"/>
  <c r="BL362" i="2" s="1"/>
  <c r="BL378" i="2" s="1"/>
  <c r="BL146" i="2"/>
  <c r="BI165" i="2"/>
  <c r="BK165" i="2"/>
  <c r="BL114" i="2"/>
  <c r="BH55" i="3"/>
  <c r="BH61" i="3" s="1"/>
  <c r="U165" i="2"/>
  <c r="V165" i="2"/>
  <c r="AR311" i="2"/>
  <c r="AP165" i="2"/>
  <c r="AP32" i="5"/>
  <c r="AP54" i="5" s="1"/>
  <c r="AP56" i="5" s="1"/>
  <c r="X136" i="2"/>
  <c r="X134" i="2"/>
  <c r="AQ165" i="2"/>
  <c r="AR136" i="2"/>
  <c r="BV18" i="5"/>
  <c r="V32" i="5"/>
  <c r="V54" i="5" s="1"/>
  <c r="V56" i="5" s="1"/>
  <c r="V59" i="5" s="1"/>
  <c r="AR145" i="2"/>
  <c r="AR326" i="1" s="1"/>
  <c r="AW130" i="2"/>
  <c r="N7" i="5"/>
  <c r="X311" i="2"/>
  <c r="AR134" i="2"/>
  <c r="AR133" i="2"/>
  <c r="BG81" i="4"/>
  <c r="X133" i="2"/>
  <c r="AR85" i="2"/>
  <c r="X135" i="2"/>
  <c r="X145" i="2"/>
  <c r="X326" i="1" s="1"/>
  <c r="AK64" i="3"/>
  <c r="AR135" i="2"/>
  <c r="BF18" i="5"/>
  <c r="R208" i="2"/>
  <c r="R203" i="2"/>
  <c r="R207" i="2"/>
  <c r="R206" i="2"/>
  <c r="R234" i="2"/>
  <c r="R214" i="2"/>
  <c r="R327" i="1" s="1"/>
  <c r="R202" i="2"/>
  <c r="R212" i="2"/>
  <c r="R209" i="2"/>
  <c r="R204" i="2"/>
  <c r="R205" i="2"/>
  <c r="R215" i="2"/>
  <c r="BW70" i="3"/>
  <c r="L143" i="2"/>
  <c r="L147" i="2" s="1"/>
  <c r="H143" i="2"/>
  <c r="H324" i="1" s="1"/>
  <c r="H323" i="1" s="1"/>
  <c r="X68" i="30"/>
  <c r="AQ136" i="12"/>
  <c r="S134" i="2"/>
  <c r="S130" i="2"/>
  <c r="S140" i="2"/>
  <c r="S146" i="2"/>
  <c r="S135" i="2"/>
  <c r="X130" i="2"/>
  <c r="S133" i="2"/>
  <c r="S136" i="2"/>
  <c r="S139" i="2"/>
  <c r="S212" i="2"/>
  <c r="S138" i="2"/>
  <c r="BJ376" i="2"/>
  <c r="S311" i="2"/>
  <c r="P165" i="2"/>
  <c r="S145" i="2"/>
  <c r="S326" i="1" s="1"/>
  <c r="S137" i="2"/>
  <c r="S209" i="2"/>
  <c r="BC136" i="12"/>
  <c r="X114" i="2"/>
  <c r="BB75" i="4"/>
  <c r="DH70" i="12"/>
  <c r="DH69" i="12" s="1"/>
  <c r="DH43" i="17" s="1"/>
  <c r="DH44" i="17" s="1"/>
  <c r="DM62" i="12"/>
  <c r="DR62" i="12" s="1"/>
  <c r="DW62" i="12" s="1"/>
  <c r="DK80" i="12"/>
  <c r="DK31" i="17" s="1"/>
  <c r="DK32" i="17" s="1"/>
  <c r="DK114" i="12"/>
  <c r="DM80" i="12"/>
  <c r="DM31" i="17" s="1"/>
  <c r="DM32" i="17" s="1"/>
  <c r="BQ127" i="12"/>
  <c r="DJ64" i="12"/>
  <c r="DN64" i="12"/>
  <c r="DL69" i="12"/>
  <c r="DL43" i="17" s="1"/>
  <c r="DL44" i="17" s="1"/>
  <c r="BH92" i="4"/>
  <c r="BH64" i="3"/>
  <c r="AV85" i="4"/>
  <c r="BH26" i="3"/>
  <c r="X111" i="2"/>
  <c r="BM378" i="2"/>
  <c r="AV376" i="2"/>
  <c r="AW376" i="2" s="1"/>
  <c r="BB146" i="2"/>
  <c r="BB134" i="2"/>
  <c r="BG114" i="2"/>
  <c r="BB136" i="2"/>
  <c r="BN378" i="2"/>
  <c r="BB145" i="2"/>
  <c r="BB326" i="1" s="1"/>
  <c r="BB133" i="2"/>
  <c r="T101" i="2"/>
  <c r="T111" i="2" s="1"/>
  <c r="BB311" i="2"/>
  <c r="BB346" i="2"/>
  <c r="BB362" i="2" s="1"/>
  <c r="BB378" i="2" s="1"/>
  <c r="DD376" i="2"/>
  <c r="DG376" i="2"/>
  <c r="BB135" i="2"/>
  <c r="Z143" i="2"/>
  <c r="Z147" i="2" s="1"/>
  <c r="AP218" i="2"/>
  <c r="Y62" i="3"/>
  <c r="M76" i="3"/>
  <c r="Y55" i="3"/>
  <c r="Y86" i="4" s="1"/>
  <c r="BJ69" i="3"/>
  <c r="BJ63" i="3"/>
  <c r="BJ46" i="3" s="1"/>
  <c r="BJ55" i="3"/>
  <c r="BJ68" i="3" s="1"/>
  <c r="BO69" i="3"/>
  <c r="BG216" i="2"/>
  <c r="BG269" i="2"/>
  <c r="BG205" i="2"/>
  <c r="BG212" i="2"/>
  <c r="BG202" i="2"/>
  <c r="BG214" i="2"/>
  <c r="BG327" i="1" s="1"/>
  <c r="BG215" i="2"/>
  <c r="AO251" i="2"/>
  <c r="BG203" i="2"/>
  <c r="AO287" i="2"/>
  <c r="AK143" i="2"/>
  <c r="AK147" i="2" s="1"/>
  <c r="AI136" i="12"/>
  <c r="DO111" i="2"/>
  <c r="S214" i="2"/>
  <c r="S327" i="1" s="1"/>
  <c r="S234" i="2"/>
  <c r="S205" i="2"/>
  <c r="BG143" i="2"/>
  <c r="BG324" i="1" s="1"/>
  <c r="BG323" i="1" s="1"/>
  <c r="AF165" i="2"/>
  <c r="AH145" i="2"/>
  <c r="AH326" i="1" s="1"/>
  <c r="BP218" i="2"/>
  <c r="AP143" i="2"/>
  <c r="AP147" i="2" s="1"/>
  <c r="CF323" i="1"/>
  <c r="F218" i="2"/>
  <c r="Y143" i="2"/>
  <c r="Y147" i="2" s="1"/>
  <c r="DN248" i="2"/>
  <c r="DN264" i="2"/>
  <c r="DN194" i="2"/>
  <c r="DN195" i="2" s="1"/>
  <c r="AZ251" i="2"/>
  <c r="V376" i="2"/>
  <c r="I143" i="2"/>
  <c r="I324" i="1" s="1"/>
  <c r="BK218" i="2"/>
  <c r="O68" i="3"/>
  <c r="BQ46" i="5"/>
  <c r="BB9" i="5"/>
  <c r="BA54" i="3"/>
  <c r="BA55" i="3" s="1"/>
  <c r="BC86" i="4" s="1"/>
  <c r="BL81" i="4"/>
  <c r="W71" i="4"/>
  <c r="Y54" i="5"/>
  <c r="Y56" i="5" s="1"/>
  <c r="Y59" i="5" s="1"/>
  <c r="Y50" i="5"/>
  <c r="CC68" i="4"/>
  <c r="CD92" i="4" s="1"/>
  <c r="BQ81" i="4"/>
  <c r="BG50" i="4"/>
  <c r="BM89" i="4"/>
  <c r="AM66" i="4"/>
  <c r="BL50" i="4"/>
  <c r="AW18" i="3"/>
  <c r="U55" i="3"/>
  <c r="U86" i="4" s="1"/>
  <c r="BW62" i="3"/>
  <c r="BM55" i="3"/>
  <c r="BM61" i="3" s="1"/>
  <c r="AK32" i="3"/>
  <c r="AW13" i="3"/>
  <c r="AV53" i="3"/>
  <c r="AV76" i="3" s="1"/>
  <c r="AK89" i="4"/>
  <c r="BC379" i="2"/>
  <c r="L76" i="3"/>
  <c r="AK28" i="3"/>
  <c r="BA204" i="2"/>
  <c r="AO378" i="2"/>
  <c r="L55" i="3"/>
  <c r="L75" i="3" s="1"/>
  <c r="BM69" i="3"/>
  <c r="BJ143" i="2"/>
  <c r="BJ147" i="2" s="1"/>
  <c r="D218" i="2"/>
  <c r="BM143" i="2"/>
  <c r="BM147" i="2" s="1"/>
  <c r="AU204" i="2"/>
  <c r="AU234" i="2"/>
  <c r="AU214" i="2"/>
  <c r="AU327" i="1" s="1"/>
  <c r="AU216" i="2"/>
  <c r="AU215" i="2"/>
  <c r="AU212" i="2"/>
  <c r="AU202" i="2"/>
  <c r="AU203" i="2"/>
  <c r="AU251" i="2"/>
  <c r="AZ269" i="2"/>
  <c r="AU205" i="2"/>
  <c r="AU269" i="2"/>
  <c r="BL80" i="4"/>
  <c r="BS269" i="2"/>
  <c r="BX269" i="2"/>
  <c r="AO205" i="2"/>
  <c r="AP287" i="2"/>
  <c r="AO202" i="2"/>
  <c r="AW59" i="3"/>
  <c r="AW76" i="4"/>
  <c r="AW58" i="3"/>
  <c r="AW67" i="3"/>
  <c r="CY31" i="17"/>
  <c r="CY32" i="17" s="1"/>
  <c r="AY46" i="30"/>
  <c r="CS80" i="12"/>
  <c r="AS46" i="30" s="1"/>
  <c r="AR115" i="12"/>
  <c r="AU376" i="2"/>
  <c r="AF366" i="2"/>
  <c r="BT376" i="2"/>
  <c r="AW60" i="3"/>
  <c r="AY63" i="3"/>
  <c r="AY46" i="3" s="1"/>
  <c r="AW7" i="5"/>
  <c r="G86" i="4"/>
  <c r="CA45" i="5"/>
  <c r="AK56" i="4"/>
  <c r="AJ69" i="4"/>
  <c r="AJ70" i="4" s="1"/>
  <c r="AJ72" i="4" s="1"/>
  <c r="BQ80" i="4"/>
  <c r="AY92" i="4"/>
  <c r="AY71" i="4"/>
  <c r="DB376" i="2"/>
  <c r="DC376" i="2"/>
  <c r="X80" i="4"/>
  <c r="V55" i="3"/>
  <c r="V86" i="4" s="1"/>
  <c r="V76" i="3"/>
  <c r="V69" i="3"/>
  <c r="AU24" i="3"/>
  <c r="AU28" i="3" s="1"/>
  <c r="W76" i="3"/>
  <c r="BE63" i="3"/>
  <c r="BE46" i="3" s="1"/>
  <c r="U69" i="3"/>
  <c r="U76" i="3"/>
  <c r="BR62" i="3"/>
  <c r="BE92" i="4"/>
  <c r="C24" i="3"/>
  <c r="C57" i="5" s="1"/>
  <c r="O86" i="4"/>
  <c r="BE64" i="3"/>
  <c r="AG24" i="3"/>
  <c r="AG32" i="3" s="1"/>
  <c r="G68" i="3"/>
  <c r="F24" i="3"/>
  <c r="F28" i="3" s="1"/>
  <c r="F30" i="3" s="1"/>
  <c r="BE89" i="4"/>
  <c r="BE26" i="3"/>
  <c r="O76" i="3"/>
  <c r="AK55" i="3"/>
  <c r="AK61" i="3" s="1"/>
  <c r="BV127" i="12"/>
  <c r="DJ40" i="4"/>
  <c r="DJ45" i="4"/>
  <c r="DJ19" i="4"/>
  <c r="DJ41" i="4"/>
  <c r="DJ44" i="4"/>
  <c r="DJ36" i="4"/>
  <c r="DJ23" i="4"/>
  <c r="DJ28" i="4"/>
  <c r="DJ12" i="4"/>
  <c r="AX218" i="2"/>
  <c r="BA205" i="2"/>
  <c r="BA234" i="2"/>
  <c r="BC287" i="2"/>
  <c r="BA251" i="2"/>
  <c r="BO218" i="2"/>
  <c r="BA202" i="2"/>
  <c r="BA203" i="2"/>
  <c r="BA269" i="2"/>
  <c r="BA215" i="2"/>
  <c r="BA214" i="2"/>
  <c r="BA327" i="1" s="1"/>
  <c r="BA216" i="2"/>
  <c r="BG268" i="2"/>
  <c r="W111" i="2"/>
  <c r="R111" i="2"/>
  <c r="AR216" i="2"/>
  <c r="AG165" i="2"/>
  <c r="BE378" i="2"/>
  <c r="AH146" i="2"/>
  <c r="AD165" i="2"/>
  <c r="AH135" i="2"/>
  <c r="CF212" i="2"/>
  <c r="AD346" i="2"/>
  <c r="AD362" i="2" s="1"/>
  <c r="AO215" i="2"/>
  <c r="AO234" i="2"/>
  <c r="AH133" i="2"/>
  <c r="AH134" i="2"/>
  <c r="CF202" i="2"/>
  <c r="AO203" i="2"/>
  <c r="AO216" i="2"/>
  <c r="BA378" i="2"/>
  <c r="AA218" i="2"/>
  <c r="O218" i="2"/>
  <c r="AH136" i="2"/>
  <c r="AO269" i="2"/>
  <c r="AO214" i="2"/>
  <c r="AO327" i="1" s="1"/>
  <c r="AO212" i="2"/>
  <c r="DJ111" i="2"/>
  <c r="BM376" i="2"/>
  <c r="BC378" i="2"/>
  <c r="DI248" i="2"/>
  <c r="DI264" i="2"/>
  <c r="DI194" i="2"/>
  <c r="DI195" i="2" s="1"/>
  <c r="DJ178" i="2"/>
  <c r="BA379" i="2"/>
  <c r="AR7" i="17"/>
  <c r="AR8" i="17" s="1"/>
  <c r="AR63" i="17" s="1"/>
  <c r="AR77" i="17" s="1"/>
  <c r="CR31" i="17"/>
  <c r="CR32" i="17" s="1"/>
  <c r="DG69" i="12"/>
  <c r="DG43" i="17" s="1"/>
  <c r="DG44" i="17" s="1"/>
  <c r="CS43" i="17"/>
  <c r="CS44" i="17" s="1"/>
  <c r="CQ7" i="17"/>
  <c r="CQ8" i="17" s="1"/>
  <c r="AJ46" i="30"/>
  <c r="DD81" i="12"/>
  <c r="DD80" i="12" s="1"/>
  <c r="DD31" i="17" s="1"/>
  <c r="DD32" i="17" s="1"/>
  <c r="DI73" i="12"/>
  <c r="AK46" i="30"/>
  <c r="DI62" i="12"/>
  <c r="DE62" i="12"/>
  <c r="CJ31" i="17"/>
  <c r="CJ32" i="17" s="1"/>
  <c r="CJ63" i="17" s="1"/>
  <c r="CK114" i="12"/>
  <c r="CK115" i="12" s="1"/>
  <c r="AC37" i="5"/>
  <c r="CD32" i="5"/>
  <c r="CD54" i="5" s="1"/>
  <c r="CD56" i="5" s="1"/>
  <c r="AM65" i="4"/>
  <c r="CF50" i="4"/>
  <c r="BV80" i="4"/>
  <c r="S80" i="4"/>
  <c r="G89" i="4"/>
  <c r="AH21" i="3"/>
  <c r="AH63" i="3" s="1"/>
  <c r="G63" i="3"/>
  <c r="G46" i="3" s="1"/>
  <c r="G32" i="3"/>
  <c r="G34" i="3" s="1"/>
  <c r="N21" i="3"/>
  <c r="G28" i="3"/>
  <c r="G43" i="3" s="1"/>
  <c r="G26" i="3"/>
  <c r="N53" i="3"/>
  <c r="N69" i="3" s="1"/>
  <c r="BQ346" i="2"/>
  <c r="BQ362" i="2" s="1"/>
  <c r="BQ378" i="2" s="1"/>
  <c r="CF214" i="2"/>
  <c r="CF327" i="1" s="1"/>
  <c r="CF215" i="2"/>
  <c r="AZ378" i="2"/>
  <c r="CF216" i="2"/>
  <c r="AD218" i="2"/>
  <c r="CF213" i="2"/>
  <c r="AD366" i="2"/>
  <c r="CF217" i="2"/>
  <c r="AB366" i="2"/>
  <c r="AC366" i="2" s="1"/>
  <c r="CF251" i="2"/>
  <c r="AE366" i="2"/>
  <c r="AN143" i="2"/>
  <c r="AN147" i="2" s="1"/>
  <c r="CU384" i="1"/>
  <c r="CP385" i="1"/>
  <c r="BV381" i="1"/>
  <c r="BS205" i="2"/>
  <c r="BS213" i="2"/>
  <c r="CF18" i="5"/>
  <c r="BS215" i="2"/>
  <c r="BL48" i="5"/>
  <c r="X264" i="2"/>
  <c r="BS234" i="2"/>
  <c r="BS216" i="2"/>
  <c r="CY376" i="2"/>
  <c r="DA376" i="2"/>
  <c r="CM77" i="17"/>
  <c r="AR234" i="2"/>
  <c r="AR204" i="2"/>
  <c r="AR202" i="2"/>
  <c r="AR205" i="2"/>
  <c r="BR69" i="3"/>
  <c r="BR55" i="3"/>
  <c r="BS75" i="3" s="1"/>
  <c r="O69" i="3"/>
  <c r="AS91" i="4"/>
  <c r="K75" i="3"/>
  <c r="AT61" i="3"/>
  <c r="BW69" i="3"/>
  <c r="AT62" i="3"/>
  <c r="K86" i="4"/>
  <c r="AR80" i="4"/>
  <c r="AH80" i="4"/>
  <c r="AG55" i="3"/>
  <c r="AG86" i="4" s="1"/>
  <c r="AE49" i="3"/>
  <c r="AE36" i="3" s="1"/>
  <c r="AU76" i="3"/>
  <c r="AG69" i="3"/>
  <c r="AT75" i="3"/>
  <c r="AY68" i="3"/>
  <c r="BK55" i="3"/>
  <c r="AS64" i="3"/>
  <c r="AS26" i="3"/>
  <c r="BC63" i="3"/>
  <c r="BC46" i="3" s="1"/>
  <c r="AS32" i="3"/>
  <c r="AS34" i="3" s="1"/>
  <c r="AS89" i="4"/>
  <c r="AT77" i="3"/>
  <c r="BT287" i="2"/>
  <c r="BS204" i="2"/>
  <c r="BS203" i="2"/>
  <c r="BS287" i="2"/>
  <c r="BS212" i="2"/>
  <c r="BS202" i="2"/>
  <c r="BS214" i="2"/>
  <c r="BS327" i="1" s="1"/>
  <c r="I218" i="2"/>
  <c r="AR214" i="2"/>
  <c r="AR327" i="1" s="1"/>
  <c r="AR212" i="2"/>
  <c r="CW376" i="2"/>
  <c r="CX376" i="2"/>
  <c r="K218" i="2"/>
  <c r="AP376" i="2"/>
  <c r="AR203" i="2"/>
  <c r="Q218" i="2"/>
  <c r="AN376" i="2"/>
  <c r="T46" i="30"/>
  <c r="CU343" i="1"/>
  <c r="AL143" i="2"/>
  <c r="AL147" i="2" s="1"/>
  <c r="DE365" i="1"/>
  <c r="S204" i="2"/>
  <c r="CF147" i="2"/>
  <c r="AP68" i="4"/>
  <c r="AQ92" i="4" s="1"/>
  <c r="AP65" i="4"/>
  <c r="AP66" i="4"/>
  <c r="CY282" i="2"/>
  <c r="DE309" i="2"/>
  <c r="DE360" i="2"/>
  <c r="DH376" i="2" s="1"/>
  <c r="AZ136" i="12"/>
  <c r="AS92" i="4"/>
  <c r="AS63" i="3"/>
  <c r="AS46" i="3" s="1"/>
  <c r="DD248" i="2"/>
  <c r="AM114" i="2"/>
  <c r="DE127" i="2"/>
  <c r="DE111" i="2"/>
  <c r="DD194" i="2"/>
  <c r="DD195" i="2" s="1"/>
  <c r="DD264" i="2"/>
  <c r="DE178" i="2"/>
  <c r="CW81" i="12"/>
  <c r="CZ81" i="12" s="1"/>
  <c r="CZ80" i="12" s="1"/>
  <c r="DB73" i="12"/>
  <c r="DG73" i="12" s="1"/>
  <c r="DL73" i="12" s="1"/>
  <c r="DQ73" i="12" s="1"/>
  <c r="DV73" i="12" s="1"/>
  <c r="DA80" i="12"/>
  <c r="DA31" i="17" s="1"/>
  <c r="DA32" i="17" s="1"/>
  <c r="DE64" i="12"/>
  <c r="DD70" i="12"/>
  <c r="DD69" i="12" s="1"/>
  <c r="DD43" i="17" s="1"/>
  <c r="DD44" i="17" s="1"/>
  <c r="DA69" i="12"/>
  <c r="DA43" i="17" s="1"/>
  <c r="DA44" i="17" s="1"/>
  <c r="CZ29" i="12"/>
  <c r="DA29" i="12"/>
  <c r="DE29" i="12" s="1"/>
  <c r="E52" i="5"/>
  <c r="F51" i="5" s="1"/>
  <c r="F52" i="5" s="1"/>
  <c r="G51" i="5" s="1"/>
  <c r="G52" i="5" s="1"/>
  <c r="H51" i="5" s="1"/>
  <c r="H52" i="5" s="1"/>
  <c r="I51" i="5" s="1"/>
  <c r="I52" i="5" s="1"/>
  <c r="J51" i="5" s="1"/>
  <c r="J52" i="5" s="1"/>
  <c r="K51" i="5" s="1"/>
  <c r="W32" i="5"/>
  <c r="W54" i="5" s="1"/>
  <c r="W56" i="5" s="1"/>
  <c r="W59" i="5" s="1"/>
  <c r="AB39" i="5"/>
  <c r="BW63" i="3"/>
  <c r="BW46" i="3" s="1"/>
  <c r="BM76" i="3"/>
  <c r="O62" i="3"/>
  <c r="AQ89" i="4"/>
  <c r="BK76" i="3"/>
  <c r="AF77" i="3"/>
  <c r="AQ28" i="3"/>
  <c r="AQ43" i="3" s="1"/>
  <c r="AQ63" i="3"/>
  <c r="AQ46" i="3" s="1"/>
  <c r="AS77" i="3"/>
  <c r="AQ32" i="3"/>
  <c r="BJ28" i="3"/>
  <c r="BJ30" i="3" s="1"/>
  <c r="AQ64" i="3"/>
  <c r="AE26" i="3"/>
  <c r="BM214" i="2"/>
  <c r="BM327" i="1" s="1"/>
  <c r="BF53" i="3"/>
  <c r="BF76" i="3" s="1"/>
  <c r="AZ24" i="3"/>
  <c r="AZ64" i="3" s="1"/>
  <c r="AB69" i="3"/>
  <c r="W62" i="3"/>
  <c r="BO70" i="3"/>
  <c r="X231" i="2"/>
  <c r="AC264" i="2"/>
  <c r="AS218" i="2"/>
  <c r="BQ205" i="2"/>
  <c r="CT376" i="2"/>
  <c r="CV376" i="2"/>
  <c r="BR269" i="2"/>
  <c r="BR251" i="2"/>
  <c r="BM287" i="2"/>
  <c r="CA213" i="2"/>
  <c r="BM234" i="2"/>
  <c r="BM216" i="2"/>
  <c r="BM202" i="2"/>
  <c r="BN287" i="2"/>
  <c r="BB360" i="2"/>
  <c r="BB376" i="2" s="1"/>
  <c r="BM203" i="2"/>
  <c r="BM215" i="2"/>
  <c r="CX17" i="12"/>
  <c r="CW35" i="12"/>
  <c r="CW34" i="12" s="1"/>
  <c r="CW7" i="17" s="1"/>
  <c r="CW8" i="17" s="1"/>
  <c r="CU111" i="2"/>
  <c r="CU344" i="2"/>
  <c r="CU360" i="2" s="1"/>
  <c r="CU376" i="2" s="1"/>
  <c r="AC80" i="4"/>
  <c r="CV282" i="2"/>
  <c r="AE218" i="2"/>
  <c r="AG76" i="3"/>
  <c r="AB76" i="3"/>
  <c r="Y76" i="3"/>
  <c r="AA69" i="3"/>
  <c r="AA55" i="3"/>
  <c r="AA86" i="4" s="1"/>
  <c r="AI76" i="3"/>
  <c r="AU55" i="3"/>
  <c r="AU75" i="3" s="1"/>
  <c r="AE77" i="3"/>
  <c r="AF26" i="3"/>
  <c r="AY69" i="3"/>
  <c r="AT76" i="3"/>
  <c r="BQ215" i="2"/>
  <c r="BQ212" i="2"/>
  <c r="CX117" i="12"/>
  <c r="DC117" i="12" s="1"/>
  <c r="DH117" i="12" s="1"/>
  <c r="DM117" i="12" s="1"/>
  <c r="DR117" i="12" s="1"/>
  <c r="DW117" i="12" s="1"/>
  <c r="BQ269" i="2"/>
  <c r="CT57" i="4"/>
  <c r="CS57" i="4" s="1"/>
  <c r="CR57" i="4" s="1"/>
  <c r="CQ57" i="4" s="1"/>
  <c r="CZ57" i="4"/>
  <c r="CZ73" i="12"/>
  <c r="CV35" i="12"/>
  <c r="CV34" i="12" s="1"/>
  <c r="CV7" i="17" s="1"/>
  <c r="CV8" i="17" s="1"/>
  <c r="CX80" i="12"/>
  <c r="CR35" i="12"/>
  <c r="CR34" i="12" s="1"/>
  <c r="CS15" i="12"/>
  <c r="CZ64" i="12"/>
  <c r="CY70" i="12"/>
  <c r="CU129" i="12"/>
  <c r="CW129" i="12"/>
  <c r="CV69" i="12"/>
  <c r="CV43" i="17" s="1"/>
  <c r="CV44" i="17" s="1"/>
  <c r="CV31" i="17"/>
  <c r="CV32" i="17" s="1"/>
  <c r="CZ62" i="12"/>
  <c r="CX70" i="12"/>
  <c r="CX69" i="12" s="1"/>
  <c r="CX43" i="17" s="1"/>
  <c r="CX44" i="17" s="1"/>
  <c r="BG18" i="3"/>
  <c r="BG53" i="3" s="1"/>
  <c r="AK70" i="3"/>
  <c r="AF28" i="3"/>
  <c r="AE28" i="3"/>
  <c r="AE30" i="3" s="1"/>
  <c r="W63" i="3"/>
  <c r="W46" i="3" s="1"/>
  <c r="AF32" i="3"/>
  <c r="AF92" i="4"/>
  <c r="AE89" i="4"/>
  <c r="AF89" i="4"/>
  <c r="AE64" i="3"/>
  <c r="Z76" i="3"/>
  <c r="BF21" i="3"/>
  <c r="BG21" i="3" s="1"/>
  <c r="Z55" i="3"/>
  <c r="N80" i="4"/>
  <c r="AC53" i="3"/>
  <c r="AC62" i="3" s="1"/>
  <c r="AC85" i="4"/>
  <c r="X53" i="3"/>
  <c r="BA76" i="3"/>
  <c r="AA76" i="3"/>
  <c r="Z69" i="3"/>
  <c r="CZ127" i="2"/>
  <c r="CZ111" i="2"/>
  <c r="CZ360" i="2"/>
  <c r="CZ376" i="2" s="1"/>
  <c r="CZ309" i="2"/>
  <c r="S114" i="2"/>
  <c r="CY248" i="2"/>
  <c r="CY264" i="2"/>
  <c r="CY194" i="2"/>
  <c r="CZ178" i="2"/>
  <c r="BL315" i="1"/>
  <c r="BZ39" i="5"/>
  <c r="AO32" i="5"/>
  <c r="BF48" i="5"/>
  <c r="N38" i="5"/>
  <c r="AL39" i="5"/>
  <c r="AS75" i="3"/>
  <c r="X85" i="4"/>
  <c r="AQ86" i="4"/>
  <c r="N81" i="17"/>
  <c r="N90" i="17"/>
  <c r="N91" i="17" s="1"/>
  <c r="BM204" i="2"/>
  <c r="BM205" i="2"/>
  <c r="AK218" i="2"/>
  <c r="BB84" i="4"/>
  <c r="S85" i="4"/>
  <c r="S21" i="3"/>
  <c r="CL77" i="17"/>
  <c r="AT376" i="2"/>
  <c r="BA376" i="2"/>
  <c r="AO376" i="2"/>
  <c r="AY376" i="2"/>
  <c r="AS376" i="2"/>
  <c r="CB218" i="2"/>
  <c r="DJ338" i="1"/>
  <c r="DJ341" i="1"/>
  <c r="Y71" i="4"/>
  <c r="Y70" i="4"/>
  <c r="Y72" i="4" s="1"/>
  <c r="DJ359" i="1"/>
  <c r="Z24" i="3"/>
  <c r="Z63" i="3"/>
  <c r="AA56" i="4"/>
  <c r="Z69" i="4"/>
  <c r="Z70" i="4" s="1"/>
  <c r="Z72" i="4" s="1"/>
  <c r="U65" i="4"/>
  <c r="U66" i="4"/>
  <c r="U68" i="4"/>
  <c r="AW45" i="5"/>
  <c r="AR35" i="5"/>
  <c r="BS251" i="2"/>
  <c r="AH50" i="4"/>
  <c r="BF378" i="2"/>
  <c r="CP130" i="12"/>
  <c r="CO7" i="17"/>
  <c r="CO8" i="17" s="1"/>
  <c r="AH81" i="17"/>
  <c r="AC81" i="17"/>
  <c r="BB10" i="17"/>
  <c r="BB79" i="17" s="1"/>
  <c r="BB90" i="17" s="1"/>
  <c r="CF10" i="17"/>
  <c r="CA10" i="17"/>
  <c r="AW9" i="17"/>
  <c r="CK10" i="17"/>
  <c r="BL10" i="17"/>
  <c r="BQ10" i="17"/>
  <c r="AD85" i="17"/>
  <c r="BV10" i="17"/>
  <c r="AM81" i="17"/>
  <c r="BV34" i="17"/>
  <c r="CK34" i="17"/>
  <c r="CO195" i="2"/>
  <c r="BB135" i="12"/>
  <c r="BU54" i="3"/>
  <c r="BU55" i="3" s="1"/>
  <c r="AE76" i="3"/>
  <c r="BG24" i="5"/>
  <c r="AF70" i="3"/>
  <c r="AU62" i="3"/>
  <c r="AA89" i="4"/>
  <c r="AZ69" i="3"/>
  <c r="AA28" i="3"/>
  <c r="AA30" i="3" s="1"/>
  <c r="AU69" i="3"/>
  <c r="AA26" i="3"/>
  <c r="AA64" i="3"/>
  <c r="AQ218" i="2"/>
  <c r="S203" i="2"/>
  <c r="BA143" i="2"/>
  <c r="BA147" i="2" s="1"/>
  <c r="AG143" i="2"/>
  <c r="AG147" i="2" s="1"/>
  <c r="BU218" i="2"/>
  <c r="CA234" i="2"/>
  <c r="AR130" i="2"/>
  <c r="CF269" i="2"/>
  <c r="BD218" i="2"/>
  <c r="CA217" i="2"/>
  <c r="S206" i="2"/>
  <c r="S208" i="2"/>
  <c r="S202" i="2"/>
  <c r="S207" i="2"/>
  <c r="S215" i="2"/>
  <c r="CU127" i="2"/>
  <c r="H218" i="2"/>
  <c r="BV251" i="2"/>
  <c r="CT248" i="2"/>
  <c r="CT194" i="2"/>
  <c r="CT264" i="2"/>
  <c r="CT282" i="2"/>
  <c r="CU178" i="2"/>
  <c r="BQ204" i="2"/>
  <c r="BQ234" i="2"/>
  <c r="BQ203" i="2"/>
  <c r="CU309" i="2"/>
  <c r="CP264" i="2"/>
  <c r="CN63" i="17"/>
  <c r="BU48" i="5"/>
  <c r="C59" i="5"/>
  <c r="C58" i="5"/>
  <c r="K57" i="5"/>
  <c r="BY61" i="3"/>
  <c r="CA38" i="5"/>
  <c r="G59" i="5"/>
  <c r="G58" i="5"/>
  <c r="L39" i="5"/>
  <c r="H59" i="5"/>
  <c r="H58" i="5"/>
  <c r="I59" i="5"/>
  <c r="I58" i="5"/>
  <c r="CN115" i="12"/>
  <c r="CQ80" i="12"/>
  <c r="CU81" i="12"/>
  <c r="CQ69" i="12"/>
  <c r="CU70" i="12"/>
  <c r="CU69" i="12" s="1"/>
  <c r="CU43" i="17" s="1"/>
  <c r="CU44" i="17" s="1"/>
  <c r="CU46" i="17" s="1"/>
  <c r="CO115" i="12"/>
  <c r="CQ114" i="12"/>
  <c r="BS376" i="2"/>
  <c r="AN378" i="2"/>
  <c r="M376" i="2"/>
  <c r="N376" i="2" s="1"/>
  <c r="BB115" i="12"/>
  <c r="BJ70" i="3"/>
  <c r="BK77" i="3"/>
  <c r="AM21" i="3"/>
  <c r="AM24" i="3" s="1"/>
  <c r="BJ89" i="4"/>
  <c r="AM53" i="3"/>
  <c r="AM69" i="3" s="1"/>
  <c r="AB24" i="3"/>
  <c r="AB28" i="3" s="1"/>
  <c r="BJ64" i="3"/>
  <c r="BJ32" i="3"/>
  <c r="BK78" i="3" s="1"/>
  <c r="AI69" i="3"/>
  <c r="AT89" i="4"/>
  <c r="AY70" i="3"/>
  <c r="O89" i="4"/>
  <c r="AM38" i="5"/>
  <c r="S7" i="5"/>
  <c r="Q136" i="12"/>
  <c r="BH136" i="12"/>
  <c r="BM136" i="12"/>
  <c r="BR136" i="12"/>
  <c r="CP43" i="17"/>
  <c r="CP44" i="17" s="1"/>
  <c r="CP46" i="17" s="1"/>
  <c r="CE77" i="17"/>
  <c r="CE63" i="17"/>
  <c r="CA115" i="12"/>
  <c r="X115" i="12"/>
  <c r="BJ136" i="12"/>
  <c r="AQ376" i="2"/>
  <c r="AR376" i="2" s="1"/>
  <c r="BH143" i="2"/>
  <c r="BH147" i="2" s="1"/>
  <c r="G91" i="4"/>
  <c r="G92" i="4"/>
  <c r="AA92" i="4"/>
  <c r="BB80" i="4"/>
  <c r="AI72" i="4"/>
  <c r="D72" i="4"/>
  <c r="BB234" i="2"/>
  <c r="BB215" i="2"/>
  <c r="I65" i="4"/>
  <c r="I66" i="4"/>
  <c r="I68" i="4"/>
  <c r="G218" i="2"/>
  <c r="CD218" i="2"/>
  <c r="BV35" i="5"/>
  <c r="CE32" i="5"/>
  <c r="CE54" i="5" s="1"/>
  <c r="CE56" i="5" s="1"/>
  <c r="AL218" i="2"/>
  <c r="BV218" i="2"/>
  <c r="BL33" i="5"/>
  <c r="BK55" i="5"/>
  <c r="BB23" i="5"/>
  <c r="X45" i="5"/>
  <c r="P50" i="5"/>
  <c r="BX50" i="5"/>
  <c r="P218" i="2"/>
  <c r="AT32" i="3"/>
  <c r="AT26" i="3"/>
  <c r="AT64" i="3"/>
  <c r="AT28" i="3"/>
  <c r="AT92" i="4"/>
  <c r="N45" i="5"/>
  <c r="BN71" i="4"/>
  <c r="N34" i="5"/>
  <c r="N55" i="5" s="1"/>
  <c r="AQ85" i="17"/>
  <c r="BS136" i="12"/>
  <c r="BZ77" i="17"/>
  <c r="BL234" i="2"/>
  <c r="CA215" i="2"/>
  <c r="CA216" i="2"/>
  <c r="CA269" i="2"/>
  <c r="CA214" i="2"/>
  <c r="CA327" i="1" s="1"/>
  <c r="BL203" i="2"/>
  <c r="AM95" i="2"/>
  <c r="BL251" i="2"/>
  <c r="N346" i="2"/>
  <c r="N362" i="2" s="1"/>
  <c r="F323" i="1"/>
  <c r="F147" i="2"/>
  <c r="T376" i="2"/>
  <c r="CA251" i="2"/>
  <c r="G327" i="1"/>
  <c r="CA202" i="2"/>
  <c r="BL205" i="2"/>
  <c r="U376" i="2"/>
  <c r="BQ251" i="2"/>
  <c r="CA212" i="2"/>
  <c r="R16" i="30"/>
  <c r="CF115" i="12"/>
  <c r="BO136" i="12"/>
  <c r="CL115" i="12"/>
  <c r="P54" i="5"/>
  <c r="P56" i="5" s="1"/>
  <c r="P59" i="5" s="1"/>
  <c r="BP48" i="5"/>
  <c r="CC50" i="5"/>
  <c r="AB54" i="3"/>
  <c r="AB55" i="3" s="1"/>
  <c r="AB86" i="4" s="1"/>
  <c r="AC9" i="5"/>
  <c r="N54" i="3"/>
  <c r="AS57" i="5"/>
  <c r="BE68" i="3"/>
  <c r="BV7" i="5"/>
  <c r="O14" i="30" s="1"/>
  <c r="BB24" i="5"/>
  <c r="AZ75" i="3"/>
  <c r="CA35" i="5"/>
  <c r="M54" i="3"/>
  <c r="M55" i="3" s="1"/>
  <c r="O75" i="3" s="1"/>
  <c r="CA40" i="5"/>
  <c r="AR34" i="5"/>
  <c r="AR55" i="5" s="1"/>
  <c r="AQ55" i="5"/>
  <c r="BB40" i="5"/>
  <c r="BQ7" i="5"/>
  <c r="BL34" i="5"/>
  <c r="BK39" i="5"/>
  <c r="BG7" i="5"/>
  <c r="AL48" i="5"/>
  <c r="BQ37" i="5"/>
  <c r="BG45" i="5"/>
  <c r="BZ54" i="3"/>
  <c r="BZ55" i="3" s="1"/>
  <c r="CA9" i="5"/>
  <c r="CA32" i="5" s="1"/>
  <c r="BV46" i="5"/>
  <c r="AW11" i="5"/>
  <c r="AC35" i="5"/>
  <c r="S9" i="5"/>
  <c r="R54" i="3"/>
  <c r="R55" i="3" s="1"/>
  <c r="AW35" i="5"/>
  <c r="AV39" i="5"/>
  <c r="CP34" i="12"/>
  <c r="CA63" i="17"/>
  <c r="CP194" i="2"/>
  <c r="CP195" i="2" s="1"/>
  <c r="CN77" i="17"/>
  <c r="AK69" i="3"/>
  <c r="AF62" i="3"/>
  <c r="AF69" i="3"/>
  <c r="AF55" i="3"/>
  <c r="AZ61" i="3"/>
  <c r="AC24" i="3"/>
  <c r="AC64" i="3" s="1"/>
  <c r="AA49" i="3"/>
  <c r="AA36" i="3" s="1"/>
  <c r="AE62" i="3"/>
  <c r="AE55" i="3"/>
  <c r="AF76" i="3"/>
  <c r="AE69" i="3"/>
  <c r="W55" i="3"/>
  <c r="BN32" i="5"/>
  <c r="BM54" i="5"/>
  <c r="BM56" i="5" s="1"/>
  <c r="BM50" i="5"/>
  <c r="BG55" i="5"/>
  <c r="Y35" i="1"/>
  <c r="Y31" i="1"/>
  <c r="Y33" i="1" s="1"/>
  <c r="Y29" i="1"/>
  <c r="AB29" i="1" s="1"/>
  <c r="AB27" i="1"/>
  <c r="BP22" i="5"/>
  <c r="BO18" i="5"/>
  <c r="AZ143" i="2"/>
  <c r="AZ147" i="2" s="1"/>
  <c r="CU347" i="1"/>
  <c r="BF55" i="5"/>
  <c r="BF39" i="5"/>
  <c r="AC24" i="5"/>
  <c r="BQ115" i="12"/>
  <c r="BV115" i="12"/>
  <c r="S62" i="3"/>
  <c r="BC76" i="3"/>
  <c r="BL269" i="2"/>
  <c r="BL202" i="2"/>
  <c r="BL204" i="2"/>
  <c r="BL212" i="2"/>
  <c r="BL214" i="2"/>
  <c r="BL327" i="1" s="1"/>
  <c r="BL215" i="2"/>
  <c r="BX347" i="2"/>
  <c r="BX363" i="2" s="1"/>
  <c r="BY347" i="2"/>
  <c r="BY363" i="2" s="1"/>
  <c r="BX311" i="2"/>
  <c r="AB48" i="5"/>
  <c r="BD379" i="2"/>
  <c r="AI62" i="3"/>
  <c r="AI55" i="3"/>
  <c r="AJ75" i="3" s="1"/>
  <c r="CB65" i="4"/>
  <c r="CB68" i="4"/>
  <c r="CB66" i="4"/>
  <c r="BQ304" i="2"/>
  <c r="BR346" i="2"/>
  <c r="CC77" i="17"/>
  <c r="CC63" i="17"/>
  <c r="U57" i="5"/>
  <c r="CP248" i="2"/>
  <c r="CP231" i="2"/>
  <c r="CP386" i="1"/>
  <c r="CK387" i="1"/>
  <c r="AI63" i="3"/>
  <c r="AI24" i="3"/>
  <c r="AI70" i="3" s="1"/>
  <c r="AJ76" i="3"/>
  <c r="CP346" i="1"/>
  <c r="BQ202" i="2"/>
  <c r="BV269" i="2"/>
  <c r="BQ214" i="2"/>
  <c r="BQ327" i="1" s="1"/>
  <c r="BK136" i="12"/>
  <c r="O43" i="1"/>
  <c r="O37" i="1"/>
  <c r="AR313" i="1"/>
  <c r="AR54" i="3"/>
  <c r="T62" i="3"/>
  <c r="T69" i="3"/>
  <c r="T55" i="3"/>
  <c r="CP344" i="1"/>
  <c r="Y69" i="3"/>
  <c r="BU39" i="5"/>
  <c r="BV38" i="5"/>
  <c r="AR36" i="5"/>
  <c r="AQ39" i="5"/>
  <c r="BF216" i="2"/>
  <c r="BK251" i="2"/>
  <c r="BF203" i="2"/>
  <c r="BF202" i="2"/>
  <c r="BF269" i="2"/>
  <c r="BF212" i="2"/>
  <c r="BF287" i="2"/>
  <c r="BF234" i="2"/>
  <c r="BF204" i="2"/>
  <c r="BF214" i="2"/>
  <c r="BF327" i="1" s="1"/>
  <c r="BK269" i="2"/>
  <c r="BF251" i="2"/>
  <c r="BF205" i="2"/>
  <c r="BF215" i="2"/>
  <c r="AC31" i="5"/>
  <c r="AB18" i="5"/>
  <c r="CP350" i="1"/>
  <c r="BE69" i="4"/>
  <c r="AJ50" i="5"/>
  <c r="AJ54" i="5"/>
  <c r="AJ56" i="5" s="1"/>
  <c r="AJ59" i="5" s="1"/>
  <c r="E24" i="3"/>
  <c r="E63" i="3"/>
  <c r="E46" i="3" s="1"/>
  <c r="BI69" i="4"/>
  <c r="BI70" i="4" s="1"/>
  <c r="BI72" i="4" s="1"/>
  <c r="BJ56" i="4"/>
  <c r="AM18" i="5"/>
  <c r="BF70" i="4"/>
  <c r="BF72" i="4" s="1"/>
  <c r="BF71" i="4"/>
  <c r="CF7" i="5"/>
  <c r="AG55" i="5"/>
  <c r="AG39" i="5"/>
  <c r="BV10" i="5"/>
  <c r="AH42" i="5"/>
  <c r="AG48" i="5"/>
  <c r="AL18" i="5"/>
  <c r="BD70" i="4"/>
  <c r="BD72" i="4" s="1"/>
  <c r="BD71" i="4"/>
  <c r="AU69" i="4"/>
  <c r="Z54" i="5"/>
  <c r="Z56" i="5" s="1"/>
  <c r="Z50" i="5"/>
  <c r="X36" i="5"/>
  <c r="W39" i="5"/>
  <c r="M48" i="5"/>
  <c r="BQ45" i="5"/>
  <c r="R31" i="1"/>
  <c r="R33" i="1" s="1"/>
  <c r="R35" i="1"/>
  <c r="T24" i="3"/>
  <c r="T63" i="3"/>
  <c r="T46" i="3" s="1"/>
  <c r="Z218" i="2"/>
  <c r="AN218" i="2"/>
  <c r="BA24" i="3"/>
  <c r="BA63" i="3"/>
  <c r="BA46" i="3" s="1"/>
  <c r="AW46" i="5"/>
  <c r="AT91" i="4"/>
  <c r="AT70" i="4"/>
  <c r="AT72" i="4" s="1"/>
  <c r="AR45" i="5"/>
  <c r="CU357" i="1"/>
  <c r="DE348" i="1"/>
  <c r="AV218" i="2"/>
  <c r="AH55" i="5"/>
  <c r="AH39" i="5"/>
  <c r="AA32" i="5"/>
  <c r="DE369" i="1"/>
  <c r="AT71" i="4"/>
  <c r="AW41" i="5"/>
  <c r="AV48" i="5"/>
  <c r="F69" i="3"/>
  <c r="E62" i="3"/>
  <c r="E55" i="3"/>
  <c r="E68" i="3" s="1"/>
  <c r="BH70" i="4"/>
  <c r="BH72" i="4" s="1"/>
  <c r="BH91" i="4"/>
  <c r="AC46" i="5"/>
  <c r="M378" i="2"/>
  <c r="N378" i="2" s="1"/>
  <c r="BB203" i="2"/>
  <c r="BB214" i="2"/>
  <c r="BB327" i="1" s="1"/>
  <c r="BP376" i="2"/>
  <c r="BE379" i="2"/>
  <c r="BB212" i="2"/>
  <c r="BG251" i="2"/>
  <c r="BF379" i="2"/>
  <c r="BD378" i="2"/>
  <c r="BB204" i="2"/>
  <c r="BB202" i="2"/>
  <c r="BN376" i="2"/>
  <c r="AD143" i="2"/>
  <c r="AD147" i="2" s="1"/>
  <c r="AU378" i="2"/>
  <c r="K50" i="5"/>
  <c r="CD61" i="3"/>
  <c r="CD75" i="3"/>
  <c r="CD68" i="3"/>
  <c r="AK92" i="4"/>
  <c r="AL69" i="3"/>
  <c r="CU372" i="1"/>
  <c r="AO55" i="3"/>
  <c r="AO68" i="3" s="1"/>
  <c r="AT69" i="3"/>
  <c r="AO62" i="3"/>
  <c r="P55" i="3"/>
  <c r="P62" i="3"/>
  <c r="P76" i="3"/>
  <c r="P69" i="3"/>
  <c r="O15" i="30"/>
  <c r="CA147" i="2"/>
  <c r="BU18" i="5"/>
  <c r="AP76" i="3"/>
  <c r="AP69" i="3"/>
  <c r="AQ76" i="3"/>
  <c r="AP55" i="3"/>
  <c r="AP62" i="3"/>
  <c r="Q69" i="3"/>
  <c r="Q76" i="3"/>
  <c r="Q55" i="3"/>
  <c r="Q62" i="3"/>
  <c r="P24" i="3"/>
  <c r="P63" i="3"/>
  <c r="P46" i="3" s="1"/>
  <c r="AO24" i="3"/>
  <c r="AO91" i="4" s="1"/>
  <c r="AO63" i="3"/>
  <c r="AM277" i="1"/>
  <c r="AM280" i="1" s="1"/>
  <c r="AI277" i="1"/>
  <c r="AI280" i="1" s="1"/>
  <c r="AJ277" i="1" s="1"/>
  <c r="AJ280" i="1" s="1"/>
  <c r="AK277" i="1" s="1"/>
  <c r="AK280" i="1" s="1"/>
  <c r="AL277" i="1" s="1"/>
  <c r="AL280" i="1" s="1"/>
  <c r="V71" i="4"/>
  <c r="AP63" i="3"/>
  <c r="AP24" i="3"/>
  <c r="S141" i="1"/>
  <c r="R139" i="1"/>
  <c r="Q24" i="3"/>
  <c r="Q63" i="3"/>
  <c r="Q46" i="3" s="1"/>
  <c r="BL71" i="4"/>
  <c r="BL72" i="4"/>
  <c r="CU358" i="1"/>
  <c r="K77" i="3"/>
  <c r="BK92" i="4"/>
  <c r="O70" i="3"/>
  <c r="AM130" i="2"/>
  <c r="AV378" i="2"/>
  <c r="AW378" i="2" s="1"/>
  <c r="CU333" i="1"/>
  <c r="L43" i="1"/>
  <c r="L37" i="1"/>
  <c r="CP334" i="1"/>
  <c r="AM188" i="2"/>
  <c r="AM269" i="2" s="1"/>
  <c r="AR268" i="2"/>
  <c r="CC56" i="4"/>
  <c r="CD69" i="4"/>
  <c r="CD70" i="4" s="1"/>
  <c r="CD72" i="4" s="1"/>
  <c r="W35" i="1"/>
  <c r="W31" i="1"/>
  <c r="W33" i="1" s="1"/>
  <c r="BW57" i="5"/>
  <c r="BW26" i="3"/>
  <c r="BW64" i="3"/>
  <c r="BW28" i="3"/>
  <c r="BW89" i="4"/>
  <c r="BW32" i="3"/>
  <c r="V234" i="2"/>
  <c r="V202" i="2"/>
  <c r="V212" i="2"/>
  <c r="V214" i="2"/>
  <c r="V327" i="1" s="1"/>
  <c r="V215" i="2"/>
  <c r="V204" i="2"/>
  <c r="AA269" i="2"/>
  <c r="V203" i="2"/>
  <c r="V216" i="2"/>
  <c r="V269" i="2"/>
  <c r="V205" i="2"/>
  <c r="AA251" i="2"/>
  <c r="V251" i="2"/>
  <c r="J64" i="3"/>
  <c r="J32" i="3"/>
  <c r="K78" i="3" s="1"/>
  <c r="J26" i="3"/>
  <c r="J28" i="3"/>
  <c r="J57" i="5"/>
  <c r="CP377" i="1"/>
  <c r="CF10" i="5"/>
  <c r="CE54" i="3"/>
  <c r="CE55" i="3" s="1"/>
  <c r="BT63" i="3"/>
  <c r="BT46" i="3" s="1"/>
  <c r="BT24" i="3"/>
  <c r="J68" i="4"/>
  <c r="J72" i="4" s="1"/>
  <c r="J65" i="4"/>
  <c r="J66" i="4"/>
  <c r="CE38" i="5"/>
  <c r="CD39" i="5"/>
  <c r="V43" i="1"/>
  <c r="V37" i="1"/>
  <c r="CP352" i="1"/>
  <c r="BK376" i="2"/>
  <c r="AC63" i="3"/>
  <c r="AC49" i="3" s="1"/>
  <c r="AW27" i="5"/>
  <c r="AW18" i="5" s="1"/>
  <c r="AR114" i="2"/>
  <c r="M143" i="2"/>
  <c r="M147" i="2" s="1"/>
  <c r="BQ39" i="4"/>
  <c r="BQ49" i="4" s="1"/>
  <c r="BQ50" i="4" s="1"/>
  <c r="BQ84" i="4"/>
  <c r="BQ75" i="4"/>
  <c r="CU340" i="1"/>
  <c r="Q15" i="30"/>
  <c r="AN269" i="2"/>
  <c r="AI251" i="2"/>
  <c r="AI269" i="2"/>
  <c r="AI215" i="2"/>
  <c r="AI287" i="2"/>
  <c r="AI234" i="2"/>
  <c r="AI202" i="2"/>
  <c r="AI204" i="2"/>
  <c r="AJ287" i="2"/>
  <c r="AI205" i="2"/>
  <c r="AI212" i="2"/>
  <c r="AI214" i="2"/>
  <c r="AI327" i="1" s="1"/>
  <c r="AI216" i="2"/>
  <c r="AI203" i="2"/>
  <c r="AN251" i="2"/>
  <c r="N29" i="1"/>
  <c r="M29" i="1" s="1"/>
  <c r="M27" i="1"/>
  <c r="N35" i="1"/>
  <c r="N31" i="1"/>
  <c r="N33" i="1" s="1"/>
  <c r="BZ218" i="2"/>
  <c r="AL24" i="3"/>
  <c r="AL63" i="3"/>
  <c r="BX29" i="3"/>
  <c r="BY39" i="3"/>
  <c r="BW61" i="3"/>
  <c r="AA143" i="2"/>
  <c r="AA147" i="2" s="1"/>
  <c r="CC59" i="5"/>
  <c r="BT55" i="3"/>
  <c r="BT62" i="3"/>
  <c r="BT76" i="3"/>
  <c r="BY69" i="3"/>
  <c r="AL62" i="3"/>
  <c r="AQ69" i="3"/>
  <c r="AL76" i="3"/>
  <c r="AD65" i="4"/>
  <c r="AD66" i="4"/>
  <c r="AD68" i="4"/>
  <c r="CP345" i="1"/>
  <c r="BG304" i="2"/>
  <c r="BG346" i="2"/>
  <c r="BG362" i="2" s="1"/>
  <c r="BG378" i="2" s="1"/>
  <c r="BH346" i="2"/>
  <c r="BH362" i="2" s="1"/>
  <c r="CU374" i="1"/>
  <c r="R38" i="5"/>
  <c r="Q39" i="5"/>
  <c r="Q50" i="5" s="1"/>
  <c r="DE337" i="1"/>
  <c r="CE65" i="4"/>
  <c r="CE66" i="4"/>
  <c r="CE68" i="4"/>
  <c r="AG304" i="2"/>
  <c r="AG346" i="2"/>
  <c r="BV71" i="4"/>
  <c r="BV72" i="4"/>
  <c r="BW91" i="4"/>
  <c r="BW92" i="4"/>
  <c r="BU72" i="4"/>
  <c r="BU71" i="4"/>
  <c r="AO71" i="4"/>
  <c r="AO70" i="4"/>
  <c r="AO72" i="4" s="1"/>
  <c r="BB81" i="4"/>
  <c r="AW81" i="4"/>
  <c r="AP311" i="2"/>
  <c r="AP347" i="2"/>
  <c r="AW50" i="4"/>
  <c r="BN24" i="3"/>
  <c r="BN63" i="3"/>
  <c r="BN46" i="3" s="1"/>
  <c r="AG369" i="2"/>
  <c r="AH369" i="2" s="1"/>
  <c r="W360" i="2"/>
  <c r="AX378" i="2"/>
  <c r="AY378" i="2"/>
  <c r="CD77" i="3"/>
  <c r="W48" i="5"/>
  <c r="S66" i="4"/>
  <c r="AT216" i="2"/>
  <c r="AT234" i="2"/>
  <c r="AT251" i="2"/>
  <c r="AT287" i="2"/>
  <c r="AT269" i="2"/>
  <c r="AT214" i="2"/>
  <c r="AT327" i="1" s="1"/>
  <c r="AU287" i="2"/>
  <c r="AT212" i="2"/>
  <c r="AT215" i="2"/>
  <c r="AT202" i="2"/>
  <c r="AT205" i="2"/>
  <c r="AT204" i="2"/>
  <c r="AT203" i="2"/>
  <c r="DE362" i="1"/>
  <c r="AQ347" i="2"/>
  <c r="AQ363" i="2" s="1"/>
  <c r="BS263" i="1"/>
  <c r="DE255" i="1"/>
  <c r="DE378" i="1"/>
  <c r="AP69" i="4"/>
  <c r="CZ380" i="1"/>
  <c r="BN55" i="3"/>
  <c r="BN62" i="3"/>
  <c r="BN76" i="3"/>
  <c r="BS69" i="3"/>
  <c r="AG360" i="2"/>
  <c r="Y367" i="2"/>
  <c r="W367" i="2"/>
  <c r="X367" i="2" s="1"/>
  <c r="Z367" i="2"/>
  <c r="AA367" i="2"/>
  <c r="G57" i="5"/>
  <c r="BJ92" i="4"/>
  <c r="BB205" i="2"/>
  <c r="BB216" i="2"/>
  <c r="BR376" i="2"/>
  <c r="AW114" i="2"/>
  <c r="G324" i="1"/>
  <c r="G323" i="1" s="1"/>
  <c r="BY57" i="5"/>
  <c r="S65" i="4"/>
  <c r="X50" i="4"/>
  <c r="AW346" i="2"/>
  <c r="AW362" i="2" s="1"/>
  <c r="DE254" i="1"/>
  <c r="AW188" i="2"/>
  <c r="AW216" i="2" s="1"/>
  <c r="AW268" i="2"/>
  <c r="BB268" i="2"/>
  <c r="S29" i="3"/>
  <c r="S33" i="3"/>
  <c r="W304" i="2"/>
  <c r="W346" i="2"/>
  <c r="AV347" i="2"/>
  <c r="AV363" i="2" s="1"/>
  <c r="AU311" i="2"/>
  <c r="AU347" i="2"/>
  <c r="N130" i="2"/>
  <c r="K165" i="2"/>
  <c r="N146" i="2"/>
  <c r="N145" i="2"/>
  <c r="N326" i="1" s="1"/>
  <c r="N137" i="2"/>
  <c r="N133" i="2"/>
  <c r="N139" i="2"/>
  <c r="N114" i="2"/>
  <c r="N140" i="2"/>
  <c r="L165" i="2"/>
  <c r="N138" i="2"/>
  <c r="J165" i="2"/>
  <c r="AI165" i="2"/>
  <c r="AM133" i="2"/>
  <c r="AL165" i="2"/>
  <c r="AJ165" i="2"/>
  <c r="AM311" i="2"/>
  <c r="AM146" i="2"/>
  <c r="AM145" i="2"/>
  <c r="AM326" i="1" s="1"/>
  <c r="AM134" i="2"/>
  <c r="AM136" i="2"/>
  <c r="AK165" i="2"/>
  <c r="AM85" i="2"/>
  <c r="AM135" i="2"/>
  <c r="CZ391" i="1"/>
  <c r="AH302" i="2"/>
  <c r="AH309" i="2"/>
  <c r="M165" i="2"/>
  <c r="DE356" i="1"/>
  <c r="BO376" i="2"/>
  <c r="AO379" i="2"/>
  <c r="M32" i="5"/>
  <c r="M54" i="5" s="1"/>
  <c r="M56" i="5" s="1"/>
  <c r="M59" i="5" s="1"/>
  <c r="AY216" i="2"/>
  <c r="AY205" i="2"/>
  <c r="AZ287" i="2"/>
  <c r="AY204" i="2"/>
  <c r="AY234" i="2"/>
  <c r="AY287" i="2"/>
  <c r="AY269" i="2"/>
  <c r="AY214" i="2"/>
  <c r="AY327" i="1" s="1"/>
  <c r="AY203" i="2"/>
  <c r="AY202" i="2"/>
  <c r="BD269" i="2"/>
  <c r="AY215" i="2"/>
  <c r="AY212" i="2"/>
  <c r="BD251" i="2"/>
  <c r="AY251" i="2"/>
  <c r="DE364" i="1"/>
  <c r="AQ143" i="2"/>
  <c r="AQ147" i="2" s="1"/>
  <c r="AP362" i="2"/>
  <c r="AR346" i="2"/>
  <c r="AR362" i="2" s="1"/>
  <c r="L218" i="2"/>
  <c r="AI353" i="2"/>
  <c r="AI369" i="2" s="1"/>
  <c r="AM337" i="2"/>
  <c r="AI344" i="2"/>
  <c r="CP339" i="1"/>
  <c r="AF218" i="2"/>
  <c r="AH29" i="1"/>
  <c r="AG29" i="1" s="1"/>
  <c r="AG27" i="1"/>
  <c r="AH35" i="1"/>
  <c r="AH31" i="1"/>
  <c r="AH33" i="1" s="1"/>
  <c r="X351" i="2"/>
  <c r="X344" i="2"/>
  <c r="BO76" i="3"/>
  <c r="AV32" i="5"/>
  <c r="N268" i="2"/>
  <c r="S268" i="2"/>
  <c r="N188" i="2"/>
  <c r="N216" i="2" s="1"/>
  <c r="Y163" i="2"/>
  <c r="AC82" i="2"/>
  <c r="AH114" i="2" s="1"/>
  <c r="AH248" i="2"/>
  <c r="AC231" i="2"/>
  <c r="AH111" i="2"/>
  <c r="Z163" i="2"/>
  <c r="AC248" i="2"/>
  <c r="AB163" i="2"/>
  <c r="AH127" i="2"/>
  <c r="AA163" i="2"/>
  <c r="AC111" i="2"/>
  <c r="AC309" i="2"/>
  <c r="AC127" i="2"/>
  <c r="S48" i="5"/>
  <c r="AZ32" i="5"/>
  <c r="CU390" i="1"/>
  <c r="CA21" i="3"/>
  <c r="BX24" i="3"/>
  <c r="BX63" i="3"/>
  <c r="BX46" i="3" s="1"/>
  <c r="AH212" i="2"/>
  <c r="AH234" i="2"/>
  <c r="AH215" i="2"/>
  <c r="AH203" i="2"/>
  <c r="AH202" i="2"/>
  <c r="AH214" i="2"/>
  <c r="AH327" i="1" s="1"/>
  <c r="AH204" i="2"/>
  <c r="AH205" i="2"/>
  <c r="AH216" i="2"/>
  <c r="AH80" i="17"/>
  <c r="AH84" i="17"/>
  <c r="T218" i="2"/>
  <c r="Q372" i="2"/>
  <c r="P372" i="2"/>
  <c r="R372" i="2"/>
  <c r="S372" i="2" s="1"/>
  <c r="O372" i="2"/>
  <c r="CU370" i="1"/>
  <c r="V72" i="4"/>
  <c r="AC144" i="1"/>
  <c r="AB141" i="1"/>
  <c r="AB144" i="1" s="1"/>
  <c r="AC84" i="17"/>
  <c r="AC80" i="17"/>
  <c r="BG22" i="5"/>
  <c r="CF48" i="5"/>
  <c r="X68" i="4"/>
  <c r="X65" i="4"/>
  <c r="X66" i="4"/>
  <c r="CA277" i="1"/>
  <c r="BZ280" i="1"/>
  <c r="CA280" i="1" s="1"/>
  <c r="CB277" i="1" s="1"/>
  <c r="CB280" i="1" s="1"/>
  <c r="CC277" i="1" s="1"/>
  <c r="CC280" i="1" s="1"/>
  <c r="CD277" i="1" s="1"/>
  <c r="CD280" i="1" s="1"/>
  <c r="CE277" i="1" s="1"/>
  <c r="CU335" i="1"/>
  <c r="CF71" i="4"/>
  <c r="CF72" i="4"/>
  <c r="AC70" i="4"/>
  <c r="AC72" i="4" s="1"/>
  <c r="AC71" i="4"/>
  <c r="M68" i="4"/>
  <c r="M65" i="4"/>
  <c r="M66" i="4"/>
  <c r="AK50" i="5"/>
  <c r="AK54" i="5"/>
  <c r="AK56" i="5" s="1"/>
  <c r="BZ54" i="5"/>
  <c r="BZ56" i="5" s="1"/>
  <c r="CF53" i="3"/>
  <c r="CF85" i="4"/>
  <c r="AT50" i="5"/>
  <c r="AT54" i="5"/>
  <c r="AT56" i="5" s="1"/>
  <c r="CP349" i="1"/>
  <c r="AR72" i="4"/>
  <c r="AR71" i="4"/>
  <c r="DE355" i="1"/>
  <c r="AW71" i="4"/>
  <c r="AW72" i="4"/>
  <c r="CP354" i="1"/>
  <c r="AG218" i="2"/>
  <c r="AC351" i="2"/>
  <c r="AC344" i="2"/>
  <c r="AD360" i="2"/>
  <c r="AI81" i="4"/>
  <c r="AH81" i="4"/>
  <c r="AM81" i="4"/>
  <c r="BB39" i="5"/>
  <c r="CZ336" i="1"/>
  <c r="T76" i="3"/>
  <c r="R76" i="3"/>
  <c r="R62" i="3"/>
  <c r="W69" i="3"/>
  <c r="R69" i="3"/>
  <c r="M39" i="5"/>
  <c r="N35" i="5"/>
  <c r="BH215" i="2"/>
  <c r="BH214" i="2"/>
  <c r="BH327" i="1" s="1"/>
  <c r="BI287" i="2"/>
  <c r="BH269" i="2"/>
  <c r="BH212" i="2"/>
  <c r="BH287" i="2"/>
  <c r="BH251" i="2"/>
  <c r="BH202" i="2"/>
  <c r="BH203" i="2"/>
  <c r="BM251" i="2"/>
  <c r="BH216" i="2"/>
  <c r="BH204" i="2"/>
  <c r="BM269" i="2"/>
  <c r="BH234" i="2"/>
  <c r="BH205" i="2"/>
  <c r="AB346" i="2"/>
  <c r="AB145" i="2"/>
  <c r="AB326" i="1" s="1"/>
  <c r="AB347" i="2"/>
  <c r="AG114" i="2"/>
  <c r="AB134" i="2"/>
  <c r="AB146" i="2"/>
  <c r="AB114" i="2"/>
  <c r="AB136" i="2"/>
  <c r="AB156" i="2"/>
  <c r="AB133" i="2"/>
  <c r="AD156" i="2"/>
  <c r="AB130" i="2"/>
  <c r="AB311" i="2"/>
  <c r="AB135" i="2"/>
  <c r="AG130" i="2"/>
  <c r="BA18" i="5"/>
  <c r="BB27" i="5"/>
  <c r="AG65" i="4"/>
  <c r="AG68" i="4"/>
  <c r="DE375" i="1"/>
  <c r="CU379" i="1"/>
  <c r="S70" i="4"/>
  <c r="S72" i="4" s="1"/>
  <c r="S71" i="4"/>
  <c r="CA53" i="3"/>
  <c r="CA85" i="4"/>
  <c r="Q54" i="5"/>
  <c r="Q56" i="5" s="1"/>
  <c r="AH68" i="4"/>
  <c r="AH65" i="4"/>
  <c r="BI32" i="5"/>
  <c r="AO85" i="17"/>
  <c r="S356" i="2"/>
  <c r="S344" i="2"/>
  <c r="CD378" i="2"/>
  <c r="CB378" i="2"/>
  <c r="CE378" i="2"/>
  <c r="CC378" i="2"/>
  <c r="N18" i="5"/>
  <c r="AH54" i="3"/>
  <c r="AH55" i="3" s="1"/>
  <c r="AH32" i="5"/>
  <c r="AC188" i="2"/>
  <c r="AW146" i="2"/>
  <c r="AW134" i="2"/>
  <c r="AW85" i="2"/>
  <c r="AW135" i="2"/>
  <c r="AW311" i="2"/>
  <c r="BB130" i="2"/>
  <c r="AW136" i="2"/>
  <c r="AW145" i="2"/>
  <c r="AW326" i="1" s="1"/>
  <c r="BB114" i="2"/>
  <c r="AW133" i="2"/>
  <c r="N80" i="17"/>
  <c r="N84" i="17"/>
  <c r="Q80" i="17"/>
  <c r="Q84" i="17"/>
  <c r="CE24" i="3"/>
  <c r="CE63" i="3"/>
  <c r="CE46" i="3" s="1"/>
  <c r="CF77" i="4"/>
  <c r="CF78" i="4"/>
  <c r="CF79" i="4" s="1"/>
  <c r="AB360" i="2"/>
  <c r="AB376" i="2" s="1"/>
  <c r="AC376" i="2" s="1"/>
  <c r="AE367" i="2"/>
  <c r="AD367" i="2"/>
  <c r="AG367" i="2"/>
  <c r="AH367" i="2" s="1"/>
  <c r="AF367" i="2"/>
  <c r="AM115" i="12"/>
  <c r="AC55" i="5"/>
  <c r="R24" i="3"/>
  <c r="R63" i="3"/>
  <c r="R46" i="3" s="1"/>
  <c r="S79" i="17"/>
  <c r="AQ32" i="5"/>
  <c r="M286" i="2"/>
  <c r="M188" i="2"/>
  <c r="M216" i="2" s="1"/>
  <c r="R268" i="2"/>
  <c r="O286" i="2"/>
  <c r="CE218" i="2"/>
  <c r="Y286" i="2"/>
  <c r="W268" i="2"/>
  <c r="W286" i="2"/>
  <c r="W188" i="2"/>
  <c r="W216" i="2" s="1"/>
  <c r="BV323" i="1"/>
  <c r="CP371" i="1"/>
  <c r="O81" i="4"/>
  <c r="N81" i="4"/>
  <c r="DE373" i="1"/>
  <c r="Y81" i="4"/>
  <c r="X81" i="4"/>
  <c r="AC81" i="4"/>
  <c r="R68" i="4"/>
  <c r="R71" i="4" s="1"/>
  <c r="R65" i="4"/>
  <c r="BK22" i="5"/>
  <c r="BK18" i="5" s="1"/>
  <c r="BJ18" i="5"/>
  <c r="O360" i="2"/>
  <c r="BG29" i="3"/>
  <c r="CF347" i="2"/>
  <c r="CF363" i="2" s="1"/>
  <c r="CF379" i="2" s="1"/>
  <c r="CB347" i="2"/>
  <c r="CB363" i="2" s="1"/>
  <c r="CA311" i="2"/>
  <c r="CA347" i="2"/>
  <c r="CA363" i="2" s="1"/>
  <c r="CA379" i="2" s="1"/>
  <c r="AY50" i="5"/>
  <c r="AY54" i="5"/>
  <c r="AY56" i="5" s="1"/>
  <c r="N68" i="4"/>
  <c r="N65" i="4"/>
  <c r="N66" i="4"/>
  <c r="BK366" i="2"/>
  <c r="BI366" i="2"/>
  <c r="BH366" i="2"/>
  <c r="BJ366" i="2"/>
  <c r="CU363" i="1"/>
  <c r="AL71" i="4"/>
  <c r="AL72" i="4"/>
  <c r="CB62" i="3"/>
  <c r="CB55" i="3"/>
  <c r="CB76" i="3"/>
  <c r="CC76" i="3"/>
  <c r="CB69" i="3"/>
  <c r="D85" i="17"/>
  <c r="AU50" i="5"/>
  <c r="AU54" i="5"/>
  <c r="AU56" i="5" s="1"/>
  <c r="AU59" i="5" s="1"/>
  <c r="X186" i="2"/>
  <c r="AC268" i="2" s="1"/>
  <c r="X144" i="1"/>
  <c r="W141" i="1"/>
  <c r="W144" i="1" s="1"/>
  <c r="BD54" i="5"/>
  <c r="BD56" i="5" s="1"/>
  <c r="BD59" i="5" s="1"/>
  <c r="BD50" i="5"/>
  <c r="AH66" i="4"/>
  <c r="BV147" i="2"/>
  <c r="AV114" i="2"/>
  <c r="AW95" i="2"/>
  <c r="AG141" i="1"/>
  <c r="AM140" i="1"/>
  <c r="AM141" i="1" s="1"/>
  <c r="AH143" i="1"/>
  <c r="AL140" i="1"/>
  <c r="AL141" i="1" s="1"/>
  <c r="AQ140" i="1" s="1"/>
  <c r="AQ141" i="1" s="1"/>
  <c r="AH144" i="1"/>
  <c r="BY92" i="4"/>
  <c r="F72" i="4"/>
  <c r="F71" i="4"/>
  <c r="G90" i="4"/>
  <c r="AM72" i="4"/>
  <c r="AM71" i="4"/>
  <c r="BH50" i="5"/>
  <c r="BH54" i="5"/>
  <c r="BH56" i="5" s="1"/>
  <c r="CA71" i="4"/>
  <c r="CA72" i="4"/>
  <c r="BP71" i="4"/>
  <c r="BP72" i="4"/>
  <c r="BX62" i="3"/>
  <c r="CC69" i="3"/>
  <c r="BX55" i="3"/>
  <c r="BX76" i="3"/>
  <c r="BX69" i="3"/>
  <c r="BY76" i="3"/>
  <c r="CU376" i="1"/>
  <c r="S16" i="5"/>
  <c r="R32" i="5"/>
  <c r="DE351" i="1"/>
  <c r="CU367" i="1"/>
  <c r="CP366" i="1"/>
  <c r="AB65" i="4"/>
  <c r="AB68" i="4"/>
  <c r="AB66" i="4"/>
  <c r="N50" i="4"/>
  <c r="CD89" i="4"/>
  <c r="CD32" i="3"/>
  <c r="CD71" i="3" s="1"/>
  <c r="CD26" i="3"/>
  <c r="CD64" i="3"/>
  <c r="CK381" i="1"/>
  <c r="X84" i="17"/>
  <c r="X80" i="17"/>
  <c r="X54" i="3"/>
  <c r="L69" i="4"/>
  <c r="AG66" i="4"/>
  <c r="CB24" i="3"/>
  <c r="CB63" i="3"/>
  <c r="CB46" i="3" s="1"/>
  <c r="CF21" i="3"/>
  <c r="AB234" i="2"/>
  <c r="AB203" i="2"/>
  <c r="AB216" i="2"/>
  <c r="AB212" i="2"/>
  <c r="AB202" i="2"/>
  <c r="AG269" i="2"/>
  <c r="AB204" i="2"/>
  <c r="AB214" i="2"/>
  <c r="AB327" i="1" s="1"/>
  <c r="AB215" i="2"/>
  <c r="AG251" i="2"/>
  <c r="AB205" i="2"/>
  <c r="AB287" i="2"/>
  <c r="AD287" i="2"/>
  <c r="N304" i="2"/>
  <c r="O346" i="2"/>
  <c r="J212" i="2"/>
  <c r="J214" i="2"/>
  <c r="J327" i="1" s="1"/>
  <c r="J206" i="2"/>
  <c r="O251" i="2"/>
  <c r="J216" i="2"/>
  <c r="J234" i="2"/>
  <c r="J209" i="2"/>
  <c r="J207" i="2"/>
  <c r="O269" i="2"/>
  <c r="J215" i="2"/>
  <c r="J208" i="2"/>
  <c r="K287" i="2"/>
  <c r="J202" i="2"/>
  <c r="BB72" i="4"/>
  <c r="N33" i="3"/>
  <c r="N29" i="3"/>
  <c r="U204" i="2"/>
  <c r="U287" i="2"/>
  <c r="U214" i="2"/>
  <c r="U327" i="1" s="1"/>
  <c r="U205" i="2"/>
  <c r="Z269" i="2"/>
  <c r="U212" i="2"/>
  <c r="V287" i="2"/>
  <c r="U203" i="2"/>
  <c r="U269" i="2"/>
  <c r="U215" i="2"/>
  <c r="U202" i="2"/>
  <c r="U234" i="2"/>
  <c r="U251" i="2"/>
  <c r="Z251" i="2"/>
  <c r="CE76" i="3"/>
  <c r="CE62" i="3"/>
  <c r="CE69" i="3"/>
  <c r="CF58" i="3"/>
  <c r="AH351" i="2"/>
  <c r="AH344" i="2"/>
  <c r="CP361" i="1"/>
  <c r="BG115" i="12"/>
  <c r="BL115" i="12"/>
  <c r="BG135" i="12"/>
  <c r="BL136" i="12" s="1"/>
  <c r="BQ132" i="12"/>
  <c r="U136" i="12"/>
  <c r="AC115" i="12"/>
  <c r="AH115" i="12"/>
  <c r="AW115" i="12"/>
  <c r="AW135" i="12"/>
  <c r="AW136" i="12" s="1"/>
  <c r="AC135" i="12"/>
  <c r="AC136" i="12" s="1"/>
  <c r="AW63" i="17"/>
  <c r="AW77" i="17" s="1"/>
  <c r="BP77" i="17"/>
  <c r="CO117" i="2"/>
  <c r="S135" i="12"/>
  <c r="S136" i="12" s="1"/>
  <c r="AR79" i="17"/>
  <c r="AR90" i="17" s="1"/>
  <c r="E324" i="1"/>
  <c r="E147" i="2"/>
  <c r="AE363" i="2"/>
  <c r="BN379" i="2"/>
  <c r="AO136" i="12"/>
  <c r="CC34" i="3"/>
  <c r="CC36" i="3"/>
  <c r="X63" i="3"/>
  <c r="X24" i="3"/>
  <c r="BZ78" i="3"/>
  <c r="BY34" i="3"/>
  <c r="BY36" i="3"/>
  <c r="BM379" i="2"/>
  <c r="BO379" i="2"/>
  <c r="AN379" i="2"/>
  <c r="BQ143" i="2"/>
  <c r="BQ324" i="1" s="1"/>
  <c r="BQ323" i="1" s="1"/>
  <c r="AR85" i="4"/>
  <c r="AR53" i="3"/>
  <c r="BM30" i="3"/>
  <c r="BM43" i="3"/>
  <c r="BC26" i="3"/>
  <c r="BH70" i="3"/>
  <c r="BC64" i="3"/>
  <c r="BC28" i="3"/>
  <c r="BC92" i="4"/>
  <c r="BC32" i="3"/>
  <c r="BC91" i="4"/>
  <c r="BC89" i="4"/>
  <c r="BC57" i="5"/>
  <c r="BC61" i="3"/>
  <c r="BM36" i="3"/>
  <c r="BM71" i="3"/>
  <c r="BM34" i="3"/>
  <c r="BO92" i="4"/>
  <c r="BO32" i="3"/>
  <c r="BO26" i="3"/>
  <c r="BO28" i="3"/>
  <c r="BO89" i="4"/>
  <c r="BO64" i="3"/>
  <c r="AA34" i="3"/>
  <c r="AN63" i="3"/>
  <c r="AR21" i="3"/>
  <c r="AN24" i="3"/>
  <c r="Y49" i="3"/>
  <c r="Y46" i="3"/>
  <c r="W28" i="3"/>
  <c r="W32" i="3"/>
  <c r="W89" i="4"/>
  <c r="W92" i="4"/>
  <c r="W26" i="3"/>
  <c r="W64" i="3"/>
  <c r="W91" i="4"/>
  <c r="AN62" i="3"/>
  <c r="AN55" i="3"/>
  <c r="AS69" i="3"/>
  <c r="AN76" i="3"/>
  <c r="AO76" i="3"/>
  <c r="AN69" i="3"/>
  <c r="AH62" i="3"/>
  <c r="AB46" i="3"/>
  <c r="AB49" i="3"/>
  <c r="AE34" i="3"/>
  <c r="AJ86" i="4"/>
  <c r="AJ61" i="3"/>
  <c r="AD64" i="3"/>
  <c r="AD89" i="4"/>
  <c r="AD26" i="3"/>
  <c r="AD57" i="5"/>
  <c r="AD28" i="3"/>
  <c r="AD32" i="3"/>
  <c r="AE78" i="3" s="1"/>
  <c r="AD49" i="3"/>
  <c r="AD46" i="3"/>
  <c r="AJ89" i="4"/>
  <c r="AJ92" i="4"/>
  <c r="AJ64" i="3"/>
  <c r="AJ28" i="3"/>
  <c r="AJ32" i="3"/>
  <c r="AJ70" i="3"/>
  <c r="AJ26" i="3"/>
  <c r="AK77" i="3"/>
  <c r="AD86" i="4"/>
  <c r="AD61" i="3"/>
  <c r="BI76" i="3"/>
  <c r="BJ76" i="3"/>
  <c r="BI62" i="3"/>
  <c r="BI55" i="3"/>
  <c r="BI69" i="3"/>
  <c r="BN69" i="3"/>
  <c r="H64" i="3"/>
  <c r="H89" i="4"/>
  <c r="H28" i="3"/>
  <c r="H92" i="4"/>
  <c r="H57" i="5"/>
  <c r="H32" i="3"/>
  <c r="H26" i="3"/>
  <c r="H91" i="4"/>
  <c r="H70" i="3"/>
  <c r="BB53" i="3"/>
  <c r="BB85" i="4"/>
  <c r="D68" i="3"/>
  <c r="D61" i="3"/>
  <c r="D86" i="4"/>
  <c r="D90" i="4"/>
  <c r="D57" i="5"/>
  <c r="D64" i="3"/>
  <c r="D89" i="4"/>
  <c r="D32" i="3"/>
  <c r="D26" i="3"/>
  <c r="D92" i="4"/>
  <c r="D28" i="3"/>
  <c r="D91" i="4"/>
  <c r="BQ53" i="3"/>
  <c r="BQ85" i="4"/>
  <c r="BW76" i="3"/>
  <c r="BU62" i="3"/>
  <c r="BU69" i="3"/>
  <c r="BU76" i="3"/>
  <c r="BZ69" i="3"/>
  <c r="BK43" i="3"/>
  <c r="BK30" i="3"/>
  <c r="BD62" i="3"/>
  <c r="BD55" i="3"/>
  <c r="BD69" i="3"/>
  <c r="BD76" i="3"/>
  <c r="BE76" i="3"/>
  <c r="K34" i="3"/>
  <c r="U34" i="3"/>
  <c r="AX24" i="3"/>
  <c r="AX63" i="3"/>
  <c r="AX46" i="3" s="1"/>
  <c r="BB21" i="3"/>
  <c r="BD24" i="3"/>
  <c r="BD63" i="3"/>
  <c r="BD46" i="3" s="1"/>
  <c r="K43" i="3"/>
  <c r="K30" i="3"/>
  <c r="AG46" i="3"/>
  <c r="AG49" i="3"/>
  <c r="AV63" i="3"/>
  <c r="AV46" i="3" s="1"/>
  <c r="AV24" i="3"/>
  <c r="AW21" i="3"/>
  <c r="BL53" i="3"/>
  <c r="BL85" i="4"/>
  <c r="BP24" i="3"/>
  <c r="BP63" i="3"/>
  <c r="BP46" i="3" s="1"/>
  <c r="BQ21" i="3"/>
  <c r="BV53" i="3"/>
  <c r="BV85" i="4"/>
  <c r="I32" i="3"/>
  <c r="I91" i="4"/>
  <c r="I57" i="5"/>
  <c r="I64" i="3"/>
  <c r="I28" i="3"/>
  <c r="I26" i="3"/>
  <c r="I70" i="3"/>
  <c r="I89" i="4"/>
  <c r="C86" i="4"/>
  <c r="C61" i="3"/>
  <c r="BP62" i="3"/>
  <c r="BP76" i="3"/>
  <c r="BP69" i="3"/>
  <c r="BP55" i="3"/>
  <c r="BR76" i="3"/>
  <c r="BU63" i="3"/>
  <c r="BU46" i="3" s="1"/>
  <c r="BU24" i="3"/>
  <c r="BV21" i="3"/>
  <c r="AS43" i="3"/>
  <c r="AS30" i="3"/>
  <c r="BE36" i="3"/>
  <c r="BE34" i="3"/>
  <c r="U43" i="3"/>
  <c r="U30" i="3"/>
  <c r="AX62" i="3"/>
  <c r="AX55" i="3"/>
  <c r="BC69" i="3"/>
  <c r="AX69" i="3"/>
  <c r="AY76" i="3"/>
  <c r="BI24" i="3"/>
  <c r="BL21" i="3"/>
  <c r="BI63" i="3"/>
  <c r="BI46" i="3" s="1"/>
  <c r="BK36" i="3"/>
  <c r="BM78" i="3"/>
  <c r="BK34" i="3"/>
  <c r="CH350" i="2"/>
  <c r="CH366" i="2" s="1"/>
  <c r="CP114" i="12"/>
  <c r="BB63" i="17"/>
  <c r="BB77" i="17" s="1"/>
  <c r="CK63" i="17"/>
  <c r="CH117" i="2"/>
  <c r="CA77" i="17"/>
  <c r="CA34" i="17"/>
  <c r="CK36" i="2"/>
  <c r="T363" i="2"/>
  <c r="J363" i="2"/>
  <c r="M379" i="2" s="1"/>
  <c r="N379" i="2" s="1"/>
  <c r="N347" i="2"/>
  <c r="N363" i="2" s="1"/>
  <c r="CM350" i="2"/>
  <c r="CM117" i="2"/>
  <c r="CP31" i="4"/>
  <c r="CJ56" i="4"/>
  <c r="CK69" i="4"/>
  <c r="CJ60" i="4"/>
  <c r="CK7" i="4"/>
  <c r="CP33" i="3"/>
  <c r="CP49" i="3"/>
  <c r="CP59" i="5"/>
  <c r="CP48" i="5"/>
  <c r="CP50" i="5" s="1"/>
  <c r="CI64" i="4"/>
  <c r="CI61" i="4"/>
  <c r="AT136" i="12"/>
  <c r="AJ136" i="12"/>
  <c r="Z136" i="12"/>
  <c r="AW79" i="17"/>
  <c r="AW90" i="17" s="1"/>
  <c r="BQ135" i="12"/>
  <c r="BQ136" i="12" s="1"/>
  <c r="BQ65" i="17"/>
  <c r="BQ67" i="17" s="1"/>
  <c r="AT85" i="17"/>
  <c r="BV77" i="17"/>
  <c r="BV63" i="17"/>
  <c r="AP80" i="17"/>
  <c r="AP84" i="17"/>
  <c r="AU80" i="17"/>
  <c r="AU84" i="17"/>
  <c r="CF77" i="17"/>
  <c r="BP136" i="12"/>
  <c r="CI77" i="17"/>
  <c r="CI63" i="17"/>
  <c r="BL63" i="17"/>
  <c r="BL77" i="17" s="1"/>
  <c r="BL34" i="17"/>
  <c r="BU136" i="12"/>
  <c r="BQ34" i="17"/>
  <c r="BG79" i="17"/>
  <c r="BG90" i="17" s="1"/>
  <c r="BG91" i="17" s="1"/>
  <c r="CH123" i="12"/>
  <c r="CK77" i="17"/>
  <c r="BX133" i="12"/>
  <c r="CJ350" i="2"/>
  <c r="CJ117" i="2"/>
  <c r="CF63" i="17"/>
  <c r="CI117" i="2"/>
  <c r="CI350" i="2"/>
  <c r="BD136" i="12"/>
  <c r="AY136" i="12"/>
  <c r="CC126" i="12"/>
  <c r="CC135" i="12" s="1"/>
  <c r="CA126" i="12"/>
  <c r="CA127" i="12" s="1"/>
  <c r="BX135" i="12"/>
  <c r="BX136" i="12" s="1"/>
  <c r="BQ63" i="17"/>
  <c r="AM136" i="12"/>
  <c r="CG272" i="2"/>
  <c r="CG190" i="2"/>
  <c r="CG191" i="2" s="1"/>
  <c r="CG238" i="2"/>
  <c r="CG254" i="2"/>
  <c r="AS85" i="17"/>
  <c r="CE117" i="12"/>
  <c r="BZ132" i="12"/>
  <c r="BZ135" i="12"/>
  <c r="BZ136" i="12" s="1"/>
  <c r="CA117" i="12"/>
  <c r="CB123" i="12"/>
  <c r="BW135" i="12"/>
  <c r="BW136" i="12" s="1"/>
  <c r="BW132" i="12"/>
  <c r="CA123" i="12"/>
  <c r="CA124" i="12" s="1"/>
  <c r="CD123" i="12"/>
  <c r="BY132" i="12"/>
  <c r="BY135" i="12"/>
  <c r="BY136" i="12" s="1"/>
  <c r="BV132" i="12"/>
  <c r="BV135" i="12"/>
  <c r="BV118" i="12"/>
  <c r="CL117" i="2"/>
  <c r="CL350" i="2"/>
  <c r="AV85" i="17"/>
  <c r="CM190" i="2"/>
  <c r="CP31" i="17"/>
  <c r="AR136" i="12"/>
  <c r="H86" i="4" l="1"/>
  <c r="U378" i="2"/>
  <c r="T378" i="2"/>
  <c r="BS32" i="3"/>
  <c r="BS34" i="3" s="1"/>
  <c r="BT77" i="3"/>
  <c r="BS26" i="3"/>
  <c r="BS30" i="3"/>
  <c r="BS92" i="4"/>
  <c r="BS57" i="5"/>
  <c r="DO376" i="2"/>
  <c r="DU36" i="2"/>
  <c r="DV81" i="12"/>
  <c r="DU63" i="17"/>
  <c r="DU77" i="17"/>
  <c r="DX248" i="2"/>
  <c r="DX264" i="2"/>
  <c r="DX282" i="2"/>
  <c r="DX194" i="2"/>
  <c r="DX195" i="2" s="1"/>
  <c r="DW70" i="12"/>
  <c r="DU115" i="12"/>
  <c r="BS43" i="3"/>
  <c r="BS89" i="4"/>
  <c r="BS64" i="3"/>
  <c r="BO69" i="4"/>
  <c r="BO91" i="4" s="1"/>
  <c r="BS77" i="3"/>
  <c r="BS91" i="4"/>
  <c r="AJ218" i="2"/>
  <c r="C28" i="3"/>
  <c r="C43" i="3" s="1"/>
  <c r="H90" i="4"/>
  <c r="BN218" i="2"/>
  <c r="BC376" i="2"/>
  <c r="DO194" i="2"/>
  <c r="DO195" i="2" s="1"/>
  <c r="W143" i="2"/>
  <c r="W147" i="2" s="1"/>
  <c r="AW54" i="3"/>
  <c r="D324" i="1"/>
  <c r="D323" i="1" s="1"/>
  <c r="BE376" i="2"/>
  <c r="BD376" i="2"/>
  <c r="CZ342" i="1"/>
  <c r="H68" i="3"/>
  <c r="AW315" i="1"/>
  <c r="AE57" i="5"/>
  <c r="BT54" i="5"/>
  <c r="BT56" i="5" s="1"/>
  <c r="BT59" i="5" s="1"/>
  <c r="Q70" i="4"/>
  <c r="Q72" i="4" s="1"/>
  <c r="L50" i="5"/>
  <c r="C26" i="3"/>
  <c r="Y64" i="3"/>
  <c r="AJ49" i="3"/>
  <c r="AJ36" i="3" s="1"/>
  <c r="O30" i="3"/>
  <c r="C64" i="3"/>
  <c r="AF50" i="5"/>
  <c r="AF57" i="5"/>
  <c r="AF59" i="5"/>
  <c r="BE32" i="5"/>
  <c r="BE50" i="5" s="1"/>
  <c r="BX71" i="4"/>
  <c r="F43" i="3"/>
  <c r="X32" i="5"/>
  <c r="X54" i="5" s="1"/>
  <c r="X56" i="5" s="1"/>
  <c r="W77" i="3"/>
  <c r="BY91" i="4"/>
  <c r="DO231" i="2"/>
  <c r="K70" i="4"/>
  <c r="K72" i="4" s="1"/>
  <c r="Y77" i="3"/>
  <c r="DS264" i="2"/>
  <c r="DS248" i="2"/>
  <c r="DS194" i="2"/>
  <c r="DS195" i="2" s="1"/>
  <c r="DR70" i="12"/>
  <c r="DQ81" i="12"/>
  <c r="DO64" i="12"/>
  <c r="DS64" i="12"/>
  <c r="DP77" i="17"/>
  <c r="DP63" i="17"/>
  <c r="DP115" i="12"/>
  <c r="L32" i="3"/>
  <c r="L34" i="3" s="1"/>
  <c r="L26" i="3"/>
  <c r="L89" i="4"/>
  <c r="L28" i="3"/>
  <c r="L43" i="3" s="1"/>
  <c r="P71" i="4"/>
  <c r="Y26" i="3"/>
  <c r="V91" i="4"/>
  <c r="V77" i="3"/>
  <c r="BR43" i="3"/>
  <c r="Y32" i="3"/>
  <c r="AD71" i="3" s="1"/>
  <c r="AA70" i="3"/>
  <c r="V28" i="3"/>
  <c r="V30" i="3" s="1"/>
  <c r="AJ91" i="4"/>
  <c r="Y89" i="4"/>
  <c r="Z77" i="3"/>
  <c r="V64" i="3"/>
  <c r="V26" i="3"/>
  <c r="AD70" i="3"/>
  <c r="Y70" i="3"/>
  <c r="V32" i="3"/>
  <c r="V34" i="3" s="1"/>
  <c r="DO368" i="1"/>
  <c r="AZ71" i="4"/>
  <c r="AM32" i="5"/>
  <c r="AM54" i="5" s="1"/>
  <c r="AM56" i="5" s="1"/>
  <c r="C32" i="3"/>
  <c r="D70" i="3"/>
  <c r="BZ50" i="5"/>
  <c r="DK77" i="17"/>
  <c r="DK63" i="17"/>
  <c r="CU353" i="1"/>
  <c r="BH43" i="3"/>
  <c r="BR71" i="3"/>
  <c r="AW80" i="4"/>
  <c r="AW85" i="4"/>
  <c r="AY71" i="3"/>
  <c r="AY34" i="3"/>
  <c r="BE30" i="3"/>
  <c r="M92" i="4"/>
  <c r="AW53" i="3"/>
  <c r="BB69" i="3" s="1"/>
  <c r="M28" i="3"/>
  <c r="M30" i="3" s="1"/>
  <c r="AS36" i="3"/>
  <c r="M64" i="3"/>
  <c r="BL143" i="2"/>
  <c r="BL324" i="1" s="1"/>
  <c r="BL323" i="1" s="1"/>
  <c r="M77" i="3"/>
  <c r="BR34" i="3"/>
  <c r="M89" i="4"/>
  <c r="BH30" i="3"/>
  <c r="I68" i="3"/>
  <c r="AZ92" i="4"/>
  <c r="BH68" i="3"/>
  <c r="I61" i="3"/>
  <c r="BA69" i="3"/>
  <c r="C89" i="4"/>
  <c r="R70" i="3"/>
  <c r="C92" i="4"/>
  <c r="AY43" i="3"/>
  <c r="M26" i="3"/>
  <c r="H147" i="2"/>
  <c r="Y57" i="5"/>
  <c r="M32" i="3"/>
  <c r="O78" i="3" s="1"/>
  <c r="DI376" i="2"/>
  <c r="BO68" i="3"/>
  <c r="AR143" i="2"/>
  <c r="AR324" i="1" s="1"/>
  <c r="AV55" i="3"/>
  <c r="AY86" i="4" s="1"/>
  <c r="BJ61" i="3"/>
  <c r="BK75" i="3"/>
  <c r="AX76" i="3"/>
  <c r="BB54" i="3"/>
  <c r="AV69" i="3"/>
  <c r="AV62" i="3"/>
  <c r="L92" i="4"/>
  <c r="L64" i="3"/>
  <c r="AF69" i="4"/>
  <c r="AG91" i="4" s="1"/>
  <c r="X143" i="2"/>
  <c r="X324" i="1" s="1"/>
  <c r="BB143" i="2"/>
  <c r="BB324" i="1" s="1"/>
  <c r="R218" i="2"/>
  <c r="AK36" i="3"/>
  <c r="L61" i="3"/>
  <c r="AD68" i="3"/>
  <c r="AK34" i="3"/>
  <c r="L86" i="4"/>
  <c r="Y61" i="3"/>
  <c r="AK71" i="3"/>
  <c r="AP50" i="5"/>
  <c r="BF32" i="5"/>
  <c r="BF54" i="5" s="1"/>
  <c r="BF56" i="5" s="1"/>
  <c r="V57" i="5"/>
  <c r="V50" i="5"/>
  <c r="AJ57" i="5"/>
  <c r="BG18" i="5"/>
  <c r="BG32" i="5" s="1"/>
  <c r="S143" i="2"/>
  <c r="S324" i="1" s="1"/>
  <c r="Y68" i="30"/>
  <c r="BW68" i="3"/>
  <c r="DL81" i="12"/>
  <c r="DI70" i="12"/>
  <c r="DI69" i="12" s="1"/>
  <c r="DI43" i="17" s="1"/>
  <c r="DI44" i="17" s="1"/>
  <c r="DN62" i="12"/>
  <c r="CT80" i="12"/>
  <c r="AT46" i="30" s="1"/>
  <c r="DM70" i="12"/>
  <c r="CS31" i="17"/>
  <c r="DI81" i="12"/>
  <c r="DN73" i="12"/>
  <c r="AC28" i="3"/>
  <c r="AC43" i="3" s="1"/>
  <c r="DO45" i="4"/>
  <c r="DO23" i="4"/>
  <c r="DO40" i="4"/>
  <c r="DO19" i="4"/>
  <c r="DO36" i="4"/>
  <c r="DO12" i="4"/>
  <c r="DO44" i="4"/>
  <c r="DO41" i="4"/>
  <c r="T104" i="2"/>
  <c r="T114" i="2" s="1"/>
  <c r="Z75" i="3"/>
  <c r="G30" i="3"/>
  <c r="AK43" i="3"/>
  <c r="AF36" i="3"/>
  <c r="AK30" i="3"/>
  <c r="BG218" i="2"/>
  <c r="DO264" i="2"/>
  <c r="DO248" i="2"/>
  <c r="BG147" i="2"/>
  <c r="I147" i="2"/>
  <c r="BM68" i="3"/>
  <c r="L57" i="5"/>
  <c r="U61" i="3"/>
  <c r="AJ71" i="4"/>
  <c r="S69" i="3"/>
  <c r="AL70" i="3"/>
  <c r="AG64" i="3"/>
  <c r="F92" i="4"/>
  <c r="AG26" i="3"/>
  <c r="DE376" i="2"/>
  <c r="DF376" i="2"/>
  <c r="AH143" i="2"/>
  <c r="AH324" i="1" s="1"/>
  <c r="AU218" i="2"/>
  <c r="N62" i="3"/>
  <c r="AC32" i="3"/>
  <c r="AC36" i="3" s="1"/>
  <c r="AC89" i="4"/>
  <c r="BJ43" i="3"/>
  <c r="N55" i="3"/>
  <c r="N61" i="3" s="1"/>
  <c r="BM75" i="3"/>
  <c r="BK61" i="3"/>
  <c r="CX31" i="17"/>
  <c r="CX32" i="17" s="1"/>
  <c r="CJ77" i="17"/>
  <c r="AZ70" i="3"/>
  <c r="CD50" i="5"/>
  <c r="AK69" i="4"/>
  <c r="AL91" i="4" s="1"/>
  <c r="DJ231" i="2"/>
  <c r="AG89" i="4"/>
  <c r="AU32" i="3"/>
  <c r="AU36" i="3" s="1"/>
  <c r="AG28" i="3"/>
  <c r="AG30" i="3" s="1"/>
  <c r="AU64" i="3"/>
  <c r="F91" i="4"/>
  <c r="AU91" i="4"/>
  <c r="G70" i="3"/>
  <c r="F89" i="4"/>
  <c r="AU92" i="4"/>
  <c r="AG61" i="3"/>
  <c r="AG77" i="3"/>
  <c r="AU77" i="3"/>
  <c r="AU26" i="3"/>
  <c r="AG92" i="4"/>
  <c r="V75" i="3"/>
  <c r="V61" i="3"/>
  <c r="F32" i="3"/>
  <c r="F57" i="5"/>
  <c r="W75" i="3"/>
  <c r="AU89" i="4"/>
  <c r="F64" i="3"/>
  <c r="F26" i="3"/>
  <c r="AH24" i="3"/>
  <c r="AH26" i="3" s="1"/>
  <c r="AK75" i="3"/>
  <c r="AK86" i="4"/>
  <c r="AQ49" i="3"/>
  <c r="AQ36" i="3" s="1"/>
  <c r="BA218" i="2"/>
  <c r="AO218" i="2"/>
  <c r="AR9" i="17"/>
  <c r="CF218" i="2"/>
  <c r="DG81" i="12"/>
  <c r="DJ73" i="12"/>
  <c r="CQ43" i="17"/>
  <c r="CQ44" i="17" s="1"/>
  <c r="DJ62" i="12"/>
  <c r="CF79" i="17"/>
  <c r="CF90" i="17" s="1"/>
  <c r="CF91" i="17" s="1"/>
  <c r="CR7" i="17"/>
  <c r="CR8" i="17" s="1"/>
  <c r="AQ68" i="3"/>
  <c r="AL86" i="4"/>
  <c r="N63" i="3"/>
  <c r="N46" i="3" s="1"/>
  <c r="BR61" i="3"/>
  <c r="N24" i="3"/>
  <c r="N92" i="4" s="1"/>
  <c r="CZ384" i="1"/>
  <c r="CU385" i="1"/>
  <c r="AQ30" i="3"/>
  <c r="BS86" i="4"/>
  <c r="CF32" i="5"/>
  <c r="CF54" i="5" s="1"/>
  <c r="CF56" i="5" s="1"/>
  <c r="CF58" i="5" s="1"/>
  <c r="X48" i="5"/>
  <c r="BR68" i="3"/>
  <c r="Z71" i="4"/>
  <c r="BS218" i="2"/>
  <c r="AR218" i="2"/>
  <c r="AG75" i="3"/>
  <c r="BF55" i="3"/>
  <c r="BH86" i="4" s="1"/>
  <c r="AM62" i="3"/>
  <c r="BF69" i="3"/>
  <c r="BH76" i="3"/>
  <c r="BF62" i="3"/>
  <c r="AF71" i="3"/>
  <c r="AF34" i="3"/>
  <c r="AF78" i="3"/>
  <c r="AZ28" i="3"/>
  <c r="AZ43" i="3" s="1"/>
  <c r="BK69" i="3"/>
  <c r="BG85" i="4"/>
  <c r="AQ34" i="3"/>
  <c r="AS78" i="3"/>
  <c r="AL75" i="3"/>
  <c r="AE43" i="3"/>
  <c r="AL68" i="3"/>
  <c r="AC69" i="3"/>
  <c r="CY195" i="2"/>
  <c r="DJ365" i="1"/>
  <c r="DJ254" i="1"/>
  <c r="CZ343" i="1"/>
  <c r="CZ129" i="12"/>
  <c r="CZ130" i="12" s="1"/>
  <c r="DB129" i="12"/>
  <c r="CR114" i="12"/>
  <c r="CR115" i="12" s="1"/>
  <c r="CY57" i="4"/>
  <c r="CX57" i="4" s="1"/>
  <c r="CW57" i="4" s="1"/>
  <c r="CV57" i="4" s="1"/>
  <c r="DE57" i="4"/>
  <c r="DE248" i="2"/>
  <c r="CW114" i="12"/>
  <c r="DE231" i="2"/>
  <c r="DE264" i="2"/>
  <c r="DE194" i="2"/>
  <c r="DE195" i="2" s="1"/>
  <c r="DB81" i="12"/>
  <c r="DE73" i="12"/>
  <c r="DE70" i="12"/>
  <c r="DE69" i="12" s="1"/>
  <c r="DE43" i="17" s="1"/>
  <c r="DE44" i="17" s="1"/>
  <c r="DE46" i="17" s="1"/>
  <c r="AW32" i="5"/>
  <c r="AW54" i="5" s="1"/>
  <c r="AW56" i="5" s="1"/>
  <c r="AR56" i="5"/>
  <c r="AR59" i="5" s="1"/>
  <c r="BV32" i="5"/>
  <c r="BV54" i="5" s="1"/>
  <c r="BV56" i="5" s="1"/>
  <c r="AZ91" i="4"/>
  <c r="AZ89" i="4"/>
  <c r="AZ77" i="3"/>
  <c r="AZ32" i="3"/>
  <c r="BE71" i="3" s="1"/>
  <c r="AZ26" i="3"/>
  <c r="BA77" i="3"/>
  <c r="BE70" i="3"/>
  <c r="AM55" i="3"/>
  <c r="AM61" i="3" s="1"/>
  <c r="BF24" i="3"/>
  <c r="BF91" i="4" s="1"/>
  <c r="M86" i="4"/>
  <c r="AU61" i="3"/>
  <c r="T91" i="4"/>
  <c r="AA68" i="3"/>
  <c r="BM218" i="2"/>
  <c r="CY17" i="12"/>
  <c r="CY35" i="12" s="1"/>
  <c r="CY34" i="12" s="1"/>
  <c r="CY7" i="17" s="1"/>
  <c r="CY8" i="17" s="1"/>
  <c r="CX35" i="12"/>
  <c r="CX34" i="12" s="1"/>
  <c r="AU86" i="4"/>
  <c r="BQ39" i="5"/>
  <c r="AZ68" i="3"/>
  <c r="BA75" i="3"/>
  <c r="AA61" i="3"/>
  <c r="BQ48" i="5"/>
  <c r="AC18" i="5"/>
  <c r="AC32" i="5" s="1"/>
  <c r="AC54" i="5" s="1"/>
  <c r="AC56" i="5" s="1"/>
  <c r="AC58" i="5" s="1"/>
  <c r="AB75" i="3"/>
  <c r="CT195" i="2"/>
  <c r="BF63" i="3"/>
  <c r="BF46" i="3" s="1"/>
  <c r="AF30" i="3"/>
  <c r="AG68" i="3"/>
  <c r="BJ34" i="3"/>
  <c r="AA43" i="3"/>
  <c r="X55" i="3"/>
  <c r="X86" i="4" s="1"/>
  <c r="BJ71" i="3"/>
  <c r="AF43" i="3"/>
  <c r="BJ36" i="3"/>
  <c r="AM63" i="3"/>
  <c r="AM46" i="3" s="1"/>
  <c r="X62" i="3"/>
  <c r="BC75" i="3"/>
  <c r="AD75" i="3"/>
  <c r="BT70" i="3"/>
  <c r="BO71" i="3"/>
  <c r="X69" i="3"/>
  <c r="CV114" i="12"/>
  <c r="CV115" i="12" s="1"/>
  <c r="AC91" i="4"/>
  <c r="BY86" i="4"/>
  <c r="BR86" i="4"/>
  <c r="BW86" i="4"/>
  <c r="BM86" i="4"/>
  <c r="BX86" i="4"/>
  <c r="CC86" i="4"/>
  <c r="CD86" i="4"/>
  <c r="CB86" i="4"/>
  <c r="BO86" i="4"/>
  <c r="BN86" i="4"/>
  <c r="BE86" i="4"/>
  <c r="BT86" i="4"/>
  <c r="BD86" i="4"/>
  <c r="CW77" i="17"/>
  <c r="CW63" i="17"/>
  <c r="CS35" i="12"/>
  <c r="CT15" i="12"/>
  <c r="CT35" i="12" s="1"/>
  <c r="CU130" i="12"/>
  <c r="CZ70" i="12"/>
  <c r="CZ69" i="12" s="1"/>
  <c r="CZ43" i="17" s="1"/>
  <c r="CZ44" i="17" s="1"/>
  <c r="CZ46" i="17" s="1"/>
  <c r="CY69" i="12"/>
  <c r="CY43" i="17" s="1"/>
  <c r="CY44" i="17" s="1"/>
  <c r="CV63" i="17"/>
  <c r="CV77" i="17"/>
  <c r="AH69" i="3"/>
  <c r="AA75" i="3"/>
  <c r="Z86" i="4"/>
  <c r="Z61" i="3"/>
  <c r="Z68" i="3"/>
  <c r="AB77" i="3"/>
  <c r="AA77" i="3"/>
  <c r="CZ231" i="2"/>
  <c r="CZ264" i="2"/>
  <c r="CZ248" i="2"/>
  <c r="CZ194" i="2"/>
  <c r="CZ195" i="2" s="1"/>
  <c r="CU264" i="2"/>
  <c r="BQ315" i="1"/>
  <c r="AO54" i="5"/>
  <c r="AO56" i="5" s="1"/>
  <c r="AO59" i="5" s="1"/>
  <c r="AO50" i="5"/>
  <c r="BL39" i="5"/>
  <c r="CI366" i="2"/>
  <c r="S81" i="17"/>
  <c r="S90" i="17"/>
  <c r="S91" i="17" s="1"/>
  <c r="CL366" i="2"/>
  <c r="S24" i="3"/>
  <c r="X70" i="3" s="1"/>
  <c r="S63" i="3"/>
  <c r="S46" i="3" s="1"/>
  <c r="CJ366" i="2"/>
  <c r="CM366" i="2"/>
  <c r="AW91" i="17"/>
  <c r="DJ373" i="1"/>
  <c r="DJ364" i="1"/>
  <c r="N48" i="5"/>
  <c r="U71" i="4"/>
  <c r="U72" i="4"/>
  <c r="U91" i="4"/>
  <c r="U92" i="4"/>
  <c r="Z46" i="3"/>
  <c r="Z49" i="3"/>
  <c r="DO341" i="1"/>
  <c r="DJ351" i="1"/>
  <c r="DJ355" i="1"/>
  <c r="DJ356" i="1"/>
  <c r="DJ362" i="1"/>
  <c r="Z89" i="4"/>
  <c r="Z26" i="3"/>
  <c r="Z70" i="3"/>
  <c r="Z91" i="4"/>
  <c r="Z64" i="3"/>
  <c r="AE70" i="3"/>
  <c r="Z92" i="4"/>
  <c r="Z28" i="3"/>
  <c r="Z32" i="3"/>
  <c r="DJ337" i="1"/>
  <c r="DJ369" i="1"/>
  <c r="V92" i="4"/>
  <c r="DO359" i="1"/>
  <c r="DO338" i="1"/>
  <c r="CD78" i="3"/>
  <c r="DJ375" i="1"/>
  <c r="DJ378" i="1"/>
  <c r="BV54" i="3"/>
  <c r="BV55" i="3" s="1"/>
  <c r="BU86" i="4" s="1"/>
  <c r="DJ348" i="1"/>
  <c r="AA69" i="4"/>
  <c r="AB91" i="4" s="1"/>
  <c r="BB91" i="17"/>
  <c r="DJ255" i="1"/>
  <c r="W57" i="5"/>
  <c r="CD71" i="4"/>
  <c r="BV79" i="17"/>
  <c r="BV90" i="17" s="1"/>
  <c r="BV91" i="17" s="1"/>
  <c r="AR91" i="17"/>
  <c r="BB81" i="17"/>
  <c r="AR84" i="17"/>
  <c r="AR85" i="17" s="1"/>
  <c r="AR81" i="17"/>
  <c r="AW84" i="17"/>
  <c r="AW85" i="17" s="1"/>
  <c r="AW81" i="17"/>
  <c r="BG81" i="17"/>
  <c r="X81" i="17"/>
  <c r="CQ31" i="17"/>
  <c r="DJ313" i="1"/>
  <c r="J91" i="4"/>
  <c r="I92" i="4"/>
  <c r="I90" i="4"/>
  <c r="S218" i="2"/>
  <c r="CF63" i="3"/>
  <c r="CF46" i="3" s="1"/>
  <c r="CU231" i="2"/>
  <c r="CU194" i="2"/>
  <c r="CU195" i="2" s="1"/>
  <c r="CU248" i="2"/>
  <c r="CU14" i="4"/>
  <c r="W50" i="5"/>
  <c r="Y75" i="3"/>
  <c r="AC39" i="5"/>
  <c r="CA48" i="5"/>
  <c r="CA39" i="5"/>
  <c r="CU18" i="4"/>
  <c r="CU80" i="12"/>
  <c r="CQ115" i="12"/>
  <c r="AI75" i="3"/>
  <c r="AB26" i="3"/>
  <c r="AC26" i="3"/>
  <c r="AB70" i="3"/>
  <c r="AB89" i="4"/>
  <c r="M61" i="3"/>
  <c r="AG70" i="3"/>
  <c r="AT78" i="3"/>
  <c r="AB64" i="3"/>
  <c r="AD77" i="3"/>
  <c r="AB92" i="4"/>
  <c r="AB32" i="3"/>
  <c r="AB36" i="3" s="1"/>
  <c r="AR69" i="3"/>
  <c r="M75" i="3"/>
  <c r="AU57" i="5"/>
  <c r="M91" i="4"/>
  <c r="AM39" i="5"/>
  <c r="BI71" i="4"/>
  <c r="CA218" i="2"/>
  <c r="CM191" i="2"/>
  <c r="BQ218" i="2"/>
  <c r="AT34" i="3"/>
  <c r="BY379" i="2"/>
  <c r="AT30" i="3"/>
  <c r="AT43" i="3"/>
  <c r="BL55" i="5"/>
  <c r="AT36" i="3"/>
  <c r="I72" i="4"/>
  <c r="I71" i="4"/>
  <c r="CM272" i="2"/>
  <c r="R21" i="30"/>
  <c r="R17" i="30"/>
  <c r="CP7" i="17"/>
  <c r="CZ31" i="17"/>
  <c r="CZ32" i="17" s="1"/>
  <c r="CZ34" i="17" s="1"/>
  <c r="AB68" i="3"/>
  <c r="BV48" i="5"/>
  <c r="BB18" i="5"/>
  <c r="BB32" i="5" s="1"/>
  <c r="BB54" i="5" s="1"/>
  <c r="BB56" i="5" s="1"/>
  <c r="AB61" i="3"/>
  <c r="W86" i="4"/>
  <c r="N51" i="5"/>
  <c r="W61" i="3"/>
  <c r="AG56" i="5"/>
  <c r="AG59" i="5" s="1"/>
  <c r="AC54" i="3"/>
  <c r="AC55" i="3" s="1"/>
  <c r="N14" i="30"/>
  <c r="CA54" i="3"/>
  <c r="CA55" i="3" s="1"/>
  <c r="BZ86" i="4" s="1"/>
  <c r="P15" i="30"/>
  <c r="BG48" i="5"/>
  <c r="BB48" i="5"/>
  <c r="AW39" i="5"/>
  <c r="S54" i="3"/>
  <c r="S55" i="3" s="1"/>
  <c r="BZ61" i="3"/>
  <c r="BZ75" i="3"/>
  <c r="CK334" i="2"/>
  <c r="CK350" i="2" s="1"/>
  <c r="CK366" i="2" s="1"/>
  <c r="BL218" i="2"/>
  <c r="AK68" i="3"/>
  <c r="AF61" i="3"/>
  <c r="AF86" i="4"/>
  <c r="AF68" i="3"/>
  <c r="AE61" i="3"/>
  <c r="AF75" i="3"/>
  <c r="AE86" i="4"/>
  <c r="AE68" i="3"/>
  <c r="AE75" i="3"/>
  <c r="AJ68" i="3"/>
  <c r="O33" i="30"/>
  <c r="O34" i="30"/>
  <c r="BM59" i="5"/>
  <c r="BM57" i="5"/>
  <c r="BN54" i="5"/>
  <c r="BN56" i="5" s="1"/>
  <c r="BN50" i="5"/>
  <c r="BO32" i="5"/>
  <c r="AG50" i="5"/>
  <c r="BF218" i="2"/>
  <c r="CZ347" i="1"/>
  <c r="BQ22" i="5"/>
  <c r="BQ18" i="5" s="1"/>
  <c r="BP18" i="5"/>
  <c r="Y37" i="1"/>
  <c r="Y43" i="1"/>
  <c r="U218" i="2"/>
  <c r="AB35" i="1"/>
  <c r="AB31" i="1"/>
  <c r="AB33" i="1" s="1"/>
  <c r="CB72" i="4"/>
  <c r="CB71" i="4"/>
  <c r="CC92" i="4"/>
  <c r="BZ379" i="2"/>
  <c r="BX379" i="2"/>
  <c r="AI77" i="3"/>
  <c r="AC70" i="3"/>
  <c r="W70" i="3"/>
  <c r="AI46" i="3"/>
  <c r="AI49" i="3"/>
  <c r="BQ347" i="2"/>
  <c r="BQ363" i="2" s="1"/>
  <c r="BQ379" i="2" s="1"/>
  <c r="BR347" i="2"/>
  <c r="BR363" i="2" s="1"/>
  <c r="BV347" i="2"/>
  <c r="BV363" i="2" s="1"/>
  <c r="BV379" i="2" s="1"/>
  <c r="BQ311" i="2"/>
  <c r="AI61" i="3"/>
  <c r="AI86" i="4"/>
  <c r="AI68" i="3"/>
  <c r="BG136" i="12"/>
  <c r="AI57" i="5"/>
  <c r="AI64" i="3"/>
  <c r="AI32" i="3"/>
  <c r="AJ78" i="3" s="1"/>
  <c r="AI26" i="3"/>
  <c r="AI28" i="3"/>
  <c r="AI89" i="4"/>
  <c r="CU386" i="1"/>
  <c r="CP387" i="1"/>
  <c r="AJ77" i="3"/>
  <c r="AO70" i="3"/>
  <c r="CU346" i="1"/>
  <c r="BA61" i="3"/>
  <c r="CO63" i="17"/>
  <c r="CO77" i="17"/>
  <c r="DE256" i="1"/>
  <c r="R43" i="1"/>
  <c r="R37" i="1"/>
  <c r="AU71" i="4"/>
  <c r="AU70" i="4"/>
  <c r="AU72" i="4" s="1"/>
  <c r="E64" i="3"/>
  <c r="E57" i="5"/>
  <c r="F70" i="3"/>
  <c r="E32" i="3"/>
  <c r="E71" i="3" s="1"/>
  <c r="E91" i="4"/>
  <c r="E89" i="4"/>
  <c r="E28" i="3"/>
  <c r="E26" i="3"/>
  <c r="E92" i="4"/>
  <c r="CU350" i="1"/>
  <c r="T61" i="3"/>
  <c r="U75" i="3"/>
  <c r="T86" i="4"/>
  <c r="T68" i="3"/>
  <c r="AB269" i="2"/>
  <c r="CZ357" i="1"/>
  <c r="AR48" i="5"/>
  <c r="X39" i="5"/>
  <c r="Y68" i="3"/>
  <c r="BJ69" i="4"/>
  <c r="AB32" i="5"/>
  <c r="E70" i="3"/>
  <c r="K52" i="5"/>
  <c r="L51" i="5" s="1"/>
  <c r="AA54" i="5"/>
  <c r="AA56" i="5" s="1"/>
  <c r="AA50" i="5"/>
  <c r="AH48" i="5"/>
  <c r="AH50" i="5" s="1"/>
  <c r="BE71" i="4"/>
  <c r="BE70" i="4"/>
  <c r="BE72" i="4" s="1"/>
  <c r="BE91" i="4"/>
  <c r="BV39" i="5"/>
  <c r="CU344" i="1"/>
  <c r="AR312" i="1"/>
  <c r="AW313" i="1"/>
  <c r="AW234" i="2"/>
  <c r="AC48" i="5"/>
  <c r="E61" i="3"/>
  <c r="E90" i="4"/>
  <c r="E86" i="4"/>
  <c r="F68" i="3"/>
  <c r="AW48" i="5"/>
  <c r="BA92" i="4"/>
  <c r="BC77" i="3"/>
  <c r="BA89" i="4"/>
  <c r="BA64" i="3"/>
  <c r="BA32" i="3"/>
  <c r="BC78" i="3" s="1"/>
  <c r="BA91" i="4"/>
  <c r="BA26" i="3"/>
  <c r="BA28" i="3"/>
  <c r="T57" i="5"/>
  <c r="T32" i="3"/>
  <c r="T26" i="3"/>
  <c r="T64" i="3"/>
  <c r="T28" i="3"/>
  <c r="T70" i="3"/>
  <c r="T89" i="4"/>
  <c r="U77" i="3"/>
  <c r="T92" i="4"/>
  <c r="Z59" i="5"/>
  <c r="Z57" i="5"/>
  <c r="AL32" i="5"/>
  <c r="Q14" i="30"/>
  <c r="AR39" i="5"/>
  <c r="BB218" i="2"/>
  <c r="V218" i="2"/>
  <c r="CZ358" i="1"/>
  <c r="Q64" i="3"/>
  <c r="Q89" i="4"/>
  <c r="Q28" i="3"/>
  <c r="Q32" i="3"/>
  <c r="Q26" i="3"/>
  <c r="Q70" i="3"/>
  <c r="V70" i="3"/>
  <c r="Q91" i="4"/>
  <c r="Q77" i="3"/>
  <c r="AR277" i="1"/>
  <c r="AR280" i="1" s="1"/>
  <c r="AN277" i="1"/>
  <c r="AN280" i="1" s="1"/>
  <c r="AO277" i="1" s="1"/>
  <c r="AO280" i="1" s="1"/>
  <c r="AP277" i="1" s="1"/>
  <c r="AP280" i="1" s="1"/>
  <c r="AQ277" i="1" s="1"/>
  <c r="AQ280" i="1" s="1"/>
  <c r="P28" i="3"/>
  <c r="P64" i="3"/>
  <c r="P70" i="3"/>
  <c r="P89" i="4"/>
  <c r="P77" i="3"/>
  <c r="P26" i="3"/>
  <c r="P57" i="5"/>
  <c r="P32" i="3"/>
  <c r="U70" i="3"/>
  <c r="P92" i="4"/>
  <c r="P91" i="4"/>
  <c r="Q92" i="4"/>
  <c r="CZ372" i="1"/>
  <c r="S144" i="1"/>
  <c r="R141" i="1"/>
  <c r="R144" i="1" s="1"/>
  <c r="AO46" i="3"/>
  <c r="AO49" i="3"/>
  <c r="AP75" i="3"/>
  <c r="AP68" i="3"/>
  <c r="AQ75" i="3"/>
  <c r="AP61" i="3"/>
  <c r="AP86" i="4"/>
  <c r="BU32" i="5"/>
  <c r="CF80" i="4"/>
  <c r="AP28" i="3"/>
  <c r="AP70" i="3"/>
  <c r="AP92" i="4"/>
  <c r="AP77" i="3"/>
  <c r="AP32" i="3"/>
  <c r="AP64" i="3"/>
  <c r="AQ77" i="3"/>
  <c r="AP26" i="3"/>
  <c r="AP89" i="4"/>
  <c r="AT70" i="3"/>
  <c r="AO64" i="3"/>
  <c r="AO32" i="3"/>
  <c r="AO28" i="3"/>
  <c r="AO89" i="4"/>
  <c r="AO92" i="4"/>
  <c r="AO26" i="3"/>
  <c r="Q75" i="3"/>
  <c r="Q86" i="4"/>
  <c r="Q61" i="3"/>
  <c r="V68" i="3"/>
  <c r="Q68" i="3"/>
  <c r="P61" i="3"/>
  <c r="P75" i="3"/>
  <c r="P68" i="3"/>
  <c r="P86" i="4"/>
  <c r="U68" i="3"/>
  <c r="AU70" i="3"/>
  <c r="AP46" i="3"/>
  <c r="AP49" i="3"/>
  <c r="O26" i="30"/>
  <c r="O27" i="30" s="1"/>
  <c r="AO86" i="4"/>
  <c r="AT68" i="3"/>
  <c r="AO61" i="3"/>
  <c r="AU68" i="3"/>
  <c r="CE61" i="3"/>
  <c r="CE68" i="3"/>
  <c r="CE75" i="3"/>
  <c r="AD71" i="4"/>
  <c r="AD72" i="4"/>
  <c r="AE91" i="4"/>
  <c r="AE92" i="4"/>
  <c r="CZ340" i="1"/>
  <c r="BT75" i="3"/>
  <c r="BT61" i="3"/>
  <c r="BY68" i="3"/>
  <c r="N37" i="1"/>
  <c r="N43" i="1"/>
  <c r="K91" i="4"/>
  <c r="J92" i="4"/>
  <c r="J71" i="4"/>
  <c r="K92" i="4"/>
  <c r="J34" i="3"/>
  <c r="BW36" i="3"/>
  <c r="BW34" i="3"/>
  <c r="AM234" i="2"/>
  <c r="AM251" i="2"/>
  <c r="AM216" i="2"/>
  <c r="AM215" i="2"/>
  <c r="AR269" i="2"/>
  <c r="AR251" i="2"/>
  <c r="AM205" i="2"/>
  <c r="AM204" i="2"/>
  <c r="AM202" i="2"/>
  <c r="AM203" i="2"/>
  <c r="AM214" i="2"/>
  <c r="AM327" i="1" s="1"/>
  <c r="AM212" i="2"/>
  <c r="AC46" i="3"/>
  <c r="AD92" i="4"/>
  <c r="O71" i="3"/>
  <c r="BT68" i="3"/>
  <c r="BY29" i="3"/>
  <c r="BZ39" i="3"/>
  <c r="BY28" i="3"/>
  <c r="AL32" i="3"/>
  <c r="AL92" i="4"/>
  <c r="AL64" i="3"/>
  <c r="AQ70" i="3"/>
  <c r="AL28" i="3"/>
  <c r="AL77" i="3"/>
  <c r="AL26" i="3"/>
  <c r="AL89" i="4"/>
  <c r="M35" i="1"/>
  <c r="M31" i="1"/>
  <c r="M33" i="1" s="1"/>
  <c r="AI218" i="2"/>
  <c r="CU352" i="1"/>
  <c r="BT26" i="3"/>
  <c r="BT89" i="4"/>
  <c r="BT64" i="3"/>
  <c r="BT32" i="3"/>
  <c r="BT71" i="3" s="1"/>
  <c r="BT28" i="3"/>
  <c r="BT92" i="4"/>
  <c r="BY70" i="3"/>
  <c r="BT91" i="4"/>
  <c r="CU334" i="1"/>
  <c r="DE257" i="1"/>
  <c r="CF38" i="5"/>
  <c r="CE39" i="5"/>
  <c r="CE50" i="5" s="1"/>
  <c r="CU377" i="1"/>
  <c r="W37" i="1"/>
  <c r="W43" i="1"/>
  <c r="AL46" i="3"/>
  <c r="AL49" i="3"/>
  <c r="DE360" i="1"/>
  <c r="BW71" i="3"/>
  <c r="AD91" i="4"/>
  <c r="M57" i="5"/>
  <c r="CF54" i="3"/>
  <c r="CF55" i="3" s="1"/>
  <c r="CE86" i="4" s="1"/>
  <c r="J43" i="3"/>
  <c r="J30" i="3"/>
  <c r="BW30" i="3"/>
  <c r="BW43" i="3"/>
  <c r="CC69" i="4"/>
  <c r="CD91" i="4" s="1"/>
  <c r="CZ333" i="1"/>
  <c r="AG35" i="1"/>
  <c r="AG31" i="1"/>
  <c r="AG33" i="1" s="1"/>
  <c r="AP378" i="2"/>
  <c r="AS378" i="2"/>
  <c r="AT378" i="2"/>
  <c r="AT218" i="2"/>
  <c r="BN28" i="3"/>
  <c r="BO77" i="3"/>
  <c r="BN32" i="3"/>
  <c r="BN26" i="3"/>
  <c r="BN91" i="4"/>
  <c r="BN77" i="3"/>
  <c r="BN89" i="4"/>
  <c r="BN92" i="4"/>
  <c r="BN64" i="3"/>
  <c r="BS70" i="3"/>
  <c r="CE72" i="4"/>
  <c r="CE71" i="4"/>
  <c r="BH378" i="2"/>
  <c r="BI378" i="2"/>
  <c r="BK378" i="2"/>
  <c r="BJ378" i="2"/>
  <c r="J218" i="2"/>
  <c r="AI360" i="2"/>
  <c r="AH304" i="2"/>
  <c r="AI346" i="2"/>
  <c r="AU363" i="2"/>
  <c r="AV379" i="2" s="1"/>
  <c r="AW379" i="2" s="1"/>
  <c r="AW347" i="2"/>
  <c r="AW363" i="2" s="1"/>
  <c r="W362" i="2"/>
  <c r="X346" i="2"/>
  <c r="X362" i="2" s="1"/>
  <c r="AW202" i="2"/>
  <c r="AW215" i="2"/>
  <c r="AW203" i="2"/>
  <c r="AW205" i="2"/>
  <c r="AW204" i="2"/>
  <c r="AW269" i="2"/>
  <c r="AW212" i="2"/>
  <c r="AW214" i="2"/>
  <c r="AW327" i="1" s="1"/>
  <c r="BB251" i="2"/>
  <c r="AW251" i="2"/>
  <c r="BB269" i="2"/>
  <c r="AP59" i="5"/>
  <c r="AP57" i="5"/>
  <c r="DE380" i="1"/>
  <c r="BT263" i="1"/>
  <c r="Y376" i="2"/>
  <c r="Z376" i="2"/>
  <c r="W376" i="2"/>
  <c r="X376" i="2" s="1"/>
  <c r="AA376" i="2"/>
  <c r="AP363" i="2"/>
  <c r="AR347" i="2"/>
  <c r="AR363" i="2" s="1"/>
  <c r="BB136" i="12"/>
  <c r="CO350" i="2"/>
  <c r="AB251" i="2"/>
  <c r="AB165" i="2"/>
  <c r="BH218" i="2"/>
  <c r="M50" i="5"/>
  <c r="AH218" i="2"/>
  <c r="AM353" i="2"/>
  <c r="AM344" i="2"/>
  <c r="AQ378" i="2"/>
  <c r="AR378" i="2" s="1"/>
  <c r="AY218" i="2"/>
  <c r="W311" i="2"/>
  <c r="W347" i="2"/>
  <c r="AG362" i="2"/>
  <c r="AG378" i="2" s="1"/>
  <c r="AH378" i="2" s="1"/>
  <c r="AH346" i="2"/>
  <c r="AH362" i="2" s="1"/>
  <c r="CZ374" i="1"/>
  <c r="BH347" i="2"/>
  <c r="BH363" i="2" s="1"/>
  <c r="BL347" i="2"/>
  <c r="BL363" i="2" s="1"/>
  <c r="BL379" i="2" s="1"/>
  <c r="BG311" i="2"/>
  <c r="BG347" i="2"/>
  <c r="BG363" i="2" s="1"/>
  <c r="BG379" i="2" s="1"/>
  <c r="X360" i="2"/>
  <c r="CU339" i="1"/>
  <c r="AM143" i="2"/>
  <c r="AM324" i="1" s="1"/>
  <c r="AH37" i="1"/>
  <c r="AH43" i="1"/>
  <c r="AJ369" i="2"/>
  <c r="AK369" i="2"/>
  <c r="AL369" i="2"/>
  <c r="AM369" i="2" s="1"/>
  <c r="DE391" i="1"/>
  <c r="N143" i="2"/>
  <c r="N324" i="1" s="1"/>
  <c r="AZ379" i="2"/>
  <c r="BN61" i="3"/>
  <c r="BO75" i="3"/>
  <c r="BS68" i="3"/>
  <c r="BN75" i="3"/>
  <c r="AP71" i="4"/>
  <c r="AP70" i="4"/>
  <c r="AP72" i="4" s="1"/>
  <c r="AP91" i="4"/>
  <c r="AQ91" i="4"/>
  <c r="AG347" i="2"/>
  <c r="AG311" i="2"/>
  <c r="S38" i="5"/>
  <c r="R39" i="5"/>
  <c r="R50" i="5" s="1"/>
  <c r="CU345" i="1"/>
  <c r="CZ367" i="1"/>
  <c r="AG143" i="1"/>
  <c r="AG144" i="1"/>
  <c r="CD379" i="2"/>
  <c r="CE379" i="2"/>
  <c r="CB379" i="2"/>
  <c r="CC379" i="2"/>
  <c r="BJ32" i="5"/>
  <c r="CA62" i="3"/>
  <c r="X71" i="4"/>
  <c r="X72" i="4"/>
  <c r="AH136" i="12"/>
  <c r="N311" i="2"/>
  <c r="O347" i="2"/>
  <c r="CB77" i="3"/>
  <c r="CB70" i="3"/>
  <c r="CB89" i="4"/>
  <c r="CB64" i="3"/>
  <c r="CB92" i="4"/>
  <c r="CB32" i="3"/>
  <c r="CB26" i="3"/>
  <c r="CB91" i="4"/>
  <c r="CB57" i="5"/>
  <c r="CC77" i="3"/>
  <c r="CF24" i="3"/>
  <c r="X85" i="17"/>
  <c r="AB71" i="4"/>
  <c r="AB72" i="4"/>
  <c r="CU366" i="1"/>
  <c r="BK32" i="5"/>
  <c r="CU371" i="1"/>
  <c r="CE26" i="3"/>
  <c r="CE64" i="3"/>
  <c r="CE92" i="4"/>
  <c r="CE32" i="3"/>
  <c r="CE91" i="4"/>
  <c r="CE89" i="4"/>
  <c r="CE77" i="3"/>
  <c r="CE70" i="3"/>
  <c r="AW143" i="2"/>
  <c r="AW324" i="1" s="1"/>
  <c r="AH71" i="4"/>
  <c r="AI92" i="4"/>
  <c r="AI91" i="4"/>
  <c r="CA54" i="5"/>
  <c r="CA56" i="5" s="1"/>
  <c r="CA58" i="5" s="1"/>
  <c r="AB363" i="2"/>
  <c r="AE379" i="2" s="1"/>
  <c r="AC347" i="2"/>
  <c r="AC363" i="2" s="1"/>
  <c r="DE336" i="1"/>
  <c r="AF376" i="2"/>
  <c r="AD376" i="2"/>
  <c r="AG376" i="2"/>
  <c r="AH376" i="2" s="1"/>
  <c r="AE376" i="2"/>
  <c r="AH72" i="4"/>
  <c r="CU349" i="1"/>
  <c r="AT59" i="5"/>
  <c r="AT57" i="5"/>
  <c r="BZ57" i="5"/>
  <c r="BZ59" i="5"/>
  <c r="AK59" i="5"/>
  <c r="AK57" i="5"/>
  <c r="BX89" i="4"/>
  <c r="BX64" i="3"/>
  <c r="BX77" i="3"/>
  <c r="CA24" i="3"/>
  <c r="BX28" i="3"/>
  <c r="BX57" i="5"/>
  <c r="BX26" i="3"/>
  <c r="CA26" i="3" s="1"/>
  <c r="BX92" i="4"/>
  <c r="BX70" i="3"/>
  <c r="BX32" i="3"/>
  <c r="BX91" i="4"/>
  <c r="CC70" i="3"/>
  <c r="BY77" i="3"/>
  <c r="O362" i="2"/>
  <c r="S346" i="2"/>
  <c r="S362" i="2" s="1"/>
  <c r="CP20" i="4"/>
  <c r="P376" i="2"/>
  <c r="R376" i="2"/>
  <c r="S376" i="2" s="1"/>
  <c r="Q376" i="2"/>
  <c r="O376" i="2"/>
  <c r="S80" i="17"/>
  <c r="S84" i="17"/>
  <c r="AC212" i="2"/>
  <c r="AC215" i="2"/>
  <c r="AC202" i="2"/>
  <c r="AC214" i="2"/>
  <c r="AC327" i="1" s="1"/>
  <c r="AC204" i="2"/>
  <c r="AC203" i="2"/>
  <c r="AC205" i="2"/>
  <c r="AH251" i="2"/>
  <c r="AC234" i="2"/>
  <c r="AH54" i="5"/>
  <c r="AH56" i="5" s="1"/>
  <c r="N39" i="5"/>
  <c r="CF62" i="3"/>
  <c r="CF69" i="3"/>
  <c r="AH85" i="17"/>
  <c r="AH269" i="2"/>
  <c r="AZ54" i="5"/>
  <c r="AZ56" i="5" s="1"/>
  <c r="AZ50" i="5"/>
  <c r="AC130" i="2"/>
  <c r="Z165" i="2"/>
  <c r="AC311" i="2"/>
  <c r="AA165" i="2"/>
  <c r="AC145" i="2"/>
  <c r="AC326" i="1" s="1"/>
  <c r="AC135" i="2"/>
  <c r="AC136" i="2"/>
  <c r="AC133" i="2"/>
  <c r="AC134" i="2"/>
  <c r="Y165" i="2"/>
  <c r="AH130" i="2"/>
  <c r="AC146" i="2"/>
  <c r="AC114" i="2"/>
  <c r="CE59" i="5"/>
  <c r="CE57" i="5"/>
  <c r="X136" i="12"/>
  <c r="Y91" i="4"/>
  <c r="CU361" i="1"/>
  <c r="CD59" i="5"/>
  <c r="CD57" i="5"/>
  <c r="AB218" i="2"/>
  <c r="CZ376" i="1"/>
  <c r="BX75" i="3"/>
  <c r="BX61" i="3"/>
  <c r="BX68" i="3"/>
  <c r="CC68" i="3"/>
  <c r="BY75" i="3"/>
  <c r="BL22" i="5"/>
  <c r="BL18" i="5" s="1"/>
  <c r="CB61" i="3"/>
  <c r="CB68" i="3"/>
  <c r="CB75" i="3"/>
  <c r="CC75" i="3"/>
  <c r="CZ363" i="1"/>
  <c r="W212" i="2"/>
  <c r="W287" i="2"/>
  <c r="W215" i="2"/>
  <c r="W234" i="2"/>
  <c r="W205" i="2"/>
  <c r="W204" i="2"/>
  <c r="Y287" i="2"/>
  <c r="W269" i="2"/>
  <c r="W214" i="2"/>
  <c r="W327" i="1" s="1"/>
  <c r="W202" i="2"/>
  <c r="W203" i="2"/>
  <c r="W251" i="2"/>
  <c r="M209" i="2"/>
  <c r="M207" i="2"/>
  <c r="M206" i="2"/>
  <c r="M208" i="2"/>
  <c r="M214" i="2"/>
  <c r="M327" i="1" s="1"/>
  <c r="M215" i="2"/>
  <c r="M287" i="2"/>
  <c r="M202" i="2"/>
  <c r="O287" i="2"/>
  <c r="M212" i="2"/>
  <c r="M234" i="2"/>
  <c r="R269" i="2"/>
  <c r="R251" i="2"/>
  <c r="AQ54" i="5"/>
  <c r="AQ56" i="5" s="1"/>
  <c r="AQ50" i="5"/>
  <c r="R32" i="3"/>
  <c r="R28" i="3"/>
  <c r="R89" i="4"/>
  <c r="R64" i="3"/>
  <c r="R92" i="4"/>
  <c r="R91" i="4"/>
  <c r="R26" i="3"/>
  <c r="T77" i="3"/>
  <c r="R77" i="3"/>
  <c r="N85" i="17"/>
  <c r="R72" i="4"/>
  <c r="S360" i="2"/>
  <c r="AG71" i="4"/>
  <c r="AG72" i="4"/>
  <c r="R61" i="3"/>
  <c r="W68" i="3"/>
  <c r="T75" i="3"/>
  <c r="R75" i="3"/>
  <c r="R86" i="4"/>
  <c r="R68" i="3"/>
  <c r="CP381" i="1"/>
  <c r="CA63" i="3"/>
  <c r="CA46" i="3" s="1"/>
  <c r="AH360" i="2"/>
  <c r="L70" i="4"/>
  <c r="L72" i="4" s="1"/>
  <c r="L71" i="4"/>
  <c r="L91" i="4"/>
  <c r="S32" i="5"/>
  <c r="AY59" i="5"/>
  <c r="AY57" i="5"/>
  <c r="Q85" i="17"/>
  <c r="CZ335" i="1"/>
  <c r="AC92" i="4"/>
  <c r="Y92" i="4"/>
  <c r="CD36" i="3"/>
  <c r="CD34" i="3"/>
  <c r="R54" i="5"/>
  <c r="R56" i="5" s="1"/>
  <c r="BH59" i="5"/>
  <c r="BH57" i="5"/>
  <c r="AR140" i="1"/>
  <c r="AR141" i="1" s="1"/>
  <c r="AO140" i="1"/>
  <c r="AO141" i="1" s="1"/>
  <c r="AN140" i="1"/>
  <c r="AN141" i="1" s="1"/>
  <c r="AP140" i="1"/>
  <c r="AP141" i="1" s="1"/>
  <c r="X268" i="2"/>
  <c r="X188" i="2"/>
  <c r="AC251" i="2" s="1"/>
  <c r="N72" i="4"/>
  <c r="N71" i="4"/>
  <c r="O91" i="4"/>
  <c r="O92" i="4"/>
  <c r="N32" i="5"/>
  <c r="AC216" i="2"/>
  <c r="BI50" i="5"/>
  <c r="BI54" i="5"/>
  <c r="BI56" i="5" s="1"/>
  <c r="BI59" i="5" s="1"/>
  <c r="Q59" i="5"/>
  <c r="Q57" i="5"/>
  <c r="CZ379" i="1"/>
  <c r="BA32" i="5"/>
  <c r="AB143" i="2"/>
  <c r="AB147" i="2" s="1"/>
  <c r="AB362" i="2"/>
  <c r="AC346" i="2"/>
  <c r="AC362" i="2" s="1"/>
  <c r="AC360" i="2"/>
  <c r="CU354" i="1"/>
  <c r="M71" i="4"/>
  <c r="M72" i="4"/>
  <c r="CF277" i="1"/>
  <c r="CE280" i="1"/>
  <c r="CF280" i="1" s="1"/>
  <c r="CG277" i="1" s="1"/>
  <c r="CG280" i="1" s="1"/>
  <c r="CH277" i="1" s="1"/>
  <c r="CH280" i="1" s="1"/>
  <c r="CI277" i="1" s="1"/>
  <c r="CI280" i="1" s="1"/>
  <c r="AC85" i="17"/>
  <c r="CZ370" i="1"/>
  <c r="CZ390" i="1"/>
  <c r="N214" i="2"/>
  <c r="N327" i="1" s="1"/>
  <c r="N212" i="2"/>
  <c r="N208" i="2"/>
  <c r="N207" i="2"/>
  <c r="N206" i="2"/>
  <c r="N234" i="2"/>
  <c r="S251" i="2"/>
  <c r="N209" i="2"/>
  <c r="N251" i="2"/>
  <c r="N269" i="2"/>
  <c r="N202" i="2"/>
  <c r="N215" i="2"/>
  <c r="N204" i="2"/>
  <c r="S269" i="2"/>
  <c r="N203" i="2"/>
  <c r="N205" i="2"/>
  <c r="AV54" i="5"/>
  <c r="AV56" i="5" s="1"/>
  <c r="AV59" i="5" s="1"/>
  <c r="AV50" i="5"/>
  <c r="AR80" i="17"/>
  <c r="CP115" i="12"/>
  <c r="BQ147" i="2"/>
  <c r="E323" i="1"/>
  <c r="CA79" i="17"/>
  <c r="X64" i="3"/>
  <c r="X92" i="4"/>
  <c r="X89" i="4"/>
  <c r="X28" i="3"/>
  <c r="X91" i="4"/>
  <c r="X26" i="3"/>
  <c r="X32" i="3"/>
  <c r="X46" i="3"/>
  <c r="X49" i="3"/>
  <c r="I323" i="1"/>
  <c r="CN117" i="2"/>
  <c r="AN57" i="5"/>
  <c r="AN28" i="3"/>
  <c r="AN70" i="3"/>
  <c r="AS70" i="3"/>
  <c r="AN89" i="4"/>
  <c r="AN92" i="4"/>
  <c r="AN77" i="3"/>
  <c r="AR24" i="3"/>
  <c r="AR70" i="3" s="1"/>
  <c r="AN64" i="3"/>
  <c r="AN91" i="4"/>
  <c r="AN26" i="3"/>
  <c r="AN32" i="3"/>
  <c r="AO77" i="3"/>
  <c r="Y43" i="3"/>
  <c r="Y30" i="3"/>
  <c r="AR63" i="3"/>
  <c r="AR46" i="3" s="1"/>
  <c r="BO34" i="3"/>
  <c r="BO36" i="3"/>
  <c r="BH71" i="3"/>
  <c r="BC34" i="3"/>
  <c r="BC36" i="3"/>
  <c r="W34" i="3"/>
  <c r="AN49" i="3"/>
  <c r="AN46" i="3"/>
  <c r="AN86" i="4"/>
  <c r="AN68" i="3"/>
  <c r="AN61" i="3"/>
  <c r="AO75" i="3"/>
  <c r="AS68" i="3"/>
  <c r="AN75" i="3"/>
  <c r="AU30" i="3"/>
  <c r="AU43" i="3"/>
  <c r="W30" i="3"/>
  <c r="W43" i="3"/>
  <c r="BO30" i="3"/>
  <c r="BO43" i="3"/>
  <c r="BC30" i="3"/>
  <c r="BC43" i="3"/>
  <c r="AR55" i="3"/>
  <c r="AR62" i="3"/>
  <c r="AB30" i="3"/>
  <c r="AB43" i="3"/>
  <c r="AJ43" i="3"/>
  <c r="AJ30" i="3"/>
  <c r="AD36" i="3"/>
  <c r="AD43" i="3"/>
  <c r="AD30" i="3"/>
  <c r="AM91" i="4"/>
  <c r="AM64" i="3"/>
  <c r="AM28" i="3"/>
  <c r="AM89" i="4"/>
  <c r="AM26" i="3"/>
  <c r="AM92" i="4"/>
  <c r="AM32" i="3"/>
  <c r="AH46" i="3"/>
  <c r="AH49" i="3"/>
  <c r="AH86" i="4"/>
  <c r="AH61" i="3"/>
  <c r="AH90" i="4"/>
  <c r="AJ71" i="3"/>
  <c r="AK78" i="3"/>
  <c r="AJ34" i="3"/>
  <c r="AD34" i="3"/>
  <c r="BL62" i="3"/>
  <c r="BL55" i="3"/>
  <c r="BK86" i="4" s="1"/>
  <c r="BL69" i="3"/>
  <c r="BL63" i="3"/>
  <c r="BL46" i="3" s="1"/>
  <c r="BU89" i="4"/>
  <c r="BU32" i="3"/>
  <c r="BU77" i="3"/>
  <c r="BU92" i="4"/>
  <c r="BU70" i="3"/>
  <c r="BU64" i="3"/>
  <c r="BU91" i="4"/>
  <c r="BU28" i="3"/>
  <c r="BW77" i="3"/>
  <c r="BU26" i="3"/>
  <c r="BZ70" i="3"/>
  <c r="BV24" i="3"/>
  <c r="AV28" i="3"/>
  <c r="AV32" i="3"/>
  <c r="AV70" i="3"/>
  <c r="AV26" i="3"/>
  <c r="AV64" i="3"/>
  <c r="AV89" i="4"/>
  <c r="AV92" i="4"/>
  <c r="AV77" i="3"/>
  <c r="AV91" i="4"/>
  <c r="BA70" i="3"/>
  <c r="AW24" i="3"/>
  <c r="BD89" i="4"/>
  <c r="BD26" i="3"/>
  <c r="BD32" i="3"/>
  <c r="BD28" i="3"/>
  <c r="BD64" i="3"/>
  <c r="BD92" i="4"/>
  <c r="BD57" i="5"/>
  <c r="BD77" i="3"/>
  <c r="BD70" i="3"/>
  <c r="BD91" i="4"/>
  <c r="BE77" i="3"/>
  <c r="AX32" i="3"/>
  <c r="AX64" i="3"/>
  <c r="AX26" i="3"/>
  <c r="AX28" i="3"/>
  <c r="AX57" i="5"/>
  <c r="AX77" i="3"/>
  <c r="BC70" i="3"/>
  <c r="AX89" i="4"/>
  <c r="AX70" i="3"/>
  <c r="BB24" i="3"/>
  <c r="AX91" i="4"/>
  <c r="AX92" i="4"/>
  <c r="AY77" i="3"/>
  <c r="BD61" i="3"/>
  <c r="BD75" i="3"/>
  <c r="BD68" i="3"/>
  <c r="BE75" i="3"/>
  <c r="BQ55" i="3"/>
  <c r="BP86" i="4" s="1"/>
  <c r="BQ69" i="3"/>
  <c r="BQ62" i="3"/>
  <c r="BB62" i="3"/>
  <c r="H43" i="3"/>
  <c r="H30" i="3"/>
  <c r="BJ75" i="3"/>
  <c r="BI75" i="3"/>
  <c r="BI68" i="3"/>
  <c r="BI61" i="3"/>
  <c r="BN68" i="3"/>
  <c r="AX61" i="3"/>
  <c r="AX68" i="3"/>
  <c r="BC68" i="3"/>
  <c r="AY75" i="3"/>
  <c r="AG36" i="3"/>
  <c r="BG63" i="3"/>
  <c r="BG46" i="3" s="1"/>
  <c r="BB63" i="3"/>
  <c r="BB46" i="3" s="1"/>
  <c r="D34" i="3"/>
  <c r="BI64" i="3"/>
  <c r="BI26" i="3"/>
  <c r="BL26" i="3" s="1"/>
  <c r="BI89" i="4"/>
  <c r="BI70" i="3"/>
  <c r="BI91" i="4"/>
  <c r="BJ77" i="3"/>
  <c r="BI32" i="3"/>
  <c r="BI28" i="3"/>
  <c r="BI77" i="3"/>
  <c r="BL24" i="3"/>
  <c r="BI92" i="4"/>
  <c r="BN70" i="3"/>
  <c r="AG34" i="3"/>
  <c r="AG78" i="3"/>
  <c r="BG62" i="3"/>
  <c r="BG69" i="3"/>
  <c r="BG55" i="3"/>
  <c r="BF86" i="4" s="1"/>
  <c r="BQ63" i="3"/>
  <c r="BQ46" i="3" s="1"/>
  <c r="H34" i="3"/>
  <c r="H71" i="3"/>
  <c r="BV63" i="3"/>
  <c r="BV46" i="3" s="1"/>
  <c r="BP75" i="3"/>
  <c r="BP68" i="3"/>
  <c r="BP61" i="3"/>
  <c r="BR75" i="3"/>
  <c r="I30" i="3"/>
  <c r="I43" i="3"/>
  <c r="I34" i="3"/>
  <c r="I71" i="3"/>
  <c r="BV62" i="3"/>
  <c r="BV69" i="3"/>
  <c r="CA69" i="3"/>
  <c r="BP64" i="3"/>
  <c r="BP28" i="3"/>
  <c r="BP92" i="4"/>
  <c r="BP89" i="4"/>
  <c r="BP77" i="3"/>
  <c r="BP70" i="3"/>
  <c r="BP32" i="3"/>
  <c r="BP26" i="3"/>
  <c r="BR77" i="3"/>
  <c r="BQ24" i="3"/>
  <c r="AW63" i="3"/>
  <c r="AW46" i="3" s="1"/>
  <c r="BW75" i="3"/>
  <c r="BZ68" i="3"/>
  <c r="BU68" i="3"/>
  <c r="BU75" i="3"/>
  <c r="BU61" i="3"/>
  <c r="D43" i="3"/>
  <c r="D30" i="3"/>
  <c r="CN350" i="2"/>
  <c r="CN366" i="2" s="1"/>
  <c r="CP36" i="2"/>
  <c r="CH254" i="2"/>
  <c r="CM254" i="2"/>
  <c r="CH190" i="2"/>
  <c r="CM238" i="2"/>
  <c r="CH272" i="2"/>
  <c r="CH238" i="2"/>
  <c r="CK308" i="2"/>
  <c r="AW80" i="17"/>
  <c r="BQ77" i="17"/>
  <c r="CK117" i="2"/>
  <c r="CK107" i="2"/>
  <c r="CK79" i="17"/>
  <c r="V379" i="2"/>
  <c r="U379" i="2"/>
  <c r="T379" i="2"/>
  <c r="CP17" i="4"/>
  <c r="CI56" i="4"/>
  <c r="CJ69" i="4"/>
  <c r="CJ70" i="4" s="1"/>
  <c r="CN63" i="4"/>
  <c r="CP34" i="4"/>
  <c r="CK60" i="4"/>
  <c r="CJ64" i="4"/>
  <c r="CJ61" i="4"/>
  <c r="BV136" i="12"/>
  <c r="CC136" i="12"/>
  <c r="AP85" i="17"/>
  <c r="AU85" i="17"/>
  <c r="BG84" i="17"/>
  <c r="BG80" i="17"/>
  <c r="CH126" i="12"/>
  <c r="CH132" i="12" s="1"/>
  <c r="CF126" i="12"/>
  <c r="CF127" i="12" s="1"/>
  <c r="CJ190" i="2"/>
  <c r="CJ272" i="2"/>
  <c r="CJ254" i="2"/>
  <c r="CJ238" i="2"/>
  <c r="CI238" i="2"/>
  <c r="CI190" i="2"/>
  <c r="CI272" i="2"/>
  <c r="CI254" i="2"/>
  <c r="CM123" i="12"/>
  <c r="CK168" i="2"/>
  <c r="CC132" i="12"/>
  <c r="BL79" i="17"/>
  <c r="BZ133" i="12"/>
  <c r="BW133" i="12"/>
  <c r="CJ117" i="12"/>
  <c r="CJ135" i="12" s="1"/>
  <c r="CE132" i="12"/>
  <c r="CF117" i="12"/>
  <c r="CE135" i="12"/>
  <c r="CE136" i="12" s="1"/>
  <c r="BY133" i="12"/>
  <c r="CA118" i="12"/>
  <c r="CA132" i="12"/>
  <c r="CA133" i="12" s="1"/>
  <c r="CA135" i="12"/>
  <c r="CA136" i="12" s="1"/>
  <c r="CI123" i="12"/>
  <c r="CI135" i="12" s="1"/>
  <c r="CD132" i="12"/>
  <c r="CD135" i="12"/>
  <c r="CD136" i="12" s="1"/>
  <c r="CG123" i="12"/>
  <c r="CG135" i="12" s="1"/>
  <c r="CF123" i="12"/>
  <c r="CF124" i="12" s="1"/>
  <c r="CB135" i="12"/>
  <c r="CB136" i="12" s="1"/>
  <c r="CB132" i="12"/>
  <c r="BQ79" i="17"/>
  <c r="BB80" i="17"/>
  <c r="BB84" i="17"/>
  <c r="CP32" i="17"/>
  <c r="CN190" i="2"/>
  <c r="CN238" i="2"/>
  <c r="CN254" i="2"/>
  <c r="CN272" i="2"/>
  <c r="CL254" i="2"/>
  <c r="CL272" i="2"/>
  <c r="CL238" i="2"/>
  <c r="CL190" i="2"/>
  <c r="BO70" i="4" l="1"/>
  <c r="BO72" i="4" s="1"/>
  <c r="BS36" i="3"/>
  <c r="BS78" i="3"/>
  <c r="BO71" i="4"/>
  <c r="BP91" i="4"/>
  <c r="DV80" i="12"/>
  <c r="DV31" i="17" s="1"/>
  <c r="DV32" i="17" s="1"/>
  <c r="DV114" i="12"/>
  <c r="DU168" i="2"/>
  <c r="DU350" i="2"/>
  <c r="DU366" i="2" s="1"/>
  <c r="DT64" i="12"/>
  <c r="DX64" i="12"/>
  <c r="DY64" i="12" s="1"/>
  <c r="DW69" i="12"/>
  <c r="DW43" i="17" s="1"/>
  <c r="DW44" i="17" s="1"/>
  <c r="DW114" i="12"/>
  <c r="DU107" i="2"/>
  <c r="DU117" i="2"/>
  <c r="C30" i="3"/>
  <c r="BE54" i="5"/>
  <c r="BE56" i="5" s="1"/>
  <c r="BE57" i="5" s="1"/>
  <c r="DE342" i="1"/>
  <c r="DJ342" i="1" s="1"/>
  <c r="L52" i="5"/>
  <c r="M51" i="5" s="1"/>
  <c r="M52" i="5" s="1"/>
  <c r="BT57" i="5"/>
  <c r="L78" i="3"/>
  <c r="Y36" i="3"/>
  <c r="Y71" i="3"/>
  <c r="Y78" i="3"/>
  <c r="Y34" i="3"/>
  <c r="AR323" i="1"/>
  <c r="DT368" i="1"/>
  <c r="BL147" i="2"/>
  <c r="V43" i="3"/>
  <c r="AM50" i="5"/>
  <c r="C34" i="3"/>
  <c r="DR44" i="4"/>
  <c r="DS44" i="4" s="1"/>
  <c r="DT44" i="4" s="1"/>
  <c r="DR45" i="4"/>
  <c r="DS45" i="4" s="1"/>
  <c r="DT45" i="4" s="1"/>
  <c r="DR12" i="4"/>
  <c r="DS12" i="4" s="1"/>
  <c r="DT12" i="4" s="1"/>
  <c r="DR36" i="4"/>
  <c r="DS36" i="4" s="1"/>
  <c r="DT36" i="4" s="1"/>
  <c r="DR19" i="4"/>
  <c r="DS19" i="4" s="1"/>
  <c r="DT19" i="4" s="1"/>
  <c r="DR40" i="4"/>
  <c r="DS40" i="4" s="1"/>
  <c r="DR41" i="4"/>
  <c r="DS41" i="4" s="1"/>
  <c r="DT41" i="4" s="1"/>
  <c r="DR23" i="4"/>
  <c r="DS23" i="4" s="1"/>
  <c r="DT23" i="4" s="1"/>
  <c r="DN81" i="12"/>
  <c r="DN80" i="12" s="1"/>
  <c r="DN31" i="17" s="1"/>
  <c r="DN32" i="17" s="1"/>
  <c r="DS73" i="12"/>
  <c r="DX73" i="12" s="1"/>
  <c r="DN70" i="12"/>
  <c r="DN69" i="12" s="1"/>
  <c r="DN43" i="17" s="1"/>
  <c r="DN44" i="17" s="1"/>
  <c r="DS62" i="12"/>
  <c r="DX62" i="12" s="1"/>
  <c r="DQ114" i="12"/>
  <c r="DQ80" i="12"/>
  <c r="DQ31" i="17" s="1"/>
  <c r="DQ32" i="17" s="1"/>
  <c r="DR69" i="12"/>
  <c r="DR43" i="17" s="1"/>
  <c r="DR44" i="17" s="1"/>
  <c r="DR114" i="12"/>
  <c r="CK221" i="2"/>
  <c r="AA71" i="3"/>
  <c r="L30" i="3"/>
  <c r="D71" i="3"/>
  <c r="AW69" i="3"/>
  <c r="M34" i="3"/>
  <c r="M78" i="3"/>
  <c r="W78" i="3"/>
  <c r="V78" i="3"/>
  <c r="X147" i="2"/>
  <c r="X323" i="1"/>
  <c r="AW62" i="3"/>
  <c r="S147" i="2"/>
  <c r="AW55" i="3"/>
  <c r="AW61" i="3" s="1"/>
  <c r="AH32" i="3"/>
  <c r="AH71" i="3" s="1"/>
  <c r="M43" i="3"/>
  <c r="AR147" i="2"/>
  <c r="AC71" i="3"/>
  <c r="DO254" i="1"/>
  <c r="DT254" i="1" s="1"/>
  <c r="DY254" i="1" s="1"/>
  <c r="AX86" i="4"/>
  <c r="BF50" i="5"/>
  <c r="CZ353" i="1"/>
  <c r="S323" i="1"/>
  <c r="AV61" i="3"/>
  <c r="AZ86" i="4"/>
  <c r="AW26" i="3"/>
  <c r="AX75" i="3"/>
  <c r="R71" i="3"/>
  <c r="AH70" i="3"/>
  <c r="AV68" i="3"/>
  <c r="AZ30" i="3"/>
  <c r="BA68" i="3"/>
  <c r="AV75" i="3"/>
  <c r="AV86" i="4"/>
  <c r="BB147" i="2"/>
  <c r="BB323" i="1"/>
  <c r="CA50" i="5"/>
  <c r="BB55" i="3"/>
  <c r="BA86" i="4" s="1"/>
  <c r="AF70" i="4"/>
  <c r="AF72" i="4" s="1"/>
  <c r="AF91" i="4"/>
  <c r="AF71" i="4"/>
  <c r="AH323" i="1"/>
  <c r="AC30" i="3"/>
  <c r="DI114" i="12"/>
  <c r="DI350" i="2" s="1"/>
  <c r="DJ70" i="12"/>
  <c r="DJ69" i="12" s="1"/>
  <c r="DJ43" i="17" s="1"/>
  <c r="DJ44" i="17" s="1"/>
  <c r="DJ46" i="17" s="1"/>
  <c r="Z68" i="30"/>
  <c r="CT31" i="17"/>
  <c r="DJ81" i="12"/>
  <c r="DJ80" i="12" s="1"/>
  <c r="DI80" i="12"/>
  <c r="DI31" i="17" s="1"/>
  <c r="DI32" i="17" s="1"/>
  <c r="DI77" i="17" s="1"/>
  <c r="DO62" i="12"/>
  <c r="DM69" i="12"/>
  <c r="DM43" i="17" s="1"/>
  <c r="DM44" i="17" s="1"/>
  <c r="DM114" i="12"/>
  <c r="DO73" i="12"/>
  <c r="DL114" i="12"/>
  <c r="DL80" i="12"/>
  <c r="DL31" i="17" s="1"/>
  <c r="DL32" i="17" s="1"/>
  <c r="DK117" i="2"/>
  <c r="DK350" i="2"/>
  <c r="AZ71" i="3"/>
  <c r="AC34" i="3"/>
  <c r="AH64" i="3"/>
  <c r="N68" i="3"/>
  <c r="AU34" i="3"/>
  <c r="AU78" i="3"/>
  <c r="N90" i="4"/>
  <c r="AH28" i="3"/>
  <c r="AH43" i="3" s="1"/>
  <c r="AH147" i="2"/>
  <c r="AU71" i="3"/>
  <c r="N86" i="4"/>
  <c r="X50" i="5"/>
  <c r="DT338" i="1"/>
  <c r="DT359" i="1"/>
  <c r="DT341" i="1"/>
  <c r="DY368" i="1"/>
  <c r="BF26" i="3"/>
  <c r="BG26" i="3" s="1"/>
  <c r="DZ22" i="4"/>
  <c r="EA22" i="4" s="1"/>
  <c r="AO57" i="5"/>
  <c r="AK70" i="4"/>
  <c r="AK72" i="4" s="1"/>
  <c r="AK71" i="4"/>
  <c r="AK91" i="4"/>
  <c r="CR77" i="17"/>
  <c r="F34" i="3"/>
  <c r="G71" i="3"/>
  <c r="AG43" i="3"/>
  <c r="BK68" i="3"/>
  <c r="AM49" i="3"/>
  <c r="AM36" i="3" s="1"/>
  <c r="AH89" i="4"/>
  <c r="AM70" i="3"/>
  <c r="AH91" i="4"/>
  <c r="AH92" i="4"/>
  <c r="DD57" i="4"/>
  <c r="DC57" i="4" s="1"/>
  <c r="DJ57" i="4"/>
  <c r="DI57" i="4" s="1"/>
  <c r="DI68" i="4" s="1"/>
  <c r="CF80" i="17"/>
  <c r="CF84" i="17"/>
  <c r="CF85" i="17" s="1"/>
  <c r="DG80" i="12"/>
  <c r="DG31" i="17" s="1"/>
  <c r="DG32" i="17" s="1"/>
  <c r="CR63" i="17"/>
  <c r="CK90" i="17"/>
  <c r="CK91" i="17" s="1"/>
  <c r="DE129" i="12"/>
  <c r="DE130" i="12" s="1"/>
  <c r="DG129" i="12"/>
  <c r="BF61" i="3"/>
  <c r="BF68" i="3"/>
  <c r="BI86" i="4"/>
  <c r="BH75" i="3"/>
  <c r="BJ86" i="4"/>
  <c r="BF75" i="3"/>
  <c r="N70" i="3"/>
  <c r="N64" i="3"/>
  <c r="N91" i="4"/>
  <c r="N32" i="3"/>
  <c r="N26" i="3"/>
  <c r="N89" i="4"/>
  <c r="N28" i="3"/>
  <c r="DE384" i="1"/>
  <c r="CZ385" i="1"/>
  <c r="AZ34" i="3"/>
  <c r="AZ36" i="3"/>
  <c r="AZ78" i="3"/>
  <c r="BF28" i="3"/>
  <c r="BF30" i="3" s="1"/>
  <c r="AM68" i="3"/>
  <c r="AM90" i="4"/>
  <c r="AM86" i="4"/>
  <c r="AR68" i="3"/>
  <c r="BF64" i="3"/>
  <c r="BH77" i="3"/>
  <c r="BK70" i="3"/>
  <c r="BF32" i="3"/>
  <c r="BF78" i="3" s="1"/>
  <c r="BG24" i="3"/>
  <c r="BG89" i="4" s="1"/>
  <c r="BF89" i="4"/>
  <c r="BF92" i="4"/>
  <c r="BF77" i="3"/>
  <c r="BF70" i="3"/>
  <c r="AB78" i="3"/>
  <c r="CW115" i="12"/>
  <c r="CX7" i="17"/>
  <c r="CX8" i="17" s="1"/>
  <c r="CX63" i="17" s="1"/>
  <c r="DE343" i="1"/>
  <c r="X90" i="4"/>
  <c r="DO365" i="1"/>
  <c r="X68" i="3"/>
  <c r="AR58" i="5"/>
  <c r="BB26" i="3"/>
  <c r="AC68" i="3"/>
  <c r="DB80" i="12"/>
  <c r="DB31" i="17" s="1"/>
  <c r="DB32" i="17" s="1"/>
  <c r="DE81" i="12"/>
  <c r="DE80" i="12" s="1"/>
  <c r="CY114" i="12"/>
  <c r="CX114" i="12"/>
  <c r="CZ35" i="12"/>
  <c r="CZ34" i="12" s="1"/>
  <c r="CZ7" i="17" s="1"/>
  <c r="CZ8" i="17" s="1"/>
  <c r="CZ77" i="17" s="1"/>
  <c r="CZ17" i="12"/>
  <c r="DA17" i="12" s="1"/>
  <c r="X61" i="3"/>
  <c r="AC90" i="4"/>
  <c r="BV315" i="1"/>
  <c r="CV350" i="2"/>
  <c r="S92" i="4"/>
  <c r="AB34" i="3"/>
  <c r="AG71" i="3"/>
  <c r="AB71" i="3"/>
  <c r="AD78" i="3"/>
  <c r="CU15" i="12"/>
  <c r="CR117" i="2"/>
  <c r="CR350" i="2"/>
  <c r="BV84" i="17"/>
  <c r="BV85" i="17" s="1"/>
  <c r="CY77" i="17"/>
  <c r="CY63" i="17"/>
  <c r="CW350" i="2"/>
  <c r="CT114" i="12"/>
  <c r="CT34" i="12"/>
  <c r="CT7" i="17" s="1"/>
  <c r="CT8" i="17" s="1"/>
  <c r="CS114" i="12"/>
  <c r="CU35" i="12"/>
  <c r="CS34" i="12"/>
  <c r="CW117" i="2"/>
  <c r="S91" i="4"/>
  <c r="AR26" i="3"/>
  <c r="AW50" i="5"/>
  <c r="S64" i="3"/>
  <c r="S89" i="4"/>
  <c r="S32" i="3"/>
  <c r="X71" i="3" s="1"/>
  <c r="S26" i="3"/>
  <c r="S70" i="3"/>
  <c r="S28" i="3"/>
  <c r="CO366" i="2"/>
  <c r="DJ360" i="1"/>
  <c r="AA70" i="4"/>
  <c r="AA72" i="4" s="1"/>
  <c r="AA71" i="4"/>
  <c r="AA91" i="4"/>
  <c r="DO356" i="1"/>
  <c r="DO351" i="1"/>
  <c r="DJ391" i="1"/>
  <c r="DJ380" i="1"/>
  <c r="DO378" i="1"/>
  <c r="DO369" i="1"/>
  <c r="AE71" i="3"/>
  <c r="AA78" i="3"/>
  <c r="Z34" i="3"/>
  <c r="Z36" i="3"/>
  <c r="Z71" i="3"/>
  <c r="DO373" i="1"/>
  <c r="DO348" i="1"/>
  <c r="Z30" i="3"/>
  <c r="Z43" i="3"/>
  <c r="DO362" i="1"/>
  <c r="DO355" i="1"/>
  <c r="DJ336" i="1"/>
  <c r="DO375" i="1"/>
  <c r="DO337" i="1"/>
  <c r="DO364" i="1"/>
  <c r="Z78" i="3"/>
  <c r="CP314" i="1"/>
  <c r="CP312" i="1" s="1"/>
  <c r="CL191" i="2"/>
  <c r="BV80" i="17"/>
  <c r="DJ257" i="1"/>
  <c r="DJ256" i="1"/>
  <c r="DO255" i="1"/>
  <c r="CP117" i="2"/>
  <c r="CP334" i="2"/>
  <c r="CP350" i="2" s="1"/>
  <c r="CP366" i="2" s="1"/>
  <c r="BL81" i="17"/>
  <c r="BL90" i="17"/>
  <c r="BL91" i="17" s="1"/>
  <c r="CF81" i="17"/>
  <c r="CA90" i="17"/>
  <c r="CA91" i="17" s="1"/>
  <c r="BQ81" i="17"/>
  <c r="BQ90" i="17"/>
  <c r="BQ91" i="17" s="1"/>
  <c r="CQ32" i="17"/>
  <c r="CQ63" i="17" s="1"/>
  <c r="CK81" i="17"/>
  <c r="CA84" i="17"/>
  <c r="CA85" i="17" s="1"/>
  <c r="CA81" i="17"/>
  <c r="BV81" i="17"/>
  <c r="DO313" i="1"/>
  <c r="CJ191" i="2"/>
  <c r="CO190" i="2"/>
  <c r="BB50" i="5"/>
  <c r="AG57" i="5"/>
  <c r="S90" i="4"/>
  <c r="CU31" i="17"/>
  <c r="CU32" i="17" s="1"/>
  <c r="CI191" i="2"/>
  <c r="CU10" i="4"/>
  <c r="CN191" i="2"/>
  <c r="X59" i="5"/>
  <c r="X58" i="5"/>
  <c r="AM59" i="5"/>
  <c r="AM58" i="5"/>
  <c r="AW59" i="5"/>
  <c r="AW58" i="5"/>
  <c r="AH59" i="5"/>
  <c r="AH58" i="5"/>
  <c r="BV59" i="5"/>
  <c r="BV58" i="5"/>
  <c r="BB59" i="5"/>
  <c r="BB58" i="5"/>
  <c r="CU29" i="4"/>
  <c r="AR50" i="5"/>
  <c r="CQ117" i="2"/>
  <c r="CQ350" i="2"/>
  <c r="CQ366" i="2" s="1"/>
  <c r="CR238" i="2"/>
  <c r="CR254" i="2"/>
  <c r="CR190" i="2"/>
  <c r="CR123" i="12"/>
  <c r="CH135" i="12"/>
  <c r="CH136" i="12" s="1"/>
  <c r="CF135" i="12"/>
  <c r="CF136" i="12" s="1"/>
  <c r="CJ277" i="1"/>
  <c r="CP8" i="17"/>
  <c r="CH191" i="2"/>
  <c r="BV50" i="5"/>
  <c r="CK84" i="17"/>
  <c r="P26" i="30"/>
  <c r="P27" i="30" s="1"/>
  <c r="AC61" i="3"/>
  <c r="AC86" i="4"/>
  <c r="AH68" i="3"/>
  <c r="S61" i="3"/>
  <c r="S86" i="4"/>
  <c r="S68" i="3"/>
  <c r="N26" i="30"/>
  <c r="N36" i="30" s="1"/>
  <c r="N33" i="30"/>
  <c r="N34" i="30"/>
  <c r="AB43" i="1"/>
  <c r="AB37" i="1"/>
  <c r="BP32" i="5"/>
  <c r="BO50" i="5"/>
  <c r="BO54" i="5"/>
  <c r="BO56" i="5" s="1"/>
  <c r="BN59" i="5"/>
  <c r="BN57" i="5"/>
  <c r="BQ32" i="5"/>
  <c r="DE347" i="1"/>
  <c r="AI71" i="3"/>
  <c r="CZ346" i="1"/>
  <c r="BR379" i="2"/>
  <c r="BT379" i="2"/>
  <c r="BS379" i="2"/>
  <c r="BU379" i="2"/>
  <c r="AM57" i="5"/>
  <c r="AH57" i="5"/>
  <c r="AF379" i="2"/>
  <c r="AI43" i="3"/>
  <c r="AI30" i="3"/>
  <c r="CZ386" i="1"/>
  <c r="CU387" i="1"/>
  <c r="AI34" i="3"/>
  <c r="AI36" i="3"/>
  <c r="W71" i="3"/>
  <c r="BQ26" i="3"/>
  <c r="BI57" i="5"/>
  <c r="BV26" i="3"/>
  <c r="AI78" i="3"/>
  <c r="Q34" i="30"/>
  <c r="Q33" i="30"/>
  <c r="Q26" i="30"/>
  <c r="Q27" i="30" s="1"/>
  <c r="AW312" i="1"/>
  <c r="T34" i="3"/>
  <c r="U78" i="3"/>
  <c r="T71" i="3"/>
  <c r="AA59" i="5"/>
  <c r="AA57" i="5"/>
  <c r="AB54" i="5"/>
  <c r="AB56" i="5" s="1"/>
  <c r="AB50" i="5"/>
  <c r="BJ70" i="4"/>
  <c r="BJ72" i="4" s="1"/>
  <c r="BK91" i="4"/>
  <c r="BJ91" i="4"/>
  <c r="BJ71" i="4"/>
  <c r="AL50" i="5"/>
  <c r="AL54" i="5"/>
  <c r="AL56" i="5" s="1"/>
  <c r="T30" i="3"/>
  <c r="T43" i="3"/>
  <c r="BA34" i="3"/>
  <c r="BA36" i="3"/>
  <c r="BA78" i="3"/>
  <c r="F71" i="3"/>
  <c r="E34" i="3"/>
  <c r="AC50" i="5"/>
  <c r="BA30" i="3"/>
  <c r="BA43" i="3"/>
  <c r="CZ344" i="1"/>
  <c r="DE357" i="1"/>
  <c r="CZ350" i="1"/>
  <c r="E30" i="3"/>
  <c r="E43" i="3"/>
  <c r="CF61" i="3"/>
  <c r="CF86" i="4"/>
  <c r="CF90" i="4"/>
  <c r="X216" i="2"/>
  <c r="AT71" i="3"/>
  <c r="AO36" i="3"/>
  <c r="AO34" i="3"/>
  <c r="AP36" i="3"/>
  <c r="AP71" i="3"/>
  <c r="AP34" i="3"/>
  <c r="AP78" i="3"/>
  <c r="AQ78" i="3"/>
  <c r="AP30" i="3"/>
  <c r="AP43" i="3"/>
  <c r="P78" i="3"/>
  <c r="P34" i="3"/>
  <c r="U71" i="3"/>
  <c r="P71" i="3"/>
  <c r="Q43" i="3"/>
  <c r="Q30" i="3"/>
  <c r="O36" i="30"/>
  <c r="BU50" i="5"/>
  <c r="BU54" i="5"/>
  <c r="BU56" i="5" s="1"/>
  <c r="AS277" i="1"/>
  <c r="AS280" i="1" s="1"/>
  <c r="AT277" i="1" s="1"/>
  <c r="AT280" i="1" s="1"/>
  <c r="AU277" i="1" s="1"/>
  <c r="AU280" i="1" s="1"/>
  <c r="AV277" i="1" s="1"/>
  <c r="AV280" i="1" s="1"/>
  <c r="AW277" i="1"/>
  <c r="AW280" i="1" s="1"/>
  <c r="M218" i="2"/>
  <c r="DE372" i="1"/>
  <c r="AM147" i="2"/>
  <c r="AO43" i="3"/>
  <c r="AO30" i="3"/>
  <c r="P43" i="3"/>
  <c r="P30" i="3"/>
  <c r="Q71" i="3"/>
  <c r="V71" i="3"/>
  <c r="Q78" i="3"/>
  <c r="Q34" i="3"/>
  <c r="DE358" i="1"/>
  <c r="AO71" i="3"/>
  <c r="BZ28" i="3"/>
  <c r="BZ29" i="3"/>
  <c r="CZ352" i="1"/>
  <c r="AL43" i="3"/>
  <c r="AL30" i="3"/>
  <c r="AQ71" i="3"/>
  <c r="AL36" i="3"/>
  <c r="AL78" i="3"/>
  <c r="AL34" i="3"/>
  <c r="CA39" i="3"/>
  <c r="X57" i="5"/>
  <c r="AW218" i="2"/>
  <c r="BY43" i="3"/>
  <c r="BY30" i="3"/>
  <c r="DE340" i="1"/>
  <c r="BT36" i="3"/>
  <c r="BT34" i="3"/>
  <c r="BY71" i="3"/>
  <c r="BT78" i="3"/>
  <c r="M43" i="1"/>
  <c r="M37" i="1"/>
  <c r="AM218" i="2"/>
  <c r="CA80" i="17"/>
  <c r="CC70" i="4"/>
  <c r="CC72" i="4" s="1"/>
  <c r="CC71" i="4"/>
  <c r="CC91" i="4"/>
  <c r="W218" i="2"/>
  <c r="CU381" i="1"/>
  <c r="DE333" i="1"/>
  <c r="AL71" i="3"/>
  <c r="CZ377" i="1"/>
  <c r="CF39" i="5"/>
  <c r="CF50" i="5" s="1"/>
  <c r="CZ334" i="1"/>
  <c r="BT30" i="3"/>
  <c r="BT43" i="3"/>
  <c r="S39" i="5"/>
  <c r="S50" i="5" s="1"/>
  <c r="DE374" i="1"/>
  <c r="AA378" i="2"/>
  <c r="Y378" i="2"/>
  <c r="Z378" i="2"/>
  <c r="W378" i="2"/>
  <c r="X378" i="2" s="1"/>
  <c r="AM346" i="2"/>
  <c r="AM362" i="2" s="1"/>
  <c r="AI362" i="2"/>
  <c r="BN30" i="3"/>
  <c r="BN43" i="3"/>
  <c r="CZ345" i="1"/>
  <c r="AP379" i="2"/>
  <c r="AQ379" i="2"/>
  <c r="AR379" i="2" s="1"/>
  <c r="AS379" i="2"/>
  <c r="AT379" i="2"/>
  <c r="AH311" i="2"/>
  <c r="AI347" i="2"/>
  <c r="AG363" i="2"/>
  <c r="AG379" i="2" s="1"/>
  <c r="AH379" i="2" s="1"/>
  <c r="AH347" i="2"/>
  <c r="AH363" i="2" s="1"/>
  <c r="N323" i="1"/>
  <c r="W363" i="2"/>
  <c r="X347" i="2"/>
  <c r="X363" i="2" s="1"/>
  <c r="BU263" i="1"/>
  <c r="AY379" i="2"/>
  <c r="AX379" i="2"/>
  <c r="AU379" i="2"/>
  <c r="AL376" i="2"/>
  <c r="AM376" i="2" s="1"/>
  <c r="AI376" i="2"/>
  <c r="AK376" i="2"/>
  <c r="AJ376" i="2"/>
  <c r="BN78" i="3"/>
  <c r="BO78" i="3"/>
  <c r="BS71" i="3"/>
  <c r="BN34" i="3"/>
  <c r="BN36" i="3"/>
  <c r="AG43" i="1"/>
  <c r="AG37" i="1"/>
  <c r="CZ339" i="1"/>
  <c r="AV57" i="5"/>
  <c r="AM323" i="1"/>
  <c r="BH379" i="2"/>
  <c r="BI379" i="2"/>
  <c r="BJ379" i="2"/>
  <c r="BK379" i="2"/>
  <c r="AM360" i="2"/>
  <c r="N147" i="2"/>
  <c r="BA54" i="5"/>
  <c r="BA56" i="5" s="1"/>
  <c r="BA50" i="5"/>
  <c r="N50" i="5"/>
  <c r="N52" i="5" s="1"/>
  <c r="N54" i="5"/>
  <c r="N56" i="5" s="1"/>
  <c r="N58" i="5" s="1"/>
  <c r="DE335" i="1"/>
  <c r="AW147" i="2"/>
  <c r="AQ59" i="5"/>
  <c r="AQ57" i="5"/>
  <c r="CA91" i="4"/>
  <c r="CA92" i="4"/>
  <c r="CA64" i="3"/>
  <c r="CA89" i="4"/>
  <c r="CA32" i="3"/>
  <c r="CZ349" i="1"/>
  <c r="AB379" i="2"/>
  <c r="AC379" i="2" s="1"/>
  <c r="AD379" i="2"/>
  <c r="CE34" i="3"/>
  <c r="CE71" i="3"/>
  <c r="CE78" i="3"/>
  <c r="CE36" i="3"/>
  <c r="CF26" i="3"/>
  <c r="DE376" i="1"/>
  <c r="BX30" i="3"/>
  <c r="BX43" i="3"/>
  <c r="AW323" i="1"/>
  <c r="BK50" i="5"/>
  <c r="BK54" i="5"/>
  <c r="BK56" i="5" s="1"/>
  <c r="CF70" i="3"/>
  <c r="CF91" i="4"/>
  <c r="CF89" i="4"/>
  <c r="CF92" i="4"/>
  <c r="CF64" i="3"/>
  <c r="CF32" i="3"/>
  <c r="O363" i="2"/>
  <c r="S347" i="2"/>
  <c r="S363" i="2" s="1"/>
  <c r="BG54" i="5"/>
  <c r="BG56" i="5" s="1"/>
  <c r="BG50" i="5"/>
  <c r="CZ354" i="1"/>
  <c r="AB378" i="2"/>
  <c r="AC378" i="2" s="1"/>
  <c r="AD378" i="2"/>
  <c r="AE378" i="2"/>
  <c r="AF378" i="2"/>
  <c r="X212" i="2"/>
  <c r="X215" i="2"/>
  <c r="X214" i="2"/>
  <c r="X327" i="1" s="1"/>
  <c r="X202" i="2"/>
  <c r="X205" i="2"/>
  <c r="X234" i="2"/>
  <c r="X251" i="2"/>
  <c r="X203" i="2"/>
  <c r="X204" i="2"/>
  <c r="X269" i="2"/>
  <c r="AS140" i="1"/>
  <c r="AS141" i="1" s="1"/>
  <c r="AW140" i="1"/>
  <c r="AW141" i="1" s="1"/>
  <c r="AV140" i="1"/>
  <c r="AV141" i="1" s="1"/>
  <c r="AT140" i="1"/>
  <c r="AT141" i="1" s="1"/>
  <c r="AU140" i="1"/>
  <c r="AU141" i="1" s="1"/>
  <c r="R59" i="5"/>
  <c r="R57" i="5"/>
  <c r="S54" i="5"/>
  <c r="S56" i="5" s="1"/>
  <c r="S58" i="5" s="1"/>
  <c r="AC59" i="5"/>
  <c r="AC57" i="5"/>
  <c r="R30" i="3"/>
  <c r="R43" i="3"/>
  <c r="AC143" i="2"/>
  <c r="AC324" i="1" s="1"/>
  <c r="Q378" i="2"/>
  <c r="R378" i="2"/>
  <c r="S378" i="2" s="1"/>
  <c r="P378" i="2"/>
  <c r="O378" i="2"/>
  <c r="CZ371" i="1"/>
  <c r="CB78" i="3"/>
  <c r="CB34" i="3"/>
  <c r="CB71" i="3"/>
  <c r="CB36" i="3"/>
  <c r="CC78" i="3"/>
  <c r="CA90" i="4"/>
  <c r="CA61" i="3"/>
  <c r="CA86" i="4"/>
  <c r="BJ50" i="5"/>
  <c r="BJ54" i="5"/>
  <c r="BJ56" i="5" s="1"/>
  <c r="DE367" i="1"/>
  <c r="CF68" i="3"/>
  <c r="DE390" i="1"/>
  <c r="DE379" i="1"/>
  <c r="BL32" i="5"/>
  <c r="AZ59" i="5"/>
  <c r="AZ57" i="5"/>
  <c r="CA59" i="5"/>
  <c r="CA57" i="5"/>
  <c r="N218" i="2"/>
  <c r="DE370" i="1"/>
  <c r="AC218" i="2"/>
  <c r="BE59" i="5"/>
  <c r="BF57" i="5"/>
  <c r="BF59" i="5"/>
  <c r="R34" i="3"/>
  <c r="T78" i="3"/>
  <c r="R78" i="3"/>
  <c r="DE363" i="1"/>
  <c r="CZ361" i="1"/>
  <c r="AC269" i="2"/>
  <c r="S85" i="17"/>
  <c r="BX34" i="3"/>
  <c r="BX71" i="3"/>
  <c r="BX78" i="3"/>
  <c r="CC71" i="3"/>
  <c r="BX36" i="3"/>
  <c r="BY78" i="3"/>
  <c r="CZ366" i="1"/>
  <c r="CF59" i="5"/>
  <c r="CF57" i="5"/>
  <c r="CO254" i="2"/>
  <c r="CO238" i="2"/>
  <c r="CP168" i="2"/>
  <c r="CO272" i="2"/>
  <c r="X30" i="3"/>
  <c r="X43" i="3"/>
  <c r="X36" i="3"/>
  <c r="X34" i="3"/>
  <c r="AN36" i="3"/>
  <c r="AN71" i="3"/>
  <c r="AO78" i="3"/>
  <c r="AS71" i="3"/>
  <c r="AN34" i="3"/>
  <c r="AN78" i="3"/>
  <c r="AR91" i="4"/>
  <c r="AR28" i="3"/>
  <c r="AR32" i="3"/>
  <c r="AR92" i="4"/>
  <c r="AR89" i="4"/>
  <c r="AR64" i="3"/>
  <c r="AR57" i="5"/>
  <c r="AR86" i="4"/>
  <c r="AR61" i="3"/>
  <c r="AR90" i="4"/>
  <c r="AN30" i="3"/>
  <c r="AN43" i="3"/>
  <c r="AM34" i="3"/>
  <c r="AM30" i="3"/>
  <c r="AM43" i="3"/>
  <c r="BU30" i="3"/>
  <c r="BU43" i="3"/>
  <c r="BQ32" i="3"/>
  <c r="BQ70" i="3"/>
  <c r="BQ28" i="3"/>
  <c r="BQ64" i="3"/>
  <c r="BQ89" i="4"/>
  <c r="BQ91" i="4"/>
  <c r="BQ92" i="4"/>
  <c r="BI30" i="3"/>
  <c r="BI43" i="3"/>
  <c r="AX34" i="3"/>
  <c r="AX78" i="3"/>
  <c r="AX71" i="3"/>
  <c r="BC71" i="3"/>
  <c r="AX36" i="3"/>
  <c r="AY78" i="3"/>
  <c r="AV43" i="3"/>
  <c r="AV30" i="3"/>
  <c r="BB32" i="3"/>
  <c r="BB70" i="3"/>
  <c r="BB91" i="4"/>
  <c r="BB57" i="5"/>
  <c r="BB64" i="3"/>
  <c r="BB89" i="4"/>
  <c r="BB28" i="3"/>
  <c r="BB92" i="4"/>
  <c r="AV36" i="3"/>
  <c r="AV34" i="3"/>
  <c r="AV71" i="3"/>
  <c r="AV78" i="3"/>
  <c r="BA71" i="3"/>
  <c r="BL61" i="3"/>
  <c r="BL86" i="4"/>
  <c r="BL90" i="4"/>
  <c r="BL68" i="3"/>
  <c r="BP78" i="3"/>
  <c r="BP34" i="3"/>
  <c r="BP71" i="3"/>
  <c r="BP36" i="3"/>
  <c r="BR78" i="3"/>
  <c r="BG61" i="3"/>
  <c r="BG90" i="4"/>
  <c r="BG86" i="4"/>
  <c r="BI71" i="3"/>
  <c r="BI78" i="3"/>
  <c r="BI34" i="3"/>
  <c r="BJ78" i="3"/>
  <c r="BI36" i="3"/>
  <c r="BN71" i="3"/>
  <c r="BQ61" i="3"/>
  <c r="BQ86" i="4"/>
  <c r="BQ90" i="4"/>
  <c r="BQ68" i="3"/>
  <c r="AX30" i="3"/>
  <c r="AX43" i="3"/>
  <c r="BD30" i="3"/>
  <c r="BD43" i="3"/>
  <c r="AW70" i="3"/>
  <c r="AW32" i="3"/>
  <c r="AW64" i="3"/>
  <c r="AW28" i="3"/>
  <c r="AW57" i="5"/>
  <c r="AW92" i="4"/>
  <c r="AW89" i="4"/>
  <c r="AW91" i="4"/>
  <c r="BV70" i="3"/>
  <c r="BV28" i="3"/>
  <c r="BV92" i="4"/>
  <c r="BV32" i="3"/>
  <c r="BV64" i="3"/>
  <c r="BV89" i="4"/>
  <c r="BV91" i="4"/>
  <c r="BV57" i="5"/>
  <c r="CA70" i="3"/>
  <c r="BP30" i="3"/>
  <c r="BP43" i="3"/>
  <c r="BV61" i="3"/>
  <c r="BV90" i="4"/>
  <c r="BV68" i="3"/>
  <c r="BV86" i="4"/>
  <c r="CA68" i="3"/>
  <c r="BL91" i="4"/>
  <c r="BL32" i="3"/>
  <c r="BL64" i="3"/>
  <c r="BL92" i="4"/>
  <c r="BL89" i="4"/>
  <c r="BL28" i="3"/>
  <c r="BD36" i="3"/>
  <c r="BD34" i="3"/>
  <c r="BD71" i="3"/>
  <c r="BD78" i="3"/>
  <c r="BE78" i="3"/>
  <c r="BU34" i="3"/>
  <c r="BW78" i="3"/>
  <c r="BU78" i="3"/>
  <c r="BU71" i="3"/>
  <c r="BZ71" i="3"/>
  <c r="BU36" i="3"/>
  <c r="CP308" i="2"/>
  <c r="CP107" i="2"/>
  <c r="CK80" i="17"/>
  <c r="CH56" i="4"/>
  <c r="CI69" i="4"/>
  <c r="CI70" i="4" s="1"/>
  <c r="CP26" i="5"/>
  <c r="CP37" i="4"/>
  <c r="CO63" i="4"/>
  <c r="CP38" i="4"/>
  <c r="CP30" i="5"/>
  <c r="CK70" i="4"/>
  <c r="CK61" i="4"/>
  <c r="CK263" i="1"/>
  <c r="CK64" i="4"/>
  <c r="CL60" i="4"/>
  <c r="CK190" i="2"/>
  <c r="CK191" i="2" s="1"/>
  <c r="CK254" i="2"/>
  <c r="CK238" i="2"/>
  <c r="CH133" i="12"/>
  <c r="BL80" i="17"/>
  <c r="BL84" i="17"/>
  <c r="CC133" i="12"/>
  <c r="BG85" i="17"/>
  <c r="CM126" i="12"/>
  <c r="CM135" i="12" s="1"/>
  <c r="CK126" i="12"/>
  <c r="CK127" i="12" s="1"/>
  <c r="BQ84" i="17"/>
  <c r="BQ80" i="17"/>
  <c r="CD133" i="12"/>
  <c r="CF118" i="12"/>
  <c r="CF132" i="12"/>
  <c r="CF133" i="12" s="1"/>
  <c r="CL123" i="12"/>
  <c r="CK123" i="12"/>
  <c r="CK124" i="12" s="1"/>
  <c r="CG132" i="12"/>
  <c r="CG136" i="12"/>
  <c r="CN123" i="12"/>
  <c r="CI136" i="12"/>
  <c r="CI132" i="12"/>
  <c r="CE133" i="12"/>
  <c r="CB133" i="12"/>
  <c r="CO117" i="12"/>
  <c r="CJ136" i="12"/>
  <c r="CJ132" i="12"/>
  <c r="CK117" i="12"/>
  <c r="CP34" i="17"/>
  <c r="BB85" i="17"/>
  <c r="DZ254" i="1" l="1"/>
  <c r="DU36" i="4"/>
  <c r="DV36" i="4" s="1"/>
  <c r="DW36" i="4" s="1"/>
  <c r="DX36" i="4" s="1"/>
  <c r="DY36" i="4" s="1"/>
  <c r="DZ36" i="4" s="1"/>
  <c r="EA36" i="4" s="1"/>
  <c r="EB36" i="4" s="1"/>
  <c r="DU19" i="4"/>
  <c r="DV19" i="4" s="1"/>
  <c r="DW19" i="4" s="1"/>
  <c r="DX19" i="4" s="1"/>
  <c r="DY19" i="4" s="1"/>
  <c r="DZ19" i="4" s="1"/>
  <c r="EA19" i="4" s="1"/>
  <c r="EB19" i="4" s="1"/>
  <c r="DU12" i="4"/>
  <c r="DV12" i="4" s="1"/>
  <c r="DW12" i="4" s="1"/>
  <c r="DX12" i="4" s="1"/>
  <c r="DY12" i="4" s="1"/>
  <c r="DZ12" i="4" s="1"/>
  <c r="EA12" i="4" s="1"/>
  <c r="EB12" i="4" s="1"/>
  <c r="DU23" i="4"/>
  <c r="DV23" i="4" s="1"/>
  <c r="DW23" i="4" s="1"/>
  <c r="DX23" i="4" s="1"/>
  <c r="DY23" i="4" s="1"/>
  <c r="DZ23" i="4" s="1"/>
  <c r="EA23" i="4" s="1"/>
  <c r="EB23" i="4" s="1"/>
  <c r="DU45" i="4"/>
  <c r="DV45" i="4" s="1"/>
  <c r="DW45" i="4" s="1"/>
  <c r="DX45" i="4" s="1"/>
  <c r="DY45" i="4" s="1"/>
  <c r="DZ45" i="4" s="1"/>
  <c r="EA45" i="4" s="1"/>
  <c r="EB45" i="4" s="1"/>
  <c r="EB22" i="4"/>
  <c r="DU41" i="4"/>
  <c r="DV41" i="4" s="1"/>
  <c r="DW41" i="4" s="1"/>
  <c r="DX41" i="4" s="1"/>
  <c r="DY41" i="4" s="1"/>
  <c r="DZ41" i="4" s="1"/>
  <c r="EA41" i="4" s="1"/>
  <c r="EB41" i="4" s="1"/>
  <c r="DU44" i="4"/>
  <c r="DV44" i="4" s="1"/>
  <c r="DW44" i="4" s="1"/>
  <c r="DX44" i="4" s="1"/>
  <c r="DY44" i="4" s="1"/>
  <c r="DZ44" i="4" s="1"/>
  <c r="EA44" i="4" s="1"/>
  <c r="EB44" i="4" s="1"/>
  <c r="DX81" i="12"/>
  <c r="DY73" i="12"/>
  <c r="DU190" i="2"/>
  <c r="DU191" i="2" s="1"/>
  <c r="DV36" i="2"/>
  <c r="DV63" i="17"/>
  <c r="DV77" i="17"/>
  <c r="DW36" i="2"/>
  <c r="DX70" i="12"/>
  <c r="DY62" i="12"/>
  <c r="DW63" i="17"/>
  <c r="DW77" i="17"/>
  <c r="DV115" i="12"/>
  <c r="DR36" i="2"/>
  <c r="DR350" i="2" s="1"/>
  <c r="DR366" i="2" s="1"/>
  <c r="DW115" i="12"/>
  <c r="EA254" i="1"/>
  <c r="AM71" i="3"/>
  <c r="DO81" i="12"/>
  <c r="DO80" i="12" s="1"/>
  <c r="DO31" i="17" s="1"/>
  <c r="AH36" i="3"/>
  <c r="AH34" i="3"/>
  <c r="DO70" i="12"/>
  <c r="DO69" i="12" s="1"/>
  <c r="DO43" i="17" s="1"/>
  <c r="DO44" i="17" s="1"/>
  <c r="DO46" i="17" s="1"/>
  <c r="DN114" i="12"/>
  <c r="DN115" i="12" s="1"/>
  <c r="AW90" i="4"/>
  <c r="AW86" i="4"/>
  <c r="AW68" i="3"/>
  <c r="DT40" i="4"/>
  <c r="DQ77" i="17"/>
  <c r="DQ63" i="17"/>
  <c r="DQ115" i="12"/>
  <c r="DR115" i="12"/>
  <c r="DS70" i="12"/>
  <c r="DT62" i="12"/>
  <c r="DR63" i="17"/>
  <c r="DR77" i="17"/>
  <c r="DS81" i="12"/>
  <c r="DT73" i="12"/>
  <c r="DZ368" i="1"/>
  <c r="DE353" i="1"/>
  <c r="BB90" i="4"/>
  <c r="BB61" i="3"/>
  <c r="DI71" i="4"/>
  <c r="DI72" i="4"/>
  <c r="BB86" i="4"/>
  <c r="AH30" i="3"/>
  <c r="BB68" i="3"/>
  <c r="BG68" i="3"/>
  <c r="DI63" i="17"/>
  <c r="AA68" i="30"/>
  <c r="AB68" i="30" s="1"/>
  <c r="AC68" i="30" s="1"/>
  <c r="AD68" i="30" s="1"/>
  <c r="AE68" i="30" s="1"/>
  <c r="AF68" i="30" s="1"/>
  <c r="AG68" i="30" s="1"/>
  <c r="AH68" i="30" s="1"/>
  <c r="DL63" i="17"/>
  <c r="DL77" i="17"/>
  <c r="DM77" i="17"/>
  <c r="DM63" i="17"/>
  <c r="DL350" i="2"/>
  <c r="DL272" i="2"/>
  <c r="DN63" i="17"/>
  <c r="DN77" i="17"/>
  <c r="DK238" i="2"/>
  <c r="DK254" i="2"/>
  <c r="DK190" i="2"/>
  <c r="DK191" i="2" s="1"/>
  <c r="DJ129" i="12"/>
  <c r="DJ130" i="12" s="1"/>
  <c r="DL129" i="12"/>
  <c r="DQ129" i="12" s="1"/>
  <c r="DH57" i="4"/>
  <c r="DH68" i="4" s="1"/>
  <c r="DO57" i="4"/>
  <c r="DT57" i="4" s="1"/>
  <c r="DY57" i="4" s="1"/>
  <c r="DX57" i="4" s="1"/>
  <c r="DW57" i="4" s="1"/>
  <c r="DV57" i="4" s="1"/>
  <c r="DU57" i="4" s="1"/>
  <c r="DH190" i="2"/>
  <c r="DH191" i="2" s="1"/>
  <c r="DG350" i="2"/>
  <c r="DL117" i="2"/>
  <c r="BF43" i="3"/>
  <c r="DT255" i="1"/>
  <c r="DT362" i="1"/>
  <c r="DT351" i="1"/>
  <c r="DY359" i="1"/>
  <c r="DT375" i="1"/>
  <c r="DT373" i="1"/>
  <c r="DT378" i="1"/>
  <c r="DT356" i="1"/>
  <c r="DT365" i="1"/>
  <c r="DT364" i="1"/>
  <c r="DT369" i="1"/>
  <c r="DY338" i="1"/>
  <c r="DT355" i="1"/>
  <c r="DY341" i="1"/>
  <c r="DT337" i="1"/>
  <c r="DT348" i="1"/>
  <c r="BF71" i="3"/>
  <c r="DT313" i="1"/>
  <c r="DB57" i="4"/>
  <c r="DB68" i="4" s="1"/>
  <c r="CS7" i="17"/>
  <c r="CS8" i="17" s="1"/>
  <c r="CP63" i="17"/>
  <c r="N43" i="3"/>
  <c r="N30" i="3"/>
  <c r="N34" i="3"/>
  <c r="N71" i="3"/>
  <c r="DE385" i="1"/>
  <c r="DJ384" i="1"/>
  <c r="BG92" i="4"/>
  <c r="BH78" i="3"/>
  <c r="BF34" i="3"/>
  <c r="BF36" i="3"/>
  <c r="BK71" i="3"/>
  <c r="BG70" i="3"/>
  <c r="BG32" i="3"/>
  <c r="BG71" i="3" s="1"/>
  <c r="BG91" i="4"/>
  <c r="BL70" i="3"/>
  <c r="BG28" i="3"/>
  <c r="BG30" i="3" s="1"/>
  <c r="BG64" i="3"/>
  <c r="B87" i="30"/>
  <c r="CX77" i="17"/>
  <c r="DJ335" i="1"/>
  <c r="DE31" i="17"/>
  <c r="DE32" i="17" s="1"/>
  <c r="DE34" i="17" s="1"/>
  <c r="DJ343" i="1"/>
  <c r="CW238" i="2"/>
  <c r="DB17" i="12"/>
  <c r="DA35" i="12"/>
  <c r="CZ114" i="12"/>
  <c r="CZ63" i="17"/>
  <c r="CT63" i="17"/>
  <c r="CT77" i="17"/>
  <c r="CA315" i="1"/>
  <c r="CV117" i="2"/>
  <c r="CZ10" i="17"/>
  <c r="CW123" i="12"/>
  <c r="DB123" i="12" s="1"/>
  <c r="DG123" i="12" s="1"/>
  <c r="DL123" i="12" s="1"/>
  <c r="DQ123" i="12" s="1"/>
  <c r="DV123" i="12" s="1"/>
  <c r="CR366" i="2"/>
  <c r="CR191" i="2"/>
  <c r="CW254" i="2"/>
  <c r="CX350" i="2"/>
  <c r="CY115" i="12"/>
  <c r="CT115" i="12"/>
  <c r="CU114" i="12"/>
  <c r="CU34" i="12"/>
  <c r="CW190" i="2"/>
  <c r="CZ36" i="2"/>
  <c r="CZ334" i="2" s="1"/>
  <c r="CX115" i="12"/>
  <c r="CS115" i="12"/>
  <c r="CY350" i="2"/>
  <c r="S34" i="3"/>
  <c r="S71" i="3"/>
  <c r="S30" i="3"/>
  <c r="S43" i="3"/>
  <c r="DJ390" i="1"/>
  <c r="DJ367" i="1"/>
  <c r="DJ358" i="1"/>
  <c r="DJ357" i="1"/>
  <c r="DO335" i="1"/>
  <c r="DJ333" i="1"/>
  <c r="DJ372" i="1"/>
  <c r="DJ347" i="1"/>
  <c r="DO342" i="1"/>
  <c r="DO391" i="1"/>
  <c r="DJ363" i="1"/>
  <c r="DJ379" i="1"/>
  <c r="DJ374" i="1"/>
  <c r="DJ340" i="1"/>
  <c r="DO360" i="1"/>
  <c r="DJ370" i="1"/>
  <c r="DJ376" i="1"/>
  <c r="DO336" i="1"/>
  <c r="DO380" i="1"/>
  <c r="CR272" i="2"/>
  <c r="DO257" i="1"/>
  <c r="DO256" i="1"/>
  <c r="DT256" i="1" s="1"/>
  <c r="P28" i="30"/>
  <c r="N27" i="30"/>
  <c r="N28" i="30" s="1"/>
  <c r="CQ77" i="17"/>
  <c r="CP10" i="17"/>
  <c r="CU34" i="17"/>
  <c r="CO191" i="2"/>
  <c r="CP77" i="17"/>
  <c r="CU20" i="5"/>
  <c r="CU21" i="4"/>
  <c r="BG59" i="5"/>
  <c r="BG58" i="5"/>
  <c r="CQ63" i="4"/>
  <c r="CS123" i="12"/>
  <c r="CN135" i="12"/>
  <c r="CN136" i="12" s="1"/>
  <c r="CT117" i="12"/>
  <c r="CO135" i="12"/>
  <c r="CO136" i="12" s="1"/>
  <c r="CK135" i="12"/>
  <c r="CK136" i="12" s="1"/>
  <c r="CQ123" i="12"/>
  <c r="CL135" i="12"/>
  <c r="CL136" i="12" s="1"/>
  <c r="CP126" i="12"/>
  <c r="CP127" i="12" s="1"/>
  <c r="CR126" i="12"/>
  <c r="CQ272" i="2"/>
  <c r="CQ238" i="2"/>
  <c r="CQ190" i="2"/>
  <c r="CQ254" i="2"/>
  <c r="CK277" i="1"/>
  <c r="CJ280" i="1"/>
  <c r="CK280" i="1" s="1"/>
  <c r="CL277" i="1" s="1"/>
  <c r="CK85" i="17"/>
  <c r="P36" i="30"/>
  <c r="P39" i="30" s="1"/>
  <c r="P12" i="30"/>
  <c r="N39" i="30"/>
  <c r="N38" i="30"/>
  <c r="BQ54" i="5"/>
  <c r="BQ56" i="5" s="1"/>
  <c r="BQ58" i="5" s="1"/>
  <c r="BQ50" i="5"/>
  <c r="BO59" i="5"/>
  <c r="BO57" i="5"/>
  <c r="BP54" i="5"/>
  <c r="BP56" i="5" s="1"/>
  <c r="BP50" i="5"/>
  <c r="DE346" i="1"/>
  <c r="BG57" i="5"/>
  <c r="CZ387" i="1"/>
  <c r="DE386" i="1"/>
  <c r="DE344" i="1"/>
  <c r="Q36" i="30"/>
  <c r="AL59" i="5"/>
  <c r="AL57" i="5"/>
  <c r="DE350" i="1"/>
  <c r="AB59" i="5"/>
  <c r="AB57" i="5"/>
  <c r="BU59" i="5"/>
  <c r="BU57" i="5"/>
  <c r="AX277" i="1"/>
  <c r="AX280" i="1" s="1"/>
  <c r="AY277" i="1" s="1"/>
  <c r="AY280" i="1" s="1"/>
  <c r="AZ277" i="1" s="1"/>
  <c r="AZ280" i="1" s="1"/>
  <c r="BA277" i="1" s="1"/>
  <c r="BA280" i="1" s="1"/>
  <c r="BB277" i="1"/>
  <c r="BB280" i="1" s="1"/>
  <c r="BC277" i="1" s="1"/>
  <c r="BC280" i="1" s="1"/>
  <c r="BD277" i="1" s="1"/>
  <c r="BD280" i="1" s="1"/>
  <c r="BE277" i="1" s="1"/>
  <c r="BE280" i="1" s="1"/>
  <c r="BF277" i="1" s="1"/>
  <c r="O28" i="30"/>
  <c r="O39" i="30"/>
  <c r="O38" i="30"/>
  <c r="CA29" i="3"/>
  <c r="CB39" i="3"/>
  <c r="BZ30" i="3"/>
  <c r="BZ43" i="3"/>
  <c r="CA28" i="3"/>
  <c r="DE334" i="1"/>
  <c r="DE377" i="1"/>
  <c r="DE352" i="1"/>
  <c r="AC147" i="2"/>
  <c r="AM347" i="2"/>
  <c r="AM363" i="2" s="1"/>
  <c r="AI363" i="2"/>
  <c r="X218" i="2"/>
  <c r="DE339" i="1"/>
  <c r="AA379" i="2"/>
  <c r="Y379" i="2"/>
  <c r="Z379" i="2"/>
  <c r="W379" i="2"/>
  <c r="X379" i="2" s="1"/>
  <c r="AJ378" i="2"/>
  <c r="AI378" i="2"/>
  <c r="AL378" i="2"/>
  <c r="AM378" i="2" s="1"/>
  <c r="AK378" i="2"/>
  <c r="CP238" i="2"/>
  <c r="DE345" i="1"/>
  <c r="CA36" i="3"/>
  <c r="CA34" i="3"/>
  <c r="AC323" i="1"/>
  <c r="BB140" i="1"/>
  <c r="BB141" i="1" s="1"/>
  <c r="AY140" i="1"/>
  <c r="AY141" i="1" s="1"/>
  <c r="AX140" i="1"/>
  <c r="AX141" i="1" s="1"/>
  <c r="AZ140" i="1"/>
  <c r="AZ141" i="1" s="1"/>
  <c r="BA140" i="1"/>
  <c r="BA141" i="1" s="1"/>
  <c r="DE366" i="1"/>
  <c r="Q379" i="2"/>
  <c r="O379" i="2"/>
  <c r="R379" i="2"/>
  <c r="S379" i="2" s="1"/>
  <c r="P379" i="2"/>
  <c r="BA59" i="5"/>
  <c r="BA57" i="5"/>
  <c r="DE361" i="1"/>
  <c r="DE371" i="1"/>
  <c r="O51" i="5"/>
  <c r="O52" i="5" s="1"/>
  <c r="P51" i="5" s="1"/>
  <c r="P52" i="5" s="1"/>
  <c r="Q51" i="5" s="1"/>
  <c r="Q52" i="5" s="1"/>
  <c r="R51" i="5" s="1"/>
  <c r="R52" i="5" s="1"/>
  <c r="S51" i="5"/>
  <c r="S52" i="5" s="1"/>
  <c r="BL54" i="5"/>
  <c r="BL56" i="5" s="1"/>
  <c r="BL58" i="5" s="1"/>
  <c r="BL50" i="5"/>
  <c r="BJ59" i="5"/>
  <c r="BJ57" i="5"/>
  <c r="S59" i="5"/>
  <c r="S57" i="5"/>
  <c r="DE354" i="1"/>
  <c r="CF71" i="3"/>
  <c r="CF36" i="3"/>
  <c r="CF34" i="3"/>
  <c r="BK59" i="5"/>
  <c r="BK57" i="5"/>
  <c r="DE349" i="1"/>
  <c r="CZ381" i="1"/>
  <c r="N59" i="5"/>
  <c r="N57" i="5"/>
  <c r="CP221" i="2"/>
  <c r="CP254" i="2"/>
  <c r="CP190" i="2"/>
  <c r="CP191" i="2" s="1"/>
  <c r="AR34" i="3"/>
  <c r="AR36" i="3"/>
  <c r="AR30" i="3"/>
  <c r="AR43" i="3"/>
  <c r="AR71" i="3"/>
  <c r="CA71" i="3"/>
  <c r="BV71" i="3"/>
  <c r="BV34" i="3"/>
  <c r="BV36" i="3"/>
  <c r="AW30" i="3"/>
  <c r="AW43" i="3"/>
  <c r="BB34" i="3"/>
  <c r="BB71" i="3"/>
  <c r="BB36" i="3"/>
  <c r="BL43" i="3"/>
  <c r="BL30" i="3"/>
  <c r="BL34" i="3"/>
  <c r="BL36" i="3"/>
  <c r="BQ43" i="3"/>
  <c r="BQ30" i="3"/>
  <c r="BQ71" i="3"/>
  <c r="BQ34" i="3"/>
  <c r="BQ36" i="3"/>
  <c r="BV43" i="3"/>
  <c r="BV30" i="3"/>
  <c r="AW71" i="3"/>
  <c r="AW34" i="3"/>
  <c r="AW36" i="3"/>
  <c r="BB43" i="3"/>
  <c r="BB30" i="3"/>
  <c r="CP35" i="4"/>
  <c r="CP63" i="4"/>
  <c r="CP11" i="4"/>
  <c r="CP16" i="4"/>
  <c r="CG56" i="4"/>
  <c r="CH69" i="4"/>
  <c r="CH70" i="4" s="1"/>
  <c r="CP32" i="4"/>
  <c r="CP31" i="5"/>
  <c r="CP47" i="4"/>
  <c r="CP20" i="3"/>
  <c r="CL61" i="4"/>
  <c r="CL64" i="4"/>
  <c r="CM60" i="4"/>
  <c r="CM132" i="12"/>
  <c r="BL85" i="17"/>
  <c r="CH82" i="2"/>
  <c r="CH114" i="2" s="1"/>
  <c r="CH128" i="2"/>
  <c r="CH361" i="2"/>
  <c r="CM136" i="12"/>
  <c r="CN132" i="12"/>
  <c r="CP123" i="12"/>
  <c r="CL132" i="12"/>
  <c r="CO132" i="12"/>
  <c r="CP117" i="12"/>
  <c r="CK118" i="12"/>
  <c r="CK132" i="12"/>
  <c r="CK133" i="12" s="1"/>
  <c r="CI133" i="12"/>
  <c r="CG133" i="12"/>
  <c r="CJ133" i="12"/>
  <c r="BQ85" i="17"/>
  <c r="DQ334" i="2" l="1"/>
  <c r="DQ350" i="2" s="1"/>
  <c r="DU40" i="4"/>
  <c r="DV40" i="4" s="1"/>
  <c r="DW40" i="4" s="1"/>
  <c r="DX40" i="4" s="1"/>
  <c r="DY40" i="4" s="1"/>
  <c r="DZ40" i="4" s="1"/>
  <c r="EA40" i="4" s="1"/>
  <c r="EB40" i="4" s="1"/>
  <c r="DV168" i="2"/>
  <c r="DV238" i="2" s="1"/>
  <c r="DV350" i="2"/>
  <c r="DV366" i="2" s="1"/>
  <c r="DT129" i="12"/>
  <c r="DV129" i="12"/>
  <c r="DY129" i="12" s="1"/>
  <c r="DX80" i="12"/>
  <c r="DX31" i="17" s="1"/>
  <c r="DX32" i="17" s="1"/>
  <c r="DY81" i="12"/>
  <c r="DY80" i="12" s="1"/>
  <c r="DY31" i="17" s="1"/>
  <c r="DY32" i="17" s="1"/>
  <c r="DY34" i="17" s="1"/>
  <c r="DX69" i="12"/>
  <c r="DX43" i="17" s="1"/>
  <c r="DX44" i="17" s="1"/>
  <c r="DX114" i="12"/>
  <c r="DY70" i="12"/>
  <c r="DQ117" i="2"/>
  <c r="DW350" i="2"/>
  <c r="DW366" i="2" s="1"/>
  <c r="DW168" i="2"/>
  <c r="DW107" i="2"/>
  <c r="DW117" i="2"/>
  <c r="DR168" i="2"/>
  <c r="DV107" i="2"/>
  <c r="DV117" i="2"/>
  <c r="EB254" i="1"/>
  <c r="EA368" i="1"/>
  <c r="DO32" i="17"/>
  <c r="DO77" i="17" s="1"/>
  <c r="BC45" i="30"/>
  <c r="BC43" i="30" s="1"/>
  <c r="DM334" i="2"/>
  <c r="DM350" i="2" s="1"/>
  <c r="AA87" i="30"/>
  <c r="AG87" i="30"/>
  <c r="AF87" i="30"/>
  <c r="AE87" i="30"/>
  <c r="AH87" i="30"/>
  <c r="DN334" i="2"/>
  <c r="DO114" i="12"/>
  <c r="DS57" i="4"/>
  <c r="DR107" i="2"/>
  <c r="DR117" i="2"/>
  <c r="DQ238" i="2"/>
  <c r="DQ254" i="2"/>
  <c r="DZ62" i="12"/>
  <c r="DZ70" i="12" s="1"/>
  <c r="DZ69" i="12" s="1"/>
  <c r="DZ43" i="17" s="1"/>
  <c r="DZ44" i="17" s="1"/>
  <c r="DZ46" i="17" s="1"/>
  <c r="DS114" i="12"/>
  <c r="DS80" i="12"/>
  <c r="DS31" i="17" s="1"/>
  <c r="DS32" i="17" s="1"/>
  <c r="DT81" i="12"/>
  <c r="DS69" i="12"/>
  <c r="DS43" i="17" s="1"/>
  <c r="DS44" i="17" s="1"/>
  <c r="DT70" i="12"/>
  <c r="DT69" i="12" s="1"/>
  <c r="DT43" i="17" s="1"/>
  <c r="DT44" i="17" s="1"/>
  <c r="DT46" i="17" s="1"/>
  <c r="DZ359" i="1"/>
  <c r="DZ338" i="1"/>
  <c r="DZ341" i="1"/>
  <c r="DJ353" i="1"/>
  <c r="DI91" i="4"/>
  <c r="DI92" i="4"/>
  <c r="DI190" i="2"/>
  <c r="DI191" i="2" s="1"/>
  <c r="DH71" i="4"/>
  <c r="DH72" i="4"/>
  <c r="DG57" i="4"/>
  <c r="DG68" i="4" s="1"/>
  <c r="DL190" i="2"/>
  <c r="DL191" i="2" s="1"/>
  <c r="DM117" i="2"/>
  <c r="DO129" i="12"/>
  <c r="DO28" i="4"/>
  <c r="DN57" i="4"/>
  <c r="DM57" i="4" s="1"/>
  <c r="DM68" i="4" s="1"/>
  <c r="DZ57" i="4"/>
  <c r="EA57" i="4" s="1"/>
  <c r="EB57" i="4" s="1"/>
  <c r="DL238" i="2"/>
  <c r="DL254" i="2"/>
  <c r="DT257" i="1"/>
  <c r="DY369" i="1"/>
  <c r="DY356" i="1"/>
  <c r="DY375" i="1"/>
  <c r="DY351" i="1"/>
  <c r="DY348" i="1"/>
  <c r="DY355" i="1"/>
  <c r="DY364" i="1"/>
  <c r="DY378" i="1"/>
  <c r="DY362" i="1"/>
  <c r="DT380" i="1"/>
  <c r="DT360" i="1"/>
  <c r="DT391" i="1"/>
  <c r="DY256" i="1"/>
  <c r="DT335" i="1"/>
  <c r="DY337" i="1"/>
  <c r="DY365" i="1"/>
  <c r="DY373" i="1"/>
  <c r="DY255" i="1"/>
  <c r="DT336" i="1"/>
  <c r="DT342" i="1"/>
  <c r="DY313" i="1"/>
  <c r="BG43" i="3"/>
  <c r="DB71" i="4"/>
  <c r="DB72" i="4"/>
  <c r="DA57" i="4"/>
  <c r="DA366" i="2"/>
  <c r="DG190" i="2"/>
  <c r="DG191" i="2" s="1"/>
  <c r="CS63" i="17"/>
  <c r="CS77" i="17"/>
  <c r="DO384" i="1"/>
  <c r="DT384" i="1" s="1"/>
  <c r="DJ385" i="1"/>
  <c r="BG34" i="3"/>
  <c r="BL71" i="3"/>
  <c r="BG36" i="3"/>
  <c r="O87" i="30"/>
  <c r="J87" i="30"/>
  <c r="V87" i="30"/>
  <c r="L87" i="30"/>
  <c r="I87" i="30"/>
  <c r="Z87" i="30"/>
  <c r="M87" i="30"/>
  <c r="H87" i="30"/>
  <c r="U87" i="30"/>
  <c r="Y87" i="30"/>
  <c r="N87" i="30"/>
  <c r="R87" i="30"/>
  <c r="W87" i="30"/>
  <c r="T87" i="30"/>
  <c r="P87" i="30"/>
  <c r="S87" i="30"/>
  <c r="Q87" i="30"/>
  <c r="AC87" i="30"/>
  <c r="K87" i="30"/>
  <c r="G87" i="30"/>
  <c r="CY366" i="2"/>
  <c r="AB87" i="30"/>
  <c r="X87" i="30"/>
  <c r="AD87" i="30"/>
  <c r="DO343" i="1"/>
  <c r="DJ386" i="1"/>
  <c r="DJ387" i="1" s="1"/>
  <c r="CW191" i="2"/>
  <c r="DA34" i="12"/>
  <c r="DA7" i="17" s="1"/>
  <c r="DA8" i="17" s="1"/>
  <c r="DA114" i="12"/>
  <c r="DC17" i="12"/>
  <c r="DB35" i="12"/>
  <c r="CW272" i="2"/>
  <c r="CV254" i="2"/>
  <c r="CV190" i="2"/>
  <c r="CV238" i="2"/>
  <c r="CF315" i="1"/>
  <c r="CZ79" i="17"/>
  <c r="CZ80" i="17" s="1"/>
  <c r="CY117" i="12"/>
  <c r="CX123" i="12"/>
  <c r="CV123" i="12"/>
  <c r="CY190" i="2"/>
  <c r="CY272" i="2"/>
  <c r="CZ308" i="2"/>
  <c r="CZ350" i="2"/>
  <c r="CZ366" i="2" s="1"/>
  <c r="CZ115" i="12"/>
  <c r="CU115" i="12"/>
  <c r="CU126" i="12"/>
  <c r="CU127" i="12" s="1"/>
  <c r="CW126" i="12"/>
  <c r="CY117" i="2"/>
  <c r="CT350" i="2"/>
  <c r="CX366" i="2" s="1"/>
  <c r="CT117" i="2"/>
  <c r="CZ168" i="2"/>
  <c r="CX190" i="2"/>
  <c r="CX272" i="2"/>
  <c r="CU36" i="2"/>
  <c r="CU334" i="2" s="1"/>
  <c r="CS117" i="2"/>
  <c r="CX117" i="2"/>
  <c r="CS350" i="2"/>
  <c r="CU7" i="17"/>
  <c r="DJ371" i="1"/>
  <c r="DJ339" i="1"/>
  <c r="DJ334" i="1"/>
  <c r="DJ350" i="1"/>
  <c r="DO370" i="1"/>
  <c r="DO340" i="1"/>
  <c r="DO379" i="1"/>
  <c r="DO347" i="1"/>
  <c r="DO333" i="1"/>
  <c r="DT333" i="1" s="1"/>
  <c r="DO357" i="1"/>
  <c r="DO367" i="1"/>
  <c r="DJ345" i="1"/>
  <c r="DJ377" i="1"/>
  <c r="DJ344" i="1"/>
  <c r="DJ346" i="1"/>
  <c r="DJ354" i="1"/>
  <c r="DO376" i="1"/>
  <c r="DO374" i="1"/>
  <c r="DO363" i="1"/>
  <c r="DO372" i="1"/>
  <c r="DO358" i="1"/>
  <c r="DO390" i="1"/>
  <c r="DJ349" i="1"/>
  <c r="DJ361" i="1"/>
  <c r="DJ366" i="1"/>
  <c r="DJ352" i="1"/>
  <c r="CL278" i="1"/>
  <c r="CL280" i="1" s="1"/>
  <c r="CM277" i="1" s="1"/>
  <c r="CM280" i="1" s="1"/>
  <c r="CN277" i="1" s="1"/>
  <c r="CN280" i="1" s="1"/>
  <c r="CO277" i="1" s="1"/>
  <c r="CQ191" i="2"/>
  <c r="CP79" i="17"/>
  <c r="DJ31" i="17"/>
  <c r="BB45" i="30" s="1"/>
  <c r="BB43" i="30" s="1"/>
  <c r="BB42" i="30" s="1"/>
  <c r="CR135" i="12"/>
  <c r="CP135" i="12"/>
  <c r="CP136" i="12" s="1"/>
  <c r="CU31" i="4"/>
  <c r="CR63" i="4"/>
  <c r="P38" i="30"/>
  <c r="CR132" i="12"/>
  <c r="CS132" i="12"/>
  <c r="CS135" i="12"/>
  <c r="CU123" i="12"/>
  <c r="CU124" i="12" s="1"/>
  <c r="CQ132" i="12"/>
  <c r="CQ135" i="12"/>
  <c r="CT132" i="12"/>
  <c r="CU117" i="12"/>
  <c r="CT135" i="12"/>
  <c r="CA43" i="3"/>
  <c r="BP59" i="5"/>
  <c r="BP57" i="5"/>
  <c r="CA30" i="3"/>
  <c r="BQ59" i="5"/>
  <c r="BQ57" i="5"/>
  <c r="DE387" i="1"/>
  <c r="Q38" i="30"/>
  <c r="Q39" i="30"/>
  <c r="Q28" i="30"/>
  <c r="Q12" i="30"/>
  <c r="BF280" i="1"/>
  <c r="BG280" i="1" s="1"/>
  <c r="BH277" i="1" s="1"/>
  <c r="BH280" i="1" s="1"/>
  <c r="BI277" i="1" s="1"/>
  <c r="BI280" i="1" s="1"/>
  <c r="BJ277" i="1" s="1"/>
  <c r="BJ280" i="1" s="1"/>
  <c r="BK277" i="1" s="1"/>
  <c r="BG277" i="1"/>
  <c r="CB29" i="3"/>
  <c r="CB28" i="3"/>
  <c r="CC39" i="3"/>
  <c r="AI379" i="2"/>
  <c r="AK379" i="2"/>
  <c r="AJ379" i="2"/>
  <c r="AL379" i="2"/>
  <c r="AM379" i="2" s="1"/>
  <c r="BE140" i="1"/>
  <c r="BE141" i="1" s="1"/>
  <c r="BC140" i="1"/>
  <c r="BC141" i="1" s="1"/>
  <c r="BG140" i="1"/>
  <c r="BG141" i="1" s="1"/>
  <c r="BD140" i="1"/>
  <c r="BD141" i="1" s="1"/>
  <c r="BF140" i="1"/>
  <c r="BF141" i="1" s="1"/>
  <c r="BL59" i="5"/>
  <c r="BL57" i="5"/>
  <c r="X51" i="5"/>
  <c r="X52" i="5" s="1"/>
  <c r="T51" i="5"/>
  <c r="T52" i="5" s="1"/>
  <c r="U51" i="5" s="1"/>
  <c r="U52" i="5" s="1"/>
  <c r="V51" i="5" s="1"/>
  <c r="V52" i="5" s="1"/>
  <c r="W51" i="5" s="1"/>
  <c r="W52" i="5" s="1"/>
  <c r="DE381" i="1"/>
  <c r="CH144" i="2"/>
  <c r="CH346" i="2"/>
  <c r="CH362" i="2" s="1"/>
  <c r="CH347" i="2"/>
  <c r="CH363" i="2" s="1"/>
  <c r="CG69" i="4"/>
  <c r="CG70" i="4" s="1"/>
  <c r="CN60" i="4"/>
  <c r="CM61" i="4"/>
  <c r="CM64" i="4"/>
  <c r="CH249" i="2"/>
  <c r="CH265" i="2"/>
  <c r="CH188" i="2"/>
  <c r="CH213" i="2" s="1"/>
  <c r="CH143" i="2"/>
  <c r="CH145" i="2"/>
  <c r="CH326" i="1" s="1"/>
  <c r="CH135" i="2"/>
  <c r="CH136" i="2"/>
  <c r="CH133" i="2"/>
  <c r="CH134" i="2"/>
  <c r="CH311" i="2"/>
  <c r="CH146" i="2"/>
  <c r="CH130" i="2"/>
  <c r="CM133" i="12"/>
  <c r="CP132" i="12"/>
  <c r="CP133" i="12" s="1"/>
  <c r="CP118" i="12"/>
  <c r="CP124" i="12"/>
  <c r="CJ128" i="2"/>
  <c r="CJ82" i="2"/>
  <c r="CJ361" i="2"/>
  <c r="CI128" i="2"/>
  <c r="CI361" i="2"/>
  <c r="CI82" i="2"/>
  <c r="CO133" i="12"/>
  <c r="CG128" i="2"/>
  <c r="CG361" i="2"/>
  <c r="CG377" i="2" s="1"/>
  <c r="CG82" i="2"/>
  <c r="CK74" i="2"/>
  <c r="CK345" i="2" s="1"/>
  <c r="CL133" i="12"/>
  <c r="CN133" i="12"/>
  <c r="AH18" i="30" l="1"/>
  <c r="AH24" i="30"/>
  <c r="AK24" i="30"/>
  <c r="AK34" i="30" s="1"/>
  <c r="AK18" i="30"/>
  <c r="AM24" i="30"/>
  <c r="AM25" i="30" s="1"/>
  <c r="AM18" i="30"/>
  <c r="AJ24" i="30"/>
  <c r="AJ34" i="30" s="1"/>
  <c r="AJ18" i="30"/>
  <c r="AI18" i="30"/>
  <c r="AI24" i="30"/>
  <c r="AI34" i="30" s="1"/>
  <c r="AG18" i="30"/>
  <c r="AL24" i="30"/>
  <c r="AL34" i="30" s="1"/>
  <c r="AL18" i="30"/>
  <c r="BC42" i="30"/>
  <c r="DQ190" i="2"/>
  <c r="DQ191" i="2" s="1"/>
  <c r="DV254" i="2"/>
  <c r="EB368" i="1"/>
  <c r="DZ255" i="1"/>
  <c r="DY130" i="12"/>
  <c r="DM366" i="2"/>
  <c r="DO34" i="17"/>
  <c r="DO79" i="17" s="1"/>
  <c r="DO80" i="17" s="1"/>
  <c r="DO63" i="17"/>
  <c r="DV190" i="2"/>
  <c r="DV191" i="2" s="1"/>
  <c r="DV272" i="2"/>
  <c r="DZ129" i="12"/>
  <c r="EA129" i="12" s="1"/>
  <c r="EB129" i="12" s="1"/>
  <c r="DW190" i="2"/>
  <c r="DW191" i="2" s="1"/>
  <c r="DW272" i="2"/>
  <c r="DY69" i="12"/>
  <c r="DY43" i="17" s="1"/>
  <c r="DY44" i="17" s="1"/>
  <c r="DY114" i="12"/>
  <c r="DX36" i="2"/>
  <c r="DX63" i="17"/>
  <c r="DX77" i="17"/>
  <c r="DS36" i="2"/>
  <c r="DS350" i="2" s="1"/>
  <c r="DS366" i="2" s="1"/>
  <c r="DX115" i="12"/>
  <c r="DW238" i="2"/>
  <c r="DW254" i="2"/>
  <c r="DR190" i="2"/>
  <c r="DR191" i="2" s="1"/>
  <c r="DR272" i="2"/>
  <c r="EA341" i="1"/>
  <c r="EA338" i="1"/>
  <c r="EA359" i="1"/>
  <c r="DN350" i="2"/>
  <c r="DN366" i="2" s="1"/>
  <c r="DM71" i="4"/>
  <c r="DM72" i="4"/>
  <c r="DM272" i="2"/>
  <c r="DO36" i="2"/>
  <c r="DO334" i="2" s="1"/>
  <c r="DN117" i="2"/>
  <c r="DL57" i="4"/>
  <c r="DL68" i="4" s="1"/>
  <c r="DM92" i="4" s="1"/>
  <c r="DR28" i="4"/>
  <c r="DS28" i="4" s="1"/>
  <c r="DT28" i="4" s="1"/>
  <c r="DN272" i="2"/>
  <c r="DR57" i="4"/>
  <c r="DQ57" i="4" s="1"/>
  <c r="DQ68" i="4" s="1"/>
  <c r="DR238" i="2"/>
  <c r="DR254" i="2"/>
  <c r="DZ35" i="12"/>
  <c r="DZ73" i="12"/>
  <c r="DZ81" i="12" s="1"/>
  <c r="DZ80" i="12" s="1"/>
  <c r="DZ31" i="17" s="1"/>
  <c r="DT114" i="12"/>
  <c r="DT80" i="12"/>
  <c r="DS77" i="17"/>
  <c r="DS63" i="17"/>
  <c r="DS115" i="12"/>
  <c r="DT130" i="12"/>
  <c r="DZ364" i="1"/>
  <c r="DZ369" i="1"/>
  <c r="DZ375" i="1"/>
  <c r="DZ337" i="1"/>
  <c r="DZ362" i="1"/>
  <c r="DZ355" i="1"/>
  <c r="DZ256" i="1"/>
  <c r="DZ378" i="1"/>
  <c r="DZ365" i="1"/>
  <c r="DZ351" i="1"/>
  <c r="DZ313" i="1"/>
  <c r="DZ373" i="1"/>
  <c r="DZ348" i="1"/>
  <c r="DZ356" i="1"/>
  <c r="DO353" i="1"/>
  <c r="DG71" i="4"/>
  <c r="DG72" i="4"/>
  <c r="DF57" i="4"/>
  <c r="DN190" i="2"/>
  <c r="DN191" i="2" s="1"/>
  <c r="DN254" i="2"/>
  <c r="DN238" i="2"/>
  <c r="DM190" i="2"/>
  <c r="DM191" i="2" s="1"/>
  <c r="DM238" i="2"/>
  <c r="DO168" i="2"/>
  <c r="DM254" i="2"/>
  <c r="DO90" i="17"/>
  <c r="DO91" i="17" s="1"/>
  <c r="DO84" i="17"/>
  <c r="DO85" i="17" s="1"/>
  <c r="DO130" i="12"/>
  <c r="DY333" i="1"/>
  <c r="DT340" i="1"/>
  <c r="DY380" i="1"/>
  <c r="DT372" i="1"/>
  <c r="DT376" i="1"/>
  <c r="DT358" i="1"/>
  <c r="DT367" i="1"/>
  <c r="DT347" i="1"/>
  <c r="DT370" i="1"/>
  <c r="DY391" i="1"/>
  <c r="DT374" i="1"/>
  <c r="DT390" i="1"/>
  <c r="DT363" i="1"/>
  <c r="DY342" i="1"/>
  <c r="DT357" i="1"/>
  <c r="DT379" i="1"/>
  <c r="DO386" i="1"/>
  <c r="DT386" i="1" s="1"/>
  <c r="DT343" i="1"/>
  <c r="DY335" i="1"/>
  <c r="DY360" i="1"/>
  <c r="DY257" i="1"/>
  <c r="DT385" i="1"/>
  <c r="DY384" i="1"/>
  <c r="DY336" i="1"/>
  <c r="DO385" i="1"/>
  <c r="CY191" i="2"/>
  <c r="CX191" i="2"/>
  <c r="CW366" i="2"/>
  <c r="DA123" i="12"/>
  <c r="CX135" i="12"/>
  <c r="CX136" i="12" s="1"/>
  <c r="DC123" i="12"/>
  <c r="DH123" i="12" s="1"/>
  <c r="DM123" i="12" s="1"/>
  <c r="DR123" i="12" s="1"/>
  <c r="DW123" i="12" s="1"/>
  <c r="DD117" i="12"/>
  <c r="DI117" i="12" s="1"/>
  <c r="DB126" i="12"/>
  <c r="DG126" i="12" s="1"/>
  <c r="DA115" i="12"/>
  <c r="DB114" i="12"/>
  <c r="DB34" i="12"/>
  <c r="DB7" i="17" s="1"/>
  <c r="DB8" i="17" s="1"/>
  <c r="DA63" i="17"/>
  <c r="DA77" i="17"/>
  <c r="DD17" i="12"/>
  <c r="DD35" i="12" s="1"/>
  <c r="DC35" i="12"/>
  <c r="CS366" i="2"/>
  <c r="CV366" i="2"/>
  <c r="CV191" i="2"/>
  <c r="CT366" i="2"/>
  <c r="CY132" i="12"/>
  <c r="CV135" i="12"/>
  <c r="CV136" i="12" s="1"/>
  <c r="CV132" i="12"/>
  <c r="CV133" i="12" s="1"/>
  <c r="CP90" i="17"/>
  <c r="CP91" i="17" s="1"/>
  <c r="CZ90" i="17"/>
  <c r="CZ91" i="17" s="1"/>
  <c r="CK315" i="1"/>
  <c r="CZ84" i="17"/>
  <c r="CZ85" i="17" s="1"/>
  <c r="CY135" i="12"/>
  <c r="CY136" i="12" s="1"/>
  <c r="CZ117" i="12"/>
  <c r="CY238" i="2"/>
  <c r="CX132" i="12"/>
  <c r="CX133" i="12" s="1"/>
  <c r="CZ123" i="12"/>
  <c r="CP84" i="17"/>
  <c r="CP85" i="17" s="1"/>
  <c r="CU8" i="17"/>
  <c r="CU77" i="17" s="1"/>
  <c r="CZ14" i="4"/>
  <c r="CZ18" i="4"/>
  <c r="CU308" i="2"/>
  <c r="CU107" i="2"/>
  <c r="CZ117" i="2"/>
  <c r="CU350" i="2"/>
  <c r="CU366" i="2" s="1"/>
  <c r="CU117" i="2"/>
  <c r="CZ190" i="2"/>
  <c r="CZ191" i="2" s="1"/>
  <c r="CZ221" i="2"/>
  <c r="CV272" i="2"/>
  <c r="CT238" i="2"/>
  <c r="CT254" i="2"/>
  <c r="CT272" i="2"/>
  <c r="CT190" i="2"/>
  <c r="CY254" i="2"/>
  <c r="CZ107" i="2"/>
  <c r="CZ126" i="12"/>
  <c r="CZ127" i="12" s="1"/>
  <c r="CW132" i="12"/>
  <c r="CW135" i="12"/>
  <c r="CW136" i="12" s="1"/>
  <c r="CX238" i="2"/>
  <c r="CS254" i="2"/>
  <c r="CU168" i="2"/>
  <c r="CZ238" i="2" s="1"/>
  <c r="CX254" i="2"/>
  <c r="CS272" i="2"/>
  <c r="CS190" i="2"/>
  <c r="CS238" i="2"/>
  <c r="CP81" i="17"/>
  <c r="CP80" i="17"/>
  <c r="CT136" i="12"/>
  <c r="CS136" i="12"/>
  <c r="CR136" i="12"/>
  <c r="CQ136" i="12"/>
  <c r="CJ377" i="2"/>
  <c r="CI377" i="2"/>
  <c r="CH377" i="2"/>
  <c r="CP277" i="1"/>
  <c r="CO280" i="1"/>
  <c r="CP280" i="1" s="1"/>
  <c r="CQ277" i="1" s="1"/>
  <c r="DO350" i="1"/>
  <c r="DO339" i="1"/>
  <c r="DO366" i="1"/>
  <c r="DO349" i="1"/>
  <c r="DO346" i="1"/>
  <c r="DO377" i="1"/>
  <c r="DO334" i="1"/>
  <c r="DO371" i="1"/>
  <c r="DO352" i="1"/>
  <c r="DO361" i="1"/>
  <c r="DO354" i="1"/>
  <c r="DO344" i="1"/>
  <c r="DO345" i="1"/>
  <c r="DJ381" i="1"/>
  <c r="DJ32" i="17"/>
  <c r="CU20" i="4"/>
  <c r="CU34" i="4"/>
  <c r="CS63" i="4"/>
  <c r="CU17" i="4"/>
  <c r="CQ133" i="12"/>
  <c r="CU118" i="12"/>
  <c r="CU132" i="12"/>
  <c r="CU133" i="12" s="1"/>
  <c r="CU135" i="12"/>
  <c r="CS133" i="12"/>
  <c r="CT133" i="12"/>
  <c r="CR133" i="12"/>
  <c r="CJ346" i="2"/>
  <c r="CJ362" i="2" s="1"/>
  <c r="CJ114" i="2"/>
  <c r="CJ347" i="2"/>
  <c r="CJ363" i="2" s="1"/>
  <c r="BK279" i="1"/>
  <c r="BL277" i="1"/>
  <c r="CC29" i="3"/>
  <c r="CD39" i="3"/>
  <c r="CC28" i="3"/>
  <c r="CB30" i="3"/>
  <c r="CB43" i="3"/>
  <c r="BI140" i="1"/>
  <c r="BI141" i="1" s="1"/>
  <c r="BH140" i="1"/>
  <c r="BH141" i="1" s="1"/>
  <c r="BK140" i="1" s="1"/>
  <c r="BK141" i="1" s="1"/>
  <c r="BJ140" i="1"/>
  <c r="BJ141" i="1" s="1"/>
  <c r="BL140" i="1"/>
  <c r="BL141" i="1" s="1"/>
  <c r="Y51" i="5"/>
  <c r="Y52" i="5" s="1"/>
  <c r="Z51" i="5" s="1"/>
  <c r="Z52" i="5" s="1"/>
  <c r="AA51" i="5" s="1"/>
  <c r="AA52" i="5" s="1"/>
  <c r="AB51" i="5" s="1"/>
  <c r="AB52" i="5" s="1"/>
  <c r="AC51" i="5"/>
  <c r="AC52" i="5" s="1"/>
  <c r="CI144" i="2"/>
  <c r="CI346" i="2"/>
  <c r="CI362" i="2" s="1"/>
  <c r="CI114" i="2"/>
  <c r="CI347" i="2"/>
  <c r="CI363" i="2" s="1"/>
  <c r="CG346" i="2"/>
  <c r="CG362" i="2" s="1"/>
  <c r="CG378" i="2" s="1"/>
  <c r="CG347" i="2"/>
  <c r="CG363" i="2" s="1"/>
  <c r="CG379" i="2" s="1"/>
  <c r="CO56" i="4"/>
  <c r="CP69" i="4"/>
  <c r="CP7" i="4"/>
  <c r="CO60" i="4"/>
  <c r="CN61" i="4"/>
  <c r="CN64" i="4"/>
  <c r="CH147" i="2"/>
  <c r="CH67" i="3"/>
  <c r="CH215" i="2"/>
  <c r="CH216" i="2"/>
  <c r="CH214" i="2"/>
  <c r="CH327" i="1" s="1"/>
  <c r="CH234" i="2"/>
  <c r="CH212" i="2"/>
  <c r="CH269" i="2"/>
  <c r="CH202" i="2"/>
  <c r="CH217" i="2"/>
  <c r="CH251" i="2"/>
  <c r="CM128" i="2"/>
  <c r="CM82" i="2"/>
  <c r="CM114" i="2" s="1"/>
  <c r="CM361" i="2"/>
  <c r="CI136" i="2"/>
  <c r="CI143" i="2"/>
  <c r="CI145" i="2"/>
  <c r="CI326" i="1" s="1"/>
  <c r="CI133" i="2"/>
  <c r="CI134" i="2"/>
  <c r="CI146" i="2"/>
  <c r="CI130" i="2"/>
  <c r="CI311" i="2"/>
  <c r="CI135" i="2"/>
  <c r="CJ311" i="2"/>
  <c r="CJ130" i="2"/>
  <c r="CJ134" i="2"/>
  <c r="CJ143" i="2"/>
  <c r="CJ145" i="2"/>
  <c r="CJ326" i="1" s="1"/>
  <c r="CJ136" i="2"/>
  <c r="CJ133" i="2"/>
  <c r="CJ146" i="2"/>
  <c r="CJ135" i="2"/>
  <c r="CJ144" i="2"/>
  <c r="CL128" i="2"/>
  <c r="CL361" i="2"/>
  <c r="CL377" i="2" s="1"/>
  <c r="CL82" i="2"/>
  <c r="CP74" i="2"/>
  <c r="CP345" i="2" s="1"/>
  <c r="CK361" i="2"/>
  <c r="CK377" i="2" s="1"/>
  <c r="CK112" i="2"/>
  <c r="CK82" i="2"/>
  <c r="CK58" i="5" s="1"/>
  <c r="CK128" i="2"/>
  <c r="CO361" i="2"/>
  <c r="CO128" i="2"/>
  <c r="CO82" i="2"/>
  <c r="CN361" i="2"/>
  <c r="CN128" i="2"/>
  <c r="CN82" i="2"/>
  <c r="CG265" i="2"/>
  <c r="CK179" i="2"/>
  <c r="CH283" i="2"/>
  <c r="CG249" i="2"/>
  <c r="CG283" i="2"/>
  <c r="CG144" i="2"/>
  <c r="CG135" i="2"/>
  <c r="CG130" i="2"/>
  <c r="CG136" i="2"/>
  <c r="CG133" i="2"/>
  <c r="CG311" i="2"/>
  <c r="CG143" i="2"/>
  <c r="CG146" i="2"/>
  <c r="CG134" i="2"/>
  <c r="CG145" i="2"/>
  <c r="CG326" i="1" s="1"/>
  <c r="CG114" i="2"/>
  <c r="CI249" i="2"/>
  <c r="CI265" i="2"/>
  <c r="CI188" i="2"/>
  <c r="CI234" i="2" s="1"/>
  <c r="CI283" i="2"/>
  <c r="CJ283" i="2"/>
  <c r="CJ265" i="2"/>
  <c r="CJ188" i="2"/>
  <c r="CJ249" i="2"/>
  <c r="EA255" i="1" l="1"/>
  <c r="DQ71" i="4"/>
  <c r="DQ72" i="4"/>
  <c r="DQ366" i="2"/>
  <c r="EB341" i="1"/>
  <c r="DZ384" i="1"/>
  <c r="DZ333" i="1"/>
  <c r="EB359" i="1"/>
  <c r="EB338" i="1"/>
  <c r="DS168" i="2"/>
  <c r="DS190" i="2" s="1"/>
  <c r="DS191" i="2" s="1"/>
  <c r="DU28" i="4"/>
  <c r="DV28" i="4" s="1"/>
  <c r="DW28" i="4" s="1"/>
  <c r="DX28" i="4" s="1"/>
  <c r="DY28" i="4" s="1"/>
  <c r="DZ28" i="4" s="1"/>
  <c r="EA28" i="4" s="1"/>
  <c r="EB28" i="4" s="1"/>
  <c r="DP366" i="2"/>
  <c r="DW132" i="12"/>
  <c r="DW135" i="12"/>
  <c r="DS107" i="2"/>
  <c r="DS117" i="2"/>
  <c r="DY46" i="17"/>
  <c r="DY79" i="17" s="1"/>
  <c r="DY63" i="17"/>
  <c r="DY77" i="17"/>
  <c r="DT36" i="2"/>
  <c r="DT308" i="2" s="1"/>
  <c r="DX168" i="2"/>
  <c r="DX350" i="2"/>
  <c r="DX366" i="2" s="1"/>
  <c r="DY36" i="2"/>
  <c r="DY115" i="12"/>
  <c r="DX117" i="2"/>
  <c r="DX107" i="2"/>
  <c r="EA373" i="1"/>
  <c r="EA365" i="1"/>
  <c r="EA355" i="1"/>
  <c r="EA375" i="1"/>
  <c r="EA356" i="1"/>
  <c r="EA313" i="1"/>
  <c r="EA378" i="1"/>
  <c r="EA362" i="1"/>
  <c r="EA369" i="1"/>
  <c r="EA348" i="1"/>
  <c r="EA351" i="1"/>
  <c r="EA256" i="1"/>
  <c r="EA337" i="1"/>
  <c r="EA364" i="1"/>
  <c r="EB255" i="1"/>
  <c r="DO350" i="2"/>
  <c r="DO308" i="2"/>
  <c r="DM91" i="4"/>
  <c r="BE45" i="30"/>
  <c r="BE43" i="30" s="1"/>
  <c r="DK57" i="4"/>
  <c r="DK68" i="4" s="1"/>
  <c r="DL91" i="4" s="1"/>
  <c r="DZ385" i="1"/>
  <c r="DL71" i="4"/>
  <c r="DL72" i="4"/>
  <c r="DZ32" i="17"/>
  <c r="DZ34" i="17" s="1"/>
  <c r="BF45" i="30"/>
  <c r="BF43" i="30" s="1"/>
  <c r="DT31" i="17"/>
  <c r="DT32" i="17" s="1"/>
  <c r="DP57" i="4"/>
  <c r="DP68" i="4" s="1"/>
  <c r="DQ92" i="4" s="1"/>
  <c r="DZ34" i="12"/>
  <c r="DZ7" i="17" s="1"/>
  <c r="DZ8" i="17" s="1"/>
  <c r="DZ114" i="12"/>
  <c r="DR132" i="12"/>
  <c r="DR135" i="12"/>
  <c r="DT115" i="12"/>
  <c r="CK198" i="2"/>
  <c r="CK199" i="2" s="1"/>
  <c r="DZ380" i="1"/>
  <c r="DZ360" i="1"/>
  <c r="DZ391" i="1"/>
  <c r="DZ336" i="1"/>
  <c r="DZ342" i="1"/>
  <c r="DZ335" i="1"/>
  <c r="DZ257" i="1"/>
  <c r="DT353" i="1"/>
  <c r="DO387" i="1"/>
  <c r="DO190" i="2"/>
  <c r="DO191" i="2" s="1"/>
  <c r="DO221" i="2"/>
  <c r="DO238" i="2"/>
  <c r="DJ117" i="12"/>
  <c r="DN117" i="12"/>
  <c r="DS117" i="12" s="1"/>
  <c r="DX117" i="12" s="1"/>
  <c r="DM132" i="12"/>
  <c r="DM135" i="12"/>
  <c r="DJ126" i="12"/>
  <c r="DL126" i="12"/>
  <c r="DQ126" i="12" s="1"/>
  <c r="DV126" i="12" s="1"/>
  <c r="DT361" i="1"/>
  <c r="DT334" i="1"/>
  <c r="DT346" i="1"/>
  <c r="DT339" i="1"/>
  <c r="DY340" i="1"/>
  <c r="DY379" i="1"/>
  <c r="DY347" i="1"/>
  <c r="DT344" i="1"/>
  <c r="DT352" i="1"/>
  <c r="DY357" i="1"/>
  <c r="DY390" i="1"/>
  <c r="DY367" i="1"/>
  <c r="DY372" i="1"/>
  <c r="DY376" i="1"/>
  <c r="DT349" i="1"/>
  <c r="DT350" i="1"/>
  <c r="DY343" i="1"/>
  <c r="DY363" i="1"/>
  <c r="DT354" i="1"/>
  <c r="DT371" i="1"/>
  <c r="DY374" i="1"/>
  <c r="DY370" i="1"/>
  <c r="DY358" i="1"/>
  <c r="DT345" i="1"/>
  <c r="DT377" i="1"/>
  <c r="DT366" i="1"/>
  <c r="DY385" i="1"/>
  <c r="DT387" i="1"/>
  <c r="DY386" i="1"/>
  <c r="DI135" i="12"/>
  <c r="DI132" i="12"/>
  <c r="DH132" i="12"/>
  <c r="DG132" i="12"/>
  <c r="DA135" i="12"/>
  <c r="DA136" i="12" s="1"/>
  <c r="DF123" i="12"/>
  <c r="CY133" i="12"/>
  <c r="DC132" i="12"/>
  <c r="DD132" i="12"/>
  <c r="DE117" i="12"/>
  <c r="DE118" i="12" s="1"/>
  <c r="DA132" i="12"/>
  <c r="DE123" i="12"/>
  <c r="DE124" i="12" s="1"/>
  <c r="CZ124" i="12"/>
  <c r="DE126" i="12"/>
  <c r="DB132" i="12"/>
  <c r="CZ118" i="12"/>
  <c r="DE17" i="12"/>
  <c r="DF17" i="12" s="1"/>
  <c r="DD34" i="12"/>
  <c r="DD7" i="17" s="1"/>
  <c r="DD8" i="17" s="1"/>
  <c r="DD114" i="12"/>
  <c r="DI115" i="12" s="1"/>
  <c r="DB115" i="12"/>
  <c r="DB135" i="12"/>
  <c r="DB136" i="12" s="1"/>
  <c r="DC114" i="12"/>
  <c r="DC34" i="12"/>
  <c r="DC7" i="17" s="1"/>
  <c r="DC8" i="17" s="1"/>
  <c r="DE35" i="12"/>
  <c r="DB77" i="17"/>
  <c r="DB63" i="17"/>
  <c r="DA117" i="2"/>
  <c r="CP315" i="1"/>
  <c r="CT191" i="2"/>
  <c r="CU10" i="17"/>
  <c r="CU63" i="17"/>
  <c r="CS191" i="2"/>
  <c r="CZ10" i="4"/>
  <c r="CZ29" i="4"/>
  <c r="CY361" i="2"/>
  <c r="CY82" i="2"/>
  <c r="CZ135" i="12"/>
  <c r="CZ136" i="12" s="1"/>
  <c r="CZ132" i="12"/>
  <c r="CV361" i="2"/>
  <c r="CV82" i="2"/>
  <c r="CV128" i="2"/>
  <c r="CU238" i="2"/>
  <c r="CU221" i="2"/>
  <c r="CU254" i="2"/>
  <c r="CZ254" i="2"/>
  <c r="CU190" i="2"/>
  <c r="CU191" i="2" s="1"/>
  <c r="CW133" i="12"/>
  <c r="CI379" i="2"/>
  <c r="CY128" i="2"/>
  <c r="CU136" i="12"/>
  <c r="CN377" i="2"/>
  <c r="CM377" i="2"/>
  <c r="CQ278" i="1"/>
  <c r="CQ280" i="1" s="1"/>
  <c r="CR277" i="1" s="1"/>
  <c r="CR280" i="1" s="1"/>
  <c r="CS277" i="1" s="1"/>
  <c r="CS280" i="1" s="1"/>
  <c r="CT277" i="1" s="1"/>
  <c r="CJ378" i="2"/>
  <c r="CO377" i="2"/>
  <c r="CH379" i="2"/>
  <c r="CI378" i="2"/>
  <c r="CJ379" i="2"/>
  <c r="CH378" i="2"/>
  <c r="DO381" i="1"/>
  <c r="CO346" i="2"/>
  <c r="CO362" i="2" s="1"/>
  <c r="CO347" i="2"/>
  <c r="CO363" i="2" s="1"/>
  <c r="DJ34" i="17"/>
  <c r="CO198" i="2"/>
  <c r="CN144" i="2"/>
  <c r="CN346" i="2"/>
  <c r="CN362" i="2" s="1"/>
  <c r="CN347" i="2"/>
  <c r="CN363" i="2" s="1"/>
  <c r="CU26" i="5"/>
  <c r="CU37" i="4"/>
  <c r="CN198" i="2"/>
  <c r="CU38" i="4"/>
  <c r="CT63" i="4"/>
  <c r="CU314" i="1"/>
  <c r="CU312" i="1" s="1"/>
  <c r="CR128" i="2"/>
  <c r="CR361" i="2"/>
  <c r="CR82" i="2"/>
  <c r="CR114" i="2" s="1"/>
  <c r="CS128" i="2"/>
  <c r="CS361" i="2"/>
  <c r="CS82" i="2"/>
  <c r="CU74" i="2"/>
  <c r="CU345" i="2" s="1"/>
  <c r="CQ128" i="2"/>
  <c r="CQ82" i="2"/>
  <c r="CQ361" i="2"/>
  <c r="CQ377" i="2" s="1"/>
  <c r="CT128" i="2"/>
  <c r="CT361" i="2"/>
  <c r="CT82" i="2"/>
  <c r="CM346" i="2"/>
  <c r="CM362" i="2" s="1"/>
  <c r="CM347" i="2"/>
  <c r="CM363" i="2" s="1"/>
  <c r="CL144" i="2"/>
  <c r="CL346" i="2"/>
  <c r="CL362" i="2" s="1"/>
  <c r="CL378" i="2" s="1"/>
  <c r="CL347" i="2"/>
  <c r="CL363" i="2" s="1"/>
  <c r="CL379" i="2" s="1"/>
  <c r="CJ213" i="2"/>
  <c r="CJ234" i="2"/>
  <c r="CI165" i="2"/>
  <c r="CK346" i="2"/>
  <c r="CK362" i="2" s="1"/>
  <c r="CK378" i="2" s="1"/>
  <c r="CK347" i="2"/>
  <c r="CK363" i="2" s="1"/>
  <c r="CK379" i="2" s="1"/>
  <c r="CC43" i="3"/>
  <c r="CC30" i="3"/>
  <c r="CD28" i="3"/>
  <c r="CD29" i="3"/>
  <c r="CE39" i="3"/>
  <c r="CF39" i="3" s="1"/>
  <c r="BQ140" i="1"/>
  <c r="BQ141" i="1" s="1"/>
  <c r="BP140" i="1"/>
  <c r="BP141" i="1" s="1"/>
  <c r="BM140" i="1"/>
  <c r="BM141" i="1" s="1"/>
  <c r="BO140" i="1"/>
  <c r="BO141" i="1" s="1"/>
  <c r="BN140" i="1"/>
  <c r="BN141" i="1" s="1"/>
  <c r="AD51" i="5"/>
  <c r="AD52" i="5" s="1"/>
  <c r="AE51" i="5" s="1"/>
  <c r="AE52" i="5" s="1"/>
  <c r="AF51" i="5" s="1"/>
  <c r="AF52" i="5" s="1"/>
  <c r="AG51" i="5" s="1"/>
  <c r="AG52" i="5" s="1"/>
  <c r="AH51" i="5"/>
  <c r="AH52" i="5" s="1"/>
  <c r="CN56" i="4"/>
  <c r="CO69" i="4"/>
  <c r="CO70" i="4" s="1"/>
  <c r="CO61" i="4"/>
  <c r="CO64" i="4"/>
  <c r="CP60" i="4"/>
  <c r="CH218" i="2"/>
  <c r="CM144" i="2"/>
  <c r="CM311" i="2"/>
  <c r="CM134" i="2"/>
  <c r="CM146" i="2"/>
  <c r="CM145" i="2"/>
  <c r="CM326" i="1" s="1"/>
  <c r="CM133" i="2"/>
  <c r="CM130" i="2"/>
  <c r="CM143" i="2"/>
  <c r="CM135" i="2"/>
  <c r="CM136" i="2"/>
  <c r="CM249" i="2"/>
  <c r="CM188" i="2"/>
  <c r="CM265" i="2"/>
  <c r="CI147" i="2"/>
  <c r="CJ165" i="2"/>
  <c r="CG165" i="2"/>
  <c r="CG215" i="2"/>
  <c r="CG214" i="2"/>
  <c r="CG327" i="1" s="1"/>
  <c r="CG269" i="2"/>
  <c r="CH287" i="2"/>
  <c r="CG234" i="2"/>
  <c r="CG217" i="2"/>
  <c r="CG212" i="2"/>
  <c r="CG202" i="2"/>
  <c r="CG216" i="2"/>
  <c r="CG287" i="2"/>
  <c r="CG251" i="2"/>
  <c r="CO249" i="2"/>
  <c r="CO265" i="2"/>
  <c r="CO283" i="2"/>
  <c r="CO188" i="2"/>
  <c r="CJ67" i="3"/>
  <c r="CJ74" i="3"/>
  <c r="CG147" i="2"/>
  <c r="CK144" i="2"/>
  <c r="CL130" i="2"/>
  <c r="CL145" i="2"/>
  <c r="CL326" i="1" s="1"/>
  <c r="CL311" i="2"/>
  <c r="CL136" i="2"/>
  <c r="CL133" i="2"/>
  <c r="CL146" i="2"/>
  <c r="CL134" i="2"/>
  <c r="CL135" i="2"/>
  <c r="CL143" i="2"/>
  <c r="CL114" i="2"/>
  <c r="CG213" i="2"/>
  <c r="CK249" i="2"/>
  <c r="CK188" i="2"/>
  <c r="CK213" i="2" s="1"/>
  <c r="CK232" i="2"/>
  <c r="CK265" i="2"/>
  <c r="CN133" i="2"/>
  <c r="CN134" i="2"/>
  <c r="CN146" i="2"/>
  <c r="CN311" i="2"/>
  <c r="CN145" i="2"/>
  <c r="CN326" i="1" s="1"/>
  <c r="CN135" i="2"/>
  <c r="CN130" i="2"/>
  <c r="CN114" i="2"/>
  <c r="CN136" i="2"/>
  <c r="CN143" i="2"/>
  <c r="CO143" i="2"/>
  <c r="CO134" i="2"/>
  <c r="CO146" i="2"/>
  <c r="CO114" i="2"/>
  <c r="CO135" i="2"/>
  <c r="CO145" i="2"/>
  <c r="CO326" i="1" s="1"/>
  <c r="CO311" i="2"/>
  <c r="CO133" i="2"/>
  <c r="CO136" i="2"/>
  <c r="CO130" i="2"/>
  <c r="CL188" i="2"/>
  <c r="CM283" i="2"/>
  <c r="CL265" i="2"/>
  <c r="CL249" i="2"/>
  <c r="CP179" i="2"/>
  <c r="CP198" i="2" s="1"/>
  <c r="CP199" i="2" s="1"/>
  <c r="CL283" i="2"/>
  <c r="CI67" i="3"/>
  <c r="CI74" i="3"/>
  <c r="CI212" i="2"/>
  <c r="CI251" i="2"/>
  <c r="CI217" i="2"/>
  <c r="CI216" i="2"/>
  <c r="CI214" i="2"/>
  <c r="CI327" i="1" s="1"/>
  <c r="CI215" i="2"/>
  <c r="CI269" i="2"/>
  <c r="CI202" i="2"/>
  <c r="CI287" i="2"/>
  <c r="CJ212" i="2"/>
  <c r="CJ215" i="2"/>
  <c r="CJ287" i="2"/>
  <c r="CJ251" i="2"/>
  <c r="CJ216" i="2"/>
  <c r="CJ269" i="2"/>
  <c r="CJ214" i="2"/>
  <c r="CJ327" i="1" s="1"/>
  <c r="CJ202" i="2"/>
  <c r="CJ217" i="2"/>
  <c r="CI213" i="2"/>
  <c r="CG74" i="3"/>
  <c r="CH74" i="3"/>
  <c r="CG67" i="3"/>
  <c r="CK8" i="3"/>
  <c r="CN265" i="2"/>
  <c r="CN249" i="2"/>
  <c r="CN213" i="2"/>
  <c r="CN283" i="2"/>
  <c r="CO144" i="2"/>
  <c r="CK143" i="2"/>
  <c r="CK324" i="1" s="1"/>
  <c r="CK311" i="2"/>
  <c r="CK114" i="2"/>
  <c r="CK136" i="2"/>
  <c r="CH165" i="2"/>
  <c r="CK146" i="2"/>
  <c r="CK135" i="2"/>
  <c r="CK134" i="2"/>
  <c r="CK145" i="2"/>
  <c r="CK326" i="1" s="1"/>
  <c r="CK133" i="2"/>
  <c r="CK130" i="2"/>
  <c r="CP112" i="2"/>
  <c r="CP361" i="2"/>
  <c r="CP377" i="2" s="1"/>
  <c r="CP128" i="2"/>
  <c r="CP82" i="2"/>
  <c r="CJ147" i="2"/>
  <c r="DQ91" i="4" l="1"/>
  <c r="EA333" i="1"/>
  <c r="DX238" i="2"/>
  <c r="DS272" i="2"/>
  <c r="DU272" i="2"/>
  <c r="DS254" i="2"/>
  <c r="DS238" i="2"/>
  <c r="EB356" i="1"/>
  <c r="EB348" i="1"/>
  <c r="EB364" i="1"/>
  <c r="EB375" i="1"/>
  <c r="EB337" i="1"/>
  <c r="EB369" i="1"/>
  <c r="EB355" i="1"/>
  <c r="EA384" i="1"/>
  <c r="DW136" i="12"/>
  <c r="EB256" i="1"/>
  <c r="EB362" i="1"/>
  <c r="EB365" i="1"/>
  <c r="DZ386" i="1"/>
  <c r="EB351" i="1"/>
  <c r="EB378" i="1"/>
  <c r="EB373" i="1"/>
  <c r="DP71" i="4"/>
  <c r="DP72" i="4"/>
  <c r="DX132" i="12"/>
  <c r="DY117" i="12"/>
  <c r="DX135" i="12"/>
  <c r="DY126" i="12"/>
  <c r="DV135" i="12"/>
  <c r="DV132" i="12"/>
  <c r="DW133" i="12"/>
  <c r="DW74" i="2"/>
  <c r="DT350" i="2"/>
  <c r="DT366" i="2" s="1"/>
  <c r="DT117" i="2"/>
  <c r="DT107" i="2"/>
  <c r="DY117" i="2"/>
  <c r="EA115" i="12"/>
  <c r="DY90" i="17"/>
  <c r="DY91" i="17" s="1"/>
  <c r="DY84" i="17"/>
  <c r="DY85" i="17" s="1"/>
  <c r="DY80" i="17"/>
  <c r="DY107" i="2"/>
  <c r="DX190" i="2"/>
  <c r="DX191" i="2" s="1"/>
  <c r="DX272" i="2"/>
  <c r="DY168" i="2"/>
  <c r="DX254" i="2"/>
  <c r="DY308" i="2"/>
  <c r="DY350" i="2"/>
  <c r="DY366" i="2" s="1"/>
  <c r="EA257" i="1"/>
  <c r="EA336" i="1"/>
  <c r="EA380" i="1"/>
  <c r="EB313" i="1"/>
  <c r="EA335" i="1"/>
  <c r="EA391" i="1"/>
  <c r="EB333" i="1"/>
  <c r="EA342" i="1"/>
  <c r="EA360" i="1"/>
  <c r="DL92" i="4"/>
  <c r="DR74" i="2"/>
  <c r="DO366" i="2"/>
  <c r="DK71" i="4"/>
  <c r="DK72" i="4"/>
  <c r="DT34" i="17"/>
  <c r="DT79" i="17" s="1"/>
  <c r="DT63" i="17"/>
  <c r="DT77" i="17"/>
  <c r="BD45" i="30"/>
  <c r="BD43" i="30" s="1"/>
  <c r="DZ115" i="12"/>
  <c r="DZ36" i="2"/>
  <c r="DZ63" i="17"/>
  <c r="DZ10" i="17"/>
  <c r="DZ79" i="17" s="1"/>
  <c r="DZ77" i="17"/>
  <c r="DJ127" i="12"/>
  <c r="DT126" i="12"/>
  <c r="DQ135" i="12"/>
  <c r="DQ132" i="12"/>
  <c r="DS132" i="12"/>
  <c r="DS74" i="2" s="1"/>
  <c r="DT117" i="12"/>
  <c r="DS135" i="12"/>
  <c r="DR136" i="12"/>
  <c r="DR133" i="12"/>
  <c r="DZ358" i="1"/>
  <c r="DZ367" i="1"/>
  <c r="DZ379" i="1"/>
  <c r="DZ374" i="1"/>
  <c r="DZ376" i="1"/>
  <c r="DZ390" i="1"/>
  <c r="DZ340" i="1"/>
  <c r="DZ370" i="1"/>
  <c r="DZ343" i="1"/>
  <c r="DZ363" i="1"/>
  <c r="DZ372" i="1"/>
  <c r="DZ357" i="1"/>
  <c r="DZ347" i="1"/>
  <c r="DY353" i="1"/>
  <c r="DF35" i="12"/>
  <c r="DF114" i="12" s="1"/>
  <c r="DG17" i="12"/>
  <c r="DJ123" i="12"/>
  <c r="DJ124" i="12" s="1"/>
  <c r="DK123" i="12"/>
  <c r="DP123" i="12" s="1"/>
  <c r="DU123" i="12" s="1"/>
  <c r="DN132" i="12"/>
  <c r="DO117" i="12"/>
  <c r="DO118" i="12" s="1"/>
  <c r="DN135" i="12"/>
  <c r="DN136" i="12" s="1"/>
  <c r="DM133" i="12"/>
  <c r="DO126" i="12"/>
  <c r="DL135" i="12"/>
  <c r="DL132" i="12"/>
  <c r="DY346" i="1"/>
  <c r="DY387" i="1"/>
  <c r="DY377" i="1"/>
  <c r="DY354" i="1"/>
  <c r="DY344" i="1"/>
  <c r="DY334" i="1"/>
  <c r="DT381" i="1"/>
  <c r="DY345" i="1"/>
  <c r="DY350" i="1"/>
  <c r="DY339" i="1"/>
  <c r="DY361" i="1"/>
  <c r="DY352" i="1"/>
  <c r="DY366" i="1"/>
  <c r="DY371" i="1"/>
  <c r="DY349" i="1"/>
  <c r="DC77" i="17"/>
  <c r="DC63" i="17"/>
  <c r="DB334" i="2"/>
  <c r="DB350" i="2" s="1"/>
  <c r="DB366" i="2" s="1"/>
  <c r="DB345" i="2"/>
  <c r="DB361" i="2" s="1"/>
  <c r="DI361" i="2"/>
  <c r="DI82" i="2"/>
  <c r="DG133" i="12"/>
  <c r="DH361" i="2"/>
  <c r="DH82" i="2"/>
  <c r="DJ118" i="12"/>
  <c r="DG117" i="2"/>
  <c r="DH133" i="12"/>
  <c r="DF132" i="12"/>
  <c r="DI133" i="12"/>
  <c r="CY144" i="2"/>
  <c r="CY114" i="2"/>
  <c r="CY346" i="2"/>
  <c r="CY362" i="2" s="1"/>
  <c r="CY347" i="2"/>
  <c r="CY363" i="2" s="1"/>
  <c r="DA133" i="12"/>
  <c r="DD133" i="12"/>
  <c r="DC128" i="2"/>
  <c r="DC133" i="12"/>
  <c r="DE127" i="12"/>
  <c r="DE132" i="12"/>
  <c r="DE133" i="12" s="1"/>
  <c r="DB133" i="12"/>
  <c r="CZ133" i="12"/>
  <c r="DA238" i="2"/>
  <c r="DB128" i="2"/>
  <c r="CX361" i="2"/>
  <c r="DC135" i="12"/>
  <c r="DC136" i="12" s="1"/>
  <c r="DC115" i="12"/>
  <c r="DB117" i="2"/>
  <c r="DD115" i="12"/>
  <c r="DD135" i="12"/>
  <c r="DD136" i="12" s="1"/>
  <c r="DA254" i="2"/>
  <c r="DA190" i="2"/>
  <c r="DA191" i="2" s="1"/>
  <c r="DE114" i="12"/>
  <c r="DE34" i="12"/>
  <c r="DD63" i="17"/>
  <c r="DD77" i="17"/>
  <c r="CT280" i="1"/>
  <c r="CU280" i="1" s="1"/>
  <c r="CV277" i="1" s="1"/>
  <c r="CU277" i="1"/>
  <c r="CS377" i="2"/>
  <c r="CV377" i="2"/>
  <c r="CV346" i="2"/>
  <c r="CV362" i="2" s="1"/>
  <c r="CV347" i="2"/>
  <c r="CV363" i="2" s="1"/>
  <c r="CN379" i="2"/>
  <c r="CT114" i="2"/>
  <c r="CT346" i="2"/>
  <c r="CT362" i="2" s="1"/>
  <c r="CT347" i="2"/>
  <c r="CT363" i="2" s="1"/>
  <c r="CT377" i="2"/>
  <c r="CX128" i="2"/>
  <c r="CU315" i="1"/>
  <c r="CZ74" i="2"/>
  <c r="CZ345" i="2" s="1"/>
  <c r="CX82" i="2"/>
  <c r="CS114" i="2"/>
  <c r="CS346" i="2"/>
  <c r="CS362" i="2" s="1"/>
  <c r="CS347" i="2"/>
  <c r="CS363" i="2" s="1"/>
  <c r="CU79" i="17"/>
  <c r="CR377" i="2"/>
  <c r="CW128" i="2"/>
  <c r="CZ21" i="4"/>
  <c r="CZ20" i="5"/>
  <c r="CR346" i="2"/>
  <c r="CR362" i="2" s="1"/>
  <c r="CR347" i="2"/>
  <c r="CR363" i="2" s="1"/>
  <c r="CV63" i="4"/>
  <c r="CV311" i="2"/>
  <c r="CV130" i="2"/>
  <c r="CV135" i="2"/>
  <c r="CV134" i="2"/>
  <c r="CV114" i="2"/>
  <c r="CV143" i="2"/>
  <c r="CV145" i="2"/>
  <c r="CV326" i="1" s="1"/>
  <c r="CV146" i="2"/>
  <c r="CV136" i="2"/>
  <c r="CV133" i="2"/>
  <c r="CV144" i="2"/>
  <c r="CY198" i="2"/>
  <c r="CY213" i="2"/>
  <c r="CW361" i="2"/>
  <c r="CW82" i="2"/>
  <c r="DB114" i="2" s="1"/>
  <c r="CV283" i="2"/>
  <c r="CV198" i="2"/>
  <c r="CV265" i="2"/>
  <c r="CV249" i="2"/>
  <c r="CV188" i="2"/>
  <c r="CV213" i="2" s="1"/>
  <c r="CY311" i="2"/>
  <c r="CY143" i="2"/>
  <c r="CY135" i="2"/>
  <c r="CY134" i="2"/>
  <c r="CY145" i="2"/>
  <c r="CY146" i="2"/>
  <c r="CY136" i="2"/>
  <c r="CY133" i="2"/>
  <c r="CN378" i="2"/>
  <c r="CY265" i="2"/>
  <c r="CY249" i="2"/>
  <c r="CY130" i="2"/>
  <c r="CM379" i="2"/>
  <c r="CO378" i="2"/>
  <c r="CM378" i="2"/>
  <c r="CO379" i="2"/>
  <c r="CQ346" i="2"/>
  <c r="CQ362" i="2" s="1"/>
  <c r="CQ378" i="2" s="1"/>
  <c r="CQ347" i="2"/>
  <c r="CQ363" i="2" s="1"/>
  <c r="CQ379" i="2" s="1"/>
  <c r="CP346" i="2"/>
  <c r="CP362" i="2" s="1"/>
  <c r="CP378" i="2" s="1"/>
  <c r="CP347" i="2"/>
  <c r="CP363" i="2" s="1"/>
  <c r="CP379" i="2" s="1"/>
  <c r="CO213" i="2"/>
  <c r="CO76" i="4"/>
  <c r="CO199" i="2"/>
  <c r="CU32" i="4"/>
  <c r="CU31" i="5"/>
  <c r="CU47" i="4"/>
  <c r="CU35" i="4"/>
  <c r="CV56" i="4" s="1"/>
  <c r="CU16" i="4"/>
  <c r="CU30" i="5"/>
  <c r="CN199" i="2"/>
  <c r="CL165" i="2"/>
  <c r="CP58" i="5"/>
  <c r="CU63" i="4"/>
  <c r="CQ60" i="4"/>
  <c r="CS283" i="2"/>
  <c r="CS249" i="2"/>
  <c r="CS198" i="2"/>
  <c r="CS265" i="2"/>
  <c r="CS188" i="2"/>
  <c r="CT283" i="2"/>
  <c r="CT249" i="2"/>
  <c r="CT198" i="2"/>
  <c r="CT265" i="2"/>
  <c r="CQ130" i="2"/>
  <c r="CQ146" i="2"/>
  <c r="CQ145" i="2"/>
  <c r="CQ326" i="1" s="1"/>
  <c r="CQ143" i="2"/>
  <c r="CQ136" i="2"/>
  <c r="CQ135" i="2"/>
  <c r="CQ134" i="2"/>
  <c r="CQ311" i="2"/>
  <c r="CQ114" i="2"/>
  <c r="CQ133" i="2"/>
  <c r="CU112" i="2"/>
  <c r="CU128" i="2"/>
  <c r="CU82" i="2"/>
  <c r="CU361" i="2"/>
  <c r="CU377" i="2" s="1"/>
  <c r="CR130" i="2"/>
  <c r="CR146" i="2"/>
  <c r="CR145" i="2"/>
  <c r="CR326" i="1" s="1"/>
  <c r="CR143" i="2"/>
  <c r="CR136" i="2"/>
  <c r="CR135" i="2"/>
  <c r="CR134" i="2"/>
  <c r="CR311" i="2"/>
  <c r="CR133" i="2"/>
  <c r="CR265" i="2"/>
  <c r="CR283" i="2"/>
  <c r="CR249" i="2"/>
  <c r="CR198" i="2"/>
  <c r="CR188" i="2"/>
  <c r="CU179" i="2"/>
  <c r="CQ283" i="2"/>
  <c r="CQ249" i="2"/>
  <c r="CQ198" i="2"/>
  <c r="CQ265" i="2"/>
  <c r="CQ188" i="2"/>
  <c r="CS130" i="2"/>
  <c r="CS146" i="2"/>
  <c r="CS145" i="2"/>
  <c r="CS326" i="1" s="1"/>
  <c r="CS143" i="2"/>
  <c r="CS136" i="2"/>
  <c r="CS135" i="2"/>
  <c r="CS134" i="2"/>
  <c r="CS311" i="2"/>
  <c r="CS133" i="2"/>
  <c r="CS144" i="2"/>
  <c r="CR144" i="2"/>
  <c r="CT146" i="2"/>
  <c r="CT143" i="2"/>
  <c r="CT134" i="2"/>
  <c r="CT130" i="2"/>
  <c r="CT145" i="2"/>
  <c r="CT326" i="1" s="1"/>
  <c r="CT135" i="2"/>
  <c r="CT136" i="2"/>
  <c r="CT311" i="2"/>
  <c r="CT133" i="2"/>
  <c r="CT144" i="2"/>
  <c r="CQ144" i="2"/>
  <c r="CF28" i="3"/>
  <c r="CF29" i="3"/>
  <c r="CD30" i="3"/>
  <c r="CD43" i="3"/>
  <c r="CG39" i="3"/>
  <c r="CE29" i="3"/>
  <c r="CE28" i="3"/>
  <c r="AI51" i="5"/>
  <c r="AI52" i="5" s="1"/>
  <c r="AJ51" i="5" s="1"/>
  <c r="AJ52" i="5" s="1"/>
  <c r="AK51" i="5" s="1"/>
  <c r="AK52" i="5" s="1"/>
  <c r="AL51" i="5" s="1"/>
  <c r="AL52" i="5" s="1"/>
  <c r="AM51" i="5"/>
  <c r="AM52" i="5" s="1"/>
  <c r="BV140" i="1"/>
  <c r="BV141" i="1" s="1"/>
  <c r="BS140" i="1"/>
  <c r="BR140" i="1"/>
  <c r="BR141" i="1" s="1"/>
  <c r="CN69" i="4"/>
  <c r="CN70" i="4" s="1"/>
  <c r="CM56" i="4"/>
  <c r="CP61" i="4"/>
  <c r="CP64" i="4"/>
  <c r="CP263" i="1"/>
  <c r="CP70" i="4"/>
  <c r="CM147" i="2"/>
  <c r="CM213" i="2"/>
  <c r="CM216" i="2"/>
  <c r="CM212" i="2"/>
  <c r="CM202" i="2"/>
  <c r="CM217" i="2"/>
  <c r="CM214" i="2"/>
  <c r="CM327" i="1" s="1"/>
  <c r="CM234" i="2"/>
  <c r="CM269" i="2"/>
  <c r="CM251" i="2"/>
  <c r="CM215" i="2"/>
  <c r="CM67" i="3"/>
  <c r="CI218" i="2"/>
  <c r="CP265" i="2"/>
  <c r="CP249" i="2"/>
  <c r="CP232" i="2"/>
  <c r="CP188" i="2"/>
  <c r="CL269" i="2"/>
  <c r="CL214" i="2"/>
  <c r="CL327" i="1" s="1"/>
  <c r="CL21" i="3"/>
  <c r="CL24" i="3" s="1"/>
  <c r="CL212" i="2"/>
  <c r="CL202" i="2"/>
  <c r="CL251" i="2"/>
  <c r="CM287" i="2"/>
  <c r="CL287" i="2"/>
  <c r="CL215" i="2"/>
  <c r="CL217" i="2"/>
  <c r="CL234" i="2"/>
  <c r="CL216" i="2"/>
  <c r="CN147" i="2"/>
  <c r="CG53" i="3"/>
  <c r="CG85" i="4"/>
  <c r="CM165" i="2"/>
  <c r="CP136" i="2"/>
  <c r="CP133" i="2"/>
  <c r="CP130" i="2"/>
  <c r="CP145" i="2"/>
  <c r="CP326" i="1" s="1"/>
  <c r="CP114" i="2"/>
  <c r="CP311" i="2"/>
  <c r="CP134" i="2"/>
  <c r="CP143" i="2"/>
  <c r="CP324" i="1" s="1"/>
  <c r="CP135" i="2"/>
  <c r="CP146" i="2"/>
  <c r="CP144" i="2"/>
  <c r="CK147" i="2"/>
  <c r="CO165" i="2"/>
  <c r="CN165" i="2"/>
  <c r="CK9" i="4"/>
  <c r="CL76" i="4" s="1"/>
  <c r="CK323" i="1"/>
  <c r="CN216" i="2"/>
  <c r="CN251" i="2"/>
  <c r="CN215" i="2"/>
  <c r="CN234" i="2"/>
  <c r="CN214" i="2"/>
  <c r="CN327" i="1" s="1"/>
  <c r="CN212" i="2"/>
  <c r="CN269" i="2"/>
  <c r="CN217" i="2"/>
  <c r="CN202" i="2"/>
  <c r="CN287" i="2"/>
  <c r="CK67" i="3"/>
  <c r="CK16" i="3"/>
  <c r="CI85" i="4"/>
  <c r="CI53" i="3"/>
  <c r="CL213" i="2"/>
  <c r="CO67" i="3"/>
  <c r="CO74" i="3"/>
  <c r="CK234" i="2"/>
  <c r="CK212" i="2"/>
  <c r="CK214" i="2"/>
  <c r="CK251" i="2"/>
  <c r="CK217" i="2"/>
  <c r="CK215" i="2"/>
  <c r="CK202" i="2"/>
  <c r="CK216" i="2"/>
  <c r="CK269" i="2"/>
  <c r="CP8" i="3"/>
  <c r="CL74" i="3"/>
  <c r="CL67" i="3"/>
  <c r="CM74" i="3"/>
  <c r="CG218" i="2"/>
  <c r="CK15" i="3"/>
  <c r="CJ218" i="2"/>
  <c r="CO147" i="2"/>
  <c r="CN67" i="3"/>
  <c r="CN74" i="3"/>
  <c r="CL147" i="2"/>
  <c r="CO234" i="2"/>
  <c r="CO202" i="2"/>
  <c r="CO269" i="2"/>
  <c r="CO215" i="2"/>
  <c r="CO251" i="2"/>
  <c r="CO217" i="2"/>
  <c r="CO214" i="2"/>
  <c r="CO327" i="1" s="1"/>
  <c r="CO212" i="2"/>
  <c r="CO216" i="2"/>
  <c r="CO287" i="2"/>
  <c r="EA386" i="1" l="1"/>
  <c r="DZ387" i="1"/>
  <c r="EB360" i="1"/>
  <c r="DZ334" i="1"/>
  <c r="EB342" i="1"/>
  <c r="EB380" i="1"/>
  <c r="EA385" i="1"/>
  <c r="EB384" i="1"/>
  <c r="EB391" i="1"/>
  <c r="EB336" i="1"/>
  <c r="EB335" i="1"/>
  <c r="DX136" i="12"/>
  <c r="DV136" i="12"/>
  <c r="DV133" i="12"/>
  <c r="DV74" i="2"/>
  <c r="DY123" i="12"/>
  <c r="DY132" i="12" s="1"/>
  <c r="DU132" i="12"/>
  <c r="DU135" i="12"/>
  <c r="DY127" i="12"/>
  <c r="DW361" i="2"/>
  <c r="DW377" i="2" s="1"/>
  <c r="DW179" i="2"/>
  <c r="DW82" i="2"/>
  <c r="DW144" i="2" s="1"/>
  <c r="DY118" i="12"/>
  <c r="DX74" i="2"/>
  <c r="DX128" i="2" s="1"/>
  <c r="DX133" i="12"/>
  <c r="DY81" i="17"/>
  <c r="DW112" i="2"/>
  <c r="DW128" i="2"/>
  <c r="DR361" i="2"/>
  <c r="EA81" i="17"/>
  <c r="DY221" i="2"/>
  <c r="DY190" i="2"/>
  <c r="DY191" i="2" s="1"/>
  <c r="DY238" i="2"/>
  <c r="EA117" i="2"/>
  <c r="EA107" i="2"/>
  <c r="EA357" i="1"/>
  <c r="EA343" i="1"/>
  <c r="EA390" i="1"/>
  <c r="EA379" i="1"/>
  <c r="EA372" i="1"/>
  <c r="EA370" i="1"/>
  <c r="EA376" i="1"/>
  <c r="EA367" i="1"/>
  <c r="EA347" i="1"/>
  <c r="EA363" i="1"/>
  <c r="EA340" i="1"/>
  <c r="EA374" i="1"/>
  <c r="EA358" i="1"/>
  <c r="DR179" i="2"/>
  <c r="DR198" i="2" s="1"/>
  <c r="DR199" i="2" s="1"/>
  <c r="EB257" i="1"/>
  <c r="DR82" i="2"/>
  <c r="DF34" i="12"/>
  <c r="DF7" i="17" s="1"/>
  <c r="DF8" i="17" s="1"/>
  <c r="DF63" i="17" s="1"/>
  <c r="DZ126" i="12"/>
  <c r="EA126" i="12" s="1"/>
  <c r="EB126" i="12" s="1"/>
  <c r="DS82" i="2"/>
  <c r="DT80" i="17"/>
  <c r="DT90" i="17"/>
  <c r="DT91" i="17" s="1"/>
  <c r="DT84" i="17"/>
  <c r="DT85" i="17" s="1"/>
  <c r="DT81" i="17"/>
  <c r="DM128" i="2"/>
  <c r="DR112" i="2"/>
  <c r="DR128" i="2"/>
  <c r="DZ81" i="17"/>
  <c r="DS133" i="12"/>
  <c r="DZ80" i="17"/>
  <c r="DZ90" i="17"/>
  <c r="DZ84" i="17"/>
  <c r="DZ85" i="17" s="1"/>
  <c r="DZ308" i="2"/>
  <c r="DZ168" i="2"/>
  <c r="EA254" i="2" s="1"/>
  <c r="DZ350" i="2"/>
  <c r="DZ366" i="2" s="1"/>
  <c r="DZ117" i="2"/>
  <c r="DZ107" i="2"/>
  <c r="DS136" i="12"/>
  <c r="DT118" i="12"/>
  <c r="DQ133" i="12"/>
  <c r="DQ136" i="12"/>
  <c r="DT123" i="12"/>
  <c r="DP132" i="12"/>
  <c r="DP135" i="12"/>
  <c r="DT127" i="12"/>
  <c r="DZ377" i="1"/>
  <c r="DZ352" i="1"/>
  <c r="DZ353" i="1"/>
  <c r="DZ366" i="1"/>
  <c r="DZ339" i="1"/>
  <c r="DZ349" i="1"/>
  <c r="DZ350" i="1"/>
  <c r="DZ354" i="1"/>
  <c r="DZ371" i="1"/>
  <c r="DZ344" i="1"/>
  <c r="DZ361" i="1"/>
  <c r="DZ345" i="1"/>
  <c r="DZ346" i="1"/>
  <c r="DI346" i="2"/>
  <c r="DI362" i="2" s="1"/>
  <c r="DI347" i="2"/>
  <c r="DI363" i="2" s="1"/>
  <c r="DG35" i="12"/>
  <c r="DG34" i="12" s="1"/>
  <c r="DG7" i="17" s="1"/>
  <c r="DG8" i="17" s="1"/>
  <c r="DH17" i="12"/>
  <c r="DH35" i="12" s="1"/>
  <c r="DH347" i="2"/>
  <c r="DH363" i="2" s="1"/>
  <c r="DH346" i="2"/>
  <c r="DH362" i="2" s="1"/>
  <c r="DM361" i="2"/>
  <c r="DM82" i="2"/>
  <c r="DN133" i="12"/>
  <c r="DJ132" i="12"/>
  <c r="DJ133" i="12" s="1"/>
  <c r="DK132" i="12"/>
  <c r="DK135" i="12"/>
  <c r="DO123" i="12"/>
  <c r="DL283" i="2"/>
  <c r="DL82" i="2"/>
  <c r="DL361" i="2"/>
  <c r="DO127" i="12"/>
  <c r="DL133" i="12"/>
  <c r="DF135" i="12"/>
  <c r="DK115" i="12"/>
  <c r="DL128" i="2"/>
  <c r="DH144" i="2"/>
  <c r="DY381" i="1"/>
  <c r="DF115" i="12"/>
  <c r="DB377" i="2"/>
  <c r="DB346" i="2"/>
  <c r="DB362" i="2" s="1"/>
  <c r="DB347" i="2"/>
  <c r="DB363" i="2" s="1"/>
  <c r="DH128" i="2"/>
  <c r="DI136" i="2"/>
  <c r="DI311" i="2"/>
  <c r="DI134" i="2"/>
  <c r="DI135" i="2"/>
  <c r="DI143" i="2"/>
  <c r="DI133" i="2"/>
  <c r="DI145" i="2"/>
  <c r="DI146" i="2"/>
  <c r="DH135" i="2"/>
  <c r="DH311" i="2"/>
  <c r="DH146" i="2"/>
  <c r="DH143" i="2"/>
  <c r="DH133" i="2"/>
  <c r="DH136" i="2"/>
  <c r="DH145" i="2"/>
  <c r="DH134" i="2"/>
  <c r="DG128" i="2"/>
  <c r="DG361" i="2"/>
  <c r="DG82" i="2"/>
  <c r="DI198" i="2"/>
  <c r="DI199" i="2" s="1"/>
  <c r="DI188" i="2"/>
  <c r="DI128" i="2"/>
  <c r="DH198" i="2"/>
  <c r="DH199" i="2" s="1"/>
  <c r="DH188" i="2"/>
  <c r="DF133" i="12"/>
  <c r="DI144" i="2"/>
  <c r="DC350" i="2"/>
  <c r="DC366" i="2" s="1"/>
  <c r="DH117" i="2"/>
  <c r="DB238" i="2"/>
  <c r="DG238" i="2"/>
  <c r="DG254" i="2"/>
  <c r="DD350" i="2"/>
  <c r="DI117" i="2"/>
  <c r="DI136" i="12"/>
  <c r="CV278" i="1"/>
  <c r="CV280" i="1" s="1"/>
  <c r="CW277" i="1" s="1"/>
  <c r="CW280" i="1" s="1"/>
  <c r="CX277" i="1" s="1"/>
  <c r="CX280" i="1" s="1"/>
  <c r="CY277" i="1" s="1"/>
  <c r="CW377" i="2"/>
  <c r="DA377" i="2"/>
  <c r="CY377" i="2"/>
  <c r="CY199" i="2"/>
  <c r="CX377" i="2"/>
  <c r="CX311" i="2"/>
  <c r="CX114" i="2"/>
  <c r="CX346" i="2"/>
  <c r="CX362" i="2" s="1"/>
  <c r="CX347" i="2"/>
  <c r="CX363" i="2" s="1"/>
  <c r="DC112" i="2"/>
  <c r="DE74" i="2"/>
  <c r="CW144" i="2"/>
  <c r="CW346" i="2"/>
  <c r="CW362" i="2" s="1"/>
  <c r="CW378" i="2" s="1"/>
  <c r="CW347" i="2"/>
  <c r="CW363" i="2" s="1"/>
  <c r="CW379" i="2" s="1"/>
  <c r="DD361" i="2"/>
  <c r="DD128" i="2"/>
  <c r="DC361" i="2"/>
  <c r="DC377" i="2" s="1"/>
  <c r="DA128" i="2"/>
  <c r="DA82" i="2"/>
  <c r="DB198" i="2"/>
  <c r="DB199" i="2" s="1"/>
  <c r="DB249" i="2"/>
  <c r="DB311" i="2"/>
  <c r="CZ361" i="2"/>
  <c r="CZ377" i="2" s="1"/>
  <c r="CW249" i="2"/>
  <c r="DB265" i="2"/>
  <c r="CX198" i="2"/>
  <c r="DC117" i="2"/>
  <c r="DC82" i="2"/>
  <c r="DC107" i="2"/>
  <c r="DE36" i="2"/>
  <c r="DB190" i="2"/>
  <c r="DB191" i="2" s="1"/>
  <c r="DB254" i="2"/>
  <c r="DE7" i="17"/>
  <c r="DE8" i="17" s="1"/>
  <c r="B77" i="30"/>
  <c r="DD82" i="2"/>
  <c r="DD117" i="2"/>
  <c r="DB133" i="2"/>
  <c r="DB134" i="2"/>
  <c r="DB146" i="2"/>
  <c r="DB136" i="2"/>
  <c r="DB135" i="2"/>
  <c r="DB145" i="2"/>
  <c r="DB144" i="2"/>
  <c r="DB130" i="2"/>
  <c r="DB143" i="2"/>
  <c r="DE115" i="12"/>
  <c r="DE135" i="12"/>
  <c r="CV379" i="2"/>
  <c r="CV378" i="2"/>
  <c r="CV199" i="2"/>
  <c r="CR378" i="2"/>
  <c r="CS378" i="2"/>
  <c r="CS379" i="2"/>
  <c r="CU346" i="2"/>
  <c r="CU362" i="2" s="1"/>
  <c r="CU378" i="2" s="1"/>
  <c r="CU347" i="2"/>
  <c r="CU363" i="2" s="1"/>
  <c r="CU379" i="2" s="1"/>
  <c r="CT378" i="2"/>
  <c r="CT379" i="2"/>
  <c r="CZ112" i="2"/>
  <c r="CY283" i="2"/>
  <c r="CX265" i="2"/>
  <c r="CX188" i="2"/>
  <c r="CX213" i="2" s="1"/>
  <c r="CX249" i="2"/>
  <c r="CU80" i="17"/>
  <c r="CU90" i="17"/>
  <c r="CU91" i="17" s="1"/>
  <c r="CZ315" i="1"/>
  <c r="CU81" i="17"/>
  <c r="CZ81" i="17"/>
  <c r="CZ128" i="2"/>
  <c r="CZ82" i="2"/>
  <c r="CT199" i="2"/>
  <c r="CU84" i="17"/>
  <c r="CU85" i="17" s="1"/>
  <c r="CX144" i="2"/>
  <c r="CX145" i="2"/>
  <c r="CX135" i="2"/>
  <c r="CX146" i="2"/>
  <c r="CX143" i="2"/>
  <c r="CX136" i="2"/>
  <c r="CX130" i="2"/>
  <c r="CX133" i="2"/>
  <c r="CX134" i="2"/>
  <c r="CR379" i="2"/>
  <c r="CS199" i="2"/>
  <c r="CW114" i="2"/>
  <c r="CW56" i="4"/>
  <c r="CZ31" i="4"/>
  <c r="CR199" i="2"/>
  <c r="CW63" i="4"/>
  <c r="CY147" i="2"/>
  <c r="CW130" i="2"/>
  <c r="CW283" i="2"/>
  <c r="CW198" i="2"/>
  <c r="CW213" i="2"/>
  <c r="CX283" i="2"/>
  <c r="CV67" i="3"/>
  <c r="CV74" i="3"/>
  <c r="CY67" i="3"/>
  <c r="CV147" i="2"/>
  <c r="CW265" i="2"/>
  <c r="CV251" i="2"/>
  <c r="CV269" i="2"/>
  <c r="CV216" i="2"/>
  <c r="CV217" i="2"/>
  <c r="CV215" i="2"/>
  <c r="CV212" i="2"/>
  <c r="CV287" i="2"/>
  <c r="CV214" i="2"/>
  <c r="CV234" i="2"/>
  <c r="CV202" i="2"/>
  <c r="CZ179" i="2"/>
  <c r="CW143" i="2"/>
  <c r="CW311" i="2"/>
  <c r="CW135" i="2"/>
  <c r="CW146" i="2"/>
  <c r="CW136" i="2"/>
  <c r="CW145" i="2"/>
  <c r="CW134" i="2"/>
  <c r="CW133" i="2"/>
  <c r="CY234" i="2"/>
  <c r="CY214" i="2"/>
  <c r="CY215" i="2"/>
  <c r="CY217" i="2"/>
  <c r="CY216" i="2"/>
  <c r="CY212" i="2"/>
  <c r="CY202" i="2"/>
  <c r="CT213" i="2"/>
  <c r="CY251" i="2"/>
  <c r="CY269" i="2"/>
  <c r="CQ199" i="2"/>
  <c r="CU11" i="4"/>
  <c r="CU56" i="4"/>
  <c r="CU69" i="4" s="1"/>
  <c r="CQ165" i="2"/>
  <c r="CU58" i="5"/>
  <c r="CU8" i="3"/>
  <c r="CR60" i="4"/>
  <c r="CU20" i="3"/>
  <c r="CQ61" i="4"/>
  <c r="CQ64" i="4"/>
  <c r="CT165" i="2"/>
  <c r="CS165" i="2"/>
  <c r="CU144" i="2"/>
  <c r="CS147" i="2"/>
  <c r="CU265" i="2"/>
  <c r="CU198" i="2"/>
  <c r="CU199" i="2" s="1"/>
  <c r="CU232" i="2"/>
  <c r="CU249" i="2"/>
  <c r="CU188" i="2"/>
  <c r="CR74" i="3"/>
  <c r="CR67" i="3"/>
  <c r="CR147" i="2"/>
  <c r="CR165" i="2"/>
  <c r="CT202" i="2"/>
  <c r="CT251" i="2"/>
  <c r="CT287" i="2"/>
  <c r="CT216" i="2"/>
  <c r="CT212" i="2"/>
  <c r="CT215" i="2"/>
  <c r="CT214" i="2"/>
  <c r="CT327" i="1" s="1"/>
  <c r="CT217" i="2"/>
  <c r="CT234" i="2"/>
  <c r="CT269" i="2"/>
  <c r="CT147" i="2"/>
  <c r="CR287" i="2"/>
  <c r="CR251" i="2"/>
  <c r="CR215" i="2"/>
  <c r="CR216" i="2"/>
  <c r="CR212" i="2"/>
  <c r="CR214" i="2"/>
  <c r="CR327" i="1" s="1"/>
  <c r="CR234" i="2"/>
  <c r="CR217" i="2"/>
  <c r="CR269" i="2"/>
  <c r="CR202" i="2"/>
  <c r="CS74" i="3"/>
  <c r="CS67" i="3"/>
  <c r="CQ202" i="2"/>
  <c r="CQ287" i="2"/>
  <c r="CQ251" i="2"/>
  <c r="CQ216" i="2"/>
  <c r="CQ269" i="2"/>
  <c r="CQ212" i="2"/>
  <c r="CQ234" i="2"/>
  <c r="CQ214" i="2"/>
  <c r="CQ217" i="2"/>
  <c r="CQ215" i="2"/>
  <c r="CR213" i="2"/>
  <c r="CU136" i="2"/>
  <c r="CU134" i="2"/>
  <c r="CU145" i="2"/>
  <c r="CU326" i="1" s="1"/>
  <c r="CU135" i="2"/>
  <c r="CU130" i="2"/>
  <c r="CU146" i="2"/>
  <c r="CU143" i="2"/>
  <c r="CU324" i="1" s="1"/>
  <c r="CU311" i="2"/>
  <c r="CU114" i="2"/>
  <c r="CU133" i="2"/>
  <c r="CQ147" i="2"/>
  <c r="CS287" i="2"/>
  <c r="CS251" i="2"/>
  <c r="CS214" i="2"/>
  <c r="CS327" i="1" s="1"/>
  <c r="CS217" i="2"/>
  <c r="CS216" i="2"/>
  <c r="CS212" i="2"/>
  <c r="CS215" i="2"/>
  <c r="CS234" i="2"/>
  <c r="CS269" i="2"/>
  <c r="CS202" i="2"/>
  <c r="CT74" i="3"/>
  <c r="CT67" i="3"/>
  <c r="CQ213" i="2"/>
  <c r="CQ74" i="3"/>
  <c r="CQ67" i="3"/>
  <c r="CS213" i="2"/>
  <c r="CL26" i="3"/>
  <c r="CL63" i="3"/>
  <c r="CL46" i="3" s="1"/>
  <c r="CL32" i="3"/>
  <c r="CK327" i="1"/>
  <c r="CH39" i="3"/>
  <c r="CG29" i="3"/>
  <c r="CE30" i="3"/>
  <c r="CE43" i="3"/>
  <c r="CF30" i="3"/>
  <c r="CF43" i="3"/>
  <c r="AN51" i="5"/>
  <c r="AN52" i="5" s="1"/>
  <c r="AO51" i="5" s="1"/>
  <c r="AO52" i="5" s="1"/>
  <c r="AP51" i="5" s="1"/>
  <c r="AP52" i="5" s="1"/>
  <c r="AQ51" i="5" s="1"/>
  <c r="AQ52" i="5" s="1"/>
  <c r="AR51" i="5"/>
  <c r="AR52" i="5" s="1"/>
  <c r="BS141" i="1"/>
  <c r="BT140" i="1"/>
  <c r="BW140" i="1"/>
  <c r="CA140" i="1"/>
  <c r="CA141" i="1" s="1"/>
  <c r="CL56" i="4"/>
  <c r="CM69" i="4"/>
  <c r="CM70" i="4" s="1"/>
  <c r="CM53" i="3"/>
  <c r="CM85" i="4"/>
  <c r="CM218" i="2"/>
  <c r="CP16" i="3"/>
  <c r="CP67" i="3"/>
  <c r="CI58" i="3"/>
  <c r="CN53" i="3"/>
  <c r="CN85" i="4"/>
  <c r="CP323" i="1"/>
  <c r="CL85" i="4"/>
  <c r="CL53" i="3"/>
  <c r="CP15" i="3"/>
  <c r="CP9" i="4"/>
  <c r="CQ76" i="4" s="1"/>
  <c r="CK76" i="4"/>
  <c r="CK19" i="5"/>
  <c r="CK218" i="2"/>
  <c r="CP147" i="2"/>
  <c r="CO218" i="2"/>
  <c r="CK60" i="3"/>
  <c r="CI55" i="3"/>
  <c r="CI62" i="3"/>
  <c r="CI69" i="3"/>
  <c r="CK59" i="3"/>
  <c r="CN218" i="2"/>
  <c r="CG62" i="3"/>
  <c r="CG55" i="3"/>
  <c r="CG76" i="3"/>
  <c r="CG69" i="3"/>
  <c r="CL218" i="2"/>
  <c r="CP213" i="2"/>
  <c r="CP269" i="2"/>
  <c r="CP217" i="2"/>
  <c r="CP251" i="2"/>
  <c r="CP216" i="2"/>
  <c r="CP214" i="2"/>
  <c r="CP234" i="2"/>
  <c r="CP215" i="2"/>
  <c r="CP212" i="2"/>
  <c r="CP202" i="2"/>
  <c r="EA334" i="1" l="1"/>
  <c r="DQ345" i="2"/>
  <c r="DQ361" i="2" s="1"/>
  <c r="EB358" i="1"/>
  <c r="EB376" i="1"/>
  <c r="EB343" i="1"/>
  <c r="EB374" i="1"/>
  <c r="EB370" i="1"/>
  <c r="EB357" i="1"/>
  <c r="EB340" i="1"/>
  <c r="EB372" i="1"/>
  <c r="EB363" i="1"/>
  <c r="EB347" i="1"/>
  <c r="EB379" i="1"/>
  <c r="EB385" i="1"/>
  <c r="EB367" i="1"/>
  <c r="EB390" i="1"/>
  <c r="EA387" i="1"/>
  <c r="EB386" i="1"/>
  <c r="DY135" i="12"/>
  <c r="DU136" i="12"/>
  <c r="DW135" i="2"/>
  <c r="DW143" i="2"/>
  <c r="DW362" i="2"/>
  <c r="DW378" i="2" s="1"/>
  <c r="DW363" i="2"/>
  <c r="DW379" i="2" s="1"/>
  <c r="DW145" i="2"/>
  <c r="DW8" i="3"/>
  <c r="DW136" i="2"/>
  <c r="DW146" i="2"/>
  <c r="DW311" i="2"/>
  <c r="DW133" i="2"/>
  <c r="DW134" i="2"/>
  <c r="DU133" i="12"/>
  <c r="DU74" i="2"/>
  <c r="DX179" i="2"/>
  <c r="DX361" i="2"/>
  <c r="DX377" i="2" s="1"/>
  <c r="DX82" i="2"/>
  <c r="DX130" i="2" s="1"/>
  <c r="DY124" i="12"/>
  <c r="DW198" i="2"/>
  <c r="DW199" i="2" s="1"/>
  <c r="DW188" i="2"/>
  <c r="DW213" i="2" s="1"/>
  <c r="DV361" i="2"/>
  <c r="DV377" i="2" s="1"/>
  <c r="DV179" i="2"/>
  <c r="DV82" i="2"/>
  <c r="DV144" i="2" s="1"/>
  <c r="DX112" i="2"/>
  <c r="DV128" i="2"/>
  <c r="DV112" i="2"/>
  <c r="DW249" i="2"/>
  <c r="DW265" i="2"/>
  <c r="DR188" i="2"/>
  <c r="DS144" i="2"/>
  <c r="DR144" i="2"/>
  <c r="DW130" i="2"/>
  <c r="DW114" i="2"/>
  <c r="DR134" i="2"/>
  <c r="DR136" i="2"/>
  <c r="EA345" i="1"/>
  <c r="EA371" i="1"/>
  <c r="EA349" i="1"/>
  <c r="EA353" i="1"/>
  <c r="EB334" i="1"/>
  <c r="EA361" i="1"/>
  <c r="EA354" i="1"/>
  <c r="EA339" i="1"/>
  <c r="EA352" i="1"/>
  <c r="DR143" i="2"/>
  <c r="EA346" i="1"/>
  <c r="EA344" i="1"/>
  <c r="EA350" i="1"/>
  <c r="EA366" i="1"/>
  <c r="EA377" i="1"/>
  <c r="DR146" i="2"/>
  <c r="DQ128" i="2"/>
  <c r="DR133" i="2"/>
  <c r="DR145" i="2"/>
  <c r="DR363" i="2"/>
  <c r="DR362" i="2"/>
  <c r="DR8" i="3"/>
  <c r="DR311" i="2"/>
  <c r="DR135" i="2"/>
  <c r="DQ82" i="2"/>
  <c r="DN345" i="2"/>
  <c r="DN361" i="2" s="1"/>
  <c r="DZ91" i="17"/>
  <c r="DS361" i="2"/>
  <c r="DS179" i="2"/>
  <c r="DT135" i="12"/>
  <c r="DF77" i="17"/>
  <c r="DM114" i="2"/>
  <c r="DM234" i="2"/>
  <c r="DM346" i="2"/>
  <c r="DM362" i="2" s="1"/>
  <c r="DM347" i="2"/>
  <c r="DM363" i="2" s="1"/>
  <c r="AF77" i="30"/>
  <c r="AH77" i="30"/>
  <c r="AG77" i="30"/>
  <c r="AE77" i="30"/>
  <c r="DL346" i="2"/>
  <c r="DL362" i="2" s="1"/>
  <c r="DL347" i="2"/>
  <c r="DL363" i="2" s="1"/>
  <c r="DT132" i="12"/>
  <c r="DZ381" i="1"/>
  <c r="DM283" i="2"/>
  <c r="DS143" i="2"/>
  <c r="DS8" i="3"/>
  <c r="DS145" i="2"/>
  <c r="DS311" i="2"/>
  <c r="DS136" i="2"/>
  <c r="DS363" i="2"/>
  <c r="DS134" i="2"/>
  <c r="DS146" i="2"/>
  <c r="DS135" i="2"/>
  <c r="DS362" i="2"/>
  <c r="DS133" i="2"/>
  <c r="DI287" i="2"/>
  <c r="DK287" i="2"/>
  <c r="DM144" i="2"/>
  <c r="DR130" i="2"/>
  <c r="DR114" i="2"/>
  <c r="DM249" i="2"/>
  <c r="DR249" i="2"/>
  <c r="DR265" i="2"/>
  <c r="DS112" i="2"/>
  <c r="DS128" i="2"/>
  <c r="DZ190" i="2"/>
  <c r="DZ191" i="2" s="1"/>
  <c r="DZ238" i="2"/>
  <c r="DZ254" i="2"/>
  <c r="DZ123" i="12"/>
  <c r="EA123" i="12" s="1"/>
  <c r="EB123" i="12" s="1"/>
  <c r="DP136" i="12"/>
  <c r="DP133" i="12"/>
  <c r="DT124" i="12"/>
  <c r="DJ17" i="12"/>
  <c r="DG114" i="12"/>
  <c r="DG135" i="12" s="1"/>
  <c r="DO132" i="12"/>
  <c r="DH34" i="12"/>
  <c r="DH7" i="17" s="1"/>
  <c r="DH8" i="17" s="1"/>
  <c r="DH63" i="17" s="1"/>
  <c r="DH114" i="12"/>
  <c r="DD366" i="2"/>
  <c r="DJ35" i="12"/>
  <c r="DM265" i="2"/>
  <c r="DM130" i="2"/>
  <c r="DO135" i="12"/>
  <c r="DM134" i="2"/>
  <c r="DM136" i="2"/>
  <c r="DM311" i="2"/>
  <c r="DM145" i="2"/>
  <c r="DM143" i="2"/>
  <c r="DM146" i="2"/>
  <c r="DM135" i="2"/>
  <c r="DM133" i="2"/>
  <c r="DM198" i="2"/>
  <c r="DM199" i="2" s="1"/>
  <c r="DK133" i="12"/>
  <c r="DG77" i="17"/>
  <c r="DG63" i="17"/>
  <c r="DN82" i="2"/>
  <c r="DN128" i="2"/>
  <c r="DO124" i="12"/>
  <c r="DL144" i="2"/>
  <c r="DL143" i="2"/>
  <c r="DL145" i="2"/>
  <c r="DL311" i="2"/>
  <c r="DL136" i="2"/>
  <c r="DL134" i="2"/>
  <c r="DL146" i="2"/>
  <c r="DL133" i="2"/>
  <c r="DL135" i="2"/>
  <c r="DL198" i="2"/>
  <c r="DL199" i="2" s="1"/>
  <c r="DL287" i="2"/>
  <c r="DG347" i="2"/>
  <c r="DG363" i="2" s="1"/>
  <c r="DG346" i="2"/>
  <c r="DG362" i="2" s="1"/>
  <c r="DF136" i="12"/>
  <c r="DK136" i="12"/>
  <c r="DH213" i="2"/>
  <c r="DG114" i="2"/>
  <c r="DL114" i="2"/>
  <c r="DL130" i="2"/>
  <c r="DL249" i="2"/>
  <c r="DL265" i="2"/>
  <c r="DD377" i="2"/>
  <c r="DF117" i="2"/>
  <c r="DF350" i="2"/>
  <c r="DG366" i="2" s="1"/>
  <c r="DJ36" i="2"/>
  <c r="DJ334" i="2" s="1"/>
  <c r="DD346" i="2"/>
  <c r="DD362" i="2" s="1"/>
  <c r="DD347" i="2"/>
  <c r="DD363" i="2" s="1"/>
  <c r="DI265" i="2"/>
  <c r="DE345" i="2"/>
  <c r="DE361" i="2" s="1"/>
  <c r="DE334" i="2"/>
  <c r="DE350" i="2" s="1"/>
  <c r="DE366" i="2" s="1"/>
  <c r="DZ117" i="12"/>
  <c r="EA117" i="12" s="1"/>
  <c r="DC265" i="2"/>
  <c r="DC346" i="2"/>
  <c r="DC362" i="2" s="1"/>
  <c r="DC347" i="2"/>
  <c r="DC363" i="2" s="1"/>
  <c r="DH249" i="2"/>
  <c r="DH265" i="2"/>
  <c r="DG130" i="2"/>
  <c r="DI234" i="2"/>
  <c r="DI217" i="2"/>
  <c r="DI216" i="2"/>
  <c r="DI202" i="2"/>
  <c r="DI212" i="2"/>
  <c r="DI215" i="2"/>
  <c r="DI214" i="2"/>
  <c r="DG133" i="2"/>
  <c r="DG143" i="2"/>
  <c r="DG136" i="2"/>
  <c r="DG311" i="2"/>
  <c r="DG145" i="2"/>
  <c r="DG134" i="2"/>
  <c r="DG135" i="2"/>
  <c r="DG146" i="2"/>
  <c r="DI147" i="2"/>
  <c r="DJ74" i="2"/>
  <c r="DJ345" i="2" s="1"/>
  <c r="DF128" i="2"/>
  <c r="DF361" i="2"/>
  <c r="DG377" i="2" s="1"/>
  <c r="DF82" i="2"/>
  <c r="DG198" i="2"/>
  <c r="DG249" i="2"/>
  <c r="DG265" i="2"/>
  <c r="DG188" i="2"/>
  <c r="DI249" i="2"/>
  <c r="DH202" i="2"/>
  <c r="DH215" i="2"/>
  <c r="DH212" i="2"/>
  <c r="DH216" i="2"/>
  <c r="DH234" i="2"/>
  <c r="DH214" i="2"/>
  <c r="DH217" i="2"/>
  <c r="DI213" i="2"/>
  <c r="DG144" i="2"/>
  <c r="DH147" i="2"/>
  <c r="DI238" i="2"/>
  <c r="DI254" i="2"/>
  <c r="DH254" i="2"/>
  <c r="DH238" i="2"/>
  <c r="DE136" i="12"/>
  <c r="DI114" i="2"/>
  <c r="DI130" i="2"/>
  <c r="DH114" i="2"/>
  <c r="DH130" i="2"/>
  <c r="CZ277" i="1"/>
  <c r="CY280" i="1"/>
  <c r="CZ280" i="1" s="1"/>
  <c r="DA346" i="2"/>
  <c r="DA362" i="2" s="1"/>
  <c r="DA378" i="2" s="1"/>
  <c r="DA347" i="2"/>
  <c r="DA363" i="2" s="1"/>
  <c r="DA379" i="2" s="1"/>
  <c r="CX379" i="2"/>
  <c r="CZ144" i="2"/>
  <c r="CZ346" i="2"/>
  <c r="CZ362" i="2" s="1"/>
  <c r="CZ378" i="2" s="1"/>
  <c r="CZ347" i="2"/>
  <c r="CZ363" i="2" s="1"/>
  <c r="CZ379" i="2" s="1"/>
  <c r="CY378" i="2"/>
  <c r="CY379" i="2"/>
  <c r="CX378" i="2"/>
  <c r="CX199" i="2"/>
  <c r="DE179" i="2"/>
  <c r="DE249" i="2" s="1"/>
  <c r="DE128" i="2"/>
  <c r="DE112" i="2"/>
  <c r="AD77" i="30"/>
  <c r="AC77" i="30"/>
  <c r="AB77" i="30"/>
  <c r="AA77" i="30"/>
  <c r="DA198" i="2"/>
  <c r="DA199" i="2" s="1"/>
  <c r="DA249" i="2"/>
  <c r="DA265" i="2"/>
  <c r="DA188" i="2"/>
  <c r="DC249" i="2"/>
  <c r="DC198" i="2"/>
  <c r="DC199" i="2" s="1"/>
  <c r="DD198" i="2"/>
  <c r="DD199" i="2" s="1"/>
  <c r="DD249" i="2"/>
  <c r="DD265" i="2"/>
  <c r="DA143" i="2"/>
  <c r="DA145" i="2"/>
  <c r="DA144" i="2"/>
  <c r="DA133" i="2"/>
  <c r="DA146" i="2"/>
  <c r="DA114" i="2"/>
  <c r="DA134" i="2"/>
  <c r="DA135" i="2"/>
  <c r="DA311" i="2"/>
  <c r="DB74" i="3"/>
  <c r="DA136" i="2"/>
  <c r="DA130" i="2"/>
  <c r="DE14" i="4"/>
  <c r="DE18" i="4"/>
  <c r="CV327" i="1"/>
  <c r="CW199" i="2"/>
  <c r="DC311" i="2"/>
  <c r="DD133" i="2"/>
  <c r="DD311" i="2"/>
  <c r="DB251" i="2"/>
  <c r="DE308" i="2"/>
  <c r="DC238" i="2"/>
  <c r="DD238" i="2"/>
  <c r="DB212" i="2"/>
  <c r="DB215" i="2"/>
  <c r="DB202" i="2"/>
  <c r="DB214" i="2"/>
  <c r="DB217" i="2"/>
  <c r="DB213" i="2"/>
  <c r="DB216" i="2"/>
  <c r="DB67" i="3"/>
  <c r="DD136" i="2"/>
  <c r="DD134" i="2"/>
  <c r="DD130" i="2"/>
  <c r="DD114" i="2"/>
  <c r="DD143" i="2"/>
  <c r="DD146" i="2"/>
  <c r="DD135" i="2"/>
  <c r="DD144" i="2"/>
  <c r="DD145" i="2"/>
  <c r="DE63" i="17"/>
  <c r="DE77" i="17"/>
  <c r="DE10" i="17"/>
  <c r="DB147" i="2"/>
  <c r="DE117" i="2"/>
  <c r="DE82" i="2"/>
  <c r="DE107" i="2"/>
  <c r="DC133" i="2"/>
  <c r="DC144" i="2"/>
  <c r="DC134" i="2"/>
  <c r="DC146" i="2"/>
  <c r="DC145" i="2"/>
  <c r="DC136" i="2"/>
  <c r="DC143" i="2"/>
  <c r="DC130" i="2"/>
  <c r="DC114" i="2"/>
  <c r="DH67" i="3"/>
  <c r="DC135" i="2"/>
  <c r="I77" i="30"/>
  <c r="Y77" i="30"/>
  <c r="G77" i="30"/>
  <c r="H77" i="30"/>
  <c r="T77" i="30"/>
  <c r="U77" i="30"/>
  <c r="E77" i="30"/>
  <c r="D77" i="30"/>
  <c r="F77" i="30"/>
  <c r="K77" i="30"/>
  <c r="Q77" i="30"/>
  <c r="P77" i="30"/>
  <c r="Z77" i="30"/>
  <c r="V77" i="30"/>
  <c r="L77" i="30"/>
  <c r="W77" i="30"/>
  <c r="X77" i="30"/>
  <c r="O77" i="30"/>
  <c r="R77" i="30"/>
  <c r="N77" i="30"/>
  <c r="M77" i="30"/>
  <c r="S77" i="30"/>
  <c r="J77" i="30"/>
  <c r="C77" i="30"/>
  <c r="DC190" i="2"/>
  <c r="DC191" i="2" s="1"/>
  <c r="DC254" i="2"/>
  <c r="DC188" i="2"/>
  <c r="DC287" i="2" s="1"/>
  <c r="DE168" i="2"/>
  <c r="DD188" i="2"/>
  <c r="DD190" i="2"/>
  <c r="DD191" i="2" s="1"/>
  <c r="DD254" i="2"/>
  <c r="DB269" i="2"/>
  <c r="CX214" i="2"/>
  <c r="CX251" i="2"/>
  <c r="CY287" i="2"/>
  <c r="CX217" i="2"/>
  <c r="CX215" i="2"/>
  <c r="CX269" i="2"/>
  <c r="CX202" i="2"/>
  <c r="CX234" i="2"/>
  <c r="CX212" i="2"/>
  <c r="CX216" i="2"/>
  <c r="CX53" i="3"/>
  <c r="CZ136" i="2"/>
  <c r="CZ114" i="2"/>
  <c r="DE315" i="1"/>
  <c r="CZ145" i="2"/>
  <c r="CZ326" i="1" s="1"/>
  <c r="CZ58" i="5"/>
  <c r="CY165" i="2"/>
  <c r="CZ146" i="2"/>
  <c r="CZ143" i="2"/>
  <c r="CZ324" i="1" s="1"/>
  <c r="CZ311" i="2"/>
  <c r="CX165" i="2"/>
  <c r="CZ130" i="2"/>
  <c r="CW165" i="2"/>
  <c r="CZ133" i="2"/>
  <c r="CZ134" i="2"/>
  <c r="CZ135" i="2"/>
  <c r="CV165" i="2"/>
  <c r="CY74" i="3"/>
  <c r="CX67" i="3"/>
  <c r="CX147" i="2"/>
  <c r="CQ327" i="1"/>
  <c r="CW251" i="2"/>
  <c r="CX56" i="4"/>
  <c r="CZ20" i="4"/>
  <c r="CZ34" i="4"/>
  <c r="CZ17" i="4"/>
  <c r="CG86" i="4"/>
  <c r="CX63" i="4"/>
  <c r="CX287" i="2"/>
  <c r="CW269" i="2"/>
  <c r="CV218" i="2"/>
  <c r="CZ232" i="2"/>
  <c r="CZ198" i="2"/>
  <c r="CZ199" i="2" s="1"/>
  <c r="CZ188" i="2"/>
  <c r="CW212" i="2"/>
  <c r="CW214" i="2"/>
  <c r="CW216" i="2"/>
  <c r="CW217" i="2"/>
  <c r="CW234" i="2"/>
  <c r="CW215" i="2"/>
  <c r="CW287" i="2"/>
  <c r="CW202" i="2"/>
  <c r="CZ249" i="2"/>
  <c r="CY218" i="2"/>
  <c r="CW147" i="2"/>
  <c r="CZ9" i="4"/>
  <c r="DA76" i="4" s="1"/>
  <c r="CZ265" i="2"/>
  <c r="CY53" i="3"/>
  <c r="CW74" i="3"/>
  <c r="CW67" i="3"/>
  <c r="CZ8" i="3"/>
  <c r="CV53" i="3"/>
  <c r="CV85" i="4"/>
  <c r="CX74" i="3"/>
  <c r="CP327" i="1"/>
  <c r="CU18" i="3"/>
  <c r="CU53" i="3" s="1"/>
  <c r="CU67" i="3"/>
  <c r="CU16" i="3"/>
  <c r="CU9" i="4"/>
  <c r="CV76" i="4" s="1"/>
  <c r="CU15" i="3"/>
  <c r="CS60" i="4"/>
  <c r="CR61" i="4"/>
  <c r="CR64" i="4"/>
  <c r="CU147" i="2"/>
  <c r="CR218" i="2"/>
  <c r="CT218" i="2"/>
  <c r="CS53" i="3"/>
  <c r="CS85" i="4"/>
  <c r="CQ85" i="4"/>
  <c r="CQ53" i="3"/>
  <c r="CU202" i="2"/>
  <c r="CU269" i="2"/>
  <c r="CU216" i="2"/>
  <c r="CU212" i="2"/>
  <c r="CU251" i="2"/>
  <c r="CU215" i="2"/>
  <c r="CU217" i="2"/>
  <c r="CU234" i="2"/>
  <c r="CU214" i="2"/>
  <c r="CP76" i="4"/>
  <c r="CQ218" i="2"/>
  <c r="CR53" i="3"/>
  <c r="CR85" i="4"/>
  <c r="CT53" i="3"/>
  <c r="CT85" i="4"/>
  <c r="CU213" i="2"/>
  <c r="CS218" i="2"/>
  <c r="CL34" i="3"/>
  <c r="CL36" i="3"/>
  <c r="CI39" i="3"/>
  <c r="CH29" i="3"/>
  <c r="BU140" i="1"/>
  <c r="BU141" i="1" s="1"/>
  <c r="BT141" i="1"/>
  <c r="CF140" i="1"/>
  <c r="CF141" i="1" s="1"/>
  <c r="CB140" i="1"/>
  <c r="AS51" i="5"/>
  <c r="AS52" i="5" s="1"/>
  <c r="AT51" i="5" s="1"/>
  <c r="AT52" i="5" s="1"/>
  <c r="AU51" i="5" s="1"/>
  <c r="AU52" i="5" s="1"/>
  <c r="AV51" i="5" s="1"/>
  <c r="AV52" i="5" s="1"/>
  <c r="AW51" i="5"/>
  <c r="AW52" i="5" s="1"/>
  <c r="BX140" i="1"/>
  <c r="BW141" i="1"/>
  <c r="CL69" i="4"/>
  <c r="CL70" i="4" s="1"/>
  <c r="CM58" i="3"/>
  <c r="CM62" i="3"/>
  <c r="CM55" i="3"/>
  <c r="CI32" i="3"/>
  <c r="CG28" i="3"/>
  <c r="CG57" i="5"/>
  <c r="CG32" i="3"/>
  <c r="CG64" i="3"/>
  <c r="CG70" i="3"/>
  <c r="CG77" i="3"/>
  <c r="CN58" i="3"/>
  <c r="CG58" i="3"/>
  <c r="CP19" i="5"/>
  <c r="CP218" i="2"/>
  <c r="CK22" i="3"/>
  <c r="CL69" i="3"/>
  <c r="CL55" i="3"/>
  <c r="CM76" i="3"/>
  <c r="CL62" i="3"/>
  <c r="CN55" i="3"/>
  <c r="CN62" i="3"/>
  <c r="CN69" i="3"/>
  <c r="CN76" i="3"/>
  <c r="CG68" i="3"/>
  <c r="CG61" i="3"/>
  <c r="CG75" i="3"/>
  <c r="CI68" i="3"/>
  <c r="CI61" i="3"/>
  <c r="CP60" i="3"/>
  <c r="CU323" i="1"/>
  <c r="CP59" i="3"/>
  <c r="DQ346" i="2" l="1"/>
  <c r="DQ362" i="2" s="1"/>
  <c r="DQ347" i="2"/>
  <c r="DQ363" i="2" s="1"/>
  <c r="DQ249" i="2"/>
  <c r="EB346" i="1"/>
  <c r="EB353" i="1"/>
  <c r="EB377" i="1"/>
  <c r="EB352" i="1"/>
  <c r="EB349" i="1"/>
  <c r="EB387" i="1"/>
  <c r="EB366" i="1"/>
  <c r="EB339" i="1"/>
  <c r="EB371" i="1"/>
  <c r="EB350" i="1"/>
  <c r="EB354" i="1"/>
  <c r="EB345" i="1"/>
  <c r="EB344" i="1"/>
  <c r="EB361" i="1"/>
  <c r="DQ217" i="2"/>
  <c r="DX114" i="2"/>
  <c r="DW269" i="2"/>
  <c r="DX133" i="2"/>
  <c r="DX8" i="3"/>
  <c r="DX67" i="3" s="1"/>
  <c r="DX146" i="2"/>
  <c r="DX135" i="2"/>
  <c r="DX362" i="2"/>
  <c r="DX378" i="2" s="1"/>
  <c r="DX136" i="2"/>
  <c r="DX134" i="2"/>
  <c r="DX143" i="2"/>
  <c r="DX311" i="2"/>
  <c r="DX145" i="2"/>
  <c r="DX363" i="2"/>
  <c r="DX379" i="2" s="1"/>
  <c r="DW202" i="2"/>
  <c r="DW212" i="2"/>
  <c r="DW217" i="2"/>
  <c r="DW18" i="3"/>
  <c r="DW234" i="2"/>
  <c r="DW215" i="2"/>
  <c r="DW216" i="2"/>
  <c r="DW214" i="2"/>
  <c r="DQ198" i="2"/>
  <c r="DQ199" i="2" s="1"/>
  <c r="DV133" i="2"/>
  <c r="DV363" i="2"/>
  <c r="DV379" i="2" s="1"/>
  <c r="DV311" i="2"/>
  <c r="DV136" i="2"/>
  <c r="DV135" i="2"/>
  <c r="DV146" i="2"/>
  <c r="DV8" i="3"/>
  <c r="DW74" i="3" s="1"/>
  <c r="DV134" i="2"/>
  <c r="DV145" i="2"/>
  <c r="DV362" i="2"/>
  <c r="DV378" i="2" s="1"/>
  <c r="DV143" i="2"/>
  <c r="DX283" i="2"/>
  <c r="DX198" i="2"/>
  <c r="DX199" i="2" s="1"/>
  <c r="DX188" i="2"/>
  <c r="DX213" i="2" s="1"/>
  <c r="DV198" i="2"/>
  <c r="DV199" i="2" s="1"/>
  <c r="DV188" i="2"/>
  <c r="DW283" i="2"/>
  <c r="DW147" i="2"/>
  <c r="DY74" i="2"/>
  <c r="DY361" i="2" s="1"/>
  <c r="DY377" i="2" s="1"/>
  <c r="DU179" i="2"/>
  <c r="DU283" i="2" s="1"/>
  <c r="DU361" i="2"/>
  <c r="DU377" i="2" s="1"/>
  <c r="DX144" i="2"/>
  <c r="DW9" i="4"/>
  <c r="DW16" i="3"/>
  <c r="DW15" i="3"/>
  <c r="DY133" i="12"/>
  <c r="DQ265" i="2"/>
  <c r="DR283" i="2"/>
  <c r="DR217" i="2"/>
  <c r="DR213" i="2"/>
  <c r="DR214" i="2"/>
  <c r="DR215" i="2"/>
  <c r="DR216" i="2"/>
  <c r="DR202" i="2"/>
  <c r="DR234" i="2"/>
  <c r="DW251" i="2"/>
  <c r="DR212" i="2"/>
  <c r="DR18" i="3"/>
  <c r="DR53" i="3" s="1"/>
  <c r="DU128" i="2"/>
  <c r="DU112" i="2"/>
  <c r="DV249" i="2"/>
  <c r="DV265" i="2"/>
  <c r="DS283" i="2"/>
  <c r="DX249" i="2"/>
  <c r="DX265" i="2"/>
  <c r="EA132" i="12"/>
  <c r="EB117" i="12"/>
  <c r="EA135" i="12"/>
  <c r="DW67" i="3"/>
  <c r="DY136" i="12"/>
  <c r="DQ144" i="2"/>
  <c r="DV130" i="2"/>
  <c r="DV114" i="2"/>
  <c r="DR147" i="2"/>
  <c r="EA381" i="1"/>
  <c r="DR16" i="3"/>
  <c r="DR9" i="4"/>
  <c r="DR15" i="3"/>
  <c r="DQ135" i="2"/>
  <c r="DQ134" i="2"/>
  <c r="DQ146" i="2"/>
  <c r="DQ143" i="2"/>
  <c r="DQ114" i="2"/>
  <c r="DQ136" i="2"/>
  <c r="DQ130" i="2"/>
  <c r="DQ311" i="2"/>
  <c r="DQ133" i="2"/>
  <c r="DQ145" i="2"/>
  <c r="DT74" i="2"/>
  <c r="DS198" i="2"/>
  <c r="DS199" i="2" s="1"/>
  <c r="DN346" i="2"/>
  <c r="DN362" i="2" s="1"/>
  <c r="DN347" i="2"/>
  <c r="DN363" i="2" s="1"/>
  <c r="DQ377" i="2"/>
  <c r="DS188" i="2"/>
  <c r="DN283" i="2"/>
  <c r="AH78" i="30"/>
  <c r="AM17" i="30" s="1"/>
  <c r="AQ17" i="30" s="1"/>
  <c r="DM74" i="3"/>
  <c r="DS74" i="3"/>
  <c r="DD287" i="2"/>
  <c r="DR67" i="3"/>
  <c r="DO133" i="12"/>
  <c r="DT136" i="12"/>
  <c r="DS147" i="2"/>
  <c r="DS16" i="3"/>
  <c r="DS9" i="4"/>
  <c r="DS15" i="3"/>
  <c r="DA287" i="2"/>
  <c r="DB287" i="2"/>
  <c r="DM287" i="2"/>
  <c r="DH287" i="2"/>
  <c r="DS265" i="2"/>
  <c r="DS249" i="2"/>
  <c r="DL213" i="2"/>
  <c r="DS130" i="2"/>
  <c r="DS114" i="2"/>
  <c r="DM251" i="2"/>
  <c r="DR251" i="2"/>
  <c r="DR269" i="2"/>
  <c r="DZ132" i="12"/>
  <c r="DZ135" i="12"/>
  <c r="DT133" i="12"/>
  <c r="DL115" i="12"/>
  <c r="DE377" i="2"/>
  <c r="DI377" i="2"/>
  <c r="DG115" i="12"/>
  <c r="DH350" i="2"/>
  <c r="DL366" i="2" s="1"/>
  <c r="DM115" i="12"/>
  <c r="DH135" i="12"/>
  <c r="DH115" i="12"/>
  <c r="DH77" i="17"/>
  <c r="DJ34" i="12"/>
  <c r="DJ7" i="17" s="1"/>
  <c r="DJ8" i="17" s="1"/>
  <c r="DJ114" i="12"/>
  <c r="DH377" i="2"/>
  <c r="DM216" i="2"/>
  <c r="DM215" i="2"/>
  <c r="DM214" i="2"/>
  <c r="DM217" i="2"/>
  <c r="DM212" i="2"/>
  <c r="DM202" i="2"/>
  <c r="DM213" i="2"/>
  <c r="DM147" i="2"/>
  <c r="DN136" i="2"/>
  <c r="DN135" i="2"/>
  <c r="DN311" i="2"/>
  <c r="DN145" i="2"/>
  <c r="DN146" i="2"/>
  <c r="DN134" i="2"/>
  <c r="DN143" i="2"/>
  <c r="DN133" i="2"/>
  <c r="DN114" i="2"/>
  <c r="DN130" i="2"/>
  <c r="DM269" i="2"/>
  <c r="DN198" i="2"/>
  <c r="DN199" i="2" s="1"/>
  <c r="DN249" i="2"/>
  <c r="DN265" i="2"/>
  <c r="DN144" i="2"/>
  <c r="DK361" i="2"/>
  <c r="DN377" i="2" s="1"/>
  <c r="DK82" i="2"/>
  <c r="DK128" i="2"/>
  <c r="DO74" i="2"/>
  <c r="DO345" i="2" s="1"/>
  <c r="DG136" i="12"/>
  <c r="DL136" i="12"/>
  <c r="DL147" i="2"/>
  <c r="DL234" i="2"/>
  <c r="DL215" i="2"/>
  <c r="DL217" i="2"/>
  <c r="DL216" i="2"/>
  <c r="DL212" i="2"/>
  <c r="DL202" i="2"/>
  <c r="DL214" i="2"/>
  <c r="DF377" i="2"/>
  <c r="DJ128" i="2"/>
  <c r="DJ107" i="2"/>
  <c r="DO117" i="2"/>
  <c r="DO107" i="2"/>
  <c r="DG67" i="3"/>
  <c r="DH74" i="3"/>
  <c r="DG74" i="3"/>
  <c r="DG213" i="2"/>
  <c r="DL269" i="2"/>
  <c r="DL251" i="2"/>
  <c r="DC378" i="2"/>
  <c r="DC379" i="2"/>
  <c r="DD378" i="2"/>
  <c r="DD379" i="2"/>
  <c r="DF366" i="2"/>
  <c r="DF346" i="2"/>
  <c r="DF362" i="2" s="1"/>
  <c r="DG378" i="2" s="1"/>
  <c r="DF347" i="2"/>
  <c r="DF363" i="2" s="1"/>
  <c r="DG379" i="2" s="1"/>
  <c r="DJ308" i="2"/>
  <c r="DJ350" i="2"/>
  <c r="DJ117" i="2"/>
  <c r="DF238" i="2"/>
  <c r="DF190" i="2"/>
  <c r="DF191" i="2" s="1"/>
  <c r="DF254" i="2"/>
  <c r="DJ168" i="2"/>
  <c r="DO254" i="2" s="1"/>
  <c r="DE346" i="2"/>
  <c r="DE362" i="2" s="1"/>
  <c r="DE347" i="2"/>
  <c r="DE363" i="2" s="1"/>
  <c r="DB378" i="2"/>
  <c r="DB379" i="2"/>
  <c r="DG199" i="2"/>
  <c r="DF144" i="2"/>
  <c r="DG269" i="2"/>
  <c r="DG251" i="2"/>
  <c r="DI53" i="3"/>
  <c r="DJ112" i="2"/>
  <c r="DJ82" i="2"/>
  <c r="DH218" i="2"/>
  <c r="DF265" i="2"/>
  <c r="DF249" i="2"/>
  <c r="DF198" i="2"/>
  <c r="DJ179" i="2"/>
  <c r="DF188" i="2"/>
  <c r="DF287" i="2" s="1"/>
  <c r="DI218" i="2"/>
  <c r="DJ9" i="4"/>
  <c r="DK76" i="4" s="1"/>
  <c r="DG202" i="2"/>
  <c r="DG212" i="2"/>
  <c r="DG217" i="2"/>
  <c r="DG215" i="2"/>
  <c r="DG216" i="2"/>
  <c r="DG234" i="2"/>
  <c r="DG214" i="2"/>
  <c r="DF135" i="2"/>
  <c r="DF130" i="2"/>
  <c r="DF133" i="2"/>
  <c r="DF134" i="2"/>
  <c r="DF311" i="2"/>
  <c r="DF114" i="2"/>
  <c r="DF143" i="2"/>
  <c r="DF145" i="2"/>
  <c r="DF136" i="2"/>
  <c r="DF146" i="2"/>
  <c r="DG147" i="2"/>
  <c r="DE238" i="2"/>
  <c r="DC165" i="2"/>
  <c r="DI269" i="2"/>
  <c r="DI251" i="2"/>
  <c r="DH251" i="2"/>
  <c r="DH269" i="2"/>
  <c r="DE265" i="2"/>
  <c r="DE232" i="2"/>
  <c r="DE198" i="2"/>
  <c r="AD78" i="30"/>
  <c r="DA74" i="3"/>
  <c r="DA67" i="3"/>
  <c r="DA147" i="2"/>
  <c r="DA215" i="2"/>
  <c r="DA217" i="2"/>
  <c r="DA202" i="2"/>
  <c r="DA213" i="2"/>
  <c r="DA214" i="2"/>
  <c r="DA234" i="2"/>
  <c r="DA251" i="2"/>
  <c r="DA212" i="2"/>
  <c r="DA216" i="2"/>
  <c r="DA269" i="2"/>
  <c r="DE10" i="4"/>
  <c r="R78" i="30"/>
  <c r="DE29" i="4"/>
  <c r="DJ29" i="4" s="1"/>
  <c r="DE311" i="2"/>
  <c r="DA165" i="2"/>
  <c r="DB165" i="2"/>
  <c r="DD74" i="3"/>
  <c r="DC74" i="3"/>
  <c r="DE133" i="2"/>
  <c r="DD165" i="2"/>
  <c r="DD251" i="2"/>
  <c r="DC251" i="2"/>
  <c r="DB218" i="2"/>
  <c r="DC215" i="2"/>
  <c r="DC202" i="2"/>
  <c r="DC214" i="2"/>
  <c r="DC217" i="2"/>
  <c r="DC213" i="2"/>
  <c r="DC216" i="2"/>
  <c r="DC212" i="2"/>
  <c r="DD214" i="2"/>
  <c r="DD217" i="2"/>
  <c r="DD213" i="2"/>
  <c r="DD212" i="2"/>
  <c r="DD215" i="2"/>
  <c r="DD202" i="2"/>
  <c r="DD216" i="2"/>
  <c r="DE8" i="3"/>
  <c r="DC147" i="2"/>
  <c r="DD234" i="2"/>
  <c r="DD269" i="2"/>
  <c r="Z78" i="30"/>
  <c r="DE146" i="2"/>
  <c r="DE134" i="2"/>
  <c r="DE144" i="2"/>
  <c r="DE143" i="2"/>
  <c r="DE324" i="1" s="1"/>
  <c r="DE145" i="2"/>
  <c r="DE326" i="1" s="1"/>
  <c r="DE130" i="2"/>
  <c r="DE114" i="2"/>
  <c r="DE135" i="2"/>
  <c r="DE136" i="2"/>
  <c r="DD67" i="3"/>
  <c r="DB53" i="3"/>
  <c r="DE190" i="2"/>
  <c r="DE191" i="2" s="1"/>
  <c r="DE254" i="2"/>
  <c r="DE221" i="2"/>
  <c r="DE188" i="2"/>
  <c r="J78" i="30"/>
  <c r="AG17" i="30" s="1"/>
  <c r="DE79" i="17"/>
  <c r="DD147" i="2"/>
  <c r="CZ269" i="2"/>
  <c r="DC234" i="2"/>
  <c r="DC269" i="2"/>
  <c r="V78" i="30"/>
  <c r="N78" i="30"/>
  <c r="DC67" i="3"/>
  <c r="CU327" i="1"/>
  <c r="CX218" i="2"/>
  <c r="CZ18" i="3"/>
  <c r="CZ53" i="3" s="1"/>
  <c r="CZ147" i="2"/>
  <c r="DJ315" i="1"/>
  <c r="CZ37" i="4"/>
  <c r="CZ26" i="5"/>
  <c r="CY56" i="4"/>
  <c r="CZ314" i="1"/>
  <c r="CZ312" i="1" s="1"/>
  <c r="CZ38" i="4"/>
  <c r="CY63" i="4"/>
  <c r="CZ213" i="2"/>
  <c r="CZ251" i="2"/>
  <c r="CZ16" i="3"/>
  <c r="CZ212" i="2"/>
  <c r="CZ234" i="2"/>
  <c r="CZ216" i="2"/>
  <c r="CZ217" i="2"/>
  <c r="CZ215" i="2"/>
  <c r="CZ214" i="2"/>
  <c r="CZ327" i="1" s="1"/>
  <c r="CZ202" i="2"/>
  <c r="CV76" i="3"/>
  <c r="CV69" i="3"/>
  <c r="CV55" i="3"/>
  <c r="CV62" i="3"/>
  <c r="CW53" i="3"/>
  <c r="CX76" i="3" s="1"/>
  <c r="CW85" i="4"/>
  <c r="CZ76" i="4"/>
  <c r="CZ67" i="3"/>
  <c r="CW218" i="2"/>
  <c r="CX69" i="3"/>
  <c r="CX55" i="3"/>
  <c r="CX62" i="3"/>
  <c r="CY55" i="3"/>
  <c r="CY69" i="3"/>
  <c r="CY76" i="3"/>
  <c r="CY62" i="3"/>
  <c r="CZ15" i="3"/>
  <c r="CY58" i="3"/>
  <c r="DJ361" i="2"/>
  <c r="CT69" i="4"/>
  <c r="CU76" i="4"/>
  <c r="CU85" i="4"/>
  <c r="CU13" i="3"/>
  <c r="CU12" i="3" s="1"/>
  <c r="CU59" i="3"/>
  <c r="CU60" i="3"/>
  <c r="CU62" i="3"/>
  <c r="CU55" i="3"/>
  <c r="CU7" i="4"/>
  <c r="CT60" i="4"/>
  <c r="CS61" i="4"/>
  <c r="CS64" i="4"/>
  <c r="CU21" i="3"/>
  <c r="CT58" i="3"/>
  <c r="CR58" i="3"/>
  <c r="CT76" i="3"/>
  <c r="CT55" i="3"/>
  <c r="CT62" i="3"/>
  <c r="CR76" i="3"/>
  <c r="CR55" i="3"/>
  <c r="CR69" i="3"/>
  <c r="CR62" i="3"/>
  <c r="CU19" i="5"/>
  <c r="CU218" i="2"/>
  <c r="CQ62" i="3"/>
  <c r="CQ55" i="3"/>
  <c r="CQ69" i="3"/>
  <c r="CS58" i="3"/>
  <c r="CS76" i="3"/>
  <c r="CS62" i="3"/>
  <c r="CS69" i="3"/>
  <c r="CS55" i="3"/>
  <c r="CG140" i="1"/>
  <c r="CG141" i="1" s="1"/>
  <c r="CH140" i="1" s="1"/>
  <c r="CH141" i="1" s="1"/>
  <c r="CI140" i="1" s="1"/>
  <c r="CI141" i="1" s="1"/>
  <c r="CJ140" i="1" s="1"/>
  <c r="CJ141" i="1" s="1"/>
  <c r="CK140" i="1"/>
  <c r="CK141" i="1" s="1"/>
  <c r="CJ39" i="3"/>
  <c r="CK39" i="3" s="1"/>
  <c r="CI29" i="3"/>
  <c r="CC140" i="1"/>
  <c r="CB141" i="1"/>
  <c r="BY140" i="1"/>
  <c r="BX141" i="1"/>
  <c r="AX51" i="5"/>
  <c r="AX52" i="5" s="1"/>
  <c r="AY51" i="5" s="1"/>
  <c r="AY52" i="5" s="1"/>
  <c r="AZ51" i="5" s="1"/>
  <c r="AZ52" i="5" s="1"/>
  <c r="BA51" i="5" s="1"/>
  <c r="BA52" i="5" s="1"/>
  <c r="BB51" i="5"/>
  <c r="BB52" i="5" s="1"/>
  <c r="CI64" i="3"/>
  <c r="CI28" i="3"/>
  <c r="CI43" i="3" s="1"/>
  <c r="CI70" i="3"/>
  <c r="CM61" i="3"/>
  <c r="CI57" i="5"/>
  <c r="CL58" i="3"/>
  <c r="CI84" i="4"/>
  <c r="CI75" i="4"/>
  <c r="CN68" i="3"/>
  <c r="CN61" i="3"/>
  <c r="CN75" i="3"/>
  <c r="CM75" i="3"/>
  <c r="CL61" i="3"/>
  <c r="CL68" i="3"/>
  <c r="CG43" i="3"/>
  <c r="CG30" i="3"/>
  <c r="CI34" i="3"/>
  <c r="CI71" i="3"/>
  <c r="CI36" i="3"/>
  <c r="CP22" i="3"/>
  <c r="CZ323" i="1"/>
  <c r="CG78" i="3"/>
  <c r="CG36" i="3"/>
  <c r="CG34" i="3"/>
  <c r="CG71" i="3"/>
  <c r="AH17" i="30" l="1"/>
  <c r="AH22" i="30"/>
  <c r="AL22" i="30"/>
  <c r="AL17" i="30"/>
  <c r="AP17" i="30" s="1"/>
  <c r="AJ17" i="30"/>
  <c r="AJ22" i="30"/>
  <c r="AK22" i="30"/>
  <c r="AK17" i="30"/>
  <c r="AO17" i="30" s="1"/>
  <c r="AI17" i="30"/>
  <c r="AI22" i="30"/>
  <c r="EB381" i="1"/>
  <c r="DQ202" i="2"/>
  <c r="DQ212" i="2"/>
  <c r="DQ216" i="2"/>
  <c r="DQ269" i="2"/>
  <c r="DQ215" i="2"/>
  <c r="DQ251" i="2"/>
  <c r="DQ234" i="2"/>
  <c r="DQ214" i="2"/>
  <c r="DQ213" i="2"/>
  <c r="DR287" i="2"/>
  <c r="DP377" i="2"/>
  <c r="DP130" i="2"/>
  <c r="DP114" i="2"/>
  <c r="DP251" i="2"/>
  <c r="DV251" i="2"/>
  <c r="DL377" i="2"/>
  <c r="DM377" i="2"/>
  <c r="DW218" i="2"/>
  <c r="DV269" i="2"/>
  <c r="DX202" i="2"/>
  <c r="DX212" i="2"/>
  <c r="DX215" i="2"/>
  <c r="DX217" i="2"/>
  <c r="DX234" i="2"/>
  <c r="DX214" i="2"/>
  <c r="DX216" i="2"/>
  <c r="DX18" i="3"/>
  <c r="DX287" i="2"/>
  <c r="DV202" i="2"/>
  <c r="DV214" i="2"/>
  <c r="DV234" i="2"/>
  <c r="DV212" i="2"/>
  <c r="DV18" i="3"/>
  <c r="DV217" i="2"/>
  <c r="DV216" i="2"/>
  <c r="DV215" i="2"/>
  <c r="DV16" i="3"/>
  <c r="DV15" i="3"/>
  <c r="DV9" i="4"/>
  <c r="DU198" i="2"/>
  <c r="DU199" i="2" s="1"/>
  <c r="DY179" i="2"/>
  <c r="DV213" i="2"/>
  <c r="DV147" i="2"/>
  <c r="DW53" i="3"/>
  <c r="DW13" i="3"/>
  <c r="DW12" i="3" s="1"/>
  <c r="DX147" i="2"/>
  <c r="DW287" i="2"/>
  <c r="DX15" i="3"/>
  <c r="DX9" i="4"/>
  <c r="DX74" i="3"/>
  <c r="DX16" i="3"/>
  <c r="DV283" i="2"/>
  <c r="DR218" i="2"/>
  <c r="DT361" i="2"/>
  <c r="DT377" i="2" s="1"/>
  <c r="DY112" i="2"/>
  <c r="DY128" i="2"/>
  <c r="EB132" i="12"/>
  <c r="EB135" i="12"/>
  <c r="EA133" i="12"/>
  <c r="EA74" i="2"/>
  <c r="EA136" i="12"/>
  <c r="DR74" i="3"/>
  <c r="DV67" i="3"/>
  <c r="DS212" i="2"/>
  <c r="DX269" i="2"/>
  <c r="DX251" i="2"/>
  <c r="DR13" i="3"/>
  <c r="DR12" i="3" s="1"/>
  <c r="DQ147" i="2"/>
  <c r="DQ67" i="3"/>
  <c r="DR19" i="5"/>
  <c r="DS215" i="2"/>
  <c r="DS214" i="2"/>
  <c r="DS234" i="2"/>
  <c r="DS213" i="2"/>
  <c r="DS18" i="3"/>
  <c r="DS53" i="3" s="1"/>
  <c r="DS202" i="2"/>
  <c r="DS287" i="2"/>
  <c r="DS216" i="2"/>
  <c r="DS217" i="2"/>
  <c r="DN287" i="2"/>
  <c r="DJ377" i="2"/>
  <c r="DT9" i="4"/>
  <c r="DS67" i="3"/>
  <c r="DN74" i="3"/>
  <c r="DS19" i="5"/>
  <c r="DR62" i="3"/>
  <c r="DR55" i="3"/>
  <c r="DG287" i="2"/>
  <c r="DN213" i="2"/>
  <c r="DS269" i="2"/>
  <c r="DS251" i="2"/>
  <c r="DO128" i="2"/>
  <c r="DT112" i="2"/>
  <c r="DT128" i="2"/>
  <c r="DZ136" i="12"/>
  <c r="DZ133" i="12"/>
  <c r="DZ74" i="2"/>
  <c r="DJ366" i="2"/>
  <c r="DK366" i="2"/>
  <c r="DK114" i="2"/>
  <c r="DK234" i="2"/>
  <c r="DK377" i="2"/>
  <c r="DK346" i="2"/>
  <c r="DK362" i="2" s="1"/>
  <c r="DN378" i="2" s="1"/>
  <c r="DK347" i="2"/>
  <c r="DK363" i="2" s="1"/>
  <c r="DN379" i="2" s="1"/>
  <c r="DI62" i="3"/>
  <c r="DH366" i="2"/>
  <c r="DI366" i="2"/>
  <c r="DE379" i="2"/>
  <c r="DI379" i="2"/>
  <c r="DE378" i="2"/>
  <c r="DI378" i="2"/>
  <c r="DJ346" i="2"/>
  <c r="DJ347" i="2"/>
  <c r="DM136" i="12"/>
  <c r="DH136" i="12"/>
  <c r="DO115" i="12"/>
  <c r="DJ115" i="12"/>
  <c r="DJ135" i="12"/>
  <c r="DJ10" i="17"/>
  <c r="DJ79" i="17" s="1"/>
  <c r="DJ63" i="17"/>
  <c r="DJ77" i="17"/>
  <c r="DH379" i="2"/>
  <c r="DH378" i="2"/>
  <c r="DO112" i="2"/>
  <c r="DK130" i="2"/>
  <c r="DN147" i="2"/>
  <c r="DK145" i="2"/>
  <c r="DK135" i="2"/>
  <c r="DK143" i="2"/>
  <c r="DK136" i="2"/>
  <c r="DK311" i="2"/>
  <c r="DK146" i="2"/>
  <c r="DK134" i="2"/>
  <c r="DK133" i="2"/>
  <c r="DO82" i="2"/>
  <c r="DO58" i="5" s="1"/>
  <c r="DO361" i="2"/>
  <c r="DM218" i="2"/>
  <c r="DO9" i="4"/>
  <c r="DP76" i="4" s="1"/>
  <c r="DN67" i="3"/>
  <c r="DK249" i="2"/>
  <c r="DK265" i="2"/>
  <c r="DK198" i="2"/>
  <c r="DK199" i="2" s="1"/>
  <c r="DK213" i="2"/>
  <c r="DO179" i="2"/>
  <c r="DN212" i="2"/>
  <c r="DN216" i="2"/>
  <c r="DN234" i="2"/>
  <c r="DN217" i="2"/>
  <c r="DN214" i="2"/>
  <c r="DN215" i="2"/>
  <c r="DN202" i="2"/>
  <c r="DN251" i="2"/>
  <c r="DN269" i="2"/>
  <c r="DK144" i="2"/>
  <c r="DM53" i="3"/>
  <c r="DL218" i="2"/>
  <c r="DJ265" i="2"/>
  <c r="DJ254" i="2"/>
  <c r="DF213" i="2"/>
  <c r="DF234" i="2"/>
  <c r="DF378" i="2"/>
  <c r="DF379" i="2"/>
  <c r="DJ221" i="2"/>
  <c r="DJ190" i="2"/>
  <c r="DJ191" i="2" s="1"/>
  <c r="DJ238" i="2"/>
  <c r="DE199" i="2"/>
  <c r="DF199" i="2"/>
  <c r="DJ58" i="5"/>
  <c r="DI165" i="2"/>
  <c r="DH165" i="2"/>
  <c r="DF165" i="2"/>
  <c r="DJ114" i="2"/>
  <c r="DF269" i="2"/>
  <c r="DF251" i="2"/>
  <c r="DG218" i="2"/>
  <c r="DF202" i="2"/>
  <c r="DF214" i="2"/>
  <c r="DF215" i="2"/>
  <c r="DF217" i="2"/>
  <c r="DF212" i="2"/>
  <c r="DF216" i="2"/>
  <c r="DF147" i="2"/>
  <c r="DJ232" i="2"/>
  <c r="DJ188" i="2"/>
  <c r="DI55" i="3"/>
  <c r="DF67" i="3"/>
  <c r="DJ8" i="3"/>
  <c r="DG53" i="3"/>
  <c r="DE251" i="2"/>
  <c r="DA218" i="2"/>
  <c r="DA53" i="3"/>
  <c r="DA62" i="3" s="1"/>
  <c r="DE21" i="4"/>
  <c r="DE20" i="5"/>
  <c r="DA63" i="4"/>
  <c r="DE67" i="3"/>
  <c r="DD218" i="2"/>
  <c r="DC218" i="2"/>
  <c r="DE217" i="2"/>
  <c r="DE213" i="2"/>
  <c r="DE212" i="2"/>
  <c r="DE215" i="2"/>
  <c r="DE202" i="2"/>
  <c r="DE214" i="2"/>
  <c r="DE327" i="1" s="1"/>
  <c r="DE216" i="2"/>
  <c r="DE15" i="3"/>
  <c r="DE16" i="3"/>
  <c r="DE18" i="3"/>
  <c r="DE53" i="3" s="1"/>
  <c r="DB69" i="3"/>
  <c r="DB62" i="3"/>
  <c r="DB55" i="3"/>
  <c r="DE80" i="17"/>
  <c r="DE84" i="17"/>
  <c r="DE85" i="17" s="1"/>
  <c r="DE81" i="17"/>
  <c r="DE90" i="17"/>
  <c r="DE91" i="17" s="1"/>
  <c r="DE269" i="2"/>
  <c r="DE234" i="2"/>
  <c r="DE9" i="4"/>
  <c r="DF76" i="4" s="1"/>
  <c r="DB58" i="3"/>
  <c r="DE147" i="2"/>
  <c r="DD53" i="3"/>
  <c r="DI69" i="3" s="1"/>
  <c r="DC53" i="3"/>
  <c r="CX58" i="3"/>
  <c r="DO315" i="1"/>
  <c r="CZ35" i="4"/>
  <c r="CZ16" i="4"/>
  <c r="CZ47" i="4"/>
  <c r="CZ32" i="4"/>
  <c r="CZ31" i="5"/>
  <c r="CX85" i="4"/>
  <c r="CZ63" i="4"/>
  <c r="CZ13" i="3"/>
  <c r="CZ12" i="3" s="1"/>
  <c r="CZ218" i="2"/>
  <c r="CZ27" i="4"/>
  <c r="DA77" i="4" s="1"/>
  <c r="CX68" i="3"/>
  <c r="CX61" i="3"/>
  <c r="CZ59" i="3"/>
  <c r="CZ60" i="3"/>
  <c r="CY68" i="3"/>
  <c r="CY61" i="3"/>
  <c r="CY75" i="3"/>
  <c r="CV58" i="3"/>
  <c r="CZ19" i="5"/>
  <c r="CW58" i="3"/>
  <c r="CZ13" i="4"/>
  <c r="DA78" i="4" s="1"/>
  <c r="DA79" i="4" s="1"/>
  <c r="CW62" i="3"/>
  <c r="CW69" i="3"/>
  <c r="CW76" i="3"/>
  <c r="CW55" i="3"/>
  <c r="CX75" i="3" s="1"/>
  <c r="CV75" i="3"/>
  <c r="CV61" i="3"/>
  <c r="CV68" i="3"/>
  <c r="CZ62" i="3"/>
  <c r="CZ69" i="3"/>
  <c r="CZ55" i="3"/>
  <c r="CV60" i="4"/>
  <c r="CL140" i="1"/>
  <c r="CM140" i="1" s="1"/>
  <c r="CP140" i="1"/>
  <c r="CS64" i="3"/>
  <c r="CT57" i="5"/>
  <c r="CR32" i="3"/>
  <c r="DJ249" i="2"/>
  <c r="DJ198" i="2"/>
  <c r="DJ199" i="2" s="1"/>
  <c r="CS70" i="3"/>
  <c r="CT77" i="3"/>
  <c r="CQ58" i="3"/>
  <c r="CR64" i="3"/>
  <c r="CR57" i="5"/>
  <c r="CR70" i="3"/>
  <c r="CS69" i="4"/>
  <c r="CS70" i="4" s="1"/>
  <c r="CT64" i="3"/>
  <c r="CS32" i="3"/>
  <c r="CT32" i="3"/>
  <c r="CU61" i="3"/>
  <c r="CS77" i="3"/>
  <c r="CU58" i="3"/>
  <c r="CS57" i="5"/>
  <c r="CT70" i="4"/>
  <c r="CT61" i="4"/>
  <c r="CT64" i="4"/>
  <c r="CT86" i="4" s="1"/>
  <c r="CU60" i="4"/>
  <c r="CQ24" i="3"/>
  <c r="CU22" i="3"/>
  <c r="CS75" i="3"/>
  <c r="CS61" i="3"/>
  <c r="CS68" i="3"/>
  <c r="CU27" i="4"/>
  <c r="CV77" i="4" s="1"/>
  <c r="CU13" i="4"/>
  <c r="CV78" i="4" s="1"/>
  <c r="CV79" i="4" s="1"/>
  <c r="CQ61" i="3"/>
  <c r="CQ68" i="3"/>
  <c r="CR75" i="3"/>
  <c r="CR61" i="3"/>
  <c r="CR68" i="3"/>
  <c r="CT75" i="3"/>
  <c r="CT61" i="3"/>
  <c r="CL64" i="3"/>
  <c r="CM77" i="3"/>
  <c r="CL70" i="3"/>
  <c r="CL57" i="5"/>
  <c r="CK29" i="3"/>
  <c r="CJ29" i="3"/>
  <c r="CL39" i="3"/>
  <c r="BZ140" i="1"/>
  <c r="BZ141" i="1" s="1"/>
  <c r="BY141" i="1"/>
  <c r="BC51" i="5"/>
  <c r="BC52" i="5" s="1"/>
  <c r="BD51" i="5" s="1"/>
  <c r="BD52" i="5" s="1"/>
  <c r="BE51" i="5" s="1"/>
  <c r="BE52" i="5" s="1"/>
  <c r="BF51" i="5" s="1"/>
  <c r="BF52" i="5" s="1"/>
  <c r="BG51" i="5"/>
  <c r="BG52" i="5" s="1"/>
  <c r="CD140" i="1"/>
  <c r="CC141" i="1"/>
  <c r="CI30" i="3"/>
  <c r="CM57" i="5"/>
  <c r="CM64" i="3"/>
  <c r="CM32" i="3"/>
  <c r="CM78" i="3" s="1"/>
  <c r="CM75" i="4"/>
  <c r="CM84" i="4"/>
  <c r="CG84" i="4"/>
  <c r="CG75" i="4"/>
  <c r="DE323" i="1"/>
  <c r="CN64" i="3"/>
  <c r="CN57" i="5"/>
  <c r="CN32" i="3"/>
  <c r="CN70" i="3"/>
  <c r="CN77" i="3"/>
  <c r="CN75" i="4"/>
  <c r="CN84" i="4"/>
  <c r="CI81" i="4"/>
  <c r="CL71" i="3"/>
  <c r="AI25" i="30" l="1"/>
  <c r="AI33" i="30"/>
  <c r="AJ25" i="30"/>
  <c r="AJ33" i="30"/>
  <c r="AL33" i="30"/>
  <c r="AL25" i="30"/>
  <c r="AK33" i="30"/>
  <c r="AK25" i="30"/>
  <c r="DQ218" i="2"/>
  <c r="EB136" i="12"/>
  <c r="DP379" i="2"/>
  <c r="DL379" i="2"/>
  <c r="DM379" i="2"/>
  <c r="DL378" i="2"/>
  <c r="DM378" i="2"/>
  <c r="DP378" i="2"/>
  <c r="DY198" i="2"/>
  <c r="DY199" i="2" s="1"/>
  <c r="DY249" i="2"/>
  <c r="DY232" i="2"/>
  <c r="DV53" i="3"/>
  <c r="DV69" i="3" s="1"/>
  <c r="DV13" i="3"/>
  <c r="DV12" i="3" s="1"/>
  <c r="DX53" i="3"/>
  <c r="DX69" i="3" s="1"/>
  <c r="DX13" i="3"/>
  <c r="DX12" i="3" s="1"/>
  <c r="DY9" i="4"/>
  <c r="DW55" i="3"/>
  <c r="DW68" i="3" s="1"/>
  <c r="DW62" i="3"/>
  <c r="DX218" i="2"/>
  <c r="DW58" i="3"/>
  <c r="DW13" i="4"/>
  <c r="DW27" i="4"/>
  <c r="DX19" i="5"/>
  <c r="DV218" i="2"/>
  <c r="DW19" i="5"/>
  <c r="DW69" i="3"/>
  <c r="EA179" i="2"/>
  <c r="EA128" i="2"/>
  <c r="EA112" i="2"/>
  <c r="EA361" i="2"/>
  <c r="EA377" i="2" s="1"/>
  <c r="EB133" i="12"/>
  <c r="EB74" i="2"/>
  <c r="DS76" i="3"/>
  <c r="DM62" i="3"/>
  <c r="DR13" i="4"/>
  <c r="DR27" i="4"/>
  <c r="DR58" i="3"/>
  <c r="DO346" i="2"/>
  <c r="DO362" i="2" s="1"/>
  <c r="DO347" i="2"/>
  <c r="DR377" i="2"/>
  <c r="DS377" i="2"/>
  <c r="DS13" i="3"/>
  <c r="DS12" i="3" s="1"/>
  <c r="DS218" i="2"/>
  <c r="DG62" i="3"/>
  <c r="DL69" i="3"/>
  <c r="DR76" i="3"/>
  <c r="DR69" i="3"/>
  <c r="DM76" i="3"/>
  <c r="DL165" i="2"/>
  <c r="DM165" i="2"/>
  <c r="DN165" i="2"/>
  <c r="DK165" i="2"/>
  <c r="DQ69" i="3"/>
  <c r="DS55" i="3"/>
  <c r="DS62" i="3"/>
  <c r="DR61" i="3"/>
  <c r="DO114" i="2"/>
  <c r="DO377" i="2"/>
  <c r="DZ179" i="2"/>
  <c r="DZ361" i="2"/>
  <c r="DZ377" i="2" s="1"/>
  <c r="DZ112" i="2"/>
  <c r="DZ128" i="2"/>
  <c r="DI61" i="3"/>
  <c r="CL141" i="1"/>
  <c r="DJ81" i="17"/>
  <c r="DJ136" i="12"/>
  <c r="DO136" i="12"/>
  <c r="DO81" i="17"/>
  <c r="DJ90" i="17"/>
  <c r="DJ91" i="17" s="1"/>
  <c r="DJ80" i="17"/>
  <c r="DJ84" i="17"/>
  <c r="DJ85" i="17" s="1"/>
  <c r="DK269" i="2"/>
  <c r="DO130" i="2"/>
  <c r="DK251" i="2"/>
  <c r="DO144" i="2"/>
  <c r="DO363" i="2"/>
  <c r="DO135" i="2"/>
  <c r="DO311" i="2"/>
  <c r="DO133" i="2"/>
  <c r="DO136" i="2"/>
  <c r="DO143" i="2"/>
  <c r="DO145" i="2"/>
  <c r="DO146" i="2"/>
  <c r="DO134" i="2"/>
  <c r="DO249" i="2"/>
  <c r="DO188" i="2"/>
  <c r="DO232" i="2"/>
  <c r="DO198" i="2"/>
  <c r="DO199" i="2" s="1"/>
  <c r="DO265" i="2"/>
  <c r="DO8" i="3"/>
  <c r="DM55" i="3"/>
  <c r="DN218" i="2"/>
  <c r="DK147" i="2"/>
  <c r="DK214" i="2"/>
  <c r="DK215" i="2"/>
  <c r="DK216" i="2"/>
  <c r="DK217" i="2"/>
  <c r="DK212" i="2"/>
  <c r="DK202" i="2"/>
  <c r="DJ234" i="2"/>
  <c r="DD62" i="3"/>
  <c r="DT315" i="1"/>
  <c r="DA80" i="4"/>
  <c r="DJ67" i="3"/>
  <c r="DJ16" i="3"/>
  <c r="DJ27" i="4"/>
  <c r="DK77" i="4" s="1"/>
  <c r="DJ13" i="4"/>
  <c r="DK78" i="4" s="1"/>
  <c r="DK79" i="4" s="1"/>
  <c r="DF218" i="2"/>
  <c r="DF53" i="3"/>
  <c r="DG55" i="3"/>
  <c r="DJ15" i="3"/>
  <c r="DJ60" i="3" s="1"/>
  <c r="DG69" i="3"/>
  <c r="DJ76" i="4"/>
  <c r="DC76" i="3"/>
  <c r="DE19" i="5"/>
  <c r="DA58" i="3"/>
  <c r="DA55" i="3"/>
  <c r="DA76" i="3"/>
  <c r="DA69" i="3"/>
  <c r="DB76" i="3"/>
  <c r="CZ56" i="4"/>
  <c r="CZ69" i="4" s="1"/>
  <c r="DE31" i="4"/>
  <c r="DE59" i="3"/>
  <c r="DE60" i="3"/>
  <c r="DD76" i="3"/>
  <c r="DE76" i="4"/>
  <c r="DE218" i="2"/>
  <c r="DE13" i="3"/>
  <c r="DE12" i="3" s="1"/>
  <c r="DD69" i="3"/>
  <c r="DD55" i="3"/>
  <c r="DD61" i="3" s="1"/>
  <c r="DB61" i="3"/>
  <c r="DB68" i="3"/>
  <c r="DC55" i="3"/>
  <c r="DC62" i="3"/>
  <c r="DC69" i="3"/>
  <c r="DE62" i="3"/>
  <c r="DE55" i="3"/>
  <c r="DE69" i="3"/>
  <c r="CV80" i="4"/>
  <c r="CR36" i="3"/>
  <c r="CX57" i="5"/>
  <c r="CY85" i="4"/>
  <c r="CZ21" i="3"/>
  <c r="CZ20" i="3"/>
  <c r="CZ58" i="3"/>
  <c r="CZ77" i="4"/>
  <c r="CV57" i="5"/>
  <c r="CV64" i="3"/>
  <c r="CV70" i="3"/>
  <c r="CV32" i="3"/>
  <c r="CV77" i="3"/>
  <c r="CZ33" i="4"/>
  <c r="CZ39" i="4" s="1"/>
  <c r="CZ61" i="3"/>
  <c r="CZ68" i="3"/>
  <c r="CZ78" i="4"/>
  <c r="CZ79" i="4" s="1"/>
  <c r="CW68" i="3"/>
  <c r="CW75" i="3"/>
  <c r="CW61" i="3"/>
  <c r="CW57" i="5"/>
  <c r="CW70" i="3"/>
  <c r="CW32" i="3"/>
  <c r="CW77" i="3"/>
  <c r="CW64" i="3"/>
  <c r="CW60" i="4"/>
  <c r="CV61" i="4"/>
  <c r="CV64" i="4"/>
  <c r="CP141" i="1"/>
  <c r="CR34" i="3"/>
  <c r="CS34" i="3"/>
  <c r="CR71" i="3"/>
  <c r="CM141" i="1"/>
  <c r="CN140" i="1"/>
  <c r="CQ84" i="4"/>
  <c r="CS71" i="3"/>
  <c r="CR69" i="4"/>
  <c r="CR70" i="4" s="1"/>
  <c r="CS36" i="3"/>
  <c r="CS78" i="3"/>
  <c r="CT36" i="3"/>
  <c r="CT78" i="3"/>
  <c r="CT34" i="3"/>
  <c r="CU33" i="4"/>
  <c r="CU39" i="4" s="1"/>
  <c r="CU63" i="3"/>
  <c r="CU46" i="3" s="1"/>
  <c r="CU61" i="4"/>
  <c r="CU64" i="4"/>
  <c r="CU86" i="4" s="1"/>
  <c r="CU263" i="1"/>
  <c r="CU70" i="4"/>
  <c r="CU24" i="3"/>
  <c r="CQ32" i="3"/>
  <c r="CQ70" i="3"/>
  <c r="CQ64" i="3"/>
  <c r="CR77" i="3"/>
  <c r="CQ26" i="3"/>
  <c r="CQ57" i="5"/>
  <c r="CR84" i="4"/>
  <c r="CR75" i="4"/>
  <c r="CS75" i="4"/>
  <c r="CS89" i="4"/>
  <c r="CS84" i="4"/>
  <c r="CR81" i="4"/>
  <c r="CU15" i="4"/>
  <c r="CT84" i="4"/>
  <c r="CT75" i="4"/>
  <c r="CL29" i="3"/>
  <c r="CL28" i="3"/>
  <c r="CM39" i="3"/>
  <c r="BH51" i="5"/>
  <c r="BH52" i="5" s="1"/>
  <c r="BI51" i="5" s="1"/>
  <c r="BI52" i="5" s="1"/>
  <c r="BJ51" i="5" s="1"/>
  <c r="BJ52" i="5" s="1"/>
  <c r="BK51" i="5" s="1"/>
  <c r="BK52" i="5" s="1"/>
  <c r="BL51" i="5"/>
  <c r="BL52" i="5" s="1"/>
  <c r="CE140" i="1"/>
  <c r="CE141" i="1" s="1"/>
  <c r="CD141" i="1"/>
  <c r="CM34" i="3"/>
  <c r="CM36" i="3"/>
  <c r="CN81" i="4"/>
  <c r="CN89" i="4"/>
  <c r="CN71" i="3"/>
  <c r="CN34" i="3"/>
  <c r="CN36" i="3"/>
  <c r="CN78" i="3"/>
  <c r="CM89" i="4"/>
  <c r="CL75" i="4"/>
  <c r="CL84" i="4"/>
  <c r="CG81" i="4"/>
  <c r="CG89" i="4"/>
  <c r="DP86" i="4" l="1"/>
  <c r="DQ86" i="4"/>
  <c r="DW76" i="3"/>
  <c r="DX27" i="4"/>
  <c r="DX58" i="3"/>
  <c r="DX13" i="4"/>
  <c r="DW61" i="3"/>
  <c r="DX76" i="3"/>
  <c r="DX55" i="3"/>
  <c r="DX62" i="3"/>
  <c r="DV27" i="4"/>
  <c r="DV13" i="4"/>
  <c r="DV58" i="3"/>
  <c r="DV62" i="3"/>
  <c r="DV55" i="3"/>
  <c r="DV61" i="3" s="1"/>
  <c r="EB128" i="2"/>
  <c r="EB361" i="2"/>
  <c r="EB377" i="2" s="1"/>
  <c r="EB112" i="2"/>
  <c r="EB179" i="2"/>
  <c r="EA265" i="2"/>
  <c r="EA198" i="2"/>
  <c r="EA199" i="2" s="1"/>
  <c r="EA249" i="2"/>
  <c r="DS75" i="3"/>
  <c r="DR75" i="3"/>
  <c r="DR22" i="5"/>
  <c r="DS13" i="4"/>
  <c r="DT13" i="4" s="1"/>
  <c r="DS27" i="4"/>
  <c r="DS58" i="3"/>
  <c r="DR378" i="2"/>
  <c r="DR379" i="2"/>
  <c r="DM61" i="3"/>
  <c r="DG61" i="3"/>
  <c r="DL68" i="3"/>
  <c r="DZ265" i="2"/>
  <c r="DM75" i="3"/>
  <c r="DS69" i="3"/>
  <c r="DN76" i="3"/>
  <c r="DR68" i="3"/>
  <c r="DS61" i="3"/>
  <c r="DQ68" i="3"/>
  <c r="DO379" i="2"/>
  <c r="DO378" i="2"/>
  <c r="DZ198" i="2"/>
  <c r="DZ199" i="2" s="1"/>
  <c r="DZ249" i="2"/>
  <c r="DK80" i="4"/>
  <c r="DO76" i="4"/>
  <c r="DI68" i="3"/>
  <c r="DO67" i="3"/>
  <c r="DO213" i="2"/>
  <c r="DO216" i="2"/>
  <c r="DO214" i="2"/>
  <c r="DO215" i="2"/>
  <c r="DO234" i="2"/>
  <c r="DO212" i="2"/>
  <c r="DO217" i="2"/>
  <c r="DO202" i="2"/>
  <c r="DO251" i="2"/>
  <c r="DO269" i="2"/>
  <c r="DK218" i="2"/>
  <c r="DN69" i="3"/>
  <c r="DO15" i="3"/>
  <c r="DO60" i="3" s="1"/>
  <c r="DK53" i="3"/>
  <c r="DL76" i="3" s="1"/>
  <c r="DO18" i="3"/>
  <c r="DO147" i="2"/>
  <c r="DO16" i="3"/>
  <c r="DO59" i="3" s="1"/>
  <c r="DF76" i="3"/>
  <c r="DG76" i="3"/>
  <c r="DA61" i="3"/>
  <c r="DB86" i="4"/>
  <c r="DY315" i="1"/>
  <c r="DJ59" i="3"/>
  <c r="DJ14" i="4"/>
  <c r="DJ18" i="4"/>
  <c r="DJ19" i="5"/>
  <c r="DF69" i="3"/>
  <c r="DF62" i="3"/>
  <c r="DF55" i="3"/>
  <c r="DG86" i="4" s="1"/>
  <c r="DG68" i="3"/>
  <c r="DC75" i="3"/>
  <c r="DA33" i="4"/>
  <c r="DA39" i="4" s="1"/>
  <c r="DA68" i="3"/>
  <c r="DA75" i="3"/>
  <c r="DB75" i="3"/>
  <c r="DA56" i="4"/>
  <c r="DE34" i="4"/>
  <c r="DE20" i="4"/>
  <c r="DC63" i="4"/>
  <c r="DE17" i="4"/>
  <c r="DA85" i="4"/>
  <c r="DD75" i="3"/>
  <c r="CX77" i="3"/>
  <c r="DE61" i="3"/>
  <c r="DE68" i="3"/>
  <c r="DD68" i="3"/>
  <c r="DE13" i="4"/>
  <c r="DF78" i="4" s="1"/>
  <c r="DF79" i="4" s="1"/>
  <c r="DE58" i="3"/>
  <c r="DE27" i="4"/>
  <c r="DF77" i="4" s="1"/>
  <c r="DC58" i="3"/>
  <c r="DC61" i="3"/>
  <c r="DC68" i="3"/>
  <c r="CU140" i="1"/>
  <c r="CU141" i="1" s="1"/>
  <c r="CZ140" i="1" s="1"/>
  <c r="CZ141" i="1" s="1"/>
  <c r="DE140" i="1" s="1"/>
  <c r="DE141" i="1" s="1"/>
  <c r="DJ140" i="1" s="1"/>
  <c r="CQ140" i="1"/>
  <c r="CX70" i="3"/>
  <c r="CX64" i="3"/>
  <c r="CX32" i="3"/>
  <c r="CX71" i="3" s="1"/>
  <c r="CZ30" i="5"/>
  <c r="CZ11" i="4"/>
  <c r="CZ85" i="4"/>
  <c r="CZ80" i="4"/>
  <c r="CZ22" i="5"/>
  <c r="CV84" i="4"/>
  <c r="CV75" i="4"/>
  <c r="CW36" i="3"/>
  <c r="CW71" i="3"/>
  <c r="CW78" i="3"/>
  <c r="CW34" i="3"/>
  <c r="CV78" i="3"/>
  <c r="CV34" i="3"/>
  <c r="CV71" i="3"/>
  <c r="CV36" i="3"/>
  <c r="CZ21" i="5"/>
  <c r="CV81" i="4"/>
  <c r="CW84" i="4"/>
  <c r="CW75" i="4"/>
  <c r="CW89" i="4"/>
  <c r="CX60" i="4"/>
  <c r="CV86" i="4"/>
  <c r="CW61" i="4"/>
  <c r="CW64" i="4"/>
  <c r="CN141" i="1"/>
  <c r="CO140" i="1"/>
  <c r="CO141" i="1" s="1"/>
  <c r="CQ75" i="4"/>
  <c r="CQ69" i="4"/>
  <c r="CQ70" i="4" s="1"/>
  <c r="CU26" i="3"/>
  <c r="CR78" i="3"/>
  <c r="CQ36" i="3"/>
  <c r="CQ71" i="3"/>
  <c r="CQ34" i="3"/>
  <c r="CU64" i="3"/>
  <c r="CU32" i="3"/>
  <c r="CS81" i="4"/>
  <c r="CU24" i="4"/>
  <c r="CU75" i="4"/>
  <c r="CU84" i="4"/>
  <c r="CT89" i="4"/>
  <c r="CU57" i="5"/>
  <c r="CL30" i="3"/>
  <c r="CL43" i="3"/>
  <c r="CN39" i="3"/>
  <c r="CM29" i="3"/>
  <c r="CM28" i="3"/>
  <c r="BM51" i="5"/>
  <c r="BM52" i="5" s="1"/>
  <c r="BN51" i="5" s="1"/>
  <c r="BN52" i="5" s="1"/>
  <c r="BO51" i="5" s="1"/>
  <c r="BO52" i="5" s="1"/>
  <c r="BP51" i="5" s="1"/>
  <c r="BP52" i="5" s="1"/>
  <c r="BQ51" i="5"/>
  <c r="BQ52" i="5" s="1"/>
  <c r="CL81" i="4"/>
  <c r="DV68" i="3" l="1"/>
  <c r="DX61" i="3"/>
  <c r="DX75" i="3"/>
  <c r="DX22" i="5"/>
  <c r="DY27" i="4"/>
  <c r="DW22" i="5"/>
  <c r="DX68" i="3"/>
  <c r="DW21" i="5"/>
  <c r="DW75" i="3"/>
  <c r="DX21" i="5"/>
  <c r="DY13" i="4"/>
  <c r="EB265" i="2"/>
  <c r="EB249" i="2"/>
  <c r="EB198" i="2"/>
  <c r="EB199" i="2" s="1"/>
  <c r="DR21" i="5"/>
  <c r="DS21" i="5"/>
  <c r="DT27" i="4"/>
  <c r="DS22" i="5"/>
  <c r="DK76" i="3"/>
  <c r="DS68" i="3"/>
  <c r="DN75" i="3"/>
  <c r="DZ315" i="1"/>
  <c r="DK69" i="3"/>
  <c r="DK62" i="3"/>
  <c r="DO53" i="3"/>
  <c r="DO218" i="2"/>
  <c r="DK55" i="3"/>
  <c r="DM86" i="4" s="1"/>
  <c r="DO13" i="3"/>
  <c r="DO12" i="3" s="1"/>
  <c r="DO27" i="4"/>
  <c r="DP77" i="4" s="1"/>
  <c r="DO13" i="4"/>
  <c r="DP78" i="4" s="1"/>
  <c r="DP79" i="4" s="1"/>
  <c r="DN68" i="3"/>
  <c r="DO29" i="4"/>
  <c r="DF75" i="3"/>
  <c r="DG75" i="3"/>
  <c r="DF80" i="4"/>
  <c r="DF61" i="3"/>
  <c r="DF68" i="3"/>
  <c r="DF58" i="3"/>
  <c r="CV140" i="1"/>
  <c r="CV141" i="1" s="1"/>
  <c r="CX140" i="1" s="1"/>
  <c r="CX141" i="1" s="1"/>
  <c r="CW140" i="1"/>
  <c r="CW141" i="1" s="1"/>
  <c r="CY140" i="1" s="1"/>
  <c r="CY141" i="1" s="1"/>
  <c r="DA140" i="1" s="1"/>
  <c r="DA141" i="1" s="1"/>
  <c r="DA69" i="4"/>
  <c r="DE26" i="5"/>
  <c r="DE37" i="4"/>
  <c r="DE314" i="1"/>
  <c r="DE312" i="1" s="1"/>
  <c r="DE38" i="4"/>
  <c r="DD63" i="4"/>
  <c r="DE20" i="3" s="1"/>
  <c r="DE78" i="4"/>
  <c r="DE79" i="4" s="1"/>
  <c r="DE77" i="4"/>
  <c r="CR140" i="1"/>
  <c r="CQ141" i="1"/>
  <c r="CX78" i="3"/>
  <c r="CX34" i="3"/>
  <c r="CX36" i="3"/>
  <c r="CY69" i="4"/>
  <c r="CY57" i="5"/>
  <c r="CY32" i="3"/>
  <c r="CY70" i="3"/>
  <c r="CY64" i="3"/>
  <c r="CZ24" i="3"/>
  <c r="CY77" i="3"/>
  <c r="CZ22" i="3"/>
  <c r="CZ18" i="5"/>
  <c r="CZ7" i="4"/>
  <c r="CY60" i="4"/>
  <c r="CW86" i="4"/>
  <c r="CX75" i="4"/>
  <c r="CX84" i="4"/>
  <c r="CV89" i="4"/>
  <c r="CX61" i="4"/>
  <c r="CX64" i="4"/>
  <c r="CW81" i="4"/>
  <c r="CR89" i="4"/>
  <c r="CQ81" i="4"/>
  <c r="CU7" i="5"/>
  <c r="CU36" i="3"/>
  <c r="CU34" i="3"/>
  <c r="CM43" i="3"/>
  <c r="CM30" i="3"/>
  <c r="CN28" i="3"/>
  <c r="CO39" i="3"/>
  <c r="CN29" i="3"/>
  <c r="BR51" i="5"/>
  <c r="BR52" i="5" s="1"/>
  <c r="BS51" i="5" s="1"/>
  <c r="BS52" i="5" s="1"/>
  <c r="BT51" i="5" s="1"/>
  <c r="BT52" i="5" s="1"/>
  <c r="BU51" i="5" s="1"/>
  <c r="BU52" i="5" s="1"/>
  <c r="BV51" i="5"/>
  <c r="BV52" i="5" s="1"/>
  <c r="CG62" i="4"/>
  <c r="DP80" i="4" l="1"/>
  <c r="EA315" i="1"/>
  <c r="DL75" i="3"/>
  <c r="DK75" i="3"/>
  <c r="DR29" i="4"/>
  <c r="DO55" i="3"/>
  <c r="DK68" i="3"/>
  <c r="DK61" i="3"/>
  <c r="DO62" i="3"/>
  <c r="DO58" i="3"/>
  <c r="DO78" i="4"/>
  <c r="DO79" i="4" s="1"/>
  <c r="DO77" i="4"/>
  <c r="DJ21" i="4"/>
  <c r="DF63" i="4"/>
  <c r="DJ10" i="4"/>
  <c r="DA24" i="3"/>
  <c r="DA77" i="3" s="1"/>
  <c r="DE22" i="5"/>
  <c r="DE16" i="4"/>
  <c r="DC56" i="4"/>
  <c r="DE32" i="4"/>
  <c r="DE31" i="5"/>
  <c r="DA18" i="5"/>
  <c r="DE47" i="4"/>
  <c r="DE63" i="4"/>
  <c r="DC85" i="4"/>
  <c r="DA60" i="4"/>
  <c r="DA15" i="4"/>
  <c r="DE80" i="4"/>
  <c r="DE21" i="5"/>
  <c r="CX89" i="4"/>
  <c r="CS140" i="1"/>
  <c r="CR141" i="1"/>
  <c r="CX69" i="4"/>
  <c r="CX70" i="4" s="1"/>
  <c r="CZ32" i="3"/>
  <c r="CZ70" i="3"/>
  <c r="CZ57" i="5"/>
  <c r="CZ64" i="3"/>
  <c r="CZ26" i="3"/>
  <c r="CZ63" i="3"/>
  <c r="CZ46" i="3" s="1"/>
  <c r="CY36" i="3"/>
  <c r="CY71" i="3"/>
  <c r="CY34" i="3"/>
  <c r="CY78" i="3"/>
  <c r="CZ15" i="4"/>
  <c r="CZ60" i="4"/>
  <c r="CX86" i="4"/>
  <c r="CX81" i="4"/>
  <c r="CY75" i="4"/>
  <c r="CY89" i="4"/>
  <c r="CY84" i="4"/>
  <c r="CY61" i="4"/>
  <c r="CY70" i="4"/>
  <c r="CY64" i="4"/>
  <c r="CY86" i="4" s="1"/>
  <c r="CP39" i="3"/>
  <c r="CQ39" i="3"/>
  <c r="CS39" i="3" s="1"/>
  <c r="T14" i="30"/>
  <c r="CN43" i="3"/>
  <c r="CN30" i="3"/>
  <c r="CO29" i="3"/>
  <c r="BW51" i="5"/>
  <c r="BW52" i="5" s="1"/>
  <c r="BX51" i="5" s="1"/>
  <c r="BX52" i="5" s="1"/>
  <c r="BY51" i="5" s="1"/>
  <c r="BY52" i="5" s="1"/>
  <c r="BZ51" i="5" s="1"/>
  <c r="BZ52" i="5" s="1"/>
  <c r="CA51" i="5"/>
  <c r="CA52" i="5" s="1"/>
  <c r="CG66" i="4"/>
  <c r="CG65" i="4"/>
  <c r="CG68" i="4"/>
  <c r="EB315" i="1" l="1"/>
  <c r="DO61" i="3"/>
  <c r="DS29" i="4"/>
  <c r="DO80" i="4"/>
  <c r="DA70" i="3"/>
  <c r="DA64" i="3"/>
  <c r="DA26" i="3"/>
  <c r="DJ31" i="4"/>
  <c r="DJ20" i="5"/>
  <c r="DA32" i="5"/>
  <c r="DA32" i="3"/>
  <c r="DA78" i="3" s="1"/>
  <c r="DE33" i="4"/>
  <c r="DE35" i="4"/>
  <c r="DD56" i="4"/>
  <c r="DC69" i="4"/>
  <c r="DE85" i="4"/>
  <c r="DD85" i="4"/>
  <c r="DA70" i="4"/>
  <c r="DA61" i="4"/>
  <c r="DA64" i="4"/>
  <c r="DA86" i="4" s="1"/>
  <c r="DA84" i="4"/>
  <c r="DA24" i="4"/>
  <c r="DB89" i="4" s="1"/>
  <c r="DA75" i="4"/>
  <c r="CS141" i="1"/>
  <c r="CT140" i="1"/>
  <c r="CT141" i="1" s="1"/>
  <c r="CR39" i="3"/>
  <c r="CW69" i="4"/>
  <c r="CW70" i="4" s="1"/>
  <c r="CZ34" i="3"/>
  <c r="CZ71" i="3"/>
  <c r="CZ36" i="3"/>
  <c r="CZ7" i="5"/>
  <c r="CZ61" i="4"/>
  <c r="CZ70" i="4"/>
  <c r="CZ64" i="4"/>
  <c r="CZ263" i="1"/>
  <c r="CY81" i="4"/>
  <c r="CZ75" i="4"/>
  <c r="CZ24" i="4"/>
  <c r="CZ84" i="4"/>
  <c r="CP29" i="3"/>
  <c r="CQ29" i="3"/>
  <c r="CQ28" i="3"/>
  <c r="CB51" i="5"/>
  <c r="CB52" i="5" s="1"/>
  <c r="CC51" i="5" s="1"/>
  <c r="CC52" i="5" s="1"/>
  <c r="CD51" i="5" s="1"/>
  <c r="CD52" i="5" s="1"/>
  <c r="CE51" i="5" s="1"/>
  <c r="CE52" i="5" s="1"/>
  <c r="CF51" i="5"/>
  <c r="CF52" i="5" s="1"/>
  <c r="CG92" i="4"/>
  <c r="CG91" i="4"/>
  <c r="CG72" i="4"/>
  <c r="CG71" i="4"/>
  <c r="DT29" i="4" l="1"/>
  <c r="DU29" i="4" s="1"/>
  <c r="DV29" i="4" s="1"/>
  <c r="DO14" i="4"/>
  <c r="DO18" i="4"/>
  <c r="DA71" i="3"/>
  <c r="DF85" i="4"/>
  <c r="DF56" i="4"/>
  <c r="DJ34" i="4"/>
  <c r="DJ20" i="4"/>
  <c r="DJ17" i="4"/>
  <c r="DA34" i="3"/>
  <c r="DA36" i="3"/>
  <c r="DE32" i="5"/>
  <c r="DA54" i="5"/>
  <c r="DA56" i="5" s="1"/>
  <c r="DA50" i="5"/>
  <c r="DE39" i="4"/>
  <c r="DE56" i="4"/>
  <c r="DD69" i="4"/>
  <c r="DC64" i="3"/>
  <c r="DC57" i="5"/>
  <c r="DC77" i="3"/>
  <c r="DC70" i="3"/>
  <c r="DB77" i="3"/>
  <c r="DB64" i="3"/>
  <c r="DB70" i="3"/>
  <c r="DB57" i="5"/>
  <c r="DE21" i="3"/>
  <c r="DC60" i="4"/>
  <c r="DA81" i="4"/>
  <c r="DA89" i="4"/>
  <c r="CV69" i="4"/>
  <c r="CV70" i="4" s="1"/>
  <c r="U14" i="30"/>
  <c r="CZ16" i="5"/>
  <c r="CZ81" i="4"/>
  <c r="CZ89" i="4"/>
  <c r="CZ86" i="4"/>
  <c r="CQ30" i="3"/>
  <c r="CQ43" i="3"/>
  <c r="CR29" i="3"/>
  <c r="CR28" i="3"/>
  <c r="CG51" i="5"/>
  <c r="CG52" i="5" s="1"/>
  <c r="CH51" i="5" s="1"/>
  <c r="CH52" i="5" s="1"/>
  <c r="CI51" i="5" s="1"/>
  <c r="CI52" i="5" s="1"/>
  <c r="CJ51" i="5" s="1"/>
  <c r="CJ52" i="5" s="1"/>
  <c r="CK51" i="5"/>
  <c r="CK52" i="5" s="1"/>
  <c r="CL51" i="5" s="1"/>
  <c r="CL52" i="5" s="1"/>
  <c r="CM51" i="5" s="1"/>
  <c r="CM52" i="5" s="1"/>
  <c r="CN51" i="5" s="1"/>
  <c r="CN52" i="5" s="1"/>
  <c r="CO51" i="5" s="1"/>
  <c r="CO52" i="5" s="1"/>
  <c r="DW29" i="4" l="1"/>
  <c r="DJ314" i="1"/>
  <c r="DJ312" i="1" s="1"/>
  <c r="DJ38" i="4"/>
  <c r="DJ37" i="4"/>
  <c r="DF69" i="4"/>
  <c r="DA59" i="5"/>
  <c r="DA57" i="5"/>
  <c r="DE54" i="5"/>
  <c r="DE56" i="5" s="1"/>
  <c r="DE50" i="5"/>
  <c r="DD24" i="3"/>
  <c r="DI70" i="3" s="1"/>
  <c r="DE11" i="4"/>
  <c r="DE69" i="4"/>
  <c r="DE30" i="5"/>
  <c r="DE18" i="5" s="1"/>
  <c r="DE22" i="3"/>
  <c r="DB71" i="3"/>
  <c r="DB78" i="3"/>
  <c r="DC71" i="3"/>
  <c r="DC34" i="3"/>
  <c r="DC78" i="3"/>
  <c r="DC36" i="3"/>
  <c r="DE7" i="4"/>
  <c r="DD60" i="4"/>
  <c r="DC70" i="4"/>
  <c r="DC61" i="4"/>
  <c r="DC64" i="4"/>
  <c r="DC86" i="4" s="1"/>
  <c r="DC75" i="4"/>
  <c r="DC84" i="4"/>
  <c r="CR30" i="3"/>
  <c r="CR43" i="3"/>
  <c r="CS29" i="3"/>
  <c r="CT39" i="3"/>
  <c r="CV39" i="3" s="1"/>
  <c r="CS28" i="3"/>
  <c r="CP51" i="5"/>
  <c r="CP52" i="5" s="1"/>
  <c r="CQ51" i="5" s="1"/>
  <c r="CQ52" i="5" s="1"/>
  <c r="CR51" i="5" s="1"/>
  <c r="CR52" i="5" s="1"/>
  <c r="CS51" i="5" s="1"/>
  <c r="CS52" i="5" s="1"/>
  <c r="CT51" i="5" s="1"/>
  <c r="CT52" i="5" s="1"/>
  <c r="DX29" i="4" l="1"/>
  <c r="DR18" i="4"/>
  <c r="DO21" i="4"/>
  <c r="DD64" i="3"/>
  <c r="DF77" i="3"/>
  <c r="DJ20" i="3"/>
  <c r="DJ16" i="4"/>
  <c r="DJ47" i="4"/>
  <c r="DJ26" i="5"/>
  <c r="DJ63" i="4"/>
  <c r="DJ32" i="4"/>
  <c r="DJ31" i="5"/>
  <c r="DF60" i="4"/>
  <c r="DE59" i="5"/>
  <c r="DE58" i="5"/>
  <c r="DD32" i="3"/>
  <c r="DI71" i="3" s="1"/>
  <c r="DD26" i="3"/>
  <c r="DE24" i="3"/>
  <c r="DD77" i="3"/>
  <c r="DD57" i="5"/>
  <c r="DD70" i="3"/>
  <c r="DE63" i="3"/>
  <c r="DE46" i="3" s="1"/>
  <c r="DD84" i="4"/>
  <c r="DD75" i="4"/>
  <c r="DC81" i="4"/>
  <c r="DD61" i="4"/>
  <c r="DD70" i="4"/>
  <c r="DD64" i="4"/>
  <c r="DD86" i="4" s="1"/>
  <c r="DC89" i="4"/>
  <c r="DE60" i="4"/>
  <c r="DE15" i="4"/>
  <c r="CU39" i="3"/>
  <c r="CS43" i="3"/>
  <c r="CS30" i="3"/>
  <c r="CT29" i="3"/>
  <c r="CT28" i="3"/>
  <c r="CU51" i="5"/>
  <c r="CU52" i="5" s="1"/>
  <c r="CV51" i="5" s="1"/>
  <c r="CV52" i="5" s="1"/>
  <c r="CW51" i="5" s="1"/>
  <c r="CW52" i="5" s="1"/>
  <c r="CX51" i="5" s="1"/>
  <c r="CX52" i="5" s="1"/>
  <c r="CY51" i="5" s="1"/>
  <c r="CY52" i="5" s="1"/>
  <c r="DY29" i="4" l="1"/>
  <c r="DS18" i="4"/>
  <c r="DR14" i="4"/>
  <c r="DO10" i="4"/>
  <c r="DO31" i="4"/>
  <c r="DG70" i="3"/>
  <c r="DG77" i="3"/>
  <c r="CU29" i="3"/>
  <c r="CU28" i="3"/>
  <c r="DJ35" i="4"/>
  <c r="DJ33" i="4"/>
  <c r="DF64" i="3"/>
  <c r="DF32" i="3"/>
  <c r="DK71" i="3" s="1"/>
  <c r="DF57" i="5"/>
  <c r="DF70" i="3"/>
  <c r="DF75" i="4"/>
  <c r="DF84" i="4"/>
  <c r="DF61" i="4"/>
  <c r="DF64" i="4"/>
  <c r="DF86" i="4" s="1"/>
  <c r="DF70" i="4"/>
  <c r="DD81" i="4"/>
  <c r="DE64" i="3"/>
  <c r="DE7" i="5"/>
  <c r="V14" i="30" s="1"/>
  <c r="DD71" i="3"/>
  <c r="DD36" i="3"/>
  <c r="DD78" i="3"/>
  <c r="DD34" i="3"/>
  <c r="DE26" i="3"/>
  <c r="DE32" i="3"/>
  <c r="DE57" i="5"/>
  <c r="DE70" i="3"/>
  <c r="DD89" i="4"/>
  <c r="DE61" i="4"/>
  <c r="DE64" i="4"/>
  <c r="DE86" i="4" s="1"/>
  <c r="DE70" i="4"/>
  <c r="DE263" i="1"/>
  <c r="DE24" i="4"/>
  <c r="DE84" i="4"/>
  <c r="DE75" i="4"/>
  <c r="CV29" i="3"/>
  <c r="CW39" i="3"/>
  <c r="CX39" i="3" s="1"/>
  <c r="CV28" i="3"/>
  <c r="CZ51" i="5"/>
  <c r="CZ52" i="5" s="1"/>
  <c r="CT43" i="3"/>
  <c r="CT30" i="3"/>
  <c r="CH58" i="3"/>
  <c r="CH13" i="3"/>
  <c r="DZ29" i="4" l="1"/>
  <c r="EA29" i="4" s="1"/>
  <c r="EB29" i="4" s="1"/>
  <c r="DT18" i="4"/>
  <c r="DU18" i="4" s="1"/>
  <c r="DR21" i="4"/>
  <c r="DS14" i="4"/>
  <c r="DT14" i="4" s="1"/>
  <c r="DJ39" i="4"/>
  <c r="DO20" i="4"/>
  <c r="DO17" i="4"/>
  <c r="DF78" i="3"/>
  <c r="DG78" i="3"/>
  <c r="CU30" i="3"/>
  <c r="CU43" i="3"/>
  <c r="DG71" i="3"/>
  <c r="DJ56" i="4"/>
  <c r="DF71" i="3"/>
  <c r="DF36" i="3"/>
  <c r="DF34" i="3"/>
  <c r="DF81" i="4"/>
  <c r="DF89" i="4"/>
  <c r="DE71" i="3"/>
  <c r="DE16" i="5"/>
  <c r="DE36" i="3"/>
  <c r="DE34" i="3"/>
  <c r="DA51" i="5"/>
  <c r="DA52" i="5" s="1"/>
  <c r="DE51" i="5"/>
  <c r="DE52" i="5" s="1"/>
  <c r="DF51" i="5" s="1"/>
  <c r="DF52" i="5" s="1"/>
  <c r="DG51" i="5" s="1"/>
  <c r="DG52" i="5" s="1"/>
  <c r="DH51" i="5" s="1"/>
  <c r="DH52" i="5" s="1"/>
  <c r="DI51" i="5" s="1"/>
  <c r="DI52" i="5" s="1"/>
  <c r="DE89" i="4"/>
  <c r="DE81" i="4"/>
  <c r="CW29" i="3"/>
  <c r="CW28" i="3"/>
  <c r="CV43" i="3"/>
  <c r="CV30" i="3"/>
  <c r="CH18" i="3"/>
  <c r="CH53" i="3" s="1"/>
  <c r="CH55" i="3" s="1"/>
  <c r="DU14" i="4" l="1"/>
  <c r="DV18" i="4"/>
  <c r="DS21" i="4"/>
  <c r="DR31" i="4"/>
  <c r="DO314" i="1"/>
  <c r="DO312" i="1" s="1"/>
  <c r="DO34" i="4"/>
  <c r="DO37" i="4"/>
  <c r="DN63" i="4"/>
  <c r="DO38" i="4"/>
  <c r="DB51" i="5"/>
  <c r="DB52" i="5" s="1"/>
  <c r="DC51" i="5" s="1"/>
  <c r="DC52" i="5" s="1"/>
  <c r="DD51" i="5" s="1"/>
  <c r="DD52" i="5" s="1"/>
  <c r="DJ69" i="4"/>
  <c r="DJ51" i="5"/>
  <c r="DJ52" i="5" s="1"/>
  <c r="DJ7" i="4"/>
  <c r="CW43" i="3"/>
  <c r="CW30" i="3"/>
  <c r="CI86" i="4"/>
  <c r="CH86" i="4"/>
  <c r="CX29" i="3"/>
  <c r="CY39" i="3"/>
  <c r="DA39" i="3" s="1"/>
  <c r="DC39" i="3" s="1"/>
  <c r="CX28" i="3"/>
  <c r="CH21" i="3"/>
  <c r="CH63" i="3" s="1"/>
  <c r="CH46" i="3" s="1"/>
  <c r="CH85" i="4"/>
  <c r="CH62" i="3"/>
  <c r="CM69" i="3"/>
  <c r="CH76" i="3"/>
  <c r="CI76" i="3"/>
  <c r="CH69" i="3"/>
  <c r="CH68" i="3"/>
  <c r="CH61" i="3"/>
  <c r="CH75" i="3"/>
  <c r="CI75" i="3"/>
  <c r="CM68" i="3"/>
  <c r="CH75" i="4"/>
  <c r="CH84" i="4"/>
  <c r="DW18" i="4" l="1"/>
  <c r="DV14" i="4"/>
  <c r="DK51" i="5"/>
  <c r="DK52" i="5" s="1"/>
  <c r="DL51" i="5" s="1"/>
  <c r="DL52" i="5" s="1"/>
  <c r="DO51" i="5"/>
  <c r="DO52" i="5" s="1"/>
  <c r="DP51" i="5" s="1"/>
  <c r="DP52" i="5" s="1"/>
  <c r="DQ51" i="5" s="1"/>
  <c r="DQ52" i="5" s="1"/>
  <c r="DO20" i="3"/>
  <c r="DT21" i="4"/>
  <c r="DU21" i="4" s="1"/>
  <c r="DR20" i="4"/>
  <c r="DR17" i="4"/>
  <c r="DS31" i="4"/>
  <c r="DR10" i="4"/>
  <c r="DO63" i="4"/>
  <c r="DO32" i="4"/>
  <c r="DO47" i="4"/>
  <c r="DO16" i="4"/>
  <c r="DJ11" i="4"/>
  <c r="DJ30" i="5"/>
  <c r="DJ60" i="4"/>
  <c r="DA29" i="3"/>
  <c r="DA28" i="3"/>
  <c r="CX30" i="3"/>
  <c r="CX43" i="3"/>
  <c r="CY29" i="3"/>
  <c r="CY28" i="3"/>
  <c r="CZ39" i="3"/>
  <c r="DB39" i="3" s="1"/>
  <c r="CH24" i="3"/>
  <c r="CH77" i="3" s="1"/>
  <c r="CH81" i="4"/>
  <c r="CM81" i="4"/>
  <c r="CI89" i="4"/>
  <c r="DV21" i="4" l="1"/>
  <c r="DW14" i="4"/>
  <c r="DX18" i="4"/>
  <c r="DM51" i="5"/>
  <c r="DM52" i="5" s="1"/>
  <c r="DN51" i="5" s="1"/>
  <c r="DN52" i="5" s="1"/>
  <c r="DR20" i="5"/>
  <c r="DS20" i="4"/>
  <c r="DS17" i="4"/>
  <c r="DM77" i="3"/>
  <c r="DR38" i="4"/>
  <c r="DT31" i="4"/>
  <c r="DU31" i="4" s="1"/>
  <c r="DS10" i="4"/>
  <c r="DN85" i="4"/>
  <c r="DR37" i="4"/>
  <c r="DR51" i="5"/>
  <c r="DR52" i="5" s="1"/>
  <c r="DS51" i="5" s="1"/>
  <c r="DS52" i="5" s="1"/>
  <c r="DT51" i="5"/>
  <c r="DT52" i="5" s="1"/>
  <c r="DO21" i="3"/>
  <c r="DO85" i="4"/>
  <c r="DJ15" i="4"/>
  <c r="DJ84" i="4" s="1"/>
  <c r="DO35" i="4"/>
  <c r="DN56" i="4"/>
  <c r="DO33" i="4"/>
  <c r="DB29" i="3"/>
  <c r="DB28" i="3"/>
  <c r="DJ64" i="4"/>
  <c r="DJ61" i="4"/>
  <c r="DJ70" i="4"/>
  <c r="DJ263" i="1"/>
  <c r="DA43" i="3"/>
  <c r="DA30" i="3"/>
  <c r="CZ29" i="3"/>
  <c r="CZ28" i="3"/>
  <c r="CY30" i="3"/>
  <c r="CY43" i="3"/>
  <c r="CH64" i="3"/>
  <c r="CH26" i="3"/>
  <c r="CH57" i="5"/>
  <c r="CI77" i="3"/>
  <c r="CH32" i="3"/>
  <c r="CH36" i="3" s="1"/>
  <c r="CM70" i="3"/>
  <c r="CH70" i="3"/>
  <c r="CH28" i="3"/>
  <c r="CH30" i="3" s="1"/>
  <c r="CH89" i="4"/>
  <c r="DY18" i="4" l="1"/>
  <c r="DV31" i="4"/>
  <c r="DX14" i="4"/>
  <c r="DY14" i="4" s="1"/>
  <c r="DZ14" i="4" s="1"/>
  <c r="DW21" i="4"/>
  <c r="DY51" i="5"/>
  <c r="DY52" i="5" s="1"/>
  <c r="DZ51" i="5" s="1"/>
  <c r="DZ52" i="5" s="1"/>
  <c r="EA51" i="5" s="1"/>
  <c r="EA52" i="5" s="1"/>
  <c r="EB51" i="5" s="1"/>
  <c r="EB52" i="5" s="1"/>
  <c r="DU51" i="5"/>
  <c r="DU52" i="5" s="1"/>
  <c r="DV51" i="5" s="1"/>
  <c r="DV52" i="5" s="1"/>
  <c r="DW51" i="5" s="1"/>
  <c r="DW52" i="5" s="1"/>
  <c r="DX51" i="5" s="1"/>
  <c r="DX52" i="5" s="1"/>
  <c r="DT10" i="4"/>
  <c r="DT20" i="4"/>
  <c r="DU20" i="4" s="1"/>
  <c r="DR34" i="4"/>
  <c r="DR47" i="4"/>
  <c r="DR16" i="4"/>
  <c r="DT17" i="4"/>
  <c r="DU17" i="4" s="1"/>
  <c r="DM78" i="3"/>
  <c r="DS20" i="5"/>
  <c r="DR32" i="4"/>
  <c r="DS37" i="4"/>
  <c r="DR26" i="5"/>
  <c r="DS38" i="4"/>
  <c r="DR63" i="4"/>
  <c r="DR20" i="3" s="1"/>
  <c r="DO39" i="4"/>
  <c r="DJ24" i="4"/>
  <c r="DK89" i="4" s="1"/>
  <c r="DJ75" i="4"/>
  <c r="DN69" i="4"/>
  <c r="DO56" i="4"/>
  <c r="DB30" i="3"/>
  <c r="DB43" i="3"/>
  <c r="DC29" i="3"/>
  <c r="DD39" i="3"/>
  <c r="DC28" i="3"/>
  <c r="CZ43" i="3"/>
  <c r="CZ30" i="3"/>
  <c r="CM71" i="3"/>
  <c r="CH43" i="3"/>
  <c r="CH71" i="3"/>
  <c r="CH34" i="3"/>
  <c r="CH78" i="3"/>
  <c r="CI78" i="3"/>
  <c r="DW31" i="4" l="1"/>
  <c r="EA14" i="4"/>
  <c r="DU10" i="4"/>
  <c r="DU20" i="5" s="1"/>
  <c r="DX21" i="4"/>
  <c r="DV20" i="4"/>
  <c r="DV17" i="4"/>
  <c r="DZ18" i="4"/>
  <c r="DS16" i="4"/>
  <c r="DS47" i="4"/>
  <c r="DS34" i="4"/>
  <c r="DT314" i="1"/>
  <c r="DT312" i="1" s="1"/>
  <c r="DS32" i="4"/>
  <c r="DR33" i="4"/>
  <c r="DR31" i="5"/>
  <c r="DR35" i="4"/>
  <c r="DT37" i="4"/>
  <c r="DU37" i="4" s="1"/>
  <c r="DS26" i="5"/>
  <c r="DT26" i="5" s="1"/>
  <c r="DT20" i="5"/>
  <c r="DT38" i="4"/>
  <c r="DU38" i="4" s="1"/>
  <c r="DS63" i="4"/>
  <c r="DS20" i="3" s="1"/>
  <c r="DO22" i="3"/>
  <c r="DO63" i="3" s="1"/>
  <c r="DJ81" i="4"/>
  <c r="DO69" i="4"/>
  <c r="DN60" i="4"/>
  <c r="DO7" i="4"/>
  <c r="DC30" i="3"/>
  <c r="DC43" i="3"/>
  <c r="DD29" i="3"/>
  <c r="DD28" i="3"/>
  <c r="DE39" i="3"/>
  <c r="EB14" i="4" l="1"/>
  <c r="DW20" i="4"/>
  <c r="DU63" i="4"/>
  <c r="DV38" i="4"/>
  <c r="EA18" i="4"/>
  <c r="DY21" i="4"/>
  <c r="DV37" i="4"/>
  <c r="DU26" i="5"/>
  <c r="DW17" i="4"/>
  <c r="DV10" i="4"/>
  <c r="DV20" i="5" s="1"/>
  <c r="DX31" i="4"/>
  <c r="DT34" i="4"/>
  <c r="DT47" i="4"/>
  <c r="DU47" i="4" s="1"/>
  <c r="DT16" i="4"/>
  <c r="DU16" i="4" s="1"/>
  <c r="DN77" i="3"/>
  <c r="DR39" i="4"/>
  <c r="DS35" i="4"/>
  <c r="DR56" i="4"/>
  <c r="DT20" i="3"/>
  <c r="DT63" i="4"/>
  <c r="DT32" i="4"/>
  <c r="DU32" i="4" s="1"/>
  <c r="DS33" i="4"/>
  <c r="DS31" i="5"/>
  <c r="DT31" i="5" s="1"/>
  <c r="DR21" i="3"/>
  <c r="DR22" i="3" s="1"/>
  <c r="DR85" i="4"/>
  <c r="DO46" i="3"/>
  <c r="DN70" i="3"/>
  <c r="DO24" i="3"/>
  <c r="DO57" i="5" s="1"/>
  <c r="DF39" i="3"/>
  <c r="DG39" i="3"/>
  <c r="DN61" i="4"/>
  <c r="DN70" i="4"/>
  <c r="DN64" i="4"/>
  <c r="DO60" i="4"/>
  <c r="DE29" i="3"/>
  <c r="DE28" i="3"/>
  <c r="DD43" i="3"/>
  <c r="DD30" i="3"/>
  <c r="DX17" i="4" l="1"/>
  <c r="DZ21" i="4"/>
  <c r="DV47" i="4"/>
  <c r="EB18" i="4"/>
  <c r="DX20" i="4"/>
  <c r="DV32" i="4"/>
  <c r="DU31" i="5"/>
  <c r="DU20" i="3"/>
  <c r="DV16" i="4"/>
  <c r="DU34" i="4"/>
  <c r="DY31" i="4"/>
  <c r="DW37" i="4"/>
  <c r="DV26" i="5"/>
  <c r="DW10" i="4"/>
  <c r="DV63" i="4"/>
  <c r="DV20" i="3" s="1"/>
  <c r="DW38" i="4"/>
  <c r="DS39" i="4"/>
  <c r="DN86" i="4"/>
  <c r="DR69" i="4"/>
  <c r="DR24" i="3"/>
  <c r="DN78" i="3"/>
  <c r="DT33" i="4"/>
  <c r="DS21" i="3"/>
  <c r="DS22" i="3" s="1"/>
  <c r="DS85" i="4"/>
  <c r="DR7" i="4"/>
  <c r="DT35" i="4"/>
  <c r="DU35" i="4" s="1"/>
  <c r="DS56" i="4"/>
  <c r="DF29" i="3"/>
  <c r="DF28" i="3"/>
  <c r="DO64" i="3"/>
  <c r="DO26" i="3"/>
  <c r="DO32" i="3"/>
  <c r="DO36" i="3" s="1"/>
  <c r="DN71" i="3"/>
  <c r="DG29" i="3"/>
  <c r="DG28" i="3"/>
  <c r="DO11" i="4"/>
  <c r="DO64" i="4"/>
  <c r="DO61" i="4"/>
  <c r="DO70" i="4"/>
  <c r="DO263" i="1"/>
  <c r="DH39" i="3"/>
  <c r="DE30" i="3"/>
  <c r="DE43" i="3"/>
  <c r="CH62" i="4"/>
  <c r="DZ31" i="4" l="1"/>
  <c r="EA21" i="4"/>
  <c r="DV85" i="4"/>
  <c r="DV21" i="3"/>
  <c r="DW47" i="4"/>
  <c r="DU56" i="4"/>
  <c r="DV35" i="4"/>
  <c r="DX10" i="4"/>
  <c r="DX20" i="5" s="1"/>
  <c r="DX38" i="4"/>
  <c r="DW63" i="4"/>
  <c r="DW20" i="3" s="1"/>
  <c r="DV34" i="4"/>
  <c r="DX37" i="4"/>
  <c r="DW26" i="5"/>
  <c r="DW16" i="4"/>
  <c r="DW32" i="4"/>
  <c r="DV33" i="4"/>
  <c r="DV31" i="5"/>
  <c r="DY17" i="4"/>
  <c r="DW20" i="5"/>
  <c r="DY20" i="4"/>
  <c r="DR57" i="5"/>
  <c r="DO86" i="4"/>
  <c r="DS69" i="4"/>
  <c r="DR77" i="3"/>
  <c r="DR70" i="3"/>
  <c r="DR32" i="3"/>
  <c r="DR26" i="3"/>
  <c r="DR7" i="5" s="1"/>
  <c r="DQ70" i="3"/>
  <c r="DR64" i="3"/>
  <c r="DF30" i="3"/>
  <c r="DF43" i="3"/>
  <c r="DT56" i="4"/>
  <c r="DS7" i="4"/>
  <c r="DR60" i="4"/>
  <c r="DT39" i="4"/>
  <c r="DO34" i="3"/>
  <c r="DI28" i="3"/>
  <c r="DG43" i="3"/>
  <c r="DG30" i="3"/>
  <c r="DN84" i="4"/>
  <c r="DO15" i="4"/>
  <c r="DH29" i="3"/>
  <c r="CH68" i="4"/>
  <c r="CH66" i="4"/>
  <c r="CH65" i="4"/>
  <c r="CI62" i="4"/>
  <c r="DY38" i="4" l="1"/>
  <c r="DX63" i="4"/>
  <c r="DX20" i="3" s="1"/>
  <c r="DU69" i="4"/>
  <c r="EB21" i="4"/>
  <c r="DV39" i="4"/>
  <c r="DY37" i="4"/>
  <c r="DZ37" i="4" s="1"/>
  <c r="DX26" i="5"/>
  <c r="DY26" i="5" s="1"/>
  <c r="DY20" i="5"/>
  <c r="DX47" i="4"/>
  <c r="EA31" i="4"/>
  <c r="DX32" i="4"/>
  <c r="DW31" i="5"/>
  <c r="DW33" i="4"/>
  <c r="DV22" i="3"/>
  <c r="DW34" i="4"/>
  <c r="DY10" i="4"/>
  <c r="DZ20" i="4"/>
  <c r="DZ17" i="4"/>
  <c r="DY314" i="1"/>
  <c r="DY312" i="1" s="1"/>
  <c r="DX16" i="4"/>
  <c r="DW21" i="3"/>
  <c r="DW85" i="4"/>
  <c r="DV56" i="4"/>
  <c r="DW35" i="4"/>
  <c r="DR34" i="3"/>
  <c r="DR71" i="3"/>
  <c r="DR36" i="3"/>
  <c r="DR78" i="3"/>
  <c r="DQ71" i="3"/>
  <c r="DS24" i="3"/>
  <c r="DR11" i="4"/>
  <c r="DT69" i="4"/>
  <c r="DR61" i="4"/>
  <c r="DR64" i="4"/>
  <c r="DR70" i="4"/>
  <c r="DT7" i="4"/>
  <c r="DU7" i="4" s="1"/>
  <c r="DS60" i="4"/>
  <c r="DI30" i="3"/>
  <c r="DN89" i="4"/>
  <c r="DO84" i="4"/>
  <c r="DO75" i="4"/>
  <c r="DO24" i="4"/>
  <c r="DJ39" i="3"/>
  <c r="CI65" i="4"/>
  <c r="CI66" i="4"/>
  <c r="CI68" i="4"/>
  <c r="CH71" i="4"/>
  <c r="CH72" i="4"/>
  <c r="CH91" i="4"/>
  <c r="CH92" i="4"/>
  <c r="DV24" i="3" l="1"/>
  <c r="DV57" i="5" s="1"/>
  <c r="DO81" i="4"/>
  <c r="DP89" i="4"/>
  <c r="DY16" i="4"/>
  <c r="DZ10" i="4"/>
  <c r="DY20" i="3"/>
  <c r="DX85" i="4"/>
  <c r="DX21" i="3"/>
  <c r="DZ314" i="1"/>
  <c r="DZ312" i="1" s="1"/>
  <c r="EA17" i="4"/>
  <c r="DY47" i="4"/>
  <c r="DY63" i="4"/>
  <c r="DZ38" i="4"/>
  <c r="EB31" i="4"/>
  <c r="DV69" i="4"/>
  <c r="DW39" i="4"/>
  <c r="DW22" i="3"/>
  <c r="DX34" i="4"/>
  <c r="EA20" i="4"/>
  <c r="DY32" i="4"/>
  <c r="DX31" i="5"/>
  <c r="DY31" i="5" s="1"/>
  <c r="DX33" i="4"/>
  <c r="DX35" i="4"/>
  <c r="DW56" i="4"/>
  <c r="DZ26" i="5"/>
  <c r="EA37" i="4"/>
  <c r="DU60" i="4"/>
  <c r="DV7" i="4"/>
  <c r="DS77" i="3"/>
  <c r="DR30" i="5"/>
  <c r="DR18" i="5" s="1"/>
  <c r="DR16" i="5" s="1"/>
  <c r="DS32" i="3"/>
  <c r="DS64" i="3"/>
  <c r="DS70" i="3"/>
  <c r="DS57" i="5"/>
  <c r="DS26" i="3"/>
  <c r="DS7" i="5" s="1"/>
  <c r="DS11" i="4"/>
  <c r="DR15" i="4"/>
  <c r="DS61" i="4"/>
  <c r="DS64" i="4"/>
  <c r="DS70" i="4"/>
  <c r="DT60" i="4"/>
  <c r="DK29" i="3"/>
  <c r="DK28" i="3"/>
  <c r="DJ29" i="3"/>
  <c r="DI43" i="3"/>
  <c r="CI72" i="4"/>
  <c r="CI91" i="4"/>
  <c r="CI71" i="4"/>
  <c r="CI92" i="4"/>
  <c r="DX39" i="4" l="1"/>
  <c r="DV64" i="3"/>
  <c r="DV32" i="3"/>
  <c r="DV26" i="3"/>
  <c r="DV7" i="5" s="1"/>
  <c r="DV70" i="3"/>
  <c r="DW69" i="4"/>
  <c r="EB20" i="4"/>
  <c r="EA38" i="4"/>
  <c r="DZ63" i="4"/>
  <c r="DZ20" i="3" s="1"/>
  <c r="DZ20" i="5"/>
  <c r="EA10" i="4"/>
  <c r="DX56" i="4"/>
  <c r="DY35" i="4"/>
  <c r="EA314" i="1"/>
  <c r="EA312" i="1" s="1"/>
  <c r="EB17" i="4"/>
  <c r="DX22" i="3"/>
  <c r="DY34" i="4"/>
  <c r="DZ16" i="4"/>
  <c r="DY33" i="4"/>
  <c r="DZ32" i="4"/>
  <c r="EB37" i="4"/>
  <c r="EB26" i="5" s="1"/>
  <c r="EA26" i="5"/>
  <c r="DW24" i="3"/>
  <c r="DZ47" i="4"/>
  <c r="DV60" i="4"/>
  <c r="DW7" i="4"/>
  <c r="DU61" i="4"/>
  <c r="DU64" i="4"/>
  <c r="DU70" i="4"/>
  <c r="DS78" i="3"/>
  <c r="DM29" i="3"/>
  <c r="DM28" i="3"/>
  <c r="DT70" i="4"/>
  <c r="DS34" i="3"/>
  <c r="DS71" i="3"/>
  <c r="DS36" i="3"/>
  <c r="DL29" i="3"/>
  <c r="DL28" i="3"/>
  <c r="DS30" i="5"/>
  <c r="DS18" i="5" s="1"/>
  <c r="DT11" i="4"/>
  <c r="DS15" i="4"/>
  <c r="DT61" i="4"/>
  <c r="DT64" i="4"/>
  <c r="DT263" i="1"/>
  <c r="DR84" i="4"/>
  <c r="DR75" i="4"/>
  <c r="DR24" i="4"/>
  <c r="DK30" i="3"/>
  <c r="DK43" i="3"/>
  <c r="CJ64" i="3"/>
  <c r="CJ77" i="3"/>
  <c r="CJ57" i="5"/>
  <c r="CJ70" i="3"/>
  <c r="CL77" i="3"/>
  <c r="CJ53" i="3"/>
  <c r="CL76" i="3" s="1"/>
  <c r="CK18" i="3"/>
  <c r="CK85" i="4" s="1"/>
  <c r="CJ85" i="4"/>
  <c r="CK26" i="3"/>
  <c r="CJ32" i="3"/>
  <c r="CK21" i="3"/>
  <c r="CK24" i="3"/>
  <c r="CK7" i="5"/>
  <c r="CJ28" i="3"/>
  <c r="CJ30" i="3" s="1"/>
  <c r="DY39" i="4" l="1"/>
  <c r="DV71" i="3"/>
  <c r="DV34" i="3"/>
  <c r="DV36" i="3"/>
  <c r="DX24" i="3"/>
  <c r="DX26" i="3" s="1"/>
  <c r="DX7" i="5" s="1"/>
  <c r="EB10" i="4"/>
  <c r="EB20" i="5" s="1"/>
  <c r="EA32" i="4"/>
  <c r="DZ31" i="5"/>
  <c r="DZ34" i="4"/>
  <c r="DU11" i="4"/>
  <c r="DU30" i="5" s="1"/>
  <c r="DW32" i="3"/>
  <c r="DW26" i="3"/>
  <c r="DW7" i="5" s="1"/>
  <c r="DW57" i="5"/>
  <c r="DW64" i="3"/>
  <c r="DW70" i="3"/>
  <c r="DW77" i="3"/>
  <c r="EA47" i="4"/>
  <c r="DY56" i="4"/>
  <c r="DZ35" i="4"/>
  <c r="EB38" i="4"/>
  <c r="EA63" i="4"/>
  <c r="EA20" i="3" s="1"/>
  <c r="EA20" i="5"/>
  <c r="EA16" i="4"/>
  <c r="EB314" i="1"/>
  <c r="EB312" i="1" s="1"/>
  <c r="DX69" i="4"/>
  <c r="DW60" i="4"/>
  <c r="DX7" i="4"/>
  <c r="DV61" i="4"/>
  <c r="DV64" i="4"/>
  <c r="DV70" i="4"/>
  <c r="DT30" i="5"/>
  <c r="DM30" i="3"/>
  <c r="DM43" i="3"/>
  <c r="DL30" i="3"/>
  <c r="DL43" i="3"/>
  <c r="DS16" i="5"/>
  <c r="DS75" i="4"/>
  <c r="DS84" i="4"/>
  <c r="DS24" i="4"/>
  <c r="DT15" i="4"/>
  <c r="DR89" i="4"/>
  <c r="DR81" i="4"/>
  <c r="CK63" i="3"/>
  <c r="CJ34" i="3"/>
  <c r="CJ58" i="3"/>
  <c r="CK42" i="4"/>
  <c r="CJ43" i="3"/>
  <c r="CK13" i="3"/>
  <c r="CK12" i="3" s="1"/>
  <c r="CK70" i="3"/>
  <c r="CK64" i="3"/>
  <c r="CK57" i="5"/>
  <c r="CK32" i="3"/>
  <c r="R14" i="30"/>
  <c r="CK28" i="3"/>
  <c r="CK53" i="3"/>
  <c r="CJ71" i="3"/>
  <c r="CJ78" i="3"/>
  <c r="CJ69" i="3"/>
  <c r="CL78" i="3"/>
  <c r="CJ55" i="3"/>
  <c r="CJ76" i="3"/>
  <c r="CJ36" i="3"/>
  <c r="CJ62" i="3"/>
  <c r="DX64" i="3" l="1"/>
  <c r="DX77" i="3"/>
  <c r="DX32" i="3"/>
  <c r="DX34" i="3" s="1"/>
  <c r="DX70" i="3"/>
  <c r="DX57" i="5"/>
  <c r="EB16" i="4"/>
  <c r="EA35" i="4"/>
  <c r="DZ56" i="4"/>
  <c r="EB47" i="4"/>
  <c r="DW36" i="3"/>
  <c r="DW34" i="3"/>
  <c r="DW78" i="3"/>
  <c r="DW71" i="3"/>
  <c r="DY69" i="4"/>
  <c r="EA34" i="4"/>
  <c r="EB63" i="4"/>
  <c r="EB20" i="3" s="1"/>
  <c r="EB32" i="4"/>
  <c r="EA31" i="5"/>
  <c r="DV11" i="4"/>
  <c r="DV30" i="5" s="1"/>
  <c r="DW70" i="4"/>
  <c r="DW61" i="4"/>
  <c r="DW64" i="4"/>
  <c r="DX60" i="4"/>
  <c r="DY7" i="4"/>
  <c r="DS89" i="4"/>
  <c r="DS81" i="4"/>
  <c r="DT84" i="4"/>
  <c r="DT24" i="4"/>
  <c r="DT75" i="4"/>
  <c r="CK46" i="3"/>
  <c r="DO39" i="3"/>
  <c r="CN86" i="4"/>
  <c r="CM86" i="4"/>
  <c r="CL86" i="4"/>
  <c r="R26" i="30"/>
  <c r="R27" i="30" s="1"/>
  <c r="CK69" i="3"/>
  <c r="CK62" i="3"/>
  <c r="CK55" i="3"/>
  <c r="CJ86" i="4" s="1"/>
  <c r="CK58" i="3"/>
  <c r="CJ68" i="3"/>
  <c r="CJ61" i="3"/>
  <c r="CL75" i="3"/>
  <c r="CJ75" i="3"/>
  <c r="CK22" i="5"/>
  <c r="CK27" i="4"/>
  <c r="CL77" i="4" s="1"/>
  <c r="CK43" i="3"/>
  <c r="CK30" i="3"/>
  <c r="CK36" i="3"/>
  <c r="CK71" i="3"/>
  <c r="CK34" i="3"/>
  <c r="CK13" i="4"/>
  <c r="CL78" i="4" s="1"/>
  <c r="CL79" i="4" s="1"/>
  <c r="DX36" i="3" l="1"/>
  <c r="DX71" i="3"/>
  <c r="DX78" i="3"/>
  <c r="DZ69" i="4"/>
  <c r="EB34" i="4"/>
  <c r="EB35" i="4"/>
  <c r="EB56" i="4" s="1"/>
  <c r="EA56" i="4"/>
  <c r="DW11" i="4"/>
  <c r="DW30" i="5" s="1"/>
  <c r="DW18" i="5" s="1"/>
  <c r="DV15" i="4"/>
  <c r="EB31" i="5"/>
  <c r="DY60" i="4"/>
  <c r="DZ7" i="4"/>
  <c r="DX61" i="4"/>
  <c r="DX64" i="4"/>
  <c r="DX70" i="4"/>
  <c r="DO29" i="3"/>
  <c r="DO28" i="3"/>
  <c r="CL80" i="4"/>
  <c r="CK15" i="4"/>
  <c r="CK77" i="4"/>
  <c r="CK33" i="4"/>
  <c r="CK39" i="4" s="1"/>
  <c r="CK68" i="3"/>
  <c r="CK86" i="4"/>
  <c r="CK61" i="3"/>
  <c r="CK21" i="5"/>
  <c r="CK78" i="4"/>
  <c r="CK79" i="4" s="1"/>
  <c r="CJ84" i="4"/>
  <c r="CJ75" i="4"/>
  <c r="EB69" i="4" l="1"/>
  <c r="DW16" i="5"/>
  <c r="DX11" i="4"/>
  <c r="DW15" i="4"/>
  <c r="DV84" i="4"/>
  <c r="DV75" i="4"/>
  <c r="DV24" i="4"/>
  <c r="EA69" i="4"/>
  <c r="DY70" i="4"/>
  <c r="DY61" i="4"/>
  <c r="DY64" i="4"/>
  <c r="DY263" i="1"/>
  <c r="EA7" i="4"/>
  <c r="DZ60" i="4"/>
  <c r="DR39" i="3"/>
  <c r="DO30" i="3"/>
  <c r="DO43" i="3"/>
  <c r="CK80" i="4"/>
  <c r="CK18" i="5"/>
  <c r="CJ81" i="4"/>
  <c r="CJ89" i="4"/>
  <c r="CK75" i="4"/>
  <c r="CK24" i="4"/>
  <c r="CK84" i="4"/>
  <c r="DY11" i="4" l="1"/>
  <c r="DX15" i="4"/>
  <c r="DV81" i="4"/>
  <c r="DW75" i="4"/>
  <c r="DW24" i="4"/>
  <c r="DW89" i="4" s="1"/>
  <c r="DW84" i="4"/>
  <c r="DX30" i="5"/>
  <c r="DZ70" i="4"/>
  <c r="DZ61" i="4"/>
  <c r="DZ64" i="4"/>
  <c r="DZ263" i="1"/>
  <c r="EA60" i="4"/>
  <c r="EB7" i="4"/>
  <c r="DR29" i="3"/>
  <c r="DS39" i="3"/>
  <c r="DR28" i="3"/>
  <c r="CL89" i="4"/>
  <c r="CK81" i="4"/>
  <c r="CK89" i="4"/>
  <c r="CK43" i="4"/>
  <c r="CK46" i="4" s="1"/>
  <c r="CK16" i="5"/>
  <c r="CL62" i="4"/>
  <c r="DY30" i="5" l="1"/>
  <c r="DX18" i="5"/>
  <c r="DX84" i="4"/>
  <c r="DX24" i="4"/>
  <c r="DX81" i="4" s="1"/>
  <c r="DX75" i="4"/>
  <c r="DW81" i="4"/>
  <c r="DZ11" i="4"/>
  <c r="DZ30" i="5" s="1"/>
  <c r="DY15" i="4"/>
  <c r="EA61" i="4"/>
  <c r="EA263" i="1"/>
  <c r="EA64" i="4"/>
  <c r="EA70" i="4"/>
  <c r="EB60" i="4"/>
  <c r="DT39" i="3"/>
  <c r="DR30" i="3"/>
  <c r="DR43" i="3"/>
  <c r="DS29" i="3"/>
  <c r="DS28" i="3"/>
  <c r="CL68" i="4"/>
  <c r="CL65" i="4"/>
  <c r="CL66" i="4"/>
  <c r="CK48" i="4"/>
  <c r="CM62" i="4"/>
  <c r="DY24" i="4" l="1"/>
  <c r="DY84" i="4"/>
  <c r="DY75" i="4"/>
  <c r="EA11" i="4"/>
  <c r="EA30" i="5"/>
  <c r="DX16" i="5"/>
  <c r="DX89" i="4"/>
  <c r="DT29" i="3"/>
  <c r="DU39" i="3"/>
  <c r="EB61" i="4"/>
  <c r="EB70" i="4"/>
  <c r="EB263" i="1"/>
  <c r="EB64" i="4"/>
  <c r="DS30" i="3"/>
  <c r="DS43" i="3"/>
  <c r="CL72" i="4"/>
  <c r="CL71" i="4"/>
  <c r="CN62" i="4"/>
  <c r="CK62" i="4"/>
  <c r="CK49" i="4"/>
  <c r="CK50" i="4" s="1"/>
  <c r="CM66" i="4"/>
  <c r="CM65" i="4"/>
  <c r="CM68" i="4"/>
  <c r="CJ62" i="4"/>
  <c r="EB11" i="4" l="1"/>
  <c r="DU29" i="3"/>
  <c r="DV39" i="3"/>
  <c r="CJ65" i="4"/>
  <c r="CJ68" i="4"/>
  <c r="CJ66" i="4"/>
  <c r="CK66" i="4"/>
  <c r="CK68" i="4"/>
  <c r="CK65" i="4"/>
  <c r="CM71" i="4"/>
  <c r="CM92" i="4"/>
  <c r="CM91" i="4"/>
  <c r="CM72" i="4"/>
  <c r="CN66" i="4"/>
  <c r="CN65" i="4"/>
  <c r="CN68" i="4"/>
  <c r="EB30" i="5" l="1"/>
  <c r="DV29" i="3"/>
  <c r="DW39" i="3"/>
  <c r="DV28" i="3"/>
  <c r="CJ92" i="4"/>
  <c r="CJ72" i="4"/>
  <c r="CJ71" i="4"/>
  <c r="CJ91" i="4"/>
  <c r="CK71" i="4"/>
  <c r="CK72" i="4"/>
  <c r="CK92" i="4"/>
  <c r="CK91" i="4"/>
  <c r="CK90" i="4"/>
  <c r="CL92" i="4"/>
  <c r="CL91" i="4"/>
  <c r="CN71" i="4"/>
  <c r="CN92" i="4"/>
  <c r="CN91" i="4"/>
  <c r="CN72" i="4"/>
  <c r="DV30" i="3" l="1"/>
  <c r="DV43" i="3"/>
  <c r="DW29" i="3"/>
  <c r="DX39" i="3"/>
  <c r="DW28" i="3"/>
  <c r="R36" i="30"/>
  <c r="R9" i="30"/>
  <c r="R31" i="30" s="1"/>
  <c r="DX29" i="3" l="1"/>
  <c r="DX28" i="3"/>
  <c r="DY39" i="3"/>
  <c r="DW30" i="3"/>
  <c r="DW43" i="3"/>
  <c r="R12" i="30"/>
  <c r="R28" i="30"/>
  <c r="R34" i="30"/>
  <c r="R33" i="30"/>
  <c r="R38" i="30"/>
  <c r="R39" i="30"/>
  <c r="DY29" i="3" l="1"/>
  <c r="DZ39" i="3"/>
  <c r="DX43" i="3"/>
  <c r="DX30" i="3"/>
  <c r="DZ29" i="3" l="1"/>
  <c r="EA39" i="3"/>
  <c r="AU42" i="30"/>
  <c r="AV43" i="30" s="1"/>
  <c r="AV45" i="30" s="1"/>
  <c r="AV46" i="30" s="1"/>
  <c r="S5" i="30"/>
  <c r="EA29" i="3" l="1"/>
  <c r="EB39" i="3"/>
  <c r="AQ45" i="30"/>
  <c r="AQ46" i="30" s="1"/>
  <c r="AU43" i="30"/>
  <c r="T5" i="30"/>
  <c r="EB29" i="3" l="1"/>
  <c r="AU45" i="30"/>
  <c r="AU46" i="30" s="1"/>
  <c r="T6" i="30"/>
  <c r="T16" i="30" s="1"/>
  <c r="T21" i="30" s="1"/>
  <c r="T17" i="30" l="1"/>
  <c r="AP45" i="30" l="1"/>
  <c r="AP46" i="30" s="1"/>
  <c r="CP7" i="5" l="1"/>
  <c r="CP42" i="4" l="1"/>
  <c r="S14" i="30"/>
  <c r="S26" i="30" l="1"/>
  <c r="S27" i="30" s="1"/>
  <c r="CP22" i="5"/>
  <c r="CP27" i="4"/>
  <c r="CQ77" i="4" s="1"/>
  <c r="CP13" i="4"/>
  <c r="CQ78" i="4" s="1"/>
  <c r="CQ79" i="4" s="1"/>
  <c r="CQ80" i="4" l="1"/>
  <c r="CP15" i="4"/>
  <c r="CU78" i="4"/>
  <c r="CU79" i="4" s="1"/>
  <c r="CU77" i="4"/>
  <c r="CP33" i="4"/>
  <c r="CP39" i="4" s="1"/>
  <c r="CU22" i="5"/>
  <c r="CO84" i="4"/>
  <c r="CO75" i="4"/>
  <c r="CP21" i="5"/>
  <c r="CP18" i="5" l="1"/>
  <c r="CU21" i="5"/>
  <c r="CU80" i="4"/>
  <c r="CO81" i="4"/>
  <c r="CT81" i="4"/>
  <c r="CP75" i="4"/>
  <c r="CP84" i="4"/>
  <c r="CP24" i="4"/>
  <c r="CP16" i="5" l="1"/>
  <c r="CP81" i="4"/>
  <c r="CU81" i="4"/>
  <c r="CU89" i="4"/>
  <c r="CQ89" i="4"/>
  <c r="CP43" i="4"/>
  <c r="CP46" i="4" s="1"/>
  <c r="CU18" i="5"/>
  <c r="CQ62" i="4"/>
  <c r="CU43" i="4" l="1"/>
  <c r="CU42" i="4"/>
  <c r="CU16" i="5"/>
  <c r="CR62" i="4"/>
  <c r="CP48" i="4"/>
  <c r="CQ68" i="4"/>
  <c r="CQ65" i="4"/>
  <c r="CQ66" i="4"/>
  <c r="CO62" i="4" l="1"/>
  <c r="CR68" i="4"/>
  <c r="CR66" i="4"/>
  <c r="CR65" i="4"/>
  <c r="CP62" i="4"/>
  <c r="CP49" i="4"/>
  <c r="CP50" i="4" s="1"/>
  <c r="CS62" i="4"/>
  <c r="CU46" i="4"/>
  <c r="CQ71" i="4"/>
  <c r="CQ72" i="4"/>
  <c r="CT62" i="4" l="1"/>
  <c r="CU48" i="4"/>
  <c r="CS68" i="4"/>
  <c r="CS65" i="4"/>
  <c r="CS66" i="4"/>
  <c r="CR72" i="4"/>
  <c r="CR91" i="4"/>
  <c r="CR92" i="4"/>
  <c r="CR71" i="4"/>
  <c r="CO68" i="4"/>
  <c r="CO65" i="4"/>
  <c r="CO66" i="4"/>
  <c r="CP66" i="4"/>
  <c r="CP65" i="4"/>
  <c r="CP68" i="4"/>
  <c r="CV62" i="4" l="1"/>
  <c r="CP72" i="4"/>
  <c r="CP71" i="4"/>
  <c r="CQ92" i="4"/>
  <c r="CQ91" i="4"/>
  <c r="CT65" i="4"/>
  <c r="CT66" i="4"/>
  <c r="CT68" i="4"/>
  <c r="CS71" i="4"/>
  <c r="CS72" i="4"/>
  <c r="CS91" i="4"/>
  <c r="CS92" i="4"/>
  <c r="CO72" i="4"/>
  <c r="CO71" i="4"/>
  <c r="CU62" i="4"/>
  <c r="CU49" i="4"/>
  <c r="CU50" i="4" s="1"/>
  <c r="CZ42" i="4" l="1"/>
  <c r="CZ43" i="4"/>
  <c r="CW62" i="4"/>
  <c r="CV66" i="4"/>
  <c r="CV65" i="4"/>
  <c r="CV68" i="4"/>
  <c r="CT92" i="4"/>
  <c r="CT72" i="4"/>
  <c r="CT91" i="4"/>
  <c r="CT71" i="4"/>
  <c r="CU66" i="4"/>
  <c r="CU68" i="4"/>
  <c r="CU65" i="4"/>
  <c r="CZ46" i="4" l="1"/>
  <c r="CZ48" i="4" s="1"/>
  <c r="CX62" i="4"/>
  <c r="CW65" i="4"/>
  <c r="CW66" i="4"/>
  <c r="CW68" i="4"/>
  <c r="CV71" i="4"/>
  <c r="CV72" i="4"/>
  <c r="CV91" i="4"/>
  <c r="CV92" i="4"/>
  <c r="CU91" i="4"/>
  <c r="CU92" i="4"/>
  <c r="CU72" i="4"/>
  <c r="CU90" i="4"/>
  <c r="CU71" i="4"/>
  <c r="DA48" i="4" l="1"/>
  <c r="DA49" i="4" s="1"/>
  <c r="CZ49" i="4"/>
  <c r="CZ50" i="4" s="1"/>
  <c r="CZ62" i="4"/>
  <c r="CY62" i="4"/>
  <c r="CW72" i="4"/>
  <c r="CW91" i="4"/>
  <c r="CW92" i="4"/>
  <c r="CW71" i="4"/>
  <c r="CX65" i="4"/>
  <c r="CX68" i="4"/>
  <c r="CX66" i="4"/>
  <c r="DA62" i="4" l="1"/>
  <c r="DA68" i="4" s="1"/>
  <c r="CX71" i="4"/>
  <c r="CX72" i="4"/>
  <c r="CX92" i="4"/>
  <c r="CX91" i="4"/>
  <c r="CZ65" i="4"/>
  <c r="CZ68" i="4"/>
  <c r="CZ66" i="4"/>
  <c r="CY66" i="4"/>
  <c r="CY68" i="4"/>
  <c r="CY65" i="4"/>
  <c r="DB92" i="4" l="1"/>
  <c r="DB91" i="4"/>
  <c r="DA65" i="4"/>
  <c r="DA66" i="4"/>
  <c r="DC62" i="4"/>
  <c r="DA71" i="4"/>
  <c r="DA72" i="4"/>
  <c r="DE42" i="4"/>
  <c r="DE43" i="4"/>
  <c r="DA92" i="4"/>
  <c r="DA91" i="4"/>
  <c r="CY71" i="4"/>
  <c r="CY91" i="4"/>
  <c r="CY92" i="4"/>
  <c r="CY72" i="4"/>
  <c r="CZ71" i="4"/>
  <c r="CZ72" i="4"/>
  <c r="CZ92" i="4"/>
  <c r="CZ90" i="4"/>
  <c r="CZ91" i="4"/>
  <c r="DE46" i="4" l="1"/>
  <c r="DC68" i="4"/>
  <c r="DC66" i="4"/>
  <c r="DC65" i="4"/>
  <c r="DF62" i="4" l="1"/>
  <c r="DD62" i="4"/>
  <c r="DC71" i="4"/>
  <c r="DC72" i="4"/>
  <c r="DC91" i="4"/>
  <c r="DC92" i="4"/>
  <c r="DE48" i="4"/>
  <c r="S36" i="30"/>
  <c r="S28" i="30"/>
  <c r="DF65" i="4" l="1"/>
  <c r="DF68" i="4"/>
  <c r="DF66" i="4"/>
  <c r="DD49" i="4"/>
  <c r="DE49" i="4"/>
  <c r="DE50" i="4" s="1"/>
  <c r="DE62" i="4"/>
  <c r="DD65" i="4"/>
  <c r="DD66" i="4"/>
  <c r="DD68" i="4"/>
  <c r="S12" i="30"/>
  <c r="S9" i="30"/>
  <c r="S31" i="30" s="1"/>
  <c r="DG91" i="4" l="1"/>
  <c r="DG92" i="4"/>
  <c r="DF71" i="4"/>
  <c r="DF72" i="4"/>
  <c r="DD71" i="4"/>
  <c r="DD72" i="4"/>
  <c r="DD92" i="4"/>
  <c r="DD91" i="4"/>
  <c r="DE66" i="4"/>
  <c r="DE65" i="4"/>
  <c r="DE68" i="4"/>
  <c r="DF92" i="4" s="1"/>
  <c r="S39" i="30"/>
  <c r="S34" i="30"/>
  <c r="S38" i="30"/>
  <c r="S33" i="30"/>
  <c r="DF91" i="4" l="1"/>
  <c r="DE71" i="4"/>
  <c r="DE72" i="4"/>
  <c r="DE90" i="4"/>
  <c r="DE91" i="4"/>
  <c r="DE92" i="4"/>
  <c r="CP261" i="1"/>
  <c r="CU261" i="1"/>
  <c r="DE260" i="1" l="1"/>
  <c r="DJ260" i="1" l="1"/>
  <c r="DE261" i="1"/>
  <c r="DO260" i="1" l="1"/>
  <c r="DT260" i="1" s="1"/>
  <c r="DJ261" i="1"/>
  <c r="DY260" i="1" l="1"/>
  <c r="DT261" i="1"/>
  <c r="DO261" i="1"/>
  <c r="CO85" i="4"/>
  <c r="CP18" i="3"/>
  <c r="CP85" i="4" s="1"/>
  <c r="CO53" i="3"/>
  <c r="CQ76" i="3" s="1"/>
  <c r="CO21" i="3"/>
  <c r="CO24" i="3" s="1"/>
  <c r="DZ260" i="1" l="1"/>
  <c r="DZ261" i="1" s="1"/>
  <c r="DY261" i="1"/>
  <c r="CP21" i="3"/>
  <c r="CP63" i="3" s="1"/>
  <c r="CP13" i="3"/>
  <c r="CP12" i="3" s="1"/>
  <c r="CP58" i="3" s="1"/>
  <c r="CO78" i="4"/>
  <c r="CO79" i="4" s="1"/>
  <c r="CO58" i="3"/>
  <c r="CO77" i="4"/>
  <c r="CO64" i="3"/>
  <c r="CO57" i="5"/>
  <c r="CO26" i="3"/>
  <c r="CP26" i="3" s="1"/>
  <c r="CO32" i="3"/>
  <c r="CP24" i="3"/>
  <c r="CO70" i="3"/>
  <c r="CO77" i="3"/>
  <c r="CQ77" i="3"/>
  <c r="CO92" i="4"/>
  <c r="CO91" i="4"/>
  <c r="CO28" i="3"/>
  <c r="CO89" i="4"/>
  <c r="CT70" i="3"/>
  <c r="CO63" i="3"/>
  <c r="CO46" i="3" s="1"/>
  <c r="CT69" i="3"/>
  <c r="CO76" i="3"/>
  <c r="CO69" i="3"/>
  <c r="CP53" i="3"/>
  <c r="CO62" i="3"/>
  <c r="CO55" i="3"/>
  <c r="EA260" i="1" l="1"/>
  <c r="CP46" i="3"/>
  <c r="CP77" i="4"/>
  <c r="CQ86" i="4"/>
  <c r="CR86" i="4"/>
  <c r="CS86" i="4"/>
  <c r="CP78" i="4"/>
  <c r="CP79" i="4" s="1"/>
  <c r="CO80" i="4"/>
  <c r="CP69" i="3"/>
  <c r="CP62" i="3"/>
  <c r="CU69" i="3"/>
  <c r="CP55" i="3"/>
  <c r="CO86" i="4" s="1"/>
  <c r="CO71" i="3"/>
  <c r="CQ78" i="3"/>
  <c r="CO34" i="3"/>
  <c r="CT71" i="3"/>
  <c r="CO78" i="3"/>
  <c r="CO36" i="3"/>
  <c r="CT68" i="3"/>
  <c r="CQ75" i="3"/>
  <c r="CO68" i="3"/>
  <c r="CO61" i="3"/>
  <c r="CO75" i="3"/>
  <c r="CO43" i="3"/>
  <c r="CO30" i="3"/>
  <c r="CP91" i="4"/>
  <c r="CU70" i="3"/>
  <c r="CP32" i="3"/>
  <c r="CP57" i="5"/>
  <c r="CP64" i="3"/>
  <c r="CP28" i="3"/>
  <c r="CP70" i="3"/>
  <c r="CP92" i="4"/>
  <c r="CP89" i="4"/>
  <c r="EB260" i="1" l="1"/>
  <c r="EA261" i="1"/>
  <c r="CP80" i="4"/>
  <c r="CU71" i="3"/>
  <c r="CP71" i="3"/>
  <c r="CP36" i="3"/>
  <c r="CP34" i="3"/>
  <c r="CP43" i="3"/>
  <c r="CP30" i="3"/>
  <c r="CU68" i="3"/>
  <c r="CP86" i="4"/>
  <c r="CP90" i="4"/>
  <c r="CP61" i="3"/>
  <c r="CP68" i="3"/>
  <c r="EB261" i="1" l="1"/>
  <c r="T9" i="30" l="1"/>
  <c r="T31" i="30" s="1"/>
  <c r="T26" i="30"/>
  <c r="T36" i="30" l="1"/>
  <c r="T27" i="30"/>
  <c r="T12" i="30" l="1"/>
  <c r="T28" i="30"/>
  <c r="T38" i="30"/>
  <c r="T33" i="30"/>
  <c r="T39" i="30"/>
  <c r="T34" i="30"/>
  <c r="AZ42" i="30" l="1"/>
  <c r="BA43" i="30" s="1"/>
  <c r="BA45" i="30" s="1"/>
  <c r="BA46" i="30" s="1"/>
  <c r="U5" i="30" l="1"/>
  <c r="U6" i="30" l="1"/>
  <c r="U16" i="30" s="1"/>
  <c r="V5" i="30"/>
  <c r="V6" i="30" s="1"/>
  <c r="U21" i="30" l="1"/>
  <c r="U17" i="30"/>
  <c r="AE17" i="30" s="1"/>
  <c r="V16" i="30"/>
  <c r="W5" i="30"/>
  <c r="W6" i="30" s="1"/>
  <c r="V21" i="30" l="1"/>
  <c r="X5" i="30"/>
  <c r="X6" i="30" s="1"/>
  <c r="BD42" i="30"/>
  <c r="W16" i="30"/>
  <c r="V27" i="30" l="1"/>
  <c r="V31" i="30" s="1"/>
  <c r="Y5" i="30"/>
  <c r="Y6" i="30" s="1"/>
  <c r="Y16" i="30" s="1"/>
  <c r="Y21" i="30" s="1"/>
  <c r="BE42" i="30"/>
  <c r="W21" i="30"/>
  <c r="X16" i="30"/>
  <c r="Z5" i="30" l="1"/>
  <c r="Z6" i="30" s="1"/>
  <c r="Z16" i="30" s="1"/>
  <c r="Z21" i="30" s="1"/>
  <c r="BF42" i="30"/>
  <c r="BG42" i="30" s="1"/>
  <c r="AB5" i="30" s="1"/>
  <c r="V8" i="30"/>
  <c r="V9" i="30" s="1"/>
  <c r="V12" i="30"/>
  <c r="V28" i="30"/>
  <c r="X21" i="30"/>
  <c r="V39" i="30"/>
  <c r="V38" i="30"/>
  <c r="V34" i="30"/>
  <c r="V33" i="30"/>
  <c r="BH42" i="30" l="1"/>
  <c r="AC5" i="30" s="1"/>
  <c r="AC6" i="30" s="1"/>
  <c r="AC16" i="30" s="1"/>
  <c r="AA5" i="30"/>
  <c r="AB6" i="30" s="1"/>
  <c r="AB16" i="30" s="1"/>
  <c r="AX45" i="30"/>
  <c r="AX46" i="30" s="1"/>
  <c r="AZ43" i="30"/>
  <c r="AZ45" i="30" s="1"/>
  <c r="AZ46" i="30" s="1"/>
  <c r="AC21" i="30" l="1"/>
  <c r="AC27" i="30"/>
  <c r="AB21" i="30"/>
  <c r="AB27" i="30"/>
  <c r="AA6" i="30"/>
  <c r="AA16" i="30" s="1"/>
  <c r="AA21" i="30" s="1"/>
  <c r="U9" i="30"/>
  <c r="U31" i="30" s="1"/>
  <c r="U26" i="30"/>
  <c r="AB8" i="30" l="1"/>
  <c r="AB9" i="30" s="1"/>
  <c r="AB31" i="30"/>
  <c r="AB12" i="30"/>
  <c r="AB28" i="30"/>
  <c r="AC12" i="30"/>
  <c r="AC28" i="30"/>
  <c r="AC8" i="30"/>
  <c r="AC9" i="30" s="1"/>
  <c r="AC31" i="30"/>
  <c r="U27" i="30"/>
  <c r="U36" i="30"/>
  <c r="AC34" i="30" l="1"/>
  <c r="AC33" i="30"/>
  <c r="AC39" i="30"/>
  <c r="AC38" i="30"/>
  <c r="AB34" i="30"/>
  <c r="AB33" i="30"/>
  <c r="AB38" i="30"/>
  <c r="AB39" i="30"/>
  <c r="U28" i="30"/>
  <c r="U12" i="30"/>
  <c r="U33" i="30" l="1"/>
  <c r="U39" i="30"/>
  <c r="U34" i="30"/>
  <c r="U38" i="30"/>
  <c r="DJ194" i="2" l="1"/>
  <c r="DJ195" i="2" s="1"/>
  <c r="DJ127" i="2"/>
  <c r="DJ360" i="2"/>
  <c r="DJ309" i="2"/>
  <c r="DJ376" i="2" l="1"/>
  <c r="DK376" i="2"/>
  <c r="DJ136" i="2"/>
  <c r="DJ145" i="2"/>
  <c r="DJ326" i="1" s="1"/>
  <c r="DJ144" i="2"/>
  <c r="DJ135" i="2"/>
  <c r="DJ363" i="2"/>
  <c r="DJ311" i="2"/>
  <c r="DJ146" i="2"/>
  <c r="DJ133" i="2"/>
  <c r="DJ362" i="2"/>
  <c r="DJ264" i="2"/>
  <c r="DJ134" i="2"/>
  <c r="DG165" i="2"/>
  <c r="DJ130" i="2"/>
  <c r="DJ248" i="2"/>
  <c r="DJ143" i="2"/>
  <c r="DJ324" i="1" s="1"/>
  <c r="DJ378" i="2" l="1"/>
  <c r="DK378" i="2"/>
  <c r="DJ379" i="2"/>
  <c r="DK379" i="2"/>
  <c r="DO324" i="1"/>
  <c r="DO323" i="1" s="1"/>
  <c r="DJ214" i="2"/>
  <c r="DJ327" i="1" s="1"/>
  <c r="DJ217" i="2"/>
  <c r="DJ213" i="2"/>
  <c r="DJ216" i="2"/>
  <c r="DJ251" i="2"/>
  <c r="DJ269" i="2"/>
  <c r="DJ202" i="2"/>
  <c r="DJ215" i="2"/>
  <c r="DJ323" i="1"/>
  <c r="DJ147" i="2"/>
  <c r="DJ212" i="2"/>
  <c r="DO326" i="1"/>
  <c r="DO327" i="1" l="1"/>
  <c r="DJ218" i="2"/>
  <c r="DO89" i="4" l="1"/>
  <c r="X14" i="30" l="1"/>
  <c r="X27" i="30" l="1"/>
  <c r="X31" i="30" s="1"/>
  <c r="X8" i="30" l="1"/>
  <c r="X9" i="30" s="1"/>
  <c r="X28" i="30"/>
  <c r="X12" i="30"/>
  <c r="X34" i="30" l="1"/>
  <c r="X39" i="30"/>
  <c r="X38" i="30"/>
  <c r="X33" i="30"/>
  <c r="DJ21" i="3" l="1"/>
  <c r="DJ18" i="3"/>
  <c r="DH53" i="3"/>
  <c r="DH55" i="3" l="1"/>
  <c r="DM68" i="3" s="1"/>
  <c r="DM69" i="3"/>
  <c r="DL86" i="4"/>
  <c r="DH86" i="4"/>
  <c r="DI75" i="3"/>
  <c r="DH62" i="3"/>
  <c r="DI76" i="3"/>
  <c r="DJ53" i="3"/>
  <c r="DJ55" i="3" s="1"/>
  <c r="DH61" i="3"/>
  <c r="DJ85" i="4"/>
  <c r="DH76" i="3"/>
  <c r="DH69" i="3"/>
  <c r="DK86" i="4" l="1"/>
  <c r="DH68" i="3"/>
  <c r="DH75" i="3"/>
  <c r="DI86" i="4"/>
  <c r="DJ68" i="3"/>
  <c r="DO69" i="3"/>
  <c r="DJ86" i="4"/>
  <c r="DO68" i="3"/>
  <c r="DJ69" i="3"/>
  <c r="DJ62" i="3"/>
  <c r="DJ61" i="3"/>
  <c r="DJ22" i="3"/>
  <c r="DH24" i="3"/>
  <c r="DI77" i="3" l="1"/>
  <c r="DM70" i="3"/>
  <c r="DH64" i="3"/>
  <c r="DH89" i="4"/>
  <c r="DH57" i="5"/>
  <c r="DH92" i="4"/>
  <c r="DH91" i="4"/>
  <c r="DH28" i="3"/>
  <c r="DH32" i="3"/>
  <c r="DH70" i="3"/>
  <c r="DJ24" i="3"/>
  <c r="DJ32" i="3" s="1"/>
  <c r="DH26" i="3"/>
  <c r="DH77" i="3"/>
  <c r="DJ63" i="3"/>
  <c r="DJ46" i="3" s="1"/>
  <c r="DI78" i="3" l="1"/>
  <c r="DM71" i="3"/>
  <c r="DH34" i="3"/>
  <c r="DH36" i="3"/>
  <c r="DH71" i="3"/>
  <c r="DH78" i="3"/>
  <c r="DJ26" i="3"/>
  <c r="DO70" i="3"/>
  <c r="DJ64" i="3"/>
  <c r="DJ28" i="3"/>
  <c r="DJ89" i="4"/>
  <c r="DJ70" i="3"/>
  <c r="DJ57" i="5"/>
  <c r="DH30" i="3"/>
  <c r="DH43" i="3"/>
  <c r="DJ36" i="3" l="1"/>
  <c r="DO71" i="3"/>
  <c r="DJ71" i="3"/>
  <c r="DJ34" i="3"/>
  <c r="DJ43" i="3"/>
  <c r="DJ30" i="3"/>
  <c r="DJ42" i="4"/>
  <c r="DJ7" i="5"/>
  <c r="DJ43" i="4" l="1"/>
  <c r="DJ46" i="4" s="1"/>
  <c r="W14" i="30"/>
  <c r="W27" i="30" s="1"/>
  <c r="DJ48" i="4" l="1"/>
  <c r="W8" i="30" l="1"/>
  <c r="W9" i="30" s="1"/>
  <c r="W12" i="30"/>
  <c r="W28" i="30"/>
  <c r="W31" i="30"/>
  <c r="DJ49" i="4"/>
  <c r="DJ50" i="4" s="1"/>
  <c r="DJ62" i="4"/>
  <c r="W33" i="30" l="1"/>
  <c r="W38" i="30"/>
  <c r="W34" i="30"/>
  <c r="W39" i="30"/>
  <c r="DJ66" i="4"/>
  <c r="DJ68" i="4"/>
  <c r="DJ65" i="4"/>
  <c r="DK92" i="4" l="1"/>
  <c r="DK91" i="4"/>
  <c r="DJ72" i="4"/>
  <c r="DJ71" i="4"/>
  <c r="DJ90" i="4"/>
  <c r="DJ92" i="4"/>
  <c r="DJ91" i="4"/>
  <c r="DO42" i="4"/>
  <c r="DO43" i="4"/>
  <c r="DO46" i="4" l="1"/>
  <c r="DO48" i="4" l="1"/>
  <c r="DN62" i="4"/>
  <c r="DN65" i="4" l="1"/>
  <c r="DN68" i="4"/>
  <c r="DN66" i="4"/>
  <c r="DO49" i="4"/>
  <c r="DO50" i="4" s="1"/>
  <c r="DO62" i="4"/>
  <c r="DO66" i="4" l="1"/>
  <c r="DO68" i="4"/>
  <c r="DO65" i="4"/>
  <c r="DN72" i="4"/>
  <c r="DN91" i="4"/>
  <c r="DN71" i="4"/>
  <c r="DN92" i="4"/>
  <c r="DP92" i="4" l="1"/>
  <c r="DP91" i="4"/>
  <c r="DO72" i="4"/>
  <c r="DO90" i="4"/>
  <c r="DO71" i="4"/>
  <c r="DO91" i="4"/>
  <c r="DO92" i="4"/>
  <c r="DJ13" i="3" l="1"/>
  <c r="DJ12" i="3" s="1"/>
  <c r="DJ77" i="4" s="1"/>
  <c r="DJ22" i="5" l="1"/>
  <c r="DJ58" i="3"/>
  <c r="DJ78" i="4"/>
  <c r="DJ79" i="4" s="1"/>
  <c r="DJ80" i="4" s="1"/>
  <c r="DJ21" i="5" l="1"/>
  <c r="DJ16" i="5" l="1"/>
  <c r="DJ18" i="5"/>
  <c r="DU69" i="2" l="1"/>
  <c r="DT69" i="2"/>
  <c r="DU360" i="2" l="1"/>
  <c r="DU376" i="2" s="1"/>
  <c r="DU178" i="2"/>
  <c r="DY69" i="2"/>
  <c r="DU127" i="2"/>
  <c r="DU309" i="2"/>
  <c r="DU82" i="2"/>
  <c r="DT360" i="2"/>
  <c r="DT376" i="2" s="1"/>
  <c r="DT111" i="2"/>
  <c r="DT82" i="2"/>
  <c r="DP165" i="2" s="1"/>
  <c r="DT127" i="2"/>
  <c r="DT309" i="2"/>
  <c r="DU133" i="2" l="1"/>
  <c r="DU311" i="2"/>
  <c r="DU136" i="2"/>
  <c r="DU362" i="2"/>
  <c r="DU378" i="2" s="1"/>
  <c r="DU363" i="2"/>
  <c r="DU379" i="2" s="1"/>
  <c r="DU146" i="2"/>
  <c r="DU145" i="2"/>
  <c r="DU135" i="2"/>
  <c r="DU134" i="2"/>
  <c r="DU144" i="2"/>
  <c r="DU8" i="3"/>
  <c r="DU130" i="2"/>
  <c r="DU282" i="2"/>
  <c r="DU194" i="2"/>
  <c r="DU195" i="2" s="1"/>
  <c r="DY178" i="2"/>
  <c r="DV282" i="2"/>
  <c r="DU188" i="2"/>
  <c r="DU212" i="2" s="1"/>
  <c r="DU114" i="2"/>
  <c r="DY127" i="2"/>
  <c r="DY309" i="2"/>
  <c r="DY111" i="2"/>
  <c r="DY360" i="2"/>
  <c r="DY376" i="2" s="1"/>
  <c r="DY82" i="2"/>
  <c r="DY130" i="2" s="1"/>
  <c r="DU143" i="2"/>
  <c r="DQ378" i="2"/>
  <c r="DS378" i="2"/>
  <c r="DQ379" i="2"/>
  <c r="DS379" i="2"/>
  <c r="DP74" i="3"/>
  <c r="DQ74" i="3"/>
  <c r="DT8" i="3"/>
  <c r="DP67" i="3"/>
  <c r="DT143" i="2"/>
  <c r="DT324" i="1" s="1"/>
  <c r="DT58" i="5"/>
  <c r="DR165" i="2"/>
  <c r="DQ165" i="2"/>
  <c r="DS165" i="2"/>
  <c r="DZ69" i="2"/>
  <c r="EA69" i="2" s="1"/>
  <c r="DT133" i="2"/>
  <c r="DT130" i="2"/>
  <c r="DT362" i="2"/>
  <c r="DT378" i="2" s="1"/>
  <c r="DT144" i="2"/>
  <c r="DT134" i="2"/>
  <c r="DT363" i="2"/>
  <c r="DT379" i="2" s="1"/>
  <c r="DT146" i="2"/>
  <c r="DT311" i="2"/>
  <c r="DT135" i="2"/>
  <c r="DT136" i="2"/>
  <c r="DT114" i="2"/>
  <c r="DT145" i="2"/>
  <c r="DT326" i="1" s="1"/>
  <c r="DY143" i="2" l="1"/>
  <c r="DY324" i="1" s="1"/>
  <c r="DU165" i="2"/>
  <c r="DU147" i="2"/>
  <c r="DU16" i="3"/>
  <c r="DU9" i="4"/>
  <c r="DU15" i="3"/>
  <c r="DV74" i="3"/>
  <c r="DY8" i="3"/>
  <c r="DU74" i="3"/>
  <c r="DY133" i="2"/>
  <c r="DY134" i="2"/>
  <c r="DY136" i="2"/>
  <c r="DX165" i="2"/>
  <c r="DY363" i="2"/>
  <c r="DY379" i="2" s="1"/>
  <c r="DY58" i="5"/>
  <c r="DY146" i="2"/>
  <c r="DV165" i="2"/>
  <c r="DY362" i="2"/>
  <c r="DY378" i="2" s="1"/>
  <c r="DY135" i="2"/>
  <c r="DW165" i="2"/>
  <c r="DY311" i="2"/>
  <c r="DY145" i="2"/>
  <c r="DY326" i="1" s="1"/>
  <c r="DY144" i="2"/>
  <c r="DU202" i="2"/>
  <c r="DU18" i="3"/>
  <c r="DU234" i="2"/>
  <c r="DU217" i="2"/>
  <c r="DU216" i="2"/>
  <c r="DU213" i="2"/>
  <c r="DU214" i="2"/>
  <c r="DU215" i="2"/>
  <c r="DV287" i="2"/>
  <c r="DU287" i="2"/>
  <c r="DY114" i="2"/>
  <c r="DY194" i="2"/>
  <c r="DY195" i="2" s="1"/>
  <c r="DY231" i="2"/>
  <c r="DY188" i="2"/>
  <c r="DU67" i="3"/>
  <c r="EA360" i="2"/>
  <c r="EA376" i="2" s="1"/>
  <c r="EB69" i="2"/>
  <c r="EA127" i="2"/>
  <c r="EA309" i="2"/>
  <c r="EA178" i="2"/>
  <c r="EA82" i="2"/>
  <c r="EA143" i="2" s="1"/>
  <c r="EA324" i="1" s="1"/>
  <c r="DT323" i="1"/>
  <c r="DT67" i="3"/>
  <c r="DT76" i="4"/>
  <c r="DT81" i="4"/>
  <c r="DT147" i="2"/>
  <c r="DZ309" i="2"/>
  <c r="DZ82" i="2"/>
  <c r="DZ127" i="2"/>
  <c r="DZ360" i="2"/>
  <c r="DZ376" i="2" s="1"/>
  <c r="DZ178" i="2"/>
  <c r="DY67" i="3" l="1"/>
  <c r="DY16" i="3"/>
  <c r="DY15" i="3"/>
  <c r="EA323" i="1"/>
  <c r="DY202" i="2"/>
  <c r="DY217" i="2"/>
  <c r="DY213" i="2"/>
  <c r="DY214" i="2"/>
  <c r="DY327" i="1" s="1"/>
  <c r="DY234" i="2"/>
  <c r="DY216" i="2"/>
  <c r="DY215" i="2"/>
  <c r="DY212" i="2"/>
  <c r="DU218" i="2"/>
  <c r="DY147" i="2"/>
  <c r="DV19" i="5"/>
  <c r="DU19" i="5"/>
  <c r="DY76" i="4"/>
  <c r="DY81" i="4"/>
  <c r="DU53" i="3"/>
  <c r="DU13" i="3"/>
  <c r="DU85" i="4"/>
  <c r="DU21" i="3"/>
  <c r="DY18" i="3"/>
  <c r="EA58" i="5"/>
  <c r="EA8" i="3"/>
  <c r="EB360" i="2"/>
  <c r="EB376" i="2" s="1"/>
  <c r="EB309" i="2"/>
  <c r="EB127" i="2"/>
  <c r="EB178" i="2"/>
  <c r="EB82" i="2"/>
  <c r="EA264" i="2"/>
  <c r="EA248" i="2"/>
  <c r="EA194" i="2"/>
  <c r="EA195" i="2" s="1"/>
  <c r="EA188" i="2"/>
  <c r="EA18" i="3" s="1"/>
  <c r="EA145" i="2"/>
  <c r="EA326" i="1" s="1"/>
  <c r="EA136" i="2"/>
  <c r="EA114" i="2"/>
  <c r="EA146" i="2"/>
  <c r="EA135" i="2"/>
  <c r="EA130" i="2"/>
  <c r="EA134" i="2"/>
  <c r="EA133" i="2"/>
  <c r="EA362" i="2"/>
  <c r="EA378" i="2" s="1"/>
  <c r="EA144" i="2"/>
  <c r="EA311" i="2"/>
  <c r="EA363" i="2"/>
  <c r="EA379" i="2" s="1"/>
  <c r="DZ143" i="2"/>
  <c r="DZ324" i="1" s="1"/>
  <c r="DY323" i="1"/>
  <c r="DZ194" i="2"/>
  <c r="DZ195" i="2" s="1"/>
  <c r="DZ264" i="2"/>
  <c r="DZ188" i="2"/>
  <c r="DZ248" i="2"/>
  <c r="DZ362" i="2"/>
  <c r="DZ378" i="2" s="1"/>
  <c r="DZ58" i="5"/>
  <c r="DZ136" i="2"/>
  <c r="DZ135" i="2"/>
  <c r="DZ133" i="2"/>
  <c r="DZ130" i="2"/>
  <c r="DZ144" i="2"/>
  <c r="DZ8" i="3"/>
  <c r="DZ146" i="2"/>
  <c r="DZ114" i="2"/>
  <c r="DZ145" i="2"/>
  <c r="DZ326" i="1" s="1"/>
  <c r="DZ134" i="2"/>
  <c r="DZ363" i="2"/>
  <c r="DZ379" i="2" s="1"/>
  <c r="DZ311" i="2"/>
  <c r="DY59" i="3" l="1"/>
  <c r="DY60" i="3"/>
  <c r="DY13" i="3"/>
  <c r="DY12" i="3" s="1"/>
  <c r="DU12" i="3"/>
  <c r="DY218" i="2"/>
  <c r="DU62" i="3"/>
  <c r="DU55" i="3"/>
  <c r="DV76" i="3"/>
  <c r="DU76" i="3"/>
  <c r="DY53" i="3"/>
  <c r="DY85" i="4"/>
  <c r="DU22" i="3"/>
  <c r="DY21" i="3"/>
  <c r="DY19" i="5"/>
  <c r="EA67" i="3"/>
  <c r="EA21" i="3"/>
  <c r="EA22" i="3" s="1"/>
  <c r="EA85" i="4"/>
  <c r="EA53" i="3"/>
  <c r="EA15" i="3"/>
  <c r="EA16" i="3"/>
  <c r="EA9" i="4"/>
  <c r="EB58" i="5"/>
  <c r="EB8" i="3"/>
  <c r="EB145" i="2"/>
  <c r="EB326" i="1" s="1"/>
  <c r="EB136" i="2"/>
  <c r="EB114" i="2"/>
  <c r="EB134" i="2"/>
  <c r="EB135" i="2"/>
  <c r="EB130" i="2"/>
  <c r="EB146" i="2"/>
  <c r="EB362" i="2"/>
  <c r="EB378" i="2" s="1"/>
  <c r="EB144" i="2"/>
  <c r="EB133" i="2"/>
  <c r="EB311" i="2"/>
  <c r="EB363" i="2"/>
  <c r="EB379" i="2" s="1"/>
  <c r="EA217" i="2"/>
  <c r="EA251" i="2"/>
  <c r="EA269" i="2"/>
  <c r="EA234" i="2"/>
  <c r="EA215" i="2"/>
  <c r="EA216" i="2"/>
  <c r="EA214" i="2"/>
  <c r="EA327" i="1" s="1"/>
  <c r="EA202" i="2"/>
  <c r="EA213" i="2"/>
  <c r="EB264" i="2"/>
  <c r="EB194" i="2"/>
  <c r="EB195" i="2" s="1"/>
  <c r="EB248" i="2"/>
  <c r="EB188" i="2"/>
  <c r="EB18" i="3" s="1"/>
  <c r="EB143" i="2"/>
  <c r="EB324" i="1" s="1"/>
  <c r="EA147" i="2"/>
  <c r="EA212" i="2"/>
  <c r="DZ323" i="1"/>
  <c r="DZ212" i="2"/>
  <c r="DZ202" i="2"/>
  <c r="DZ216" i="2"/>
  <c r="DZ215" i="2"/>
  <c r="DZ214" i="2"/>
  <c r="DZ327" i="1" s="1"/>
  <c r="DZ269" i="2"/>
  <c r="DZ234" i="2"/>
  <c r="DZ251" i="2"/>
  <c r="DZ217" i="2"/>
  <c r="DZ18" i="3"/>
  <c r="DZ213" i="2"/>
  <c r="DZ147" i="2"/>
  <c r="DZ16" i="3"/>
  <c r="DZ9" i="4"/>
  <c r="DZ15" i="3"/>
  <c r="DZ67" i="3"/>
  <c r="EA24" i="3" l="1"/>
  <c r="EA32" i="3" s="1"/>
  <c r="EB323" i="1"/>
  <c r="DY22" i="3"/>
  <c r="DU24" i="3"/>
  <c r="DV77" i="3" s="1"/>
  <c r="DU61" i="3"/>
  <c r="DV75" i="3"/>
  <c r="DU75" i="3"/>
  <c r="DW86" i="4"/>
  <c r="DV86" i="4"/>
  <c r="DY55" i="3"/>
  <c r="DY62" i="3"/>
  <c r="DU27" i="4"/>
  <c r="DU13" i="4"/>
  <c r="DU58" i="3"/>
  <c r="DY58" i="3"/>
  <c r="DY78" i="4"/>
  <c r="DY79" i="4" s="1"/>
  <c r="DY77" i="4"/>
  <c r="EA13" i="3"/>
  <c r="EA12" i="3" s="1"/>
  <c r="EA218" i="2"/>
  <c r="EB15" i="3"/>
  <c r="EB16" i="3"/>
  <c r="EB9" i="4"/>
  <c r="EB67" i="3"/>
  <c r="EA62" i="3"/>
  <c r="EA55" i="3"/>
  <c r="EB53" i="3"/>
  <c r="EB85" i="4"/>
  <c r="EB21" i="3"/>
  <c r="EB22" i="3" s="1"/>
  <c r="EB212" i="2"/>
  <c r="EA19" i="5"/>
  <c r="EB217" i="2"/>
  <c r="EB215" i="2"/>
  <c r="EB269" i="2"/>
  <c r="EB234" i="2"/>
  <c r="EB251" i="2"/>
  <c r="EB216" i="2"/>
  <c r="EB214" i="2"/>
  <c r="EB327" i="1" s="1"/>
  <c r="EB213" i="2"/>
  <c r="EB202" i="2"/>
  <c r="EB147" i="2"/>
  <c r="DZ19" i="5"/>
  <c r="DZ21" i="3"/>
  <c r="DZ85" i="4"/>
  <c r="DZ13" i="3"/>
  <c r="DZ12" i="3" s="1"/>
  <c r="DZ53" i="3"/>
  <c r="EA69" i="3" s="1"/>
  <c r="DZ218" i="2"/>
  <c r="DU28" i="3" l="1"/>
  <c r="EA57" i="5"/>
  <c r="EA28" i="3"/>
  <c r="EA64" i="3"/>
  <c r="EA26" i="3"/>
  <c r="EA7" i="5" s="1"/>
  <c r="DU64" i="3"/>
  <c r="DU26" i="3"/>
  <c r="DU7" i="5" s="1"/>
  <c r="DU57" i="5"/>
  <c r="EB24" i="3"/>
  <c r="EB57" i="5" s="1"/>
  <c r="DU77" i="3"/>
  <c r="DU32" i="3"/>
  <c r="DY24" i="3"/>
  <c r="DY28" i="3" s="1"/>
  <c r="DY63" i="3"/>
  <c r="DY46" i="3" s="1"/>
  <c r="DY80" i="4"/>
  <c r="DU33" i="4"/>
  <c r="DU39" i="4" s="1"/>
  <c r="DV22" i="5"/>
  <c r="DU22" i="5"/>
  <c r="DY86" i="4"/>
  <c r="DY61" i="3"/>
  <c r="DX86" i="4"/>
  <c r="DV21" i="5"/>
  <c r="DU21" i="5"/>
  <c r="DU15" i="4"/>
  <c r="EB218" i="2"/>
  <c r="EA61" i="3"/>
  <c r="EA86" i="4"/>
  <c r="EB13" i="3"/>
  <c r="EB12" i="3" s="1"/>
  <c r="EA27" i="4"/>
  <c r="EA13" i="4"/>
  <c r="EA58" i="3"/>
  <c r="EA36" i="3"/>
  <c r="EA34" i="3"/>
  <c r="EB62" i="3"/>
  <c r="EB55" i="3"/>
  <c r="EB69" i="3"/>
  <c r="EB19" i="5"/>
  <c r="DZ62" i="3"/>
  <c r="DZ55" i="3"/>
  <c r="DZ69" i="3"/>
  <c r="DZ27" i="4"/>
  <c r="DZ13" i="4"/>
  <c r="DZ58" i="3"/>
  <c r="DZ22" i="3"/>
  <c r="EA30" i="3" l="1"/>
  <c r="DU30" i="3"/>
  <c r="DU43" i="3"/>
  <c r="DY26" i="3"/>
  <c r="DV78" i="3"/>
  <c r="DU36" i="3"/>
  <c r="EB26" i="3"/>
  <c r="EB7" i="5" s="1"/>
  <c r="EA43" i="3"/>
  <c r="EB32" i="3"/>
  <c r="EB64" i="3"/>
  <c r="EB28" i="3"/>
  <c r="EB70" i="3"/>
  <c r="DY64" i="3"/>
  <c r="DY89" i="4"/>
  <c r="DU34" i="3"/>
  <c r="DU78" i="3"/>
  <c r="DY57" i="5"/>
  <c r="DY32" i="3"/>
  <c r="DY7" i="5"/>
  <c r="EA33" i="4"/>
  <c r="EA39" i="4" s="1"/>
  <c r="DV18" i="5"/>
  <c r="DY22" i="5"/>
  <c r="DY21" i="5"/>
  <c r="DU18" i="5"/>
  <c r="DY43" i="3"/>
  <c r="DY30" i="3"/>
  <c r="DU24" i="4"/>
  <c r="DU84" i="4"/>
  <c r="DU75" i="4"/>
  <c r="EA15" i="4"/>
  <c r="EA21" i="5"/>
  <c r="EB27" i="4"/>
  <c r="EB13" i="4"/>
  <c r="EB58" i="3"/>
  <c r="EB68" i="3"/>
  <c r="EB61" i="3"/>
  <c r="EB86" i="4"/>
  <c r="EA22" i="5"/>
  <c r="EA68" i="3"/>
  <c r="DZ15" i="4"/>
  <c r="DZ24" i="4" s="1"/>
  <c r="DZ24" i="3"/>
  <c r="DZ22" i="5"/>
  <c r="DZ33" i="4"/>
  <c r="DZ39" i="4" s="1"/>
  <c r="DZ68" i="3"/>
  <c r="DZ61" i="3"/>
  <c r="DZ86" i="4"/>
  <c r="DZ21" i="5"/>
  <c r="EB34" i="3" l="1"/>
  <c r="EB36" i="3"/>
  <c r="EB71" i="3"/>
  <c r="DY34" i="3"/>
  <c r="EB43" i="3"/>
  <c r="EB30" i="3"/>
  <c r="DY36" i="3"/>
  <c r="DU16" i="5"/>
  <c r="DV16" i="5"/>
  <c r="EB15" i="4"/>
  <c r="EB24" i="4" s="1"/>
  <c r="DY18" i="5"/>
  <c r="DV89" i="4"/>
  <c r="DU89" i="4"/>
  <c r="EA18" i="5"/>
  <c r="EA84" i="4"/>
  <c r="EA75" i="4"/>
  <c r="EA24" i="4"/>
  <c r="EB22" i="5"/>
  <c r="EB33" i="4"/>
  <c r="EB39" i="4" s="1"/>
  <c r="EB21" i="5"/>
  <c r="DZ70" i="3"/>
  <c r="EA70" i="3"/>
  <c r="DZ32" i="3"/>
  <c r="DZ57" i="5"/>
  <c r="DZ28" i="3"/>
  <c r="DZ64" i="3"/>
  <c r="DZ26" i="3"/>
  <c r="DZ7" i="5" s="1"/>
  <c r="DZ18" i="5"/>
  <c r="Z14" i="30"/>
  <c r="Z27" i="30" s="1"/>
  <c r="DZ84" i="4"/>
  <c r="DZ75" i="4"/>
  <c r="DZ89" i="4"/>
  <c r="DZ81" i="4"/>
  <c r="DY16" i="5" l="1"/>
  <c r="EA16" i="5"/>
  <c r="EA71" i="3"/>
  <c r="EB89" i="4"/>
  <c r="EA89" i="4"/>
  <c r="EB75" i="4"/>
  <c r="EB18" i="5"/>
  <c r="EB81" i="4"/>
  <c r="EA81" i="4"/>
  <c r="EB84" i="4"/>
  <c r="DZ34" i="3"/>
  <c r="DZ36" i="3"/>
  <c r="DZ71" i="3"/>
  <c r="DZ30" i="3"/>
  <c r="DZ16" i="5"/>
  <c r="AA14" i="30"/>
  <c r="AA27" i="30" s="1"/>
  <c r="AA31" i="30" s="1"/>
  <c r="DZ43" i="3"/>
  <c r="Z8" i="30"/>
  <c r="Z9" i="30" s="1"/>
  <c r="Z12" i="30"/>
  <c r="Z31" i="30"/>
  <c r="Z28" i="30"/>
  <c r="EB16" i="5" l="1"/>
  <c r="AA28" i="30"/>
  <c r="AA8" i="30"/>
  <c r="AA9" i="30" s="1"/>
  <c r="AA12" i="30"/>
  <c r="AA33" i="30"/>
  <c r="AA34" i="30"/>
  <c r="AA38" i="30"/>
  <c r="AA39" i="30"/>
  <c r="Z39" i="30"/>
  <c r="Z33" i="30"/>
  <c r="Z34" i="30"/>
  <c r="Z38" i="30"/>
  <c r="DU265" i="2" l="1"/>
  <c r="DU249" i="2"/>
  <c r="DU264" i="2"/>
  <c r="DU248" i="2"/>
  <c r="DU254" i="2"/>
  <c r="DU238" i="2"/>
  <c r="DT178" i="2"/>
  <c r="DQ282" i="2"/>
  <c r="DQ272" i="2"/>
  <c r="DQ283" i="2"/>
  <c r="DQ284" i="2"/>
  <c r="DT180" i="2"/>
  <c r="DT179" i="2"/>
  <c r="DY265" i="2" s="1"/>
  <c r="DT168" i="2"/>
  <c r="DY254" i="2" s="1"/>
  <c r="DY266" i="2" l="1"/>
  <c r="DY250" i="2"/>
  <c r="DY264" i="2"/>
  <c r="DY248" i="2"/>
  <c r="DU251" i="2"/>
  <c r="DU269" i="2"/>
  <c r="DT264" i="2"/>
  <c r="DT248" i="2"/>
  <c r="DT194" i="2"/>
  <c r="DT195" i="2" s="1"/>
  <c r="DT231" i="2"/>
  <c r="DQ287" i="2"/>
  <c r="DT190" i="2"/>
  <c r="DT191" i="2" s="1"/>
  <c r="DT254" i="2"/>
  <c r="DT221" i="2"/>
  <c r="DT238" i="2"/>
  <c r="DT198" i="2"/>
  <c r="DT199" i="2" s="1"/>
  <c r="DT232" i="2"/>
  <c r="DT249" i="2"/>
  <c r="DT265" i="2"/>
  <c r="DT266" i="2"/>
  <c r="DT188" i="2"/>
  <c r="DT250" i="2"/>
  <c r="DY251" i="2" l="1"/>
  <c r="DY269" i="2"/>
  <c r="DT214" i="2"/>
  <c r="DT327" i="1" s="1"/>
  <c r="DU69" i="3"/>
  <c r="DT18" i="3"/>
  <c r="DT202" i="2"/>
  <c r="DT269" i="2"/>
  <c r="DT217" i="2"/>
  <c r="DT251" i="2"/>
  <c r="DT215" i="2"/>
  <c r="DT234" i="2"/>
  <c r="DT216" i="2"/>
  <c r="DT212" i="2"/>
  <c r="DT213" i="2"/>
  <c r="DT22" i="3" l="1"/>
  <c r="DP76" i="3"/>
  <c r="DQ76" i="3"/>
  <c r="DT21" i="3"/>
  <c r="DT53" i="3"/>
  <c r="DY69" i="3" s="1"/>
  <c r="DT85" i="4"/>
  <c r="DU68" i="3"/>
  <c r="DP69" i="3"/>
  <c r="DT218" i="2"/>
  <c r="DP75" i="3" l="1"/>
  <c r="DQ75" i="3"/>
  <c r="DT62" i="3"/>
  <c r="DT55" i="3"/>
  <c r="DT69" i="3"/>
  <c r="DP68" i="3"/>
  <c r="DR86" i="4"/>
  <c r="DY68" i="3" l="1"/>
  <c r="DU86" i="4"/>
  <c r="DU70" i="3"/>
  <c r="DQ77" i="3"/>
  <c r="DP77" i="3"/>
  <c r="DT61" i="3"/>
  <c r="DT68" i="3"/>
  <c r="DS86" i="4"/>
  <c r="DT86" i="4"/>
  <c r="DT13" i="3"/>
  <c r="DT12" i="3" s="1"/>
  <c r="DT16" i="3"/>
  <c r="DT59" i="3" s="1"/>
  <c r="DT15" i="3"/>
  <c r="DT63" i="3"/>
  <c r="DT24" i="3"/>
  <c r="DP70" i="3"/>
  <c r="DT57" i="5" l="1"/>
  <c r="DY70" i="3"/>
  <c r="DU71" i="3"/>
  <c r="DT26" i="3"/>
  <c r="DT7" i="5"/>
  <c r="DR42" i="4"/>
  <c r="DP71" i="3"/>
  <c r="DP78" i="3"/>
  <c r="DQ78" i="3"/>
  <c r="DT58" i="3"/>
  <c r="DT78" i="4"/>
  <c r="DT79" i="4" s="1"/>
  <c r="DT77" i="4"/>
  <c r="DT89" i="4"/>
  <c r="DT70" i="3"/>
  <c r="DT28" i="3"/>
  <c r="DT30" i="3" s="1"/>
  <c r="DT46" i="3"/>
  <c r="DT32" i="3"/>
  <c r="DY71" i="3" s="1"/>
  <c r="DT60" i="3"/>
  <c r="DT64" i="3"/>
  <c r="Y14" i="30" l="1"/>
  <c r="Y27" i="30" s="1"/>
  <c r="Y12" i="30" s="1"/>
  <c r="DT80" i="4"/>
  <c r="DS42" i="4"/>
  <c r="DR43" i="4"/>
  <c r="DR46" i="4" s="1"/>
  <c r="DT43" i="3"/>
  <c r="DT34" i="3"/>
  <c r="DT71" i="3"/>
  <c r="DT36" i="3"/>
  <c r="Y8" i="30" l="1"/>
  <c r="Y9" i="30" s="1"/>
  <c r="Y31" i="30"/>
  <c r="Y33" i="30" s="1"/>
  <c r="Y28" i="30"/>
  <c r="DR48" i="4"/>
  <c r="DR49" i="4" s="1"/>
  <c r="DT42" i="4"/>
  <c r="DU42" i="4" s="1"/>
  <c r="DS43" i="4"/>
  <c r="DT43" i="4" s="1"/>
  <c r="DU43" i="4" l="1"/>
  <c r="DU46" i="4" s="1"/>
  <c r="DV42" i="4"/>
  <c r="Y38" i="30"/>
  <c r="Y34" i="30"/>
  <c r="Y39" i="30"/>
  <c r="DR62" i="4"/>
  <c r="DR65" i="4" s="1"/>
  <c r="DT46" i="4"/>
  <c r="DT48" i="4" s="1"/>
  <c r="DT62" i="4" s="1"/>
  <c r="DS46" i="4"/>
  <c r="DU48" i="4" l="1"/>
  <c r="DU62" i="4" s="1"/>
  <c r="DW42" i="4"/>
  <c r="DV43" i="4"/>
  <c r="DV46" i="4" s="1"/>
  <c r="DR68" i="4"/>
  <c r="DR72" i="4" s="1"/>
  <c r="DT49" i="4"/>
  <c r="DT50" i="4" s="1"/>
  <c r="DR66" i="4"/>
  <c r="DS48" i="4"/>
  <c r="DS62" i="4" s="1"/>
  <c r="DT68" i="4"/>
  <c r="DT65" i="4"/>
  <c r="DT66" i="4"/>
  <c r="DU49" i="4" l="1"/>
  <c r="DV48" i="4"/>
  <c r="DV49" i="4" s="1"/>
  <c r="DU68" i="4"/>
  <c r="DU65" i="4"/>
  <c r="DU66" i="4"/>
  <c r="DW43" i="4"/>
  <c r="DW46" i="4" s="1"/>
  <c r="DX42" i="4"/>
  <c r="DR92" i="4"/>
  <c r="DR91" i="4"/>
  <c r="DR71" i="4"/>
  <c r="DS49" i="4"/>
  <c r="DS65" i="4"/>
  <c r="DS68" i="4"/>
  <c r="DS66" i="4"/>
  <c r="DT71" i="4"/>
  <c r="DT72" i="4"/>
  <c r="DT90" i="4"/>
  <c r="DT92" i="4"/>
  <c r="DT91" i="4"/>
  <c r="DV62" i="4" l="1"/>
  <c r="DV65" i="4" s="1"/>
  <c r="DW48" i="4"/>
  <c r="DW49" i="4" s="1"/>
  <c r="DU71" i="4"/>
  <c r="DU72" i="4"/>
  <c r="DU91" i="4"/>
  <c r="DU92" i="4"/>
  <c r="DY42" i="4"/>
  <c r="DX43" i="4"/>
  <c r="DY43" i="4" s="1"/>
  <c r="DS71" i="4"/>
  <c r="DS91" i="4"/>
  <c r="DS92" i="4"/>
  <c r="DS72" i="4"/>
  <c r="DV68" i="4" l="1"/>
  <c r="DV72" i="4" s="1"/>
  <c r="DV66" i="4"/>
  <c r="DW62" i="4"/>
  <c r="DW68" i="4" s="1"/>
  <c r="DY46" i="4"/>
  <c r="DZ42" i="4"/>
  <c r="DX46" i="4"/>
  <c r="DT22" i="5"/>
  <c r="DV91" i="4" l="1"/>
  <c r="DV71" i="4"/>
  <c r="DV92" i="4"/>
  <c r="DW65" i="4"/>
  <c r="DW66" i="4"/>
  <c r="DX48" i="4"/>
  <c r="DX49" i="4" s="1"/>
  <c r="DU81" i="4"/>
  <c r="DW72" i="4"/>
  <c r="DW91" i="4"/>
  <c r="DW71" i="4"/>
  <c r="DW92" i="4"/>
  <c r="DZ43" i="4"/>
  <c r="DZ46" i="4" s="1"/>
  <c r="EA42" i="4"/>
  <c r="DY48" i="4"/>
  <c r="DT19" i="5"/>
  <c r="DT21" i="5"/>
  <c r="DX62" i="4" l="1"/>
  <c r="DX65" i="4" s="1"/>
  <c r="DY62" i="4"/>
  <c r="DY49" i="4"/>
  <c r="DY50" i="4" s="1"/>
  <c r="EB42" i="4"/>
  <c r="EB43" i="4" s="1"/>
  <c r="EB46" i="4" s="1"/>
  <c r="EA43" i="4"/>
  <c r="EA46" i="4" s="1"/>
  <c r="DZ48" i="4"/>
  <c r="DT18" i="5"/>
  <c r="DX68" i="4" l="1"/>
  <c r="DX72" i="4" s="1"/>
  <c r="DX66" i="4"/>
  <c r="EA48" i="4"/>
  <c r="EA62" i="4" s="1"/>
  <c r="EB48" i="4"/>
  <c r="EB49" i="4" s="1"/>
  <c r="DZ49" i="4"/>
  <c r="DZ62" i="4"/>
  <c r="DY66" i="4"/>
  <c r="DY68" i="4"/>
  <c r="DY65" i="4"/>
  <c r="DT16" i="5"/>
  <c r="DX91" i="4" l="1"/>
  <c r="DX92" i="4"/>
  <c r="DX71" i="4"/>
  <c r="EB62" i="4"/>
  <c r="EB68" i="4" s="1"/>
  <c r="EA49" i="4"/>
  <c r="DZ68" i="4"/>
  <c r="DZ65" i="4"/>
  <c r="DZ66" i="4"/>
  <c r="EA66" i="4"/>
  <c r="EA68" i="4"/>
  <c r="EA65" i="4"/>
  <c r="DY91" i="4"/>
  <c r="DY72" i="4"/>
  <c r="DY92" i="4"/>
  <c r="DY90" i="4"/>
  <c r="DY71" i="4"/>
  <c r="EB66" i="4" l="1"/>
  <c r="EB65" i="4"/>
  <c r="EA92" i="4"/>
  <c r="EA91" i="4"/>
  <c r="EA72" i="4"/>
  <c r="EA90" i="4"/>
  <c r="EA71" i="4"/>
  <c r="EB92" i="4"/>
  <c r="EB72" i="4"/>
  <c r="EB71" i="4"/>
  <c r="EB91" i="4"/>
  <c r="EB90" i="4"/>
  <c r="DZ90" i="4"/>
  <c r="DZ92" i="4"/>
  <c r="DZ91" i="4"/>
  <c r="DZ71" i="4"/>
  <c r="DZ7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krissa</author>
    <author>Blake, BEN [GIR]</author>
    <author>Dessert, Connor H [GIR]</author>
    <author>Parsons, Gavin [GIR]</author>
    <author>Valentini, Anthony [GIR]</author>
    <author>gsa</author>
    <author>Porat, Matthew [GIR]</author>
    <author>sammun</author>
    <author>wachun</author>
    <author>poponn</author>
  </authors>
  <commentList>
    <comment ref="K11" authorId="0" shapeId="0" xr:uid="{00000000-0006-0000-0200-000001000000}">
      <text>
        <r>
          <rPr>
            <b/>
            <sz val="8"/>
            <color indexed="81"/>
            <rFont val="Tahoma"/>
            <family val="2"/>
          </rPr>
          <t>krissa:</t>
        </r>
        <r>
          <rPr>
            <sz val="8"/>
            <color indexed="81"/>
            <rFont val="Tahoma"/>
            <family val="2"/>
          </rPr>
          <t xml:space="preserve">
cost of products and services</t>
        </r>
      </text>
    </comment>
    <comment ref="L11" authorId="0" shapeId="0" xr:uid="{00000000-0006-0000-0200-000002000000}">
      <text>
        <r>
          <rPr>
            <b/>
            <sz val="8"/>
            <color indexed="81"/>
            <rFont val="Tahoma"/>
            <family val="2"/>
          </rPr>
          <t>krissa:</t>
        </r>
        <r>
          <rPr>
            <sz val="8"/>
            <color indexed="81"/>
            <rFont val="Tahoma"/>
            <family val="2"/>
          </rPr>
          <t xml:space="preserve">
cost of products and services</t>
        </r>
      </text>
    </comment>
    <comment ref="DA12" authorId="1" shapeId="0" xr:uid="{EB70BA82-A92D-40B7-A86B-1A0F0EEB4A79}">
      <text>
        <r>
          <rPr>
            <b/>
            <sz val="9"/>
            <color indexed="81"/>
            <rFont val="Tahoma"/>
            <family val="2"/>
          </rPr>
          <t>Blake, BEN [GIR]:</t>
        </r>
        <r>
          <rPr>
            <sz val="9"/>
            <color indexed="81"/>
            <rFont val="Tahoma"/>
            <family val="2"/>
          </rPr>
          <t xml:space="preserve">
1q23: realigned to BCA segment/cost of sales</t>
        </r>
      </text>
    </comment>
    <comment ref="F14" authorId="0" shapeId="0" xr:uid="{00000000-0006-0000-0200-000003000000}">
      <text>
        <r>
          <rPr>
            <b/>
            <sz val="8"/>
            <color indexed="81"/>
            <rFont val="Tahoma"/>
            <family val="2"/>
          </rPr>
          <t>krissa:</t>
        </r>
        <r>
          <rPr>
            <sz val="8"/>
            <color indexed="81"/>
            <rFont val="Tahoma"/>
            <family val="2"/>
          </rPr>
          <t xml:space="preserve">
equity in income from joint ventures</t>
        </r>
      </text>
    </comment>
    <comment ref="G14" authorId="0" shapeId="0" xr:uid="{00000000-0006-0000-0200-000004000000}">
      <text>
        <r>
          <rPr>
            <b/>
            <sz val="8"/>
            <color indexed="81"/>
            <rFont val="Tahoma"/>
            <family val="2"/>
          </rPr>
          <t>krissa:</t>
        </r>
        <r>
          <rPr>
            <sz val="8"/>
            <color indexed="81"/>
            <rFont val="Tahoma"/>
            <family val="2"/>
          </rPr>
          <t xml:space="preserve">
equity in income from joint ventures</t>
        </r>
      </text>
    </comment>
    <comment ref="F17" authorId="0" shapeId="0" xr:uid="{00000000-0006-0000-0200-000005000000}">
      <text>
        <r>
          <rPr>
            <b/>
            <sz val="8"/>
            <color indexed="81"/>
            <rFont val="Tahoma"/>
            <family val="2"/>
          </rPr>
          <t>krissa:</t>
        </r>
        <r>
          <rPr>
            <sz val="8"/>
            <color indexed="81"/>
            <rFont val="Tahoma"/>
            <family val="2"/>
          </rPr>
          <t xml:space="preserve">
in process research and development expense+gain on dispositions+share based expense</t>
        </r>
      </text>
    </comment>
    <comment ref="G17" authorId="0" shapeId="0" xr:uid="{00000000-0006-0000-0200-000006000000}">
      <text>
        <r>
          <rPr>
            <b/>
            <sz val="8"/>
            <color indexed="81"/>
            <rFont val="Tahoma"/>
            <family val="2"/>
          </rPr>
          <t>krissa:</t>
        </r>
        <r>
          <rPr>
            <sz val="8"/>
            <color indexed="81"/>
            <rFont val="Tahoma"/>
            <family val="2"/>
          </rPr>
          <t xml:space="preserve">
gain on disposition+share based plan expense+9/11 charge</t>
        </r>
      </text>
    </comment>
    <comment ref="H17" authorId="0" shapeId="0" xr:uid="{00000000-0006-0000-0200-000007000000}">
      <text>
        <r>
          <rPr>
            <b/>
            <sz val="8"/>
            <color indexed="81"/>
            <rFont val="Tahoma"/>
            <family val="2"/>
          </rPr>
          <t>krissa:</t>
        </r>
        <r>
          <rPr>
            <sz val="8"/>
            <color indexed="81"/>
            <rFont val="Tahoma"/>
            <family val="2"/>
          </rPr>
          <t xml:space="preserve">
gain on disposition+share based plan expense+9/11 charge</t>
        </r>
      </text>
    </comment>
    <comment ref="I17" authorId="0" shapeId="0" xr:uid="{00000000-0006-0000-0200-000008000000}">
      <text>
        <r>
          <rPr>
            <b/>
            <sz val="8"/>
            <color indexed="81"/>
            <rFont val="Tahoma"/>
            <family val="2"/>
          </rPr>
          <t>krissa:</t>
        </r>
        <r>
          <rPr>
            <sz val="8"/>
            <color indexed="81"/>
            <rFont val="Tahoma"/>
            <family val="2"/>
          </rPr>
          <t xml:space="preserve">
share based plan expense+goodwill impairmenty+9/11 charges</t>
        </r>
      </text>
    </comment>
    <comment ref="J17" authorId="0" shapeId="0" xr:uid="{00000000-0006-0000-0200-000009000000}">
      <text>
        <r>
          <rPr>
            <b/>
            <sz val="8"/>
            <color indexed="81"/>
            <rFont val="Tahoma"/>
            <family val="2"/>
          </rPr>
          <t>krissa:</t>
        </r>
        <r>
          <rPr>
            <sz val="8"/>
            <color indexed="81"/>
            <rFont val="Tahoma"/>
            <family val="2"/>
          </rPr>
          <t xml:space="preserve">
share based plan expense</t>
        </r>
      </text>
    </comment>
    <comment ref="N17" authorId="0" shapeId="0" xr:uid="{00000000-0006-0000-0200-00000A000000}">
      <text>
        <r>
          <rPr>
            <b/>
            <sz val="8"/>
            <color indexed="81"/>
            <rFont val="Tahoma"/>
            <family val="2"/>
          </rPr>
          <t>krissa:</t>
        </r>
        <r>
          <rPr>
            <sz val="8"/>
            <color indexed="81"/>
            <rFont val="Tahoma"/>
            <family val="2"/>
          </rPr>
          <t xml:space="preserve">
includes share based plan expense and goodwill impairment</t>
        </r>
      </text>
    </comment>
    <comment ref="U22" authorId="0" shapeId="0" xr:uid="{00000000-0006-0000-0200-00000B000000}">
      <text>
        <r>
          <rPr>
            <b/>
            <sz val="8"/>
            <color indexed="81"/>
            <rFont val="Tahoma"/>
            <family val="2"/>
          </rPr>
          <t>krissa:</t>
        </r>
        <r>
          <rPr>
            <sz val="8"/>
            <color indexed="81"/>
            <rFont val="Tahoma"/>
            <family val="2"/>
          </rPr>
          <t xml:space="preserve">
includes 571 mn for settlement with US Dep. Of justice, net of accruals.
Company has treated this expense as operating while we have treated it as other expense</t>
        </r>
      </text>
    </comment>
    <comment ref="X22" authorId="0" shapeId="0" xr:uid="{00000000-0006-0000-0200-00000C000000}">
      <text>
        <r>
          <rPr>
            <b/>
            <sz val="8"/>
            <color indexed="81"/>
            <rFont val="Tahoma"/>
            <family val="2"/>
          </rPr>
          <t>krissa:</t>
        </r>
        <r>
          <rPr>
            <sz val="8"/>
            <color indexed="81"/>
            <rFont val="Tahoma"/>
            <family val="2"/>
          </rPr>
          <t xml:space="preserve">
includes 571 mn for settlement with US Dep. Of justice, net of accruals.
Company has treated this expense as operating while we have treated it as other expense</t>
        </r>
      </text>
    </comment>
    <comment ref="H28" authorId="0" shapeId="0" xr:uid="{00000000-0006-0000-0200-00000D000000}">
      <text>
        <r>
          <rPr>
            <b/>
            <sz val="8"/>
            <color indexed="81"/>
            <rFont val="Tahoma"/>
            <family val="2"/>
          </rPr>
          <t>krissa:</t>
        </r>
        <r>
          <rPr>
            <sz val="8"/>
            <color indexed="81"/>
            <rFont val="Tahoma"/>
            <family val="2"/>
          </rPr>
          <t xml:space="preserve">
cumulative effect of accounting change, net of tax</t>
        </r>
      </text>
    </comment>
    <comment ref="N28" authorId="0" shapeId="0" xr:uid="{00000000-0006-0000-0200-00000E000000}">
      <text>
        <r>
          <rPr>
            <b/>
            <sz val="8"/>
            <color indexed="81"/>
            <rFont val="Tahoma"/>
            <family val="2"/>
          </rPr>
          <t>krissa:</t>
        </r>
        <r>
          <rPr>
            <sz val="8"/>
            <color indexed="81"/>
            <rFont val="Tahoma"/>
            <family val="2"/>
          </rPr>
          <t xml:space="preserve">
income from disc ops+net gain on disposal of disc. ops</t>
        </r>
      </text>
    </comment>
    <comment ref="O28" authorId="0" shapeId="0" xr:uid="{00000000-0006-0000-0200-00000F000000}">
      <text>
        <r>
          <rPr>
            <b/>
            <sz val="8"/>
            <color indexed="81"/>
            <rFont val="Tahoma"/>
            <family val="2"/>
          </rPr>
          <t>krissa:</t>
        </r>
        <r>
          <rPr>
            <sz val="8"/>
            <color indexed="81"/>
            <rFont val="Tahoma"/>
            <family val="2"/>
          </rPr>
          <t xml:space="preserve">
cumulative effect of account change</t>
        </r>
      </text>
    </comment>
    <comment ref="S28" authorId="0" shapeId="0" xr:uid="{00000000-0006-0000-0200-000010000000}">
      <text>
        <r>
          <rPr>
            <b/>
            <sz val="8"/>
            <color indexed="81"/>
            <rFont val="Tahoma"/>
            <family val="2"/>
          </rPr>
          <t>krissa:</t>
        </r>
        <r>
          <rPr>
            <sz val="8"/>
            <color indexed="81"/>
            <rFont val="Tahoma"/>
            <family val="2"/>
          </rPr>
          <t xml:space="preserve">
loss on disposal of disc. Ops, net of tax+affect of change in accounting principles net of tax</t>
        </r>
      </text>
    </comment>
    <comment ref="AF28" authorId="0" shapeId="0" xr:uid="{00000000-0006-0000-0200-000011000000}">
      <text>
        <r>
          <rPr>
            <b/>
            <sz val="8"/>
            <color indexed="81"/>
            <rFont val="Tahoma"/>
            <family val="2"/>
          </rPr>
          <t>krissa:</t>
        </r>
        <r>
          <rPr>
            <sz val="8"/>
            <color indexed="81"/>
            <rFont val="Tahoma"/>
            <family val="2"/>
          </rPr>
          <t xml:space="preserve">
gain on disc. ops</t>
        </r>
      </text>
    </comment>
    <comment ref="AI28" authorId="0" shapeId="0" xr:uid="{00000000-0006-0000-0200-000012000000}">
      <text>
        <r>
          <rPr>
            <b/>
            <sz val="8"/>
            <color indexed="81"/>
            <rFont val="Tahoma"/>
            <family val="2"/>
          </rPr>
          <t>krissa:</t>
        </r>
        <r>
          <rPr>
            <sz val="8"/>
            <color indexed="81"/>
            <rFont val="Tahoma"/>
            <family val="2"/>
          </rPr>
          <t xml:space="preserve">
loss on disc ops net of taxes</t>
        </r>
      </text>
    </comment>
    <comment ref="DI28" authorId="2" shapeId="0" xr:uid="{4B3FD57B-27A4-4716-AAB8-945247EE9FA4}">
      <text>
        <r>
          <rPr>
            <b/>
            <sz val="9"/>
            <color indexed="81"/>
            <rFont val="Tahoma"/>
            <family val="2"/>
          </rPr>
          <t>Dessert, Connor H [GIR]:</t>
        </r>
        <r>
          <rPr>
            <sz val="9"/>
            <color indexed="81"/>
            <rFont val="Tahoma"/>
            <family val="2"/>
          </rPr>
          <t xml:space="preserve">
-58 disc ops</t>
        </r>
      </text>
    </comment>
    <comment ref="DK28" authorId="2" shapeId="0" xr:uid="{B5C9682E-909A-4162-BAB2-F21AA228BF9E}">
      <text>
        <r>
          <rPr>
            <b/>
            <sz val="9"/>
            <color indexed="81"/>
            <rFont val="Tahoma"/>
            <family val="2"/>
          </rPr>
          <t>Dessert, Connor H [GIR]:</t>
        </r>
        <r>
          <rPr>
            <sz val="9"/>
            <color indexed="81"/>
            <rFont val="Tahoma"/>
            <family val="2"/>
          </rPr>
          <t xml:space="preserve">
-86 mandatory convertible preferred stock dividends accumulated during period</t>
        </r>
      </text>
    </comment>
    <comment ref="DL28" authorId="2" shapeId="0" xr:uid="{D73C2EF4-81DF-40C0-89C3-77EEC3DC09EB}">
      <text>
        <r>
          <rPr>
            <b/>
            <sz val="9"/>
            <color indexed="81"/>
            <rFont val="Tahoma"/>
            <family val="2"/>
          </rPr>
          <t>Dessert, Connor H [GIR]:</t>
        </r>
        <r>
          <rPr>
            <sz val="9"/>
            <color indexed="81"/>
            <rFont val="Tahoma"/>
            <family val="2"/>
          </rPr>
          <t xml:space="preserve">
-86 mandatory convertible preferred stock dividends accumulated during the period</t>
        </r>
      </text>
    </comment>
    <comment ref="DM28" authorId="2" shapeId="0" xr:uid="{336D2880-6643-433E-AC18-2EC1C16B1904}">
      <text>
        <r>
          <rPr>
            <b/>
            <sz val="9"/>
            <color indexed="81"/>
            <rFont val="Tahoma"/>
            <family val="2"/>
          </rPr>
          <t>Dessert, Connor H [GIR]:</t>
        </r>
        <r>
          <rPr>
            <sz val="9"/>
            <color indexed="81"/>
            <rFont val="Tahoma"/>
            <family val="2"/>
          </rPr>
          <t xml:space="preserve">
-87 mandatory convertible preferred stock dividends accumulated during the period</t>
        </r>
      </text>
    </comment>
    <comment ref="DN28" authorId="2" shapeId="0" xr:uid="{10F8EBA6-8E5C-47C7-95D6-92D532763209}">
      <text>
        <r>
          <rPr>
            <b/>
            <sz val="9"/>
            <color indexed="81"/>
            <rFont val="Tahoma"/>
            <family val="2"/>
          </rPr>
          <t>Dessert, Connor H [GIR]:</t>
        </r>
        <r>
          <rPr>
            <sz val="9"/>
            <color indexed="81"/>
            <rFont val="Tahoma"/>
            <family val="2"/>
          </rPr>
          <t xml:space="preserve">
-86 mandatory convertible preferred stock dividends accumulated during the period</t>
        </r>
      </text>
    </comment>
    <comment ref="DQ28" authorId="2" shapeId="0" xr:uid="{8A6298EA-EB8E-4A22-8648-157D2E02B01D}">
      <text>
        <r>
          <rPr>
            <b/>
            <sz val="9"/>
            <color indexed="81"/>
            <rFont val="Tahoma"/>
            <family val="2"/>
          </rPr>
          <t>Dessert, Connor H [GIR]:</t>
        </r>
        <r>
          <rPr>
            <sz val="9"/>
            <color indexed="81"/>
            <rFont val="Tahoma"/>
            <family val="2"/>
          </rPr>
          <t xml:space="preserve">
-86 mandatory convertible preferred stock dividends accumulated during the period</t>
        </r>
      </text>
    </comment>
    <comment ref="Q29" authorId="0" shapeId="0" xr:uid="{00000000-0006-0000-0200-000013000000}">
      <text>
        <r>
          <rPr>
            <b/>
            <sz val="8"/>
            <color indexed="81"/>
            <rFont val="Tahoma"/>
            <family val="2"/>
          </rPr>
          <t>krissa:</t>
        </r>
        <r>
          <rPr>
            <sz val="8"/>
            <color indexed="81"/>
            <rFont val="Tahoma"/>
            <family val="2"/>
          </rPr>
          <t xml:space="preserve">
loss on disposal of disc. ops</t>
        </r>
      </text>
    </comment>
    <comment ref="DI32" authorId="2" shapeId="0" xr:uid="{75597086-B8E8-4374-ADEE-7161C43AF517}">
      <text>
        <r>
          <rPr>
            <b/>
            <sz val="9"/>
            <color indexed="81"/>
            <rFont val="Tahoma"/>
            <family val="2"/>
          </rPr>
          <t>Dessert, Connor H [GIR]:</t>
        </r>
        <r>
          <rPr>
            <sz val="9"/>
            <color indexed="81"/>
            <rFont val="Tahoma"/>
            <family val="2"/>
          </rPr>
          <t xml:space="preserve">
-.01 to match reported</t>
        </r>
      </text>
    </comment>
    <comment ref="DI36" authorId="2" shapeId="0" xr:uid="{68DD380F-A765-43F0-83DB-38440BF1FE4B}">
      <text>
        <r>
          <rPr>
            <b/>
            <sz val="9"/>
            <color indexed="81"/>
            <rFont val="Tahoma"/>
            <family val="2"/>
          </rPr>
          <t>Dessert, Connor H [GIR]:</t>
        </r>
        <r>
          <rPr>
            <sz val="9"/>
            <color indexed="81"/>
            <rFont val="Tahoma"/>
            <family val="2"/>
          </rPr>
          <t xml:space="preserve">
-.01 to match reported</t>
        </r>
      </text>
    </comment>
    <comment ref="DN40" authorId="2" shapeId="0" xr:uid="{97ED341A-F7F9-4400-BE5A-3DD35E391A25}">
      <text>
        <r>
          <rPr>
            <b/>
            <sz val="9"/>
            <color indexed="81"/>
            <rFont val="Tahoma"/>
            <family val="2"/>
          </rPr>
          <t>Dessert, Connor H [GIR]:</t>
        </r>
        <r>
          <rPr>
            <sz val="9"/>
            <color indexed="81"/>
            <rFont val="Tahoma"/>
            <family val="2"/>
          </rPr>
          <t xml:space="preserve">
Estimate to match reported EPS</t>
        </r>
      </text>
    </comment>
    <comment ref="DM41" authorId="2" shapeId="0" xr:uid="{9E498405-21CA-41A7-860E-A7CE5388D9BF}">
      <text>
        <r>
          <rPr>
            <b/>
            <sz val="9"/>
            <color indexed="81"/>
            <rFont val="Tahoma"/>
            <family val="2"/>
          </rPr>
          <t>Dessert, Connor H [GIR]:</t>
        </r>
        <r>
          <rPr>
            <sz val="9"/>
            <color indexed="81"/>
            <rFont val="Tahoma"/>
            <family val="2"/>
          </rPr>
          <t xml:space="preserve">
diluted weighted average common shares outstanding</t>
        </r>
      </text>
    </comment>
    <comment ref="DN41" authorId="2" shapeId="0" xr:uid="{AF7484AE-F037-431F-9C84-33DC47C2E8DA}">
      <text>
        <r>
          <rPr>
            <b/>
            <sz val="9"/>
            <color indexed="81"/>
            <rFont val="Tahoma"/>
            <family val="2"/>
          </rPr>
          <t>Dessert, Connor H [GIR]:</t>
        </r>
        <r>
          <rPr>
            <sz val="9"/>
            <color indexed="81"/>
            <rFont val="Tahoma"/>
            <family val="2"/>
          </rPr>
          <t xml:space="preserve">
Estimate to match reported EPS</t>
        </r>
      </text>
    </comment>
    <comment ref="H43" authorId="0" shapeId="0" xr:uid="{00000000-0006-0000-0200-000014000000}">
      <text>
        <r>
          <rPr>
            <b/>
            <sz val="8"/>
            <color indexed="81"/>
            <rFont val="Tahoma"/>
            <family val="2"/>
          </rPr>
          <t>krissa:</t>
        </r>
        <r>
          <rPr>
            <sz val="8"/>
            <color indexed="81"/>
            <rFont val="Tahoma"/>
            <family val="2"/>
          </rPr>
          <t xml:space="preserve">
rounding off error</t>
        </r>
      </text>
    </comment>
    <comment ref="T43" authorId="0" shapeId="0" xr:uid="{00000000-0006-0000-0200-000015000000}">
      <text>
        <r>
          <rPr>
            <b/>
            <sz val="8"/>
            <color indexed="81"/>
            <rFont val="Tahoma"/>
            <family val="2"/>
          </rPr>
          <t>krissa:</t>
        </r>
        <r>
          <rPr>
            <sz val="8"/>
            <color indexed="81"/>
            <rFont val="Tahoma"/>
            <family val="2"/>
          </rPr>
          <t xml:space="preserve">
rounding off error</t>
        </r>
      </text>
    </comment>
    <comment ref="W43" authorId="0" shapeId="0" xr:uid="{00000000-0006-0000-0200-000016000000}">
      <text>
        <r>
          <rPr>
            <b/>
            <sz val="8"/>
            <color indexed="81"/>
            <rFont val="Tahoma"/>
            <family val="2"/>
          </rPr>
          <t>krissa:</t>
        </r>
        <r>
          <rPr>
            <sz val="8"/>
            <color indexed="81"/>
            <rFont val="Tahoma"/>
            <family val="2"/>
          </rPr>
          <t xml:space="preserve">
rounding off error</t>
        </r>
      </text>
    </comment>
    <comment ref="AF43" authorId="0" shapeId="0" xr:uid="{00000000-0006-0000-0200-000017000000}">
      <text>
        <r>
          <rPr>
            <b/>
            <sz val="8"/>
            <color indexed="81"/>
            <rFont val="Tahoma"/>
            <family val="2"/>
          </rPr>
          <t>krissa:</t>
        </r>
        <r>
          <rPr>
            <sz val="8"/>
            <color indexed="81"/>
            <rFont val="Tahoma"/>
            <family val="2"/>
          </rPr>
          <t xml:space="preserve">
rounding off error</t>
        </r>
      </text>
    </comment>
    <comment ref="I54" authorId="0" shapeId="0" xr:uid="{00000000-0006-0000-0200-000018000000}">
      <text>
        <r>
          <rPr>
            <b/>
            <sz val="8"/>
            <color indexed="81"/>
            <rFont val="Tahoma"/>
            <family val="2"/>
          </rPr>
          <t>krissa:</t>
        </r>
        <r>
          <rPr>
            <sz val="8"/>
            <color indexed="81"/>
            <rFont val="Tahoma"/>
            <family val="2"/>
          </rPr>
          <t xml:space="preserve">
income tax receivable</t>
        </r>
      </text>
    </comment>
    <comment ref="S77" authorId="0" shapeId="0" xr:uid="{00000000-0006-0000-0200-000019000000}">
      <text>
        <r>
          <rPr>
            <b/>
            <sz val="8"/>
            <color indexed="81"/>
            <rFont val="Tahoma"/>
            <family val="2"/>
          </rPr>
          <t>krissa:</t>
        </r>
        <r>
          <rPr>
            <sz val="8"/>
            <color indexed="81"/>
            <rFont val="Tahoma"/>
            <family val="2"/>
          </rPr>
          <t xml:space="preserve">
deferred income lease and deferred income taxes</t>
        </r>
      </text>
    </comment>
    <comment ref="T77" authorId="0" shapeId="0" xr:uid="{00000000-0006-0000-0200-00001A000000}">
      <text>
        <r>
          <rPr>
            <b/>
            <sz val="8"/>
            <color indexed="81"/>
            <rFont val="Tahoma"/>
            <family val="2"/>
          </rPr>
          <t>krissa:</t>
        </r>
        <r>
          <rPr>
            <sz val="8"/>
            <color indexed="81"/>
            <rFont val="Tahoma"/>
            <family val="2"/>
          </rPr>
          <t xml:space="preserve">
deferred income lease and deferred income taxes</t>
        </r>
      </text>
    </comment>
    <comment ref="DI85" authorId="2" shapeId="0" xr:uid="{29BE166D-33B8-461C-83FF-5ECE50128256}">
      <text>
        <r>
          <rPr>
            <b/>
            <sz val="9"/>
            <color indexed="81"/>
            <rFont val="Tahoma"/>
            <family val="2"/>
          </rPr>
          <t>Dessert, Connor H [GIR]:</t>
        </r>
        <r>
          <rPr>
            <sz val="9"/>
            <color indexed="81"/>
            <rFont val="Tahoma"/>
            <family val="2"/>
          </rPr>
          <t xml:space="preserve">
Mandatory convertible preferred stock +6</t>
        </r>
      </text>
    </comment>
    <comment ref="C97" authorId="0" shapeId="0" xr:uid="{00000000-0006-0000-0200-00001B000000}">
      <text>
        <r>
          <rPr>
            <b/>
            <sz val="8"/>
            <color indexed="81"/>
            <rFont val="Tahoma"/>
            <family val="2"/>
          </rPr>
          <t>krissa:</t>
        </r>
        <r>
          <rPr>
            <sz val="8"/>
            <color indexed="81"/>
            <rFont val="Tahoma"/>
            <family val="2"/>
          </rPr>
          <t xml:space="preserve">
share value trust</t>
        </r>
      </text>
    </comment>
    <comment ref="C105" authorId="0" shapeId="0" xr:uid="{00000000-0006-0000-0200-00001C000000}">
      <text>
        <r>
          <rPr>
            <b/>
            <sz val="8"/>
            <color indexed="81"/>
            <rFont val="Tahoma"/>
            <family val="2"/>
          </rPr>
          <t>krissa:</t>
        </r>
        <r>
          <rPr>
            <sz val="8"/>
            <color indexed="81"/>
            <rFont val="Tahoma"/>
            <family val="2"/>
          </rPr>
          <t xml:space="preserve">
special charges</t>
        </r>
      </text>
    </comment>
    <comment ref="F105" authorId="0" shapeId="0" xr:uid="{00000000-0006-0000-0200-00001D000000}">
      <text>
        <r>
          <rPr>
            <b/>
            <sz val="8"/>
            <color indexed="81"/>
            <rFont val="Tahoma"/>
            <family val="2"/>
          </rPr>
          <t>krissa:</t>
        </r>
        <r>
          <rPr>
            <sz val="8"/>
            <color indexed="81"/>
            <rFont val="Tahoma"/>
            <family val="2"/>
          </rPr>
          <t xml:space="preserve">
in process research and development 557</t>
        </r>
      </text>
    </comment>
    <comment ref="CQ105" authorId="3" shapeId="0" xr:uid="{00000000-0006-0000-0200-00001E000000}">
      <text>
        <r>
          <rPr>
            <b/>
            <sz val="9"/>
            <color indexed="81"/>
            <rFont val="Tahoma"/>
            <family val="2"/>
          </rPr>
          <t>Parsons, Gavin [GIR]:</t>
        </r>
        <r>
          <rPr>
            <sz val="9"/>
            <color indexed="81"/>
            <rFont val="Tahoma"/>
            <family val="2"/>
          </rPr>
          <t xml:space="preserve">
treasury shares for 401K contribution</t>
        </r>
      </text>
    </comment>
    <comment ref="CR105" authorId="3" shapeId="0" xr:uid="{00000000-0006-0000-0200-00001F000000}">
      <text>
        <r>
          <rPr>
            <b/>
            <sz val="9"/>
            <color indexed="81"/>
            <rFont val="Tahoma"/>
            <family val="2"/>
          </rPr>
          <t>Parsons, Gavin [GIR]:</t>
        </r>
        <r>
          <rPr>
            <sz val="9"/>
            <color indexed="81"/>
            <rFont val="Tahoma"/>
            <family val="2"/>
          </rPr>
          <t xml:space="preserve">
628 treasury shares for 401K contribution</t>
        </r>
      </text>
    </comment>
    <comment ref="CS105" authorId="3" shapeId="0" xr:uid="{00000000-0006-0000-0200-000020000000}">
      <text>
        <r>
          <rPr>
            <b/>
            <sz val="9"/>
            <color indexed="81"/>
            <rFont val="Tahoma"/>
            <family val="2"/>
          </rPr>
          <t>Parsons, Gavin [GIR]:</t>
        </r>
        <r>
          <rPr>
            <sz val="9"/>
            <color indexed="81"/>
            <rFont val="Tahoma"/>
            <family val="2"/>
          </rPr>
          <t xml:space="preserve">
951 treasury shares for 401K contribution</t>
        </r>
      </text>
    </comment>
    <comment ref="CV105" authorId="3" shapeId="0" xr:uid="{00000000-0006-0000-0200-000021000000}">
      <text>
        <r>
          <rPr>
            <b/>
            <sz val="9"/>
            <color indexed="81"/>
            <rFont val="Tahoma"/>
            <family val="2"/>
          </rPr>
          <t>Parsons, Gavin [GIR]:</t>
        </r>
        <r>
          <rPr>
            <sz val="9"/>
            <color indexed="81"/>
            <rFont val="Tahoma"/>
            <family val="2"/>
          </rPr>
          <t xml:space="preserve">
treasury shares for 401K contribution
charges</t>
        </r>
      </text>
    </comment>
    <comment ref="CW105" authorId="3" shapeId="0" xr:uid="{00000000-0006-0000-0200-000022000000}">
      <text>
        <r>
          <rPr>
            <b/>
            <sz val="9"/>
            <color indexed="81"/>
            <rFont val="Tahoma"/>
            <family val="2"/>
          </rPr>
          <t>Parsons, Gavin [GIR]:</t>
        </r>
        <r>
          <rPr>
            <sz val="9"/>
            <color indexed="81"/>
            <rFont val="Tahoma"/>
            <family val="2"/>
          </rPr>
          <t xml:space="preserve">
treasury shares for 401K contribution
charges</t>
        </r>
      </text>
    </comment>
    <comment ref="CX105" authorId="3" shapeId="0" xr:uid="{6EB3340B-1831-44B4-812A-25092883111A}">
      <text>
        <r>
          <rPr>
            <b/>
            <sz val="9"/>
            <color indexed="81"/>
            <rFont val="Tahoma"/>
            <family val="2"/>
          </rPr>
          <t>Parsons, Gavin [GIR]:</t>
        </r>
        <r>
          <rPr>
            <sz val="9"/>
            <color indexed="81"/>
            <rFont val="Tahoma"/>
            <family val="2"/>
          </rPr>
          <t xml:space="preserve">
928 treasury shares</t>
        </r>
      </text>
    </comment>
    <comment ref="DA105" authorId="4" shapeId="0" xr:uid="{6D313258-145B-48B1-BEBE-E36C3980B6EB}">
      <text>
        <r>
          <rPr>
            <b/>
            <sz val="9"/>
            <color indexed="81"/>
            <rFont val="Tahoma"/>
            <family val="2"/>
          </rPr>
          <t>Valentini, Anthony [GIR]:</t>
        </r>
        <r>
          <rPr>
            <sz val="9"/>
            <color indexed="81"/>
            <rFont val="Tahoma"/>
            <family val="2"/>
          </rPr>
          <t xml:space="preserve">
treasury shares
customer financing
other charges/credits</t>
        </r>
      </text>
    </comment>
    <comment ref="DB105" authorId="4" shapeId="0" xr:uid="{E87A78DB-980C-40EE-BEBB-01518295660F}">
      <text>
        <r>
          <rPr>
            <b/>
            <sz val="9"/>
            <color indexed="81"/>
            <rFont val="Tahoma"/>
            <family val="2"/>
          </rPr>
          <t>Valentini, Anthony [GIR]:</t>
        </r>
        <r>
          <rPr>
            <sz val="9"/>
            <color indexed="81"/>
            <rFont val="Tahoma"/>
            <family val="2"/>
          </rPr>
          <t xml:space="preserve">
treasury shares issued for 401k
customer financing val adj
other charges and credits</t>
        </r>
      </text>
    </comment>
    <comment ref="DD105" authorId="4" shapeId="0" xr:uid="{2C1C0D6B-643C-43E0-9BC3-8007ADCBD2B8}">
      <text>
        <r>
          <rPr>
            <b/>
            <sz val="9"/>
            <color indexed="81"/>
            <rFont val="Tahoma"/>
            <family val="2"/>
          </rPr>
          <t>Valentini, Anthony [GIR]:</t>
        </r>
        <r>
          <rPr>
            <sz val="9"/>
            <color indexed="81"/>
            <rFont val="Tahoma"/>
            <family val="2"/>
          </rPr>
          <t xml:space="preserve">
treasury shares and other charges</t>
        </r>
      </text>
    </comment>
    <comment ref="DG105" authorId="2" shapeId="0" xr:uid="{9160C0FB-0730-469D-8354-1ADCE96D1543}">
      <text>
        <r>
          <rPr>
            <b/>
            <sz val="9"/>
            <color indexed="81"/>
            <rFont val="Tahoma"/>
            <family val="2"/>
          </rPr>
          <t>Dessert, Connor H [GIR]:</t>
        </r>
        <r>
          <rPr>
            <sz val="9"/>
            <color indexed="81"/>
            <rFont val="Tahoma"/>
            <family val="2"/>
          </rPr>
          <t xml:space="preserve">
Treasury shares issued for 401(k) contribution
Other charges and credits, net</t>
        </r>
      </text>
    </comment>
    <comment ref="DA120" authorId="4" shapeId="0" xr:uid="{32ED7B1A-C82E-40FF-8D12-CAD8246BDA26}">
      <text>
        <r>
          <rPr>
            <b/>
            <sz val="9"/>
            <color indexed="81"/>
            <rFont val="Tahoma"/>
            <family val="2"/>
          </rPr>
          <t>Valentini, Anthony [GIR]:</t>
        </r>
        <r>
          <rPr>
            <sz val="9"/>
            <color indexed="81"/>
            <rFont val="Tahoma"/>
            <family val="2"/>
          </rPr>
          <t xml:space="preserve">
other current assets
other</t>
        </r>
      </text>
    </comment>
    <comment ref="DB120" authorId="4" shapeId="0" xr:uid="{6E9BD656-E019-4158-9829-403921109994}">
      <text>
        <r>
          <rPr>
            <b/>
            <sz val="9"/>
            <color indexed="81"/>
            <rFont val="Tahoma"/>
            <family val="2"/>
          </rPr>
          <t>Valentini, Anthony [GIR]:</t>
        </r>
        <r>
          <rPr>
            <sz val="9"/>
            <color indexed="81"/>
            <rFont val="Tahoma"/>
            <family val="2"/>
          </rPr>
          <t xml:space="preserve">
other current
+
other</t>
        </r>
      </text>
    </comment>
    <comment ref="DD120" authorId="4" shapeId="0" xr:uid="{1132DE3A-C25A-449D-B532-2C06341F451F}">
      <text>
        <r>
          <rPr>
            <b/>
            <sz val="9"/>
            <color indexed="81"/>
            <rFont val="Tahoma"/>
            <family val="2"/>
          </rPr>
          <t>Valentini, Anthony [GIR]:</t>
        </r>
        <r>
          <rPr>
            <sz val="9"/>
            <color indexed="81"/>
            <rFont val="Tahoma"/>
            <family val="2"/>
          </rPr>
          <t xml:space="preserve">
other current assets and other</t>
        </r>
      </text>
    </comment>
    <comment ref="DM124" authorId="2" shapeId="0" xr:uid="{E6C36FBB-793B-4EC8-A163-AFF4B416E500}">
      <text>
        <r>
          <rPr>
            <b/>
            <sz val="9"/>
            <color indexed="81"/>
            <rFont val="Tahoma"/>
            <family val="2"/>
          </rPr>
          <t>Dessert, Connor H [GIR]:</t>
        </r>
        <r>
          <rPr>
            <sz val="9"/>
            <color indexed="81"/>
            <rFont val="Tahoma"/>
            <family val="2"/>
          </rPr>
          <t xml:space="preserve">
proceeds from disposition</t>
        </r>
      </text>
    </comment>
    <comment ref="Q127" authorId="0" shapeId="0" xr:uid="{00000000-0006-0000-0200-000023000000}">
      <text>
        <r>
          <rPr>
            <b/>
            <sz val="8"/>
            <color indexed="81"/>
            <rFont val="Tahoma"/>
            <family val="2"/>
          </rPr>
          <t>krissa:</t>
        </r>
        <r>
          <rPr>
            <sz val="8"/>
            <color indexed="81"/>
            <rFont val="Tahoma"/>
            <family val="2"/>
          </rPr>
          <t xml:space="preserve">
proceeds from disposition and reductions in disc. Ops customer financing</t>
        </r>
      </text>
    </comment>
    <comment ref="S127" authorId="0" shapeId="0" xr:uid="{00000000-0006-0000-0200-000024000000}">
      <text>
        <r>
          <rPr>
            <b/>
            <sz val="8"/>
            <color indexed="81"/>
            <rFont val="Tahoma"/>
            <family val="2"/>
          </rPr>
          <t>krissa:</t>
        </r>
        <r>
          <rPr>
            <sz val="8"/>
            <color indexed="81"/>
            <rFont val="Tahoma"/>
            <family val="2"/>
          </rPr>
          <t xml:space="preserve">
proceeds from disposition and reductions in disc. Ops customer financing</t>
        </r>
      </text>
    </comment>
    <comment ref="U127" authorId="0" shapeId="0" xr:uid="{00000000-0006-0000-0200-000025000000}">
      <text>
        <r>
          <rPr>
            <b/>
            <sz val="8"/>
            <color indexed="81"/>
            <rFont val="Tahoma"/>
            <family val="2"/>
          </rPr>
          <t>krissa:</t>
        </r>
        <r>
          <rPr>
            <sz val="8"/>
            <color indexed="81"/>
            <rFont val="Tahoma"/>
            <family val="2"/>
          </rPr>
          <t xml:space="preserve">
proceeds from disposition</t>
        </r>
      </text>
    </comment>
    <comment ref="V127" authorId="0" shapeId="0" xr:uid="{00000000-0006-0000-0200-000026000000}">
      <text>
        <r>
          <rPr>
            <b/>
            <sz val="8"/>
            <color indexed="81"/>
            <rFont val="Tahoma"/>
            <family val="2"/>
          </rPr>
          <t>krissa:</t>
        </r>
        <r>
          <rPr>
            <sz val="8"/>
            <color indexed="81"/>
            <rFont val="Tahoma"/>
            <family val="2"/>
          </rPr>
          <t xml:space="preserve">
proceeds from disposition</t>
        </r>
      </text>
    </comment>
    <comment ref="X127" authorId="0" shapeId="0" xr:uid="{00000000-0006-0000-0200-000027000000}">
      <text>
        <r>
          <rPr>
            <b/>
            <sz val="8"/>
            <color indexed="81"/>
            <rFont val="Tahoma"/>
            <family val="2"/>
          </rPr>
          <t>krissa:</t>
        </r>
        <r>
          <rPr>
            <sz val="8"/>
            <color indexed="81"/>
            <rFont val="Tahoma"/>
            <family val="2"/>
          </rPr>
          <t xml:space="preserve">
includes proceeds from disposition 123 mn</t>
        </r>
      </text>
    </comment>
    <comment ref="AH127" authorId="0" shapeId="0" xr:uid="{00000000-0006-0000-0200-000028000000}">
      <text>
        <r>
          <rPr>
            <b/>
            <sz val="8"/>
            <color indexed="81"/>
            <rFont val="Tahoma"/>
            <family val="2"/>
          </rPr>
          <t>krissa:</t>
        </r>
        <r>
          <rPr>
            <sz val="8"/>
            <color indexed="81"/>
            <rFont val="Tahoma"/>
            <family val="2"/>
          </rPr>
          <t xml:space="preserve">
purchase of distribution rights</t>
        </r>
      </text>
    </comment>
    <comment ref="DI134" authorId="2" shapeId="0" xr:uid="{AB9883C9-C91C-4212-A74A-E4B7BBFAF278}">
      <text>
        <r>
          <rPr>
            <b/>
            <sz val="9"/>
            <color indexed="81"/>
            <rFont val="Tahoma"/>
            <family val="2"/>
          </rPr>
          <t>Dessert, Connor H [GIR]:</t>
        </r>
        <r>
          <rPr>
            <sz val="9"/>
            <color indexed="81"/>
            <rFont val="Tahoma"/>
            <family val="2"/>
          </rPr>
          <t xml:space="preserve">
Common stock issuance: 18,200
Mandatory convertible preferred stock issuance: 5,657</t>
        </r>
      </text>
    </comment>
    <comment ref="C136" authorId="0" shapeId="0" xr:uid="{00000000-0006-0000-0200-000029000000}">
      <text>
        <r>
          <rPr>
            <b/>
            <sz val="8"/>
            <color indexed="81"/>
            <rFont val="Tahoma"/>
            <family val="2"/>
          </rPr>
          <t>krissa:</t>
        </r>
        <r>
          <rPr>
            <sz val="8"/>
            <color indexed="81"/>
            <rFont val="Tahoma"/>
            <family val="2"/>
          </rPr>
          <t xml:space="preserve">
common shares issued</t>
        </r>
      </text>
    </comment>
    <comment ref="CD138" authorId="3" shapeId="0" xr:uid="{00000000-0006-0000-0200-00002A000000}">
      <text>
        <r>
          <rPr>
            <b/>
            <sz val="9"/>
            <color indexed="81"/>
            <rFont val="Tahoma"/>
            <family val="2"/>
          </rPr>
          <t>Parsons, Gavin [GIR]:</t>
        </r>
        <r>
          <rPr>
            <sz val="9"/>
            <color indexed="81"/>
            <rFont val="Tahoma"/>
            <family val="2"/>
          </rPr>
          <t xml:space="preserve">
54 change in restricted cash</t>
        </r>
      </text>
    </comment>
    <comment ref="CH138" authorId="3" shapeId="0" xr:uid="{00000000-0006-0000-0200-00002B000000}">
      <text>
        <r>
          <rPr>
            <b/>
            <sz val="9"/>
            <color indexed="81"/>
            <rFont val="Tahoma"/>
            <family val="2"/>
          </rPr>
          <t>Parsons, Gavin [GIR]:</t>
        </r>
        <r>
          <rPr>
            <sz val="9"/>
            <color indexed="81"/>
            <rFont val="Tahoma"/>
            <family val="2"/>
          </rPr>
          <t xml:space="preserve">
91 change in restricted cash</t>
        </r>
      </text>
    </comment>
    <comment ref="CM138" authorId="3" shapeId="0" xr:uid="{00000000-0006-0000-0200-00002C000000}">
      <text>
        <r>
          <rPr>
            <b/>
            <sz val="9"/>
            <color indexed="81"/>
            <rFont val="Tahoma"/>
            <family val="2"/>
          </rPr>
          <t>Parsons, Gavin [GIR]:</t>
        </r>
        <r>
          <rPr>
            <sz val="9"/>
            <color indexed="81"/>
            <rFont val="Tahoma"/>
            <family val="2"/>
          </rPr>
          <t xml:space="preserve">
change in restricted cash</t>
        </r>
      </text>
    </comment>
    <comment ref="CF147" authorId="3" shapeId="0" xr:uid="{00000000-0006-0000-0200-00002D000000}">
      <text>
        <r>
          <rPr>
            <b/>
            <sz val="9"/>
            <color indexed="81"/>
            <rFont val="Tahoma"/>
            <family val="2"/>
          </rPr>
          <t>Parsons, Gavin [GIR]:</t>
        </r>
        <r>
          <rPr>
            <sz val="9"/>
            <color indexed="81"/>
            <rFont val="Tahoma"/>
            <family val="2"/>
          </rPr>
          <t xml:space="preserve">
2018 BCA/BDS restated for change in revenue reporting for military aircraft deliveries </t>
        </r>
      </text>
    </comment>
    <comment ref="B151" authorId="5" shapeId="0" xr:uid="{00000000-0006-0000-0200-00002E000000}">
      <text>
        <r>
          <rPr>
            <b/>
            <sz val="8"/>
            <color indexed="81"/>
            <rFont val="Tahoma"/>
            <family val="2"/>
          </rPr>
          <t>wachun:</t>
        </r>
        <r>
          <rPr>
            <sz val="8"/>
            <color indexed="81"/>
            <rFont val="Tahoma"/>
            <family val="2"/>
          </rPr>
          <t xml:space="preserve">
Used to be named Precision Engagement &amp; Mobility Systems</t>
        </r>
      </text>
    </comment>
    <comment ref="B153" authorId="5" shapeId="0" xr:uid="{00000000-0006-0000-0200-00002F000000}">
      <text>
        <r>
          <rPr>
            <b/>
            <sz val="8"/>
            <color indexed="81"/>
            <rFont val="Tahoma"/>
            <family val="2"/>
          </rPr>
          <t>wachun:</t>
        </r>
        <r>
          <rPr>
            <sz val="8"/>
            <color indexed="81"/>
            <rFont val="Tahoma"/>
            <family val="2"/>
          </rPr>
          <t xml:space="preserve">
Used to be named Support Systems</t>
        </r>
      </text>
    </comment>
    <comment ref="DA162" authorId="1" shapeId="0" xr:uid="{92E34185-D0DC-45B1-AAD6-AE3387CFB3B1}">
      <text>
        <r>
          <rPr>
            <b/>
            <sz val="9"/>
            <color indexed="81"/>
            <rFont val="Tahoma"/>
            <family val="2"/>
          </rPr>
          <t>Blake, BEN [GIR]:</t>
        </r>
        <r>
          <rPr>
            <sz val="9"/>
            <color indexed="81"/>
            <rFont val="Tahoma"/>
            <family val="2"/>
          </rPr>
          <t xml:space="preserve">
1q23: realigned to BCA segment</t>
        </r>
      </text>
    </comment>
    <comment ref="BR164" authorId="3" shapeId="0" xr:uid="{00000000-0006-0000-0200-000030000000}">
      <text>
        <r>
          <rPr>
            <b/>
            <sz val="9"/>
            <color indexed="81"/>
            <rFont val="Tahoma"/>
            <family val="2"/>
          </rPr>
          <t>Parsons, Gavin [GIR]:</t>
        </r>
        <r>
          <rPr>
            <sz val="9"/>
            <color indexed="81"/>
            <rFont val="Tahoma"/>
            <family val="2"/>
          </rPr>
          <t xml:space="preserve">
restated</t>
        </r>
      </text>
    </comment>
    <comment ref="BS164" authorId="3" shapeId="0" xr:uid="{00000000-0006-0000-0200-000031000000}">
      <text>
        <r>
          <rPr>
            <b/>
            <sz val="9"/>
            <color indexed="81"/>
            <rFont val="Tahoma"/>
            <family val="2"/>
          </rPr>
          <t>Parsons, Gavin [GIR]:</t>
        </r>
        <r>
          <rPr>
            <sz val="9"/>
            <color indexed="81"/>
            <rFont val="Tahoma"/>
            <family val="2"/>
          </rPr>
          <t xml:space="preserve">
restated</t>
        </r>
      </text>
    </comment>
    <comment ref="BT164" authorId="3" shapeId="0" xr:uid="{00000000-0006-0000-0200-000032000000}">
      <text>
        <r>
          <rPr>
            <b/>
            <sz val="9"/>
            <color indexed="81"/>
            <rFont val="Tahoma"/>
            <family val="2"/>
          </rPr>
          <t>Parsons, Gavin [GIR]:</t>
        </r>
        <r>
          <rPr>
            <sz val="9"/>
            <color indexed="81"/>
            <rFont val="Tahoma"/>
            <family val="2"/>
          </rPr>
          <t xml:space="preserve">
restated</t>
        </r>
      </text>
    </comment>
    <comment ref="BU164" authorId="3" shapeId="0" xr:uid="{00000000-0006-0000-0200-000033000000}">
      <text>
        <r>
          <rPr>
            <b/>
            <sz val="9"/>
            <color indexed="81"/>
            <rFont val="Tahoma"/>
            <family val="2"/>
          </rPr>
          <t>Parsons, Gavin [GIR]:</t>
        </r>
        <r>
          <rPr>
            <sz val="9"/>
            <color indexed="81"/>
            <rFont val="Tahoma"/>
            <family val="2"/>
          </rPr>
          <t xml:space="preserve">
restated</t>
        </r>
      </text>
    </comment>
    <comment ref="BV164" authorId="3" shapeId="0" xr:uid="{00000000-0006-0000-0200-000034000000}">
      <text>
        <r>
          <rPr>
            <b/>
            <sz val="9"/>
            <color indexed="81"/>
            <rFont val="Tahoma"/>
            <family val="2"/>
          </rPr>
          <t>Parsons, Gavin [GIR]:</t>
        </r>
        <r>
          <rPr>
            <sz val="9"/>
            <color indexed="81"/>
            <rFont val="Tahoma"/>
            <family val="2"/>
          </rPr>
          <t xml:space="preserve">
restated</t>
        </r>
      </text>
    </comment>
    <comment ref="G174" authorId="0" shapeId="0" xr:uid="{00000000-0006-0000-0200-000035000000}">
      <text>
        <r>
          <rPr>
            <b/>
            <sz val="8"/>
            <color indexed="81"/>
            <rFont val="Tahoma"/>
            <family val="2"/>
          </rPr>
          <t>krissa:</t>
        </r>
        <r>
          <rPr>
            <sz val="8"/>
            <color indexed="81"/>
            <rFont val="Tahoma"/>
            <family val="2"/>
          </rPr>
          <t xml:space="preserve">
restated taken from 2003 filings</t>
        </r>
      </text>
    </comment>
    <comment ref="H174" authorId="0" shapeId="0" xr:uid="{00000000-0006-0000-0200-000036000000}">
      <text>
        <r>
          <rPr>
            <b/>
            <sz val="8"/>
            <color indexed="81"/>
            <rFont val="Tahoma"/>
            <family val="2"/>
          </rPr>
          <t>krissa:</t>
        </r>
        <r>
          <rPr>
            <sz val="8"/>
            <color indexed="81"/>
            <rFont val="Tahoma"/>
            <family val="2"/>
          </rPr>
          <t xml:space="preserve">
restated taken from 2003 filings</t>
        </r>
      </text>
    </comment>
    <comment ref="G175" authorId="0" shapeId="0" xr:uid="{00000000-0006-0000-0200-000037000000}">
      <text>
        <r>
          <rPr>
            <b/>
            <sz val="8"/>
            <color indexed="81"/>
            <rFont val="Tahoma"/>
            <family val="2"/>
          </rPr>
          <t>krissa:</t>
        </r>
        <r>
          <rPr>
            <sz val="8"/>
            <color indexed="81"/>
            <rFont val="Tahoma"/>
            <family val="2"/>
          </rPr>
          <t xml:space="preserve">
restated taken from 2003 filings</t>
        </r>
      </text>
    </comment>
    <comment ref="H175" authorId="0" shapeId="0" xr:uid="{00000000-0006-0000-0200-000038000000}">
      <text>
        <r>
          <rPr>
            <b/>
            <sz val="8"/>
            <color indexed="81"/>
            <rFont val="Tahoma"/>
            <family val="2"/>
          </rPr>
          <t>krissa:</t>
        </r>
        <r>
          <rPr>
            <sz val="8"/>
            <color indexed="81"/>
            <rFont val="Tahoma"/>
            <family val="2"/>
          </rPr>
          <t xml:space="preserve">
restated taken from 2003 filings</t>
        </r>
      </text>
    </comment>
    <comment ref="G176" authorId="0" shapeId="0" xr:uid="{00000000-0006-0000-0200-000039000000}">
      <text>
        <r>
          <rPr>
            <b/>
            <sz val="8"/>
            <color indexed="81"/>
            <rFont val="Tahoma"/>
            <family val="2"/>
          </rPr>
          <t>krissa:</t>
        </r>
        <r>
          <rPr>
            <sz val="8"/>
            <color indexed="81"/>
            <rFont val="Tahoma"/>
            <family val="2"/>
          </rPr>
          <t xml:space="preserve">
restated taken from 2003 filings</t>
        </r>
      </text>
    </comment>
    <comment ref="H176" authorId="0" shapeId="0" xr:uid="{00000000-0006-0000-0200-00003A000000}">
      <text>
        <r>
          <rPr>
            <b/>
            <sz val="8"/>
            <color indexed="81"/>
            <rFont val="Tahoma"/>
            <family val="2"/>
          </rPr>
          <t>krissa:</t>
        </r>
        <r>
          <rPr>
            <sz val="8"/>
            <color indexed="81"/>
            <rFont val="Tahoma"/>
            <family val="2"/>
          </rPr>
          <t xml:space="preserve">
restated taken from 2003 filings</t>
        </r>
      </text>
    </comment>
    <comment ref="G177" authorId="0" shapeId="0" xr:uid="{00000000-0006-0000-0200-00003B000000}">
      <text>
        <r>
          <rPr>
            <b/>
            <sz val="8"/>
            <color indexed="81"/>
            <rFont val="Tahoma"/>
            <family val="2"/>
          </rPr>
          <t>krissa:</t>
        </r>
        <r>
          <rPr>
            <sz val="8"/>
            <color indexed="81"/>
            <rFont val="Tahoma"/>
            <family val="2"/>
          </rPr>
          <t xml:space="preserve">
restated taken from 2003 filings</t>
        </r>
      </text>
    </comment>
    <comment ref="H177" authorId="0" shapeId="0" xr:uid="{00000000-0006-0000-0200-00003C000000}">
      <text>
        <r>
          <rPr>
            <b/>
            <sz val="8"/>
            <color indexed="81"/>
            <rFont val="Tahoma"/>
            <family val="2"/>
          </rPr>
          <t>krissa:</t>
        </r>
        <r>
          <rPr>
            <sz val="8"/>
            <color indexed="81"/>
            <rFont val="Tahoma"/>
            <family val="2"/>
          </rPr>
          <t xml:space="preserve">
restated taken from 2003 filings</t>
        </r>
      </text>
    </comment>
    <comment ref="B185" authorId="6" shapeId="0" xr:uid="{00000000-0006-0000-0200-00003D000000}">
      <text>
        <r>
          <rPr>
            <b/>
            <sz val="9"/>
            <color indexed="81"/>
            <rFont val="Tahoma"/>
            <family val="2"/>
          </rPr>
          <t>Porat, Matthew [GIR]:</t>
        </r>
        <r>
          <rPr>
            <sz val="9"/>
            <color indexed="81"/>
            <rFont val="Tahoma"/>
            <family val="2"/>
          </rPr>
          <t xml:space="preserve">
Previously: Pension and other postretirement</t>
        </r>
      </text>
    </comment>
    <comment ref="DL185" authorId="2" shapeId="0" xr:uid="{3BB96D5C-EFA6-4455-99BE-EC48D3C7372A}">
      <text>
        <r>
          <rPr>
            <b/>
            <sz val="9"/>
            <color indexed="81"/>
            <rFont val="Tahoma"/>
            <family val="2"/>
          </rPr>
          <t>Dessert, Connor H [GIR]:</t>
        </r>
        <r>
          <rPr>
            <sz val="9"/>
            <color indexed="81"/>
            <rFont val="Tahoma"/>
            <family val="2"/>
          </rPr>
          <t xml:space="preserve">
Summary of Business Segment Data</t>
        </r>
      </text>
    </comment>
    <comment ref="DQ185" authorId="2" shapeId="0" xr:uid="{F954DEC1-115F-445C-BC6E-95F1E3106104}">
      <text>
        <r>
          <rPr>
            <b/>
            <sz val="9"/>
            <color indexed="81"/>
            <rFont val="Tahoma"/>
            <family val="2"/>
          </rPr>
          <t>Dessert, Connor H [GIR]:</t>
        </r>
        <r>
          <rPr>
            <sz val="9"/>
            <color indexed="81"/>
            <rFont val="Tahoma"/>
            <family val="2"/>
          </rPr>
          <t xml:space="preserve">
Summary of Business Segment Data</t>
        </r>
      </text>
    </comment>
    <comment ref="DA188" authorId="4" shapeId="0" xr:uid="{781A1DC6-E57A-4C48-AB37-F74E2ECFCC33}">
      <text>
        <r>
          <rPr>
            <b/>
            <sz val="9"/>
            <color indexed="81"/>
            <rFont val="Tahoma"/>
            <family val="2"/>
          </rPr>
          <t>Valentini, Anthony [GIR]:</t>
        </r>
        <r>
          <rPr>
            <sz val="9"/>
            <color indexed="81"/>
            <rFont val="Tahoma"/>
            <family val="2"/>
          </rPr>
          <t xml:space="preserve">
amort of previously cap int
R&amp;D, net
elims and other unallocated</t>
        </r>
      </text>
    </comment>
    <comment ref="DB188" authorId="4" shapeId="0" xr:uid="{D5169E26-8BF9-412F-9606-1BF1CAD19330}">
      <text>
        <r>
          <rPr>
            <b/>
            <sz val="9"/>
            <color indexed="81"/>
            <rFont val="Tahoma"/>
            <family val="2"/>
          </rPr>
          <t>Valentini, Anthony [GIR]:</t>
        </r>
        <r>
          <rPr>
            <sz val="9"/>
            <color indexed="81"/>
            <rFont val="Tahoma"/>
            <family val="2"/>
          </rPr>
          <t xml:space="preserve">
amort of capitalized int
R&amp;D, net
elims and unallocated</t>
        </r>
      </text>
    </comment>
    <comment ref="U190" authorId="0" shapeId="0" xr:uid="{00000000-0006-0000-0200-00003E000000}">
      <text>
        <r>
          <rPr>
            <b/>
            <sz val="8"/>
            <color indexed="81"/>
            <rFont val="Tahoma"/>
            <family val="2"/>
          </rPr>
          <t>krissa:</t>
        </r>
        <r>
          <rPr>
            <sz val="8"/>
            <color indexed="81"/>
            <rFont val="Tahoma"/>
            <family val="2"/>
          </rPr>
          <t xml:space="preserve">
we have excluded the 571 mn settlement with US Dep. Of justice charge from operating results</t>
        </r>
      </text>
    </comment>
    <comment ref="X190" authorId="0" shapeId="0" xr:uid="{00000000-0006-0000-0200-00003F000000}">
      <text>
        <r>
          <rPr>
            <b/>
            <sz val="8"/>
            <color indexed="81"/>
            <rFont val="Tahoma"/>
            <family val="2"/>
          </rPr>
          <t>krissa:</t>
        </r>
        <r>
          <rPr>
            <sz val="8"/>
            <color indexed="81"/>
            <rFont val="Tahoma"/>
            <family val="2"/>
          </rPr>
          <t xml:space="preserve">
we have excluded the 571 mn settlement with US Dep. Of justice charge from operating results</t>
        </r>
      </text>
    </comment>
    <comment ref="DL190" authorId="2" shapeId="0" xr:uid="{1D6C3704-FDF2-4047-B095-2B68C091EF14}">
      <text>
        <r>
          <rPr>
            <b/>
            <sz val="9"/>
            <color indexed="81"/>
            <rFont val="Tahoma"/>
            <family val="2"/>
          </rPr>
          <t>Dessert, Connor H [GIR]:</t>
        </r>
        <r>
          <rPr>
            <sz val="9"/>
            <color indexed="81"/>
            <rFont val="Tahoma"/>
            <family val="2"/>
          </rPr>
          <t xml:space="preserve">
Should just be "GAAP operating income"</t>
        </r>
      </text>
    </comment>
    <comment ref="DQ190" authorId="2" shapeId="0" xr:uid="{1724E0EC-F544-4935-A328-0495E11DFDCC}">
      <text>
        <r>
          <rPr>
            <b/>
            <sz val="9"/>
            <color indexed="81"/>
            <rFont val="Tahoma"/>
            <family val="2"/>
          </rPr>
          <t>Dessert, Connor H [GIR]:</t>
        </r>
        <r>
          <rPr>
            <sz val="9"/>
            <color indexed="81"/>
            <rFont val="Tahoma"/>
            <family val="2"/>
          </rPr>
          <t xml:space="preserve">
Should just be "GAAP operating income"</t>
        </r>
      </text>
    </comment>
    <comment ref="AU193" authorId="7" shapeId="0" xr:uid="{00000000-0006-0000-0200-000040000000}">
      <text>
        <r>
          <rPr>
            <b/>
            <sz val="8"/>
            <color indexed="81"/>
            <rFont val="Tahoma"/>
            <family val="2"/>
          </rPr>
          <t>sammun:</t>
        </r>
        <r>
          <rPr>
            <sz val="8"/>
            <color indexed="81"/>
            <rFont val="Tahoma"/>
            <family val="2"/>
          </rPr>
          <t xml:space="preserve">
2/3 of current backlog from airlines outside the US and Europe.</t>
        </r>
      </text>
    </comment>
    <comment ref="AE215" authorId="8" shapeId="0" xr:uid="{00000000-0006-0000-0200-000041000000}">
      <text>
        <r>
          <rPr>
            <b/>
            <sz val="8"/>
            <color indexed="81"/>
            <rFont val="Tahoma"/>
            <family val="2"/>
          </rPr>
          <t>wachun:</t>
        </r>
        <r>
          <rPr>
            <sz val="8"/>
            <color indexed="81"/>
            <rFont val="Tahoma"/>
            <family val="2"/>
          </rPr>
          <t xml:space="preserve">
Only a handful</t>
        </r>
      </text>
    </comment>
    <comment ref="B217" authorId="3" shapeId="0" xr:uid="{00000000-0006-0000-0200-000042000000}">
      <text>
        <r>
          <rPr>
            <b/>
            <sz val="9"/>
            <color indexed="81"/>
            <rFont val="Tahoma"/>
            <family val="2"/>
          </rPr>
          <t>Parsons, Gavin [GIR]:</t>
        </r>
        <r>
          <rPr>
            <sz val="9"/>
            <color indexed="81"/>
            <rFont val="Tahoma"/>
            <family val="2"/>
          </rPr>
          <t xml:space="preserve">
Undelivered units under firm orders</t>
        </r>
      </text>
    </comment>
    <comment ref="DA224" authorId="1" shapeId="0" xr:uid="{84B7F13E-C461-406F-85F2-828E8B421CB7}">
      <text>
        <r>
          <rPr>
            <b/>
            <sz val="9"/>
            <color indexed="81"/>
            <rFont val="Tahoma"/>
            <family val="2"/>
          </rPr>
          <t>Blake, BEN [GIR]:</t>
        </r>
        <r>
          <rPr>
            <sz val="9"/>
            <color indexed="81"/>
            <rFont val="Tahoma"/>
            <family val="2"/>
          </rPr>
          <t xml:space="preserve">
Double check with AV that this is correct - pulled from BA website</t>
        </r>
      </text>
    </comment>
    <comment ref="B265" authorId="3" shapeId="0" xr:uid="{00000000-0006-0000-0200-000043000000}">
      <text>
        <r>
          <rPr>
            <b/>
            <sz val="9"/>
            <color indexed="81"/>
            <rFont val="Tahoma"/>
            <family val="2"/>
          </rPr>
          <t>Parsons, Gavin [GIR]:</t>
        </r>
        <r>
          <rPr>
            <sz val="9"/>
            <color indexed="81"/>
            <rFont val="Tahoma"/>
            <family val="2"/>
          </rPr>
          <t xml:space="preserve">
issuer purchases of equity securities</t>
        </r>
      </text>
    </comment>
    <comment ref="AU267" authorId="7" shapeId="0" xr:uid="{00000000-0006-0000-0200-000044000000}">
      <text>
        <r>
          <rPr>
            <b/>
            <sz val="8"/>
            <color indexed="81"/>
            <rFont val="Tahoma"/>
            <family val="2"/>
          </rPr>
          <t>sammun:</t>
        </r>
        <r>
          <rPr>
            <sz val="8"/>
            <color indexed="81"/>
            <rFont val="Tahoma"/>
            <family val="2"/>
          </rPr>
          <t xml:space="preserve">
vesting options
</t>
        </r>
      </text>
    </comment>
    <comment ref="AV267" authorId="7" shapeId="0" xr:uid="{00000000-0006-0000-0200-000045000000}">
      <text>
        <r>
          <rPr>
            <b/>
            <sz val="8"/>
            <color indexed="81"/>
            <rFont val="Tahoma"/>
            <family val="2"/>
          </rPr>
          <t>sammun:</t>
        </r>
        <r>
          <rPr>
            <sz val="8"/>
            <color indexed="81"/>
            <rFont val="Tahoma"/>
            <family val="2"/>
          </rPr>
          <t xml:space="preserve">
Vesting options
</t>
        </r>
      </text>
    </comment>
    <comment ref="AY267" authorId="7" shapeId="0" xr:uid="{00000000-0006-0000-0200-000046000000}">
      <text>
        <r>
          <rPr>
            <b/>
            <sz val="8"/>
            <color indexed="81"/>
            <rFont val="Tahoma"/>
            <family val="2"/>
          </rPr>
          <t>sammun:</t>
        </r>
        <r>
          <rPr>
            <sz val="8"/>
            <color indexed="81"/>
            <rFont val="Tahoma"/>
            <family val="2"/>
          </rPr>
          <t xml:space="preserve">
vesting options</t>
        </r>
      </text>
    </comment>
    <comment ref="V272" authorId="8" shapeId="0" xr:uid="{00000000-0006-0000-0200-000047000000}">
      <text>
        <r>
          <rPr>
            <b/>
            <sz val="8"/>
            <color indexed="81"/>
            <rFont val="Tahoma"/>
            <family val="2"/>
          </rPr>
          <t>wachun:</t>
        </r>
        <r>
          <rPr>
            <sz val="8"/>
            <color indexed="81"/>
            <rFont val="Tahoma"/>
            <family val="2"/>
          </rPr>
          <t xml:space="preserve">
Terminated</t>
        </r>
      </text>
    </comment>
    <comment ref="V279" authorId="0" shapeId="0" xr:uid="{00000000-0006-0000-0200-000048000000}">
      <text>
        <r>
          <rPr>
            <b/>
            <sz val="8"/>
            <color indexed="81"/>
            <rFont val="Tahoma"/>
            <family val="2"/>
          </rPr>
          <t>krissa:</t>
        </r>
        <r>
          <rPr>
            <sz val="8"/>
            <color indexed="81"/>
            <rFont val="Tahoma"/>
            <family val="2"/>
          </rPr>
          <t xml:space="preserve">
from 2006 company switched to new repurchase authority of $3 bn
</t>
        </r>
      </text>
    </comment>
    <comment ref="AB279" authorId="0" shapeId="0" xr:uid="{00000000-0006-0000-0200-000049000000}">
      <text>
        <r>
          <rPr>
            <b/>
            <sz val="8"/>
            <color indexed="81"/>
            <rFont val="Tahoma"/>
            <family val="2"/>
          </rPr>
          <t>krissa:</t>
        </r>
        <r>
          <rPr>
            <sz val="8"/>
            <color indexed="81"/>
            <rFont val="Tahoma"/>
            <family val="2"/>
          </rPr>
          <t xml:space="preserve">
in oct 2007 new authorization of 7 bn was adopted</t>
        </r>
      </text>
    </comment>
    <comment ref="BF279" authorId="3" shapeId="0" xr:uid="{00000000-0006-0000-0200-00004A000000}">
      <text>
        <r>
          <rPr>
            <b/>
            <sz val="8"/>
            <color indexed="81"/>
            <rFont val="Tahoma"/>
            <family val="2"/>
          </rPr>
          <t>Parsons, Gavin [GIR]:</t>
        </r>
        <r>
          <rPr>
            <sz val="8"/>
            <color indexed="81"/>
            <rFont val="Tahoma"/>
            <family val="2"/>
          </rPr>
          <t xml:space="preserve">
Dec 16 2013</t>
        </r>
      </text>
    </comment>
    <comment ref="BK280" authorId="3" shapeId="0" xr:uid="{00000000-0006-0000-0200-00004B000000}">
      <text>
        <r>
          <rPr>
            <b/>
            <sz val="9"/>
            <color indexed="81"/>
            <rFont val="Tahoma"/>
            <family val="2"/>
          </rPr>
          <t>Parsons, Gavin [GIR]:</t>
        </r>
        <r>
          <rPr>
            <sz val="9"/>
            <color indexed="81"/>
            <rFont val="Tahoma"/>
            <family val="2"/>
          </rPr>
          <t xml:space="preserve">
replaced old plan</t>
        </r>
      </text>
    </comment>
    <comment ref="AC286" authorId="8" shapeId="0" xr:uid="{00000000-0006-0000-0200-00004C000000}">
      <text>
        <r>
          <rPr>
            <b/>
            <sz val="8"/>
            <color indexed="81"/>
            <rFont val="Tahoma"/>
            <family val="2"/>
          </rPr>
          <t>wachun:</t>
        </r>
        <r>
          <rPr>
            <sz val="8"/>
            <color indexed="81"/>
            <rFont val="Tahoma"/>
            <family val="2"/>
          </rPr>
          <t xml:space="preserve">
Net periodic benefit cost</t>
        </r>
      </text>
    </comment>
    <comment ref="AH286" authorId="8" shapeId="0" xr:uid="{00000000-0006-0000-0200-00004D000000}">
      <text>
        <r>
          <rPr>
            <b/>
            <sz val="8"/>
            <color indexed="81"/>
            <rFont val="Tahoma"/>
            <family val="2"/>
          </rPr>
          <t>wachun:</t>
        </r>
        <r>
          <rPr>
            <sz val="8"/>
            <color indexed="81"/>
            <rFont val="Tahoma"/>
            <family val="2"/>
          </rPr>
          <t xml:space="preserve">
Net periodic benefit cost included in Earnings from operations</t>
        </r>
      </text>
    </comment>
    <comment ref="AU294" authorId="8" shapeId="0" xr:uid="{00000000-0006-0000-0200-00004E000000}">
      <text>
        <r>
          <rPr>
            <b/>
            <sz val="8"/>
            <color indexed="81"/>
            <rFont val="Tahoma"/>
            <family val="2"/>
          </rPr>
          <t>wachun:</t>
        </r>
        <r>
          <rPr>
            <sz val="8"/>
            <color indexed="81"/>
            <rFont val="Tahoma"/>
            <family val="2"/>
          </rPr>
          <t xml:space="preserve">
1q11: lower R&amp;D in 2H once 787/747 certified</t>
        </r>
      </text>
    </comment>
    <comment ref="AV294" authorId="8" shapeId="0" xr:uid="{00000000-0006-0000-0200-00004F000000}">
      <text>
        <r>
          <rPr>
            <b/>
            <sz val="8"/>
            <color indexed="81"/>
            <rFont val="Tahoma"/>
            <family val="2"/>
          </rPr>
          <t>wachun:</t>
        </r>
        <r>
          <rPr>
            <sz val="8"/>
            <color indexed="81"/>
            <rFont val="Tahoma"/>
            <family val="2"/>
          </rPr>
          <t xml:space="preserve">
1q11: lower R&amp;D in 2H once 787/747 certified</t>
        </r>
      </text>
    </comment>
    <comment ref="BR294" authorId="3" shapeId="0" xr:uid="{00000000-0006-0000-0200-000050000000}">
      <text>
        <r>
          <rPr>
            <b/>
            <sz val="9"/>
            <color indexed="81"/>
            <rFont val="Tahoma"/>
            <family val="2"/>
          </rPr>
          <t>Parsons, Gavin [GIR]:</t>
        </r>
        <r>
          <rPr>
            <sz val="9"/>
            <color indexed="81"/>
            <rFont val="Tahoma"/>
            <family val="2"/>
          </rPr>
          <t xml:space="preserve">
Restated</t>
        </r>
      </text>
    </comment>
    <comment ref="BS294" authorId="3" shapeId="0" xr:uid="{00000000-0006-0000-0200-000051000000}">
      <text>
        <r>
          <rPr>
            <b/>
            <sz val="9"/>
            <color indexed="81"/>
            <rFont val="Tahoma"/>
            <family val="2"/>
          </rPr>
          <t>Parsons, Gavin [GIR]:</t>
        </r>
        <r>
          <rPr>
            <sz val="9"/>
            <color indexed="81"/>
            <rFont val="Tahoma"/>
            <family val="2"/>
          </rPr>
          <t xml:space="preserve">
Restated</t>
        </r>
      </text>
    </comment>
    <comment ref="BT294" authorId="3" shapeId="0" xr:uid="{00000000-0006-0000-0200-000052000000}">
      <text>
        <r>
          <rPr>
            <b/>
            <sz val="9"/>
            <color indexed="81"/>
            <rFont val="Tahoma"/>
            <family val="2"/>
          </rPr>
          <t>Parsons, Gavin [GIR]:</t>
        </r>
        <r>
          <rPr>
            <sz val="9"/>
            <color indexed="81"/>
            <rFont val="Tahoma"/>
            <family val="2"/>
          </rPr>
          <t xml:space="preserve">
Restated</t>
        </r>
      </text>
    </comment>
    <comment ref="BU294" authorId="3" shapeId="0" xr:uid="{00000000-0006-0000-0200-000053000000}">
      <text>
        <r>
          <rPr>
            <b/>
            <sz val="9"/>
            <color indexed="81"/>
            <rFont val="Tahoma"/>
            <family val="2"/>
          </rPr>
          <t>Parsons, Gavin [GIR]:</t>
        </r>
        <r>
          <rPr>
            <sz val="9"/>
            <color indexed="81"/>
            <rFont val="Tahoma"/>
            <family val="2"/>
          </rPr>
          <t xml:space="preserve">
Restated</t>
        </r>
      </text>
    </comment>
    <comment ref="BW294" authorId="3" shapeId="0" xr:uid="{00000000-0006-0000-0200-000054000000}">
      <text>
        <r>
          <rPr>
            <b/>
            <sz val="9"/>
            <color indexed="81"/>
            <rFont val="Tahoma"/>
            <family val="2"/>
          </rPr>
          <t>Parsons, Gavin [GIR]:</t>
        </r>
        <r>
          <rPr>
            <sz val="9"/>
            <color indexed="81"/>
            <rFont val="Tahoma"/>
            <family val="2"/>
          </rPr>
          <t xml:space="preserve">
Restated</t>
        </r>
      </text>
    </comment>
    <comment ref="BX294" authorId="3" shapeId="0" xr:uid="{00000000-0006-0000-0200-000055000000}">
      <text>
        <r>
          <rPr>
            <b/>
            <sz val="9"/>
            <color indexed="81"/>
            <rFont val="Tahoma"/>
            <family val="2"/>
          </rPr>
          <t>Parsons, Gavin [GIR]:</t>
        </r>
        <r>
          <rPr>
            <sz val="9"/>
            <color indexed="81"/>
            <rFont val="Tahoma"/>
            <family val="2"/>
          </rPr>
          <t xml:space="preserve">
Restated</t>
        </r>
      </text>
    </comment>
    <comment ref="BR295" authorId="3" shapeId="0" xr:uid="{00000000-0006-0000-0200-000056000000}">
      <text>
        <r>
          <rPr>
            <b/>
            <sz val="9"/>
            <color indexed="81"/>
            <rFont val="Tahoma"/>
            <family val="2"/>
          </rPr>
          <t>Parsons, Gavin [GIR]:</t>
        </r>
        <r>
          <rPr>
            <sz val="9"/>
            <color indexed="81"/>
            <rFont val="Tahoma"/>
            <family val="2"/>
          </rPr>
          <t xml:space="preserve">
Restated</t>
        </r>
      </text>
    </comment>
    <comment ref="BS295" authorId="3" shapeId="0" xr:uid="{00000000-0006-0000-0200-000057000000}">
      <text>
        <r>
          <rPr>
            <b/>
            <sz val="9"/>
            <color indexed="81"/>
            <rFont val="Tahoma"/>
            <family val="2"/>
          </rPr>
          <t>Parsons, Gavin [GIR]:</t>
        </r>
        <r>
          <rPr>
            <sz val="9"/>
            <color indexed="81"/>
            <rFont val="Tahoma"/>
            <family val="2"/>
          </rPr>
          <t xml:space="preserve">
Restated</t>
        </r>
      </text>
    </comment>
    <comment ref="BT295" authorId="3" shapeId="0" xr:uid="{00000000-0006-0000-0200-000058000000}">
      <text>
        <r>
          <rPr>
            <b/>
            <sz val="9"/>
            <color indexed="81"/>
            <rFont val="Tahoma"/>
            <family val="2"/>
          </rPr>
          <t>Parsons, Gavin [GIR]:</t>
        </r>
        <r>
          <rPr>
            <sz val="9"/>
            <color indexed="81"/>
            <rFont val="Tahoma"/>
            <family val="2"/>
          </rPr>
          <t xml:space="preserve">
Restated</t>
        </r>
      </text>
    </comment>
    <comment ref="BU295" authorId="3" shapeId="0" xr:uid="{00000000-0006-0000-0200-000059000000}">
      <text>
        <r>
          <rPr>
            <b/>
            <sz val="9"/>
            <color indexed="81"/>
            <rFont val="Tahoma"/>
            <family val="2"/>
          </rPr>
          <t>Parsons, Gavin [GIR]:</t>
        </r>
        <r>
          <rPr>
            <sz val="9"/>
            <color indexed="81"/>
            <rFont val="Tahoma"/>
            <family val="2"/>
          </rPr>
          <t xml:space="preserve">
Restated</t>
        </r>
      </text>
    </comment>
    <comment ref="BW295" authorId="3" shapeId="0" xr:uid="{00000000-0006-0000-0200-00005A000000}">
      <text>
        <r>
          <rPr>
            <b/>
            <sz val="9"/>
            <color indexed="81"/>
            <rFont val="Tahoma"/>
            <family val="2"/>
          </rPr>
          <t>Parsons, Gavin [GIR]:</t>
        </r>
        <r>
          <rPr>
            <sz val="9"/>
            <color indexed="81"/>
            <rFont val="Tahoma"/>
            <family val="2"/>
          </rPr>
          <t xml:space="preserve">
Restated</t>
        </r>
      </text>
    </comment>
    <comment ref="BX295" authorId="3" shapeId="0" xr:uid="{00000000-0006-0000-0200-00005B000000}">
      <text>
        <r>
          <rPr>
            <b/>
            <sz val="9"/>
            <color indexed="81"/>
            <rFont val="Tahoma"/>
            <family val="2"/>
          </rPr>
          <t>Parsons, Gavin [GIR]:</t>
        </r>
        <r>
          <rPr>
            <sz val="9"/>
            <color indexed="81"/>
            <rFont val="Tahoma"/>
            <family val="2"/>
          </rPr>
          <t xml:space="preserve">
Restated</t>
        </r>
      </text>
    </comment>
    <comment ref="BR296" authorId="3" shapeId="0" xr:uid="{00000000-0006-0000-0200-00005C000000}">
      <text>
        <r>
          <rPr>
            <b/>
            <sz val="9"/>
            <color indexed="81"/>
            <rFont val="Tahoma"/>
            <family val="2"/>
          </rPr>
          <t>Parsons, Gavin [GIR]:</t>
        </r>
        <r>
          <rPr>
            <sz val="9"/>
            <color indexed="81"/>
            <rFont val="Tahoma"/>
            <family val="2"/>
          </rPr>
          <t xml:space="preserve">
Restated</t>
        </r>
      </text>
    </comment>
    <comment ref="BS296" authorId="3" shapeId="0" xr:uid="{00000000-0006-0000-0200-00005D000000}">
      <text>
        <r>
          <rPr>
            <b/>
            <sz val="9"/>
            <color indexed="81"/>
            <rFont val="Tahoma"/>
            <family val="2"/>
          </rPr>
          <t>Parsons, Gavin [GIR]:</t>
        </r>
        <r>
          <rPr>
            <sz val="9"/>
            <color indexed="81"/>
            <rFont val="Tahoma"/>
            <family val="2"/>
          </rPr>
          <t xml:space="preserve">
Restated</t>
        </r>
      </text>
    </comment>
    <comment ref="BT296" authorId="3" shapeId="0" xr:uid="{00000000-0006-0000-0200-00005E000000}">
      <text>
        <r>
          <rPr>
            <b/>
            <sz val="9"/>
            <color indexed="81"/>
            <rFont val="Tahoma"/>
            <family val="2"/>
          </rPr>
          <t>Parsons, Gavin [GIR]:</t>
        </r>
        <r>
          <rPr>
            <sz val="9"/>
            <color indexed="81"/>
            <rFont val="Tahoma"/>
            <family val="2"/>
          </rPr>
          <t xml:space="preserve">
Restated</t>
        </r>
      </text>
    </comment>
    <comment ref="BU296" authorId="3" shapeId="0" xr:uid="{00000000-0006-0000-0200-00005F000000}">
      <text>
        <r>
          <rPr>
            <b/>
            <sz val="9"/>
            <color indexed="81"/>
            <rFont val="Tahoma"/>
            <family val="2"/>
          </rPr>
          <t>Parsons, Gavin [GIR]:</t>
        </r>
        <r>
          <rPr>
            <sz val="9"/>
            <color indexed="81"/>
            <rFont val="Tahoma"/>
            <family val="2"/>
          </rPr>
          <t xml:space="preserve">
Restated</t>
        </r>
      </text>
    </comment>
    <comment ref="BW296" authorId="3" shapeId="0" xr:uid="{00000000-0006-0000-0200-000060000000}">
      <text>
        <r>
          <rPr>
            <b/>
            <sz val="9"/>
            <color indexed="81"/>
            <rFont val="Tahoma"/>
            <family val="2"/>
          </rPr>
          <t>Parsons, Gavin [GIR]:</t>
        </r>
        <r>
          <rPr>
            <sz val="9"/>
            <color indexed="81"/>
            <rFont val="Tahoma"/>
            <family val="2"/>
          </rPr>
          <t xml:space="preserve">
Restated</t>
        </r>
      </text>
    </comment>
    <comment ref="BX296" authorId="3" shapeId="0" xr:uid="{00000000-0006-0000-0200-000061000000}">
      <text>
        <r>
          <rPr>
            <b/>
            <sz val="9"/>
            <color indexed="81"/>
            <rFont val="Tahoma"/>
            <family val="2"/>
          </rPr>
          <t>Parsons, Gavin [GIR]:</t>
        </r>
        <r>
          <rPr>
            <sz val="9"/>
            <color indexed="81"/>
            <rFont val="Tahoma"/>
            <family val="2"/>
          </rPr>
          <t xml:space="preserve">
Restated</t>
        </r>
      </text>
    </comment>
    <comment ref="BR297" authorId="3" shapeId="0" xr:uid="{00000000-0006-0000-0200-000062000000}">
      <text>
        <r>
          <rPr>
            <b/>
            <sz val="9"/>
            <color indexed="81"/>
            <rFont val="Tahoma"/>
            <family val="2"/>
          </rPr>
          <t>Parsons, Gavin [GIR]:</t>
        </r>
        <r>
          <rPr>
            <sz val="9"/>
            <color indexed="81"/>
            <rFont val="Tahoma"/>
            <family val="2"/>
          </rPr>
          <t xml:space="preserve">
Restated</t>
        </r>
      </text>
    </comment>
    <comment ref="BS297" authorId="3" shapeId="0" xr:uid="{00000000-0006-0000-0200-000063000000}">
      <text>
        <r>
          <rPr>
            <b/>
            <sz val="9"/>
            <color indexed="81"/>
            <rFont val="Tahoma"/>
            <family val="2"/>
          </rPr>
          <t>Parsons, Gavin [GIR]:</t>
        </r>
        <r>
          <rPr>
            <sz val="9"/>
            <color indexed="81"/>
            <rFont val="Tahoma"/>
            <family val="2"/>
          </rPr>
          <t xml:space="preserve">
Restated</t>
        </r>
      </text>
    </comment>
    <comment ref="BT297" authorId="3" shapeId="0" xr:uid="{00000000-0006-0000-0200-000064000000}">
      <text>
        <r>
          <rPr>
            <b/>
            <sz val="9"/>
            <color indexed="81"/>
            <rFont val="Tahoma"/>
            <family val="2"/>
          </rPr>
          <t>Parsons, Gavin [GIR]:</t>
        </r>
        <r>
          <rPr>
            <sz val="9"/>
            <color indexed="81"/>
            <rFont val="Tahoma"/>
            <family val="2"/>
          </rPr>
          <t xml:space="preserve">
Restated</t>
        </r>
      </text>
    </comment>
    <comment ref="BU297" authorId="3" shapeId="0" xr:uid="{00000000-0006-0000-0200-000065000000}">
      <text>
        <r>
          <rPr>
            <b/>
            <sz val="9"/>
            <color indexed="81"/>
            <rFont val="Tahoma"/>
            <family val="2"/>
          </rPr>
          <t>Parsons, Gavin [GIR]:</t>
        </r>
        <r>
          <rPr>
            <sz val="9"/>
            <color indexed="81"/>
            <rFont val="Tahoma"/>
            <family val="2"/>
          </rPr>
          <t xml:space="preserve">
Restated</t>
        </r>
      </text>
    </comment>
    <comment ref="BW297" authorId="3" shapeId="0" xr:uid="{00000000-0006-0000-0200-000066000000}">
      <text>
        <r>
          <rPr>
            <b/>
            <sz val="9"/>
            <color indexed="81"/>
            <rFont val="Tahoma"/>
            <family val="2"/>
          </rPr>
          <t>Parsons, Gavin [GIR]:</t>
        </r>
        <r>
          <rPr>
            <sz val="9"/>
            <color indexed="81"/>
            <rFont val="Tahoma"/>
            <family val="2"/>
          </rPr>
          <t xml:space="preserve">
Restated</t>
        </r>
      </text>
    </comment>
    <comment ref="BX297" authorId="3" shapeId="0" xr:uid="{00000000-0006-0000-0200-000067000000}">
      <text>
        <r>
          <rPr>
            <b/>
            <sz val="9"/>
            <color indexed="81"/>
            <rFont val="Tahoma"/>
            <family val="2"/>
          </rPr>
          <t>Parsons, Gavin [GIR]:</t>
        </r>
        <r>
          <rPr>
            <sz val="9"/>
            <color indexed="81"/>
            <rFont val="Tahoma"/>
            <family val="2"/>
          </rPr>
          <t xml:space="preserve">
Restated</t>
        </r>
      </text>
    </comment>
    <comment ref="BR298" authorId="3" shapeId="0" xr:uid="{00000000-0006-0000-0200-000068000000}">
      <text>
        <r>
          <rPr>
            <b/>
            <sz val="9"/>
            <color indexed="81"/>
            <rFont val="Tahoma"/>
            <family val="2"/>
          </rPr>
          <t>Parsons, Gavin [GIR]:</t>
        </r>
        <r>
          <rPr>
            <sz val="9"/>
            <color indexed="81"/>
            <rFont val="Tahoma"/>
            <family val="2"/>
          </rPr>
          <t xml:space="preserve">
Restated</t>
        </r>
      </text>
    </comment>
    <comment ref="BS298" authorId="3" shapeId="0" xr:uid="{00000000-0006-0000-0200-000069000000}">
      <text>
        <r>
          <rPr>
            <b/>
            <sz val="9"/>
            <color indexed="81"/>
            <rFont val="Tahoma"/>
            <family val="2"/>
          </rPr>
          <t>Parsons, Gavin [GIR]:</t>
        </r>
        <r>
          <rPr>
            <sz val="9"/>
            <color indexed="81"/>
            <rFont val="Tahoma"/>
            <family val="2"/>
          </rPr>
          <t xml:space="preserve">
Restated</t>
        </r>
      </text>
    </comment>
    <comment ref="BT298" authorId="3" shapeId="0" xr:uid="{00000000-0006-0000-0200-00006A000000}">
      <text>
        <r>
          <rPr>
            <b/>
            <sz val="9"/>
            <color indexed="81"/>
            <rFont val="Tahoma"/>
            <family val="2"/>
          </rPr>
          <t>Parsons, Gavin [GIR]:</t>
        </r>
        <r>
          <rPr>
            <sz val="9"/>
            <color indexed="81"/>
            <rFont val="Tahoma"/>
            <family val="2"/>
          </rPr>
          <t xml:space="preserve">
Restated</t>
        </r>
      </text>
    </comment>
    <comment ref="BU298" authorId="3" shapeId="0" xr:uid="{00000000-0006-0000-0200-00006B000000}">
      <text>
        <r>
          <rPr>
            <b/>
            <sz val="9"/>
            <color indexed="81"/>
            <rFont val="Tahoma"/>
            <family val="2"/>
          </rPr>
          <t>Parsons, Gavin [GIR]:</t>
        </r>
        <r>
          <rPr>
            <sz val="9"/>
            <color indexed="81"/>
            <rFont val="Tahoma"/>
            <family val="2"/>
          </rPr>
          <t xml:space="preserve">
Restated</t>
        </r>
      </text>
    </comment>
    <comment ref="BW298" authorId="3" shapeId="0" xr:uid="{00000000-0006-0000-0200-00006C000000}">
      <text>
        <r>
          <rPr>
            <b/>
            <sz val="9"/>
            <color indexed="81"/>
            <rFont val="Tahoma"/>
            <family val="2"/>
          </rPr>
          <t>Parsons, Gavin [GIR]:</t>
        </r>
        <r>
          <rPr>
            <sz val="9"/>
            <color indexed="81"/>
            <rFont val="Tahoma"/>
            <family val="2"/>
          </rPr>
          <t xml:space="preserve">
Restated</t>
        </r>
      </text>
    </comment>
    <comment ref="BX298" authorId="3" shapeId="0" xr:uid="{00000000-0006-0000-0200-00006D000000}">
      <text>
        <r>
          <rPr>
            <b/>
            <sz val="9"/>
            <color indexed="81"/>
            <rFont val="Tahoma"/>
            <family val="2"/>
          </rPr>
          <t>Parsons, Gavin [GIR]:</t>
        </r>
        <r>
          <rPr>
            <sz val="9"/>
            <color indexed="81"/>
            <rFont val="Tahoma"/>
            <family val="2"/>
          </rPr>
          <t xml:space="preserve">
Restated</t>
        </r>
      </text>
    </comment>
    <comment ref="BR299" authorId="3" shapeId="0" xr:uid="{00000000-0006-0000-0200-00006E000000}">
      <text>
        <r>
          <rPr>
            <b/>
            <sz val="9"/>
            <color indexed="81"/>
            <rFont val="Tahoma"/>
            <family val="2"/>
          </rPr>
          <t>Parsons, Gavin [GIR]:</t>
        </r>
        <r>
          <rPr>
            <sz val="9"/>
            <color indexed="81"/>
            <rFont val="Tahoma"/>
            <family val="2"/>
          </rPr>
          <t xml:space="preserve">
Restated</t>
        </r>
      </text>
    </comment>
    <comment ref="BS299" authorId="3" shapeId="0" xr:uid="{00000000-0006-0000-0200-00006F000000}">
      <text>
        <r>
          <rPr>
            <b/>
            <sz val="9"/>
            <color indexed="81"/>
            <rFont val="Tahoma"/>
            <family val="2"/>
          </rPr>
          <t>Parsons, Gavin [GIR]:</t>
        </r>
        <r>
          <rPr>
            <sz val="9"/>
            <color indexed="81"/>
            <rFont val="Tahoma"/>
            <family val="2"/>
          </rPr>
          <t xml:space="preserve">
Restated</t>
        </r>
      </text>
    </comment>
    <comment ref="BT299" authorId="3" shapeId="0" xr:uid="{00000000-0006-0000-0200-000070000000}">
      <text>
        <r>
          <rPr>
            <b/>
            <sz val="9"/>
            <color indexed="81"/>
            <rFont val="Tahoma"/>
            <family val="2"/>
          </rPr>
          <t>Parsons, Gavin [GIR]:</t>
        </r>
        <r>
          <rPr>
            <sz val="9"/>
            <color indexed="81"/>
            <rFont val="Tahoma"/>
            <family val="2"/>
          </rPr>
          <t xml:space="preserve">
Restated</t>
        </r>
      </text>
    </comment>
    <comment ref="BU299" authorId="3" shapeId="0" xr:uid="{00000000-0006-0000-0200-000071000000}">
      <text>
        <r>
          <rPr>
            <b/>
            <sz val="9"/>
            <color indexed="81"/>
            <rFont val="Tahoma"/>
            <family val="2"/>
          </rPr>
          <t>Parsons, Gavin [GIR]:</t>
        </r>
        <r>
          <rPr>
            <sz val="9"/>
            <color indexed="81"/>
            <rFont val="Tahoma"/>
            <family val="2"/>
          </rPr>
          <t xml:space="preserve">
Restated</t>
        </r>
      </text>
    </comment>
    <comment ref="BW299" authorId="3" shapeId="0" xr:uid="{00000000-0006-0000-0200-000072000000}">
      <text>
        <r>
          <rPr>
            <b/>
            <sz val="9"/>
            <color indexed="81"/>
            <rFont val="Tahoma"/>
            <family val="2"/>
          </rPr>
          <t>Parsons, Gavin [GIR]:</t>
        </r>
        <r>
          <rPr>
            <sz val="9"/>
            <color indexed="81"/>
            <rFont val="Tahoma"/>
            <family val="2"/>
          </rPr>
          <t xml:space="preserve">
Restated</t>
        </r>
      </text>
    </comment>
    <comment ref="BX299" authorId="3" shapeId="0" xr:uid="{00000000-0006-0000-0200-000073000000}">
      <text>
        <r>
          <rPr>
            <b/>
            <sz val="9"/>
            <color indexed="81"/>
            <rFont val="Tahoma"/>
            <family val="2"/>
          </rPr>
          <t>Parsons, Gavin [GIR]:</t>
        </r>
        <r>
          <rPr>
            <sz val="9"/>
            <color indexed="81"/>
            <rFont val="Tahoma"/>
            <family val="2"/>
          </rPr>
          <t xml:space="preserve">
Restated</t>
        </r>
      </text>
    </comment>
    <comment ref="BR300" authorId="3" shapeId="0" xr:uid="{00000000-0006-0000-0200-000074000000}">
      <text>
        <r>
          <rPr>
            <b/>
            <sz val="9"/>
            <color indexed="81"/>
            <rFont val="Tahoma"/>
            <family val="2"/>
          </rPr>
          <t>Parsons, Gavin [GIR]:</t>
        </r>
        <r>
          <rPr>
            <sz val="9"/>
            <color indexed="81"/>
            <rFont val="Tahoma"/>
            <family val="2"/>
          </rPr>
          <t xml:space="preserve">
Restated</t>
        </r>
      </text>
    </comment>
    <comment ref="BS300" authorId="3" shapeId="0" xr:uid="{00000000-0006-0000-0200-000075000000}">
      <text>
        <r>
          <rPr>
            <b/>
            <sz val="9"/>
            <color indexed="81"/>
            <rFont val="Tahoma"/>
            <family val="2"/>
          </rPr>
          <t>Parsons, Gavin [GIR]:</t>
        </r>
        <r>
          <rPr>
            <sz val="9"/>
            <color indexed="81"/>
            <rFont val="Tahoma"/>
            <family val="2"/>
          </rPr>
          <t xml:space="preserve">
Restated</t>
        </r>
      </text>
    </comment>
    <comment ref="BT300" authorId="3" shapeId="0" xr:uid="{00000000-0006-0000-0200-000076000000}">
      <text>
        <r>
          <rPr>
            <b/>
            <sz val="9"/>
            <color indexed="81"/>
            <rFont val="Tahoma"/>
            <family val="2"/>
          </rPr>
          <t>Parsons, Gavin [GIR]:</t>
        </r>
        <r>
          <rPr>
            <sz val="9"/>
            <color indexed="81"/>
            <rFont val="Tahoma"/>
            <family val="2"/>
          </rPr>
          <t xml:space="preserve">
Restated</t>
        </r>
      </text>
    </comment>
    <comment ref="BU300" authorId="3" shapeId="0" xr:uid="{00000000-0006-0000-0200-000077000000}">
      <text>
        <r>
          <rPr>
            <b/>
            <sz val="9"/>
            <color indexed="81"/>
            <rFont val="Tahoma"/>
            <family val="2"/>
          </rPr>
          <t>Parsons, Gavin [GIR]:</t>
        </r>
        <r>
          <rPr>
            <sz val="9"/>
            <color indexed="81"/>
            <rFont val="Tahoma"/>
            <family val="2"/>
          </rPr>
          <t xml:space="preserve">
Restated</t>
        </r>
      </text>
    </comment>
    <comment ref="BW300" authorId="3" shapeId="0" xr:uid="{00000000-0006-0000-0200-000078000000}">
      <text>
        <r>
          <rPr>
            <b/>
            <sz val="9"/>
            <color indexed="81"/>
            <rFont val="Tahoma"/>
            <family val="2"/>
          </rPr>
          <t>Parsons, Gavin [GIR]:</t>
        </r>
        <r>
          <rPr>
            <sz val="9"/>
            <color indexed="81"/>
            <rFont val="Tahoma"/>
            <family val="2"/>
          </rPr>
          <t xml:space="preserve">
Restated</t>
        </r>
      </text>
    </comment>
    <comment ref="BX300" authorId="3" shapeId="0" xr:uid="{00000000-0006-0000-0200-000079000000}">
      <text>
        <r>
          <rPr>
            <b/>
            <sz val="9"/>
            <color indexed="81"/>
            <rFont val="Tahoma"/>
            <family val="2"/>
          </rPr>
          <t>Parsons, Gavin [GIR]:</t>
        </r>
        <r>
          <rPr>
            <sz val="9"/>
            <color indexed="81"/>
            <rFont val="Tahoma"/>
            <family val="2"/>
          </rPr>
          <t xml:space="preserve">
Restated</t>
        </r>
      </text>
    </comment>
    <comment ref="BR301" authorId="3" shapeId="0" xr:uid="{00000000-0006-0000-0200-00007A000000}">
      <text>
        <r>
          <rPr>
            <b/>
            <sz val="9"/>
            <color indexed="81"/>
            <rFont val="Tahoma"/>
            <family val="2"/>
          </rPr>
          <t>Parsons, Gavin [GIR]:</t>
        </r>
        <r>
          <rPr>
            <sz val="9"/>
            <color indexed="81"/>
            <rFont val="Tahoma"/>
            <family val="2"/>
          </rPr>
          <t xml:space="preserve">
Restated</t>
        </r>
      </text>
    </comment>
    <comment ref="BS301" authorId="3" shapeId="0" xr:uid="{00000000-0006-0000-0200-00007B000000}">
      <text>
        <r>
          <rPr>
            <b/>
            <sz val="9"/>
            <color indexed="81"/>
            <rFont val="Tahoma"/>
            <family val="2"/>
          </rPr>
          <t>Parsons, Gavin [GIR]:</t>
        </r>
        <r>
          <rPr>
            <sz val="9"/>
            <color indexed="81"/>
            <rFont val="Tahoma"/>
            <family val="2"/>
          </rPr>
          <t xml:space="preserve">
Restated</t>
        </r>
      </text>
    </comment>
    <comment ref="BT301" authorId="3" shapeId="0" xr:uid="{00000000-0006-0000-0200-00007C000000}">
      <text>
        <r>
          <rPr>
            <b/>
            <sz val="9"/>
            <color indexed="81"/>
            <rFont val="Tahoma"/>
            <family val="2"/>
          </rPr>
          <t>Parsons, Gavin [GIR]:</t>
        </r>
        <r>
          <rPr>
            <sz val="9"/>
            <color indexed="81"/>
            <rFont val="Tahoma"/>
            <family val="2"/>
          </rPr>
          <t xml:space="preserve">
Restated</t>
        </r>
      </text>
    </comment>
    <comment ref="BU301" authorId="3" shapeId="0" xr:uid="{00000000-0006-0000-0200-00007D000000}">
      <text>
        <r>
          <rPr>
            <b/>
            <sz val="9"/>
            <color indexed="81"/>
            <rFont val="Tahoma"/>
            <family val="2"/>
          </rPr>
          <t>Parsons, Gavin [GIR]:</t>
        </r>
        <r>
          <rPr>
            <sz val="9"/>
            <color indexed="81"/>
            <rFont val="Tahoma"/>
            <family val="2"/>
          </rPr>
          <t xml:space="preserve">
Restated</t>
        </r>
      </text>
    </comment>
    <comment ref="BW301" authorId="3" shapeId="0" xr:uid="{00000000-0006-0000-0200-00007E000000}">
      <text>
        <r>
          <rPr>
            <b/>
            <sz val="9"/>
            <color indexed="81"/>
            <rFont val="Tahoma"/>
            <family val="2"/>
          </rPr>
          <t>Parsons, Gavin [GIR]:</t>
        </r>
        <r>
          <rPr>
            <sz val="9"/>
            <color indexed="81"/>
            <rFont val="Tahoma"/>
            <family val="2"/>
          </rPr>
          <t xml:space="preserve">
Restated</t>
        </r>
      </text>
    </comment>
    <comment ref="BX301" authorId="3" shapeId="0" xr:uid="{00000000-0006-0000-0200-00007F000000}">
      <text>
        <r>
          <rPr>
            <b/>
            <sz val="9"/>
            <color indexed="81"/>
            <rFont val="Tahoma"/>
            <family val="2"/>
          </rPr>
          <t>Parsons, Gavin [GIR]:</t>
        </r>
        <r>
          <rPr>
            <sz val="9"/>
            <color indexed="81"/>
            <rFont val="Tahoma"/>
            <family val="2"/>
          </rPr>
          <t xml:space="preserve">
Restated</t>
        </r>
      </text>
    </comment>
    <comment ref="BR302" authorId="3" shapeId="0" xr:uid="{00000000-0006-0000-0200-000080000000}">
      <text>
        <r>
          <rPr>
            <b/>
            <sz val="9"/>
            <color indexed="81"/>
            <rFont val="Tahoma"/>
            <family val="2"/>
          </rPr>
          <t>Parsons, Gavin [GIR]:</t>
        </r>
        <r>
          <rPr>
            <sz val="9"/>
            <color indexed="81"/>
            <rFont val="Tahoma"/>
            <family val="2"/>
          </rPr>
          <t xml:space="preserve">
Restated</t>
        </r>
      </text>
    </comment>
    <comment ref="BS302" authorId="3" shapeId="0" xr:uid="{00000000-0006-0000-0200-000081000000}">
      <text>
        <r>
          <rPr>
            <b/>
            <sz val="9"/>
            <color indexed="81"/>
            <rFont val="Tahoma"/>
            <family val="2"/>
          </rPr>
          <t>Parsons, Gavin [GIR]:</t>
        </r>
        <r>
          <rPr>
            <sz val="9"/>
            <color indexed="81"/>
            <rFont val="Tahoma"/>
            <family val="2"/>
          </rPr>
          <t xml:space="preserve">
Restated</t>
        </r>
      </text>
    </comment>
    <comment ref="BT302" authorId="3" shapeId="0" xr:uid="{00000000-0006-0000-0200-000082000000}">
      <text>
        <r>
          <rPr>
            <b/>
            <sz val="9"/>
            <color indexed="81"/>
            <rFont val="Tahoma"/>
            <family val="2"/>
          </rPr>
          <t>Parsons, Gavin [GIR]:</t>
        </r>
        <r>
          <rPr>
            <sz val="9"/>
            <color indexed="81"/>
            <rFont val="Tahoma"/>
            <family val="2"/>
          </rPr>
          <t xml:space="preserve">
Restated</t>
        </r>
      </text>
    </comment>
    <comment ref="BU302" authorId="3" shapeId="0" xr:uid="{00000000-0006-0000-0200-000083000000}">
      <text>
        <r>
          <rPr>
            <b/>
            <sz val="9"/>
            <color indexed="81"/>
            <rFont val="Tahoma"/>
            <family val="2"/>
          </rPr>
          <t>Parsons, Gavin [GIR]:</t>
        </r>
        <r>
          <rPr>
            <sz val="9"/>
            <color indexed="81"/>
            <rFont val="Tahoma"/>
            <family val="2"/>
          </rPr>
          <t xml:space="preserve">
Restated</t>
        </r>
      </text>
    </comment>
    <comment ref="BW302" authorId="3" shapeId="0" xr:uid="{00000000-0006-0000-0200-000084000000}">
      <text>
        <r>
          <rPr>
            <b/>
            <sz val="9"/>
            <color indexed="81"/>
            <rFont val="Tahoma"/>
            <family val="2"/>
          </rPr>
          <t>Parsons, Gavin [GIR]:</t>
        </r>
        <r>
          <rPr>
            <sz val="9"/>
            <color indexed="81"/>
            <rFont val="Tahoma"/>
            <family val="2"/>
          </rPr>
          <t xml:space="preserve">
Restated</t>
        </r>
      </text>
    </comment>
    <comment ref="BX302" authorId="3" shapeId="0" xr:uid="{00000000-0006-0000-0200-000085000000}">
      <text>
        <r>
          <rPr>
            <b/>
            <sz val="9"/>
            <color indexed="81"/>
            <rFont val="Tahoma"/>
            <family val="2"/>
          </rPr>
          <t>Parsons, Gavin [GIR]:</t>
        </r>
        <r>
          <rPr>
            <sz val="9"/>
            <color indexed="81"/>
            <rFont val="Tahoma"/>
            <family val="2"/>
          </rPr>
          <t xml:space="preserve">
Restated</t>
        </r>
      </text>
    </comment>
    <comment ref="BR303" authorId="3" shapeId="0" xr:uid="{00000000-0006-0000-0200-000086000000}">
      <text>
        <r>
          <rPr>
            <b/>
            <sz val="9"/>
            <color indexed="81"/>
            <rFont val="Tahoma"/>
            <family val="2"/>
          </rPr>
          <t>Parsons, Gavin [GIR]:</t>
        </r>
        <r>
          <rPr>
            <sz val="9"/>
            <color indexed="81"/>
            <rFont val="Tahoma"/>
            <family val="2"/>
          </rPr>
          <t xml:space="preserve">
Restated</t>
        </r>
      </text>
    </comment>
    <comment ref="BS303" authorId="3" shapeId="0" xr:uid="{00000000-0006-0000-0200-000087000000}">
      <text>
        <r>
          <rPr>
            <b/>
            <sz val="9"/>
            <color indexed="81"/>
            <rFont val="Tahoma"/>
            <family val="2"/>
          </rPr>
          <t>Parsons, Gavin [GIR]:</t>
        </r>
        <r>
          <rPr>
            <sz val="9"/>
            <color indexed="81"/>
            <rFont val="Tahoma"/>
            <family val="2"/>
          </rPr>
          <t xml:space="preserve">
Restated</t>
        </r>
      </text>
    </comment>
    <comment ref="BT303" authorId="3" shapeId="0" xr:uid="{00000000-0006-0000-0200-000088000000}">
      <text>
        <r>
          <rPr>
            <b/>
            <sz val="9"/>
            <color indexed="81"/>
            <rFont val="Tahoma"/>
            <family val="2"/>
          </rPr>
          <t>Parsons, Gavin [GIR]:</t>
        </r>
        <r>
          <rPr>
            <sz val="9"/>
            <color indexed="81"/>
            <rFont val="Tahoma"/>
            <family val="2"/>
          </rPr>
          <t xml:space="preserve">
Restated</t>
        </r>
      </text>
    </comment>
    <comment ref="BU303" authorId="3" shapeId="0" xr:uid="{00000000-0006-0000-0200-000089000000}">
      <text>
        <r>
          <rPr>
            <b/>
            <sz val="9"/>
            <color indexed="81"/>
            <rFont val="Tahoma"/>
            <family val="2"/>
          </rPr>
          <t>Parsons, Gavin [GIR]:</t>
        </r>
        <r>
          <rPr>
            <sz val="9"/>
            <color indexed="81"/>
            <rFont val="Tahoma"/>
            <family val="2"/>
          </rPr>
          <t xml:space="preserve">
Restated</t>
        </r>
      </text>
    </comment>
    <comment ref="BW303" authorId="3" shapeId="0" xr:uid="{00000000-0006-0000-0200-00008A000000}">
      <text>
        <r>
          <rPr>
            <b/>
            <sz val="9"/>
            <color indexed="81"/>
            <rFont val="Tahoma"/>
            <family val="2"/>
          </rPr>
          <t>Parsons, Gavin [GIR]:</t>
        </r>
        <r>
          <rPr>
            <sz val="9"/>
            <color indexed="81"/>
            <rFont val="Tahoma"/>
            <family val="2"/>
          </rPr>
          <t xml:space="preserve">
Restated</t>
        </r>
      </text>
    </comment>
    <comment ref="BX303" authorId="3" shapeId="0" xr:uid="{00000000-0006-0000-0200-00008B000000}">
      <text>
        <r>
          <rPr>
            <b/>
            <sz val="9"/>
            <color indexed="81"/>
            <rFont val="Tahoma"/>
            <family val="2"/>
          </rPr>
          <t>Parsons, Gavin [GIR]:</t>
        </r>
        <r>
          <rPr>
            <sz val="9"/>
            <color indexed="81"/>
            <rFont val="Tahoma"/>
            <family val="2"/>
          </rPr>
          <t xml:space="preserve">
Restated</t>
        </r>
      </text>
    </comment>
    <comment ref="BR304" authorId="3" shapeId="0" xr:uid="{00000000-0006-0000-0200-00008C000000}">
      <text>
        <r>
          <rPr>
            <b/>
            <sz val="9"/>
            <color indexed="81"/>
            <rFont val="Tahoma"/>
            <family val="2"/>
          </rPr>
          <t>Parsons, Gavin [GIR]:</t>
        </r>
        <r>
          <rPr>
            <sz val="9"/>
            <color indexed="81"/>
            <rFont val="Tahoma"/>
            <family val="2"/>
          </rPr>
          <t xml:space="preserve">
Restated</t>
        </r>
      </text>
    </comment>
    <comment ref="BS304" authorId="3" shapeId="0" xr:uid="{00000000-0006-0000-0200-00008D000000}">
      <text>
        <r>
          <rPr>
            <b/>
            <sz val="9"/>
            <color indexed="81"/>
            <rFont val="Tahoma"/>
            <family val="2"/>
          </rPr>
          <t>Parsons, Gavin [GIR]:</t>
        </r>
        <r>
          <rPr>
            <sz val="9"/>
            <color indexed="81"/>
            <rFont val="Tahoma"/>
            <family val="2"/>
          </rPr>
          <t xml:space="preserve">
Restated</t>
        </r>
      </text>
    </comment>
    <comment ref="BT304" authorId="3" shapeId="0" xr:uid="{00000000-0006-0000-0200-00008E000000}">
      <text>
        <r>
          <rPr>
            <b/>
            <sz val="9"/>
            <color indexed="81"/>
            <rFont val="Tahoma"/>
            <family val="2"/>
          </rPr>
          <t>Parsons, Gavin [GIR]:</t>
        </r>
        <r>
          <rPr>
            <sz val="9"/>
            <color indexed="81"/>
            <rFont val="Tahoma"/>
            <family val="2"/>
          </rPr>
          <t xml:space="preserve">
Restated</t>
        </r>
      </text>
    </comment>
    <comment ref="BU304" authorId="3" shapeId="0" xr:uid="{00000000-0006-0000-0200-00008F000000}">
      <text>
        <r>
          <rPr>
            <b/>
            <sz val="9"/>
            <color indexed="81"/>
            <rFont val="Tahoma"/>
            <family val="2"/>
          </rPr>
          <t>Parsons, Gavin [GIR]:</t>
        </r>
        <r>
          <rPr>
            <sz val="9"/>
            <color indexed="81"/>
            <rFont val="Tahoma"/>
            <family val="2"/>
          </rPr>
          <t xml:space="preserve">
Restated</t>
        </r>
      </text>
    </comment>
    <comment ref="BW304" authorId="3" shapeId="0" xr:uid="{00000000-0006-0000-0200-000090000000}">
      <text>
        <r>
          <rPr>
            <b/>
            <sz val="9"/>
            <color indexed="81"/>
            <rFont val="Tahoma"/>
            <family val="2"/>
          </rPr>
          <t>Parsons, Gavin [GIR]:</t>
        </r>
        <r>
          <rPr>
            <sz val="9"/>
            <color indexed="81"/>
            <rFont val="Tahoma"/>
            <family val="2"/>
          </rPr>
          <t xml:space="preserve">
Restated</t>
        </r>
      </text>
    </comment>
    <comment ref="BX304" authorId="3" shapeId="0" xr:uid="{00000000-0006-0000-0200-000091000000}">
      <text>
        <r>
          <rPr>
            <b/>
            <sz val="9"/>
            <color indexed="81"/>
            <rFont val="Tahoma"/>
            <family val="2"/>
          </rPr>
          <t>Parsons, Gavin [GIR]:</t>
        </r>
        <r>
          <rPr>
            <sz val="9"/>
            <color indexed="81"/>
            <rFont val="Tahoma"/>
            <family val="2"/>
          </rPr>
          <t xml:space="preserve">
Restated</t>
        </r>
      </text>
    </comment>
    <comment ref="AR307" authorId="9" shapeId="0" xr:uid="{00000000-0006-0000-0200-000092000000}">
      <text>
        <r>
          <rPr>
            <b/>
            <sz val="8"/>
            <color indexed="81"/>
            <rFont val="Tahoma"/>
            <family val="2"/>
          </rPr>
          <t>poponn:</t>
        </r>
        <r>
          <rPr>
            <sz val="8"/>
            <color indexed="81"/>
            <rFont val="Tahoma"/>
            <family val="2"/>
          </rPr>
          <t xml:space="preserve">
2q09: down substantially yoy 
3q09: higher than "down substantially from 3.6-3.8"
4q09: $(3,900) - (4,100)</t>
        </r>
      </text>
    </comment>
    <comment ref="BG307" authorId="9" shapeId="0" xr:uid="{00000000-0006-0000-0200-000093000000}">
      <text>
        <r>
          <rPr>
            <b/>
            <sz val="9"/>
            <color indexed="81"/>
            <rFont val="Tahoma"/>
            <family val="2"/>
          </rPr>
          <t>poponn:</t>
        </r>
        <r>
          <rPr>
            <sz val="9"/>
            <color indexed="81"/>
            <rFont val="Tahoma"/>
            <family val="2"/>
          </rPr>
          <t xml:space="preserve">
3q13: 3.2</t>
        </r>
      </text>
    </comment>
    <comment ref="BL307" authorId="9" shapeId="0" xr:uid="{00000000-0006-0000-0200-000094000000}">
      <text>
        <r>
          <rPr>
            <b/>
            <sz val="9"/>
            <color indexed="81"/>
            <rFont val="Tahoma"/>
            <family val="2"/>
          </rPr>
          <t>poponn:</t>
        </r>
        <r>
          <rPr>
            <sz val="9"/>
            <color indexed="81"/>
            <rFont val="Tahoma"/>
            <family val="2"/>
          </rPr>
          <t xml:space="preserve">
1q14: 3,200</t>
        </r>
      </text>
    </comment>
    <comment ref="BQ307" authorId="3" shapeId="0" xr:uid="{00000000-0006-0000-0200-000095000000}">
      <text>
        <r>
          <rPr>
            <b/>
            <sz val="9"/>
            <color indexed="81"/>
            <rFont val="Tahoma"/>
            <family val="2"/>
          </rPr>
          <t>Parsons, Gavin [GIR]:</t>
        </r>
        <r>
          <rPr>
            <sz val="9"/>
            <color indexed="81"/>
            <rFont val="Tahoma"/>
            <family val="2"/>
          </rPr>
          <t xml:space="preserve">
4q14: 3.5</t>
        </r>
      </text>
    </comment>
    <comment ref="BV307" authorId="3" shapeId="0" xr:uid="{00000000-0006-0000-0200-000096000000}">
      <text>
        <r>
          <rPr>
            <b/>
            <sz val="9"/>
            <color indexed="81"/>
            <rFont val="Tahoma"/>
            <family val="2"/>
          </rPr>
          <t>Parsons, Gavin [GIR]:</t>
        </r>
        <r>
          <rPr>
            <sz val="9"/>
            <color indexed="81"/>
            <rFont val="Tahoma"/>
            <family val="2"/>
          </rPr>
          <t xml:space="preserve">
4q15: 3.6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Parsons, Gavin [GIR]</author>
    <author>poponn</author>
    <author>wachun</author>
    <author>sammun</author>
    <author>Blake, BEN [GIR]</author>
  </authors>
  <commentList>
    <comment ref="CK9" authorId="0" shapeId="0" xr:uid="{00000000-0006-0000-0300-000001000000}">
      <text>
        <r>
          <rPr>
            <b/>
            <sz val="9"/>
            <color indexed="81"/>
            <rFont val="Tahoma"/>
            <family val="2"/>
          </rPr>
          <t>Parsons, Gavin [GIR]:</t>
        </r>
        <r>
          <rPr>
            <sz val="9"/>
            <color indexed="81"/>
            <rFont val="Tahoma"/>
            <family val="2"/>
          </rPr>
          <t xml:space="preserve">
1q19: MAX = $1.0bn cost, 3,100 unit block 
2q19: MAX = +$1.7bn cost </t>
        </r>
      </text>
    </comment>
    <comment ref="CP9" authorId="0" shapeId="0" xr:uid="{00000000-0006-0000-0300-000002000000}">
      <text>
        <r>
          <rPr>
            <b/>
            <sz val="9"/>
            <color indexed="81"/>
            <rFont val="Tahoma"/>
            <family val="2"/>
          </rPr>
          <t>Parsons, Gavin [GIR]:</t>
        </r>
        <r>
          <rPr>
            <sz val="9"/>
            <color indexed="81"/>
            <rFont val="Tahoma"/>
            <family val="2"/>
          </rPr>
          <t xml:space="preserve">
4q19: MAX = +$2.6bn cost, 3,100 unit block</t>
        </r>
      </text>
    </comment>
    <comment ref="AM18" authorId="1" shapeId="0" xr:uid="{00000000-0006-0000-0300-000004000000}">
      <text>
        <r>
          <rPr>
            <b/>
            <sz val="8"/>
            <color indexed="81"/>
            <rFont val="Tahoma"/>
            <family val="2"/>
          </rPr>
          <t>poponn:</t>
        </r>
        <r>
          <rPr>
            <sz val="8"/>
            <color indexed="81"/>
            <rFont val="Tahoma"/>
            <family val="2"/>
          </rPr>
          <t xml:space="preserve">
1q08: very few -8 in '09</t>
        </r>
      </text>
    </comment>
    <comment ref="AH30" authorId="1" shapeId="0" xr:uid="{00000000-0006-0000-0300-000005000000}">
      <text>
        <r>
          <rPr>
            <b/>
            <sz val="8"/>
            <color indexed="81"/>
            <rFont val="Tahoma"/>
            <family val="2"/>
          </rPr>
          <t>poponn:</t>
        </r>
        <r>
          <rPr>
            <sz val="8"/>
            <color indexed="81"/>
            <rFont val="Tahoma"/>
            <family val="2"/>
          </rPr>
          <t xml:space="preserve">
112 in 08+09
10/10/07: 109 in 08+09</t>
        </r>
      </text>
    </comment>
    <comment ref="AM30" authorId="1" shapeId="0" xr:uid="{00000000-0006-0000-0300-000006000000}">
      <text>
        <r>
          <rPr>
            <b/>
            <sz val="8"/>
            <color indexed="81"/>
            <rFont val="Tahoma"/>
            <family val="2"/>
          </rPr>
          <t>poponn:</t>
        </r>
        <r>
          <rPr>
            <sz val="8"/>
            <color indexed="81"/>
            <rFont val="Tahoma"/>
            <family val="2"/>
          </rPr>
          <t xml:space="preserve">
112 in 08+09
10/10/07: 109 in 08+09
4/9/08: 25</t>
        </r>
      </text>
    </comment>
    <comment ref="AR30" authorId="1" shapeId="0" xr:uid="{00000000-0006-0000-0300-000007000000}">
      <text>
        <r>
          <rPr>
            <b/>
            <sz val="8"/>
            <color indexed="81"/>
            <rFont val="Tahoma"/>
            <family val="2"/>
          </rPr>
          <t>poponn:</t>
        </r>
        <r>
          <rPr>
            <sz val="8"/>
            <color indexed="81"/>
            <rFont val="Tahoma"/>
            <family val="2"/>
          </rPr>
          <t xml:space="preserve">
40-50
7/mo in late 2010</t>
        </r>
      </text>
    </comment>
    <comment ref="AW30" authorId="1" shapeId="0" xr:uid="{00000000-0006-0000-0300-000008000000}">
      <text>
        <r>
          <rPr>
            <b/>
            <sz val="8"/>
            <color indexed="81"/>
            <rFont val="Tahoma"/>
            <family val="2"/>
          </rPr>
          <t>poponn:</t>
        </r>
        <r>
          <rPr>
            <sz val="8"/>
            <color indexed="81"/>
            <rFont val="Tahoma"/>
            <family val="2"/>
          </rPr>
          <t xml:space="preserve">
70-80</t>
        </r>
      </text>
    </comment>
    <comment ref="BB30" authorId="1" shapeId="0" xr:uid="{00000000-0006-0000-0300-000009000000}">
      <text>
        <r>
          <rPr>
            <b/>
            <sz val="8"/>
            <color indexed="81"/>
            <rFont val="Tahoma"/>
            <family val="2"/>
          </rPr>
          <t>poponn:</t>
        </r>
        <r>
          <rPr>
            <sz val="8"/>
            <color indexed="81"/>
            <rFont val="Tahoma"/>
            <family val="2"/>
          </rPr>
          <t xml:space="preserve">
4.9.08: 10/mo in 3Q12
100
4q08: stlil saying 10/mo</t>
        </r>
      </text>
    </comment>
    <comment ref="BG30" authorId="2" shapeId="0" xr:uid="{00000000-0006-0000-0300-00000A000000}">
      <text>
        <r>
          <rPr>
            <b/>
            <sz val="8"/>
            <color indexed="81"/>
            <rFont val="Tahoma"/>
            <family val="2"/>
          </rPr>
          <t>wachun:</t>
        </r>
        <r>
          <rPr>
            <sz val="8"/>
            <color indexed="81"/>
            <rFont val="Tahoma"/>
            <family val="2"/>
          </rPr>
          <t xml:space="preserve">
4q09: 10 planes/month by end of 2013
1q10: same</t>
        </r>
      </text>
    </comment>
    <comment ref="AU33" authorId="3" shapeId="0" xr:uid="{00000000-0006-0000-0300-00000B000000}">
      <text>
        <r>
          <rPr>
            <b/>
            <sz val="8"/>
            <color indexed="81"/>
            <rFont val="Tahoma"/>
            <family val="2"/>
          </rPr>
          <t>sammun:</t>
        </r>
        <r>
          <rPr>
            <sz val="8"/>
            <color indexed="81"/>
            <rFont val="Tahoma"/>
            <family val="2"/>
          </rPr>
          <t xml:space="preserve">
3q11: Initial gross margin booking rate in the LSD. </t>
        </r>
      </text>
    </comment>
    <comment ref="CU33" authorId="0" shapeId="0" xr:uid="{00000000-0006-0000-0300-00000C000000}">
      <text>
        <r>
          <rPr>
            <b/>
            <sz val="9"/>
            <color indexed="81"/>
            <rFont val="Tahoma"/>
            <family val="2"/>
          </rPr>
          <t>Parsons, Gavin [GIR]:</t>
        </r>
        <r>
          <rPr>
            <sz val="9"/>
            <color indexed="81"/>
            <rFont val="Tahoma"/>
            <family val="2"/>
          </rPr>
          <t xml:space="preserve">
2q21: near breakeven</t>
        </r>
      </text>
    </comment>
    <comment ref="AP42" authorId="2" shapeId="0" xr:uid="{00000000-0006-0000-0300-00000D000000}">
      <text>
        <r>
          <rPr>
            <b/>
            <sz val="8"/>
            <color indexed="81"/>
            <rFont val="Tahoma"/>
            <family val="2"/>
          </rPr>
          <t>wachun:</t>
        </r>
        <r>
          <rPr>
            <sz val="8"/>
            <color indexed="81"/>
            <rFont val="Tahoma"/>
            <family val="2"/>
          </rPr>
          <t xml:space="preserve">
1q10: lower than 1H</t>
        </r>
      </text>
    </comment>
    <comment ref="AQ42" authorId="2" shapeId="0" xr:uid="{00000000-0006-0000-0300-00000E000000}">
      <text>
        <r>
          <rPr>
            <b/>
            <sz val="8"/>
            <color indexed="81"/>
            <rFont val="Tahoma"/>
            <family val="2"/>
          </rPr>
          <t>wachun:</t>
        </r>
        <r>
          <rPr>
            <sz val="8"/>
            <color indexed="81"/>
            <rFont val="Tahoma"/>
            <family val="2"/>
          </rPr>
          <t xml:space="preserve">
1q10: lower than 1H</t>
        </r>
      </text>
    </comment>
    <comment ref="AC65" authorId="1" shapeId="0" xr:uid="{00000000-0006-0000-0300-00000F000000}">
      <text>
        <r>
          <rPr>
            <b/>
            <sz val="8"/>
            <color indexed="81"/>
            <rFont val="Tahoma"/>
            <family val="2"/>
          </rPr>
          <t>poponn:</t>
        </r>
        <r>
          <rPr>
            <sz val="8"/>
            <color indexed="81"/>
            <rFont val="Tahoma"/>
            <family val="2"/>
          </rPr>
          <t xml:space="preserve">
Aviall acqusition press release says rev was 1.3bn in '05 with 25% growth expected in 2006</t>
        </r>
      </text>
    </comment>
    <comment ref="X77" authorId="1" shapeId="0" xr:uid="{00000000-0006-0000-0300-000010000000}">
      <text>
        <r>
          <rPr>
            <b/>
            <sz val="8"/>
            <color indexed="81"/>
            <rFont val="Tahoma"/>
            <family val="2"/>
          </rPr>
          <t>poponn:</t>
        </r>
        <r>
          <rPr>
            <sz val="8"/>
            <color indexed="81"/>
            <rFont val="Tahoma"/>
            <family val="2"/>
          </rPr>
          <t xml:space="preserve">
1q06: 27,500
2q06: 28,000
3q06: same</t>
        </r>
      </text>
    </comment>
    <comment ref="AC77" authorId="1" shapeId="0" xr:uid="{00000000-0006-0000-0300-000011000000}">
      <text>
        <r>
          <rPr>
            <b/>
            <sz val="8"/>
            <color indexed="81"/>
            <rFont val="Tahoma"/>
            <family val="2"/>
          </rPr>
          <t>poponn:</t>
        </r>
        <r>
          <rPr>
            <sz val="8"/>
            <color indexed="81"/>
            <rFont val="Tahoma"/>
            <family val="2"/>
          </rPr>
          <t xml:space="preserve">
1q06: 29,500-30,500
2q06: 30,500-31,500
3q06: 32,500-33,000
4q06: same
1q07: same
2q07: 33,000
3q07: same</t>
        </r>
      </text>
    </comment>
    <comment ref="AH77" authorId="1" shapeId="0" xr:uid="{00000000-0006-0000-0300-000012000000}">
      <text>
        <r>
          <rPr>
            <b/>
            <sz val="8"/>
            <color indexed="81"/>
            <rFont val="Tahoma"/>
            <family val="2"/>
          </rPr>
          <t>poponn:</t>
        </r>
        <r>
          <rPr>
            <sz val="8"/>
            <color indexed="81"/>
            <rFont val="Tahoma"/>
            <family val="2"/>
          </rPr>
          <t xml:space="preserve">
4q06: 39,000-40,000
1q07: same
2q07: same
3q07: 35,000-36,000
4q07: 34,500-35,000
1q08: same
2q08: same</t>
        </r>
      </text>
    </comment>
    <comment ref="AM77" authorId="1" shapeId="0" xr:uid="{00000000-0006-0000-0300-000013000000}">
      <text>
        <r>
          <rPr>
            <b/>
            <sz val="8"/>
            <color indexed="81"/>
            <rFont val="Tahoma"/>
            <family val="2"/>
          </rPr>
          <t>poponn:</t>
        </r>
        <r>
          <rPr>
            <sz val="8"/>
            <color indexed="81"/>
            <rFont val="Tahoma"/>
            <family val="2"/>
          </rPr>
          <t xml:space="preserve">
1q08: 37,000-38,000
2q08: same
4q08: 34,000-35,000
2q09: same</t>
        </r>
      </text>
    </comment>
    <comment ref="BQ83" authorId="0" shapeId="0" xr:uid="{00000000-0006-0000-0300-000014000000}">
      <text>
        <r>
          <rPr>
            <b/>
            <sz val="9"/>
            <color indexed="81"/>
            <rFont val="Tahoma"/>
            <family val="2"/>
          </rPr>
          <t>Parsons, Gavin [GIR]:</t>
        </r>
        <r>
          <rPr>
            <sz val="9"/>
            <color indexed="81"/>
            <rFont val="Tahoma"/>
            <family val="2"/>
          </rPr>
          <t xml:space="preserve">
3q15: implied 2400</t>
        </r>
      </text>
    </comment>
    <comment ref="BV83" authorId="0" shapeId="0" xr:uid="{00000000-0006-0000-0300-000015000000}">
      <text>
        <r>
          <rPr>
            <b/>
            <sz val="9"/>
            <color indexed="81"/>
            <rFont val="Tahoma"/>
            <family val="2"/>
          </rPr>
          <t>Parsons, Gavin [GIR]:</t>
        </r>
        <r>
          <rPr>
            <sz val="9"/>
            <color indexed="81"/>
            <rFont val="Tahoma"/>
            <family val="2"/>
          </rPr>
          <t xml:space="preserve">
4q15: 2,700 (75% of 3,600)
2q16: plus 1,235 787 charge</t>
        </r>
      </text>
    </comment>
    <comment ref="CA83" authorId="0" shapeId="0" xr:uid="{00000000-0006-0000-0300-000016000000}">
      <text>
        <r>
          <rPr>
            <b/>
            <sz val="9"/>
            <color indexed="81"/>
            <rFont val="Tahoma"/>
            <family val="2"/>
          </rPr>
          <t>Parsons, Gavin [GIR]:</t>
        </r>
        <r>
          <rPr>
            <sz val="9"/>
            <color indexed="81"/>
            <rFont val="Tahoma"/>
            <family val="2"/>
          </rPr>
          <t xml:space="preserve">
4q16: 2,700 (75% of 3,600)
1q17: same total amount
2q17: same total
3q17: (3,400 total)</t>
        </r>
      </text>
    </comment>
    <comment ref="CF83" authorId="0" shapeId="0" xr:uid="{00000000-0006-0000-0300-000017000000}">
      <text>
        <r>
          <rPr>
            <b/>
            <sz val="9"/>
            <color indexed="81"/>
            <rFont val="Tahoma"/>
            <family val="2"/>
          </rPr>
          <t>Parsons, Gavin [GIR]:</t>
        </r>
        <r>
          <rPr>
            <sz val="9"/>
            <color indexed="81"/>
            <rFont val="Tahoma"/>
            <family val="2"/>
          </rPr>
          <t xml:space="preserve">
sep 16: stable long-run
4q17: 3,700 total
1q18: same
2q18: same</t>
        </r>
      </text>
    </comment>
    <comment ref="CK83" authorId="0" shapeId="0" xr:uid="{00000000-0006-0000-0300-000018000000}">
      <text>
        <r>
          <rPr>
            <b/>
            <sz val="9"/>
            <color indexed="81"/>
            <rFont val="Tahoma"/>
            <family val="2"/>
          </rPr>
          <t>Parsons, Gavin [GIR]:</t>
        </r>
        <r>
          <rPr>
            <sz val="9"/>
            <color indexed="81"/>
            <rFont val="Tahoma"/>
            <family val="2"/>
          </rPr>
          <t xml:space="preserve">
sep 16: stable long-run
4q18: 2,460 (60% of 4,100)</t>
        </r>
      </text>
    </comment>
    <comment ref="BW87" authorId="0" shapeId="0" xr:uid="{00000000-0006-0000-0300-000019000000}">
      <text>
        <r>
          <rPr>
            <b/>
            <sz val="9"/>
            <color indexed="81"/>
            <rFont val="Tahoma"/>
            <family val="2"/>
          </rPr>
          <t>Parsons, Gavin [GIR]:</t>
        </r>
        <r>
          <rPr>
            <sz val="9"/>
            <color indexed="81"/>
            <rFont val="Tahoma"/>
            <family val="2"/>
          </rPr>
          <t xml:space="preserve">
1q17: "additional tanker program costs"</t>
        </r>
      </text>
    </comment>
    <comment ref="BY87" authorId="0" shapeId="0" xr:uid="{00000000-0006-0000-0300-00001A000000}">
      <text>
        <r>
          <rPr>
            <b/>
            <sz val="9"/>
            <color indexed="81"/>
            <rFont val="Tahoma"/>
            <family val="2"/>
          </rPr>
          <t>Parsons, Gavin [GIR]:</t>
        </r>
        <r>
          <rPr>
            <sz val="9"/>
            <color indexed="81"/>
            <rFont val="Tahoma"/>
            <family val="2"/>
          </rPr>
          <t xml:space="preserve">
Tanker reach-forward loss
Defense: 73</t>
        </r>
      </text>
    </comment>
    <comment ref="BZ87" authorId="1" shapeId="0" xr:uid="{00000000-0006-0000-0300-00001B000000}">
      <text>
        <r>
          <rPr>
            <b/>
            <sz val="9"/>
            <color indexed="81"/>
            <rFont val="Tahoma"/>
            <family val="2"/>
          </rPr>
          <t>poponn:</t>
        </r>
        <r>
          <rPr>
            <sz val="9"/>
            <color indexed="81"/>
            <rFont val="Tahoma"/>
            <family val="2"/>
          </rPr>
          <t xml:space="preserve">
pension tailwind</t>
        </r>
      </text>
    </comment>
    <comment ref="CC87" authorId="0" shapeId="0" xr:uid="{00000000-0006-0000-0300-00001C000000}">
      <text>
        <r>
          <rPr>
            <b/>
            <sz val="9"/>
            <color indexed="81"/>
            <rFont val="Tahoma"/>
            <family val="2"/>
          </rPr>
          <t>Parsons, Gavin [GIR]:</t>
        </r>
        <r>
          <rPr>
            <sz val="9"/>
            <color indexed="81"/>
            <rFont val="Tahoma"/>
            <family val="2"/>
          </rPr>
          <t xml:space="preserve">
307 tanker charge</t>
        </r>
      </text>
    </comment>
    <comment ref="CD87" authorId="0" shapeId="0" xr:uid="{00000000-0006-0000-0300-00001D000000}">
      <text>
        <r>
          <rPr>
            <b/>
            <sz val="9"/>
            <color indexed="81"/>
            <rFont val="Tahoma"/>
            <family val="2"/>
          </rPr>
          <t>Parsons, Gavin [GIR]:</t>
        </r>
        <r>
          <rPr>
            <sz val="9"/>
            <color indexed="81"/>
            <rFont val="Tahoma"/>
            <family val="2"/>
          </rPr>
          <t xml:space="preserve">
112 tanker charge</t>
        </r>
      </text>
    </comment>
    <comment ref="CL87" authorId="0" shapeId="0" xr:uid="{00000000-0006-0000-0300-00001E000000}">
      <text>
        <r>
          <rPr>
            <b/>
            <sz val="9"/>
            <color indexed="81"/>
            <rFont val="Tahoma"/>
            <family val="2"/>
          </rPr>
          <t>Parsons, Gavin [GIR]:</t>
        </r>
        <r>
          <rPr>
            <sz val="9"/>
            <color indexed="81"/>
            <rFont val="Tahoma"/>
            <family val="2"/>
          </rPr>
          <t xml:space="preserve">
797 abnormal MAX production cost
336 737NG charge (pickle fork)
137 Puget Sound COVID shutdown</t>
        </r>
      </text>
    </comment>
    <comment ref="CM87" authorId="0" shapeId="0" xr:uid="{00000000-0006-0000-0300-00001F000000}">
      <text>
        <r>
          <rPr>
            <b/>
            <sz val="9"/>
            <color indexed="81"/>
            <rFont val="Tahoma"/>
            <family val="2"/>
          </rPr>
          <t>Parsons, Gavin [GIR]:</t>
        </r>
        <r>
          <rPr>
            <sz val="9"/>
            <color indexed="81"/>
            <rFont val="Tahoma"/>
            <family val="2"/>
          </rPr>
          <t xml:space="preserve">
551 MAX concessions &amp; considerations
712 abnormal production on 737
468 severance
133 abnormal production due to COVID </t>
        </r>
      </text>
    </comment>
    <comment ref="CN87" authorId="0" shapeId="0" xr:uid="{00000000-0006-0000-0300-000020000000}">
      <text>
        <r>
          <rPr>
            <b/>
            <sz val="9"/>
            <color indexed="81"/>
            <rFont val="Tahoma"/>
            <family val="2"/>
          </rPr>
          <t>Parsons, Gavin [GIR]:</t>
        </r>
        <r>
          <rPr>
            <sz val="9"/>
            <color indexed="81"/>
            <rFont val="Tahoma"/>
            <family val="2"/>
          </rPr>
          <t xml:space="preserve">
590 abnormal production on 737 </t>
        </r>
      </text>
    </comment>
    <comment ref="CO87" authorId="0" shapeId="0" xr:uid="{00000000-0006-0000-0300-000021000000}">
      <text>
        <r>
          <rPr>
            <b/>
            <sz val="9"/>
            <color indexed="81"/>
            <rFont val="Tahoma"/>
            <family val="2"/>
          </rPr>
          <t>Parsons, Gavin [GIR]:</t>
        </r>
        <r>
          <rPr>
            <sz val="9"/>
            <color indexed="81"/>
            <rFont val="Tahoma"/>
            <family val="2"/>
          </rPr>
          <t xml:space="preserve">
6500 777X charge
468 abnormal production on 737 </t>
        </r>
      </text>
    </comment>
    <comment ref="CQ87" authorId="0" shapeId="0" xr:uid="{00000000-0006-0000-0300-000022000000}">
      <text>
        <r>
          <rPr>
            <b/>
            <sz val="9"/>
            <color indexed="81"/>
            <rFont val="Tahoma"/>
            <family val="2"/>
          </rPr>
          <t>Parsons, Gavin [GIR]:</t>
        </r>
        <r>
          <rPr>
            <sz val="9"/>
            <color indexed="81"/>
            <rFont val="Tahoma"/>
            <family val="2"/>
          </rPr>
          <t xml:space="preserve">
568 abnormal MAX production costs</t>
        </r>
      </text>
    </comment>
    <comment ref="CR87" authorId="0" shapeId="0" xr:uid="{00000000-0006-0000-0300-000023000000}">
      <text>
        <r>
          <rPr>
            <b/>
            <sz val="9"/>
            <color indexed="81"/>
            <rFont val="Tahoma"/>
            <family val="2"/>
          </rPr>
          <t>Parsons, Gavin [GIR]:</t>
        </r>
        <r>
          <rPr>
            <sz val="9"/>
            <color indexed="81"/>
            <rFont val="Tahoma"/>
            <family val="2"/>
          </rPr>
          <t xml:space="preserve">
abnormal MAX production costs</t>
        </r>
      </text>
    </comment>
    <comment ref="CS87" authorId="0" shapeId="0" xr:uid="{00000000-0006-0000-0300-000024000000}">
      <text>
        <r>
          <rPr>
            <b/>
            <sz val="9"/>
            <color indexed="81"/>
            <rFont val="Tahoma"/>
            <family val="2"/>
          </rPr>
          <t>Parsons, Gavin [GIR]:</t>
        </r>
        <r>
          <rPr>
            <sz val="9"/>
            <color indexed="81"/>
            <rFont val="Tahoma"/>
            <family val="2"/>
          </rPr>
          <t xml:space="preserve">
418 MAX abnormal
183 787 abnormal</t>
        </r>
      </text>
    </comment>
    <comment ref="CT87" authorId="0" shapeId="0" xr:uid="{00000000-0006-0000-0300-000025000000}">
      <text>
        <r>
          <rPr>
            <b/>
            <sz val="9"/>
            <color indexed="81"/>
            <rFont val="Tahoma"/>
            <family val="2"/>
          </rPr>
          <t>Parsons, Gavin [GIR]:</t>
        </r>
        <r>
          <rPr>
            <sz val="9"/>
            <color indexed="81"/>
            <rFont val="Tahoma"/>
            <family val="2"/>
          </rPr>
          <t xml:space="preserve">
3460 787 charge
386 MAX abnormal
285 787 abnormal</t>
        </r>
      </text>
    </comment>
    <comment ref="CU87" authorId="0" shapeId="0" xr:uid="{00000000-0006-0000-0300-000026000000}">
      <text>
        <r>
          <rPr>
            <b/>
            <sz val="9"/>
            <color indexed="81"/>
            <rFont val="Tahoma"/>
            <family val="2"/>
          </rPr>
          <t>Parsons, Gavin [GIR]:</t>
        </r>
        <r>
          <rPr>
            <sz val="9"/>
            <color indexed="81"/>
            <rFont val="Tahoma"/>
            <family val="2"/>
          </rPr>
          <t xml:space="preserve">
737 + 787 abnormal production costs</t>
        </r>
      </text>
    </comment>
    <comment ref="CV87" authorId="0" shapeId="0" xr:uid="{00000000-0006-0000-0300-000027000000}">
      <text>
        <r>
          <rPr>
            <b/>
            <sz val="9"/>
            <color indexed="81"/>
            <rFont val="Tahoma"/>
            <family val="2"/>
          </rPr>
          <t>Parsons, Gavin [GIR]:</t>
        </r>
        <r>
          <rPr>
            <sz val="9"/>
            <color indexed="81"/>
            <rFont val="Tahoma"/>
            <family val="2"/>
          </rPr>
          <t xml:space="preserve">
312 787 abnormal
188 MAX abnormal</t>
        </r>
      </text>
    </comment>
    <comment ref="CW87" authorId="0" shapeId="0" xr:uid="{00000000-0006-0000-0300-000028000000}">
      <text>
        <r>
          <rPr>
            <b/>
            <sz val="9"/>
            <color indexed="81"/>
            <rFont val="Tahoma"/>
            <family val="2"/>
          </rPr>
          <t>Parsons, Gavin [GIR]:</t>
        </r>
        <r>
          <rPr>
            <sz val="9"/>
            <color indexed="81"/>
            <rFont val="Tahoma"/>
            <family val="2"/>
          </rPr>
          <t xml:space="preserve">
283 787 abnormal
0 MAX abnormal
102 777X abnormal</t>
        </r>
      </text>
    </comment>
    <comment ref="CX87" authorId="0" shapeId="0" xr:uid="{D9410AB5-1E32-4230-89D8-8E83C7BED341}">
      <text>
        <r>
          <rPr>
            <b/>
            <sz val="9"/>
            <color indexed="81"/>
            <rFont val="Tahoma"/>
            <family val="2"/>
          </rPr>
          <t>Parsons, Gavin [GIR]:</t>
        </r>
        <r>
          <rPr>
            <sz val="9"/>
            <color indexed="81"/>
            <rFont val="Tahoma"/>
            <family val="2"/>
          </rPr>
          <t xml:space="preserve">
330 787 abnormal
111 777 abnormal</t>
        </r>
      </text>
    </comment>
    <comment ref="CY87" authorId="0" shapeId="0" xr:uid="{2BBA852D-630F-4AA5-9A64-D6B1A8037D00}">
      <text>
        <r>
          <rPr>
            <b/>
            <sz val="9"/>
            <color indexed="81"/>
            <rFont val="Tahoma"/>
            <family val="2"/>
          </rPr>
          <t>Parsons, Gavin [GIR]:</t>
        </r>
        <r>
          <rPr>
            <sz val="9"/>
            <color indexed="81"/>
            <rFont val="Tahoma"/>
            <family val="2"/>
          </rPr>
          <t xml:space="preserve">
350 787 abnormal
112 777 abnormal</t>
        </r>
      </text>
    </comment>
    <comment ref="CZ87" authorId="0" shapeId="0" xr:uid="{00000000-0006-0000-0300-000029000000}">
      <text>
        <r>
          <rPr>
            <b/>
            <sz val="9"/>
            <color indexed="81"/>
            <rFont val="Tahoma"/>
            <family val="2"/>
          </rPr>
          <t>Parsons, Gavin [GIR]:</t>
        </r>
        <r>
          <rPr>
            <sz val="9"/>
            <color indexed="81"/>
            <rFont val="Tahoma"/>
            <family val="2"/>
          </rPr>
          <t xml:space="preserve">
</t>
        </r>
        <r>
          <rPr>
            <u/>
            <sz val="9"/>
            <color indexed="81"/>
            <rFont val="Tahoma"/>
            <family val="2"/>
          </rPr>
          <t>Abnormal production costs</t>
        </r>
        <r>
          <rPr>
            <sz val="9"/>
            <color indexed="81"/>
            <rFont val="Tahoma"/>
            <family val="2"/>
          </rPr>
          <t xml:space="preserve">
4q19: guided to 4,000
1q20: guided to 5,000
2q20: same
3q20: same
4q20: same
1q21: same; 1,900 left
2q21: same; 1,400 left
3q21: 4,600 737 + 1,000 787; 500 / 800 left
4q21: 4,600 737 + 2,000 787; insignificant / 1,500 left
1q22: same + same + 1,500 777X; same / 1,200 left / starts 2Q
2q22: same + same + same; same / 900 left / 1,400 left
3q22: same + same + same; same / 600 left / 1,300 left</t>
        </r>
      </text>
    </comment>
    <comment ref="DA87" authorId="4" shapeId="0" xr:uid="{7E450AFF-A440-4CDE-B7E4-59C42FAC582F}">
      <text>
        <r>
          <rPr>
            <b/>
            <sz val="9"/>
            <color indexed="81"/>
            <rFont val="Tahoma"/>
            <family val="2"/>
          </rPr>
          <t>Blake, BEN [GIR]:</t>
        </r>
        <r>
          <rPr>
            <sz val="9"/>
            <color indexed="81"/>
            <rFont val="Tahoma"/>
            <family val="2"/>
          </rPr>
          <t xml:space="preserve">
found in Q/K
787 379mn
777x 126mn</t>
        </r>
      </text>
    </comment>
    <comment ref="DE87" authorId="4" shapeId="0" xr:uid="{B0451202-6AA2-4E19-854A-3ADFDFD91C4C}">
      <text>
        <r>
          <rPr>
            <b/>
            <sz val="9"/>
            <color indexed="81"/>
            <rFont val="Tahoma"/>
            <family val="2"/>
          </rPr>
          <t>Blake, BEN [GIR]:</t>
        </r>
        <r>
          <rPr>
            <sz val="9"/>
            <color indexed="81"/>
            <rFont val="Tahoma"/>
            <family val="2"/>
          </rPr>
          <t xml:space="preserve">
1q23: 1.5bn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Dessert, Connor H [GIR]</author>
    <author>Ortmayer, Will [GIR]</author>
    <author>Valentini, Anthony [GIR]</author>
    <author>poponn</author>
    <author>gneeti</author>
    <author>Parsons, Gavin [GIR]</author>
    <author>wachun</author>
    <author>Correa, Tais [GIR]</author>
    <author>carral</author>
    <author>sammun</author>
    <author>Richard T. Safran</author>
    <author>kwondo</author>
    <author>Porat, Matthew [GIR]</author>
  </authors>
  <commentList>
    <comment ref="DP20" authorId="0" shapeId="0" xr:uid="{0DECE08F-6E10-4F6D-907F-9B2C0FBE99CE}">
      <text>
        <r>
          <rPr>
            <b/>
            <sz val="9"/>
            <color indexed="81"/>
            <rFont val="Tahoma"/>
            <family val="2"/>
          </rPr>
          <t>Dessert, Connor H [GIR]:</t>
        </r>
        <r>
          <rPr>
            <sz val="9"/>
            <color indexed="81"/>
            <rFont val="Tahoma"/>
            <family val="2"/>
          </rPr>
          <t xml:space="preserve">
2q25: expect cert in 2026
1q26: same</t>
        </r>
      </text>
    </comment>
    <comment ref="DU20" authorId="1" shapeId="0" xr:uid="{DA409A9B-B0D1-40B2-9049-547EF7C849A6}">
      <text>
        <r>
          <rPr>
            <b/>
            <sz val="9"/>
            <color indexed="81"/>
            <rFont val="Tahoma"/>
            <family val="2"/>
          </rPr>
          <t>Ortmayer, Will [GIR]:</t>
        </r>
        <r>
          <rPr>
            <sz val="9"/>
            <color indexed="81"/>
            <rFont val="Tahoma"/>
            <family val="2"/>
          </rPr>
          <t xml:space="preserve">
1q26: expects first delivery in 2027</t>
        </r>
      </text>
    </comment>
    <comment ref="DC22" authorId="2" shapeId="0" xr:uid="{609C21C1-B269-4766-B362-219AF6A34BA5}">
      <text>
        <r>
          <rPr>
            <b/>
            <sz val="9"/>
            <color indexed="81"/>
            <rFont val="Tahoma"/>
            <family val="2"/>
          </rPr>
          <t>Valentini, Anthony [GIR]:</t>
        </r>
        <r>
          <rPr>
            <sz val="9"/>
            <color indexed="81"/>
            <rFont val="Tahoma"/>
            <family val="2"/>
          </rPr>
          <t xml:space="preserve">
sep23: ~70 MAX</t>
        </r>
      </text>
    </comment>
    <comment ref="DP26" authorId="0" shapeId="0" xr:uid="{F04E24BC-3348-480C-93AC-6AA4C6D211C8}">
      <text>
        <r>
          <rPr>
            <b/>
            <sz val="9"/>
            <color indexed="81"/>
            <rFont val="Tahoma"/>
            <family val="2"/>
          </rPr>
          <t>Dessert, Connor H [GIR]:</t>
        </r>
        <r>
          <rPr>
            <sz val="9"/>
            <color indexed="81"/>
            <rFont val="Tahoma"/>
            <family val="2"/>
          </rPr>
          <t xml:space="preserve">
2q25: expect cert in 2026
1q26: same</t>
        </r>
      </text>
    </comment>
    <comment ref="DU26" authorId="1" shapeId="0" xr:uid="{87688EBF-920D-4165-B954-5CA2ECB4F39E}">
      <text>
        <r>
          <rPr>
            <b/>
            <sz val="9"/>
            <color indexed="81"/>
            <rFont val="Tahoma"/>
            <family val="2"/>
          </rPr>
          <t>Ortmayer, Will [GIR]:</t>
        </r>
        <r>
          <rPr>
            <sz val="9"/>
            <color indexed="81"/>
            <rFont val="Tahoma"/>
            <family val="2"/>
          </rPr>
          <t xml:space="preserve">
1q26: expects first delivery in 2027</t>
        </r>
      </text>
    </comment>
    <comment ref="AX32" authorId="3" shapeId="0" xr:uid="{00000000-0006-0000-0400-000003000000}">
      <text>
        <r>
          <rPr>
            <b/>
            <sz val="8"/>
            <color indexed="81"/>
            <rFont val="Tahoma"/>
            <family val="2"/>
          </rPr>
          <t>poponn:</t>
        </r>
        <r>
          <rPr>
            <sz val="8"/>
            <color indexed="81"/>
            <rFont val="Tahoma"/>
            <family val="2"/>
          </rPr>
          <t xml:space="preserve">
6/15/10: 35/mo in early 2012</t>
        </r>
      </text>
    </comment>
    <comment ref="BG32" authorId="3" shapeId="0" xr:uid="{00000000-0006-0000-0400-000004000000}">
      <text>
        <r>
          <rPr>
            <b/>
            <sz val="8"/>
            <color indexed="81"/>
            <rFont val="Tahoma"/>
            <family val="2"/>
          </rPr>
          <t>poponn:</t>
        </r>
        <r>
          <rPr>
            <sz val="8"/>
            <color indexed="81"/>
            <rFont val="Tahoma"/>
            <family val="2"/>
          </rPr>
          <t xml:space="preserve">
9/16/10: 38/mo in 2q13</t>
        </r>
      </text>
    </comment>
    <comment ref="BI32" authorId="4" shapeId="0" xr:uid="{00000000-0006-0000-0400-000005000000}">
      <text>
        <r>
          <rPr>
            <b/>
            <sz val="8"/>
            <color indexed="81"/>
            <rFont val="Tahoma"/>
            <family val="2"/>
          </rPr>
          <t>gneeti:</t>
        </r>
        <r>
          <rPr>
            <sz val="8"/>
            <color indexed="81"/>
            <rFont val="Tahoma"/>
            <family val="2"/>
          </rPr>
          <t xml:space="preserve">
1q13: 42/mo in 2q14</t>
        </r>
      </text>
    </comment>
    <comment ref="BV32" authorId="5" shapeId="0" xr:uid="{00000000-0006-0000-0400-000006000000}">
      <text>
        <r>
          <rPr>
            <b/>
            <sz val="9"/>
            <color indexed="81"/>
            <rFont val="Tahoma"/>
            <family val="2"/>
          </rPr>
          <t>Parsons, Gavin [GIR]:</t>
        </r>
        <r>
          <rPr>
            <sz val="9"/>
            <color indexed="81"/>
            <rFont val="Tahoma"/>
            <family val="2"/>
          </rPr>
          <t xml:space="preserve">
4q15: down</t>
        </r>
      </text>
    </comment>
    <comment ref="CA32" authorId="3" shapeId="0" xr:uid="{00000000-0006-0000-0400-000007000000}">
      <text>
        <r>
          <rPr>
            <b/>
            <sz val="9"/>
            <color indexed="81"/>
            <rFont val="Tahoma"/>
            <family val="2"/>
          </rPr>
          <t>poponn:</t>
        </r>
        <r>
          <rPr>
            <sz val="9"/>
            <color indexed="81"/>
            <rFont val="Tahoma"/>
            <family val="2"/>
          </rPr>
          <t xml:space="preserve">
10.31.13: 47/month in 2017
2q16: same
4q16: 47 in 3Q17; 10-15% MAX</t>
        </r>
      </text>
    </comment>
    <comment ref="CF32" authorId="3" shapeId="0" xr:uid="{00000000-0006-0000-0400-000008000000}">
      <text>
        <r>
          <rPr>
            <b/>
            <sz val="9"/>
            <color indexed="81"/>
            <rFont val="Tahoma"/>
            <family val="2"/>
          </rPr>
          <t>poponn:</t>
        </r>
        <r>
          <rPr>
            <sz val="9"/>
            <color indexed="81"/>
            <rFont val="Tahoma"/>
            <family val="2"/>
          </rPr>
          <t xml:space="preserve">
10.2.14: 52/month in 2018
2q16: same
4q16: same
3q17: same 
4q17: same (40-45% MAX)</t>
        </r>
      </text>
    </comment>
    <comment ref="CK32" authorId="5" shapeId="0" xr:uid="{00000000-0006-0000-0400-000009000000}">
      <text>
        <r>
          <rPr>
            <b/>
            <sz val="9"/>
            <color indexed="81"/>
            <rFont val="Tahoma"/>
            <family val="2"/>
          </rPr>
          <t>Parsons, Gavin [GIR]:</t>
        </r>
        <r>
          <rPr>
            <sz val="9"/>
            <color indexed="81"/>
            <rFont val="Tahoma"/>
            <family val="2"/>
          </rPr>
          <t xml:space="preserve">
4q15: 57/month in 2019
2q16: same
4q16: same
3q17: same
4q18: same; 90% MAX</t>
        </r>
      </text>
    </comment>
    <comment ref="CP32" authorId="5" shapeId="0" xr:uid="{00000000-0006-0000-0400-00000A000000}">
      <text>
        <r>
          <rPr>
            <b/>
            <sz val="9"/>
            <color indexed="81"/>
            <rFont val="Tahoma"/>
            <family val="2"/>
          </rPr>
          <t>Parsons, Gavin [GIR]:</t>
        </r>
        <r>
          <rPr>
            <sz val="9"/>
            <color indexed="81"/>
            <rFont val="Tahoma"/>
            <family val="2"/>
          </rPr>
          <t xml:space="preserve">
1q20: 2020 restart</t>
        </r>
      </text>
    </comment>
    <comment ref="CU32" authorId="5" shapeId="0" xr:uid="{00000000-0006-0000-0400-00000B000000}">
      <text>
        <r>
          <rPr>
            <b/>
            <sz val="9"/>
            <color indexed="81"/>
            <rFont val="Tahoma"/>
            <family val="2"/>
          </rPr>
          <t>Parsons, Gavin [GIR]:</t>
        </r>
        <r>
          <rPr>
            <sz val="9"/>
            <color indexed="81"/>
            <rFont val="Tahoma"/>
            <family val="2"/>
          </rPr>
          <t xml:space="preserve">
1q20: gradual increase to 31/mo
2q20: 31/mo beginning of '22
3q20: same</t>
        </r>
      </text>
    </comment>
    <comment ref="CZ32" authorId="5" shapeId="0" xr:uid="{00000000-0006-0000-0400-00000C000000}">
      <text>
        <r>
          <rPr>
            <b/>
            <sz val="9"/>
            <color indexed="81"/>
            <rFont val="Tahoma"/>
            <family val="2"/>
          </rPr>
          <t>Parsons, Gavin [GIR]:</t>
        </r>
        <r>
          <rPr>
            <sz val="9"/>
            <color indexed="81"/>
            <rFont val="Tahoma"/>
            <family val="2"/>
          </rPr>
          <t xml:space="preserve">
2q20: 31/mo beginning of '22
4q21: ballpark 500 delivs
1q22: likely &lt;500
2q22: low 400s
3q22: 375</t>
        </r>
      </text>
    </comment>
    <comment ref="DE32" authorId="5" shapeId="0" xr:uid="{A4AA0BA0-59D2-4F55-B9D3-2382FA7D28DC}">
      <text>
        <r>
          <rPr>
            <b/>
            <sz val="9"/>
            <color indexed="81"/>
            <rFont val="Tahoma"/>
            <family val="2"/>
          </rPr>
          <t>Parsons, Gavin [GIR]:</t>
        </r>
        <r>
          <rPr>
            <sz val="9"/>
            <color indexed="81"/>
            <rFont val="Tahoma"/>
            <family val="2"/>
          </rPr>
          <t xml:space="preserve">
nov 22: 400-450
4q22: same
1q23: same; increase rate to 38 p/ mo later in year
2q23: same
sep23: same; lower end of range
3q23: 375-400</t>
        </r>
      </text>
    </comment>
    <comment ref="DH32" authorId="0" shapeId="0" xr:uid="{4BB4C38E-A6BD-410A-8F91-C1F47AA97CD3}">
      <text>
        <r>
          <rPr>
            <b/>
            <sz val="9"/>
            <color indexed="81"/>
            <rFont val="Tahoma"/>
            <family val="2"/>
          </rPr>
          <t>Dessert, Connor H [GIR]:</t>
        </r>
        <r>
          <rPr>
            <sz val="9"/>
            <color indexed="81"/>
            <rFont val="Tahoma"/>
            <family val="2"/>
          </rPr>
          <t xml:space="preserve">
2q24: 3Q delivs better than 2Q</t>
        </r>
      </text>
    </comment>
    <comment ref="DJ32" authorId="2" shapeId="0" xr:uid="{09ACD05F-78EE-4A2E-B44E-63F75EA9321F}">
      <text>
        <r>
          <rPr>
            <b/>
            <sz val="9"/>
            <color indexed="81"/>
            <rFont val="Tahoma"/>
            <family val="2"/>
          </rPr>
          <t>Valentini, Anthony [GIR]:</t>
        </r>
        <r>
          <rPr>
            <sz val="9"/>
            <color indexed="81"/>
            <rFont val="Tahoma"/>
            <family val="2"/>
          </rPr>
          <t xml:space="preserve">
3q23: higher yoy
2q24: ramping to 38/mo by EOY</t>
        </r>
      </text>
    </comment>
    <comment ref="DL32" authorId="0" shapeId="0" xr:uid="{8F327300-325E-477A-A422-43D4F4BC7DFB}">
      <text>
        <r>
          <rPr>
            <b/>
            <sz val="9"/>
            <color indexed="81"/>
            <rFont val="Tahoma"/>
            <family val="2"/>
          </rPr>
          <t>Dessert, Connor H [GIR]:</t>
        </r>
        <r>
          <rPr>
            <sz val="9"/>
            <color indexed="81"/>
            <rFont val="Tahoma"/>
            <family val="2"/>
          </rPr>
          <t xml:space="preserve">
1q25: in line with 1Q, ex-China, which is in the low to mid 90s
2q25: 209 deliveries through 1H, 37 from inventory</t>
        </r>
      </text>
    </comment>
    <comment ref="DM32" authorId="0" shapeId="0" xr:uid="{F2DEA242-483A-4391-A90C-0CA4AABC2865}">
      <text>
        <r>
          <rPr>
            <b/>
            <sz val="9"/>
            <color indexed="81"/>
            <rFont val="Tahoma"/>
            <family val="2"/>
          </rPr>
          <t>Dessert, Connor H [GIR]:</t>
        </r>
        <r>
          <rPr>
            <sz val="9"/>
            <color indexed="81"/>
            <rFont val="Tahoma"/>
            <family val="2"/>
          </rPr>
          <t xml:space="preserve">
2q25: 737 could be a bit better than 2q</t>
        </r>
      </text>
    </comment>
    <comment ref="DO32" authorId="5" shapeId="0" xr:uid="{116BF5FD-1454-4A63-9B0B-739486AEDB4D}">
      <text>
        <r>
          <rPr>
            <b/>
            <sz val="9"/>
            <color indexed="81"/>
            <rFont val="Tahoma"/>
            <family val="2"/>
          </rPr>
          <t>Parsons, Gavin [GIR]:</t>
        </r>
        <r>
          <rPr>
            <sz val="9"/>
            <color indexed="81"/>
            <rFont val="Tahoma"/>
            <family val="2"/>
          </rPr>
          <t xml:space="preserve">
nov 22: 50/mo in '25/26 (no China)
2q23: same
3q23: same
4q23: same
1q24: same
1q25: ~400
2q25: a little better than 400
4q25: ~55 of these deliveries were out of inventory</t>
        </r>
      </text>
    </comment>
    <comment ref="DT32" authorId="0" shapeId="0" xr:uid="{573D4498-A534-43D4-9594-4D1B62F7FF1E}">
      <text>
        <r>
          <rPr>
            <b/>
            <sz val="9"/>
            <color indexed="81"/>
            <rFont val="Tahoma"/>
            <family val="2"/>
          </rPr>
          <t>Dessert, Connor H [GIR]:</t>
        </r>
        <r>
          <rPr>
            <sz val="9"/>
            <color indexed="81"/>
            <rFont val="Tahoma"/>
            <family val="2"/>
          </rPr>
          <t xml:space="preserve">
4Q25: 500
From the call: Looking at production rate break assumptions, will produce ~530 aircraft, but ~30 of these will be 737-10, which will not be delivered in 2026.
2Q26: ~500</t>
        </r>
      </text>
    </comment>
    <comment ref="DN33" authorId="0" shapeId="0" xr:uid="{8465B6AF-7D55-4EBC-8634-DF97BF93C5B4}">
      <text>
        <r>
          <rPr>
            <b/>
            <sz val="9"/>
            <color indexed="81"/>
            <rFont val="Tahoma"/>
            <family val="2"/>
          </rPr>
          <t>Dessert, Connor H [GIR]:</t>
        </r>
        <r>
          <rPr>
            <sz val="9"/>
            <color indexed="81"/>
            <rFont val="Tahoma"/>
            <family val="2"/>
          </rPr>
          <t xml:space="preserve">
3q25: will exit year soundly at 42/mo production, but that does not mean deliveries will be 42/mo</t>
        </r>
      </text>
    </comment>
    <comment ref="DQ33" authorId="0" shapeId="0" xr:uid="{C3762EE6-77BF-4685-A17B-705C4CB26D9C}">
      <text>
        <r>
          <rPr>
            <b/>
            <sz val="9"/>
            <color indexed="81"/>
            <rFont val="Tahoma"/>
            <family val="2"/>
          </rPr>
          <t>Dessert, Connor H [GIR]:</t>
        </r>
        <r>
          <rPr>
            <sz val="9"/>
            <color indexed="81"/>
            <rFont val="Tahoma"/>
            <family val="2"/>
          </rPr>
          <t xml:space="preserve">
2q26: achieved rate 47 this summer</t>
        </r>
      </text>
    </comment>
    <comment ref="DR33" authorId="0" shapeId="0" xr:uid="{C9B644DD-0CB5-4F82-8FC1-AAA2EA07BBB7}">
      <text>
        <r>
          <rPr>
            <b/>
            <sz val="9"/>
            <color indexed="81"/>
            <rFont val="Tahoma"/>
            <family val="2"/>
          </rPr>
          <t>Dessert, Connor H [GIR]:</t>
        </r>
        <r>
          <rPr>
            <sz val="9"/>
            <color indexed="81"/>
            <rFont val="Tahoma"/>
            <family val="2"/>
          </rPr>
          <t xml:space="preserve">
4q25: rate will reach 47 some time in 2026</t>
        </r>
      </text>
    </comment>
    <comment ref="DS33" authorId="0" shapeId="0" xr:uid="{BA24A45C-A1E4-4649-8068-8F675CE8F092}">
      <text>
        <r>
          <rPr>
            <b/>
            <sz val="9"/>
            <color indexed="81"/>
            <rFont val="Tahoma"/>
            <family val="2"/>
          </rPr>
          <t>Dessert, Connor H [GIR]:</t>
        </r>
        <r>
          <rPr>
            <sz val="9"/>
            <color indexed="81"/>
            <rFont val="Tahoma"/>
            <family val="2"/>
          </rPr>
          <t xml:space="preserve">
4q25: rate will reach 47 some time in 2026</t>
        </r>
      </text>
    </comment>
    <comment ref="DU33" authorId="0" shapeId="0" xr:uid="{4B26F1C4-6731-49A0-96AB-289A4318E1F2}">
      <text>
        <r>
          <rPr>
            <b/>
            <sz val="9"/>
            <color indexed="81"/>
            <rFont val="Tahoma"/>
            <family val="2"/>
          </rPr>
          <t>Dessert, Connor H [GIR]:</t>
        </r>
        <r>
          <rPr>
            <sz val="9"/>
            <color indexed="81"/>
            <rFont val="Tahoma"/>
            <family val="2"/>
          </rPr>
          <t xml:space="preserve">
2q26: move to 52 sometime in 2027</t>
        </r>
      </text>
    </comment>
    <comment ref="AM42" authorId="3" shapeId="0" xr:uid="{00000000-0006-0000-0400-00000D000000}">
      <text>
        <r>
          <rPr>
            <b/>
            <sz val="8"/>
            <color indexed="81"/>
            <rFont val="Tahoma"/>
            <family val="2"/>
          </rPr>
          <t>poponn:</t>
        </r>
        <r>
          <rPr>
            <sz val="8"/>
            <color indexed="81"/>
            <rFont val="Tahoma"/>
            <family val="2"/>
          </rPr>
          <t xml:space="preserve">
1q08: very few -8 in '09</t>
        </r>
      </text>
    </comment>
    <comment ref="AW42" authorId="6" shapeId="0" xr:uid="{00000000-0006-0000-0400-00000E000000}">
      <text>
        <r>
          <rPr>
            <b/>
            <sz val="8"/>
            <color indexed="81"/>
            <rFont val="Tahoma"/>
            <family val="2"/>
          </rPr>
          <t>wachun:</t>
        </r>
        <r>
          <rPr>
            <sz val="8"/>
            <color indexed="81"/>
            <rFont val="Tahoma"/>
            <family val="2"/>
          </rPr>
          <t xml:space="preserve">
4q10: 25-40 units for 787 and 747-8, split evenly
3q11: 15-20 787 &amp; 747-8 (2/3 747-8)</t>
        </r>
      </text>
    </comment>
    <comment ref="BB42" authorId="3" shapeId="0" xr:uid="{00000000-0006-0000-0400-00000F000000}">
      <text>
        <r>
          <rPr>
            <b/>
            <sz val="8"/>
            <color indexed="81"/>
            <rFont val="Tahoma"/>
            <family val="2"/>
          </rPr>
          <t>poponn:</t>
        </r>
        <r>
          <rPr>
            <sz val="8"/>
            <color indexed="81"/>
            <rFont val="Tahoma"/>
            <family val="2"/>
          </rPr>
          <t xml:space="preserve">
4q11: 70-85 787+747-8
1q12: same</t>
        </r>
      </text>
    </comment>
    <comment ref="BT42" authorId="7" shapeId="0" xr:uid="{00000000-0006-0000-0400-000010000000}">
      <text>
        <r>
          <rPr>
            <b/>
            <sz val="9"/>
            <color indexed="81"/>
            <rFont val="Tahoma"/>
            <family val="2"/>
          </rPr>
          <t>Correa, Tais [GIR]:</t>
        </r>
        <r>
          <rPr>
            <sz val="9"/>
            <color indexed="81"/>
            <rFont val="Tahoma"/>
            <family val="2"/>
          </rPr>
          <t xml:space="preserve">
3 of 5 747s delivered are operating leases and are eliminated at corporate level</t>
        </r>
      </text>
    </comment>
    <comment ref="CP42" authorId="5" shapeId="0" xr:uid="{00000000-0006-0000-0400-000011000000}">
      <text>
        <r>
          <rPr>
            <b/>
            <sz val="9"/>
            <color indexed="81"/>
            <rFont val="Tahoma"/>
            <family val="2"/>
          </rPr>
          <t>Parsons, Gavin [GIR]:</t>
        </r>
        <r>
          <rPr>
            <sz val="9"/>
            <color indexed="81"/>
            <rFont val="Tahoma"/>
            <family val="2"/>
          </rPr>
          <t xml:space="preserve">
1q20: 0.5/mo
3q20: same</t>
        </r>
      </text>
    </comment>
    <comment ref="CZ42" authorId="5" shapeId="0" xr:uid="{00000000-0006-0000-0400-000012000000}">
      <text>
        <r>
          <rPr>
            <b/>
            <sz val="9"/>
            <color indexed="81"/>
            <rFont val="Tahoma"/>
            <family val="2"/>
          </rPr>
          <t>Parsons, Gavin [GIR]:</t>
        </r>
        <r>
          <rPr>
            <sz val="9"/>
            <color indexed="81"/>
            <rFont val="Tahoma"/>
            <family val="2"/>
          </rPr>
          <t xml:space="preserve">
2q20: production ends</t>
        </r>
      </text>
    </comment>
    <comment ref="BR52" authorId="5" shapeId="0" xr:uid="{00000000-0006-0000-0400-000013000000}">
      <text>
        <r>
          <rPr>
            <b/>
            <sz val="9"/>
            <color indexed="81"/>
            <rFont val="Tahoma"/>
            <family val="2"/>
          </rPr>
          <t>Parsons, Gavin [GIR]:</t>
        </r>
        <r>
          <rPr>
            <sz val="9"/>
            <color indexed="81"/>
            <rFont val="Tahoma"/>
            <family val="2"/>
          </rPr>
          <t xml:space="preserve">
up to 2/month in early 2016</t>
        </r>
      </text>
    </comment>
    <comment ref="BV52" authorId="5" shapeId="0" xr:uid="{00000000-0006-0000-0400-000014000000}">
      <text>
        <r>
          <rPr>
            <b/>
            <sz val="9"/>
            <color indexed="81"/>
            <rFont val="Tahoma"/>
            <family val="2"/>
          </rPr>
          <t>Parsons, Gavin [GIR]:</t>
        </r>
        <r>
          <rPr>
            <sz val="9"/>
            <color indexed="81"/>
            <rFont val="Tahoma"/>
            <family val="2"/>
          </rPr>
          <t xml:space="preserve">
4q15: down yoy due to 2017 tanker ramp</t>
        </r>
      </text>
    </comment>
    <comment ref="CA52" authorId="5" shapeId="0" xr:uid="{00000000-0006-0000-0400-000015000000}">
      <text>
        <r>
          <rPr>
            <b/>
            <sz val="9"/>
            <color indexed="81"/>
            <rFont val="Tahoma"/>
            <family val="2"/>
          </rPr>
          <t>Parsons, Gavin [GIR]:</t>
        </r>
        <r>
          <rPr>
            <sz val="9"/>
            <color indexed="81"/>
            <rFont val="Tahoma"/>
            <family val="2"/>
          </rPr>
          <t xml:space="preserve">
9.9.15: up to 2.5/month in 4Q17</t>
        </r>
      </text>
    </comment>
    <comment ref="CH52" authorId="5" shapeId="0" xr:uid="{00000000-0006-0000-0400-000016000000}">
      <text>
        <r>
          <rPr>
            <b/>
            <sz val="9"/>
            <color indexed="81"/>
            <rFont val="Tahoma"/>
            <family val="2"/>
          </rPr>
          <t>Parsons, Gavin [GIR]:</t>
        </r>
        <r>
          <rPr>
            <sz val="9"/>
            <color indexed="81"/>
            <rFont val="Tahoma"/>
            <family val="2"/>
          </rPr>
          <t xml:space="preserve">
6 tankers 
4 freighters</t>
        </r>
      </text>
    </comment>
    <comment ref="CP52" authorId="5" shapeId="0" xr:uid="{00000000-0006-0000-0400-000017000000}">
      <text>
        <r>
          <rPr>
            <b/>
            <sz val="9"/>
            <color indexed="81"/>
            <rFont val="Tahoma"/>
            <family val="2"/>
          </rPr>
          <t>Parsons, Gavin [GIR]:</t>
        </r>
        <r>
          <rPr>
            <sz val="9"/>
            <color indexed="81"/>
            <rFont val="Tahoma"/>
            <family val="2"/>
          </rPr>
          <t xml:space="preserve">
1q18: 3/mo
4q18: same
1q20: same
3q20: same</t>
        </r>
      </text>
    </comment>
    <comment ref="DY65" authorId="0" shapeId="0" xr:uid="{EF394D48-F550-4378-B4DD-1D927AED8EEB}">
      <text>
        <r>
          <rPr>
            <b/>
            <sz val="9"/>
            <color indexed="81"/>
            <rFont val="Tahoma"/>
            <family val="2"/>
          </rPr>
          <t>Dessert, Connor H [GIR]:</t>
        </r>
        <r>
          <rPr>
            <sz val="9"/>
            <color indexed="81"/>
            <rFont val="Tahoma"/>
            <family val="2"/>
          </rPr>
          <t xml:space="preserve">
4q25: first delivery in 2027</t>
        </r>
      </text>
    </comment>
    <comment ref="AP67" authorId="8" shapeId="0" xr:uid="{00000000-0006-0000-0400-000018000000}">
      <text>
        <r>
          <rPr>
            <b/>
            <sz val="8"/>
            <color indexed="81"/>
            <rFont val="Tahoma"/>
            <family val="2"/>
          </rPr>
          <t>carral:</t>
        </r>
        <r>
          <rPr>
            <sz val="8"/>
            <color indexed="81"/>
            <rFont val="Tahoma"/>
            <family val="2"/>
          </rPr>
          <t xml:space="preserve">
Increased from 16 to reflect company's full year expectation of 72 deliveries</t>
        </r>
      </text>
    </comment>
    <comment ref="AQ67" authorId="8" shapeId="0" xr:uid="{00000000-0006-0000-0400-000019000000}">
      <text>
        <r>
          <rPr>
            <b/>
            <sz val="8"/>
            <color indexed="81"/>
            <rFont val="Tahoma"/>
            <family val="2"/>
          </rPr>
          <t>carral:</t>
        </r>
        <r>
          <rPr>
            <sz val="8"/>
            <color indexed="81"/>
            <rFont val="Tahoma"/>
            <family val="2"/>
          </rPr>
          <t xml:space="preserve">
Increased from 17 to reflect company's full year expectation of 72 deliveries</t>
        </r>
      </text>
    </comment>
    <comment ref="AU67" authorId="3" shapeId="0" xr:uid="{00000000-0006-0000-0400-00001A000000}">
      <text>
        <r>
          <rPr>
            <b/>
            <sz val="8"/>
            <color indexed="81"/>
            <rFont val="Tahoma"/>
            <family val="2"/>
          </rPr>
          <t>poponn:</t>
        </r>
        <r>
          <rPr>
            <sz val="8"/>
            <color indexed="81"/>
            <rFont val="Tahoma"/>
            <family val="2"/>
          </rPr>
          <t xml:space="preserve">
Mar 19, 2010: 7/mo in mid-2011 (accelerated from early 2012)</t>
        </r>
      </text>
    </comment>
    <comment ref="BG67" authorId="3" shapeId="0" xr:uid="{00000000-0006-0000-0400-00001B000000}">
      <text>
        <r>
          <rPr>
            <b/>
            <sz val="8"/>
            <color indexed="81"/>
            <rFont val="Tahoma"/>
            <family val="2"/>
          </rPr>
          <t>poponn:</t>
        </r>
        <r>
          <rPr>
            <sz val="8"/>
            <color indexed="81"/>
            <rFont val="Tahoma"/>
            <family val="2"/>
          </rPr>
          <t xml:space="preserve">
12/20/10: 8.3/mo in 1q13</t>
        </r>
      </text>
    </comment>
    <comment ref="CA67" authorId="5" shapeId="0" xr:uid="{00000000-0006-0000-0400-00001C000000}">
      <text>
        <r>
          <rPr>
            <b/>
            <sz val="9"/>
            <color indexed="81"/>
            <rFont val="Tahoma"/>
            <family val="2"/>
          </rPr>
          <t>Parsons, Gavin [GIR]:</t>
        </r>
        <r>
          <rPr>
            <sz val="9"/>
            <color indexed="81"/>
            <rFont val="Tahoma"/>
            <family val="2"/>
          </rPr>
          <t xml:space="preserve">
4q15: 7/month in 2017
4q16: 5/month in 2H17</t>
        </r>
      </text>
    </comment>
    <comment ref="CF67" authorId="5" shapeId="0" xr:uid="{00000000-0006-0000-0400-00001D000000}">
      <text>
        <r>
          <rPr>
            <b/>
            <sz val="9"/>
            <color indexed="81"/>
            <rFont val="Tahoma"/>
            <family val="2"/>
          </rPr>
          <t>Parsons, Gavin [GIR]:</t>
        </r>
        <r>
          <rPr>
            <sz val="9"/>
            <color indexed="81"/>
            <rFont val="Tahoma"/>
            <family val="2"/>
          </rPr>
          <t xml:space="preserve">
4q16: 3.5/month deliveries
4q17: same</t>
        </r>
      </text>
    </comment>
    <comment ref="CK67" authorId="5" shapeId="0" xr:uid="{00000000-0006-0000-0400-00001E000000}">
      <text>
        <r>
          <rPr>
            <b/>
            <sz val="9"/>
            <color indexed="81"/>
            <rFont val="Tahoma"/>
            <family val="2"/>
          </rPr>
          <t>Parsons, Gavin [GIR]:</t>
        </r>
        <r>
          <rPr>
            <sz val="9"/>
            <color indexed="81"/>
            <rFont val="Tahoma"/>
            <family val="2"/>
          </rPr>
          <t xml:space="preserve">
4q16: 3.5/month deliveries
4q17: same</t>
        </r>
      </text>
    </comment>
    <comment ref="CP67" authorId="5" shapeId="0" xr:uid="{00000000-0006-0000-0400-00001F000000}">
      <text>
        <r>
          <rPr>
            <b/>
            <sz val="9"/>
            <color indexed="81"/>
            <rFont val="Tahoma"/>
            <family val="2"/>
          </rPr>
          <t>Parsons, Gavin [GIR]:</t>
        </r>
        <r>
          <rPr>
            <sz val="9"/>
            <color indexed="81"/>
            <rFont val="Tahoma"/>
            <family val="2"/>
          </rPr>
          <t xml:space="preserve">
3q19: 3.0/month deliveries</t>
        </r>
      </text>
    </comment>
    <comment ref="CU67" authorId="5" shapeId="0" xr:uid="{00000000-0006-0000-0400-000020000000}">
      <text>
        <r>
          <rPr>
            <b/>
            <sz val="9"/>
            <color indexed="81"/>
            <rFont val="Tahoma"/>
            <family val="2"/>
          </rPr>
          <t>Parsons, Gavin [GIR]:</t>
        </r>
        <r>
          <rPr>
            <sz val="9"/>
            <color indexed="81"/>
            <rFont val="Tahoma"/>
            <family val="2"/>
          </rPr>
          <t xml:space="preserve">
1q20: 3/mo
2q20: 2/mo within '21
3q20: same
1q21: same</t>
        </r>
      </text>
    </comment>
    <comment ref="CZ67" authorId="5" shapeId="0" xr:uid="{00000000-0006-0000-0400-000021000000}">
      <text>
        <r>
          <rPr>
            <b/>
            <sz val="9"/>
            <color indexed="81"/>
            <rFont val="Tahoma"/>
            <family val="2"/>
          </rPr>
          <t>Parsons, Gavin [GIR]:</t>
        </r>
        <r>
          <rPr>
            <sz val="9"/>
            <color indexed="81"/>
            <rFont val="Tahoma"/>
            <family val="2"/>
          </rPr>
          <t xml:space="preserve">
2q20: 777X first deliv
4q21: 3/mo in 2022</t>
        </r>
      </text>
    </comment>
    <comment ref="DE67" authorId="5" shapeId="0" xr:uid="{00000000-0006-0000-0400-000022000000}">
      <text>
        <r>
          <rPr>
            <b/>
            <sz val="9"/>
            <color indexed="81"/>
            <rFont val="Tahoma"/>
            <family val="2"/>
          </rPr>
          <t>Parsons, Gavin [GIR]:</t>
        </r>
        <r>
          <rPr>
            <sz val="9"/>
            <color indexed="81"/>
            <rFont val="Tahoma"/>
            <family val="2"/>
          </rPr>
          <t xml:space="preserve">
1q21: first 777X late 2023
4q21: same</t>
        </r>
      </text>
    </comment>
    <comment ref="DN67" authorId="0" shapeId="0" xr:uid="{D33E8D0F-8398-4AC4-86A1-D847CB9F260F}">
      <text>
        <r>
          <rPr>
            <b/>
            <sz val="9"/>
            <color indexed="81"/>
            <rFont val="Tahoma"/>
            <family val="2"/>
          </rPr>
          <t>Dessert, Connor H [GIR]:</t>
        </r>
        <r>
          <rPr>
            <sz val="9"/>
            <color indexed="81"/>
            <rFont val="Tahoma"/>
            <family val="2"/>
          </rPr>
          <t xml:space="preserve">
3q25: lower 777 deliveries in 4q</t>
        </r>
      </text>
    </comment>
    <comment ref="DO67" authorId="5" shapeId="0" xr:uid="{8E0BF88C-5FB9-4175-8CEE-4CF8519F4D1E}">
      <text>
        <r>
          <rPr>
            <b/>
            <sz val="9"/>
            <color indexed="81"/>
            <rFont val="Tahoma"/>
            <family val="2"/>
          </rPr>
          <t>Parsons, Gavin [GIR]:</t>
        </r>
        <r>
          <rPr>
            <sz val="9"/>
            <color indexed="81"/>
            <rFont val="Tahoma"/>
            <family val="2"/>
          </rPr>
          <t xml:space="preserve">
nov 22: 4/mo in '25/26</t>
        </r>
      </text>
    </comment>
    <comment ref="AH78" authorId="3" shapeId="0" xr:uid="{00000000-0006-0000-0400-000023000000}">
      <text>
        <r>
          <rPr>
            <b/>
            <sz val="8"/>
            <color indexed="81"/>
            <rFont val="Tahoma"/>
            <family val="2"/>
          </rPr>
          <t>poponn:</t>
        </r>
        <r>
          <rPr>
            <sz val="8"/>
            <color indexed="81"/>
            <rFont val="Tahoma"/>
            <family val="2"/>
          </rPr>
          <t xml:space="preserve">
112 in 08+09
10/10/07: 109 in 08+09</t>
        </r>
      </text>
    </comment>
    <comment ref="AM78" authorId="3" shapeId="0" xr:uid="{00000000-0006-0000-0400-000024000000}">
      <text>
        <r>
          <rPr>
            <b/>
            <sz val="8"/>
            <color indexed="81"/>
            <rFont val="Tahoma"/>
            <family val="2"/>
          </rPr>
          <t>poponn:</t>
        </r>
        <r>
          <rPr>
            <sz val="8"/>
            <color indexed="81"/>
            <rFont val="Tahoma"/>
            <family val="2"/>
          </rPr>
          <t xml:space="preserve">
112 in 08+09
10/10/07: 109 in 08+09
4/9/08: 25</t>
        </r>
      </text>
    </comment>
    <comment ref="AR78" authorId="3" shapeId="0" xr:uid="{00000000-0006-0000-0400-000025000000}">
      <text>
        <r>
          <rPr>
            <b/>
            <sz val="8"/>
            <color indexed="81"/>
            <rFont val="Tahoma"/>
            <family val="2"/>
          </rPr>
          <t>poponn:</t>
        </r>
        <r>
          <rPr>
            <sz val="8"/>
            <color indexed="81"/>
            <rFont val="Tahoma"/>
            <family val="2"/>
          </rPr>
          <t xml:space="preserve">
40-50
7/mo in late 2010</t>
        </r>
      </text>
    </comment>
    <comment ref="AU78" authorId="9" shapeId="0" xr:uid="{00000000-0006-0000-0400-000026000000}">
      <text>
        <r>
          <rPr>
            <b/>
            <sz val="8"/>
            <color indexed="81"/>
            <rFont val="Tahoma"/>
            <family val="2"/>
          </rPr>
          <t>sammun:</t>
        </r>
        <r>
          <rPr>
            <sz val="8"/>
            <color indexed="81"/>
            <rFont val="Tahoma"/>
            <family val="2"/>
          </rPr>
          <t xml:space="preserve">
At end of 3Q11, 821 firm orders w/ 200 options. </t>
        </r>
      </text>
    </comment>
    <comment ref="AV78" authorId="9" shapeId="0" xr:uid="{00000000-0006-0000-0400-000027000000}">
      <text>
        <r>
          <rPr>
            <b/>
            <sz val="8"/>
            <color indexed="81"/>
            <rFont val="Tahoma"/>
            <family val="2"/>
          </rPr>
          <t>sammun:</t>
        </r>
        <r>
          <rPr>
            <sz val="8"/>
            <color indexed="81"/>
            <rFont val="Tahoma"/>
            <family val="2"/>
          </rPr>
          <t xml:space="preserve">
October 13th, 2nd delivery to ANA. </t>
        </r>
      </text>
    </comment>
    <comment ref="AW78" authorId="6" shapeId="0" xr:uid="{00000000-0006-0000-0400-000028000000}">
      <text>
        <r>
          <rPr>
            <b/>
            <sz val="8"/>
            <color indexed="81"/>
            <rFont val="Tahoma"/>
            <family val="2"/>
          </rPr>
          <t>wachun:</t>
        </r>
        <r>
          <rPr>
            <sz val="8"/>
            <color indexed="81"/>
            <rFont val="Tahoma"/>
            <family val="2"/>
          </rPr>
          <t xml:space="preserve">
4q10: 25-40 units for 787 and 747-8, split evenly
3q11: 15-20 787 &amp; 747-8 (2/3 747-8)</t>
        </r>
      </text>
    </comment>
    <comment ref="BB78" authorId="3" shapeId="0" xr:uid="{00000000-0006-0000-0400-000029000000}">
      <text>
        <r>
          <rPr>
            <b/>
            <sz val="8"/>
            <color indexed="81"/>
            <rFont val="Tahoma"/>
            <family val="2"/>
          </rPr>
          <t>poponn:</t>
        </r>
        <r>
          <rPr>
            <sz val="8"/>
            <color indexed="81"/>
            <rFont val="Tahoma"/>
            <family val="2"/>
          </rPr>
          <t xml:space="preserve">
4.9.08: 10/mo in 3q12
4q08: still saying 10/mo
4q11: 70-85 787+747-8
1q12: same
</t>
        </r>
      </text>
    </comment>
    <comment ref="BG78" authorId="6" shapeId="0" xr:uid="{00000000-0006-0000-0400-00002A000000}">
      <text>
        <r>
          <rPr>
            <b/>
            <sz val="8"/>
            <color indexed="81"/>
            <rFont val="Tahoma"/>
            <family val="2"/>
          </rPr>
          <t>wachun:</t>
        </r>
        <r>
          <rPr>
            <sz val="8"/>
            <color indexed="81"/>
            <rFont val="Tahoma"/>
            <family val="2"/>
          </rPr>
          <t xml:space="preserve">
4q09: 10 planes/mo by end of 2013
1q10: same
4q10: same
4q12: &gt;60
1q13: same</t>
        </r>
      </text>
    </comment>
    <comment ref="BL78" authorId="3" shapeId="0" xr:uid="{00000000-0006-0000-0400-00002B000000}">
      <text>
        <r>
          <rPr>
            <b/>
            <sz val="9"/>
            <color indexed="81"/>
            <rFont val="Tahoma"/>
            <family val="2"/>
          </rPr>
          <t>poponn:</t>
        </r>
        <r>
          <rPr>
            <sz val="9"/>
            <color indexed="81"/>
            <rFont val="Tahoma"/>
            <family val="2"/>
          </rPr>
          <t xml:space="preserve">
1q14: ~110
2q14: same</t>
        </r>
      </text>
    </comment>
    <comment ref="BV78" authorId="5" shapeId="0" xr:uid="{00000000-0006-0000-0400-00002C000000}">
      <text>
        <r>
          <rPr>
            <b/>
            <sz val="9"/>
            <color indexed="81"/>
            <rFont val="Tahoma"/>
            <family val="2"/>
          </rPr>
          <t>Parsons, Gavin [GIR]:</t>
        </r>
        <r>
          <rPr>
            <sz val="9"/>
            <color indexed="81"/>
            <rFont val="Tahoma"/>
            <family val="2"/>
          </rPr>
          <t xml:space="preserve">
12/month in 2016
4q15: flat yoy</t>
        </r>
      </text>
    </comment>
    <comment ref="CA78" authorId="5" shapeId="0" xr:uid="{00000000-0006-0000-0400-00002D000000}">
      <text>
        <r>
          <rPr>
            <b/>
            <sz val="9"/>
            <color indexed="81"/>
            <rFont val="Tahoma"/>
            <family val="2"/>
          </rPr>
          <t>Parsons, Gavin [GIR]:</t>
        </r>
        <r>
          <rPr>
            <sz val="9"/>
            <color indexed="81"/>
            <rFont val="Tahoma"/>
            <family val="2"/>
          </rPr>
          <t xml:space="preserve">
sep 16: 135</t>
        </r>
      </text>
    </comment>
    <comment ref="CK78" authorId="5" shapeId="0" xr:uid="{00000000-0006-0000-0400-00002E000000}">
      <text>
        <r>
          <rPr>
            <b/>
            <sz val="9"/>
            <color indexed="81"/>
            <rFont val="Tahoma"/>
            <family val="2"/>
          </rPr>
          <t>Parsons, Gavin [GIR]:</t>
        </r>
        <r>
          <rPr>
            <sz val="9"/>
            <color indexed="81"/>
            <rFont val="Tahoma"/>
            <family val="2"/>
          </rPr>
          <t xml:space="preserve">
3q17: 14/mo in 2019
4q17: same
4q18: 14/mo in 2Q19</t>
        </r>
      </text>
    </comment>
    <comment ref="CP78" authorId="5" shapeId="0" xr:uid="{00000000-0006-0000-0400-00002F000000}">
      <text>
        <r>
          <rPr>
            <b/>
            <sz val="9"/>
            <color indexed="81"/>
            <rFont val="Tahoma"/>
            <family val="2"/>
          </rPr>
          <t>Parsons, Gavin [GIR]:</t>
        </r>
        <r>
          <rPr>
            <sz val="9"/>
            <color indexed="81"/>
            <rFont val="Tahoma"/>
            <family val="2"/>
          </rPr>
          <t xml:space="preserve">
14/month end of decade
2q16: same
4q19: 12/mo by late 2020
1q20: 10/mo in 2020</t>
        </r>
      </text>
    </comment>
    <comment ref="CQ78" authorId="5" shapeId="0" xr:uid="{00000000-0006-0000-0400-000030000000}">
      <text>
        <r>
          <rPr>
            <b/>
            <sz val="9"/>
            <color indexed="81"/>
            <rFont val="Tahoma"/>
            <family val="2"/>
          </rPr>
          <t>Parsons, Gavin [GIR]:</t>
        </r>
        <r>
          <rPr>
            <sz val="9"/>
            <color indexed="81"/>
            <rFont val="Tahoma"/>
            <family val="2"/>
          </rPr>
          <t xml:space="preserve">
1q21: reached 5/mo build</t>
        </r>
      </text>
    </comment>
    <comment ref="CU78" authorId="5" shapeId="0" xr:uid="{00000000-0006-0000-0400-000031000000}">
      <text>
        <r>
          <rPr>
            <b/>
            <sz val="9"/>
            <color indexed="81"/>
            <rFont val="Tahoma"/>
            <family val="2"/>
          </rPr>
          <t>Parsons, Gavin [GIR]:</t>
        </r>
        <r>
          <rPr>
            <sz val="9"/>
            <color indexed="81"/>
            <rFont val="Tahoma"/>
            <family val="2"/>
          </rPr>
          <t xml:space="preserve">
4q19: 10/mo early '21
2q20: 6/mo within '21
3q20: same
dec 20: 5/mo mid '21</t>
        </r>
      </text>
    </comment>
    <comment ref="CZ78" authorId="5" shapeId="0" xr:uid="{00000000-0006-0000-0400-000032000000}">
      <text>
        <r>
          <rPr>
            <b/>
            <sz val="9"/>
            <color indexed="81"/>
            <rFont val="Tahoma"/>
            <family val="2"/>
          </rPr>
          <t>Parsons, Gavin [GIR]:</t>
        </r>
        <r>
          <rPr>
            <sz val="9"/>
            <color indexed="81"/>
            <rFont val="Tahoma"/>
            <family val="2"/>
          </rPr>
          <t xml:space="preserve">
1q20: 7/mo by '22
2q20: 6/mo within '21
dec 20: 5/mo mid '21
4q21: low rate, gradual return to 5</t>
        </r>
      </text>
    </comment>
    <comment ref="DE78" authorId="5" shapeId="0" xr:uid="{63D9895E-3333-4197-8D29-0C46389DC8AC}">
      <text>
        <r>
          <rPr>
            <b/>
            <sz val="9"/>
            <color indexed="81"/>
            <rFont val="Tahoma"/>
            <family val="2"/>
          </rPr>
          <t>Parsons, Gavin [GIR]:</t>
        </r>
        <r>
          <rPr>
            <sz val="9"/>
            <color indexed="81"/>
            <rFont val="Tahoma"/>
            <family val="2"/>
          </rPr>
          <t xml:space="preserve">
nov 22: 70-80
4q22: same; 5/mo production late 2023
1q23: same
2q23: same
3q23: same; transitioning to 5/mo production now</t>
        </r>
      </text>
    </comment>
    <comment ref="DJ78" authorId="2" shapeId="0" xr:uid="{98D886A6-8658-4FF3-A519-91A048D21790}">
      <text>
        <r>
          <rPr>
            <b/>
            <sz val="9"/>
            <color indexed="81"/>
            <rFont val="Tahoma"/>
            <family val="2"/>
          </rPr>
          <t>Valentini, Anthony [GIR]:</t>
        </r>
        <r>
          <rPr>
            <sz val="9"/>
            <color indexed="81"/>
            <rFont val="Tahoma"/>
            <family val="2"/>
          </rPr>
          <t xml:space="preserve">
3q23: higher yoy
2q24: expect 5/mo by year-end 2024</t>
        </r>
      </text>
    </comment>
    <comment ref="DL78" authorId="0" shapeId="0" xr:uid="{A2124140-817F-4069-955C-622A5B817787}">
      <text>
        <r>
          <rPr>
            <b/>
            <sz val="9"/>
            <color indexed="81"/>
            <rFont val="Tahoma"/>
            <family val="2"/>
          </rPr>
          <t>Dessert, Connor H [GIR]:</t>
        </r>
        <r>
          <rPr>
            <sz val="9"/>
            <color indexed="81"/>
            <rFont val="Tahoma"/>
            <family val="2"/>
          </rPr>
          <t xml:space="preserve">
2q25: 37 deliveries through 1H, focused on stabilizing at 7/mo</t>
        </r>
      </text>
    </comment>
    <comment ref="DM78" authorId="0" shapeId="0" xr:uid="{759824CA-BEBD-40FB-8549-F2EAC342D6FB}">
      <text>
        <r>
          <rPr>
            <b/>
            <sz val="9"/>
            <color indexed="81"/>
            <rFont val="Tahoma"/>
            <family val="2"/>
          </rPr>
          <t>Dessert, Connor H [GIR]:</t>
        </r>
        <r>
          <rPr>
            <sz val="9"/>
            <color indexed="81"/>
            <rFont val="Tahoma"/>
            <family val="2"/>
          </rPr>
          <t xml:space="preserve">
2q25: 787 steady versus 1q</t>
        </r>
      </text>
    </comment>
    <comment ref="DO78" authorId="5" shapeId="0" xr:uid="{83957543-545A-40C9-96C6-3E820A16B34D}">
      <text>
        <r>
          <rPr>
            <b/>
            <sz val="9"/>
            <color indexed="81"/>
            <rFont val="Tahoma"/>
            <family val="2"/>
          </rPr>
          <t>Parsons, Gavin [GIR]:</t>
        </r>
        <r>
          <rPr>
            <sz val="9"/>
            <color indexed="81"/>
            <rFont val="Tahoma"/>
            <family val="2"/>
          </rPr>
          <t xml:space="preserve">
nov 22: 10/mo in '25/26
4q23: same
1q24: same
1q25: ~80
2q25: high end of 70-80 range
4q25: ~20 of these deliveries were out of inventory</t>
        </r>
      </text>
    </comment>
    <comment ref="DT78" authorId="0" shapeId="0" xr:uid="{1DD97410-6794-4010-A595-F990266CBBF7}">
      <text>
        <r>
          <rPr>
            <b/>
            <sz val="9"/>
            <color indexed="81"/>
            <rFont val="Tahoma"/>
            <family val="2"/>
          </rPr>
          <t>Dessert, Connor H [GIR]:</t>
        </r>
        <r>
          <rPr>
            <sz val="9"/>
            <color indexed="81"/>
            <rFont val="Tahoma"/>
            <family val="2"/>
          </rPr>
          <t xml:space="preserve">
4Q25: 90-100
2Q26: same</t>
        </r>
      </text>
    </comment>
    <comment ref="DN79" authorId="0" shapeId="0" xr:uid="{A8C18063-FA34-4CA1-A98D-A132B390395E}">
      <text>
        <r>
          <rPr>
            <b/>
            <sz val="9"/>
            <color indexed="81"/>
            <rFont val="Tahoma"/>
            <family val="2"/>
          </rPr>
          <t>Dessert, Connor H [GIR]:</t>
        </r>
        <r>
          <rPr>
            <sz val="9"/>
            <color indexed="81"/>
            <rFont val="Tahoma"/>
            <family val="2"/>
          </rPr>
          <t xml:space="preserve">
3q25: should be at 8/mo production by EOY</t>
        </r>
      </text>
    </comment>
    <comment ref="DR79" authorId="0" shapeId="0" xr:uid="{72C96EBF-4465-4A1A-92F8-01A605EB5014}">
      <text>
        <r>
          <rPr>
            <b/>
            <sz val="9"/>
            <color indexed="81"/>
            <rFont val="Tahoma"/>
            <family val="2"/>
          </rPr>
          <t>Dessert, Connor H [GIR]:</t>
        </r>
        <r>
          <rPr>
            <sz val="9"/>
            <color indexed="81"/>
            <rFont val="Tahoma"/>
            <family val="2"/>
          </rPr>
          <t xml:space="preserve">
4q25: rate will reach 10 some time in 2026</t>
        </r>
      </text>
    </comment>
    <comment ref="DS79" authorId="0" shapeId="0" xr:uid="{73BEBC32-39A3-4EB3-9903-D4924D7437B4}">
      <text>
        <r>
          <rPr>
            <b/>
            <sz val="9"/>
            <color indexed="81"/>
            <rFont val="Tahoma"/>
            <family val="2"/>
          </rPr>
          <t>Dessert, Connor H [GIR]:</t>
        </r>
        <r>
          <rPr>
            <sz val="9"/>
            <color indexed="81"/>
            <rFont val="Tahoma"/>
            <family val="2"/>
          </rPr>
          <t xml:space="preserve">
4q25: rate will reach 10 some time in 2026</t>
        </r>
      </text>
    </comment>
    <comment ref="DT79" authorId="0" shapeId="0" xr:uid="{6726F0B4-71B3-4395-BE2C-8F2D67FD7C40}">
      <text>
        <r>
          <rPr>
            <b/>
            <sz val="9"/>
            <color indexed="81"/>
            <rFont val="Tahoma"/>
            <family val="2"/>
          </rPr>
          <t>Dessert, Connor H [GIR]:</t>
        </r>
        <r>
          <rPr>
            <sz val="9"/>
            <color indexed="81"/>
            <rFont val="Tahoma"/>
            <family val="2"/>
          </rPr>
          <t xml:space="preserve">
3q25: will move to 10/mo production some time in 2026, no month given</t>
        </r>
      </text>
    </comment>
    <comment ref="S108" authorId="10" shapeId="0" xr:uid="{00000000-0006-0000-0400-000033000000}">
      <text>
        <r>
          <rPr>
            <b/>
            <sz val="8"/>
            <color indexed="81"/>
            <rFont val="Tahoma"/>
            <family val="2"/>
          </rPr>
          <t>user:</t>
        </r>
        <r>
          <rPr>
            <sz val="8"/>
            <color indexed="81"/>
            <rFont val="Tahoma"/>
            <family val="2"/>
          </rPr>
          <t xml:space="preserve">
BA raised 05 deliveries to between 315 and 320.  305 assumed.</t>
        </r>
      </text>
    </comment>
    <comment ref="X108" authorId="10" shapeId="0" xr:uid="{00000000-0006-0000-0400-000034000000}">
      <text>
        <r>
          <rPr>
            <b/>
            <sz val="8"/>
            <color indexed="81"/>
            <rFont val="Tahoma"/>
            <family val="2"/>
          </rPr>
          <t>user:</t>
        </r>
        <r>
          <rPr>
            <sz val="8"/>
            <color indexed="81"/>
            <rFont val="Tahoma"/>
            <family val="2"/>
          </rPr>
          <t xml:space="preserve">
BA raised 05 deliveries to between 315 and 320.  305 assumed.
1q06: 395
2q06: same
3q06: same</t>
        </r>
      </text>
    </comment>
    <comment ref="AC108" authorId="3" shapeId="0" xr:uid="{00000000-0006-0000-0400-000035000000}">
      <text>
        <r>
          <rPr>
            <b/>
            <sz val="8"/>
            <color indexed="81"/>
            <rFont val="Tahoma"/>
            <family val="2"/>
          </rPr>
          <t>poponn:</t>
        </r>
        <r>
          <rPr>
            <sz val="8"/>
            <color indexed="81"/>
            <rFont val="Tahoma"/>
            <family val="2"/>
          </rPr>
          <t xml:space="preserve">
1q06: 440-445
2q06: same
3q06: same
4q06: same
1q07: same
2q07: same
3q07: 440</t>
        </r>
      </text>
    </comment>
    <comment ref="AH108" authorId="3" shapeId="0" xr:uid="{00000000-0006-0000-0400-000036000000}">
      <text>
        <r>
          <rPr>
            <b/>
            <sz val="8"/>
            <color indexed="81"/>
            <rFont val="Tahoma"/>
            <family val="2"/>
          </rPr>
          <t>poponn:</t>
        </r>
        <r>
          <rPr>
            <sz val="8"/>
            <color indexed="81"/>
            <rFont val="Tahoma"/>
            <family val="2"/>
          </rPr>
          <t xml:space="preserve">
4q06: 515-520
1q07: same
2q07: same
3q07: 480-490
4q07: 475-480
1q08: same
2q08: same</t>
        </r>
      </text>
    </comment>
    <comment ref="AM108" authorId="3" shapeId="0" xr:uid="{00000000-0006-0000-0400-000037000000}">
      <text>
        <r>
          <rPr>
            <b/>
            <sz val="8"/>
            <color indexed="81"/>
            <rFont val="Tahoma"/>
            <family val="2"/>
          </rPr>
          <t>poponn:</t>
        </r>
        <r>
          <rPr>
            <sz val="8"/>
            <color indexed="81"/>
            <rFont val="Tahoma"/>
            <family val="2"/>
          </rPr>
          <t xml:space="preserve">
1q08: 500-505
2q08: same
4q08: 480-485
2q09: same
3q09: same</t>
        </r>
      </text>
    </comment>
    <comment ref="AN108" authorId="6" shapeId="0" xr:uid="{00000000-0006-0000-0400-000038000000}">
      <text>
        <r>
          <rPr>
            <b/>
            <sz val="8"/>
            <color indexed="81"/>
            <rFont val="Tahoma"/>
            <family val="2"/>
          </rPr>
          <t>wachun:</t>
        </r>
        <r>
          <rPr>
            <sz val="8"/>
            <color indexed="81"/>
            <rFont val="Tahoma"/>
            <family val="2"/>
          </rPr>
          <t xml:space="preserve">
1q10: lowest delivery</t>
        </r>
      </text>
    </comment>
    <comment ref="AR108" authorId="3" shapeId="0" xr:uid="{00000000-0006-0000-0400-000039000000}">
      <text>
        <r>
          <rPr>
            <b/>
            <sz val="8"/>
            <color indexed="81"/>
            <rFont val="Tahoma"/>
            <family val="2"/>
          </rPr>
          <t>poponn:</t>
        </r>
        <r>
          <rPr>
            <sz val="8"/>
            <color indexed="81"/>
            <rFont val="Tahoma"/>
            <family val="2"/>
          </rPr>
          <t xml:space="preserve">
1q08: growth in deliveries
4q09: 460 - 465
1q10: same
2q10: same
3q10: ~ 460</t>
        </r>
      </text>
    </comment>
    <comment ref="AW108" authorId="6" shapeId="0" xr:uid="{00000000-0006-0000-0400-00003A000000}">
      <text>
        <r>
          <rPr>
            <b/>
            <sz val="8"/>
            <color indexed="81"/>
            <rFont val="Tahoma"/>
            <family val="2"/>
          </rPr>
          <t>wachun:</t>
        </r>
        <r>
          <rPr>
            <sz val="8"/>
            <color indexed="81"/>
            <rFont val="Tahoma"/>
            <family val="2"/>
          </rPr>
          <t xml:space="preserve">
4q10: 485-500
1q11: same
2q11: 485-495
3q11: ~480</t>
        </r>
      </text>
    </comment>
    <comment ref="BB108" authorId="3" shapeId="0" xr:uid="{00000000-0006-0000-0400-00003B000000}">
      <text>
        <r>
          <rPr>
            <b/>
            <sz val="8"/>
            <color indexed="81"/>
            <rFont val="Tahoma"/>
            <family val="2"/>
          </rPr>
          <t>poponn:</t>
        </r>
        <r>
          <rPr>
            <sz val="8"/>
            <color indexed="81"/>
            <rFont val="Tahoma"/>
            <family val="2"/>
          </rPr>
          <t xml:space="preserve">
4q11: 585-600 
1q12: same
2q12: same
3q12: same</t>
        </r>
      </text>
    </comment>
    <comment ref="BG108" authorId="9" shapeId="0" xr:uid="{00000000-0006-0000-0400-00003C000000}">
      <text>
        <r>
          <rPr>
            <b/>
            <sz val="8"/>
            <color indexed="81"/>
            <rFont val="Tahoma"/>
            <family val="2"/>
          </rPr>
          <t>sammun:</t>
        </r>
        <r>
          <rPr>
            <sz val="8"/>
            <color indexed="81"/>
            <rFont val="Tahoma"/>
            <family val="2"/>
          </rPr>
          <t xml:space="preserve">
4q12: 635-645
1q13: same
2q13: same</t>
        </r>
      </text>
    </comment>
    <comment ref="BL108" authorId="4" shapeId="0" xr:uid="{00000000-0006-0000-0400-00003D000000}">
      <text>
        <r>
          <rPr>
            <b/>
            <sz val="8"/>
            <color indexed="81"/>
            <rFont val="Tahoma"/>
            <family val="2"/>
          </rPr>
          <t>gneeti:</t>
        </r>
        <r>
          <rPr>
            <sz val="8"/>
            <color indexed="81"/>
            <rFont val="Tahoma"/>
            <family val="2"/>
          </rPr>
          <t xml:space="preserve">
4q13: 715 - 725
1q14: same
2q14: same
3q14: same</t>
        </r>
      </text>
    </comment>
    <comment ref="BQ108" authorId="11" shapeId="0" xr:uid="{00000000-0006-0000-0400-00003E000000}">
      <text>
        <r>
          <rPr>
            <b/>
            <sz val="9"/>
            <color indexed="81"/>
            <rFont val="Tahoma"/>
            <family val="2"/>
          </rPr>
          <t>kwondo:</t>
        </r>
        <r>
          <rPr>
            <sz val="9"/>
            <color indexed="81"/>
            <rFont val="Tahoma"/>
            <family val="2"/>
          </rPr>
          <t xml:space="preserve">
4q14: 750-755
1q15: same
2q15: same
3q15: 755-760</t>
        </r>
      </text>
    </comment>
    <comment ref="BV108" authorId="5" shapeId="0" xr:uid="{00000000-0006-0000-0400-00003F000000}">
      <text>
        <r>
          <rPr>
            <b/>
            <sz val="9"/>
            <color indexed="81"/>
            <rFont val="Tahoma"/>
            <family val="2"/>
          </rPr>
          <t>Parsons, Gavin [GIR]:</t>
        </r>
        <r>
          <rPr>
            <sz val="9"/>
            <color indexed="81"/>
            <rFont val="Tahoma"/>
            <family val="2"/>
          </rPr>
          <t xml:space="preserve">
4q15: 740-745
1q16: same
2q16: same
3q16: 745-750</t>
        </r>
      </text>
    </comment>
    <comment ref="CA108" authorId="5" shapeId="0" xr:uid="{00000000-0006-0000-0400-000040000000}">
      <text>
        <r>
          <rPr>
            <b/>
            <sz val="9"/>
            <color indexed="81"/>
            <rFont val="Tahoma"/>
            <family val="2"/>
          </rPr>
          <t>Parsons, Gavin [GIR]:</t>
        </r>
        <r>
          <rPr>
            <sz val="9"/>
            <color indexed="81"/>
            <rFont val="Tahoma"/>
            <family val="2"/>
          </rPr>
          <t xml:space="preserve">
4q15: up yoy
sep 16: same
3q16: same
4q16: 760-765
2q17: same
3q17: same</t>
        </r>
      </text>
    </comment>
    <comment ref="CF108" authorId="5" shapeId="0" xr:uid="{00000000-0006-0000-0400-000041000000}">
      <text>
        <r>
          <rPr>
            <b/>
            <sz val="9"/>
            <color indexed="81"/>
            <rFont val="Tahoma"/>
            <family val="2"/>
          </rPr>
          <t>Parsons, Gavin [GIR]:</t>
        </r>
        <r>
          <rPr>
            <sz val="9"/>
            <color indexed="81"/>
            <rFont val="Tahoma"/>
            <family val="2"/>
          </rPr>
          <t xml:space="preserve">
4q16: up yoy
4q17: 810-815
1q18: same
2q18: same
3q18: same</t>
        </r>
      </text>
    </comment>
    <comment ref="CG108" authorId="5" shapeId="0" xr:uid="{00000000-0006-0000-0400-000042000000}">
      <text>
        <r>
          <rPr>
            <b/>
            <sz val="9"/>
            <color indexed="81"/>
            <rFont val="Tahoma"/>
            <family val="2"/>
          </rPr>
          <t>Parsons, Gavin [GIR]:</t>
        </r>
        <r>
          <rPr>
            <sz val="9"/>
            <color indexed="81"/>
            <rFont val="Tahoma"/>
            <family val="2"/>
          </rPr>
          <t xml:space="preserve">
4q18: lowest for year</t>
        </r>
      </text>
    </comment>
    <comment ref="CK108" authorId="12" shapeId="0" xr:uid="{00000000-0006-0000-0400-000043000000}">
      <text>
        <r>
          <rPr>
            <b/>
            <sz val="9"/>
            <color indexed="81"/>
            <rFont val="Tahoma"/>
            <family val="2"/>
          </rPr>
          <t>Porat, Matthew [GIR]:</t>
        </r>
        <r>
          <rPr>
            <sz val="9"/>
            <color indexed="81"/>
            <rFont val="Tahoma"/>
            <family val="2"/>
          </rPr>
          <t xml:space="preserve">
4q17: up
4q18: 895-905</t>
        </r>
      </text>
    </comment>
    <comment ref="CP108" authorId="12" shapeId="0" xr:uid="{00000000-0006-0000-0400-000044000000}">
      <text>
        <r>
          <rPr>
            <b/>
            <sz val="9"/>
            <color indexed="81"/>
            <rFont val="Tahoma"/>
            <family val="2"/>
          </rPr>
          <t>Porat, Matthew [GIR]:</t>
        </r>
        <r>
          <rPr>
            <sz val="9"/>
            <color indexed="81"/>
            <rFont val="Tahoma"/>
            <family val="2"/>
          </rPr>
          <t xml:space="preserve">
4q17: up</t>
        </r>
      </text>
    </comment>
    <comment ref="DN108" authorId="0" shapeId="0" xr:uid="{9FD9C666-69B4-43B9-98F7-5CB43A2D73BA}">
      <text>
        <r>
          <rPr>
            <b/>
            <sz val="9"/>
            <color indexed="81"/>
            <rFont val="Tahoma"/>
            <family val="2"/>
          </rPr>
          <t>Dessert, Connor H [GIR]:</t>
        </r>
        <r>
          <rPr>
            <sz val="9"/>
            <color indexed="81"/>
            <rFont val="Tahoma"/>
            <family val="2"/>
          </rPr>
          <t xml:space="preserve">
3q25: down slightly to flat qoq</t>
        </r>
      </text>
    </comment>
    <comment ref="DO108" authorId="5" shapeId="0" xr:uid="{FF31CAE8-93C5-4975-AC3A-21A4C8D297C7}">
      <text>
        <r>
          <rPr>
            <b/>
            <sz val="9"/>
            <color indexed="81"/>
            <rFont val="Tahoma"/>
            <family val="2"/>
          </rPr>
          <t>Parsons, Gavin [GIR]:</t>
        </r>
        <r>
          <rPr>
            <sz val="9"/>
            <color indexed="81"/>
            <rFont val="Tahoma"/>
            <family val="2"/>
          </rPr>
          <t xml:space="preserve">
nov 22: 800 in '25/26
4q22: same
</t>
        </r>
      </text>
    </comment>
    <comment ref="DT108" authorId="5" shapeId="0" xr:uid="{AAEBB03D-8450-40A1-B611-0C2F5327BE03}">
      <text>
        <r>
          <rPr>
            <b/>
            <sz val="9"/>
            <color indexed="81"/>
            <rFont val="Tahoma"/>
            <family val="2"/>
          </rPr>
          <t>Parsons, Gavin [GIR]:</t>
        </r>
        <r>
          <rPr>
            <sz val="9"/>
            <color indexed="81"/>
            <rFont val="Tahoma"/>
            <family val="2"/>
          </rPr>
          <t xml:space="preserve">
nov 22: 800 in '25/26
4q22: same
4q23: same
</t>
        </r>
      </text>
    </comment>
    <comment ref="DT109" authorId="0" shapeId="0" xr:uid="{397BE59D-B3EB-4EAA-90E4-2B3D52B28C80}">
      <text>
        <r>
          <rPr>
            <b/>
            <sz val="9"/>
            <color indexed="81"/>
            <rFont val="Tahoma"/>
            <family val="2"/>
          </rPr>
          <t>Dessert, Connor H [GIR]:</t>
        </r>
        <r>
          <rPr>
            <sz val="9"/>
            <color indexed="81"/>
            <rFont val="Tahoma"/>
            <family val="2"/>
          </rPr>
          <t xml:space="preserve">
4Q25: +10%</t>
        </r>
      </text>
    </comment>
    <comment ref="B111" authorId="5" shapeId="0" xr:uid="{00000000-0006-0000-0400-000045000000}">
      <text>
        <r>
          <rPr>
            <b/>
            <sz val="9"/>
            <color indexed="81"/>
            <rFont val="Tahoma"/>
            <family val="2"/>
          </rPr>
          <t>Parsons, Gavin [GIR]:</t>
        </r>
        <r>
          <rPr>
            <sz val="9"/>
            <color indexed="81"/>
            <rFont val="Tahoma"/>
            <family val="2"/>
          </rPr>
          <t xml:space="preserve">
internal KC-46 and P-8 deliveries</t>
        </r>
      </text>
    </comment>
    <comment ref="B114" authorId="5" shapeId="0" xr:uid="{00000000-0006-0000-0400-000046000000}">
      <text>
        <r>
          <rPr>
            <b/>
            <sz val="9"/>
            <color indexed="81"/>
            <rFont val="Tahoma"/>
            <family val="2"/>
          </rPr>
          <t>Parsons, Gavin [GIR]:</t>
        </r>
        <r>
          <rPr>
            <sz val="9"/>
            <color indexed="81"/>
            <rFont val="Tahoma"/>
            <family val="2"/>
          </rPr>
          <t xml:space="preserve">
Delivery revenue pre 2016 </t>
        </r>
      </text>
    </comment>
    <comment ref="AW114" authorId="9" shapeId="0" xr:uid="{00000000-0006-0000-0400-000047000000}">
      <text>
        <r>
          <rPr>
            <b/>
            <sz val="8"/>
            <color indexed="81"/>
            <rFont val="Tahoma"/>
            <family val="2"/>
          </rPr>
          <t>sammun:</t>
        </r>
        <r>
          <rPr>
            <sz val="8"/>
            <color indexed="81"/>
            <rFont val="Tahoma"/>
            <family val="2"/>
          </rPr>
          <t xml:space="preserve">
3q11: 36-37
</t>
        </r>
      </text>
    </comment>
    <comment ref="CF114" authorId="12" shapeId="0" xr:uid="{00000000-0006-0000-0400-000048000000}">
      <text>
        <r>
          <rPr>
            <b/>
            <sz val="9"/>
            <color indexed="81"/>
            <rFont val="Tahoma"/>
            <family val="2"/>
          </rPr>
          <t>Porat, Matthew [GIR]:</t>
        </r>
        <r>
          <rPr>
            <sz val="9"/>
            <color indexed="81"/>
            <rFont val="Tahoma"/>
            <family val="2"/>
          </rPr>
          <t xml:space="preserve">
4q17: 59.5-60.5
1q18: same
2q18: same
3q18: same
[restated]</t>
        </r>
      </text>
    </comment>
    <comment ref="CK114" authorId="12" shapeId="0" xr:uid="{00000000-0006-0000-0400-000049000000}">
      <text>
        <r>
          <rPr>
            <b/>
            <sz val="9"/>
            <color indexed="81"/>
            <rFont val="Tahoma"/>
            <family val="2"/>
          </rPr>
          <t>Porat, Matthew [GIR]:</t>
        </r>
        <r>
          <rPr>
            <sz val="9"/>
            <color indexed="81"/>
            <rFont val="Tahoma"/>
            <family val="2"/>
          </rPr>
          <t xml:space="preserve">
4q18: 64.5-65.5</t>
        </r>
      </text>
    </comment>
    <comment ref="DI114" authorId="0" shapeId="0" xr:uid="{E949D14C-718A-46AF-8CD0-5A719DC2C8CD}">
      <text>
        <r>
          <rPr>
            <b/>
            <sz val="9"/>
            <color indexed="81"/>
            <rFont val="Tahoma"/>
            <family val="2"/>
          </rPr>
          <t>Dessert, Connor H [GIR]:</t>
        </r>
        <r>
          <rPr>
            <sz val="9"/>
            <color indexed="81"/>
            <rFont val="Tahoma"/>
            <family val="2"/>
          </rPr>
          <t xml:space="preserve">
4q24 pre-ann: 4,800</t>
        </r>
      </text>
    </comment>
    <comment ref="AC117" authorId="3" shapeId="0" xr:uid="{00000000-0006-0000-0400-00004A000000}">
      <text>
        <r>
          <rPr>
            <b/>
            <sz val="8"/>
            <color indexed="81"/>
            <rFont val="Tahoma"/>
            <family val="2"/>
          </rPr>
          <t>poponn:</t>
        </r>
        <r>
          <rPr>
            <sz val="8"/>
            <color indexed="81"/>
            <rFont val="Tahoma"/>
            <family val="2"/>
          </rPr>
          <t xml:space="preserve">
Aviall acqusition press release says rev was 1.3bn in '05 with 25% growth expected in 2006</t>
        </r>
      </text>
    </comment>
    <comment ref="DO129" authorId="5" shapeId="0" xr:uid="{0FFFA205-C27F-4342-A8C4-88D42F8C5388}">
      <text>
        <r>
          <rPr>
            <b/>
            <sz val="9"/>
            <color indexed="81"/>
            <rFont val="Tahoma"/>
            <family val="2"/>
          </rPr>
          <t>Parsons, Gavin [GIR]:</t>
        </r>
        <r>
          <rPr>
            <sz val="9"/>
            <color indexed="81"/>
            <rFont val="Tahoma"/>
            <family val="2"/>
          </rPr>
          <t xml:space="preserve">
nov 22: &lt;50% of mix</t>
        </r>
      </text>
    </comment>
    <comment ref="B132" authorId="5" shapeId="0" xr:uid="{00000000-0006-0000-0400-00004B000000}">
      <text>
        <r>
          <rPr>
            <b/>
            <sz val="9"/>
            <color indexed="81"/>
            <rFont val="Tahoma"/>
            <family val="2"/>
          </rPr>
          <t>Parsons, Gavin [GIR]:</t>
        </r>
        <r>
          <rPr>
            <sz val="9"/>
            <color indexed="81"/>
            <rFont val="Tahoma"/>
            <family val="2"/>
          </rPr>
          <t xml:space="preserve">
BCA services pre 2016</t>
        </r>
      </text>
    </comment>
    <comment ref="CF132" authorId="12" shapeId="0" xr:uid="{00000000-0006-0000-0400-00004C000000}">
      <text>
        <r>
          <rPr>
            <b/>
            <sz val="9"/>
            <color indexed="81"/>
            <rFont val="Tahoma"/>
            <family val="2"/>
          </rPr>
          <t>Porat, Matthew [GIR]:</t>
        </r>
        <r>
          <rPr>
            <sz val="9"/>
            <color indexed="81"/>
            <rFont val="Tahoma"/>
            <family val="2"/>
          </rPr>
          <t xml:space="preserve">
4q17: 15.0-15.5
1q18: same
2q18: 15.5-16.0
3q18: 16.0-16.5</t>
        </r>
      </text>
    </comment>
    <comment ref="CK132" authorId="12" shapeId="0" xr:uid="{00000000-0006-0000-0400-00004D000000}">
      <text>
        <r>
          <rPr>
            <b/>
            <sz val="9"/>
            <color indexed="81"/>
            <rFont val="Tahoma"/>
            <family val="2"/>
          </rPr>
          <t>Porat, Matthew [GIR]:</t>
        </r>
        <r>
          <rPr>
            <sz val="9"/>
            <color indexed="81"/>
            <rFont val="Tahoma"/>
            <family val="2"/>
          </rPr>
          <t xml:space="preserve">
4q18: 18.5-19.0</t>
        </r>
      </text>
    </comment>
    <comment ref="B135" authorId="5" shapeId="0" xr:uid="{00000000-0006-0000-0400-00004E000000}">
      <text>
        <r>
          <rPr>
            <b/>
            <sz val="9"/>
            <color indexed="81"/>
            <rFont val="Tahoma"/>
            <family val="2"/>
          </rPr>
          <t>Parsons, Gavin [GIR]:</t>
        </r>
        <r>
          <rPr>
            <sz val="9"/>
            <color indexed="81"/>
            <rFont val="Tahoma"/>
            <family val="2"/>
          </rPr>
          <t xml:space="preserve">
Comparable to legacy BCA of pre-2016</t>
        </r>
      </text>
    </comment>
    <comment ref="X135" authorId="3" shapeId="0" xr:uid="{00000000-0006-0000-0400-00004F000000}">
      <text>
        <r>
          <rPr>
            <b/>
            <sz val="8"/>
            <color indexed="81"/>
            <rFont val="Tahoma"/>
            <family val="2"/>
          </rPr>
          <t>poponn:</t>
        </r>
        <r>
          <rPr>
            <sz val="8"/>
            <color indexed="81"/>
            <rFont val="Tahoma"/>
            <family val="2"/>
          </rPr>
          <t xml:space="preserve">
1q06: 27,500
2q06: 28,000
3q06: same</t>
        </r>
      </text>
    </comment>
    <comment ref="AC135" authorId="3" shapeId="0" xr:uid="{00000000-0006-0000-0400-000050000000}">
      <text>
        <r>
          <rPr>
            <b/>
            <sz val="8"/>
            <color indexed="81"/>
            <rFont val="Tahoma"/>
            <family val="2"/>
          </rPr>
          <t>poponn:</t>
        </r>
        <r>
          <rPr>
            <sz val="8"/>
            <color indexed="81"/>
            <rFont val="Tahoma"/>
            <family val="2"/>
          </rPr>
          <t xml:space="preserve">
1q06: 29,500-30,500
2q06: 30,500-31,500
3q06: 32,500-33,000
4q06: same
1q07: same
2q07: 33,000
3q07: same</t>
        </r>
      </text>
    </comment>
    <comment ref="AH135" authorId="3" shapeId="0" xr:uid="{00000000-0006-0000-0400-000051000000}">
      <text>
        <r>
          <rPr>
            <b/>
            <sz val="8"/>
            <color indexed="81"/>
            <rFont val="Tahoma"/>
            <family val="2"/>
          </rPr>
          <t>poponn:</t>
        </r>
        <r>
          <rPr>
            <sz val="8"/>
            <color indexed="81"/>
            <rFont val="Tahoma"/>
            <family val="2"/>
          </rPr>
          <t xml:space="preserve">
4q06: 39,000-40,000
1q07: same
2q07: same
3q07: 35,000-36,000
4q07: 34,500-35,000
1q08: same
2q08: same</t>
        </r>
      </text>
    </comment>
    <comment ref="AM135" authorId="3" shapeId="0" xr:uid="{00000000-0006-0000-0400-000052000000}">
      <text>
        <r>
          <rPr>
            <b/>
            <sz val="8"/>
            <color indexed="81"/>
            <rFont val="Tahoma"/>
            <family val="2"/>
          </rPr>
          <t>poponn:</t>
        </r>
        <r>
          <rPr>
            <sz val="8"/>
            <color indexed="81"/>
            <rFont val="Tahoma"/>
            <family val="2"/>
          </rPr>
          <t xml:space="preserve">
1q08: 37,000-38,000
2q08: same
4q08: 34,000-35,000
2q09: same</t>
        </r>
      </text>
    </comment>
    <comment ref="AW135" authorId="9" shapeId="0" xr:uid="{00000000-0006-0000-0400-000053000000}">
      <text>
        <r>
          <rPr>
            <b/>
            <sz val="8"/>
            <color indexed="81"/>
            <rFont val="Tahoma"/>
            <family val="2"/>
          </rPr>
          <t>sammun:</t>
        </r>
        <r>
          <rPr>
            <sz val="8"/>
            <color indexed="81"/>
            <rFont val="Tahoma"/>
            <family val="2"/>
          </rPr>
          <t xml:space="preserve">
3q11: $36-37
</t>
        </r>
      </text>
    </comment>
    <comment ref="BG135" authorId="9" shapeId="0" xr:uid="{00000000-0006-0000-0400-000054000000}">
      <text>
        <r>
          <rPr>
            <b/>
            <sz val="8"/>
            <color indexed="81"/>
            <rFont val="Tahoma"/>
            <family val="2"/>
          </rPr>
          <t>sammun:</t>
        </r>
        <r>
          <rPr>
            <sz val="8"/>
            <color indexed="81"/>
            <rFont val="Tahoma"/>
            <family val="2"/>
          </rPr>
          <t xml:space="preserve">
4q12: 51-53
1q13: same</t>
        </r>
      </text>
    </comment>
    <comment ref="BL135" authorId="4" shapeId="0" xr:uid="{00000000-0006-0000-0400-000055000000}">
      <text>
        <r>
          <rPr>
            <b/>
            <sz val="9"/>
            <color indexed="81"/>
            <rFont val="Tahoma"/>
            <family val="2"/>
          </rPr>
          <t>gneeti:</t>
        </r>
        <r>
          <rPr>
            <sz val="9"/>
            <color indexed="81"/>
            <rFont val="Tahoma"/>
            <family val="2"/>
          </rPr>
          <t xml:space="preserve">
4q13: 57.5-59.5
1q14: same
2q14: same
3q14: same</t>
        </r>
      </text>
    </comment>
    <comment ref="BQ135" authorId="11" shapeId="0" xr:uid="{00000000-0006-0000-0400-000056000000}">
      <text>
        <r>
          <rPr>
            <b/>
            <sz val="9"/>
            <color indexed="81"/>
            <rFont val="Tahoma"/>
            <family val="2"/>
          </rPr>
          <t>kwondo:</t>
        </r>
        <r>
          <rPr>
            <sz val="9"/>
            <color indexed="81"/>
            <rFont val="Tahoma"/>
            <family val="2"/>
          </rPr>
          <t xml:space="preserve">
4q14: 64.5-65.5
1q15: same
2q15: same
3q15: 65.0-66.0</t>
        </r>
      </text>
    </comment>
    <comment ref="BV135" authorId="5" shapeId="0" xr:uid="{00000000-0006-0000-0400-000057000000}">
      <text>
        <r>
          <rPr>
            <b/>
            <sz val="9"/>
            <color indexed="81"/>
            <rFont val="Tahoma"/>
            <family val="2"/>
          </rPr>
          <t>Parsons, Gavin [GIR]:</t>
        </r>
        <r>
          <rPr>
            <sz val="9"/>
            <color indexed="81"/>
            <rFont val="Tahoma"/>
            <family val="2"/>
          </rPr>
          <t xml:space="preserve">
4q15: 64.0-65.0
1q16: same
2q16: same
3q16: 64.5-65.5</t>
        </r>
      </text>
    </comment>
    <comment ref="CA135" authorId="5" shapeId="0" xr:uid="{00000000-0006-0000-0400-000058000000}">
      <text>
        <r>
          <rPr>
            <b/>
            <sz val="9"/>
            <color indexed="81"/>
            <rFont val="Tahoma"/>
            <family val="2"/>
          </rPr>
          <t>Parsons, Gavin [GIR]:</t>
        </r>
        <r>
          <rPr>
            <sz val="9"/>
            <color indexed="81"/>
            <rFont val="Tahoma"/>
            <family val="2"/>
          </rPr>
          <t xml:space="preserve">
sep 16: flattish
4q16: 62.5-63.5
1q17: same
2q17: same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Dessert, Connor H [GIR]</author>
    <author>Parsons, Gavin [GIR]</author>
    <author>wachun</author>
    <author>krissa</author>
    <author>gsa</author>
    <author>poponn</author>
    <author>gneeti</author>
    <author>sammun</author>
    <author>kwondo</author>
    <author>Porat, Matthew [GIR]</author>
    <author>Correa, Tais [GIR]</author>
    <author>Blake, BEN [GIR]</author>
    <author>Authorized User</author>
    <author>khalom</author>
    <author>Valentini, Anthony [GIR]</author>
    <author>Ortmayer, Will [GIR]</author>
  </authors>
  <commentList>
    <comment ref="DP7" authorId="0" shapeId="0" xr:uid="{576D3AE1-DB34-490D-B946-E323461FED9B}">
      <text>
        <r>
          <rPr>
            <b/>
            <sz val="9"/>
            <color indexed="81"/>
            <rFont val="Tahoma"/>
            <family val="2"/>
          </rPr>
          <t>Dessert, Connor H [GIR]:</t>
        </r>
        <r>
          <rPr>
            <sz val="9"/>
            <color indexed="81"/>
            <rFont val="Tahoma"/>
            <family val="2"/>
          </rPr>
          <t xml:space="preserve">
1q26: SPR and DAS largely offset each other</t>
        </r>
      </text>
    </comment>
    <comment ref="DQ7" authorId="0" shapeId="0" xr:uid="{3E9BF994-C5F6-4D81-9CD0-B7A89378DDEA}">
      <text>
        <r>
          <rPr>
            <b/>
            <sz val="9"/>
            <color indexed="81"/>
            <rFont val="Tahoma"/>
            <family val="2"/>
          </rPr>
          <t>Dessert, Connor H [GIR]:</t>
        </r>
        <r>
          <rPr>
            <sz val="9"/>
            <color indexed="81"/>
            <rFont val="Tahoma"/>
            <family val="2"/>
          </rPr>
          <t xml:space="preserve">
1q26: SPR and DAS largely offset each other</t>
        </r>
      </text>
    </comment>
    <comment ref="B8" authorId="1" shapeId="0" xr:uid="{00000000-0006-0000-0500-000001000000}">
      <text>
        <r>
          <rPr>
            <b/>
            <sz val="9"/>
            <color indexed="81"/>
            <rFont val="Tahoma"/>
            <family val="2"/>
          </rPr>
          <t>Parsons, Gavin [GIR]:</t>
        </r>
        <r>
          <rPr>
            <sz val="9"/>
            <color indexed="81"/>
            <rFont val="Tahoma"/>
            <family val="2"/>
          </rPr>
          <t xml:space="preserve">
Closed 10/8/17
No revenue / price disclosed; "does not affect 2017 guidance"
&gt;550 employees 
Rev $260 = BA per employee / 2</t>
        </r>
      </text>
    </comment>
    <comment ref="B9" authorId="2" shapeId="0" xr:uid="{00000000-0006-0000-0500-000002000000}">
      <text>
        <r>
          <rPr>
            <b/>
            <sz val="8"/>
            <color indexed="81"/>
            <rFont val="Tahoma"/>
            <family val="2"/>
          </rPr>
          <t>wachun:</t>
        </r>
        <r>
          <rPr>
            <sz val="8"/>
            <color indexed="81"/>
            <rFont val="Tahoma"/>
            <family val="2"/>
          </rPr>
          <t xml:space="preserve">
Summit employs 135 people to manufacture titanium and other hard metal structures for commercial and military aircraft.
</t>
        </r>
      </text>
    </comment>
    <comment ref="B10" authorId="3" shapeId="0" xr:uid="{00000000-0006-0000-0500-000003000000}">
      <text>
        <r>
          <rPr>
            <b/>
            <sz val="8"/>
            <color indexed="81"/>
            <rFont val="Tahoma"/>
            <family val="2"/>
          </rPr>
          <t>wachun:</t>
        </r>
        <r>
          <rPr>
            <sz val="8"/>
            <color indexed="81"/>
            <rFont val="Tahoma"/>
            <family val="2"/>
          </rPr>
          <t xml:space="preserve">
Acquired remaining 50% stake</t>
        </r>
      </text>
    </comment>
    <comment ref="B11" authorId="4" shapeId="0" xr:uid="{00000000-0006-0000-0500-000004000000}">
      <text>
        <r>
          <rPr>
            <b/>
            <sz val="8"/>
            <color indexed="81"/>
            <rFont val="Tahoma"/>
            <family val="2"/>
          </rPr>
          <t>wachun:</t>
        </r>
        <r>
          <rPr>
            <sz val="8"/>
            <color indexed="81"/>
            <rFont val="Tahoma"/>
            <family val="2"/>
          </rPr>
          <t xml:space="preserve">
580mn in cash. About 500 employees</t>
        </r>
      </text>
    </comment>
    <comment ref="AK11" authorId="4" shapeId="0" xr:uid="{00000000-0006-0000-0500-000005000000}">
      <text>
        <r>
          <rPr>
            <b/>
            <sz val="8"/>
            <color indexed="81"/>
            <rFont val="Tahoma"/>
            <family val="2"/>
          </rPr>
          <t>wachun:</t>
        </r>
        <r>
          <rPr>
            <sz val="8"/>
            <color indexed="81"/>
            <rFont val="Tahoma"/>
            <family val="2"/>
          </rPr>
          <t xml:space="preserve">
Annualizing Vought's revenue per employee from 3Q09 ytd.</t>
        </r>
      </text>
    </comment>
    <comment ref="B12" authorId="3" shapeId="0" xr:uid="{00000000-0006-0000-0500-000006000000}">
      <text>
        <r>
          <rPr>
            <b/>
            <sz val="8"/>
            <color indexed="81"/>
            <rFont val="Tahoma"/>
            <family val="2"/>
          </rPr>
          <t>krissa:</t>
        </r>
        <r>
          <rPr>
            <sz val="8"/>
            <color indexed="81"/>
            <rFont val="Tahoma"/>
            <family val="2"/>
          </rPr>
          <t xml:space="preserve">
Boeing acquired 40% of this unit for 22.3 mn, total Boeing stake in this unit is now 80% , we estimate the P/S ratio of 0.75 hence the revenue addition expected will be 23.7
 mn</t>
        </r>
      </text>
    </comment>
    <comment ref="B13" authorId="3" shapeId="0" xr:uid="{00000000-0006-0000-0500-000007000000}">
      <text>
        <r>
          <rPr>
            <b/>
            <sz val="8"/>
            <color indexed="81"/>
            <rFont val="Tahoma"/>
            <family val="2"/>
          </rPr>
          <t>krissa:</t>
        </r>
        <r>
          <rPr>
            <sz val="8"/>
            <color indexed="81"/>
            <rFont val="Tahoma"/>
            <family val="2"/>
          </rPr>
          <t xml:space="preserve">
Boeing acquired 50% stake in the unit, the unit has 450 people hence the revenue addition estimate is 45 mn</t>
        </r>
      </text>
    </comment>
    <comment ref="B14" authorId="3" shapeId="0" xr:uid="{00000000-0006-0000-0500-000008000000}">
      <text>
        <r>
          <rPr>
            <b/>
            <sz val="8"/>
            <color indexed="81"/>
            <rFont val="Tahoma"/>
            <family val="2"/>
          </rPr>
          <t xml:space="preserve">wachun:
</t>
        </r>
        <r>
          <rPr>
            <sz val="8"/>
            <color indexed="81"/>
            <rFont val="Tahoma"/>
            <family val="2"/>
          </rPr>
          <t>BCAG. About 10mn revenue</t>
        </r>
      </text>
    </comment>
    <comment ref="B15" authorId="3" shapeId="0" xr:uid="{00000000-0006-0000-0500-000009000000}">
      <text>
        <r>
          <rPr>
            <b/>
            <sz val="8"/>
            <color indexed="81"/>
            <rFont val="Tahoma"/>
            <family val="2"/>
          </rPr>
          <t>krissa:</t>
        </r>
        <r>
          <rPr>
            <sz val="8"/>
            <color indexed="81"/>
            <rFont val="Tahoma"/>
            <family val="2"/>
          </rPr>
          <t xml:space="preserve">
the company has 16 employee, revenue addition expected 3.2 mn
this unit will be part of Aviall
assumed to be part of Boeing Commercial Airplanes</t>
        </r>
      </text>
    </comment>
    <comment ref="B16" authorId="3" shapeId="0" xr:uid="{00000000-0006-0000-0500-00000A000000}">
      <text>
        <r>
          <rPr>
            <b/>
            <sz val="8"/>
            <color indexed="81"/>
            <rFont val="Tahoma"/>
            <family val="2"/>
          </rPr>
          <t>wachun:</t>
        </r>
        <r>
          <rPr>
            <sz val="8"/>
            <color indexed="81"/>
            <rFont val="Tahoma"/>
            <family val="2"/>
          </rPr>
          <t xml:space="preserve">
BCAG.  Digital map provider, 74 employees</t>
        </r>
      </text>
    </comment>
    <comment ref="B17" authorId="3" shapeId="0" xr:uid="{00000000-0006-0000-0500-00000B000000}">
      <text>
        <r>
          <rPr>
            <b/>
            <sz val="8"/>
            <color indexed="81"/>
            <rFont val="Tahoma"/>
            <family val="2"/>
          </rPr>
          <t>krissa:</t>
        </r>
        <r>
          <rPr>
            <sz val="8"/>
            <color indexed="81"/>
            <rFont val="Tahoma"/>
            <family val="2"/>
          </rPr>
          <t xml:space="preserve">
will be part of Boeing Commercial Aviation, Annual revenue at the time of acquisition was 1370 mn</t>
        </r>
      </text>
    </comment>
    <comment ref="B18" authorId="3" shapeId="0" xr:uid="{00000000-0006-0000-0500-00000C000000}">
      <text>
        <r>
          <rPr>
            <b/>
            <sz val="8"/>
            <color indexed="81"/>
            <rFont val="Tahoma"/>
            <family val="2"/>
          </rPr>
          <t>krissa:</t>
        </r>
        <r>
          <rPr>
            <sz val="8"/>
            <color indexed="81"/>
            <rFont val="Tahoma"/>
            <family val="2"/>
          </rPr>
          <t xml:space="preserve">
revenue addition  expected 33.2 mn, source factset
The unit will be part of Boeing Commercial Aviation</t>
        </r>
      </text>
    </comment>
    <comment ref="B19" authorId="3" shapeId="0" xr:uid="{00000000-0006-0000-0500-00000D000000}">
      <text>
        <r>
          <rPr>
            <b/>
            <sz val="8"/>
            <color indexed="81"/>
            <rFont val="Tahoma"/>
            <family val="2"/>
          </rPr>
          <t xml:space="preserve">krissa:
</t>
        </r>
        <r>
          <rPr>
            <sz val="8"/>
            <color indexed="81"/>
            <rFont val="Tahoma"/>
            <family val="2"/>
          </rPr>
          <t>will be part of Boeing commercial aviation,
have 800 employees in 21 locations, estimate revenue to be 80 mn at per employee rate of $100000</t>
        </r>
      </text>
    </comment>
    <comment ref="B20" authorId="3" shapeId="0" xr:uid="{00000000-0006-0000-0500-00000E000000}">
      <text>
        <r>
          <rPr>
            <b/>
            <sz val="8"/>
            <color indexed="81"/>
            <rFont val="Tahoma"/>
            <family val="2"/>
          </rPr>
          <t>krissa:</t>
        </r>
        <r>
          <rPr>
            <sz val="8"/>
            <color indexed="81"/>
            <rFont val="Tahoma"/>
            <family val="2"/>
          </rPr>
          <t xml:space="preserve">
part of commercial aviation, assume additional revenue of 14 mn with 70 employees</t>
        </r>
      </text>
    </comment>
    <comment ref="B21" authorId="3" shapeId="0" xr:uid="{00000000-0006-0000-0500-00000F000000}">
      <text>
        <r>
          <rPr>
            <b/>
            <sz val="8"/>
            <color indexed="81"/>
            <rFont val="Tahoma"/>
            <family val="2"/>
          </rPr>
          <t>krissa:</t>
        </r>
        <r>
          <rPr>
            <sz val="8"/>
            <color indexed="81"/>
            <rFont val="Tahoma"/>
            <family val="2"/>
          </rPr>
          <t xml:space="preserve">
acquired by Boeing Australia division, terms not disclosed,
revenue in 1999 was 92 mn</t>
        </r>
      </text>
    </comment>
    <comment ref="B22" authorId="3" shapeId="0" xr:uid="{00000000-0006-0000-0500-000010000000}">
      <text>
        <r>
          <rPr>
            <b/>
            <sz val="8"/>
            <color indexed="81"/>
            <rFont val="Tahoma"/>
            <family val="2"/>
          </rPr>
          <t>krissa:</t>
        </r>
        <r>
          <rPr>
            <sz val="8"/>
            <color indexed="81"/>
            <rFont val="Tahoma"/>
            <family val="2"/>
          </rPr>
          <t xml:space="preserve">
have only 14 employees assume revenue addition of 2.8 mn,
will be part of Boeing commercial Aerospace</t>
        </r>
      </text>
    </comment>
    <comment ref="B23" authorId="3" shapeId="0" xr:uid="{00000000-0006-0000-0500-000011000000}">
      <text>
        <r>
          <rPr>
            <b/>
            <sz val="8"/>
            <color indexed="81"/>
            <rFont val="Tahoma"/>
            <family val="2"/>
          </rPr>
          <t>krissa:</t>
        </r>
        <r>
          <rPr>
            <sz val="8"/>
            <color indexed="81"/>
            <rFont val="Tahoma"/>
            <family val="2"/>
          </rPr>
          <t xml:space="preserve">
acquired for 1.5 bn cash ,
revenue in 1999 was 235 mn, will be part of Boeing commercial aviation</t>
        </r>
      </text>
    </comment>
    <comment ref="B24" authorId="3" shapeId="0" xr:uid="{00000000-0006-0000-0500-000012000000}">
      <text>
        <r>
          <rPr>
            <b/>
            <sz val="8"/>
            <color indexed="81"/>
            <rFont val="Tahoma"/>
            <family val="2"/>
          </rPr>
          <t>krissa:</t>
        </r>
        <r>
          <rPr>
            <sz val="8"/>
            <color indexed="81"/>
            <rFont val="Tahoma"/>
            <family val="2"/>
          </rPr>
          <t xml:space="preserve">
part of Boeing commercial aviation,
annual revenue at the time of acquisition was 135 mn source: Factset</t>
        </r>
      </text>
    </comment>
    <comment ref="B25" authorId="3" shapeId="0" xr:uid="{00000000-0006-0000-0500-000013000000}">
      <text>
        <r>
          <rPr>
            <b/>
            <sz val="8"/>
            <color indexed="81"/>
            <rFont val="Tahoma"/>
            <family val="2"/>
          </rPr>
          <t>wachun:</t>
        </r>
        <r>
          <rPr>
            <sz val="8"/>
            <color indexed="81"/>
            <rFont val="Tahoma"/>
            <family val="2"/>
          </rPr>
          <t xml:space="preserve">
BCAG. ~40 employees</t>
        </r>
      </text>
    </comment>
    <comment ref="B26" authorId="3" shapeId="0" xr:uid="{00000000-0006-0000-0500-000014000000}">
      <text>
        <r>
          <rPr>
            <b/>
            <sz val="8"/>
            <color indexed="81"/>
            <rFont val="Tahoma"/>
            <family val="2"/>
          </rPr>
          <t>krissa:</t>
        </r>
        <r>
          <rPr>
            <sz val="8"/>
            <color indexed="81"/>
            <rFont val="Tahoma"/>
            <family val="2"/>
          </rPr>
          <t xml:space="preserve">
acquired 36% for 31.2 mn, we are assuming the revenue addition  to be 15
 mn at P/s of 0.75</t>
        </r>
      </text>
    </comment>
    <comment ref="B27" authorId="3" shapeId="0" xr:uid="{00000000-0006-0000-0500-000015000000}">
      <text>
        <r>
          <rPr>
            <b/>
            <sz val="8"/>
            <color indexed="81"/>
            <rFont val="Tahoma"/>
            <family val="2"/>
          </rPr>
          <t>krissa:</t>
        </r>
        <r>
          <rPr>
            <sz val="8"/>
            <color indexed="81"/>
            <rFont val="Tahoma"/>
            <family val="2"/>
          </rPr>
          <t xml:space="preserve">
addition to both IDS and Boeing Commercial Aviation, annual revenue 13.5 bn</t>
        </r>
      </text>
    </comment>
    <comment ref="B29" authorId="3" shapeId="0" xr:uid="{00000000-0006-0000-0500-000016000000}">
      <text>
        <r>
          <rPr>
            <b/>
            <sz val="8"/>
            <color indexed="81"/>
            <rFont val="Tahoma"/>
            <family val="2"/>
          </rPr>
          <t>krissa:</t>
        </r>
        <r>
          <rPr>
            <sz val="8"/>
            <color indexed="81"/>
            <rFont val="Tahoma"/>
            <family val="2"/>
          </rPr>
          <t xml:space="preserve">
part of Boeing commercial aviation , had 370 employee, assume revenue loss of 74 mn</t>
        </r>
      </text>
    </comment>
    <comment ref="B30" authorId="3" shapeId="0" xr:uid="{00000000-0006-0000-0500-000017000000}">
      <text>
        <r>
          <rPr>
            <b/>
            <sz val="8"/>
            <color indexed="81"/>
            <rFont val="Tahoma"/>
            <family val="2"/>
          </rPr>
          <t>krissa:</t>
        </r>
        <r>
          <rPr>
            <sz val="8"/>
            <color indexed="81"/>
            <rFont val="Tahoma"/>
            <family val="2"/>
          </rPr>
          <t xml:space="preserve">
spin off of Spirit Aero Systems, sold for 1.5 bn to Onex, assume the revenue loss to be around to be around 2.5 bn, SPR revenue for 2H 05 was 1.2 bn</t>
        </r>
      </text>
    </comment>
    <comment ref="B31" authorId="3" shapeId="0" xr:uid="{00000000-0006-0000-0500-000018000000}">
      <text>
        <r>
          <rPr>
            <b/>
            <sz val="8"/>
            <color indexed="81"/>
            <rFont val="Tahoma"/>
            <family val="2"/>
          </rPr>
          <t>krissa:</t>
        </r>
        <r>
          <rPr>
            <sz val="8"/>
            <color indexed="81"/>
            <rFont val="Tahoma"/>
            <family val="2"/>
          </rPr>
          <t xml:space="preserve">
czech gov. bought back at stake at near zero value, 
revenue loss of 225 mn</t>
        </r>
      </text>
    </comment>
    <comment ref="B32" authorId="3" shapeId="0" xr:uid="{00000000-0006-0000-0500-000019000000}">
      <text>
        <r>
          <rPr>
            <b/>
            <sz val="8"/>
            <color indexed="81"/>
            <rFont val="Tahoma"/>
            <family val="2"/>
          </rPr>
          <t>krissa:</t>
        </r>
        <r>
          <rPr>
            <sz val="8"/>
            <color indexed="81"/>
            <rFont val="Tahoma"/>
            <family val="2"/>
          </rPr>
          <t xml:space="preserve">
part of commercial aviation, revenue loss of 170 mn</t>
        </r>
      </text>
    </comment>
    <comment ref="B33" authorId="3" shapeId="0" xr:uid="{00000000-0006-0000-0500-00001A000000}">
      <text>
        <r>
          <rPr>
            <b/>
            <sz val="8"/>
            <color indexed="81"/>
            <rFont val="Tahoma"/>
            <family val="2"/>
          </rPr>
          <t>krissa:</t>
        </r>
        <r>
          <rPr>
            <sz val="8"/>
            <color indexed="81"/>
            <rFont val="Tahoma"/>
            <family val="2"/>
          </rPr>
          <t xml:space="preserve">
900 employee unit assume revenue loss of 180 mn</t>
        </r>
      </text>
    </comment>
    <comment ref="B34" authorId="3" shapeId="0" xr:uid="{00000000-0006-0000-0500-00001B000000}">
      <text>
        <r>
          <rPr>
            <b/>
            <sz val="8"/>
            <color indexed="81"/>
            <rFont val="Tahoma"/>
            <family val="2"/>
          </rPr>
          <t>krissa:</t>
        </r>
        <r>
          <rPr>
            <sz val="8"/>
            <color indexed="81"/>
            <rFont val="Tahoma"/>
            <family val="2"/>
          </rPr>
          <t xml:space="preserve">
unit employed 400 people, assume revenue of 80 mn</t>
        </r>
      </text>
    </comment>
    <comment ref="B35" authorId="3" shapeId="0" xr:uid="{00000000-0006-0000-0500-00001C000000}">
      <text>
        <r>
          <rPr>
            <b/>
            <sz val="8"/>
            <color indexed="81"/>
            <rFont val="Tahoma"/>
            <family val="2"/>
          </rPr>
          <t>krissa:</t>
        </r>
        <r>
          <rPr>
            <sz val="8"/>
            <color indexed="81"/>
            <rFont val="Tahoma"/>
            <family val="2"/>
          </rPr>
          <t xml:space="preserve">
350 people are employed  assume revenue loss of 100 mn</t>
        </r>
      </text>
    </comment>
    <comment ref="X36" authorId="5" shapeId="0" xr:uid="{00000000-0006-0000-0500-00001D000000}">
      <text>
        <r>
          <rPr>
            <b/>
            <sz val="8"/>
            <color indexed="81"/>
            <rFont val="Tahoma"/>
            <family val="2"/>
          </rPr>
          <t>poponn:</t>
        </r>
        <r>
          <rPr>
            <sz val="8"/>
            <color indexed="81"/>
            <rFont val="Tahoma"/>
            <family val="2"/>
          </rPr>
          <t xml:space="preserve">
1q06: 27,500
2q06: 28,000
3q06: same</t>
        </r>
      </text>
    </comment>
    <comment ref="AC36" authorId="5" shapeId="0" xr:uid="{00000000-0006-0000-0500-00001E000000}">
      <text>
        <r>
          <rPr>
            <b/>
            <sz val="8"/>
            <color indexed="81"/>
            <rFont val="Tahoma"/>
            <family val="2"/>
          </rPr>
          <t>poponn:</t>
        </r>
        <r>
          <rPr>
            <sz val="8"/>
            <color indexed="81"/>
            <rFont val="Tahoma"/>
            <family val="2"/>
          </rPr>
          <t xml:space="preserve">
1q06: 29,500-30,500
2q06: 30,500-31,500
3q06: 32,500-33,000
4q06: same
1q07: same
2q07: 33,000
3q07: same</t>
        </r>
      </text>
    </comment>
    <comment ref="AH36" authorId="5" shapeId="0" xr:uid="{00000000-0006-0000-0500-00001F000000}">
      <text>
        <r>
          <rPr>
            <b/>
            <sz val="8"/>
            <color indexed="81"/>
            <rFont val="Tahoma"/>
            <family val="2"/>
          </rPr>
          <t>poponn:</t>
        </r>
        <r>
          <rPr>
            <sz val="8"/>
            <color indexed="81"/>
            <rFont val="Tahoma"/>
            <family val="2"/>
          </rPr>
          <t xml:space="preserve">
4q06: 39,000-40,000
1q07: same
2q07: same
3q07: 35,000-36,000
4q07: 34,500-35,000
1q08: same
2q08: same</t>
        </r>
      </text>
    </comment>
    <comment ref="AM36" authorId="5" shapeId="0" xr:uid="{00000000-0006-0000-0500-000020000000}">
      <text>
        <r>
          <rPr>
            <b/>
            <sz val="8"/>
            <color indexed="81"/>
            <rFont val="Tahoma"/>
            <family val="2"/>
          </rPr>
          <t>poponn:</t>
        </r>
        <r>
          <rPr>
            <sz val="8"/>
            <color indexed="81"/>
            <rFont val="Tahoma"/>
            <family val="2"/>
          </rPr>
          <t xml:space="preserve">
1q08: 37,000-38,000
2q08: same
4q08: 34,000-35,000
2q09: same
3q09: same</t>
        </r>
      </text>
    </comment>
    <comment ref="AR36" authorId="2" shapeId="0" xr:uid="{00000000-0006-0000-0500-000021000000}">
      <text>
        <r>
          <rPr>
            <b/>
            <sz val="8"/>
            <color indexed="81"/>
            <rFont val="Tahoma"/>
            <family val="2"/>
          </rPr>
          <t>wachun:</t>
        </r>
        <r>
          <rPr>
            <sz val="8"/>
            <color indexed="81"/>
            <rFont val="Tahoma"/>
            <family val="2"/>
          </rPr>
          <t xml:space="preserve">
4q09: 31,000 - 32,000
1q10: same
2q10: same
3q10: 31,500</t>
        </r>
      </text>
    </comment>
    <comment ref="AW36" authorId="2" shapeId="0" xr:uid="{00000000-0006-0000-0500-000022000000}">
      <text>
        <r>
          <rPr>
            <b/>
            <sz val="8"/>
            <color indexed="81"/>
            <rFont val="Tahoma"/>
            <family val="2"/>
          </rPr>
          <t>wachun:</t>
        </r>
        <r>
          <rPr>
            <sz val="8"/>
            <color indexed="81"/>
            <rFont val="Tahoma"/>
            <family val="2"/>
          </rPr>
          <t xml:space="preserve">
4q10: 36.0-38.0
1q11: same
2q11: same
3q11: 36.0-37.0</t>
        </r>
      </text>
    </comment>
    <comment ref="BB36" authorId="6" shapeId="0" xr:uid="{00000000-0006-0000-0500-000023000000}">
      <text>
        <r>
          <rPr>
            <b/>
            <sz val="8"/>
            <color indexed="81"/>
            <rFont val="Tahoma"/>
            <family val="2"/>
          </rPr>
          <t>gneeti:</t>
        </r>
        <r>
          <rPr>
            <sz val="8"/>
            <color indexed="81"/>
            <rFont val="Tahoma"/>
            <family val="2"/>
          </rPr>
          <t xml:space="preserve">
4q11: 47.5-49.5
1q12: same
2q12: same
3q12: same</t>
        </r>
      </text>
    </comment>
    <comment ref="BG36" authorId="7" shapeId="0" xr:uid="{00000000-0006-0000-0500-000024000000}">
      <text>
        <r>
          <rPr>
            <b/>
            <sz val="8"/>
            <color indexed="81"/>
            <rFont val="Tahoma"/>
            <family val="2"/>
          </rPr>
          <t>sammun:</t>
        </r>
        <r>
          <rPr>
            <sz val="8"/>
            <color indexed="81"/>
            <rFont val="Tahoma"/>
            <family val="2"/>
          </rPr>
          <t xml:space="preserve">
4q12: 51-53
1q13: same
2q13: same
3q13: same</t>
        </r>
      </text>
    </comment>
    <comment ref="BL36" authorId="6" shapeId="0" xr:uid="{00000000-0006-0000-0500-000025000000}">
      <text>
        <r>
          <rPr>
            <b/>
            <sz val="8"/>
            <color indexed="81"/>
            <rFont val="Tahoma"/>
            <family val="2"/>
          </rPr>
          <t>gneeti:</t>
        </r>
        <r>
          <rPr>
            <sz val="8"/>
            <color indexed="81"/>
            <rFont val="Tahoma"/>
            <family val="2"/>
          </rPr>
          <t xml:space="preserve">
4q13: 57.5-59.5
1q14: same
2q14: same
3q14: same</t>
        </r>
      </text>
    </comment>
    <comment ref="BQ36" authorId="8" shapeId="0" xr:uid="{00000000-0006-0000-0500-000026000000}">
      <text>
        <r>
          <rPr>
            <b/>
            <sz val="9"/>
            <color indexed="81"/>
            <rFont val="Tahoma"/>
            <family val="2"/>
          </rPr>
          <t>kwondo:</t>
        </r>
        <r>
          <rPr>
            <sz val="9"/>
            <color indexed="81"/>
            <rFont val="Tahoma"/>
            <family val="2"/>
          </rPr>
          <t xml:space="preserve">
4q14: 64.5-65.5
1q15: same
2q15: same
3q15: 65.0-66.0</t>
        </r>
      </text>
    </comment>
    <comment ref="BV36" authorId="1" shapeId="0" xr:uid="{00000000-0006-0000-0500-000027000000}">
      <text>
        <r>
          <rPr>
            <b/>
            <sz val="9"/>
            <color indexed="81"/>
            <rFont val="Tahoma"/>
            <family val="2"/>
          </rPr>
          <t>Parsons, Gavin [GIR]:</t>
        </r>
        <r>
          <rPr>
            <sz val="9"/>
            <color indexed="81"/>
            <rFont val="Tahoma"/>
            <family val="2"/>
          </rPr>
          <t xml:space="preserve">
4q15: 64.0-65.0
1q16: same
2q16: same
3q16: 64.5-65.5</t>
        </r>
      </text>
    </comment>
    <comment ref="CA36" authorId="1" shapeId="0" xr:uid="{00000000-0006-0000-0500-000028000000}">
      <text>
        <r>
          <rPr>
            <b/>
            <sz val="9"/>
            <color indexed="81"/>
            <rFont val="Tahoma"/>
            <family val="2"/>
          </rPr>
          <t>Parsons, Gavin [GIR]:</t>
        </r>
        <r>
          <rPr>
            <sz val="9"/>
            <color indexed="81"/>
            <rFont val="Tahoma"/>
            <family val="2"/>
          </rPr>
          <t xml:space="preserve">
sep 16: flattish
3q16: flat to down
4q16: 62.5-63.5
1q17: same
2q17: same
3q17: 55.5-56.5</t>
        </r>
      </text>
    </comment>
    <comment ref="CF36" authorId="9" shapeId="0" xr:uid="{00000000-0006-0000-0500-000029000000}">
      <text>
        <r>
          <rPr>
            <b/>
            <sz val="9"/>
            <color indexed="81"/>
            <rFont val="Tahoma"/>
            <family val="2"/>
          </rPr>
          <t>Porat, Matthew [GIR]:</t>
        </r>
        <r>
          <rPr>
            <sz val="9"/>
            <color indexed="81"/>
            <rFont val="Tahoma"/>
            <family val="2"/>
          </rPr>
          <t xml:space="preserve">
4q17: 59.5-60.5
1q18: same
2q18: same
3q18: same
[restated]</t>
        </r>
      </text>
    </comment>
    <comment ref="CH36" authorId="1" shapeId="0" xr:uid="{00000000-0006-0000-0500-00002A000000}">
      <text>
        <r>
          <rPr>
            <b/>
            <sz val="9"/>
            <color indexed="81"/>
            <rFont val="Tahoma"/>
            <family val="2"/>
          </rPr>
          <t>Parsons, Gavin [GIR]:</t>
        </r>
        <r>
          <rPr>
            <sz val="9"/>
            <color indexed="81"/>
            <rFont val="Tahoma"/>
            <family val="2"/>
          </rPr>
          <t xml:space="preserve">
5,600 revenue charge</t>
        </r>
      </text>
    </comment>
    <comment ref="CK36" authorId="9" shapeId="0" xr:uid="{00000000-0006-0000-0500-00002B000000}">
      <text>
        <r>
          <rPr>
            <b/>
            <sz val="9"/>
            <color indexed="81"/>
            <rFont val="Tahoma"/>
            <family val="2"/>
          </rPr>
          <t>Porat, Matthew [GIR]:</t>
        </r>
        <r>
          <rPr>
            <sz val="9"/>
            <color indexed="81"/>
            <rFont val="Tahoma"/>
            <family val="2"/>
          </rPr>
          <t xml:space="preserve">
4q18: 64.5-65.6
</t>
        </r>
      </text>
    </comment>
    <comment ref="CZ36" authorId="1" shapeId="0" xr:uid="{00000000-0006-0000-0500-00002C000000}">
      <text>
        <r>
          <rPr>
            <b/>
            <sz val="9"/>
            <color indexed="81"/>
            <rFont val="Tahoma"/>
            <family val="2"/>
          </rPr>
          <t>Parsons, Gavin [GIR]:</t>
        </r>
        <r>
          <rPr>
            <sz val="9"/>
            <color indexed="81"/>
            <rFont val="Tahoma"/>
            <family val="2"/>
          </rPr>
          <t xml:space="preserve">
1q22: up yoy</t>
        </r>
      </text>
    </comment>
    <comment ref="DI36" authorId="0" shapeId="0" xr:uid="{2D484956-1535-44F3-8CFF-F4307AF1D371}">
      <text>
        <r>
          <rPr>
            <b/>
            <sz val="9"/>
            <color indexed="81"/>
            <rFont val="Tahoma"/>
            <family val="2"/>
          </rPr>
          <t>Dessert, Connor H [GIR]:</t>
        </r>
        <r>
          <rPr>
            <sz val="9"/>
            <color indexed="81"/>
            <rFont val="Tahoma"/>
            <family val="2"/>
          </rPr>
          <t xml:space="preserve">
4q24 pre-ann: 4,800</t>
        </r>
      </text>
    </comment>
    <comment ref="X38" authorId="5" shapeId="0" xr:uid="{00000000-0006-0000-0500-00002D000000}">
      <text>
        <r>
          <rPr>
            <b/>
            <sz val="8"/>
            <color indexed="81"/>
            <rFont val="Tahoma"/>
            <family val="2"/>
          </rPr>
          <t>poponn:</t>
        </r>
        <r>
          <rPr>
            <sz val="8"/>
            <color indexed="81"/>
            <rFont val="Tahoma"/>
            <family val="2"/>
          </rPr>
          <t xml:space="preserve">
1q06: 14,000
2q06: same
3q06: 14,500</t>
        </r>
      </text>
    </comment>
    <comment ref="AC38" authorId="5" shapeId="0" xr:uid="{00000000-0006-0000-0500-00002E000000}">
      <text>
        <r>
          <rPr>
            <b/>
            <sz val="8"/>
            <color indexed="81"/>
            <rFont val="Tahoma"/>
            <family val="2"/>
          </rPr>
          <t>poponn:</t>
        </r>
        <r>
          <rPr>
            <sz val="8"/>
            <color indexed="81"/>
            <rFont val="Tahoma"/>
            <family val="2"/>
          </rPr>
          <t xml:space="preserve">
4q06: 13,500
1q07: same
2q07: same
3q07: 14,000</t>
        </r>
      </text>
    </comment>
    <comment ref="AH38" authorId="5" shapeId="0" xr:uid="{00000000-0006-0000-0500-00002F000000}">
      <text>
        <r>
          <rPr>
            <b/>
            <sz val="8"/>
            <color indexed="81"/>
            <rFont val="Tahoma"/>
            <family val="2"/>
          </rPr>
          <t>poponn:</t>
        </r>
        <r>
          <rPr>
            <sz val="8"/>
            <color indexed="81"/>
            <rFont val="Tahoma"/>
            <family val="2"/>
          </rPr>
          <t xml:space="preserve">
4q07: 13,500
1q08: same
2q08: same</t>
        </r>
      </text>
    </comment>
    <comment ref="AM38" authorId="5" shapeId="0" xr:uid="{00000000-0006-0000-0500-000030000000}">
      <text>
        <r>
          <rPr>
            <b/>
            <sz val="8"/>
            <color indexed="81"/>
            <rFont val="Tahoma"/>
            <family val="2"/>
          </rPr>
          <t>poponn:</t>
        </r>
        <r>
          <rPr>
            <sz val="8"/>
            <color indexed="81"/>
            <rFont val="Tahoma"/>
            <family val="2"/>
          </rPr>
          <t xml:space="preserve">
4q08: 14.0
2q09: same
3q09: same</t>
        </r>
      </text>
    </comment>
    <comment ref="AR38" authorId="2" shapeId="0" xr:uid="{00000000-0006-0000-0500-000031000000}">
      <text>
        <r>
          <rPr>
            <b/>
            <sz val="8"/>
            <color indexed="81"/>
            <rFont val="Tahoma"/>
            <family val="2"/>
          </rPr>
          <t>wachun:</t>
        </r>
        <r>
          <rPr>
            <sz val="8"/>
            <color indexed="81"/>
            <rFont val="Tahoma"/>
            <family val="2"/>
          </rPr>
          <t xml:space="preserve">
4q09: 15,000
1q10: same
2q10: 14,500
3q10: same</t>
        </r>
      </text>
    </comment>
    <comment ref="AW38" authorId="2" shapeId="0" xr:uid="{00000000-0006-0000-0500-000032000000}">
      <text>
        <r>
          <rPr>
            <b/>
            <sz val="8"/>
            <color indexed="81"/>
            <rFont val="Tahoma"/>
            <family val="2"/>
          </rPr>
          <t>wachun:</t>
        </r>
        <r>
          <rPr>
            <sz val="8"/>
            <color indexed="81"/>
            <rFont val="Tahoma"/>
            <family val="2"/>
          </rPr>
          <t xml:space="preserve">
4q10: 14.2-14.7
1q11: same
2q11: 14.7- 15.0
3q11: 14.9-15.2</t>
        </r>
      </text>
    </comment>
    <comment ref="BB38" authorId="6" shapeId="0" xr:uid="{00000000-0006-0000-0500-000033000000}">
      <text>
        <r>
          <rPr>
            <b/>
            <sz val="8"/>
            <color indexed="81"/>
            <rFont val="Tahoma"/>
            <family val="2"/>
          </rPr>
          <t>gneeti:</t>
        </r>
        <r>
          <rPr>
            <sz val="8"/>
            <color indexed="81"/>
            <rFont val="Tahoma"/>
            <family val="2"/>
          </rPr>
          <t xml:space="preserve">
4q11: ~15.0
1q12: same
2q12: ~16
3q12: 16.3</t>
        </r>
      </text>
    </comment>
    <comment ref="BG38" authorId="7" shapeId="0" xr:uid="{00000000-0006-0000-0500-000034000000}">
      <text>
        <r>
          <rPr>
            <b/>
            <sz val="8"/>
            <color indexed="81"/>
            <rFont val="Tahoma"/>
            <family val="2"/>
          </rPr>
          <t>sammun:</t>
        </r>
        <r>
          <rPr>
            <sz val="8"/>
            <color indexed="81"/>
            <rFont val="Tahoma"/>
            <family val="2"/>
          </rPr>
          <t xml:space="preserve">
4q12: 15.5
1q13: same
2q13: 16
3q13: same</t>
        </r>
      </text>
    </comment>
    <comment ref="BL38" authorId="6" shapeId="0" xr:uid="{00000000-0006-0000-0500-000035000000}">
      <text>
        <r>
          <rPr>
            <b/>
            <sz val="8"/>
            <color indexed="81"/>
            <rFont val="Tahoma"/>
            <family val="2"/>
          </rPr>
          <t>gneeti:</t>
        </r>
        <r>
          <rPr>
            <sz val="8"/>
            <color indexed="81"/>
            <rFont val="Tahoma"/>
            <family val="2"/>
          </rPr>
          <t xml:space="preserve">
4q13: ~15
1q14: ~14.2
2q14: same
3q14: ~13.7</t>
        </r>
      </text>
    </comment>
    <comment ref="BQ38" authorId="8" shapeId="0" xr:uid="{00000000-0006-0000-0500-000036000000}">
      <text>
        <r>
          <rPr>
            <b/>
            <sz val="9"/>
            <color indexed="81"/>
            <rFont val="Tahoma"/>
            <family val="2"/>
          </rPr>
          <t>kwondo:</t>
        </r>
        <r>
          <rPr>
            <sz val="9"/>
            <color indexed="81"/>
            <rFont val="Tahoma"/>
            <family val="2"/>
          </rPr>
          <t xml:space="preserve">
4q14: ~12.5
1q15: same
2q15: same
3q15: ~13.0</t>
        </r>
      </text>
    </comment>
    <comment ref="BV38" authorId="1" shapeId="0" xr:uid="{00000000-0006-0000-0500-000037000000}">
      <text>
        <r>
          <rPr>
            <b/>
            <sz val="9"/>
            <color indexed="81"/>
            <rFont val="Tahoma"/>
            <family val="2"/>
          </rPr>
          <t>Parsons, Gavin [GIR]:</t>
        </r>
        <r>
          <rPr>
            <sz val="9"/>
            <color indexed="81"/>
            <rFont val="Tahoma"/>
            <family val="2"/>
          </rPr>
          <t xml:space="preserve">
4q15: 12.3
1q16: same
2q16: same
3q16: 12.4</t>
        </r>
      </text>
    </comment>
    <comment ref="CA38" authorId="1" shapeId="0" xr:uid="{00000000-0006-0000-0500-000038000000}">
      <text>
        <r>
          <rPr>
            <b/>
            <sz val="9"/>
            <color indexed="81"/>
            <rFont val="Tahoma"/>
            <family val="2"/>
          </rPr>
          <t>Parsons, Gavin [GIR]:</t>
        </r>
        <r>
          <rPr>
            <sz val="9"/>
            <color indexed="81"/>
            <rFont val="Tahoma"/>
            <family val="2"/>
          </rPr>
          <t xml:space="preserve">
4q16: 11.5
2q17: same</t>
        </r>
      </text>
    </comment>
    <comment ref="X39" authorId="5" shapeId="0" xr:uid="{00000000-0006-0000-0500-000039000000}">
      <text>
        <r>
          <rPr>
            <b/>
            <sz val="8"/>
            <color indexed="81"/>
            <rFont val="Tahoma"/>
            <family val="2"/>
          </rPr>
          <t>poponn:</t>
        </r>
        <r>
          <rPr>
            <sz val="8"/>
            <color indexed="81"/>
            <rFont val="Tahoma"/>
            <family val="2"/>
          </rPr>
          <t xml:space="preserve">
1q06: 11,500
2q06: same
3q06: 11,000</t>
        </r>
      </text>
    </comment>
    <comment ref="AC39" authorId="5" shapeId="0" xr:uid="{00000000-0006-0000-0500-00003A000000}">
      <text>
        <r>
          <rPr>
            <b/>
            <sz val="8"/>
            <color indexed="81"/>
            <rFont val="Tahoma"/>
            <family val="2"/>
          </rPr>
          <t>poponn:</t>
        </r>
        <r>
          <rPr>
            <sz val="8"/>
            <color indexed="81"/>
            <rFont val="Tahoma"/>
            <family val="2"/>
          </rPr>
          <t xml:space="preserve">
4q06: 11,000
1q07: same
2q07: same
3q07: 11,500</t>
        </r>
      </text>
    </comment>
    <comment ref="AH39" authorId="5" shapeId="0" xr:uid="{00000000-0006-0000-0500-00003B000000}">
      <text>
        <r>
          <rPr>
            <b/>
            <sz val="8"/>
            <color indexed="81"/>
            <rFont val="Tahoma"/>
            <family val="2"/>
          </rPr>
          <t>poponn:</t>
        </r>
        <r>
          <rPr>
            <sz val="8"/>
            <color indexed="81"/>
            <rFont val="Tahoma"/>
            <family val="2"/>
          </rPr>
          <t xml:space="preserve">
4q07: 12,000
1q08: same
2q08: same</t>
        </r>
      </text>
    </comment>
    <comment ref="AM39" authorId="5" shapeId="0" xr:uid="{00000000-0006-0000-0500-00003C000000}">
      <text>
        <r>
          <rPr>
            <b/>
            <sz val="8"/>
            <color indexed="81"/>
            <rFont val="Tahoma"/>
            <family val="2"/>
          </rPr>
          <t>poponn:</t>
        </r>
        <r>
          <rPr>
            <sz val="8"/>
            <color indexed="81"/>
            <rFont val="Tahoma"/>
            <family val="2"/>
          </rPr>
          <t xml:space="preserve">
4q08: 11.5
2q09: same
3Q09: 11</t>
        </r>
      </text>
    </comment>
    <comment ref="AR39" authorId="2" shapeId="0" xr:uid="{00000000-0006-0000-0500-00003D000000}">
      <text>
        <r>
          <rPr>
            <b/>
            <sz val="8"/>
            <color indexed="81"/>
            <rFont val="Tahoma"/>
            <family val="2"/>
          </rPr>
          <t>wachun:</t>
        </r>
        <r>
          <rPr>
            <sz val="8"/>
            <color indexed="81"/>
            <rFont val="Tahoma"/>
            <family val="2"/>
          </rPr>
          <t xml:space="preserve">
4q09: 9,000
1q10: same
2q10: 9,500
3q10: same</t>
        </r>
      </text>
    </comment>
    <comment ref="AW39" authorId="2" shapeId="0" xr:uid="{00000000-0006-0000-0500-00003E000000}">
      <text>
        <r>
          <rPr>
            <b/>
            <sz val="8"/>
            <color indexed="81"/>
            <rFont val="Tahoma"/>
            <family val="2"/>
          </rPr>
          <t>wachun:</t>
        </r>
        <r>
          <rPr>
            <sz val="8"/>
            <color indexed="81"/>
            <rFont val="Tahoma"/>
            <family val="2"/>
          </rPr>
          <t xml:space="preserve">
4q10: 9.0-9.5
1q11: same
2q11: 8.7-9.1
3q11: 8.5-8.9</t>
        </r>
      </text>
    </comment>
    <comment ref="BB39" authorId="6" shapeId="0" xr:uid="{00000000-0006-0000-0500-00003F000000}">
      <text>
        <r>
          <rPr>
            <b/>
            <sz val="8"/>
            <color indexed="81"/>
            <rFont val="Tahoma"/>
            <family val="2"/>
          </rPr>
          <t>gneeti:</t>
        </r>
        <r>
          <rPr>
            <sz val="8"/>
            <color indexed="81"/>
            <rFont val="Tahoma"/>
            <family val="2"/>
          </rPr>
          <t xml:space="preserve">
4q11: ~7.25
1q12: same
2q12: same
3q12: 7.7</t>
        </r>
      </text>
    </comment>
    <comment ref="BG39" authorId="7" shapeId="0" xr:uid="{00000000-0006-0000-0500-000040000000}">
      <text>
        <r>
          <rPr>
            <b/>
            <sz val="8"/>
            <color indexed="81"/>
            <rFont val="Tahoma"/>
            <family val="2"/>
          </rPr>
          <t>sammun:</t>
        </r>
        <r>
          <rPr>
            <sz val="8"/>
            <color indexed="81"/>
            <rFont val="Tahoma"/>
            <family val="2"/>
          </rPr>
          <t xml:space="preserve">
4q12: 7.3
1q13: same
2q13: 7.8
3q13: same</t>
        </r>
      </text>
    </comment>
    <comment ref="BL39" authorId="6" shapeId="0" xr:uid="{00000000-0006-0000-0500-000041000000}">
      <text>
        <r>
          <rPr>
            <b/>
            <sz val="8"/>
            <color indexed="81"/>
            <rFont val="Tahoma"/>
            <family val="2"/>
          </rPr>
          <t>gneeti:</t>
        </r>
        <r>
          <rPr>
            <sz val="8"/>
            <color indexed="81"/>
            <rFont val="Tahoma"/>
            <family val="2"/>
          </rPr>
          <t xml:space="preserve">
4q13: ~7.7
1q14: same
2q14: same
3q14: same</t>
        </r>
      </text>
    </comment>
    <comment ref="BQ39" authorId="8" shapeId="0" xr:uid="{00000000-0006-0000-0500-000042000000}">
      <text>
        <r>
          <rPr>
            <b/>
            <sz val="9"/>
            <color indexed="81"/>
            <rFont val="Tahoma"/>
            <family val="2"/>
          </rPr>
          <t>kwondo:</t>
        </r>
        <r>
          <rPr>
            <sz val="9"/>
            <color indexed="81"/>
            <rFont val="Tahoma"/>
            <family val="2"/>
          </rPr>
          <t xml:space="preserve">
4q14: ~8.0
1q15: same
2q15: same
3q15: ~7.5</t>
        </r>
      </text>
    </comment>
    <comment ref="BV39" authorId="1" shapeId="0" xr:uid="{00000000-0006-0000-0500-000043000000}">
      <text>
        <r>
          <rPr>
            <b/>
            <sz val="9"/>
            <color indexed="81"/>
            <rFont val="Tahoma"/>
            <family val="2"/>
          </rPr>
          <t>Parsons, Gavin [GIR]:</t>
        </r>
        <r>
          <rPr>
            <sz val="9"/>
            <color indexed="81"/>
            <rFont val="Tahoma"/>
            <family val="2"/>
          </rPr>
          <t xml:space="preserve">
4q15: 7.3
1q16: same
2q16: same
3q16: 7.0</t>
        </r>
      </text>
    </comment>
    <comment ref="CA39" authorId="1" shapeId="0" xr:uid="{00000000-0006-0000-0500-000044000000}">
      <text>
        <r>
          <rPr>
            <b/>
            <sz val="9"/>
            <color indexed="81"/>
            <rFont val="Tahoma"/>
            <family val="2"/>
          </rPr>
          <t>Parsons, Gavin [GIR]:</t>
        </r>
        <r>
          <rPr>
            <sz val="9"/>
            <color indexed="81"/>
            <rFont val="Tahoma"/>
            <family val="2"/>
          </rPr>
          <t xml:space="preserve">
4q16: 7.0
2q17: same</t>
        </r>
      </text>
    </comment>
    <comment ref="X40" authorId="5" shapeId="0" xr:uid="{00000000-0006-0000-0500-000045000000}">
      <text>
        <r>
          <rPr>
            <b/>
            <sz val="8"/>
            <color indexed="81"/>
            <rFont val="Tahoma"/>
            <family val="2"/>
          </rPr>
          <t>poponn:</t>
        </r>
        <r>
          <rPr>
            <sz val="8"/>
            <color indexed="81"/>
            <rFont val="Tahoma"/>
            <family val="2"/>
          </rPr>
          <t xml:space="preserve">
1q06: 6,000
2q06: same
3q06: same</t>
        </r>
      </text>
    </comment>
    <comment ref="AC40" authorId="5" shapeId="0" xr:uid="{00000000-0006-0000-0500-000046000000}">
      <text>
        <r>
          <rPr>
            <b/>
            <sz val="8"/>
            <color indexed="81"/>
            <rFont val="Tahoma"/>
            <family val="2"/>
          </rPr>
          <t>poponn:</t>
        </r>
        <r>
          <rPr>
            <sz val="8"/>
            <color indexed="81"/>
            <rFont val="Tahoma"/>
            <family val="2"/>
          </rPr>
          <t xml:space="preserve">
4q06: 6,500
1q07: same
2q07: same
3q07: same</t>
        </r>
      </text>
    </comment>
    <comment ref="AH40" authorId="5" shapeId="0" xr:uid="{00000000-0006-0000-0500-000047000000}">
      <text>
        <r>
          <rPr>
            <b/>
            <sz val="8"/>
            <color indexed="81"/>
            <rFont val="Tahoma"/>
            <family val="2"/>
          </rPr>
          <t>poponn:</t>
        </r>
        <r>
          <rPr>
            <sz val="8"/>
            <color indexed="81"/>
            <rFont val="Tahoma"/>
            <family val="2"/>
          </rPr>
          <t xml:space="preserve">
4q07: 7,000
1q08: same
2q08: same</t>
        </r>
      </text>
    </comment>
    <comment ref="AM40" authorId="5" shapeId="0" xr:uid="{00000000-0006-0000-0500-000048000000}">
      <text>
        <r>
          <rPr>
            <b/>
            <sz val="8"/>
            <color indexed="81"/>
            <rFont val="Tahoma"/>
            <family val="2"/>
          </rPr>
          <t>poponn:</t>
        </r>
        <r>
          <rPr>
            <sz val="8"/>
            <color indexed="81"/>
            <rFont val="Tahoma"/>
            <family val="2"/>
          </rPr>
          <t xml:space="preserve">
4q08: 8.0
2q09: same
3q09: 8.5</t>
        </r>
      </text>
    </comment>
    <comment ref="AR40" authorId="2" shapeId="0" xr:uid="{00000000-0006-0000-0500-000049000000}">
      <text>
        <r>
          <rPr>
            <b/>
            <sz val="8"/>
            <color indexed="81"/>
            <rFont val="Tahoma"/>
            <family val="2"/>
          </rPr>
          <t>wachun:</t>
        </r>
        <r>
          <rPr>
            <sz val="8"/>
            <color indexed="81"/>
            <rFont val="Tahoma"/>
            <family val="2"/>
          </rPr>
          <t xml:space="preserve">
4q09: 8,500
1q10: same
2q10: same
3q10: same</t>
        </r>
      </text>
    </comment>
    <comment ref="AW40" authorId="2" shapeId="0" xr:uid="{00000000-0006-0000-0500-00004A000000}">
      <text>
        <r>
          <rPr>
            <b/>
            <sz val="8"/>
            <color indexed="81"/>
            <rFont val="Tahoma"/>
            <family val="2"/>
          </rPr>
          <t>wachun:</t>
        </r>
        <r>
          <rPr>
            <sz val="8"/>
            <color indexed="81"/>
            <rFont val="Tahoma"/>
            <family val="2"/>
          </rPr>
          <t xml:space="preserve">
4q10: 8.3-8.8
1q11: same
2q11: 8.1-8.4
3q11: same</t>
        </r>
      </text>
    </comment>
    <comment ref="BB40" authorId="6" shapeId="0" xr:uid="{00000000-0006-0000-0500-00004B000000}">
      <text>
        <r>
          <rPr>
            <b/>
            <sz val="8"/>
            <color indexed="81"/>
            <rFont val="Tahoma"/>
            <family val="2"/>
          </rPr>
          <t>gneeti:</t>
        </r>
        <r>
          <rPr>
            <sz val="8"/>
            <color indexed="81"/>
            <rFont val="Tahoma"/>
            <family val="2"/>
          </rPr>
          <t xml:space="preserve">
4q11: 8.0
1q12: same
2q12: 8.5
3q12: 8.7</t>
        </r>
      </text>
    </comment>
    <comment ref="BG40" authorId="7" shapeId="0" xr:uid="{00000000-0006-0000-0500-00004C000000}">
      <text>
        <r>
          <rPr>
            <b/>
            <sz val="8"/>
            <color indexed="81"/>
            <rFont val="Tahoma"/>
            <family val="2"/>
          </rPr>
          <t>sammun:</t>
        </r>
        <r>
          <rPr>
            <sz val="8"/>
            <color indexed="81"/>
            <rFont val="Tahoma"/>
            <family val="2"/>
          </rPr>
          <t xml:space="preserve">
4q12: 8.2
1q13: same
2q13: same
3q13: same</t>
        </r>
      </text>
    </comment>
    <comment ref="BL40" authorId="6" shapeId="0" xr:uid="{00000000-0006-0000-0500-00004D000000}">
      <text>
        <r>
          <rPr>
            <b/>
            <sz val="8"/>
            <color indexed="81"/>
            <rFont val="Tahoma"/>
            <family val="2"/>
          </rPr>
          <t>gneeti:</t>
        </r>
        <r>
          <rPr>
            <sz val="8"/>
            <color indexed="81"/>
            <rFont val="Tahoma"/>
            <family val="2"/>
          </rPr>
          <t xml:space="preserve">
4q13: ~7.8
1q14: ~8.6
2q14: same
3q14: ~9.1</t>
        </r>
      </text>
    </comment>
    <comment ref="BQ40" authorId="8" shapeId="0" xr:uid="{00000000-0006-0000-0500-00004E000000}">
      <text>
        <r>
          <rPr>
            <b/>
            <sz val="9"/>
            <color indexed="81"/>
            <rFont val="Tahoma"/>
            <family val="2"/>
          </rPr>
          <t>kwondo:</t>
        </r>
        <r>
          <rPr>
            <sz val="9"/>
            <color indexed="81"/>
            <rFont val="Tahoma"/>
            <family val="2"/>
          </rPr>
          <t xml:space="preserve">
4q14: ~9.5
1q15: same
2q15: same
3q15: same</t>
        </r>
      </text>
    </comment>
    <comment ref="BV40" authorId="1" shapeId="0" xr:uid="{00000000-0006-0000-0500-00004F000000}">
      <text>
        <r>
          <rPr>
            <b/>
            <sz val="9"/>
            <color indexed="81"/>
            <rFont val="Tahoma"/>
            <family val="2"/>
          </rPr>
          <t>Parsons, Gavin [GIR]:</t>
        </r>
        <r>
          <rPr>
            <sz val="9"/>
            <color indexed="81"/>
            <rFont val="Tahoma"/>
            <family val="2"/>
          </rPr>
          <t xml:space="preserve">
4q15: 9.4
1q16: same
2q16: same
3q16: 9.6</t>
        </r>
      </text>
    </comment>
    <comment ref="CA40" authorId="1" shapeId="0" xr:uid="{00000000-0006-0000-0500-000050000000}">
      <text>
        <r>
          <rPr>
            <b/>
            <sz val="9"/>
            <color indexed="81"/>
            <rFont val="Tahoma"/>
            <family val="2"/>
          </rPr>
          <t>Parsons, Gavin [GIR]:</t>
        </r>
        <r>
          <rPr>
            <sz val="9"/>
            <color indexed="81"/>
            <rFont val="Tahoma"/>
            <family val="2"/>
          </rPr>
          <t xml:space="preserve">
4q16: 10.0
2q17: same</t>
        </r>
      </text>
    </comment>
    <comment ref="DQ48" authorId="0" shapeId="0" xr:uid="{CA30CA89-C628-4DB8-BB81-B22F0DFC41AA}">
      <text>
        <r>
          <rPr>
            <b/>
            <sz val="9"/>
            <color indexed="81"/>
            <rFont val="Tahoma"/>
            <family val="2"/>
          </rPr>
          <t>Dessert, Connor H [GIR]:</t>
        </r>
        <r>
          <rPr>
            <sz val="9"/>
            <color indexed="81"/>
            <rFont val="Tahoma"/>
            <family val="2"/>
          </rPr>
          <t xml:space="preserve">
2q26: ~130</t>
        </r>
      </text>
    </comment>
    <comment ref="B49" authorId="2" shapeId="0" xr:uid="{00000000-0006-0000-0500-000051000000}">
      <text>
        <r>
          <rPr>
            <b/>
            <sz val="8"/>
            <color indexed="81"/>
            <rFont val="Tahoma"/>
            <family val="2"/>
          </rPr>
          <t>wachun:</t>
        </r>
        <r>
          <rPr>
            <sz val="8"/>
            <color indexed="81"/>
            <rFont val="Tahoma"/>
            <family val="2"/>
          </rPr>
          <t xml:space="preserve">
Military logistics, 130 employees. Annual revenue of $9mn</t>
        </r>
      </text>
    </comment>
    <comment ref="B50" authorId="2" shapeId="0" xr:uid="{00000000-0006-0000-0500-000052000000}">
      <text>
        <r>
          <rPr>
            <b/>
            <sz val="8"/>
            <color indexed="81"/>
            <rFont val="Tahoma"/>
            <family val="2"/>
          </rPr>
          <t>wachun:</t>
        </r>
        <r>
          <rPr>
            <sz val="8"/>
            <color indexed="81"/>
            <rFont val="Tahoma"/>
            <family val="2"/>
          </rPr>
          <t xml:space="preserve">
775mn in cash
EV/EBITDA: ~20x; EV/Sales 2.18x</t>
        </r>
      </text>
    </comment>
    <comment ref="B51" authorId="2" shapeId="0" xr:uid="{00000000-0006-0000-0500-000053000000}">
      <text>
        <r>
          <rPr>
            <b/>
            <sz val="8"/>
            <color indexed="81"/>
            <rFont val="Tahoma"/>
            <family val="2"/>
          </rPr>
          <t>wachun:</t>
        </r>
        <r>
          <rPr>
            <sz val="8"/>
            <color indexed="81"/>
            <rFont val="Tahoma"/>
            <family val="2"/>
          </rPr>
          <t xml:space="preserve">
Employs 150 people. 
12mn proceeds</t>
        </r>
      </text>
    </comment>
    <comment ref="B52" authorId="3" shapeId="0" xr:uid="{00000000-0006-0000-0500-000054000000}">
      <text>
        <r>
          <rPr>
            <b/>
            <sz val="8"/>
            <color indexed="81"/>
            <rFont val="Tahoma"/>
            <family val="2"/>
          </rPr>
          <t>wachun:</t>
        </r>
        <r>
          <rPr>
            <sz val="8"/>
            <color indexed="81"/>
            <rFont val="Tahoma"/>
            <family val="2"/>
          </rPr>
          <t xml:space="preserve">
will be part of network and  space systems of IDS,
</t>
        </r>
      </text>
    </comment>
    <comment ref="B53" authorId="3" shapeId="0" xr:uid="{00000000-0006-0000-0500-000055000000}">
      <text>
        <r>
          <rPr>
            <b/>
            <sz val="8"/>
            <color indexed="81"/>
            <rFont val="Tahoma"/>
            <family val="2"/>
          </rPr>
          <t>krissa:</t>
        </r>
        <r>
          <rPr>
            <sz val="8"/>
            <color indexed="81"/>
            <rFont val="Tahoma"/>
            <family val="2"/>
          </rPr>
          <t xml:space="preserve">
will be part of network and  space systems of IDS,
has 370 employees, we  assume per employee revenue to be $200000 and hence the revenue addition will be 74 mn</t>
        </r>
      </text>
    </comment>
    <comment ref="B54" authorId="3" shapeId="0" xr:uid="{00000000-0006-0000-0500-000056000000}">
      <text>
        <r>
          <rPr>
            <b/>
            <sz val="8"/>
            <color indexed="81"/>
            <rFont val="Tahoma"/>
            <family val="2"/>
          </rPr>
          <t>krissa:</t>
        </r>
        <r>
          <rPr>
            <sz val="8"/>
            <color indexed="81"/>
            <rFont val="Tahoma"/>
            <family val="2"/>
          </rPr>
          <t xml:space="preserve">
will be part of global services and support division, has 150 employees</t>
        </r>
      </text>
    </comment>
    <comment ref="B55" authorId="3" shapeId="0" xr:uid="{00000000-0006-0000-0500-000057000000}">
      <text>
        <r>
          <rPr>
            <b/>
            <sz val="8"/>
            <color indexed="81"/>
            <rFont val="Tahoma"/>
            <family val="2"/>
          </rPr>
          <t>krissa:</t>
        </r>
        <r>
          <rPr>
            <sz val="8"/>
            <color indexed="81"/>
            <rFont val="Tahoma"/>
            <family val="2"/>
          </rPr>
          <t xml:space="preserve">
will be part of global services and support division, revenue addition will be 50.5 mn, source:factset</t>
        </r>
      </text>
    </comment>
    <comment ref="B56" authorId="3" shapeId="0" xr:uid="{00000000-0006-0000-0500-000058000000}">
      <text>
        <r>
          <rPr>
            <b/>
            <sz val="8"/>
            <color indexed="81"/>
            <rFont val="Tahoma"/>
            <family val="2"/>
          </rPr>
          <t>krissa:</t>
        </r>
        <r>
          <rPr>
            <sz val="8"/>
            <color indexed="81"/>
            <rFont val="Tahoma"/>
            <family val="2"/>
          </rPr>
          <t xml:space="preserve">
2008 revenue is expected to be 150 mn, source: factset
will be part of military aircraft</t>
        </r>
      </text>
    </comment>
    <comment ref="B58" authorId="3" shapeId="0" xr:uid="{00000000-0006-0000-0500-000059000000}">
      <text>
        <r>
          <rPr>
            <b/>
            <sz val="8"/>
            <color indexed="81"/>
            <rFont val="Tahoma"/>
            <family val="2"/>
          </rPr>
          <t>krissa:</t>
        </r>
        <r>
          <rPr>
            <sz val="8"/>
            <color indexed="81"/>
            <rFont val="Tahoma"/>
            <family val="2"/>
          </rPr>
          <t xml:space="preserve">
will be part of IDS assumed to be part of military aircrafts,
employ 70 people assume revenue additions of 14 mn</t>
        </r>
      </text>
    </comment>
    <comment ref="B59" authorId="3" shapeId="0" xr:uid="{00000000-0006-0000-0500-00005A000000}">
      <text>
        <r>
          <rPr>
            <b/>
            <sz val="8"/>
            <color indexed="81"/>
            <rFont val="Tahoma"/>
            <family val="2"/>
          </rPr>
          <t>krissa:</t>
        </r>
        <r>
          <rPr>
            <sz val="8"/>
            <color indexed="81"/>
            <rFont val="Tahoma"/>
            <family val="2"/>
          </rPr>
          <t xml:space="preserve">
will be part of Boeing space and intelligence systems,
has contracts worth 250 mn we are assuming the annual revenue will be one third of that</t>
        </r>
      </text>
    </comment>
    <comment ref="B60" authorId="3" shapeId="0" xr:uid="{00000000-0006-0000-0500-00005B000000}">
      <text>
        <r>
          <rPr>
            <b/>
            <sz val="8"/>
            <color indexed="81"/>
            <rFont val="Tahoma"/>
            <family val="2"/>
          </rPr>
          <t>krissa:</t>
        </r>
        <r>
          <rPr>
            <sz val="8"/>
            <color indexed="81"/>
            <rFont val="Tahoma"/>
            <family val="2"/>
          </rPr>
          <t xml:space="preserve">
sold to ATK, employed 55 people assume revenue loss of 11 mn</t>
        </r>
      </text>
    </comment>
    <comment ref="B61" authorId="3" shapeId="0" xr:uid="{00000000-0006-0000-0500-00005C000000}">
      <text>
        <r>
          <rPr>
            <b/>
            <sz val="8"/>
            <color indexed="81"/>
            <rFont val="Tahoma"/>
            <family val="2"/>
          </rPr>
          <t>krissa:</t>
        </r>
        <r>
          <rPr>
            <sz val="8"/>
            <color indexed="81"/>
            <rFont val="Tahoma"/>
            <family val="2"/>
          </rPr>
          <t xml:space="preserve">
will be part of space unit in IDS, with 115 employees we estimate revenue additions to be 23 mn</t>
        </r>
      </text>
    </comment>
    <comment ref="B62" authorId="3" shapeId="0" xr:uid="{00000000-0006-0000-0500-00005D000000}">
      <text>
        <r>
          <rPr>
            <b/>
            <sz val="8"/>
            <color indexed="81"/>
            <rFont val="Tahoma"/>
            <family val="2"/>
          </rPr>
          <t>krissa:</t>
        </r>
        <r>
          <rPr>
            <sz val="8"/>
            <color indexed="81"/>
            <rFont val="Tahoma"/>
            <family val="2"/>
          </rPr>
          <t xml:space="preserve">
will be part of space systems unit in IDS, annual revenue is 80 mn</t>
        </r>
      </text>
    </comment>
    <comment ref="B63" authorId="3" shapeId="0" xr:uid="{00000000-0006-0000-0500-00005E000000}">
      <text>
        <r>
          <rPr>
            <b/>
            <sz val="8"/>
            <color indexed="81"/>
            <rFont val="Tahoma"/>
            <family val="2"/>
          </rPr>
          <t>krissa:</t>
        </r>
        <r>
          <rPr>
            <sz val="8"/>
            <color indexed="81"/>
            <rFont val="Tahoma"/>
            <family val="2"/>
          </rPr>
          <t xml:space="preserve">
part of space systems in IDS, annual revenue at the time of acquisition was 2.3 bn</t>
        </r>
      </text>
    </comment>
    <comment ref="B65" authorId="3" shapeId="0" xr:uid="{00000000-0006-0000-0500-00005F000000}">
      <text>
        <r>
          <rPr>
            <b/>
            <sz val="8"/>
            <color indexed="81"/>
            <rFont val="Tahoma"/>
            <family val="2"/>
          </rPr>
          <t>krissa:</t>
        </r>
        <r>
          <rPr>
            <sz val="8"/>
            <color indexed="81"/>
            <rFont val="Tahoma"/>
            <family val="2"/>
          </rPr>
          <t xml:space="preserve">
sold for 900 mn cash, P/S was 0.75 so revenue loss is 1200 mn
this unit was part of space systems</t>
        </r>
      </text>
    </comment>
    <comment ref="B66" authorId="3" shapeId="0" xr:uid="{00000000-0006-0000-0500-000060000000}">
      <text>
        <r>
          <rPr>
            <b/>
            <sz val="8"/>
            <color indexed="81"/>
            <rFont val="Tahoma"/>
            <family val="2"/>
          </rPr>
          <t>krissa:</t>
        </r>
        <r>
          <rPr>
            <sz val="8"/>
            <color indexed="81"/>
            <rFont val="Tahoma"/>
            <family val="2"/>
          </rPr>
          <t xml:space="preserve">
part of space systems , sold to l 3, the annual sales from his unit was 90 mn</t>
        </r>
      </text>
    </comment>
    <comment ref="B67" authorId="3" shapeId="0" xr:uid="{00000000-0006-0000-0500-000061000000}">
      <text>
        <r>
          <rPr>
            <b/>
            <sz val="8"/>
            <color indexed="81"/>
            <rFont val="Tahoma"/>
            <family val="2"/>
          </rPr>
          <t>krissa:</t>
        </r>
        <r>
          <rPr>
            <sz val="8"/>
            <color indexed="81"/>
            <rFont val="Tahoma"/>
            <family val="2"/>
          </rPr>
          <t xml:space="preserve">
expect revenue loss of 75 mn
part of space system</t>
        </r>
      </text>
    </comment>
    <comment ref="B68" authorId="3" shapeId="0" xr:uid="{00000000-0006-0000-0500-000062000000}">
      <text>
        <r>
          <rPr>
            <b/>
            <sz val="8"/>
            <color indexed="81"/>
            <rFont val="Tahoma"/>
            <family val="2"/>
          </rPr>
          <t>krissa:</t>
        </r>
        <r>
          <rPr>
            <sz val="8"/>
            <color indexed="81"/>
            <rFont val="Tahoma"/>
            <family val="2"/>
          </rPr>
          <t xml:space="preserve">
sold fo r 61 mn assume revenue to be 100 mn</t>
        </r>
      </text>
    </comment>
    <comment ref="X69" authorId="5" shapeId="0" xr:uid="{00000000-0006-0000-0500-000063000000}">
      <text>
        <r>
          <rPr>
            <b/>
            <sz val="8"/>
            <color indexed="81"/>
            <rFont val="Tahoma"/>
            <family val="2"/>
          </rPr>
          <t>poponn:</t>
        </r>
        <r>
          <rPr>
            <sz val="8"/>
            <color indexed="81"/>
            <rFont val="Tahoma"/>
            <family val="2"/>
          </rPr>
          <t xml:space="preserve">
1q06: 31,500
2q06: same
3q06: same</t>
        </r>
      </text>
    </comment>
    <comment ref="AC69" authorId="5" shapeId="0" xr:uid="{00000000-0006-0000-0500-000064000000}">
      <text>
        <r>
          <rPr>
            <b/>
            <sz val="8"/>
            <color indexed="81"/>
            <rFont val="Tahoma"/>
            <family val="2"/>
          </rPr>
          <t>poponn:</t>
        </r>
        <r>
          <rPr>
            <sz val="8"/>
            <color indexed="81"/>
            <rFont val="Tahoma"/>
            <family val="2"/>
          </rPr>
          <t xml:space="preserve">
3q06: 32,000-32,500
4q06: 31,000
1q07: same
2q07: same
3q07: 32,000</t>
        </r>
      </text>
    </comment>
    <comment ref="AH69" authorId="5" shapeId="0" xr:uid="{00000000-0006-0000-0500-000065000000}">
      <text>
        <r>
          <rPr>
            <b/>
            <sz val="8"/>
            <color indexed="81"/>
            <rFont val="Tahoma"/>
            <family val="2"/>
          </rPr>
          <t>poponn:</t>
        </r>
        <r>
          <rPr>
            <sz val="8"/>
            <color indexed="81"/>
            <rFont val="Tahoma"/>
            <family val="2"/>
          </rPr>
          <t xml:space="preserve">
4q06: 32,000-33,000
1q07: same
2q07: same
3q07: same
4q07: same
1q08: same
2q08: same</t>
        </r>
      </text>
    </comment>
    <comment ref="AM69" authorId="5" shapeId="0" xr:uid="{00000000-0006-0000-0500-000066000000}">
      <text>
        <r>
          <rPr>
            <b/>
            <sz val="8"/>
            <color indexed="81"/>
            <rFont val="Tahoma"/>
            <family val="2"/>
          </rPr>
          <t>poponn:</t>
        </r>
        <r>
          <rPr>
            <sz val="8"/>
            <color indexed="81"/>
            <rFont val="Tahoma"/>
            <family val="2"/>
          </rPr>
          <t xml:space="preserve">
1q08: 33,500-34,500
2q08: same
4q08: 33,000-34,000
2q09: same
3q09: same</t>
        </r>
      </text>
    </comment>
    <comment ref="AR69" authorId="2" shapeId="0" xr:uid="{00000000-0006-0000-0500-000067000000}">
      <text>
        <r>
          <rPr>
            <b/>
            <sz val="8"/>
            <color indexed="81"/>
            <rFont val="Tahoma"/>
            <family val="2"/>
          </rPr>
          <t>wachun:</t>
        </r>
        <r>
          <rPr>
            <sz val="8"/>
            <color indexed="81"/>
            <rFont val="Tahoma"/>
            <family val="2"/>
          </rPr>
          <t xml:space="preserve">
4q09: $32,000 - 33,000
1q10: same
2q10: same
3q10: same</t>
        </r>
      </text>
    </comment>
    <comment ref="AW69" authorId="2" shapeId="0" xr:uid="{00000000-0006-0000-0500-000068000000}">
      <text>
        <r>
          <rPr>
            <b/>
            <sz val="8"/>
            <color indexed="81"/>
            <rFont val="Tahoma"/>
            <family val="2"/>
          </rPr>
          <t>wachun:</t>
        </r>
        <r>
          <rPr>
            <sz val="8"/>
            <color indexed="81"/>
            <rFont val="Tahoma"/>
            <family val="2"/>
          </rPr>
          <t xml:space="preserve">
4q10: 31.5-33.0
1q11: same
2q11: 31.5-32.5
3q11: same</t>
        </r>
      </text>
    </comment>
    <comment ref="BB69" authorId="6" shapeId="0" xr:uid="{00000000-0006-0000-0500-000069000000}">
      <text>
        <r>
          <rPr>
            <b/>
            <sz val="8"/>
            <color indexed="81"/>
            <rFont val="Tahoma"/>
            <family val="2"/>
          </rPr>
          <t>gneeti:</t>
        </r>
        <r>
          <rPr>
            <sz val="8"/>
            <color indexed="81"/>
            <rFont val="Tahoma"/>
            <family val="2"/>
          </rPr>
          <t xml:space="preserve">
4q11: 30.0-30.5
1q12: same
2q12: 31.5 - 32.5
3q12: 32.5-33.0</t>
        </r>
      </text>
    </comment>
    <comment ref="BG69" authorId="7" shapeId="0" xr:uid="{00000000-0006-0000-0500-00006A000000}">
      <text>
        <r>
          <rPr>
            <b/>
            <sz val="8"/>
            <color indexed="81"/>
            <rFont val="Tahoma"/>
            <family val="2"/>
          </rPr>
          <t>sammun:</t>
        </r>
        <r>
          <rPr>
            <sz val="8"/>
            <color indexed="81"/>
            <rFont val="Tahoma"/>
            <family val="2"/>
          </rPr>
          <t xml:space="preserve">
4q12: 30.5-31.5
1q13: same
2q13: 31.5-32.5
3q13: same</t>
        </r>
      </text>
    </comment>
    <comment ref="BL69" authorId="6" shapeId="0" xr:uid="{00000000-0006-0000-0500-00006B000000}">
      <text>
        <r>
          <rPr>
            <b/>
            <sz val="8"/>
            <color indexed="81"/>
            <rFont val="Tahoma"/>
            <family val="2"/>
          </rPr>
          <t>gneeti:</t>
        </r>
        <r>
          <rPr>
            <sz val="8"/>
            <color indexed="81"/>
            <rFont val="Tahoma"/>
            <family val="2"/>
          </rPr>
          <t xml:space="preserve">
4q13: 30-31
1q14: same
2q14: same
3q14: same</t>
        </r>
      </text>
    </comment>
    <comment ref="BQ69" authorId="8" shapeId="0" xr:uid="{00000000-0006-0000-0500-00006C000000}">
      <text>
        <r>
          <rPr>
            <b/>
            <sz val="9"/>
            <color indexed="81"/>
            <rFont val="Tahoma"/>
            <family val="2"/>
          </rPr>
          <t>kwondo:</t>
        </r>
        <r>
          <rPr>
            <sz val="9"/>
            <color indexed="81"/>
            <rFont val="Tahoma"/>
            <family val="2"/>
          </rPr>
          <t xml:space="preserve">
4q14: 29.5-30.5
1q15: same
2q15: same
3q15: same</t>
        </r>
      </text>
    </comment>
    <comment ref="BV69" authorId="1" shapeId="0" xr:uid="{00000000-0006-0000-0500-00006D000000}">
      <text>
        <r>
          <rPr>
            <b/>
            <sz val="9"/>
            <color indexed="81"/>
            <rFont val="Tahoma"/>
            <family val="2"/>
          </rPr>
          <t>Parsons, Gavin [GIR]:</t>
        </r>
        <r>
          <rPr>
            <sz val="9"/>
            <color indexed="81"/>
            <rFont val="Tahoma"/>
            <family val="2"/>
          </rPr>
          <t xml:space="preserve">
4q15: 28.5-29.5
1q16: same
2q16: same
3q16: same</t>
        </r>
      </text>
    </comment>
    <comment ref="CA69" authorId="1" shapeId="0" xr:uid="{00000000-0006-0000-0500-00006E000000}">
      <text>
        <r>
          <rPr>
            <b/>
            <sz val="9"/>
            <color indexed="81"/>
            <rFont val="Tahoma"/>
            <family val="2"/>
          </rPr>
          <t>Parsons, Gavin [GIR]:</t>
        </r>
        <r>
          <rPr>
            <sz val="9"/>
            <color indexed="81"/>
            <rFont val="Tahoma"/>
            <family val="2"/>
          </rPr>
          <t xml:space="preserve">
sep 16: flattish
3q16: flat to down
4q16: 28.0-29.0
2q17: same
3q17: 20.5-21.5</t>
        </r>
      </text>
    </comment>
    <comment ref="CF69" authorId="9" shapeId="0" xr:uid="{00000000-0006-0000-0500-00006F000000}">
      <text>
        <r>
          <rPr>
            <b/>
            <sz val="9"/>
            <color indexed="81"/>
            <rFont val="Tahoma"/>
            <family val="2"/>
          </rPr>
          <t>Porat, Matthew [GIR]:</t>
        </r>
        <r>
          <rPr>
            <sz val="9"/>
            <color indexed="81"/>
            <rFont val="Tahoma"/>
            <family val="2"/>
          </rPr>
          <t xml:space="preserve">
4q17: 21.5-22.5
1q18: same
2q18: 22.0-23.0
3q18: 22.5-23.0
[restated]</t>
        </r>
      </text>
    </comment>
    <comment ref="CK69" authorId="9" shapeId="0" xr:uid="{00000000-0006-0000-0500-000070000000}">
      <text>
        <r>
          <rPr>
            <b/>
            <sz val="9"/>
            <color indexed="81"/>
            <rFont val="Tahoma"/>
            <family val="2"/>
          </rPr>
          <t>Porat, Matthew [GIR]:</t>
        </r>
        <r>
          <rPr>
            <sz val="9"/>
            <color indexed="81"/>
            <rFont val="Tahoma"/>
            <family val="2"/>
          </rPr>
          <t xml:space="preserve">
4q18: 26.5-27.5
</t>
        </r>
      </text>
    </comment>
    <comment ref="CZ69" authorId="1" shapeId="0" xr:uid="{00000000-0006-0000-0500-000071000000}">
      <text>
        <r>
          <rPr>
            <b/>
            <sz val="9"/>
            <color indexed="81"/>
            <rFont val="Tahoma"/>
            <family val="2"/>
          </rPr>
          <t>Parsons, Gavin [GIR]:</t>
        </r>
        <r>
          <rPr>
            <sz val="9"/>
            <color indexed="81"/>
            <rFont val="Tahoma"/>
            <family val="2"/>
          </rPr>
          <t xml:space="preserve">
1q22: modest decline (excl 1Q charge)</t>
        </r>
      </text>
    </comment>
    <comment ref="DI69" authorId="0" shapeId="0" xr:uid="{0520B5C1-F4E3-434C-861C-D963F3DCA3BE}">
      <text>
        <r>
          <rPr>
            <b/>
            <sz val="9"/>
            <color indexed="81"/>
            <rFont val="Tahoma"/>
            <family val="2"/>
          </rPr>
          <t>Dessert, Connor H [GIR]:</t>
        </r>
        <r>
          <rPr>
            <sz val="9"/>
            <color indexed="81"/>
            <rFont val="Tahoma"/>
            <family val="2"/>
          </rPr>
          <t xml:space="preserve">
4q24 pre-ann: 5,400</t>
        </r>
      </text>
    </comment>
    <comment ref="DK69" authorId="0" shapeId="0" xr:uid="{EC01CA83-8041-4EB6-A9F0-909D2B49B53C}">
      <text>
        <r>
          <rPr>
            <b/>
            <sz val="9"/>
            <color indexed="81"/>
            <rFont val="Tahoma"/>
            <family val="2"/>
          </rPr>
          <t>Dessert, Connor H [GIR]:</t>
        </r>
        <r>
          <rPr>
            <sz val="9"/>
            <color indexed="81"/>
            <rFont val="Tahoma"/>
            <family val="2"/>
          </rPr>
          <t xml:space="preserve">
19 March 2025
BofA Conference:
Close to quarterly average of last year. For BDS, this average is $5,980mn</t>
        </r>
      </text>
    </comment>
    <comment ref="CA74" authorId="1" shapeId="0" xr:uid="{00000000-0006-0000-0500-000072000000}">
      <text>
        <r>
          <rPr>
            <b/>
            <sz val="9"/>
            <color indexed="81"/>
            <rFont val="Tahoma"/>
            <family val="2"/>
          </rPr>
          <t>Parsons, Gavin [GIR]:</t>
        </r>
        <r>
          <rPr>
            <sz val="9"/>
            <color indexed="81"/>
            <rFont val="Tahoma"/>
            <family val="2"/>
          </rPr>
          <t xml:space="preserve">
3q17: 14.0-14.5</t>
        </r>
      </text>
    </comment>
    <comment ref="CF74" authorId="9" shapeId="0" xr:uid="{00000000-0006-0000-0500-000073000000}">
      <text>
        <r>
          <rPr>
            <b/>
            <sz val="9"/>
            <color indexed="81"/>
            <rFont val="Tahoma"/>
            <family val="2"/>
          </rPr>
          <t>Porat, Matthew [GIR]:</t>
        </r>
        <r>
          <rPr>
            <sz val="9"/>
            <color indexed="81"/>
            <rFont val="Tahoma"/>
            <family val="2"/>
          </rPr>
          <t xml:space="preserve">
4q17: 15.0-15.5
1q18: same
2q18: 15.5-16.0
3q18: 16.0-16.5</t>
        </r>
      </text>
    </comment>
    <comment ref="CK74" authorId="9" shapeId="0" xr:uid="{00000000-0006-0000-0500-000074000000}">
      <text>
        <r>
          <rPr>
            <b/>
            <sz val="9"/>
            <color indexed="81"/>
            <rFont val="Tahoma"/>
            <family val="2"/>
          </rPr>
          <t>Porat, Matthew [GIR]:</t>
        </r>
        <r>
          <rPr>
            <sz val="9"/>
            <color indexed="81"/>
            <rFont val="Tahoma"/>
            <family val="2"/>
          </rPr>
          <t xml:space="preserve">
4q18: 18.5-19.0</t>
        </r>
      </text>
    </comment>
    <comment ref="CZ74" authorId="1" shapeId="0" xr:uid="{00000000-0006-0000-0500-000075000000}">
      <text>
        <r>
          <rPr>
            <b/>
            <sz val="9"/>
            <color indexed="81"/>
            <rFont val="Tahoma"/>
            <family val="2"/>
          </rPr>
          <t>Parsons, Gavin [GIR]:</t>
        </r>
        <r>
          <rPr>
            <sz val="9"/>
            <color indexed="81"/>
            <rFont val="Tahoma"/>
            <family val="2"/>
          </rPr>
          <t xml:space="preserve">
1q22: up yoy</t>
        </r>
      </text>
    </comment>
    <comment ref="DK74" authorId="0" shapeId="0" xr:uid="{122A12F5-9521-4BB2-8A60-471BD0C80EB3}">
      <text>
        <r>
          <rPr>
            <b/>
            <sz val="9"/>
            <color indexed="81"/>
            <rFont val="Tahoma"/>
            <family val="2"/>
          </rPr>
          <t>Dessert, Connor H [GIR]:</t>
        </r>
        <r>
          <rPr>
            <sz val="9"/>
            <color indexed="81"/>
            <rFont val="Tahoma"/>
            <family val="2"/>
          </rPr>
          <t xml:space="preserve">
19 March 2025
BofA Conference:
Close to quarterly average of last year. For BGS, this average is $4,989mn.</t>
        </r>
      </text>
    </comment>
    <comment ref="B78" authorId="3" shapeId="0" xr:uid="{00000000-0006-0000-0500-000076000000}">
      <text>
        <r>
          <rPr>
            <b/>
            <sz val="8"/>
            <color indexed="81"/>
            <rFont val="Tahoma"/>
            <family val="2"/>
          </rPr>
          <t>krissa:</t>
        </r>
        <r>
          <rPr>
            <sz val="8"/>
            <color indexed="81"/>
            <rFont val="Tahoma"/>
            <family val="2"/>
          </rPr>
          <t xml:space="preserve">
part of Boeing capital, sold for 1.5 bn in cash to GE Commercial
we assume the revenue loss to be 1 bn</t>
        </r>
      </text>
    </comment>
    <comment ref="X79" authorId="5" shapeId="0" xr:uid="{00000000-0006-0000-0500-000077000000}">
      <text>
        <r>
          <rPr>
            <b/>
            <sz val="8"/>
            <color indexed="81"/>
            <rFont val="Tahoma"/>
            <family val="2"/>
          </rPr>
          <t>poponn:</t>
        </r>
        <r>
          <rPr>
            <sz val="8"/>
            <color indexed="81"/>
            <rFont val="Tahoma"/>
            <family val="2"/>
          </rPr>
          <t xml:space="preserve">
2q06: 900
3q06: 1,000</t>
        </r>
      </text>
    </comment>
    <comment ref="AC79" authorId="5" shapeId="0" xr:uid="{00000000-0006-0000-0500-000078000000}">
      <text>
        <r>
          <rPr>
            <b/>
            <sz val="8"/>
            <color indexed="81"/>
            <rFont val="Tahoma"/>
            <family val="2"/>
          </rPr>
          <t>poponn:</t>
        </r>
        <r>
          <rPr>
            <sz val="8"/>
            <color indexed="81"/>
            <rFont val="Tahoma"/>
            <family val="2"/>
          </rPr>
          <t xml:space="preserve">
2q06: 900
3q06: 800
4q06: same
1q07: same
2q07: same
3q07: same</t>
        </r>
      </text>
    </comment>
    <comment ref="AH79" authorId="5" shapeId="0" xr:uid="{00000000-0006-0000-0500-000079000000}">
      <text>
        <r>
          <rPr>
            <b/>
            <sz val="8"/>
            <color indexed="81"/>
            <rFont val="Tahoma"/>
            <family val="2"/>
          </rPr>
          <t>poponn:</t>
        </r>
        <r>
          <rPr>
            <sz val="8"/>
            <color indexed="81"/>
            <rFont val="Tahoma"/>
            <family val="2"/>
          </rPr>
          <t xml:space="preserve">
4q06: 800
1q07: same
2q07: &lt;800
3q07: same
4q07: ~700
1q08: same
2q08: same</t>
        </r>
      </text>
    </comment>
    <comment ref="AM79" authorId="5" shapeId="0" xr:uid="{00000000-0006-0000-0500-00007A000000}">
      <text>
        <r>
          <rPr>
            <b/>
            <sz val="8"/>
            <color indexed="81"/>
            <rFont val="Tahoma"/>
            <family val="2"/>
          </rPr>
          <t>poponn:</t>
        </r>
        <r>
          <rPr>
            <sz val="8"/>
            <color indexed="81"/>
            <rFont val="Tahoma"/>
            <family val="2"/>
          </rPr>
          <t xml:space="preserve">
1q08: 600
2q08: same
4q08: same
2q09: same
3q09: same</t>
        </r>
      </text>
    </comment>
    <comment ref="AR79" authorId="2" shapeId="0" xr:uid="{00000000-0006-0000-0500-00007B000000}">
      <text>
        <r>
          <rPr>
            <b/>
            <sz val="8"/>
            <color indexed="81"/>
            <rFont val="Tahoma"/>
            <family val="2"/>
          </rPr>
          <t>wachun:</t>
        </r>
        <r>
          <rPr>
            <sz val="8"/>
            <color indexed="81"/>
            <rFont val="Tahoma"/>
            <family val="2"/>
          </rPr>
          <t xml:space="preserve">
3q10: 600</t>
        </r>
      </text>
    </comment>
    <comment ref="AW79" authorId="2" shapeId="0" xr:uid="{00000000-0006-0000-0500-00007C000000}">
      <text>
        <r>
          <rPr>
            <b/>
            <sz val="8"/>
            <color indexed="81"/>
            <rFont val="Tahoma"/>
            <family val="2"/>
          </rPr>
          <t>wachun:</t>
        </r>
        <r>
          <rPr>
            <sz val="8"/>
            <color indexed="81"/>
            <rFont val="Tahoma"/>
            <family val="2"/>
          </rPr>
          <t xml:space="preserve">
4q10: 500
1q11: same
2q11: same
3q11: same
</t>
        </r>
      </text>
    </comment>
    <comment ref="BB79" authorId="7" shapeId="0" xr:uid="{00000000-0006-0000-0500-00007D000000}">
      <text>
        <r>
          <rPr>
            <b/>
            <sz val="8"/>
            <color indexed="81"/>
            <rFont val="Tahoma"/>
            <family val="2"/>
          </rPr>
          <t>sammun:</t>
        </r>
        <r>
          <rPr>
            <sz val="8"/>
            <color indexed="81"/>
            <rFont val="Tahoma"/>
            <family val="2"/>
          </rPr>
          <t xml:space="preserve">
1q12: ~0.4
2q12: same
3q12: same</t>
        </r>
      </text>
    </comment>
    <comment ref="BG79" authorId="7" shapeId="0" xr:uid="{00000000-0006-0000-0500-00007E000000}">
      <text>
        <r>
          <rPr>
            <b/>
            <sz val="8"/>
            <color indexed="81"/>
            <rFont val="Tahoma"/>
            <family val="2"/>
          </rPr>
          <t>sammun:</t>
        </r>
        <r>
          <rPr>
            <sz val="8"/>
            <color indexed="81"/>
            <rFont val="Tahoma"/>
            <family val="2"/>
          </rPr>
          <t xml:space="preserve">
4q12: 0.3 
1q13: same
2q13: same
3q13: 0.4</t>
        </r>
      </text>
    </comment>
    <comment ref="BL79" authorId="6" shapeId="0" xr:uid="{00000000-0006-0000-0500-00007F000000}">
      <text>
        <r>
          <rPr>
            <b/>
            <sz val="8"/>
            <color indexed="81"/>
            <rFont val="Tahoma"/>
            <family val="2"/>
          </rPr>
          <t>gneeti:</t>
        </r>
        <r>
          <rPr>
            <sz val="8"/>
            <color indexed="81"/>
            <rFont val="Tahoma"/>
            <family val="2"/>
          </rPr>
          <t xml:space="preserve">
4q13: ~0.3
1q14: same
2q14: same
3q14: same</t>
        </r>
      </text>
    </comment>
    <comment ref="BQ79" authorId="8" shapeId="0" xr:uid="{00000000-0006-0000-0500-000080000000}">
      <text>
        <r>
          <rPr>
            <b/>
            <sz val="9"/>
            <color indexed="81"/>
            <rFont val="Tahoma"/>
            <family val="2"/>
          </rPr>
          <t>kwondo:</t>
        </r>
        <r>
          <rPr>
            <sz val="9"/>
            <color indexed="81"/>
            <rFont val="Tahoma"/>
            <family val="2"/>
          </rPr>
          <t xml:space="preserve">
4q14: ~0.3
1q15: same
2q15: same
3q15: same</t>
        </r>
      </text>
    </comment>
    <comment ref="BV79" authorId="10" shapeId="0" xr:uid="{00000000-0006-0000-0500-000081000000}">
      <text>
        <r>
          <rPr>
            <b/>
            <sz val="9"/>
            <color indexed="81"/>
            <rFont val="Tahoma"/>
            <family val="2"/>
          </rPr>
          <t>Correa, Tais [GIR]:</t>
        </r>
        <r>
          <rPr>
            <sz val="9"/>
            <color indexed="81"/>
            <rFont val="Tahoma"/>
            <family val="2"/>
          </rPr>
          <t xml:space="preserve">
1q16: ~0.3bn
2q16: same
3q16: same</t>
        </r>
      </text>
    </comment>
    <comment ref="CA79" authorId="1" shapeId="0" xr:uid="{00000000-0006-0000-0500-000082000000}">
      <text>
        <r>
          <rPr>
            <b/>
            <sz val="9"/>
            <color indexed="81"/>
            <rFont val="Tahoma"/>
            <family val="2"/>
          </rPr>
          <t>Parsons, Gavin [GIR]:</t>
        </r>
        <r>
          <rPr>
            <sz val="9"/>
            <color indexed="81"/>
            <rFont val="Tahoma"/>
            <family val="2"/>
          </rPr>
          <t xml:space="preserve">
4q16: 0.3
2q17: same
3q17: same</t>
        </r>
      </text>
    </comment>
    <comment ref="CF79" authorId="9" shapeId="0" xr:uid="{00000000-0006-0000-0500-000083000000}">
      <text>
        <r>
          <rPr>
            <b/>
            <sz val="9"/>
            <color indexed="81"/>
            <rFont val="Tahoma"/>
            <family val="2"/>
          </rPr>
          <t>Porat, Matthew [GIR]:</t>
        </r>
        <r>
          <rPr>
            <sz val="9"/>
            <color indexed="81"/>
            <rFont val="Tahoma"/>
            <family val="2"/>
          </rPr>
          <t xml:space="preserve">
4q17: ~0.2
1q18: same
3q18: same</t>
        </r>
      </text>
    </comment>
    <comment ref="DA79" authorId="11" shapeId="0" xr:uid="{CF7BD56B-11B8-457E-A2AD-FAF0AF0EE0BC}">
      <text>
        <r>
          <rPr>
            <b/>
            <sz val="9"/>
            <color indexed="81"/>
            <rFont val="Tahoma"/>
            <family val="2"/>
          </rPr>
          <t>Blake, BEN [GIR]:</t>
        </r>
        <r>
          <rPr>
            <sz val="9"/>
            <color indexed="81"/>
            <rFont val="Tahoma"/>
            <family val="2"/>
          </rPr>
          <t xml:space="preserve">
1Q23: realiigned to Commercial Airplanes seg</t>
        </r>
      </text>
    </comment>
    <comment ref="F82" authorId="12" shapeId="0" xr:uid="{00000000-0006-0000-0500-000084000000}">
      <text>
        <r>
          <rPr>
            <b/>
            <sz val="8"/>
            <color indexed="81"/>
            <rFont val="Tahoma"/>
            <family val="2"/>
          </rPr>
          <t>Authorized User:</t>
        </r>
        <r>
          <rPr>
            <sz val="8"/>
            <color indexed="81"/>
            <rFont val="Tahoma"/>
            <family val="2"/>
          </rPr>
          <t xml:space="preserve">
Boeing acquired Hughes in Oct 2000 for $3.849 bn and renamed it Boeing Satellite Systems. $500 mm charged to earnings for IPR&amp;D that did not have future value, $489 mm for developed tech, $142 mm for assembled workforce, $740 mm for g/w, $626 mm for prepaid pension asset, $118 mm for postemployment benefit liabilities. </t>
        </r>
      </text>
    </comment>
    <comment ref="X82" authorId="5" shapeId="0" xr:uid="{00000000-0006-0000-0500-000085000000}">
      <text>
        <r>
          <rPr>
            <b/>
            <sz val="8"/>
            <color indexed="81"/>
            <rFont val="Tahoma"/>
            <family val="2"/>
          </rPr>
          <t>poponn:</t>
        </r>
        <r>
          <rPr>
            <sz val="8"/>
            <color indexed="81"/>
            <rFont val="Tahoma"/>
            <family val="2"/>
          </rPr>
          <t xml:space="preserve">
1q06: 60,000
2q06: 60.0-60.5
3q06: 60.5</t>
        </r>
      </text>
    </comment>
    <comment ref="AC82" authorId="5" shapeId="0" xr:uid="{00000000-0006-0000-0500-000086000000}">
      <text>
        <r>
          <rPr>
            <b/>
            <sz val="8"/>
            <color indexed="81"/>
            <rFont val="Tahoma"/>
            <family val="2"/>
          </rPr>
          <t>poponn:</t>
        </r>
        <r>
          <rPr>
            <sz val="8"/>
            <color indexed="81"/>
            <rFont val="Tahoma"/>
            <family val="2"/>
          </rPr>
          <t xml:space="preserve">
1q06: 63,500-64,500
2q06: 64,500-65,500
3q06: 65,500-66,000
4q06: 64,500-65,000
1q07: same
2q07: 65,000
3q07: 66,000</t>
        </r>
      </text>
    </comment>
    <comment ref="AH82" authorId="5" shapeId="0" xr:uid="{00000000-0006-0000-0500-000087000000}">
      <text>
        <r>
          <rPr>
            <b/>
            <sz val="8"/>
            <color indexed="81"/>
            <rFont val="Tahoma"/>
            <family val="2"/>
          </rPr>
          <t>poponn:</t>
        </r>
        <r>
          <rPr>
            <sz val="8"/>
            <color indexed="81"/>
            <rFont val="Tahoma"/>
            <family val="2"/>
          </rPr>
          <t xml:space="preserve">
4q06: 71,000-72,000
1q07: same
2q07: same
3q07: 67,500-68,500
4q07: 67,000-68,000
1q08: same
2q08: same</t>
        </r>
      </text>
    </comment>
    <comment ref="AM82" authorId="5" shapeId="0" xr:uid="{00000000-0006-0000-0500-000088000000}">
      <text>
        <r>
          <rPr>
            <b/>
            <sz val="8"/>
            <color indexed="81"/>
            <rFont val="Tahoma"/>
            <family val="2"/>
          </rPr>
          <t>poponn:</t>
        </r>
        <r>
          <rPr>
            <sz val="8"/>
            <color indexed="81"/>
            <rFont val="Tahoma"/>
            <family val="2"/>
          </rPr>
          <t xml:space="preserve">
1q08: 72,000-73,000
2q08: same
3q08: 68,000-69,000
2q09: same
3q09: same</t>
        </r>
      </text>
    </comment>
    <comment ref="AR82" authorId="2" shapeId="0" xr:uid="{00000000-0006-0000-0500-000089000000}">
      <text>
        <r>
          <rPr>
            <b/>
            <sz val="8"/>
            <color indexed="81"/>
            <rFont val="Tahoma"/>
            <family val="2"/>
          </rPr>
          <t>wachun:</t>
        </r>
        <r>
          <rPr>
            <sz val="8"/>
            <color indexed="81"/>
            <rFont val="Tahoma"/>
            <family val="2"/>
          </rPr>
          <t xml:space="preserve">
4q09: $64,000 - 66,000
1q10: same
2q10: same
3q10: $64,500 - 65,500
</t>
        </r>
      </text>
    </comment>
    <comment ref="AW82" authorId="2" shapeId="0" xr:uid="{00000000-0006-0000-0500-00008A000000}">
      <text>
        <r>
          <rPr>
            <b/>
            <sz val="8"/>
            <color indexed="81"/>
            <rFont val="Tahoma"/>
            <family val="2"/>
          </rPr>
          <t>wachun:</t>
        </r>
        <r>
          <rPr>
            <sz val="8"/>
            <color indexed="81"/>
            <rFont val="Tahoma"/>
            <family val="2"/>
          </rPr>
          <t xml:space="preserve">
4q09: &gt; 2010
4q10: 68,000-71,000
1q11: same
2q11: same
3q11: 68,000-70,000</t>
        </r>
      </text>
    </comment>
    <comment ref="BB82" authorId="6" shapeId="0" xr:uid="{00000000-0006-0000-0500-00008B000000}">
      <text>
        <r>
          <rPr>
            <b/>
            <sz val="8"/>
            <color indexed="81"/>
            <rFont val="Tahoma"/>
            <family val="2"/>
          </rPr>
          <t>gneeti:</t>
        </r>
        <r>
          <rPr>
            <sz val="8"/>
            <color indexed="81"/>
            <rFont val="Tahoma"/>
            <family val="2"/>
          </rPr>
          <t xml:space="preserve">
4Q11: 78.0-80.0
1q12: same
2q12: 79.5 - 81.5
3q12: 80.5-82.0</t>
        </r>
      </text>
    </comment>
    <comment ref="BG82" authorId="13" shapeId="0" xr:uid="{00000000-0006-0000-0500-00008C000000}">
      <text>
        <r>
          <rPr>
            <b/>
            <sz val="8"/>
            <color indexed="81"/>
            <rFont val="Tahoma"/>
            <family val="2"/>
          </rPr>
          <t>khalom:</t>
        </r>
        <r>
          <rPr>
            <sz val="8"/>
            <color indexed="81"/>
            <rFont val="Tahoma"/>
            <family val="2"/>
          </rPr>
          <t xml:space="preserve">
1q13: 82 - 85
2q13: 83 -86
3q13: same</t>
        </r>
      </text>
    </comment>
    <comment ref="BL82" authorId="6" shapeId="0" xr:uid="{00000000-0006-0000-0500-00008D000000}">
      <text>
        <r>
          <rPr>
            <b/>
            <sz val="8"/>
            <color indexed="81"/>
            <rFont val="Tahoma"/>
            <family val="2"/>
          </rPr>
          <t>gneeti:</t>
        </r>
        <r>
          <rPr>
            <sz val="8"/>
            <color indexed="81"/>
            <rFont val="Tahoma"/>
            <family val="2"/>
          </rPr>
          <t xml:space="preserve">
4q13: 87.5-90.5
1q14: same
2q14: same
3q14: same</t>
        </r>
      </text>
    </comment>
    <comment ref="BQ82" authorId="8" shapeId="0" xr:uid="{00000000-0006-0000-0500-00008E000000}">
      <text>
        <r>
          <rPr>
            <b/>
            <sz val="9"/>
            <color indexed="81"/>
            <rFont val="Tahoma"/>
            <family val="2"/>
          </rPr>
          <t>kwondo:</t>
        </r>
        <r>
          <rPr>
            <sz val="9"/>
            <color indexed="81"/>
            <rFont val="Tahoma"/>
            <family val="2"/>
          </rPr>
          <t xml:space="preserve">
4q14: 94.5-96.5
1q15: same
2q15: same
3q15: 95.0-97.0</t>
        </r>
      </text>
    </comment>
    <comment ref="BV82" authorId="1" shapeId="0" xr:uid="{00000000-0006-0000-0500-00008F000000}">
      <text>
        <r>
          <rPr>
            <b/>
            <sz val="9"/>
            <color indexed="81"/>
            <rFont val="Tahoma"/>
            <family val="2"/>
          </rPr>
          <t>Parsons, Gavin [GIR]:</t>
        </r>
        <r>
          <rPr>
            <sz val="9"/>
            <color indexed="81"/>
            <rFont val="Tahoma"/>
            <family val="2"/>
          </rPr>
          <t xml:space="preserve">
4q15: 93.0-95.0
1q16: same
2q16: same
3q16: 93.5-95.5</t>
        </r>
      </text>
    </comment>
    <comment ref="CA82" authorId="1" shapeId="0" xr:uid="{00000000-0006-0000-0500-000090000000}">
      <text>
        <r>
          <rPr>
            <b/>
            <sz val="9"/>
            <color indexed="81"/>
            <rFont val="Tahoma"/>
            <family val="2"/>
          </rPr>
          <t>Parsons, Gavin [GIR]:</t>
        </r>
        <r>
          <rPr>
            <sz val="9"/>
            <color indexed="81"/>
            <rFont val="Tahoma"/>
            <family val="2"/>
          </rPr>
          <t xml:space="preserve">
sep 16: flattish
3q16: flat to down
4q16: 90.5-92.5
1q17: same
2q17: same
3q17: same</t>
        </r>
      </text>
    </comment>
    <comment ref="CB82" authorId="1" shapeId="0" xr:uid="{00000000-0006-0000-0500-000091000000}">
      <text>
        <r>
          <rPr>
            <b/>
            <sz val="9"/>
            <color indexed="81"/>
            <rFont val="Tahoma"/>
            <family val="2"/>
          </rPr>
          <t>Parsons, Gavin [GIR]:</t>
        </r>
        <r>
          <rPr>
            <sz val="9"/>
            <color indexed="81"/>
            <rFont val="Tahoma"/>
            <family val="2"/>
          </rPr>
          <t xml:space="preserve">
4q17: lowest for year</t>
        </r>
      </text>
    </comment>
    <comment ref="CF82" authorId="1" shapeId="0" xr:uid="{00000000-0006-0000-0500-000092000000}">
      <text>
        <r>
          <rPr>
            <b/>
            <sz val="9"/>
            <color indexed="81"/>
            <rFont val="Tahoma"/>
            <family val="2"/>
          </rPr>
          <t>Parsons, Gavin [GIR]:</t>
        </r>
        <r>
          <rPr>
            <sz val="9"/>
            <color indexed="81"/>
            <rFont val="Tahoma"/>
            <family val="2"/>
          </rPr>
          <t xml:space="preserve">
4q16: up yoy
3q17: same
4q17: 96.0-98.0
1q18: same
2q18: 97.0-99.0
3q18: 98.0-100.0</t>
        </r>
      </text>
    </comment>
    <comment ref="CG82" authorId="1" shapeId="0" xr:uid="{00000000-0006-0000-0500-000093000000}">
      <text>
        <r>
          <rPr>
            <b/>
            <sz val="9"/>
            <color indexed="81"/>
            <rFont val="Tahoma"/>
            <family val="2"/>
          </rPr>
          <t>Parsons, Gavin [GIR]:</t>
        </r>
        <r>
          <rPr>
            <sz val="9"/>
            <color indexed="81"/>
            <rFont val="Tahoma"/>
            <family val="2"/>
          </rPr>
          <t xml:space="preserve">
4q18: lowest for year</t>
        </r>
      </text>
    </comment>
    <comment ref="CK82" authorId="9" shapeId="0" xr:uid="{00000000-0006-0000-0500-000094000000}">
      <text>
        <r>
          <rPr>
            <b/>
            <sz val="9"/>
            <color indexed="81"/>
            <rFont val="Tahoma"/>
            <family val="2"/>
          </rPr>
          <t>Porat, Matthew [GIR]:</t>
        </r>
        <r>
          <rPr>
            <sz val="9"/>
            <color indexed="81"/>
            <rFont val="Tahoma"/>
            <family val="2"/>
          </rPr>
          <t xml:space="preserve">
4q17: up
4q18: 109.5-111.5</t>
        </r>
      </text>
    </comment>
    <comment ref="CP82" authorId="9" shapeId="0" xr:uid="{00000000-0006-0000-0500-000095000000}">
      <text>
        <r>
          <rPr>
            <b/>
            <sz val="9"/>
            <color indexed="81"/>
            <rFont val="Tahoma"/>
            <family val="2"/>
          </rPr>
          <t>Porat, Matthew [GIR]:</t>
        </r>
        <r>
          <rPr>
            <sz val="9"/>
            <color indexed="81"/>
            <rFont val="Tahoma"/>
            <family val="2"/>
          </rPr>
          <t xml:space="preserve">
4q17: up</t>
        </r>
      </text>
    </comment>
    <comment ref="CU82" authorId="1" shapeId="0" xr:uid="{00000000-0006-0000-0500-000096000000}">
      <text>
        <r>
          <rPr>
            <b/>
            <sz val="9"/>
            <color indexed="81"/>
            <rFont val="Tahoma"/>
            <family val="2"/>
          </rPr>
          <t>Parsons, Gavin [GIR]:</t>
        </r>
        <r>
          <rPr>
            <sz val="9"/>
            <color indexed="81"/>
            <rFont val="Tahoma"/>
            <family val="2"/>
          </rPr>
          <t xml:space="preserve">
4q20: up yoy</t>
        </r>
      </text>
    </comment>
    <comment ref="CZ82" authorId="1" shapeId="0" xr:uid="{00000000-0006-0000-0500-000097000000}">
      <text>
        <r>
          <rPr>
            <b/>
            <sz val="9"/>
            <color indexed="81"/>
            <rFont val="Tahoma"/>
            <family val="2"/>
          </rPr>
          <t>Parsons, Gavin [GIR]:</t>
        </r>
        <r>
          <rPr>
            <sz val="9"/>
            <color indexed="81"/>
            <rFont val="Tahoma"/>
            <family val="2"/>
          </rPr>
          <t xml:space="preserve">
1q22: up yoy</t>
        </r>
      </text>
    </comment>
    <comment ref="DI82" authorId="0" shapeId="0" xr:uid="{4064D3E8-9A6A-4ACF-AEC3-3FB99076C9A5}">
      <text>
        <r>
          <rPr>
            <b/>
            <sz val="9"/>
            <color indexed="81"/>
            <rFont val="Tahoma"/>
            <family val="2"/>
          </rPr>
          <t>Dessert, Connor H [GIR]:</t>
        </r>
        <r>
          <rPr>
            <sz val="9"/>
            <color indexed="81"/>
            <rFont val="Tahoma"/>
            <family val="2"/>
          </rPr>
          <t xml:space="preserve">
4q24 pre-ann: 15,200</t>
        </r>
      </text>
    </comment>
    <comment ref="DK82" authorId="0" shapeId="0" xr:uid="{31B37626-727B-4E4D-9F4A-621D7FE01147}">
      <text>
        <r>
          <rPr>
            <b/>
            <sz val="9"/>
            <color indexed="81"/>
            <rFont val="Tahoma"/>
            <family val="2"/>
          </rPr>
          <t>Dessert, Connor H [GIR]:</t>
        </r>
        <r>
          <rPr>
            <sz val="9"/>
            <color indexed="81"/>
            <rFont val="Tahoma"/>
            <family val="2"/>
          </rPr>
          <t xml:space="preserve">
19 March 2025
BofA Conference:
Seasonally lighter, particularly within BDS and BGS.</t>
        </r>
      </text>
    </comment>
    <comment ref="Q83" authorId="2" shapeId="0" xr:uid="{00000000-0006-0000-0500-000098000000}">
      <text>
        <r>
          <rPr>
            <b/>
            <sz val="8"/>
            <color indexed="81"/>
            <rFont val="Tahoma"/>
            <family val="2"/>
          </rPr>
          <t>wachun:</t>
        </r>
        <r>
          <rPr>
            <sz val="8"/>
            <color indexed="81"/>
            <rFont val="Tahoma"/>
            <family val="2"/>
          </rPr>
          <t xml:space="preserve">
3q05: IAM strike</t>
        </r>
      </text>
    </comment>
    <comment ref="R83" authorId="2" shapeId="0" xr:uid="{00000000-0006-0000-0500-000099000000}">
      <text>
        <r>
          <rPr>
            <b/>
            <sz val="8"/>
            <color indexed="81"/>
            <rFont val="Tahoma"/>
            <family val="2"/>
          </rPr>
          <t>wachun:</t>
        </r>
        <r>
          <rPr>
            <sz val="8"/>
            <color indexed="81"/>
            <rFont val="Tahoma"/>
            <family val="2"/>
          </rPr>
          <t xml:space="preserve">
4q05: IAM strike</t>
        </r>
      </text>
    </comment>
    <comment ref="AF83" authorId="2" shapeId="0" xr:uid="{00000000-0006-0000-0500-00009A000000}">
      <text>
        <r>
          <rPr>
            <b/>
            <sz val="8"/>
            <color indexed="81"/>
            <rFont val="Tahoma"/>
            <family val="2"/>
          </rPr>
          <t>wachun:</t>
        </r>
        <r>
          <rPr>
            <sz val="8"/>
            <color indexed="81"/>
            <rFont val="Tahoma"/>
            <family val="2"/>
          </rPr>
          <t xml:space="preserve">
3q08: IAM strike</t>
        </r>
      </text>
    </comment>
    <comment ref="AG83" authorId="2" shapeId="0" xr:uid="{00000000-0006-0000-0500-00009B000000}">
      <text>
        <r>
          <rPr>
            <b/>
            <sz val="8"/>
            <color indexed="81"/>
            <rFont val="Tahoma"/>
            <family val="2"/>
          </rPr>
          <t>wachun:</t>
        </r>
        <r>
          <rPr>
            <sz val="8"/>
            <color indexed="81"/>
            <rFont val="Tahoma"/>
            <family val="2"/>
          </rPr>
          <t xml:space="preserve">
4q08: IAM strike</t>
        </r>
      </text>
    </comment>
    <comment ref="Q84" authorId="2" shapeId="0" xr:uid="{00000000-0006-0000-0500-00009C000000}">
      <text>
        <r>
          <rPr>
            <b/>
            <sz val="8"/>
            <color indexed="81"/>
            <rFont val="Tahoma"/>
            <family val="2"/>
          </rPr>
          <t>wachun:</t>
        </r>
        <r>
          <rPr>
            <sz val="8"/>
            <color indexed="81"/>
            <rFont val="Tahoma"/>
            <family val="2"/>
          </rPr>
          <t xml:space="preserve">
3q05: IAM strike</t>
        </r>
      </text>
    </comment>
    <comment ref="R84" authorId="2" shapeId="0" xr:uid="{00000000-0006-0000-0500-00009D000000}">
      <text>
        <r>
          <rPr>
            <b/>
            <sz val="8"/>
            <color indexed="81"/>
            <rFont val="Tahoma"/>
            <family val="2"/>
          </rPr>
          <t>wachun:</t>
        </r>
        <r>
          <rPr>
            <sz val="8"/>
            <color indexed="81"/>
            <rFont val="Tahoma"/>
            <family val="2"/>
          </rPr>
          <t xml:space="preserve">
3q05: IAM strike</t>
        </r>
      </text>
    </comment>
    <comment ref="CA107" authorId="1" shapeId="0" xr:uid="{00000000-0006-0000-0500-00009E000000}">
      <text>
        <r>
          <rPr>
            <b/>
            <sz val="9"/>
            <color indexed="81"/>
            <rFont val="Tahoma"/>
            <family val="2"/>
          </rPr>
          <t>Parsons, Gavin [GIR]:</t>
        </r>
        <r>
          <rPr>
            <sz val="9"/>
            <color indexed="81"/>
            <rFont val="Tahoma"/>
            <family val="2"/>
          </rPr>
          <t xml:space="preserve">
sep 16: flattish</t>
        </r>
      </text>
    </comment>
    <comment ref="CF107" authorId="1" shapeId="0" xr:uid="{00000000-0006-0000-0500-00009F000000}">
      <text>
        <r>
          <rPr>
            <b/>
            <sz val="9"/>
            <color indexed="81"/>
            <rFont val="Tahoma"/>
            <family val="2"/>
          </rPr>
          <t>Parsons, Gavin [GIR]:</t>
        </r>
        <r>
          <rPr>
            <sz val="9"/>
            <color indexed="81"/>
            <rFont val="Tahoma"/>
            <family val="2"/>
          </rPr>
          <t xml:space="preserve">
</t>
        </r>
        <r>
          <rPr>
            <i/>
            <sz val="9"/>
            <color indexed="81"/>
            <rFont val="Tahoma"/>
            <family val="2"/>
          </rPr>
          <t>[2018 restated]</t>
        </r>
      </text>
    </comment>
    <comment ref="AW111" authorId="2" shapeId="0" xr:uid="{00000000-0006-0000-0500-0000A0000000}">
      <text>
        <r>
          <rPr>
            <b/>
            <sz val="8"/>
            <color indexed="81"/>
            <rFont val="Tahoma"/>
            <family val="2"/>
          </rPr>
          <t>wachun:</t>
        </r>
        <r>
          <rPr>
            <sz val="8"/>
            <color indexed="81"/>
            <rFont val="Tahoma"/>
            <family val="2"/>
          </rPr>
          <t xml:space="preserve">
3q10: flat</t>
        </r>
      </text>
    </comment>
    <comment ref="CA111" authorId="1" shapeId="0" xr:uid="{00000000-0006-0000-0500-0000A1000000}">
      <text>
        <r>
          <rPr>
            <b/>
            <sz val="9"/>
            <color indexed="81"/>
            <rFont val="Tahoma"/>
            <family val="2"/>
          </rPr>
          <t>Parsons, Gavin [GIR]:</t>
        </r>
        <r>
          <rPr>
            <sz val="9"/>
            <color indexed="81"/>
            <rFont val="Tahoma"/>
            <family val="2"/>
          </rPr>
          <t xml:space="preserve">
sep 16: flattish</t>
        </r>
      </text>
    </comment>
    <comment ref="CF111" authorId="1" shapeId="0" xr:uid="{00000000-0006-0000-0500-0000A2000000}">
      <text>
        <r>
          <rPr>
            <b/>
            <sz val="9"/>
            <color indexed="81"/>
            <rFont val="Tahoma"/>
            <family val="2"/>
          </rPr>
          <t>Parsons, Gavin [GIR]:</t>
        </r>
        <r>
          <rPr>
            <sz val="9"/>
            <color indexed="81"/>
            <rFont val="Tahoma"/>
            <family val="2"/>
          </rPr>
          <t xml:space="preserve">
3q17: flattish
</t>
        </r>
        <r>
          <rPr>
            <i/>
            <sz val="9"/>
            <color indexed="81"/>
            <rFont val="Tahoma"/>
            <family val="2"/>
          </rPr>
          <t>[2018 restated]</t>
        </r>
      </text>
    </comment>
    <comment ref="CP111" authorId="1" shapeId="0" xr:uid="{00000000-0006-0000-0500-0000A3000000}">
      <text>
        <r>
          <rPr>
            <b/>
            <sz val="9"/>
            <color indexed="81"/>
            <rFont val="Tahoma"/>
            <family val="2"/>
          </rPr>
          <t>Parsons, Gavin [GIR]:</t>
        </r>
        <r>
          <rPr>
            <sz val="9"/>
            <color indexed="81"/>
            <rFont val="Tahoma"/>
            <family val="2"/>
          </rPr>
          <t xml:space="preserve">
3q17: flat to moderate growth through end of decade</t>
        </r>
      </text>
    </comment>
    <comment ref="CU111" authorId="1" shapeId="0" xr:uid="{00000000-0006-0000-0500-0000A4000000}">
      <text>
        <r>
          <rPr>
            <b/>
            <sz val="9"/>
            <color indexed="81"/>
            <rFont val="Tahoma"/>
            <family val="2"/>
          </rPr>
          <t>Parsons, Gavin [GIR]:</t>
        </r>
        <r>
          <rPr>
            <sz val="9"/>
            <color indexed="81"/>
            <rFont val="Tahoma"/>
            <family val="2"/>
          </rPr>
          <t xml:space="preserve">
4q20: +LSD</t>
        </r>
      </text>
    </comment>
    <comment ref="CV111" authorId="1" shapeId="0" xr:uid="{00000000-0006-0000-0500-0000A5000000}">
      <text>
        <r>
          <rPr>
            <b/>
            <sz val="9"/>
            <color indexed="81"/>
            <rFont val="Tahoma"/>
            <family val="2"/>
          </rPr>
          <t>Parsons, Gavin [GIR]:</t>
        </r>
        <r>
          <rPr>
            <sz val="9"/>
            <color indexed="81"/>
            <rFont val="Tahoma"/>
            <family val="2"/>
          </rPr>
          <t xml:space="preserve">
1q22: (9)% excl charges</t>
        </r>
      </text>
    </comment>
    <comment ref="CX111" authorId="1" shapeId="0" xr:uid="{E1C2A791-A643-40A1-8C5B-22D6F82579E2}">
      <text>
        <r>
          <rPr>
            <b/>
            <sz val="9"/>
            <color indexed="81"/>
            <rFont val="Tahoma"/>
            <family val="2"/>
          </rPr>
          <t>Parsons, Gavin [GIR]:</t>
        </r>
        <r>
          <rPr>
            <sz val="9"/>
            <color indexed="81"/>
            <rFont val="Tahoma"/>
            <family val="2"/>
          </rPr>
          <t xml:space="preserve">
incl portion of charge </t>
        </r>
      </text>
    </comment>
    <comment ref="DE111" authorId="1" shapeId="0" xr:uid="{00000000-0006-0000-0500-0000A6000000}">
      <text>
        <r>
          <rPr>
            <b/>
            <sz val="9"/>
            <color indexed="81"/>
            <rFont val="Tahoma"/>
            <family val="2"/>
          </rPr>
          <t>Parsons, Gavin [GIR]:</t>
        </r>
        <r>
          <rPr>
            <sz val="9"/>
            <color indexed="81"/>
            <rFont val="Tahoma"/>
            <family val="2"/>
          </rPr>
          <t xml:space="preserve">
1q22: stable</t>
        </r>
      </text>
    </comment>
    <comment ref="CU112" authorId="1" shapeId="0" xr:uid="{00000000-0006-0000-0500-0000A7000000}">
      <text>
        <r>
          <rPr>
            <b/>
            <sz val="9"/>
            <color indexed="81"/>
            <rFont val="Tahoma"/>
            <family val="2"/>
          </rPr>
          <t>Parsons, Gavin [GIR]:</t>
        </r>
        <r>
          <rPr>
            <sz val="9"/>
            <color indexed="81"/>
            <rFont val="Tahoma"/>
            <family val="2"/>
          </rPr>
          <t xml:space="preserve">
4q20: flattish</t>
        </r>
      </text>
    </comment>
    <comment ref="DE112" authorId="11" shapeId="0" xr:uid="{9D9596B9-68AC-433B-805D-368DAC6786C1}">
      <text>
        <r>
          <rPr>
            <b/>
            <sz val="9"/>
            <color indexed="81"/>
            <rFont val="Tahoma"/>
            <family val="2"/>
          </rPr>
          <t>Blake, BEN [GIR]:</t>
        </r>
        <r>
          <rPr>
            <sz val="9"/>
            <color indexed="81"/>
            <rFont val="Tahoma"/>
            <family val="2"/>
          </rPr>
          <t xml:space="preserve">
1q23: MSD</t>
        </r>
      </text>
    </comment>
    <comment ref="DQ112" authorId="0" shapeId="0" xr:uid="{E57D9248-7B5C-4209-8902-204FF2637428}">
      <text>
        <r>
          <rPr>
            <b/>
            <sz val="9"/>
            <color indexed="81"/>
            <rFont val="Tahoma"/>
            <family val="2"/>
          </rPr>
          <t>Dessert, Connor H [GIR]:</t>
        </r>
        <r>
          <rPr>
            <sz val="9"/>
            <color indexed="81"/>
            <rFont val="Tahoma"/>
            <family val="2"/>
          </rPr>
          <t xml:space="preserve">
2q26: +8%</t>
        </r>
      </text>
    </comment>
    <comment ref="CA114" authorId="1" shapeId="0" xr:uid="{00000000-0006-0000-0500-0000A8000000}">
      <text>
        <r>
          <rPr>
            <b/>
            <sz val="9"/>
            <color indexed="81"/>
            <rFont val="Tahoma"/>
            <family val="2"/>
          </rPr>
          <t>Parsons, Gavin [GIR]:</t>
        </r>
        <r>
          <rPr>
            <sz val="9"/>
            <color indexed="81"/>
            <rFont val="Tahoma"/>
            <family val="2"/>
          </rPr>
          <t xml:space="preserve">
sep 16: flattish</t>
        </r>
      </text>
    </comment>
    <comment ref="CF114" authorId="1" shapeId="0" xr:uid="{00000000-0006-0000-0500-0000A9000000}">
      <text>
        <r>
          <rPr>
            <b/>
            <sz val="9"/>
            <color indexed="81"/>
            <rFont val="Tahoma"/>
            <family val="2"/>
          </rPr>
          <t>Parsons, Gavin [GIR]:</t>
        </r>
        <r>
          <rPr>
            <sz val="9"/>
            <color indexed="81"/>
            <rFont val="Tahoma"/>
            <family val="2"/>
          </rPr>
          <t xml:space="preserve">
4q16: up yoy
3q17: same</t>
        </r>
      </text>
    </comment>
    <comment ref="CU114" authorId="1" shapeId="0" xr:uid="{00000000-0006-0000-0500-0000AA000000}">
      <text>
        <r>
          <rPr>
            <b/>
            <sz val="9"/>
            <color indexed="81"/>
            <rFont val="Tahoma"/>
            <family val="2"/>
          </rPr>
          <t>Parsons, Gavin [GIR]:</t>
        </r>
        <r>
          <rPr>
            <sz val="9"/>
            <color indexed="81"/>
            <rFont val="Tahoma"/>
            <family val="2"/>
          </rPr>
          <t xml:space="preserve">
4q20: up yoy</t>
        </r>
      </text>
    </comment>
    <comment ref="AC118" authorId="5" shapeId="0" xr:uid="{00000000-0006-0000-0500-0000AB000000}">
      <text>
        <r>
          <rPr>
            <b/>
            <sz val="8"/>
            <color indexed="81"/>
            <rFont val="Tahoma"/>
            <family val="2"/>
          </rPr>
          <t>poponn:</t>
        </r>
        <r>
          <rPr>
            <sz val="8"/>
            <color indexed="81"/>
            <rFont val="Tahoma"/>
            <family val="2"/>
          </rPr>
          <t xml:space="preserve">
1q06: "moderate growth"
2q06: same
3q06: "slightly lower"</t>
        </r>
      </text>
    </comment>
    <comment ref="AH118" authorId="5" shapeId="0" xr:uid="{00000000-0006-0000-0500-0000AC000000}">
      <text>
        <r>
          <rPr>
            <b/>
            <sz val="8"/>
            <color indexed="81"/>
            <rFont val="Tahoma"/>
            <family val="2"/>
          </rPr>
          <t>poponn:</t>
        </r>
        <r>
          <rPr>
            <sz val="8"/>
            <color indexed="81"/>
            <rFont val="Tahoma"/>
            <family val="2"/>
          </rPr>
          <t xml:space="preserve">
4q06: stable
1q07: same
2q07: steady
3q07 same</t>
        </r>
      </text>
    </comment>
    <comment ref="AM118" authorId="5" shapeId="0" xr:uid="{00000000-0006-0000-0500-0000AD000000}">
      <text>
        <r>
          <rPr>
            <b/>
            <sz val="8"/>
            <color indexed="81"/>
            <rFont val="Tahoma"/>
            <family val="2"/>
          </rPr>
          <t>poponn:</t>
        </r>
        <r>
          <rPr>
            <sz val="8"/>
            <color indexed="81"/>
            <rFont val="Tahoma"/>
            <family val="2"/>
          </rPr>
          <t xml:space="preserve">
1q08: moderate growth
2q08: same</t>
        </r>
      </text>
    </comment>
    <comment ref="AC119" authorId="5" shapeId="0" xr:uid="{00000000-0006-0000-0500-0000AE000000}">
      <text>
        <r>
          <rPr>
            <b/>
            <sz val="8"/>
            <color indexed="81"/>
            <rFont val="Tahoma"/>
            <family val="2"/>
          </rPr>
          <t>poponn:</t>
        </r>
        <r>
          <rPr>
            <sz val="8"/>
            <color indexed="81"/>
            <rFont val="Tahoma"/>
            <family val="2"/>
          </rPr>
          <t xml:space="preserve">
1q06: "moderate growth"
2q06: same
3q06: same</t>
        </r>
      </text>
    </comment>
    <comment ref="AH119" authorId="5" shapeId="0" xr:uid="{00000000-0006-0000-0500-0000AF000000}">
      <text>
        <r>
          <rPr>
            <b/>
            <sz val="8"/>
            <color indexed="81"/>
            <rFont val="Tahoma"/>
            <family val="2"/>
          </rPr>
          <t>poponn:</t>
        </r>
        <r>
          <rPr>
            <sz val="8"/>
            <color indexed="81"/>
            <rFont val="Tahoma"/>
            <family val="2"/>
          </rPr>
          <t xml:space="preserve">
4q06: moderate growth
1q07: same
2q07: same
3q07: same</t>
        </r>
      </text>
    </comment>
    <comment ref="AM119" authorId="5" shapeId="0" xr:uid="{00000000-0006-0000-0500-0000B0000000}">
      <text>
        <r>
          <rPr>
            <b/>
            <sz val="8"/>
            <color indexed="81"/>
            <rFont val="Tahoma"/>
            <family val="2"/>
          </rPr>
          <t>poponn:</t>
        </r>
        <r>
          <rPr>
            <sz val="8"/>
            <color indexed="81"/>
            <rFont val="Tahoma"/>
            <family val="2"/>
          </rPr>
          <t xml:space="preserve">
1q08: moderate growth
2q08: same</t>
        </r>
      </text>
    </comment>
    <comment ref="AC120" authorId="5" shapeId="0" xr:uid="{00000000-0006-0000-0500-0000B1000000}">
      <text>
        <r>
          <rPr>
            <b/>
            <sz val="8"/>
            <color indexed="81"/>
            <rFont val="Tahoma"/>
            <family val="2"/>
          </rPr>
          <t>poponn:</t>
        </r>
        <r>
          <rPr>
            <sz val="8"/>
            <color indexed="81"/>
            <rFont val="Tahoma"/>
            <family val="2"/>
          </rPr>
          <t xml:space="preserve">
1q06: "moderate growth"
2q06: same
3q06: same</t>
        </r>
      </text>
    </comment>
    <comment ref="AH120" authorId="5" shapeId="0" xr:uid="{00000000-0006-0000-0500-0000B2000000}">
      <text>
        <r>
          <rPr>
            <b/>
            <sz val="8"/>
            <color indexed="81"/>
            <rFont val="Tahoma"/>
            <family val="2"/>
          </rPr>
          <t>poponn:</t>
        </r>
        <r>
          <rPr>
            <sz val="8"/>
            <color indexed="81"/>
            <rFont val="Tahoma"/>
            <family val="2"/>
          </rPr>
          <t xml:space="preserve">
4q06: moderate growth
1q07: same
2q07: same
3q07: same</t>
        </r>
      </text>
    </comment>
    <comment ref="AM120" authorId="5" shapeId="0" xr:uid="{00000000-0006-0000-0500-0000B3000000}">
      <text>
        <r>
          <rPr>
            <b/>
            <sz val="8"/>
            <color indexed="81"/>
            <rFont val="Tahoma"/>
            <family val="2"/>
          </rPr>
          <t>poponn:</t>
        </r>
        <r>
          <rPr>
            <sz val="8"/>
            <color indexed="81"/>
            <rFont val="Tahoma"/>
            <family val="2"/>
          </rPr>
          <t xml:space="preserve">
1q08: moderate growth
2q08: same</t>
        </r>
      </text>
    </comment>
    <comment ref="AC127" authorId="5" shapeId="0" xr:uid="{00000000-0006-0000-0500-0000B4000000}">
      <text>
        <r>
          <rPr>
            <b/>
            <sz val="8"/>
            <color indexed="81"/>
            <rFont val="Tahoma"/>
            <family val="2"/>
          </rPr>
          <t>poponn:</t>
        </r>
        <r>
          <rPr>
            <sz val="8"/>
            <color indexed="81"/>
            <rFont val="Tahoma"/>
            <family val="2"/>
          </rPr>
          <t xml:space="preserve">
1q06: 2-5%
2q06: same</t>
        </r>
      </text>
    </comment>
    <comment ref="CC168" authorId="1" shapeId="0" xr:uid="{00000000-0006-0000-0500-0000B5000000}">
      <text>
        <r>
          <rPr>
            <b/>
            <sz val="9"/>
            <color indexed="81"/>
            <rFont val="Tahoma"/>
            <family val="2"/>
          </rPr>
          <t>Parsons, Gavin [GIR]:</t>
        </r>
        <r>
          <rPr>
            <sz val="9"/>
            <color indexed="81"/>
            <rFont val="Tahoma"/>
            <family val="2"/>
          </rPr>
          <t xml:space="preserve">
307 tanker charge</t>
        </r>
      </text>
    </comment>
    <comment ref="AP169" authorId="2" shapeId="0" xr:uid="{00000000-0006-0000-0500-0000B6000000}">
      <text>
        <r>
          <rPr>
            <b/>
            <sz val="8"/>
            <color indexed="81"/>
            <rFont val="Tahoma"/>
            <family val="2"/>
          </rPr>
          <t>wachun:</t>
        </r>
        <r>
          <rPr>
            <sz val="8"/>
            <color indexed="81"/>
            <rFont val="Tahoma"/>
            <family val="2"/>
          </rPr>
          <t xml:space="preserve">
3q10a: 42mn charge on int'l tanker</t>
        </r>
      </text>
    </comment>
    <comment ref="BR178" authorId="1" shapeId="0" xr:uid="{00000000-0006-0000-0500-0000B7000000}">
      <text>
        <r>
          <rPr>
            <b/>
            <sz val="9"/>
            <color indexed="81"/>
            <rFont val="Tahoma"/>
            <family val="2"/>
          </rPr>
          <t>Parsons, Gavin [GIR]:</t>
        </r>
        <r>
          <rPr>
            <sz val="9"/>
            <color indexed="81"/>
            <rFont val="Tahoma"/>
            <family val="2"/>
          </rPr>
          <t xml:space="preserve">
1q16: 81 tanker charge</t>
        </r>
      </text>
    </comment>
    <comment ref="BS178" authorId="1" shapeId="0" xr:uid="{00000000-0006-0000-0500-0000B8000000}">
      <text>
        <r>
          <rPr>
            <b/>
            <sz val="9"/>
            <color indexed="81"/>
            <rFont val="Tahoma"/>
            <family val="2"/>
          </rPr>
          <t>Parsons, Gavin [GIR]:</t>
        </r>
        <r>
          <rPr>
            <sz val="9"/>
            <color indexed="81"/>
            <rFont val="Tahoma"/>
            <family val="2"/>
          </rPr>
          <t xml:space="preserve">
2q16: 219 tanker charge</t>
        </r>
      </text>
    </comment>
    <comment ref="BU178" authorId="1" shapeId="0" xr:uid="{00000000-0006-0000-0500-0000B9000000}">
      <text>
        <r>
          <rPr>
            <b/>
            <sz val="9"/>
            <color indexed="81"/>
            <rFont val="Tahoma"/>
            <family val="2"/>
          </rPr>
          <t>Parsons, Gavin [GIR]:</t>
        </r>
        <r>
          <rPr>
            <sz val="9"/>
            <color indexed="81"/>
            <rFont val="Tahoma"/>
            <family val="2"/>
          </rPr>
          <t xml:space="preserve">
4q16: 69 tanker charge</t>
        </r>
      </text>
    </comment>
    <comment ref="BY178" authorId="1" shapeId="0" xr:uid="{00000000-0006-0000-0500-0000BA000000}">
      <text>
        <r>
          <rPr>
            <b/>
            <sz val="9"/>
            <color indexed="81"/>
            <rFont val="Tahoma"/>
            <family val="2"/>
          </rPr>
          <t>Parsons, Gavin [GIR]:</t>
        </r>
        <r>
          <rPr>
            <sz val="9"/>
            <color indexed="81"/>
            <rFont val="Tahoma"/>
            <family val="2"/>
          </rPr>
          <t xml:space="preserve">
73 tanker charge</t>
        </r>
      </text>
    </comment>
    <comment ref="CC178" authorId="1" shapeId="0" xr:uid="{00000000-0006-0000-0500-0000BB000000}">
      <text>
        <r>
          <rPr>
            <b/>
            <sz val="9"/>
            <color indexed="81"/>
            <rFont val="Tahoma"/>
            <family val="2"/>
          </rPr>
          <t>Parsons, Gavin [GIR]:</t>
        </r>
        <r>
          <rPr>
            <sz val="9"/>
            <color indexed="81"/>
            <rFont val="Tahoma"/>
            <family val="2"/>
          </rPr>
          <t xml:space="preserve">
111 tanker charge</t>
        </r>
      </text>
    </comment>
    <comment ref="CD178" authorId="1" shapeId="0" xr:uid="{00000000-0006-0000-0500-0000BC000000}">
      <text>
        <r>
          <rPr>
            <b/>
            <sz val="9"/>
            <color indexed="81"/>
            <rFont val="Tahoma"/>
            <family val="2"/>
          </rPr>
          <t>Parsons, Gavin [GIR]:</t>
        </r>
        <r>
          <rPr>
            <sz val="9"/>
            <color indexed="81"/>
            <rFont val="Tahoma"/>
            <family val="2"/>
          </rPr>
          <t xml:space="preserve">
691 T-X &amp; MQ-25 charge
64 Tanker charge</t>
        </r>
      </text>
    </comment>
    <comment ref="AU180" authorId="7" shapeId="0" xr:uid="{00000000-0006-0000-0500-0000BD000000}">
      <text>
        <r>
          <rPr>
            <b/>
            <sz val="8"/>
            <color indexed="81"/>
            <rFont val="Tahoma"/>
            <family val="2"/>
          </rPr>
          <t>sammun:</t>
        </r>
        <r>
          <rPr>
            <sz val="8"/>
            <color indexed="81"/>
            <rFont val="Tahoma"/>
            <family val="2"/>
          </rPr>
          <t xml:space="preserve">
3q11: better operating performance was offset by lower revs and asset impairments. Portfolio balance at qtr end was $4.3bn. </t>
        </r>
      </text>
    </comment>
    <comment ref="BL180" authorId="6" shapeId="0" xr:uid="{00000000-0006-0000-0500-0000BE000000}">
      <text>
        <r>
          <rPr>
            <b/>
            <sz val="8"/>
            <color indexed="81"/>
            <rFont val="Tahoma"/>
            <family val="2"/>
          </rPr>
          <t>gneeti:</t>
        </r>
        <r>
          <rPr>
            <sz val="8"/>
            <color indexed="81"/>
            <rFont val="Tahoma"/>
            <family val="2"/>
          </rPr>
          <t xml:space="preserve">
4q13: ~0.05
1q14: same
2q14: same
3q14: same</t>
        </r>
      </text>
    </comment>
    <comment ref="BV180" authorId="10" shapeId="0" xr:uid="{00000000-0006-0000-0500-0000BF000000}">
      <text>
        <r>
          <rPr>
            <b/>
            <sz val="9"/>
            <color indexed="81"/>
            <rFont val="Tahoma"/>
            <family val="2"/>
          </rPr>
          <t>Correa, Tais [GIR]:</t>
        </r>
        <r>
          <rPr>
            <sz val="9"/>
            <color indexed="81"/>
            <rFont val="Tahoma"/>
            <family val="2"/>
          </rPr>
          <t xml:space="preserve">
1q16: ~0.05bn
2q16: same
3q16: same</t>
        </r>
      </text>
    </comment>
    <comment ref="CA180" authorId="1" shapeId="0" xr:uid="{00000000-0006-0000-0500-0000C0000000}">
      <text>
        <r>
          <rPr>
            <b/>
            <sz val="9"/>
            <color indexed="81"/>
            <rFont val="Tahoma"/>
            <family val="2"/>
          </rPr>
          <t>Parsons, Gavin [GIR]:</t>
        </r>
        <r>
          <rPr>
            <sz val="9"/>
            <color indexed="81"/>
            <rFont val="Tahoma"/>
            <family val="2"/>
          </rPr>
          <t xml:space="preserve">
4q16: 50
2q17: 80
3q17: same</t>
        </r>
      </text>
    </comment>
    <comment ref="CF180" authorId="9" shapeId="0" xr:uid="{00000000-0006-0000-0500-0000C1000000}">
      <text>
        <r>
          <rPr>
            <b/>
            <sz val="9"/>
            <color indexed="81"/>
            <rFont val="Tahoma"/>
            <family val="2"/>
          </rPr>
          <t>Porat, Matthew [GIR]:</t>
        </r>
        <r>
          <rPr>
            <sz val="9"/>
            <color indexed="81"/>
            <rFont val="Tahoma"/>
            <family val="2"/>
          </rPr>
          <t xml:space="preserve">
4q17: 50
1q18: same
2q18: 70
3q18: 80</t>
        </r>
      </text>
    </comment>
    <comment ref="X181" authorId="5" shapeId="0" xr:uid="{00000000-0006-0000-0500-0000C2000000}">
      <text>
        <r>
          <rPr>
            <b/>
            <sz val="8"/>
            <color indexed="81"/>
            <rFont val="Tahoma"/>
            <family val="2"/>
          </rPr>
          <t>poponn:</t>
        </r>
        <r>
          <rPr>
            <sz val="8"/>
            <color indexed="81"/>
            <rFont val="Tahoma"/>
            <family val="2"/>
          </rPr>
          <t xml:space="preserve">
10/25/06: RY - 800 ex DOJ and ex Connexion</t>
        </r>
      </text>
    </comment>
    <comment ref="AC181" authorId="5" shapeId="0" xr:uid="{00000000-0006-0000-0500-0000C3000000}">
      <text>
        <r>
          <rPr>
            <b/>
            <sz val="8"/>
            <color indexed="81"/>
            <rFont val="Tahoma"/>
            <family val="2"/>
          </rPr>
          <t>poponn:</t>
        </r>
        <r>
          <rPr>
            <sz val="8"/>
            <color indexed="81"/>
            <rFont val="Tahoma"/>
            <family val="2"/>
          </rPr>
          <t xml:space="preserve">
10/25/06: RY - 100-200</t>
        </r>
      </text>
    </comment>
    <comment ref="AH181" authorId="5" shapeId="0" xr:uid="{00000000-0006-0000-0500-0000C4000000}">
      <text>
        <r>
          <rPr>
            <b/>
            <sz val="8"/>
            <color indexed="81"/>
            <rFont val="Tahoma"/>
            <family val="2"/>
          </rPr>
          <t>poponn:</t>
        </r>
        <r>
          <rPr>
            <sz val="8"/>
            <color indexed="81"/>
            <rFont val="Tahoma"/>
            <family val="2"/>
          </rPr>
          <t xml:space="preserve">
10/25/06: RY - 100-200
4q07: RY - 200
1q08: total other + unallocated = 1.1bn
2q08: (300)</t>
        </r>
      </text>
    </comment>
    <comment ref="AM181" authorId="5" shapeId="0" xr:uid="{00000000-0006-0000-0500-0000C5000000}">
      <text>
        <r>
          <rPr>
            <b/>
            <sz val="8"/>
            <color indexed="81"/>
            <rFont val="Tahoma"/>
            <family val="2"/>
          </rPr>
          <t>poponn:</t>
        </r>
        <r>
          <rPr>
            <sz val="8"/>
            <color indexed="81"/>
            <rFont val="Tahoma"/>
            <family val="2"/>
          </rPr>
          <t xml:space="preserve">
1q08: total other + unallocated = 750
2q08: (150)
2q09: (200)
3q09: same </t>
        </r>
      </text>
    </comment>
    <comment ref="AP181" authorId="2" shapeId="0" xr:uid="{00000000-0006-0000-0500-0000C6000000}">
      <text>
        <r>
          <rPr>
            <b/>
            <sz val="8"/>
            <color indexed="81"/>
            <rFont val="Tahoma"/>
            <family val="2"/>
          </rPr>
          <t>wachun:</t>
        </r>
        <r>
          <rPr>
            <sz val="8"/>
            <color indexed="81"/>
            <rFont val="Tahoma"/>
            <family val="2"/>
          </rPr>
          <t xml:space="preserve">
3q10: 81mn 717 Mexicana impairment charge</t>
        </r>
      </text>
    </comment>
    <comment ref="AR181" authorId="2" shapeId="0" xr:uid="{00000000-0006-0000-0500-0000C7000000}">
      <text>
        <r>
          <rPr>
            <b/>
            <sz val="8"/>
            <color indexed="81"/>
            <rFont val="Tahoma"/>
            <family val="2"/>
          </rPr>
          <t>wachun:</t>
        </r>
        <r>
          <rPr>
            <sz val="8"/>
            <color indexed="81"/>
            <rFont val="Tahoma"/>
            <family val="2"/>
          </rPr>
          <t xml:space="preserve">
4q09: (200)
1q10: same
2q10: same
3q10: (310)</t>
        </r>
      </text>
    </comment>
    <comment ref="AW181" authorId="2" shapeId="0" xr:uid="{00000000-0006-0000-0500-0000C8000000}">
      <text>
        <r>
          <rPr>
            <b/>
            <sz val="8"/>
            <color indexed="81"/>
            <rFont val="Tahoma"/>
            <family val="2"/>
          </rPr>
          <t>wachun:</t>
        </r>
        <r>
          <rPr>
            <sz val="8"/>
            <color indexed="81"/>
            <rFont val="Tahoma"/>
            <family val="2"/>
          </rPr>
          <t xml:space="preserve">
4q10: (250)
1q11: same
3q11: Other segment expense to be (100)
</t>
        </r>
      </text>
    </comment>
    <comment ref="BB181" authorId="5" shapeId="0" xr:uid="{00000000-0006-0000-0500-0000C9000000}">
      <text>
        <r>
          <rPr>
            <b/>
            <sz val="8"/>
            <color indexed="81"/>
            <rFont val="Tahoma"/>
            <family val="2"/>
          </rPr>
          <t>poponn:</t>
        </r>
        <r>
          <rPr>
            <sz val="8"/>
            <color indexed="81"/>
            <rFont val="Tahoma"/>
            <family val="2"/>
          </rPr>
          <t xml:space="preserve">
4q11: (200)</t>
        </r>
      </text>
    </comment>
    <comment ref="DO181" authorId="0" shapeId="0" xr:uid="{47B86C19-E80B-4954-81FB-9DB7F32D7579}">
      <text>
        <r>
          <rPr>
            <b/>
            <sz val="9"/>
            <color indexed="81"/>
            <rFont val="Tahoma"/>
            <family val="2"/>
          </rPr>
          <t>Dessert, Connor H [GIR]:</t>
        </r>
        <r>
          <rPr>
            <sz val="9"/>
            <color indexed="81"/>
            <rFont val="Tahoma"/>
            <family val="2"/>
          </rPr>
          <t xml:space="preserve">
Assume some SPR integration costs</t>
        </r>
      </text>
    </comment>
    <comment ref="DT181" authorId="0" shapeId="0" xr:uid="{0F3F2043-D997-44F5-B344-1BF8A0DA90B6}">
      <text>
        <r>
          <rPr>
            <b/>
            <sz val="9"/>
            <color indexed="81"/>
            <rFont val="Tahoma"/>
            <family val="2"/>
          </rPr>
          <t>Dessert, Connor H [GIR]:</t>
        </r>
        <r>
          <rPr>
            <sz val="9"/>
            <color indexed="81"/>
            <rFont val="Tahoma"/>
            <family val="2"/>
          </rPr>
          <t xml:space="preserve">
Assume some SPR integration costs</t>
        </r>
      </text>
    </comment>
    <comment ref="AR182" authorId="5" shapeId="0" xr:uid="{00000000-0006-0000-0500-0000CA000000}">
      <text>
        <r>
          <rPr>
            <b/>
            <sz val="8"/>
            <color indexed="81"/>
            <rFont val="Tahoma"/>
            <family val="2"/>
          </rPr>
          <t>poponn:</t>
        </r>
        <r>
          <rPr>
            <sz val="8"/>
            <color indexed="81"/>
            <rFont val="Tahoma"/>
            <family val="2"/>
          </rPr>
          <t xml:space="preserve">
4q09: +100</t>
        </r>
      </text>
    </comment>
    <comment ref="AW182" authorId="2" shapeId="0" xr:uid="{00000000-0006-0000-0500-0000CB000000}">
      <text>
        <r>
          <rPr>
            <b/>
            <sz val="8"/>
            <color indexed="81"/>
            <rFont val="Tahoma"/>
            <family val="2"/>
          </rPr>
          <t>wachun:</t>
        </r>
        <r>
          <rPr>
            <sz val="8"/>
            <color indexed="81"/>
            <rFont val="Tahoma"/>
            <family val="2"/>
          </rPr>
          <t xml:space="preserve">
4q09: slightly higher if we hit D.R., A.R.
1q11: (300)
3q11 total pension expense (1.7)bn</t>
        </r>
      </text>
    </comment>
    <comment ref="BB182" authorId="5" shapeId="0" xr:uid="{00000000-0006-0000-0500-0000CC000000}">
      <text>
        <r>
          <rPr>
            <b/>
            <sz val="8"/>
            <color indexed="81"/>
            <rFont val="Tahoma"/>
            <family val="2"/>
          </rPr>
          <t>poponn:</t>
        </r>
        <r>
          <rPr>
            <sz val="8"/>
            <color indexed="81"/>
            <rFont val="Tahoma"/>
            <family val="2"/>
          </rPr>
          <t xml:space="preserve">
3q11: total pension expense 2.6
4q11: (900) here, rest in segs</t>
        </r>
      </text>
    </comment>
    <comment ref="BH182" authorId="13" shapeId="0" xr:uid="{00000000-0006-0000-0500-0000CD000000}">
      <text>
        <r>
          <rPr>
            <b/>
            <sz val="8"/>
            <color indexed="81"/>
            <rFont val="Tahoma"/>
            <family val="2"/>
          </rPr>
          <t>khalom:</t>
        </r>
        <r>
          <rPr>
            <sz val="8"/>
            <color indexed="81"/>
            <rFont val="Tahoma"/>
            <family val="2"/>
          </rPr>
          <t xml:space="preserve">
4q13: $140mn &amp; $80mn non-cash charges for IAM751 &amp; IAM 837 contracts 
mar 14: $110mn non-cash pension curtailment charge</t>
        </r>
      </text>
    </comment>
    <comment ref="BI182" authorId="13" shapeId="0" xr:uid="{00000000-0006-0000-0500-0000CE000000}">
      <text>
        <r>
          <rPr>
            <b/>
            <sz val="8"/>
            <color indexed="81"/>
            <rFont val="Tahoma"/>
            <family val="2"/>
          </rPr>
          <t>khalom:</t>
        </r>
        <r>
          <rPr>
            <sz val="8"/>
            <color indexed="81"/>
            <rFont val="Tahoma"/>
            <family val="2"/>
          </rPr>
          <t xml:space="preserve">
4q13: $140mn &amp; $80mn non-cash charges for IAM751 &amp; IAM 837 contracts 
mar 14: $110mn non-cash pension curtailment charge</t>
        </r>
      </text>
    </comment>
    <comment ref="BV182" authorId="10" shapeId="0" xr:uid="{00000000-0006-0000-0500-0000CF000000}">
      <text>
        <r>
          <rPr>
            <b/>
            <sz val="9"/>
            <color indexed="81"/>
            <rFont val="Tahoma"/>
            <family val="2"/>
          </rPr>
          <t>Correa, Tais [GIR]:</t>
        </r>
        <r>
          <rPr>
            <sz val="9"/>
            <color indexed="81"/>
            <rFont val="Tahoma"/>
            <family val="2"/>
          </rPr>
          <t xml:space="preserve">
1q16: ~300
2q16: same</t>
        </r>
      </text>
    </comment>
    <comment ref="X183" authorId="5" shapeId="0" xr:uid="{00000000-0006-0000-0500-0000D0000000}">
      <text>
        <r>
          <rPr>
            <b/>
            <sz val="8"/>
            <color indexed="81"/>
            <rFont val="Tahoma"/>
            <family val="2"/>
          </rPr>
          <t>poponn:</t>
        </r>
        <r>
          <rPr>
            <sz val="8"/>
            <color indexed="81"/>
            <rFont val="Tahoma"/>
            <family val="2"/>
          </rPr>
          <t xml:space="preserve">
10/25/06: RY - high 6</t>
        </r>
      </text>
    </comment>
    <comment ref="AC183" authorId="5" shapeId="0" xr:uid="{00000000-0006-0000-0500-0000D1000000}">
      <text>
        <r>
          <rPr>
            <b/>
            <sz val="8"/>
            <color indexed="81"/>
            <rFont val="Tahoma"/>
            <family val="2"/>
          </rPr>
          <t>poponn:</t>
        </r>
        <r>
          <rPr>
            <sz val="8"/>
            <color indexed="81"/>
            <rFont val="Tahoma"/>
            <family val="2"/>
          </rPr>
          <t xml:space="preserve">
10/25/06: RY - half of '06 level</t>
        </r>
      </text>
    </comment>
    <comment ref="AH183" authorId="5" shapeId="0" xr:uid="{00000000-0006-0000-0500-0000D2000000}">
      <text>
        <r>
          <rPr>
            <b/>
            <sz val="8"/>
            <color indexed="81"/>
            <rFont val="Tahoma"/>
            <family val="2"/>
          </rPr>
          <t>poponn:</t>
        </r>
        <r>
          <rPr>
            <sz val="8"/>
            <color indexed="81"/>
            <rFont val="Tahoma"/>
            <family val="2"/>
          </rPr>
          <t xml:space="preserve">
10/25/06: RY - same as '07
1q08: 1q08: total other + unallocated = 1.1bn
2q08: Unallocated (which includes SBP) is 1bn </t>
        </r>
      </text>
    </comment>
    <comment ref="AM183" authorId="5" shapeId="0" xr:uid="{00000000-0006-0000-0500-0000D3000000}">
      <text>
        <r>
          <rPr>
            <b/>
            <sz val="8"/>
            <color indexed="81"/>
            <rFont val="Tahoma"/>
            <family val="2"/>
          </rPr>
          <t>poponn:</t>
        </r>
        <r>
          <rPr>
            <sz val="8"/>
            <color indexed="81"/>
            <rFont val="Tahoma"/>
            <family val="2"/>
          </rPr>
          <t xml:space="preserve">
1q08: total other + unallocated = 750
2q08: Unallocated (which includes SBP) is 700
4q08: (200) SBP
3q09: SBP + unallocated = (700)</t>
        </r>
      </text>
    </comment>
    <comment ref="AR183" authorId="5" shapeId="0" xr:uid="{00000000-0006-0000-0500-0000D4000000}">
      <text>
        <r>
          <rPr>
            <b/>
            <sz val="8"/>
            <color indexed="81"/>
            <rFont val="Tahoma"/>
            <family val="2"/>
          </rPr>
          <t>poponn:</t>
        </r>
        <r>
          <rPr>
            <sz val="8"/>
            <color indexed="81"/>
            <rFont val="Tahoma"/>
            <family val="2"/>
          </rPr>
          <t xml:space="preserve">
4q09: (160)</t>
        </r>
      </text>
    </comment>
    <comment ref="BB183" authorId="5" shapeId="0" xr:uid="{00000000-0006-0000-0500-0000D5000000}">
      <text>
        <r>
          <rPr>
            <b/>
            <sz val="8"/>
            <color indexed="81"/>
            <rFont val="Tahoma"/>
            <family val="2"/>
          </rPr>
          <t>poponn:</t>
        </r>
        <r>
          <rPr>
            <sz val="8"/>
            <color indexed="81"/>
            <rFont val="Tahoma"/>
            <family val="2"/>
          </rPr>
          <t xml:space="preserve">
4q11: (100)</t>
        </r>
      </text>
    </comment>
    <comment ref="BG183" authorId="5" shapeId="0" xr:uid="{00000000-0006-0000-0500-0000D6000000}">
      <text>
        <r>
          <rPr>
            <b/>
            <sz val="8"/>
            <color indexed="81"/>
            <rFont val="Tahoma"/>
            <family val="2"/>
          </rPr>
          <t>poponn:</t>
        </r>
        <r>
          <rPr>
            <sz val="8"/>
            <color indexed="81"/>
            <rFont val="Tahoma"/>
            <family val="2"/>
          </rPr>
          <t xml:space="preserve">
4q12: (80)</t>
        </r>
      </text>
    </comment>
    <comment ref="AR184" authorId="5" shapeId="0" xr:uid="{00000000-0006-0000-0500-0000D7000000}">
      <text>
        <r>
          <rPr>
            <b/>
            <sz val="8"/>
            <color indexed="81"/>
            <rFont val="Tahoma"/>
            <family val="2"/>
          </rPr>
          <t>poponn:</t>
        </r>
        <r>
          <rPr>
            <sz val="8"/>
            <color indexed="81"/>
            <rFont val="Tahoma"/>
            <family val="2"/>
          </rPr>
          <t xml:space="preserve">
4q09: (150)</t>
        </r>
      </text>
    </comment>
    <comment ref="BB184" authorId="5" shapeId="0" xr:uid="{00000000-0006-0000-0500-0000D8000000}">
      <text>
        <r>
          <rPr>
            <b/>
            <sz val="8"/>
            <color indexed="81"/>
            <rFont val="Tahoma"/>
            <family val="2"/>
          </rPr>
          <t>poponn:</t>
        </r>
        <r>
          <rPr>
            <sz val="8"/>
            <color indexed="81"/>
            <rFont val="Tahoma"/>
            <family val="2"/>
          </rPr>
          <t xml:space="preserve">
4q11: (60)</t>
        </r>
      </text>
    </comment>
    <comment ref="BG184" authorId="5" shapeId="0" xr:uid="{00000000-0006-0000-0500-0000D9000000}">
      <text>
        <r>
          <rPr>
            <b/>
            <sz val="8"/>
            <color indexed="81"/>
            <rFont val="Tahoma"/>
            <family val="2"/>
          </rPr>
          <t>poponn:</t>
        </r>
        <r>
          <rPr>
            <sz val="8"/>
            <color indexed="81"/>
            <rFont val="Tahoma"/>
            <family val="2"/>
          </rPr>
          <t xml:space="preserve">
4q12: (60)</t>
        </r>
      </text>
    </comment>
    <comment ref="AP185" authorId="2" shapeId="0" xr:uid="{00000000-0006-0000-0500-0000DA000000}">
      <text>
        <r>
          <rPr>
            <b/>
            <sz val="8"/>
            <color indexed="81"/>
            <rFont val="Tahoma"/>
            <family val="2"/>
          </rPr>
          <t>wachun:</t>
        </r>
        <r>
          <rPr>
            <sz val="8"/>
            <color indexed="81"/>
            <rFont val="Tahoma"/>
            <family val="2"/>
          </rPr>
          <t xml:space="preserve">
3q10a: 81mn impairment of Mexicana 717 financing</t>
        </r>
      </text>
    </comment>
    <comment ref="AR185" authorId="5" shapeId="0" xr:uid="{00000000-0006-0000-0500-0000DB000000}">
      <text>
        <r>
          <rPr>
            <b/>
            <sz val="8"/>
            <color indexed="81"/>
            <rFont val="Tahoma"/>
            <family val="2"/>
          </rPr>
          <t>poponn:</t>
        </r>
        <r>
          <rPr>
            <sz val="8"/>
            <color indexed="81"/>
            <rFont val="Tahoma"/>
            <family val="2"/>
          </rPr>
          <t xml:space="preserve">
4q09: (400)-(500)</t>
        </r>
      </text>
    </comment>
    <comment ref="BB185" authorId="5" shapeId="0" xr:uid="{00000000-0006-0000-0500-0000DC000000}">
      <text>
        <r>
          <rPr>
            <b/>
            <sz val="8"/>
            <color indexed="81"/>
            <rFont val="Tahoma"/>
            <family val="2"/>
          </rPr>
          <t>poponn:</t>
        </r>
        <r>
          <rPr>
            <sz val="8"/>
            <color indexed="81"/>
            <rFont val="Tahoma"/>
            <family val="2"/>
          </rPr>
          <t xml:space="preserve">
4q11: post retirement (120), cap interest (55), other unall (300) - total (475)</t>
        </r>
      </text>
    </comment>
    <comment ref="CO185" authorId="1" shapeId="0" xr:uid="{00000000-0006-0000-0500-0000DD000000}">
      <text>
        <r>
          <rPr>
            <b/>
            <sz val="9"/>
            <color indexed="81"/>
            <rFont val="Tahoma"/>
            <family val="2"/>
          </rPr>
          <t>Parsons, Gavin [GIR]:</t>
        </r>
        <r>
          <rPr>
            <sz val="9"/>
            <color indexed="81"/>
            <rFont val="Tahoma"/>
            <family val="2"/>
          </rPr>
          <t xml:space="preserve">
744mn charge on DoJ settlement</t>
        </r>
      </text>
    </comment>
    <comment ref="X186" authorId="5" shapeId="0" xr:uid="{00000000-0006-0000-0500-0000DE000000}">
      <text>
        <r>
          <rPr>
            <b/>
            <sz val="8"/>
            <color indexed="81"/>
            <rFont val="Tahoma"/>
            <family val="2"/>
          </rPr>
          <t>poponn:</t>
        </r>
        <r>
          <rPr>
            <sz val="8"/>
            <color indexed="81"/>
            <rFont val="Tahoma"/>
            <family val="2"/>
          </rPr>
          <t xml:space="preserve">
10/25/06: RY - total of SBP+unallocated = 2/3 of 2005 (which was 2407) = 1605</t>
        </r>
      </text>
    </comment>
    <comment ref="AC186" authorId="5" shapeId="0" xr:uid="{00000000-0006-0000-0500-0000DF000000}">
      <text>
        <r>
          <rPr>
            <b/>
            <sz val="8"/>
            <color indexed="81"/>
            <rFont val="Tahoma"/>
            <family val="2"/>
          </rPr>
          <t>poponn:</t>
        </r>
        <r>
          <rPr>
            <sz val="8"/>
            <color indexed="81"/>
            <rFont val="Tahoma"/>
            <family val="2"/>
          </rPr>
          <t xml:space="preserve">
10/25/06: RY - total of SBP+unallocated = '06 level of 1605</t>
        </r>
      </text>
    </comment>
    <comment ref="AH186" authorId="5" shapeId="0" xr:uid="{00000000-0006-0000-0500-0000E0000000}">
      <text>
        <r>
          <rPr>
            <b/>
            <sz val="8"/>
            <color indexed="81"/>
            <rFont val="Tahoma"/>
            <family val="2"/>
          </rPr>
          <t>poponn:</t>
        </r>
        <r>
          <rPr>
            <sz val="8"/>
            <color indexed="81"/>
            <rFont val="Tahoma"/>
            <family val="2"/>
          </rPr>
          <t xml:space="preserve">
10/25/06: RY - total of SBP+unallocated = '06 level of 1605
4q07: (800) pension
RY - unallocated + SBP = 1.05bn
1q08: 1q08: total other + unallocated = 1.1bn</t>
        </r>
      </text>
    </comment>
    <comment ref="AM186" authorId="5" shapeId="0" xr:uid="{00000000-0006-0000-0500-0000E1000000}">
      <text>
        <r>
          <rPr>
            <b/>
            <sz val="8"/>
            <color indexed="81"/>
            <rFont val="Tahoma"/>
            <family val="2"/>
          </rPr>
          <t>poponn:</t>
        </r>
        <r>
          <rPr>
            <sz val="8"/>
            <color indexed="81"/>
            <rFont val="Tahoma"/>
            <family val="2"/>
          </rPr>
          <t xml:space="preserve">
4q07: pension half of 08 or (400)
1q08: total other + unallocated = 750
3q08: pension (100) higher than previously thought
4q08: (680); includes -100 deferred comp, +50 pension, -80 post retirement, -50 capitalized, -500 other
2q09: (700)
3q09: same</t>
        </r>
      </text>
    </comment>
    <comment ref="AR186" authorId="2" shapeId="0" xr:uid="{00000000-0006-0000-0500-0000E2000000}">
      <text>
        <r>
          <rPr>
            <b/>
            <sz val="8"/>
            <color indexed="81"/>
            <rFont val="Tahoma"/>
            <family val="2"/>
          </rPr>
          <t>wachun:</t>
        </r>
        <r>
          <rPr>
            <sz val="8"/>
            <color indexed="81"/>
            <rFont val="Tahoma"/>
            <family val="2"/>
          </rPr>
          <t xml:space="preserve">
4q09: (800) pension of 1.2bn
1q10: (700)
2q10: (800)
3q10: same</t>
        </r>
      </text>
    </comment>
    <comment ref="AW186" authorId="2" shapeId="0" xr:uid="{00000000-0006-0000-0500-0000E3000000}">
      <text>
        <r>
          <rPr>
            <b/>
            <sz val="8"/>
            <color indexed="81"/>
            <rFont val="Tahoma"/>
            <family val="2"/>
          </rPr>
          <t>wachun:</t>
        </r>
        <r>
          <rPr>
            <sz val="8"/>
            <color indexed="81"/>
            <rFont val="Tahoma"/>
            <family val="2"/>
          </rPr>
          <t xml:space="preserve">
4q10: (900)
1q11: (800)
3q11: (1bn)</t>
        </r>
      </text>
    </comment>
    <comment ref="BG186" authorId="13" shapeId="0" xr:uid="{00000000-0006-0000-0500-0000E4000000}">
      <text>
        <r>
          <rPr>
            <b/>
            <sz val="8"/>
            <color indexed="81"/>
            <rFont val="Tahoma"/>
            <family val="2"/>
          </rPr>
          <t>khalom:</t>
        </r>
        <r>
          <rPr>
            <sz val="8"/>
            <color indexed="81"/>
            <rFont val="Tahoma"/>
            <family val="2"/>
          </rPr>
          <t xml:space="preserve">
1q13: 1.4 in unallocated pension</t>
        </r>
      </text>
    </comment>
    <comment ref="DE186" authorId="1" shapeId="0" xr:uid="{DAFE2931-5E79-4B94-A0BA-B66EC79ADB26}">
      <text>
        <r>
          <rPr>
            <b/>
            <sz val="9"/>
            <color indexed="81"/>
            <rFont val="Tahoma"/>
            <family val="2"/>
          </rPr>
          <t>Parsons, Gavin [GIR]:</t>
        </r>
        <r>
          <rPr>
            <sz val="9"/>
            <color indexed="81"/>
            <rFont val="Tahoma"/>
            <family val="2"/>
          </rPr>
          <t xml:space="preserve">
4q22: (1,600)
1q23: same
2q23: same
3q23: same</t>
        </r>
      </text>
    </comment>
    <comment ref="CF187" authorId="1" shapeId="0" xr:uid="{00000000-0006-0000-0500-0000E5000000}">
      <text>
        <r>
          <rPr>
            <b/>
            <sz val="9"/>
            <color indexed="81"/>
            <rFont val="Tahoma"/>
            <family val="2"/>
          </rPr>
          <t>Parsons, Gavin [GIR]:</t>
        </r>
        <r>
          <rPr>
            <sz val="9"/>
            <color indexed="81"/>
            <rFont val="Tahoma"/>
            <family val="2"/>
          </rPr>
          <t xml:space="preserve">
4q17: 1,395
1q18: same
2q18: same
3q18: same</t>
        </r>
      </text>
    </comment>
    <comment ref="CK187" authorId="1" shapeId="0" xr:uid="{00000000-0006-0000-0500-0000E6000000}">
      <text>
        <r>
          <rPr>
            <b/>
            <sz val="9"/>
            <color indexed="81"/>
            <rFont val="Tahoma"/>
            <family val="2"/>
          </rPr>
          <t>Parsons, Gavin [GIR]:</t>
        </r>
        <r>
          <rPr>
            <sz val="9"/>
            <color indexed="81"/>
            <rFont val="Tahoma"/>
            <family val="2"/>
          </rPr>
          <t xml:space="preserve">
4q18: 1,335</t>
        </r>
      </text>
    </comment>
    <comment ref="C189" authorId="2" shapeId="0" xr:uid="{00000000-0006-0000-0500-0000E7000000}">
      <text>
        <r>
          <rPr>
            <b/>
            <sz val="8"/>
            <color indexed="81"/>
            <rFont val="Tahoma"/>
            <family val="2"/>
          </rPr>
          <t>wachun:</t>
        </r>
        <r>
          <rPr>
            <sz val="8"/>
            <color indexed="81"/>
            <rFont val="Tahoma"/>
            <family val="2"/>
          </rPr>
          <t xml:space="preserve">
97a: R&amp;D expense and Douglas Products special charge. 
Low margins due to operational inefficiencies from increasing production rates</t>
        </r>
      </text>
    </comment>
    <comment ref="D189" authorId="2" shapeId="0" xr:uid="{00000000-0006-0000-0500-0000E8000000}">
      <text>
        <r>
          <rPr>
            <b/>
            <sz val="8"/>
            <color indexed="81"/>
            <rFont val="Tahoma"/>
            <family val="2"/>
          </rPr>
          <t>wachun:</t>
        </r>
        <r>
          <rPr>
            <sz val="8"/>
            <color indexed="81"/>
            <rFont val="Tahoma"/>
            <family val="2"/>
          </rPr>
          <t xml:space="preserve">
1998a: Forward losses, valuation re-adjustments, R&amp;D expenses</t>
        </r>
      </text>
    </comment>
    <comment ref="I189" authorId="2" shapeId="0" xr:uid="{00000000-0006-0000-0500-0000E9000000}">
      <text>
        <r>
          <rPr>
            <b/>
            <sz val="8"/>
            <color indexed="81"/>
            <rFont val="Tahoma"/>
            <family val="2"/>
          </rPr>
          <t>wachun:</t>
        </r>
        <r>
          <rPr>
            <sz val="8"/>
            <color indexed="81"/>
            <rFont val="Tahoma"/>
            <family val="2"/>
          </rPr>
          <t xml:space="preserve">
2004a: goodwill impairment charges</t>
        </r>
      </text>
    </comment>
    <comment ref="M189" authorId="2" shapeId="0" xr:uid="{00000000-0006-0000-0500-0000EA000000}">
      <text>
        <r>
          <rPr>
            <b/>
            <sz val="8"/>
            <color indexed="81"/>
            <rFont val="Tahoma"/>
            <family val="2"/>
          </rPr>
          <t>wachun:</t>
        </r>
        <r>
          <rPr>
            <sz val="8"/>
            <color indexed="81"/>
            <rFont val="Tahoma"/>
            <family val="2"/>
          </rPr>
          <t xml:space="preserve">
4q04a: 280mn shutdown of 717, 195mn USAF 767 Tanker</t>
        </r>
      </text>
    </comment>
    <comment ref="Q189" authorId="2" shapeId="0" xr:uid="{00000000-0006-0000-0500-0000EB000000}">
      <text>
        <r>
          <rPr>
            <b/>
            <sz val="8"/>
            <color indexed="81"/>
            <rFont val="Tahoma"/>
            <family val="2"/>
          </rPr>
          <t>wachun:</t>
        </r>
        <r>
          <rPr>
            <sz val="8"/>
            <color indexed="81"/>
            <rFont val="Tahoma"/>
            <family val="2"/>
          </rPr>
          <t xml:space="preserve">
3q05: IAM strike</t>
        </r>
      </text>
    </comment>
    <comment ref="R189" authorId="2" shapeId="0" xr:uid="{00000000-0006-0000-0500-0000EC000000}">
      <text>
        <r>
          <rPr>
            <b/>
            <sz val="8"/>
            <color indexed="81"/>
            <rFont val="Tahoma"/>
            <family val="2"/>
          </rPr>
          <t>wachun:</t>
        </r>
        <r>
          <rPr>
            <sz val="8"/>
            <color indexed="81"/>
            <rFont val="Tahoma"/>
            <family val="2"/>
          </rPr>
          <t xml:space="preserve">
3q05: IAM strike</t>
        </r>
      </text>
    </comment>
    <comment ref="AI189" authorId="2" shapeId="0" xr:uid="{00000000-0006-0000-0500-0000ED000000}">
      <text>
        <r>
          <rPr>
            <b/>
            <sz val="8"/>
            <color indexed="81"/>
            <rFont val="Tahoma"/>
            <family val="2"/>
          </rPr>
          <t>wachun:</t>
        </r>
        <r>
          <rPr>
            <sz val="8"/>
            <color indexed="81"/>
            <rFont val="Tahoma"/>
            <family val="2"/>
          </rPr>
          <t xml:space="preserve">
1q09a: widebody production rate change, increase in reach-forward loss of 747</t>
        </r>
      </text>
    </comment>
    <comment ref="AK189" authorId="2" shapeId="0" xr:uid="{00000000-0006-0000-0500-0000EE000000}">
      <text>
        <r>
          <rPr>
            <b/>
            <sz val="8"/>
            <color indexed="81"/>
            <rFont val="Tahoma"/>
            <family val="2"/>
          </rPr>
          <t>wachun:</t>
        </r>
        <r>
          <rPr>
            <sz val="8"/>
            <color indexed="81"/>
            <rFont val="Tahoma"/>
            <family val="2"/>
          </rPr>
          <t xml:space="preserve">
3q09a: 787 cost reclassification, 747 charge for costs/difficult market conditions</t>
        </r>
      </text>
    </comment>
    <comment ref="CJ189" authorId="1" shapeId="0" xr:uid="{00000000-0006-0000-0500-0000EF000000}">
      <text>
        <r>
          <rPr>
            <b/>
            <sz val="9"/>
            <color indexed="81"/>
            <rFont val="Tahoma"/>
            <family val="2"/>
          </rPr>
          <t>Parsons, Gavin [GIR]:</t>
        </r>
        <r>
          <rPr>
            <sz val="9"/>
            <color indexed="81"/>
            <rFont val="Tahoma"/>
            <family val="2"/>
          </rPr>
          <t xml:space="preserve">
2,600 MAX concessions and considerations</t>
        </r>
      </text>
    </comment>
    <comment ref="CL189" authorId="1" shapeId="0" xr:uid="{00000000-0006-0000-0500-0000F0000000}">
      <text>
        <r>
          <rPr>
            <b/>
            <sz val="9"/>
            <color indexed="81"/>
            <rFont val="Tahoma"/>
            <family val="2"/>
          </rPr>
          <t>Parsons, Gavin [GIR]:</t>
        </r>
        <r>
          <rPr>
            <sz val="9"/>
            <color indexed="81"/>
            <rFont val="Tahoma"/>
            <family val="2"/>
          </rPr>
          <t xml:space="preserve">
797 abnormal MAX production cost
336 737NG charge (pickle fork)
137 Puget Sound COVID shutdown</t>
        </r>
      </text>
    </comment>
    <comment ref="CM189" authorId="1" shapeId="0" xr:uid="{00000000-0006-0000-0500-0000F1000000}">
      <text>
        <r>
          <rPr>
            <b/>
            <sz val="9"/>
            <color indexed="81"/>
            <rFont val="Tahoma"/>
            <family val="2"/>
          </rPr>
          <t>Parsons, Gavin [GIR]:</t>
        </r>
        <r>
          <rPr>
            <sz val="9"/>
            <color indexed="81"/>
            <rFont val="Tahoma"/>
            <family val="2"/>
          </rPr>
          <t xml:space="preserve">
551 MAX concessions &amp; considerations
712 abnormal production on 737
468 severance
133 abnormal production due to COVID </t>
        </r>
      </text>
    </comment>
    <comment ref="CN189" authorId="1" shapeId="0" xr:uid="{00000000-0006-0000-0500-0000F2000000}">
      <text>
        <r>
          <rPr>
            <b/>
            <sz val="9"/>
            <color indexed="81"/>
            <rFont val="Tahoma"/>
            <family val="2"/>
          </rPr>
          <t>Parsons, Gavin [GIR]:</t>
        </r>
        <r>
          <rPr>
            <sz val="9"/>
            <color indexed="81"/>
            <rFont val="Tahoma"/>
            <family val="2"/>
          </rPr>
          <t xml:space="preserve">
590 abnormal production on 737 </t>
        </r>
      </text>
    </comment>
    <comment ref="CO189" authorId="1" shapeId="0" xr:uid="{00000000-0006-0000-0500-0000F3000000}">
      <text>
        <r>
          <rPr>
            <b/>
            <sz val="9"/>
            <color indexed="81"/>
            <rFont val="Tahoma"/>
            <family val="2"/>
          </rPr>
          <t>Parsons, Gavin [GIR]:</t>
        </r>
        <r>
          <rPr>
            <sz val="9"/>
            <color indexed="81"/>
            <rFont val="Tahoma"/>
            <family val="2"/>
          </rPr>
          <t xml:space="preserve">
6500 777X charge
468 abnormal production on 737 </t>
        </r>
      </text>
    </comment>
    <comment ref="CQ189" authorId="1" shapeId="0" xr:uid="{00000000-0006-0000-0500-0000F4000000}">
      <text>
        <r>
          <rPr>
            <b/>
            <sz val="9"/>
            <color indexed="81"/>
            <rFont val="Tahoma"/>
            <family val="2"/>
          </rPr>
          <t>Parsons, Gavin [GIR]:</t>
        </r>
        <r>
          <rPr>
            <sz val="9"/>
            <color indexed="81"/>
            <rFont val="Tahoma"/>
            <family val="2"/>
          </rPr>
          <t xml:space="preserve">
568 abnormal MAX production costs</t>
        </r>
      </text>
    </comment>
    <comment ref="CR189" authorId="1" shapeId="0" xr:uid="{00000000-0006-0000-0500-0000F5000000}">
      <text>
        <r>
          <rPr>
            <b/>
            <sz val="9"/>
            <color indexed="81"/>
            <rFont val="Tahoma"/>
            <family val="2"/>
          </rPr>
          <t>Parsons, Gavin [GIR]:</t>
        </r>
        <r>
          <rPr>
            <sz val="9"/>
            <color indexed="81"/>
            <rFont val="Tahoma"/>
            <family val="2"/>
          </rPr>
          <t xml:space="preserve">
abnormal MAX production costs</t>
        </r>
      </text>
    </comment>
    <comment ref="CS189" authorId="1" shapeId="0" xr:uid="{00000000-0006-0000-0500-0000F6000000}">
      <text>
        <r>
          <rPr>
            <b/>
            <sz val="9"/>
            <color indexed="81"/>
            <rFont val="Tahoma"/>
            <family val="2"/>
          </rPr>
          <t>Parsons, Gavin [GIR]:</t>
        </r>
        <r>
          <rPr>
            <sz val="9"/>
            <color indexed="81"/>
            <rFont val="Tahoma"/>
            <family val="2"/>
          </rPr>
          <t xml:space="preserve">
418 MAX abnormal
183 787 abnormal</t>
        </r>
      </text>
    </comment>
    <comment ref="CT189" authorId="1" shapeId="0" xr:uid="{00000000-0006-0000-0500-0000F7000000}">
      <text>
        <r>
          <rPr>
            <b/>
            <sz val="9"/>
            <color indexed="81"/>
            <rFont val="Tahoma"/>
            <family val="2"/>
          </rPr>
          <t>Parsons, Gavin [GIR]:</t>
        </r>
        <r>
          <rPr>
            <sz val="9"/>
            <color indexed="81"/>
            <rFont val="Tahoma"/>
            <family val="2"/>
          </rPr>
          <t xml:space="preserve">
3460 787 charge
386 MAX abnormal
285 787 abnormal</t>
        </r>
      </text>
    </comment>
    <comment ref="CV189" authorId="1" shapeId="0" xr:uid="{00000000-0006-0000-0500-0000F8000000}">
      <text>
        <r>
          <rPr>
            <b/>
            <sz val="9"/>
            <color indexed="81"/>
            <rFont val="Tahoma"/>
            <family val="2"/>
          </rPr>
          <t>Parsons, Gavin [GIR]:</t>
        </r>
        <r>
          <rPr>
            <sz val="9"/>
            <color indexed="81"/>
            <rFont val="Tahoma"/>
            <family val="2"/>
          </rPr>
          <t xml:space="preserve">
312 787 abnormal
188 MAX abnormal</t>
        </r>
      </text>
    </comment>
    <comment ref="CW189" authorId="1" shapeId="0" xr:uid="{00000000-0006-0000-0500-0000F9000000}">
      <text>
        <r>
          <rPr>
            <b/>
            <sz val="9"/>
            <color indexed="81"/>
            <rFont val="Tahoma"/>
            <family val="2"/>
          </rPr>
          <t>Parsons, Gavin [GIR]:</t>
        </r>
        <r>
          <rPr>
            <sz val="9"/>
            <color indexed="81"/>
            <rFont val="Tahoma"/>
            <family val="2"/>
          </rPr>
          <t xml:space="preserve">
283 787 abnormal
102 777 abnormal</t>
        </r>
      </text>
    </comment>
    <comment ref="CX189" authorId="1" shapeId="0" xr:uid="{CDBF51AA-AD65-458B-B9A9-E9B2CCBCFC69}">
      <text>
        <r>
          <rPr>
            <b/>
            <sz val="9"/>
            <color indexed="81"/>
            <rFont val="Tahoma"/>
            <family val="2"/>
          </rPr>
          <t>Parsons, Gavin [GIR]:</t>
        </r>
        <r>
          <rPr>
            <sz val="9"/>
            <color indexed="81"/>
            <rFont val="Tahoma"/>
            <family val="2"/>
          </rPr>
          <t xml:space="preserve">
330 787 abnormal
111 777 abnormal</t>
        </r>
      </text>
    </comment>
    <comment ref="CY189" authorId="1" shapeId="0" xr:uid="{8E470163-B5EF-4BAF-9FA1-D2798964F6B4}">
      <text>
        <r>
          <rPr>
            <b/>
            <sz val="9"/>
            <color indexed="81"/>
            <rFont val="Tahoma"/>
            <family val="2"/>
          </rPr>
          <t>Parsons, Gavin [GIR]:</t>
        </r>
        <r>
          <rPr>
            <sz val="9"/>
            <color indexed="81"/>
            <rFont val="Tahoma"/>
            <family val="2"/>
          </rPr>
          <t xml:space="preserve">
350 787 abnormal
112 777 abnormal</t>
        </r>
      </text>
    </comment>
    <comment ref="DA189" authorId="11" shapeId="0" xr:uid="{8DA63AF7-8B81-4D06-93BA-9116FC5EE89F}">
      <text>
        <r>
          <rPr>
            <b/>
            <sz val="9"/>
            <color indexed="81"/>
            <rFont val="Tahoma"/>
            <family val="2"/>
          </rPr>
          <t>Blake, BEN [GIR]:</t>
        </r>
        <r>
          <rPr>
            <sz val="9"/>
            <color indexed="81"/>
            <rFont val="Tahoma"/>
            <family val="2"/>
          </rPr>
          <t xml:space="preserve">
These are found in the Qs "Loss From Operations" section</t>
        </r>
      </text>
    </comment>
    <comment ref="CG193" authorId="1" shapeId="0" xr:uid="{00000000-0006-0000-0500-0000FA000000}">
      <text>
        <r>
          <rPr>
            <b/>
            <sz val="9"/>
            <color indexed="81"/>
            <rFont val="Tahoma"/>
            <family val="2"/>
          </rPr>
          <t>Parsons, Gavin [GIR]:</t>
        </r>
        <r>
          <rPr>
            <sz val="9"/>
            <color indexed="81"/>
            <rFont val="Tahoma"/>
            <family val="2"/>
          </rPr>
          <t xml:space="preserve">
gain on dispositions / sale of property</t>
        </r>
      </text>
    </comment>
    <comment ref="CH193" authorId="1" shapeId="0" xr:uid="{00000000-0006-0000-0500-0000FB000000}">
      <text>
        <r>
          <rPr>
            <b/>
            <sz val="9"/>
            <color indexed="81"/>
            <rFont val="Tahoma"/>
            <family val="2"/>
          </rPr>
          <t>Parsons, Gavin [GIR]:</t>
        </r>
        <r>
          <rPr>
            <sz val="9"/>
            <color indexed="81"/>
            <rFont val="Tahoma"/>
            <family val="2"/>
          </rPr>
          <t xml:space="preserve">
gain on dispositions / sale of property</t>
        </r>
      </text>
    </comment>
    <comment ref="CJ193" authorId="1" shapeId="0" xr:uid="{00000000-0006-0000-0500-0000FC000000}">
      <text>
        <r>
          <rPr>
            <b/>
            <sz val="9"/>
            <color indexed="81"/>
            <rFont val="Tahoma"/>
            <family val="2"/>
          </rPr>
          <t>Parsons, Gavin [GIR]:</t>
        </r>
        <r>
          <rPr>
            <sz val="9"/>
            <color indexed="81"/>
            <rFont val="Tahoma"/>
            <family val="2"/>
          </rPr>
          <t xml:space="preserve">
Commercial Crew charge</t>
        </r>
      </text>
    </comment>
    <comment ref="CL193" authorId="1" shapeId="0" xr:uid="{00000000-0006-0000-0500-0000FD000000}">
      <text>
        <r>
          <rPr>
            <b/>
            <sz val="9"/>
            <color indexed="81"/>
            <rFont val="Tahoma"/>
            <family val="2"/>
          </rPr>
          <t>Parsons, Gavin [GIR]:</t>
        </r>
        <r>
          <rPr>
            <sz val="9"/>
            <color indexed="81"/>
            <rFont val="Tahoma"/>
            <family val="2"/>
          </rPr>
          <t xml:space="preserve">
827 KC-46 charge</t>
        </r>
      </text>
    </comment>
    <comment ref="CM193" authorId="1" shapeId="0" xr:uid="{00000000-0006-0000-0500-0000FE000000}">
      <text>
        <r>
          <rPr>
            <b/>
            <sz val="9"/>
            <color indexed="81"/>
            <rFont val="Tahoma"/>
            <family val="2"/>
          </rPr>
          <t>Parsons, Gavin [GIR]:</t>
        </r>
        <r>
          <rPr>
            <sz val="9"/>
            <color indexed="81"/>
            <rFont val="Tahoma"/>
            <family val="2"/>
          </rPr>
          <t xml:space="preserve">
151 KC-46 charge</t>
        </r>
      </text>
    </comment>
    <comment ref="CN193" authorId="1" shapeId="0" xr:uid="{00000000-0006-0000-0500-0000FF000000}">
      <text>
        <r>
          <rPr>
            <b/>
            <sz val="9"/>
            <color indexed="81"/>
            <rFont val="Tahoma"/>
            <family val="2"/>
          </rPr>
          <t>Parsons, Gavin [GIR]:</t>
        </r>
        <r>
          <rPr>
            <sz val="9"/>
            <color indexed="81"/>
            <rFont val="Tahoma"/>
            <family val="2"/>
          </rPr>
          <t xml:space="preserve">
67 KC-46 charge</t>
        </r>
      </text>
    </comment>
    <comment ref="CO193" authorId="1" shapeId="0" xr:uid="{00000000-0006-0000-0500-000000010000}">
      <text>
        <r>
          <rPr>
            <b/>
            <sz val="9"/>
            <color indexed="81"/>
            <rFont val="Tahoma"/>
            <family val="2"/>
          </rPr>
          <t>Parsons, Gavin [GIR]:</t>
        </r>
        <r>
          <rPr>
            <sz val="9"/>
            <color indexed="81"/>
            <rFont val="Tahoma"/>
            <family val="2"/>
          </rPr>
          <t xml:space="preserve">
275 KC-46 charge</t>
        </r>
      </text>
    </comment>
    <comment ref="CR193" authorId="1" shapeId="0" xr:uid="{00000000-0006-0000-0500-000001010000}">
      <text>
        <r>
          <rPr>
            <b/>
            <sz val="9"/>
            <color indexed="81"/>
            <rFont val="Tahoma"/>
            <family val="2"/>
          </rPr>
          <t>Parsons, Gavin [GIR]:</t>
        </r>
        <r>
          <rPr>
            <sz val="9"/>
            <color indexed="81"/>
            <rFont val="Tahoma"/>
            <family val="2"/>
          </rPr>
          <t xml:space="preserve">
favorable non-US contract adjustment</t>
        </r>
      </text>
    </comment>
    <comment ref="CS193" authorId="1" shapeId="0" xr:uid="{00000000-0006-0000-0500-000002010000}">
      <text>
        <r>
          <rPr>
            <b/>
            <sz val="9"/>
            <color indexed="81"/>
            <rFont val="Tahoma"/>
            <family val="2"/>
          </rPr>
          <t>Parsons, Gavin [GIR]:</t>
        </r>
        <r>
          <rPr>
            <sz val="9"/>
            <color indexed="81"/>
            <rFont val="Tahoma"/>
            <family val="2"/>
          </rPr>
          <t xml:space="preserve">
Commercial crew charge</t>
        </r>
      </text>
    </comment>
    <comment ref="CT193" authorId="1" shapeId="0" xr:uid="{00000000-0006-0000-0500-000003010000}">
      <text>
        <r>
          <rPr>
            <b/>
            <sz val="9"/>
            <color indexed="81"/>
            <rFont val="Tahoma"/>
            <family val="2"/>
          </rPr>
          <t>Parsons, Gavin [GIR]:</t>
        </r>
        <r>
          <rPr>
            <sz val="9"/>
            <color indexed="81"/>
            <rFont val="Tahoma"/>
            <family val="2"/>
          </rPr>
          <t xml:space="preserve">
Tanker charge</t>
        </r>
      </text>
    </comment>
    <comment ref="CV193" authorId="1" shapeId="0" xr:uid="{00000000-0006-0000-0500-000004010000}">
      <text>
        <r>
          <rPr>
            <b/>
            <sz val="9"/>
            <color indexed="81"/>
            <rFont val="Tahoma"/>
            <family val="2"/>
          </rPr>
          <t>Parsons, Gavin [GIR]:</t>
        </r>
        <r>
          <rPr>
            <sz val="9"/>
            <color indexed="81"/>
            <rFont val="Tahoma"/>
            <family val="2"/>
          </rPr>
          <t xml:space="preserve">
660 VC-25B charge
367 T-7A charge
charges on tanker, MQ-25</t>
        </r>
      </text>
    </comment>
    <comment ref="CW193" authorId="1" shapeId="0" xr:uid="{00000000-0006-0000-0500-000005010000}">
      <text>
        <r>
          <rPr>
            <b/>
            <sz val="9"/>
            <color indexed="81"/>
            <rFont val="Tahoma"/>
            <family val="2"/>
          </rPr>
          <t>Parsons, Gavin [GIR]:</t>
        </r>
        <r>
          <rPr>
            <sz val="9"/>
            <color indexed="81"/>
            <rFont val="Tahoma"/>
            <family val="2"/>
          </rPr>
          <t xml:space="preserve">
147 MQ-25 charge
93 Commercial Crew charge</t>
        </r>
      </text>
    </comment>
    <comment ref="CX193" authorId="1" shapeId="0" xr:uid="{8A7126B6-D8F7-4F06-BA69-A2E84A953298}">
      <text>
        <r>
          <rPr>
            <b/>
            <sz val="9"/>
            <color indexed="81"/>
            <rFont val="Tahoma"/>
            <family val="2"/>
          </rPr>
          <t>Parsons, Gavin [GIR]:</t>
        </r>
        <r>
          <rPr>
            <sz val="9"/>
            <color indexed="81"/>
            <rFont val="Tahoma"/>
            <family val="2"/>
          </rPr>
          <t xml:space="preserve">
Charges on KC46, VC25, MQ25, T7, Commercial Crew</t>
        </r>
      </text>
    </comment>
    <comment ref="CM197" authorId="1" shapeId="0" xr:uid="{00000000-0006-0000-0500-000006010000}">
      <text>
        <r>
          <rPr>
            <b/>
            <sz val="9"/>
            <color indexed="81"/>
            <rFont val="Tahoma"/>
            <family val="2"/>
          </rPr>
          <t>Parsons, Gavin [GIR]:</t>
        </r>
        <r>
          <rPr>
            <sz val="9"/>
            <color indexed="81"/>
            <rFont val="Tahoma"/>
            <family val="2"/>
          </rPr>
          <t xml:space="preserve">
asset impairments &amp; COVID severance</t>
        </r>
      </text>
    </comment>
    <comment ref="CO197" authorId="1" shapeId="0" xr:uid="{00000000-0006-0000-0500-000007010000}">
      <text>
        <r>
          <rPr>
            <b/>
            <sz val="9"/>
            <color indexed="81"/>
            <rFont val="Tahoma"/>
            <family val="2"/>
          </rPr>
          <t>Parsons, Gavin [GIR]:</t>
        </r>
        <r>
          <rPr>
            <sz val="9"/>
            <color indexed="81"/>
            <rFont val="Tahoma"/>
            <family val="2"/>
          </rPr>
          <t xml:space="preserve">
290 COVID related impairment</t>
        </r>
      </text>
    </comment>
    <comment ref="CT197" authorId="1" shapeId="0" xr:uid="{00000000-0006-0000-0500-000008010000}">
      <text>
        <r>
          <rPr>
            <b/>
            <sz val="9"/>
            <color indexed="81"/>
            <rFont val="Tahoma"/>
            <family val="2"/>
          </rPr>
          <t>Parsons, Gavin [GIR]:</t>
        </r>
        <r>
          <rPr>
            <sz val="9"/>
            <color indexed="81"/>
            <rFont val="Tahoma"/>
            <family val="2"/>
          </rPr>
          <t xml:space="preserve">
Inventory impairment</t>
        </r>
      </text>
    </comment>
    <comment ref="X221" authorId="5" shapeId="0" xr:uid="{00000000-0006-0000-0500-000009010000}">
      <text>
        <r>
          <rPr>
            <b/>
            <sz val="8"/>
            <color indexed="81"/>
            <rFont val="Tahoma"/>
            <family val="2"/>
          </rPr>
          <t>poponn:</t>
        </r>
        <r>
          <rPr>
            <sz val="8"/>
            <color indexed="81"/>
            <rFont val="Tahoma"/>
            <family val="2"/>
          </rPr>
          <t xml:space="preserve">
1q06: &gt;9%
2q06: same
3q06: same</t>
        </r>
      </text>
    </comment>
    <comment ref="AC221" authorId="5" shapeId="0" xr:uid="{00000000-0006-0000-0500-00000A010000}">
      <text>
        <r>
          <rPr>
            <b/>
            <sz val="8"/>
            <color indexed="81"/>
            <rFont val="Tahoma"/>
            <family val="2"/>
          </rPr>
          <t>poponn:</t>
        </r>
        <r>
          <rPr>
            <sz val="8"/>
            <color indexed="81"/>
            <rFont val="Tahoma"/>
            <family val="2"/>
          </rPr>
          <t xml:space="preserve">
1q06: &gt;10%
2q06:same
3q06: same
4q06: &gt;10%
1q07: same
2q07: 10.5%
3q07: same</t>
        </r>
      </text>
    </comment>
    <comment ref="AH221" authorId="5" shapeId="0" xr:uid="{00000000-0006-0000-0500-00000B010000}">
      <text>
        <r>
          <rPr>
            <b/>
            <sz val="8"/>
            <color indexed="81"/>
            <rFont val="Tahoma"/>
            <family val="2"/>
          </rPr>
          <t>poponn:</t>
        </r>
        <r>
          <rPr>
            <sz val="8"/>
            <color indexed="81"/>
            <rFont val="Tahoma"/>
            <family val="2"/>
          </rPr>
          <t xml:space="preserve">
4q06: 11%
1q07: same
2q07: same
3q07: same
4q07: 11.5%
1q08: same
2q08: same</t>
        </r>
      </text>
    </comment>
    <comment ref="AM221" authorId="5" shapeId="0" xr:uid="{00000000-0006-0000-0500-00000C010000}">
      <text>
        <r>
          <rPr>
            <b/>
            <sz val="8"/>
            <color indexed="81"/>
            <rFont val="Tahoma"/>
            <family val="2"/>
          </rPr>
          <t>poponn:</t>
        </r>
        <r>
          <rPr>
            <sz val="8"/>
            <color indexed="81"/>
            <rFont val="Tahoma"/>
            <family val="2"/>
          </rPr>
          <t xml:space="preserve">
1q08: 11.5%
2q08: same
4q08: ~10%
2q09: 8.0-8.5%
3q09: (3)-(2.5)%</t>
        </r>
      </text>
    </comment>
    <comment ref="AO221" authorId="2" shapeId="0" xr:uid="{00000000-0006-0000-0500-00000D010000}">
      <text>
        <r>
          <rPr>
            <b/>
            <sz val="8"/>
            <color indexed="81"/>
            <rFont val="Tahoma"/>
            <family val="2"/>
          </rPr>
          <t>wachun:</t>
        </r>
        <r>
          <rPr>
            <sz val="8"/>
            <color indexed="81"/>
            <rFont val="Tahoma"/>
            <family val="2"/>
          </rPr>
          <t xml:space="preserve">
1q10: R&amp;D up a bit from 1Q, and flat</t>
        </r>
      </text>
    </comment>
    <comment ref="AP221" authorId="2" shapeId="0" xr:uid="{00000000-0006-0000-0500-00000E010000}">
      <text>
        <r>
          <rPr>
            <b/>
            <sz val="8"/>
            <color indexed="81"/>
            <rFont val="Tahoma"/>
            <family val="2"/>
          </rPr>
          <t>wachun:</t>
        </r>
        <r>
          <rPr>
            <sz val="8"/>
            <color indexed="81"/>
            <rFont val="Tahoma"/>
            <family val="2"/>
          </rPr>
          <t xml:space="preserve">
1q10: R&amp;D up a bit from 1Q, and flat</t>
        </r>
      </text>
    </comment>
    <comment ref="AQ221" authorId="2" shapeId="0" xr:uid="{00000000-0006-0000-0500-00000F010000}">
      <text>
        <r>
          <rPr>
            <b/>
            <sz val="8"/>
            <color indexed="81"/>
            <rFont val="Tahoma"/>
            <family val="2"/>
          </rPr>
          <t>wachun:</t>
        </r>
        <r>
          <rPr>
            <sz val="8"/>
            <color indexed="81"/>
            <rFont val="Tahoma"/>
            <family val="2"/>
          </rPr>
          <t xml:space="preserve">
1q10: R&amp;D up a bit from 1Q, and flat
3q10: &lt; 3q margin</t>
        </r>
      </text>
    </comment>
    <comment ref="AR221" authorId="2" shapeId="0" xr:uid="{00000000-0006-0000-0500-000010010000}">
      <text>
        <r>
          <rPr>
            <b/>
            <sz val="8"/>
            <color indexed="81"/>
            <rFont val="Tahoma"/>
            <family val="2"/>
          </rPr>
          <t>wachun:</t>
        </r>
        <r>
          <rPr>
            <sz val="8"/>
            <color indexed="81"/>
            <rFont val="Tahoma"/>
            <family val="2"/>
          </rPr>
          <t xml:space="preserve">
4q09: 6.5 - 7.5%
1q10: same
2q10: 7.5 - 8.5%
3q10: 9.5%</t>
        </r>
      </text>
    </comment>
    <comment ref="AW221" authorId="2" shapeId="0" xr:uid="{00000000-0006-0000-0500-000011010000}">
      <text>
        <r>
          <rPr>
            <b/>
            <sz val="8"/>
            <color indexed="81"/>
            <rFont val="Tahoma"/>
            <family val="2"/>
          </rPr>
          <t>wachun:</t>
        </r>
        <r>
          <rPr>
            <sz val="8"/>
            <color indexed="81"/>
            <rFont val="Tahoma"/>
            <family val="2"/>
          </rPr>
          <t xml:space="preserve">
3q10: margin down overall
4q10: 7.5-8.5%
1q11: same
2q11: 8.0-8.5%
3q11: 9.0-9.5%</t>
        </r>
      </text>
    </comment>
    <comment ref="BB221" authorId="6" shapeId="0" xr:uid="{00000000-0006-0000-0500-000012010000}">
      <text>
        <r>
          <rPr>
            <b/>
            <sz val="8"/>
            <color indexed="81"/>
            <rFont val="Tahoma"/>
            <family val="2"/>
          </rPr>
          <t>gneeti:</t>
        </r>
        <r>
          <rPr>
            <sz val="8"/>
            <color indexed="81"/>
            <rFont val="Tahoma"/>
            <family val="2"/>
          </rPr>
          <t xml:space="preserve">
4q11: 8.5 - 9.0%
1q12: same
2q12: ~9.0%
3q12: same</t>
        </r>
      </text>
    </comment>
    <comment ref="BG221" authorId="7" shapeId="0" xr:uid="{00000000-0006-0000-0500-000013010000}">
      <text>
        <r>
          <rPr>
            <b/>
            <sz val="8"/>
            <color indexed="81"/>
            <rFont val="Tahoma"/>
            <family val="2"/>
          </rPr>
          <t>sammun:</t>
        </r>
        <r>
          <rPr>
            <sz val="8"/>
            <color indexed="81"/>
            <rFont val="Tahoma"/>
            <family val="2"/>
          </rPr>
          <t xml:space="preserve">
4q12: 9.5%
1q13: same
2q13: &gt;9.5%
3q13: &gt;10%</t>
        </r>
      </text>
    </comment>
    <comment ref="BL221" authorId="6" shapeId="0" xr:uid="{00000000-0006-0000-0500-000014010000}">
      <text>
        <r>
          <rPr>
            <b/>
            <sz val="8"/>
            <color indexed="81"/>
            <rFont val="Tahoma"/>
            <family val="2"/>
          </rPr>
          <t>gneeti:</t>
        </r>
        <r>
          <rPr>
            <sz val="8"/>
            <color indexed="81"/>
            <rFont val="Tahoma"/>
            <family val="2"/>
          </rPr>
          <t xml:space="preserve">
4q13: ~10%
1q14: same
2q14: &gt;10%
3q14: ~10.5%</t>
        </r>
      </text>
    </comment>
    <comment ref="BQ221" authorId="8" shapeId="0" xr:uid="{00000000-0006-0000-0500-000015010000}">
      <text>
        <r>
          <rPr>
            <b/>
            <sz val="9"/>
            <color indexed="81"/>
            <rFont val="Tahoma"/>
            <family val="2"/>
          </rPr>
          <t>kwondo:</t>
        </r>
        <r>
          <rPr>
            <sz val="9"/>
            <color indexed="81"/>
            <rFont val="Tahoma"/>
            <family val="2"/>
          </rPr>
          <t xml:space="preserve">
4q14: 9.5%-10.0%
1q15: same
2q15: 9.0%
3q15: same</t>
        </r>
      </text>
    </comment>
    <comment ref="BV221" authorId="1" shapeId="0" xr:uid="{00000000-0006-0000-0500-000016010000}">
      <text>
        <r>
          <rPr>
            <b/>
            <sz val="9"/>
            <color indexed="81"/>
            <rFont val="Tahoma"/>
            <family val="2"/>
          </rPr>
          <t>Parsons, Gavin [GIR]:</t>
        </r>
        <r>
          <rPr>
            <sz val="9"/>
            <color indexed="81"/>
            <rFont val="Tahoma"/>
            <family val="2"/>
          </rPr>
          <t xml:space="preserve">
4q15: 9.0%
1q16: same
2q16: 4.5%-5.0%
3q16: same</t>
        </r>
      </text>
    </comment>
    <comment ref="CA221" authorId="1" shapeId="0" xr:uid="{00000000-0006-0000-0500-000017010000}">
      <text>
        <r>
          <rPr>
            <b/>
            <sz val="9"/>
            <color indexed="81"/>
            <rFont val="Tahoma"/>
            <family val="2"/>
          </rPr>
          <t>Parsons, Gavin [GIR]:</t>
        </r>
        <r>
          <rPr>
            <sz val="9"/>
            <color indexed="81"/>
            <rFont val="Tahoma"/>
            <family val="2"/>
          </rPr>
          <t xml:space="preserve">
sep 16: double digits
3q16: same
4q16: 9.5%-10.0%
1q17: same
2q17: &gt;10.0%
3q17: 9.0%-9.5% (resegment)</t>
        </r>
      </text>
    </comment>
    <comment ref="CF221" authorId="1" shapeId="0" xr:uid="{00000000-0006-0000-0500-000018010000}">
      <text>
        <r>
          <rPr>
            <b/>
            <sz val="9"/>
            <color indexed="81"/>
            <rFont val="Tahoma"/>
            <family val="2"/>
          </rPr>
          <t>Parsons, Gavin [GIR]:</t>
        </r>
        <r>
          <rPr>
            <sz val="9"/>
            <color indexed="81"/>
            <rFont val="Tahoma"/>
            <family val="2"/>
          </rPr>
          <t xml:space="preserve">
sep 16: mid teens end of decade
4q16: up yoy
4q17: &gt;11.0%
1q18: 11.5%
2q18: &gt;11.5%
3q18: 12.0-12.5%</t>
        </r>
      </text>
    </comment>
    <comment ref="CK221" authorId="1" shapeId="0" xr:uid="{00000000-0006-0000-0500-000019010000}">
      <text>
        <r>
          <rPr>
            <b/>
            <sz val="9"/>
            <color indexed="81"/>
            <rFont val="Tahoma"/>
            <family val="2"/>
          </rPr>
          <t>Parsons, Gavin [GIR]:</t>
        </r>
        <r>
          <rPr>
            <sz val="9"/>
            <color indexed="81"/>
            <rFont val="Tahoma"/>
            <family val="2"/>
          </rPr>
          <t xml:space="preserve">
4q16: mid teens end of decade
4q18: 14.5-15.0%</t>
        </r>
      </text>
    </comment>
    <comment ref="DC221" authorId="14" shapeId="0" xr:uid="{64163364-7378-4A2E-B0FB-6C7F149E4C8B}">
      <text>
        <r>
          <rPr>
            <b/>
            <sz val="9"/>
            <color indexed="81"/>
            <rFont val="Tahoma"/>
            <family val="2"/>
          </rPr>
          <t>Valentini, Anthony [GIR]:</t>
        </r>
        <r>
          <rPr>
            <sz val="9"/>
            <color indexed="81"/>
            <rFont val="Tahoma"/>
            <family val="2"/>
          </rPr>
          <t xml:space="preserve">
2q23: sequential improvement but negative</t>
        </r>
      </text>
    </comment>
    <comment ref="DD221" authorId="14" shapeId="0" xr:uid="{4AD2AAB6-2AF7-4C1B-9CC4-F4DACA70DE1B}">
      <text>
        <r>
          <rPr>
            <b/>
            <sz val="9"/>
            <color indexed="81"/>
            <rFont val="Tahoma"/>
            <family val="2"/>
          </rPr>
          <t>Valentini, Anthony [GIR]:</t>
        </r>
        <r>
          <rPr>
            <sz val="9"/>
            <color indexed="81"/>
            <rFont val="Tahoma"/>
            <family val="2"/>
          </rPr>
          <t xml:space="preserve">
2q23: move posiitive as we exit the year/1Q24
3q23: improved sequentially but negative</t>
        </r>
      </text>
    </comment>
    <comment ref="DF221" authorId="11" shapeId="0" xr:uid="{165A7716-A5FA-4260-B26C-04E035BB3534}">
      <text>
        <r>
          <rPr>
            <b/>
            <sz val="9"/>
            <color indexed="81"/>
            <rFont val="Tahoma"/>
            <family val="2"/>
          </rPr>
          <t>Blake, BEN [GIR]:</t>
        </r>
        <r>
          <rPr>
            <sz val="9"/>
            <color indexed="81"/>
            <rFont val="Tahoma"/>
            <family val="2"/>
          </rPr>
          <t xml:space="preserve">
Mar23: (20)%</t>
        </r>
      </text>
    </comment>
    <comment ref="DI221" authorId="0" shapeId="0" xr:uid="{16FD3784-504B-455F-A7EA-847C3BD9D7E3}">
      <text>
        <r>
          <rPr>
            <b/>
            <sz val="9"/>
            <color indexed="81"/>
            <rFont val="Tahoma"/>
            <family val="2"/>
          </rPr>
          <t>Dessert, Connor H [GIR]:</t>
        </r>
        <r>
          <rPr>
            <sz val="9"/>
            <color indexed="81"/>
            <rFont val="Tahoma"/>
            <family val="2"/>
          </rPr>
          <t xml:space="preserve">
4q24 pre-ann: -43.9%</t>
        </r>
      </text>
    </comment>
    <comment ref="DJ221" authorId="14" shapeId="0" xr:uid="{ADA0DCF0-F550-4F18-92B6-6B4F0C1FC86D}">
      <text>
        <r>
          <rPr>
            <b/>
            <sz val="9"/>
            <color indexed="81"/>
            <rFont val="Tahoma"/>
            <family val="2"/>
          </rPr>
          <t>Valentini, Anthony [GIR]:</t>
        </r>
        <r>
          <rPr>
            <sz val="9"/>
            <color indexed="81"/>
            <rFont val="Tahoma"/>
            <family val="2"/>
          </rPr>
          <t xml:space="preserve">
3q23: positive
Mar23: Negative, but improving throughout year</t>
        </r>
      </text>
    </comment>
    <comment ref="DO221" authorId="1" shapeId="0" xr:uid="{F564EBEA-2FCD-45F4-938C-7799AE35D88D}">
      <text>
        <r>
          <rPr>
            <b/>
            <sz val="9"/>
            <color indexed="81"/>
            <rFont val="Tahoma"/>
            <family val="2"/>
          </rPr>
          <t>Parsons, Gavin [GIR]:</t>
        </r>
        <r>
          <rPr>
            <sz val="9"/>
            <color indexed="81"/>
            <rFont val="Tahoma"/>
            <family val="2"/>
          </rPr>
          <t xml:space="preserve">
nov 22: LDD in '25/26
4q22: same
1q23: same
2q23: same
3q23: same
4q24: negative, improve throughout year
2q25: negative, better each quarter</t>
        </r>
      </text>
    </comment>
    <comment ref="DQ221" authorId="15" shapeId="0" xr:uid="{EC610E8A-2F75-45AF-8CFD-EE3654467438}">
      <text>
        <r>
          <rPr>
            <b/>
            <sz val="9"/>
            <color indexed="81"/>
            <rFont val="Tahoma"/>
            <family val="2"/>
          </rPr>
          <t>Ortmayer, Will [GIR]:</t>
        </r>
        <r>
          <rPr>
            <sz val="9"/>
            <color indexed="81"/>
            <rFont val="Tahoma"/>
            <family val="2"/>
          </rPr>
          <t xml:space="preserve">
1q26: sequential improvement through the year</t>
        </r>
      </text>
    </comment>
    <comment ref="DT221" authorId="14" shapeId="0" xr:uid="{F75E9D9C-EC7F-46A2-AC0B-B2B8F5DC9081}">
      <text>
        <r>
          <rPr>
            <b/>
            <sz val="9"/>
            <color indexed="81"/>
            <rFont val="Tahoma"/>
            <family val="2"/>
          </rPr>
          <t>Valentini, Anthony [GIR]:</t>
        </r>
        <r>
          <rPr>
            <sz val="9"/>
            <color indexed="81"/>
            <rFont val="Tahoma"/>
            <family val="2"/>
          </rPr>
          <t xml:space="preserve">
mar24: back to historical levels in 25-26 shutdown of shadow factories, better mix, operating leverage on higher production
2q25: better than FY25, not quantified</t>
        </r>
      </text>
    </comment>
    <comment ref="DV221" authorId="15" shapeId="0" xr:uid="{D50ECA84-AF92-4384-926A-E54055FC30F2}">
      <text>
        <r>
          <rPr>
            <b/>
            <sz val="9"/>
            <color indexed="81"/>
            <rFont val="Tahoma"/>
            <family val="2"/>
          </rPr>
          <t>Ortmayer, Will [GIR]:</t>
        </r>
        <r>
          <rPr>
            <sz val="9"/>
            <color indexed="81"/>
            <rFont val="Tahoma"/>
            <family val="2"/>
          </rPr>
          <t xml:space="preserve">
1q26: positive mid 2027</t>
        </r>
      </text>
    </comment>
    <comment ref="X222" authorId="5" shapeId="0" xr:uid="{00000000-0006-0000-0500-00001A010000}">
      <text>
        <r>
          <rPr>
            <b/>
            <sz val="8"/>
            <color indexed="81"/>
            <rFont val="Tahoma"/>
            <family val="2"/>
          </rPr>
          <t>poponn:</t>
        </r>
        <r>
          <rPr>
            <sz val="8"/>
            <color indexed="81"/>
            <rFont val="Tahoma"/>
            <family val="2"/>
          </rPr>
          <t xml:space="preserve">
1q06: 13.0%
2q06: 10.0%
3q06: 10.5%</t>
        </r>
      </text>
    </comment>
    <comment ref="AC222" authorId="5" shapeId="0" xr:uid="{00000000-0006-0000-0500-00001B010000}">
      <text>
        <r>
          <rPr>
            <b/>
            <sz val="8"/>
            <color indexed="81"/>
            <rFont val="Tahoma"/>
            <family val="2"/>
          </rPr>
          <t>poponn:</t>
        </r>
        <r>
          <rPr>
            <sz val="8"/>
            <color indexed="81"/>
            <rFont val="Tahoma"/>
            <family val="2"/>
          </rPr>
          <t xml:space="preserve">
1q06: "continuing in low-double-digit"
2q06: same
3q06: same
4q06: 12.5%
1q07: same
2q07: same
3q07: 12.0%</t>
        </r>
      </text>
    </comment>
    <comment ref="AH222" authorId="5" shapeId="0" xr:uid="{00000000-0006-0000-0500-00001C010000}">
      <text>
        <r>
          <rPr>
            <b/>
            <sz val="8"/>
            <color indexed="81"/>
            <rFont val="Tahoma"/>
            <family val="2"/>
          </rPr>
          <t>poponn:</t>
        </r>
        <r>
          <rPr>
            <sz val="8"/>
            <color indexed="81"/>
            <rFont val="Tahoma"/>
            <family val="2"/>
          </rPr>
          <t xml:space="preserve">
4q06: low double digit
1q07: same
2q07: same
4q07: 11.0%
1q08: same
2q08: 10.5%</t>
        </r>
      </text>
    </comment>
    <comment ref="AM222" authorId="5" shapeId="0" xr:uid="{00000000-0006-0000-0500-00001D010000}">
      <text>
        <r>
          <rPr>
            <b/>
            <sz val="8"/>
            <color indexed="81"/>
            <rFont val="Tahoma"/>
            <family val="2"/>
          </rPr>
          <t>poponn:</t>
        </r>
        <r>
          <rPr>
            <sz val="8"/>
            <color indexed="81"/>
            <rFont val="Tahoma"/>
            <family val="2"/>
          </rPr>
          <t xml:space="preserve">
1q08: low double digit
2q08: same
4q08: ~10%
2q09: same
3q09: 10.5%</t>
        </r>
      </text>
    </comment>
    <comment ref="AR222" authorId="2" shapeId="0" xr:uid="{00000000-0006-0000-0500-00001E010000}">
      <text>
        <r>
          <rPr>
            <b/>
            <sz val="8"/>
            <color indexed="81"/>
            <rFont val="Tahoma"/>
            <family val="2"/>
          </rPr>
          <t>wachun:</t>
        </r>
        <r>
          <rPr>
            <sz val="8"/>
            <color indexed="81"/>
            <rFont val="Tahoma"/>
            <family val="2"/>
          </rPr>
          <t xml:space="preserve">
4q09: 10.5%
1q10: same
2q10: 10%
3q10: 9%</t>
        </r>
      </text>
    </comment>
    <comment ref="AW222" authorId="2" shapeId="0" xr:uid="{00000000-0006-0000-0500-00001F010000}">
      <text>
        <r>
          <rPr>
            <b/>
            <sz val="8"/>
            <color indexed="81"/>
            <rFont val="Tahoma"/>
            <family val="2"/>
          </rPr>
          <t>wachun:</t>
        </r>
        <r>
          <rPr>
            <sz val="8"/>
            <color indexed="81"/>
            <rFont val="Tahoma"/>
            <family val="2"/>
          </rPr>
          <t xml:space="preserve">
4q10: 9%
1q11: same
2q11: 9.5%
3q11:10-10.5%
</t>
        </r>
      </text>
    </comment>
    <comment ref="BB222" authorId="6" shapeId="0" xr:uid="{00000000-0006-0000-0500-000020010000}">
      <text>
        <r>
          <rPr>
            <b/>
            <sz val="8"/>
            <color indexed="81"/>
            <rFont val="Tahoma"/>
            <family val="2"/>
          </rPr>
          <t>gneeti:</t>
        </r>
        <r>
          <rPr>
            <sz val="8"/>
            <color indexed="81"/>
            <rFont val="Tahoma"/>
            <family val="2"/>
          </rPr>
          <t xml:space="preserve">
4q11: ~9.25%
1q12: same
2q12: same
3q12: ~9.75%</t>
        </r>
      </text>
    </comment>
    <comment ref="BG222" authorId="7" shapeId="0" xr:uid="{00000000-0006-0000-0500-000021010000}">
      <text>
        <r>
          <rPr>
            <b/>
            <sz val="8"/>
            <color indexed="81"/>
            <rFont val="Tahoma"/>
            <family val="2"/>
          </rPr>
          <t>sammun:</t>
        </r>
        <r>
          <rPr>
            <sz val="8"/>
            <color indexed="81"/>
            <rFont val="Tahoma"/>
            <family val="2"/>
          </rPr>
          <t xml:space="preserve">
4q12: 9.0%
1q13: same
2q13: same
3q13: same</t>
        </r>
      </text>
    </comment>
    <comment ref="BL222" authorId="6" shapeId="0" xr:uid="{00000000-0006-0000-0500-000022010000}">
      <text>
        <r>
          <rPr>
            <b/>
            <sz val="8"/>
            <color indexed="81"/>
            <rFont val="Tahoma"/>
            <family val="2"/>
          </rPr>
          <t>gneeti:</t>
        </r>
        <r>
          <rPr>
            <sz val="8"/>
            <color indexed="81"/>
            <rFont val="Tahoma"/>
            <family val="2"/>
          </rPr>
          <t xml:space="preserve">
4q13: ~9.5%
1q14: same
2q14: ~9%
3q14: same</t>
        </r>
      </text>
    </comment>
    <comment ref="BQ222" authorId="8" shapeId="0" xr:uid="{00000000-0006-0000-0500-000023010000}">
      <text>
        <r>
          <rPr>
            <b/>
            <sz val="9"/>
            <color indexed="81"/>
            <rFont val="Tahoma"/>
            <family val="2"/>
          </rPr>
          <t>kwondo:</t>
        </r>
        <r>
          <rPr>
            <sz val="9"/>
            <color indexed="81"/>
            <rFont val="Tahoma"/>
            <family val="2"/>
          </rPr>
          <t xml:space="preserve">
4q14: ~9.5%
1q15: same
2q15: ~8.0%
3q15: ~8.5%</t>
        </r>
      </text>
    </comment>
    <comment ref="BV222" authorId="1" shapeId="0" xr:uid="{00000000-0006-0000-0500-000024010000}">
      <text>
        <r>
          <rPr>
            <b/>
            <sz val="9"/>
            <color indexed="81"/>
            <rFont val="Tahoma"/>
            <family val="2"/>
          </rPr>
          <t>Parsons, Gavin [GIR]:</t>
        </r>
        <r>
          <rPr>
            <sz val="9"/>
            <color indexed="81"/>
            <rFont val="Tahoma"/>
            <family val="2"/>
          </rPr>
          <t xml:space="preserve">
4q15: 10.0%
1q16: same
2q16: 9.5%
3q16: same</t>
        </r>
      </text>
    </comment>
    <comment ref="CA222" authorId="1" shapeId="0" xr:uid="{00000000-0006-0000-0500-000025010000}">
      <text>
        <r>
          <rPr>
            <b/>
            <sz val="9"/>
            <color indexed="81"/>
            <rFont val="Tahoma"/>
            <family val="2"/>
          </rPr>
          <t>Parsons, Gavin [GIR]:</t>
        </r>
        <r>
          <rPr>
            <sz val="9"/>
            <color indexed="81"/>
            <rFont val="Tahoma"/>
            <family val="2"/>
          </rPr>
          <t xml:space="preserve">
4q16: 12.0%
1q17: same
2q17: &gt;12.0%</t>
        </r>
      </text>
    </comment>
    <comment ref="X223" authorId="5" shapeId="0" xr:uid="{00000000-0006-0000-0500-000026010000}">
      <text>
        <r>
          <rPr>
            <b/>
            <sz val="8"/>
            <color indexed="81"/>
            <rFont val="Tahoma"/>
            <family val="2"/>
          </rPr>
          <t>poponn:</t>
        </r>
        <r>
          <rPr>
            <sz val="8"/>
            <color indexed="81"/>
            <rFont val="Tahoma"/>
            <family val="2"/>
          </rPr>
          <t xml:space="preserve">
1q06: 6.0%
2q06: 5.5%
3q06: same</t>
        </r>
      </text>
    </comment>
    <comment ref="AC223" authorId="5" shapeId="0" xr:uid="{00000000-0006-0000-0500-000027010000}">
      <text>
        <r>
          <rPr>
            <b/>
            <sz val="8"/>
            <color indexed="81"/>
            <rFont val="Tahoma"/>
            <family val="2"/>
          </rPr>
          <t>poponn:</t>
        </r>
        <r>
          <rPr>
            <sz val="8"/>
            <color indexed="81"/>
            <rFont val="Tahoma"/>
            <family val="2"/>
          </rPr>
          <t xml:space="preserve">
1q06: "high-single-digits"
2q06: same
3q06: same
4q06: 8%
1q07: same
2q07: same
3q07: 7.0%</t>
        </r>
      </text>
    </comment>
    <comment ref="AH223" authorId="5" shapeId="0" xr:uid="{00000000-0006-0000-0500-000028010000}">
      <text>
        <r>
          <rPr>
            <b/>
            <sz val="8"/>
            <color indexed="81"/>
            <rFont val="Tahoma"/>
            <family val="2"/>
          </rPr>
          <t>poponn:</t>
        </r>
        <r>
          <rPr>
            <sz val="8"/>
            <color indexed="81"/>
            <rFont val="Tahoma"/>
            <family val="2"/>
          </rPr>
          <t xml:space="preserve">
4q06: high single digit
1q07: same
2q07: same
4q07: 9.0%
1q08: same
2q08: same</t>
        </r>
      </text>
    </comment>
    <comment ref="AM223" authorId="5" shapeId="0" xr:uid="{00000000-0006-0000-0500-000029010000}">
      <text>
        <r>
          <rPr>
            <b/>
            <sz val="8"/>
            <color indexed="81"/>
            <rFont val="Tahoma"/>
            <family val="2"/>
          </rPr>
          <t>poponn:</t>
        </r>
        <r>
          <rPr>
            <sz val="8"/>
            <color indexed="81"/>
            <rFont val="Tahoma"/>
            <family val="2"/>
          </rPr>
          <t xml:space="preserve">
1q08: high single digit
2q08: same
4q08: ~9%
2q09: same
3q09: ~8.5%</t>
        </r>
      </text>
    </comment>
    <comment ref="AR223" authorId="2" shapeId="0" xr:uid="{00000000-0006-0000-0500-00002A010000}">
      <text>
        <r>
          <rPr>
            <b/>
            <sz val="8"/>
            <color indexed="81"/>
            <rFont val="Tahoma"/>
            <family val="2"/>
          </rPr>
          <t>wachun:</t>
        </r>
        <r>
          <rPr>
            <sz val="8"/>
            <color indexed="81"/>
            <rFont val="Tahoma"/>
            <family val="2"/>
          </rPr>
          <t xml:space="preserve">
4q09: 8.5%
1q10: same
2q10: 8%
3q10: 7.5%</t>
        </r>
      </text>
    </comment>
    <comment ref="AT223" authorId="2" shapeId="0" xr:uid="{00000000-0006-0000-0500-00002B010000}">
      <text>
        <r>
          <rPr>
            <b/>
            <sz val="8"/>
            <color indexed="81"/>
            <rFont val="Tahoma"/>
            <family val="2"/>
          </rPr>
          <t>wachun:</t>
        </r>
        <r>
          <rPr>
            <sz val="8"/>
            <color indexed="81"/>
            <rFont val="Tahoma"/>
            <family val="2"/>
          </rPr>
          <t xml:space="preserve">
1q11: sequential improvement</t>
        </r>
      </text>
    </comment>
    <comment ref="AU223" authorId="7" shapeId="0" xr:uid="{00000000-0006-0000-0500-00002C010000}">
      <text>
        <r>
          <rPr>
            <b/>
            <sz val="8"/>
            <color indexed="81"/>
            <rFont val="Tahoma"/>
            <family val="2"/>
          </rPr>
          <t>sammun:</t>
        </r>
        <r>
          <rPr>
            <sz val="8"/>
            <color indexed="81"/>
            <rFont val="Tahoma"/>
            <family val="2"/>
          </rPr>
          <t xml:space="preserve">
Up YoY based on improved performance from commercial satellite programs. </t>
        </r>
      </text>
    </comment>
    <comment ref="AW223" authorId="2" shapeId="0" xr:uid="{00000000-0006-0000-0500-00002D010000}">
      <text>
        <r>
          <rPr>
            <b/>
            <sz val="8"/>
            <color indexed="81"/>
            <rFont val="Tahoma"/>
            <family val="2"/>
          </rPr>
          <t>wachun:</t>
        </r>
        <r>
          <rPr>
            <sz val="8"/>
            <color indexed="81"/>
            <rFont val="Tahoma"/>
            <family val="2"/>
          </rPr>
          <t xml:space="preserve">
4q10: 7%
1q11: same
2q11: same
3q11: 7.0-7.5%</t>
        </r>
      </text>
    </comment>
    <comment ref="BB223" authorId="6" shapeId="0" xr:uid="{00000000-0006-0000-0500-00002E010000}">
      <text>
        <r>
          <rPr>
            <b/>
            <sz val="8"/>
            <color indexed="81"/>
            <rFont val="Tahoma"/>
            <family val="2"/>
          </rPr>
          <t>gneeti:</t>
        </r>
        <r>
          <rPr>
            <sz val="8"/>
            <color indexed="81"/>
            <rFont val="Tahoma"/>
            <family val="2"/>
          </rPr>
          <t xml:space="preserve">
4q11: ~7.5%
1q12: same
2q12: ~6.5%
3q12: same</t>
        </r>
      </text>
    </comment>
    <comment ref="BG223" authorId="7" shapeId="0" xr:uid="{00000000-0006-0000-0500-00002F010000}">
      <text>
        <r>
          <rPr>
            <b/>
            <sz val="8"/>
            <color indexed="81"/>
            <rFont val="Tahoma"/>
            <family val="2"/>
          </rPr>
          <t>sammun:</t>
        </r>
        <r>
          <rPr>
            <sz val="8"/>
            <color indexed="81"/>
            <rFont val="Tahoma"/>
            <family val="2"/>
          </rPr>
          <t xml:space="preserve">
4q12: 7.5%
1q13: same
2q13: same
3q13: same</t>
        </r>
      </text>
    </comment>
    <comment ref="BL223" authorId="6" shapeId="0" xr:uid="{00000000-0006-0000-0500-000030010000}">
      <text>
        <r>
          <rPr>
            <b/>
            <sz val="8"/>
            <color indexed="81"/>
            <rFont val="Tahoma"/>
            <family val="2"/>
          </rPr>
          <t>gneeti:</t>
        </r>
        <r>
          <rPr>
            <sz val="8"/>
            <color indexed="81"/>
            <rFont val="Tahoma"/>
            <family val="2"/>
          </rPr>
          <t xml:space="preserve">
4q13: ~8.5%
1q14: same
2q14: same
3q14: same</t>
        </r>
      </text>
    </comment>
    <comment ref="BQ223" authorId="8" shapeId="0" xr:uid="{00000000-0006-0000-0500-000031010000}">
      <text>
        <r>
          <rPr>
            <b/>
            <sz val="9"/>
            <color indexed="81"/>
            <rFont val="Tahoma"/>
            <family val="2"/>
          </rPr>
          <t>kwondo:</t>
        </r>
        <r>
          <rPr>
            <sz val="9"/>
            <color indexed="81"/>
            <rFont val="Tahoma"/>
            <family val="2"/>
          </rPr>
          <t xml:space="preserve">
4q14: ~9.0%
1q15: same
2q15: same
3q15: ~9.5%</t>
        </r>
      </text>
    </comment>
    <comment ref="BV223" authorId="1" shapeId="0" xr:uid="{00000000-0006-0000-0500-000032010000}">
      <text>
        <r>
          <rPr>
            <b/>
            <sz val="9"/>
            <color indexed="81"/>
            <rFont val="Tahoma"/>
            <family val="2"/>
          </rPr>
          <t>Parsons, Gavin [GIR]:</t>
        </r>
        <r>
          <rPr>
            <sz val="9"/>
            <color indexed="81"/>
            <rFont val="Tahoma"/>
            <family val="2"/>
          </rPr>
          <t xml:space="preserve">
4q15: 9.0%
1q16: same
2q16: same
3q16: 7.5%</t>
        </r>
      </text>
    </comment>
    <comment ref="CA223" authorId="1" shapeId="0" xr:uid="{00000000-0006-0000-0500-000033010000}">
      <text>
        <r>
          <rPr>
            <b/>
            <sz val="9"/>
            <color indexed="81"/>
            <rFont val="Tahoma"/>
            <family val="2"/>
          </rPr>
          <t>Parsons, Gavin [GIR]:</t>
        </r>
        <r>
          <rPr>
            <sz val="9"/>
            <color indexed="81"/>
            <rFont val="Tahoma"/>
            <family val="2"/>
          </rPr>
          <t xml:space="preserve">
4q16: 9.0%
1q17: same
2q17: 8.0%</t>
        </r>
      </text>
    </comment>
    <comment ref="X224" authorId="5" shapeId="0" xr:uid="{00000000-0006-0000-0500-000034010000}">
      <text>
        <r>
          <rPr>
            <b/>
            <sz val="8"/>
            <color indexed="81"/>
            <rFont val="Tahoma"/>
            <family val="2"/>
          </rPr>
          <t>poponn:</t>
        </r>
        <r>
          <rPr>
            <sz val="8"/>
            <color indexed="81"/>
            <rFont val="Tahoma"/>
            <family val="2"/>
          </rPr>
          <t xml:space="preserve">
1q06: 13.5%
2q06: 14%
3q06: same</t>
        </r>
      </text>
    </comment>
    <comment ref="AC224" authorId="5" shapeId="0" xr:uid="{00000000-0006-0000-0500-000035010000}">
      <text>
        <r>
          <rPr>
            <b/>
            <sz val="8"/>
            <color indexed="81"/>
            <rFont val="Tahoma"/>
            <family val="2"/>
          </rPr>
          <t>poponn:</t>
        </r>
        <r>
          <rPr>
            <sz val="8"/>
            <color indexed="81"/>
            <rFont val="Tahoma"/>
            <family val="2"/>
          </rPr>
          <t xml:space="preserve">
1q06: continuing in low-double-digits
2q06: same
3q06: same
4q06: 13%
1q07: same
2q07: same
3q07: same</t>
        </r>
      </text>
    </comment>
    <comment ref="AH224" authorId="5" shapeId="0" xr:uid="{00000000-0006-0000-0500-000036010000}">
      <text>
        <r>
          <rPr>
            <b/>
            <sz val="8"/>
            <color indexed="81"/>
            <rFont val="Tahoma"/>
            <family val="2"/>
          </rPr>
          <t>poponn:</t>
        </r>
        <r>
          <rPr>
            <sz val="8"/>
            <color indexed="81"/>
            <rFont val="Tahoma"/>
            <family val="2"/>
          </rPr>
          <t xml:space="preserve">
4q06: low double digit
1q07: same
2q07: same
4q07: 12.5%
1q08: same
2q08: 13.0%</t>
        </r>
      </text>
    </comment>
    <comment ref="AM224" authorId="5" shapeId="0" xr:uid="{00000000-0006-0000-0500-000037010000}">
      <text>
        <r>
          <rPr>
            <b/>
            <sz val="8"/>
            <color indexed="81"/>
            <rFont val="Tahoma"/>
            <family val="2"/>
          </rPr>
          <t>poponn:</t>
        </r>
        <r>
          <rPr>
            <sz val="8"/>
            <color indexed="81"/>
            <rFont val="Tahoma"/>
            <family val="2"/>
          </rPr>
          <t xml:space="preserve">
1q08: low double digit
2q08: same
4q08: ~11.5%
2q09: same
3q09: ~ 11%</t>
        </r>
      </text>
    </comment>
    <comment ref="AR224" authorId="2" shapeId="0" xr:uid="{00000000-0006-0000-0500-000038010000}">
      <text>
        <r>
          <rPr>
            <b/>
            <sz val="8"/>
            <color indexed="81"/>
            <rFont val="Tahoma"/>
            <family val="2"/>
          </rPr>
          <t>wachun:</t>
        </r>
        <r>
          <rPr>
            <sz val="8"/>
            <color indexed="81"/>
            <rFont val="Tahoma"/>
            <family val="2"/>
          </rPr>
          <t xml:space="preserve">
4q09: 11%
1q10: same
2q10: 10.5%
3q10: same</t>
        </r>
      </text>
    </comment>
    <comment ref="AT224" authorId="2" shapeId="0" xr:uid="{00000000-0006-0000-0500-000039010000}">
      <text>
        <r>
          <rPr>
            <b/>
            <sz val="8"/>
            <color indexed="81"/>
            <rFont val="Tahoma"/>
            <family val="2"/>
          </rPr>
          <t>wachun:</t>
        </r>
        <r>
          <rPr>
            <sz val="8"/>
            <color indexed="81"/>
            <rFont val="Tahoma"/>
            <family val="2"/>
          </rPr>
          <t xml:space="preserve">
1q11: sequential improvement</t>
        </r>
      </text>
    </comment>
    <comment ref="AU224" authorId="7" shapeId="0" xr:uid="{00000000-0006-0000-0500-00003A010000}">
      <text>
        <r>
          <rPr>
            <b/>
            <sz val="8"/>
            <color indexed="81"/>
            <rFont val="Tahoma"/>
            <family val="2"/>
          </rPr>
          <t>sammun:</t>
        </r>
        <r>
          <rPr>
            <sz val="8"/>
            <color indexed="81"/>
            <rFont val="Tahoma"/>
            <family val="2"/>
          </rPr>
          <t xml:space="preserve">
Improved performance on integrated logistics. </t>
        </r>
      </text>
    </comment>
    <comment ref="AW224" authorId="2" shapeId="0" xr:uid="{00000000-0006-0000-0500-00003B010000}">
      <text>
        <r>
          <rPr>
            <b/>
            <sz val="8"/>
            <color indexed="81"/>
            <rFont val="Tahoma"/>
            <family val="2"/>
          </rPr>
          <t>wachun:</t>
        </r>
        <r>
          <rPr>
            <sz val="8"/>
            <color indexed="81"/>
            <rFont val="Tahoma"/>
            <family val="2"/>
          </rPr>
          <t xml:space="preserve">
4q10: 10.5%
1q11: same
2q11: same
3q11: 9.5-10.0%</t>
        </r>
      </text>
    </comment>
    <comment ref="BB224" authorId="6" shapeId="0" xr:uid="{00000000-0006-0000-0500-00003C010000}">
      <text>
        <r>
          <rPr>
            <b/>
            <sz val="8"/>
            <color indexed="81"/>
            <rFont val="Tahoma"/>
            <family val="2"/>
          </rPr>
          <t>gneeti:</t>
        </r>
        <r>
          <rPr>
            <sz val="8"/>
            <color indexed="81"/>
            <rFont val="Tahoma"/>
            <family val="2"/>
          </rPr>
          <t xml:space="preserve">
4q11: ~10.5%
1q12: same
2q12: ~11.0%
3q12: ~11.25%</t>
        </r>
      </text>
    </comment>
    <comment ref="BG224" authorId="7" shapeId="0" xr:uid="{00000000-0006-0000-0500-00003D010000}">
      <text>
        <r>
          <rPr>
            <b/>
            <sz val="8"/>
            <color indexed="81"/>
            <rFont val="Tahoma"/>
            <family val="2"/>
          </rPr>
          <t>sammun:</t>
        </r>
        <r>
          <rPr>
            <sz val="8"/>
            <color indexed="81"/>
            <rFont val="Tahoma"/>
            <family val="2"/>
          </rPr>
          <t xml:space="preserve">
4q12: 10.5%
1q13: same
2q13: same
3q13: 11.5%</t>
        </r>
      </text>
    </comment>
    <comment ref="BL224" authorId="6" shapeId="0" xr:uid="{00000000-0006-0000-0500-00003E010000}">
      <text>
        <r>
          <rPr>
            <b/>
            <sz val="8"/>
            <color indexed="81"/>
            <rFont val="Tahoma"/>
            <family val="2"/>
          </rPr>
          <t>gneeti:</t>
        </r>
        <r>
          <rPr>
            <sz val="8"/>
            <color indexed="81"/>
            <rFont val="Tahoma"/>
            <family val="2"/>
          </rPr>
          <t xml:space="preserve">
4q13: ~10.5%
1q14: same
2q14: ~11%
3q14: same</t>
        </r>
      </text>
    </comment>
    <comment ref="BQ224" authorId="8" shapeId="0" xr:uid="{00000000-0006-0000-0500-00003F010000}">
      <text>
        <r>
          <rPr>
            <b/>
            <sz val="9"/>
            <color indexed="81"/>
            <rFont val="Tahoma"/>
            <family val="2"/>
          </rPr>
          <t>kwondo:</t>
        </r>
        <r>
          <rPr>
            <sz val="9"/>
            <color indexed="81"/>
            <rFont val="Tahoma"/>
            <family val="2"/>
          </rPr>
          <t xml:space="preserve">
4q14: ~11.0%
1q15: same
2q15: ~11.5%
3q15: ~12.0%</t>
        </r>
      </text>
    </comment>
    <comment ref="BV224" authorId="1" shapeId="0" xr:uid="{00000000-0006-0000-0500-000040010000}">
      <text>
        <r>
          <rPr>
            <b/>
            <sz val="9"/>
            <color indexed="81"/>
            <rFont val="Tahoma"/>
            <family val="2"/>
          </rPr>
          <t>Parsons, Gavin [GIR]:</t>
        </r>
        <r>
          <rPr>
            <sz val="9"/>
            <color indexed="81"/>
            <rFont val="Tahoma"/>
            <family val="2"/>
          </rPr>
          <t xml:space="preserve">
4q15: 11.5%
1q16: same
2q16: 12.0%
3q16: 12.5%</t>
        </r>
      </text>
    </comment>
    <comment ref="CA224" authorId="1" shapeId="0" xr:uid="{00000000-0006-0000-0500-000041010000}">
      <text>
        <r>
          <rPr>
            <b/>
            <sz val="9"/>
            <color indexed="81"/>
            <rFont val="Tahoma"/>
            <family val="2"/>
          </rPr>
          <t>Parsons, Gavin [GIR]:</t>
        </r>
        <r>
          <rPr>
            <sz val="9"/>
            <color indexed="81"/>
            <rFont val="Tahoma"/>
            <family val="2"/>
          </rPr>
          <t xml:space="preserve">
4q16: &gt;12.5%
1q17: same
2q17: &gt;13.5%</t>
        </r>
      </text>
    </comment>
    <comment ref="X231" authorId="5" shapeId="0" xr:uid="{00000000-0006-0000-0500-000042010000}">
      <text>
        <r>
          <rPr>
            <b/>
            <sz val="8"/>
            <color indexed="81"/>
            <rFont val="Tahoma"/>
            <family val="2"/>
          </rPr>
          <t>poponn:</t>
        </r>
        <r>
          <rPr>
            <sz val="8"/>
            <color indexed="81"/>
            <rFont val="Tahoma"/>
            <family val="2"/>
          </rPr>
          <t xml:space="preserve">
1q06: 10.5%
2q06: 9.0%
3q06: 9.5%</t>
        </r>
      </text>
    </comment>
    <comment ref="AC231" authorId="5" shapeId="0" xr:uid="{00000000-0006-0000-0500-000043010000}">
      <text>
        <r>
          <rPr>
            <b/>
            <sz val="8"/>
            <color indexed="81"/>
            <rFont val="Tahoma"/>
            <family val="2"/>
          </rPr>
          <t>poponn:</t>
        </r>
        <r>
          <rPr>
            <sz val="8"/>
            <color indexed="81"/>
            <rFont val="Tahoma"/>
            <family val="2"/>
          </rPr>
          <t xml:space="preserve">
1q06: &gt;10.5%
2q06: same
3q06: same
4q06: 11%
1q07: same
2q07: same
3q07: &gt;10%</t>
        </r>
      </text>
    </comment>
    <comment ref="AH231" authorId="5" shapeId="0" xr:uid="{00000000-0006-0000-0500-000044010000}">
      <text>
        <r>
          <rPr>
            <b/>
            <sz val="8"/>
            <color indexed="81"/>
            <rFont val="Tahoma"/>
            <family val="2"/>
          </rPr>
          <t>poponn:</t>
        </r>
        <r>
          <rPr>
            <sz val="8"/>
            <color indexed="81"/>
            <rFont val="Tahoma"/>
            <family val="2"/>
          </rPr>
          <t xml:space="preserve">
4q06: 11%
1q07: same
2q07: same
3q07: 10.5%
407: same
1q08: same
2q08: same</t>
        </r>
      </text>
    </comment>
    <comment ref="AM231" authorId="5" shapeId="0" xr:uid="{00000000-0006-0000-0500-000045010000}">
      <text>
        <r>
          <rPr>
            <b/>
            <sz val="8"/>
            <color indexed="81"/>
            <rFont val="Tahoma"/>
            <family val="2"/>
          </rPr>
          <t>poponn:</t>
        </r>
        <r>
          <rPr>
            <sz val="8"/>
            <color indexed="81"/>
            <rFont val="Tahoma"/>
            <family val="2"/>
          </rPr>
          <t xml:space="preserve">
1q08: &gt;10.5%
2q08: same
4q08: ~10%
2q09: same
3q09: same</t>
        </r>
      </text>
    </comment>
    <comment ref="AR231" authorId="2" shapeId="0" xr:uid="{00000000-0006-0000-0500-000046010000}">
      <text>
        <r>
          <rPr>
            <b/>
            <sz val="8"/>
            <color indexed="81"/>
            <rFont val="Tahoma"/>
            <family val="2"/>
          </rPr>
          <t>wachun:</t>
        </r>
        <r>
          <rPr>
            <sz val="8"/>
            <color indexed="81"/>
            <rFont val="Tahoma"/>
            <family val="2"/>
          </rPr>
          <t xml:space="preserve">
4q09: 10%
1q10: same
2q10: 9.5%
3q10: 9%</t>
        </r>
      </text>
    </comment>
    <comment ref="AW231" authorId="2" shapeId="0" xr:uid="{00000000-0006-0000-0500-000047010000}">
      <text>
        <r>
          <rPr>
            <b/>
            <sz val="8"/>
            <color indexed="81"/>
            <rFont val="Tahoma"/>
            <family val="2"/>
          </rPr>
          <t>wachun:</t>
        </r>
        <r>
          <rPr>
            <sz val="8"/>
            <color indexed="81"/>
            <rFont val="Tahoma"/>
            <family val="2"/>
          </rPr>
          <t xml:space="preserve">
3q10: flat
4q10: 8.5-9%
2q11: 9%
3q11: 9.0-9.5%</t>
        </r>
      </text>
    </comment>
    <comment ref="BB231" authorId="6" shapeId="0" xr:uid="{00000000-0006-0000-0500-000048010000}">
      <text>
        <r>
          <rPr>
            <b/>
            <sz val="8"/>
            <color indexed="81"/>
            <rFont val="Tahoma"/>
            <family val="2"/>
          </rPr>
          <t>gneeti:</t>
        </r>
        <r>
          <rPr>
            <sz val="8"/>
            <color indexed="81"/>
            <rFont val="Tahoma"/>
            <family val="2"/>
          </rPr>
          <t xml:space="preserve">
4q11: &gt;9%
1q12: same
2q12: same</t>
        </r>
      </text>
    </comment>
    <comment ref="BG231" authorId="7" shapeId="0" xr:uid="{00000000-0006-0000-0500-000049010000}">
      <text>
        <r>
          <rPr>
            <b/>
            <sz val="8"/>
            <color indexed="81"/>
            <rFont val="Tahoma"/>
            <family val="2"/>
          </rPr>
          <t>sammun:</t>
        </r>
        <r>
          <rPr>
            <sz val="8"/>
            <color indexed="81"/>
            <rFont val="Tahoma"/>
            <family val="2"/>
          </rPr>
          <t xml:space="preserve">
4q12: &gt;9.0%
1q13: same
2q13: same
3q13: &gt;9.25%</t>
        </r>
      </text>
    </comment>
    <comment ref="BL231" authorId="6" shapeId="0" xr:uid="{00000000-0006-0000-0500-00004A010000}">
      <text>
        <r>
          <rPr>
            <b/>
            <sz val="8"/>
            <color indexed="81"/>
            <rFont val="Tahoma"/>
            <family val="2"/>
          </rPr>
          <t>gneeti:</t>
        </r>
        <r>
          <rPr>
            <sz val="8"/>
            <color indexed="81"/>
            <rFont val="Tahoma"/>
            <family val="2"/>
          </rPr>
          <t xml:space="preserve">
4q13: ~9.5%
1q14: same
2q14: same
3q14: same</t>
        </r>
      </text>
    </comment>
    <comment ref="BQ231" authorId="8" shapeId="0" xr:uid="{00000000-0006-0000-0500-00004B010000}">
      <text>
        <r>
          <rPr>
            <b/>
            <sz val="9"/>
            <color indexed="81"/>
            <rFont val="Tahoma"/>
            <family val="2"/>
          </rPr>
          <t>kwondo:</t>
        </r>
        <r>
          <rPr>
            <sz val="9"/>
            <color indexed="81"/>
            <rFont val="Tahoma"/>
            <family val="2"/>
          </rPr>
          <t xml:space="preserve">
4q14: 9.75%-10.0%
1q15: same
2q15: ~9.5%
3q15: ~10.0%</t>
        </r>
      </text>
    </comment>
    <comment ref="BV231" authorId="1" shapeId="0" xr:uid="{00000000-0006-0000-0500-00004C010000}">
      <text>
        <r>
          <rPr>
            <b/>
            <sz val="9"/>
            <color indexed="81"/>
            <rFont val="Tahoma"/>
            <family val="2"/>
          </rPr>
          <t>Parsons, Gavin [GIR]:</t>
        </r>
        <r>
          <rPr>
            <sz val="9"/>
            <color indexed="81"/>
            <rFont val="Tahoma"/>
            <family val="2"/>
          </rPr>
          <t xml:space="preserve">
4q15: &gt;10.0%
1q16: same
2q16: same
3q16: same</t>
        </r>
      </text>
    </comment>
    <comment ref="CA231" authorId="1" shapeId="0" xr:uid="{00000000-0006-0000-0500-00004D010000}">
      <text>
        <r>
          <rPr>
            <b/>
            <sz val="9"/>
            <color indexed="81"/>
            <rFont val="Tahoma"/>
            <family val="2"/>
          </rPr>
          <t>Parsons, Gavin [GIR]:</t>
        </r>
        <r>
          <rPr>
            <sz val="9"/>
            <color indexed="81"/>
            <rFont val="Tahoma"/>
            <family val="2"/>
          </rPr>
          <t xml:space="preserve">
3q16: double digits
4q16: 11.5%
1q17: same
2q17: &gt;11.5%
3q17: &gt;10.5% (resegment)</t>
        </r>
      </text>
    </comment>
    <comment ref="CF231" authorId="1" shapeId="0" xr:uid="{00000000-0006-0000-0500-00004E010000}">
      <text>
        <r>
          <rPr>
            <b/>
            <sz val="9"/>
            <color indexed="81"/>
            <rFont val="Tahoma"/>
            <family val="2"/>
          </rPr>
          <t>Parsons, Gavin [GIR]:</t>
        </r>
        <r>
          <rPr>
            <sz val="9"/>
            <color indexed="81"/>
            <rFont val="Tahoma"/>
            <family val="2"/>
          </rPr>
          <t xml:space="preserve">
4q16: up yoy
4q17: ~11%
1q18: same
2q18: 10.0-10.5%
3q18: &gt;6.5%</t>
        </r>
      </text>
    </comment>
    <comment ref="CK231" authorId="9" shapeId="0" xr:uid="{00000000-0006-0000-0500-00004F010000}">
      <text>
        <r>
          <rPr>
            <b/>
            <sz val="9"/>
            <color indexed="81"/>
            <rFont val="Tahoma"/>
            <family val="2"/>
          </rPr>
          <t>Porat, Matthew [GIR]:</t>
        </r>
        <r>
          <rPr>
            <sz val="9"/>
            <color indexed="81"/>
            <rFont val="Tahoma"/>
            <family val="2"/>
          </rPr>
          <t xml:space="preserve">
4q18: &gt;11.0%</t>
        </r>
      </text>
    </comment>
    <comment ref="CR231" authorId="1" shapeId="0" xr:uid="{00000000-0006-0000-0500-000050010000}">
      <text>
        <r>
          <rPr>
            <b/>
            <sz val="9"/>
            <color indexed="81"/>
            <rFont val="Tahoma"/>
            <family val="2"/>
          </rPr>
          <t>Parsons, Gavin [GIR]:</t>
        </r>
        <r>
          <rPr>
            <sz val="9"/>
            <color indexed="81"/>
            <rFont val="Tahoma"/>
            <family val="2"/>
          </rPr>
          <t xml:space="preserve">
favorable non-US contract adjustment</t>
        </r>
      </text>
    </comment>
    <comment ref="DC231" authorId="14" shapeId="0" xr:uid="{A955138E-41FC-460F-AF2B-9006D8259C1F}">
      <text>
        <r>
          <rPr>
            <b/>
            <sz val="9"/>
            <color indexed="81"/>
            <rFont val="Tahoma"/>
            <family val="2"/>
          </rPr>
          <t>Valentini, Anthony [GIR]:</t>
        </r>
        <r>
          <rPr>
            <sz val="9"/>
            <color indexed="81"/>
            <rFont val="Tahoma"/>
            <family val="2"/>
          </rPr>
          <t xml:space="preserve">
2q23: not anticipating much in terms of BDS profitability</t>
        </r>
      </text>
    </comment>
    <comment ref="DG231" authorId="14" shapeId="0" xr:uid="{2E3C5D34-E536-4345-A7DC-FF6666B923D1}">
      <text>
        <r>
          <rPr>
            <b/>
            <sz val="9"/>
            <color indexed="81"/>
            <rFont val="Tahoma"/>
            <family val="2"/>
          </rPr>
          <t>Valentini, Anthony [GIR]:</t>
        </r>
        <r>
          <rPr>
            <sz val="9"/>
            <color indexed="81"/>
            <rFont val="Tahoma"/>
            <family val="2"/>
          </rPr>
          <t xml:space="preserve">
may24: negative</t>
        </r>
      </text>
    </comment>
    <comment ref="DI231" authorId="0" shapeId="0" xr:uid="{E6B58DE7-329F-4C9C-83A1-CC5B2CE486C2}">
      <text>
        <r>
          <rPr>
            <b/>
            <sz val="9"/>
            <color indexed="81"/>
            <rFont val="Tahoma"/>
            <family val="2"/>
          </rPr>
          <t>Dessert, Connor H [GIR]:</t>
        </r>
        <r>
          <rPr>
            <sz val="9"/>
            <color indexed="81"/>
            <rFont val="Tahoma"/>
            <family val="2"/>
          </rPr>
          <t xml:space="preserve">
4q24 pre-ann: -41.9%</t>
        </r>
      </text>
    </comment>
    <comment ref="DJ231" authorId="14" shapeId="0" xr:uid="{E0B6DE2A-FBF4-4AFF-94A7-1FFC18AB54A2}">
      <text>
        <r>
          <rPr>
            <b/>
            <sz val="9"/>
            <color indexed="81"/>
            <rFont val="Tahoma"/>
            <family val="2"/>
          </rPr>
          <t>Valentini, Anthony [GIR]:</t>
        </r>
        <r>
          <rPr>
            <sz val="9"/>
            <color indexed="81"/>
            <rFont val="Tahoma"/>
            <family val="2"/>
          </rPr>
          <t xml:space="preserve">
2q23: yoy improvement</t>
        </r>
      </text>
    </comment>
    <comment ref="DL231" authorId="0" shapeId="0" xr:uid="{C96054CF-44FB-46F0-AAB1-AFB49865D97E}">
      <text>
        <r>
          <rPr>
            <b/>
            <sz val="9"/>
            <color indexed="81"/>
            <rFont val="Tahoma"/>
            <family val="2"/>
          </rPr>
          <t>Dessert, Connor H [GIR]:</t>
        </r>
        <r>
          <rPr>
            <sz val="9"/>
            <color indexed="81"/>
            <rFont val="Tahoma"/>
            <family val="2"/>
          </rPr>
          <t xml:space="preserve">
2q25: 60% of the revenues in BDS are MSD-HSD margin range</t>
        </r>
      </text>
    </comment>
    <comment ref="DO231" authorId="1" shapeId="0" xr:uid="{A44A69FE-55EC-4F1E-A19B-0282306F4A86}">
      <text>
        <r>
          <rPr>
            <b/>
            <sz val="9"/>
            <color indexed="81"/>
            <rFont val="Tahoma"/>
            <family val="2"/>
          </rPr>
          <t>Parsons, Gavin [GIR]:</t>
        </r>
        <r>
          <rPr>
            <sz val="9"/>
            <color indexed="81"/>
            <rFont val="Tahoma"/>
            <family val="2"/>
          </rPr>
          <t xml:space="preserve">
nov 22: HSD in '25/26
4q22: same
3q23: same
4q23: same
1q24: same
may24: same
2q24: HSD med-long-term goal</t>
        </r>
      </text>
    </comment>
    <comment ref="DQ231" authorId="15" shapeId="0" xr:uid="{F00B373F-5ECA-41C1-8F07-7D18C79F574E}">
      <text>
        <r>
          <rPr>
            <b/>
            <sz val="9"/>
            <color indexed="81"/>
            <rFont val="Tahoma"/>
            <family val="2"/>
          </rPr>
          <t>Ortmayer, Will [GIR]:</t>
        </r>
        <r>
          <rPr>
            <sz val="9"/>
            <color indexed="81"/>
            <rFont val="Tahoma"/>
            <family val="2"/>
          </rPr>
          <t xml:space="preserve">
1q26: little better from 1Q for rest of year</t>
        </r>
      </text>
    </comment>
    <comment ref="DR231" authorId="0" shapeId="0" xr:uid="{AC1741C0-2261-4474-ACE9-81FE80BF3A54}">
      <text>
        <r>
          <rPr>
            <b/>
            <sz val="9"/>
            <color indexed="81"/>
            <rFont val="Tahoma"/>
            <family val="2"/>
          </rPr>
          <t>Dessert, Connor H [GIR]:</t>
        </r>
        <r>
          <rPr>
            <sz val="9"/>
            <color indexed="81"/>
            <rFont val="Tahoma"/>
            <family val="2"/>
          </rPr>
          <t xml:space="preserve">
2q26 call: 3.5%</t>
        </r>
      </text>
    </comment>
    <comment ref="DS231" authorId="0" shapeId="0" xr:uid="{61EE4D09-1353-4D9C-8474-238515BC9854}">
      <text>
        <r>
          <rPr>
            <b/>
            <sz val="9"/>
            <color indexed="81"/>
            <rFont val="Tahoma"/>
            <family val="2"/>
          </rPr>
          <t>Dessert, Connor H [GIR]:</t>
        </r>
        <r>
          <rPr>
            <sz val="9"/>
            <color indexed="81"/>
            <rFont val="Tahoma"/>
            <family val="2"/>
          </rPr>
          <t xml:space="preserve">
2q26 call: 3.5%</t>
        </r>
      </text>
    </comment>
    <comment ref="DT231" authorId="0" shapeId="0" xr:uid="{43ECE3D2-D33D-4C2B-AAFB-433E1C7A9E73}">
      <text>
        <r>
          <rPr>
            <b/>
            <sz val="9"/>
            <color indexed="81"/>
            <rFont val="Tahoma"/>
            <family val="2"/>
          </rPr>
          <t>Dessert, Connor H [GIR]:</t>
        </r>
        <r>
          <rPr>
            <sz val="9"/>
            <color indexed="81"/>
            <rFont val="Tahoma"/>
            <family val="2"/>
          </rPr>
          <t xml:space="preserve">
2q24: HSD med-long-term goal
1Q26: 3.5%
2Q26: 2.0-2.5% given VC-25B charge</t>
        </r>
      </text>
    </comment>
    <comment ref="DY231" authorId="0" shapeId="0" xr:uid="{1A256AC4-1F48-4009-A07A-29904C443EB6}">
      <text>
        <r>
          <rPr>
            <b/>
            <sz val="9"/>
            <color indexed="81"/>
            <rFont val="Tahoma"/>
            <family val="2"/>
          </rPr>
          <t>Dessert, Connor H [GIR]:</t>
        </r>
        <r>
          <rPr>
            <sz val="9"/>
            <color indexed="81"/>
            <rFont val="Tahoma"/>
            <family val="2"/>
          </rPr>
          <t xml:space="preserve">
2q24: HSD med-long-term goal
2q25: same</t>
        </r>
      </text>
    </comment>
    <comment ref="DZ231" authorId="0" shapeId="0" xr:uid="{54B68668-F7BB-493E-8D25-6FFB4D663637}">
      <text>
        <r>
          <rPr>
            <b/>
            <sz val="9"/>
            <color indexed="81"/>
            <rFont val="Tahoma"/>
            <family val="2"/>
          </rPr>
          <t>Dessert, Connor H [GIR]:</t>
        </r>
        <r>
          <rPr>
            <sz val="9"/>
            <color indexed="81"/>
            <rFont val="Tahoma"/>
            <family val="2"/>
          </rPr>
          <t xml:space="preserve">
2q25: HSD long term</t>
        </r>
      </text>
    </comment>
    <comment ref="CA232" authorId="1" shapeId="0" xr:uid="{00000000-0006-0000-0500-000051010000}">
      <text>
        <r>
          <rPr>
            <b/>
            <sz val="9"/>
            <color indexed="81"/>
            <rFont val="Tahoma"/>
            <family val="2"/>
          </rPr>
          <t>Parsons, Gavin [GIR]:</t>
        </r>
        <r>
          <rPr>
            <sz val="9"/>
            <color indexed="81"/>
            <rFont val="Tahoma"/>
            <family val="2"/>
          </rPr>
          <t xml:space="preserve">
3q17: 15.0%-15.5%</t>
        </r>
      </text>
    </comment>
    <comment ref="CF232" authorId="9" shapeId="0" xr:uid="{00000000-0006-0000-0500-000052010000}">
      <text>
        <r>
          <rPr>
            <b/>
            <sz val="9"/>
            <color indexed="81"/>
            <rFont val="Tahoma"/>
            <family val="2"/>
          </rPr>
          <t>Porat, Matthew [GIR]:</t>
        </r>
        <r>
          <rPr>
            <sz val="9"/>
            <color indexed="81"/>
            <rFont val="Tahoma"/>
            <family val="2"/>
          </rPr>
          <t xml:space="preserve">
4q17: ~15.5%
1q18: same
2q18: same
3q18: same</t>
        </r>
      </text>
    </comment>
    <comment ref="CK232" authorId="9" shapeId="0" xr:uid="{00000000-0006-0000-0500-000053010000}">
      <text>
        <r>
          <rPr>
            <b/>
            <sz val="9"/>
            <color indexed="81"/>
            <rFont val="Tahoma"/>
            <family val="2"/>
          </rPr>
          <t>Porat, Matthew [GIR]:</t>
        </r>
        <r>
          <rPr>
            <sz val="9"/>
            <color indexed="81"/>
            <rFont val="Tahoma"/>
            <family val="2"/>
          </rPr>
          <t xml:space="preserve">
4q18: &gt;15.0%</t>
        </r>
      </text>
    </comment>
    <comment ref="DA232" authorId="11" shapeId="0" xr:uid="{7A0BC77B-7F33-44B8-BA5E-5BA10EA4BE8D}">
      <text>
        <r>
          <rPr>
            <b/>
            <sz val="9"/>
            <color indexed="81"/>
            <rFont val="Tahoma"/>
            <family val="2"/>
          </rPr>
          <t>Blake, BEN [GIR]:</t>
        </r>
        <r>
          <rPr>
            <sz val="9"/>
            <color indexed="81"/>
            <rFont val="Tahoma"/>
            <family val="2"/>
          </rPr>
          <t xml:space="preserve">
1q23: higher than expected, don't assume will repeat this FY</t>
        </r>
      </text>
    </comment>
    <comment ref="DO232" authorId="1" shapeId="0" xr:uid="{88BF472C-714E-48E9-AE74-79C2F066121A}">
      <text>
        <r>
          <rPr>
            <b/>
            <sz val="9"/>
            <color indexed="81"/>
            <rFont val="Tahoma"/>
            <family val="2"/>
          </rPr>
          <t>Parsons, Gavin [GIR]:</t>
        </r>
        <r>
          <rPr>
            <sz val="9"/>
            <color indexed="81"/>
            <rFont val="Tahoma"/>
            <family val="2"/>
          </rPr>
          <t xml:space="preserve">
nov 22: mid-teens in '25/26
4q22: same
1q23: same</t>
        </r>
      </text>
    </comment>
    <comment ref="CK234" authorId="1" shapeId="0" xr:uid="{00000000-0006-0000-0500-000054010000}">
      <text>
        <r>
          <rPr>
            <b/>
            <sz val="9"/>
            <color indexed="81"/>
            <rFont val="Tahoma"/>
            <family val="2"/>
          </rPr>
          <t>Parsons, Gavin [GIR]:</t>
        </r>
        <r>
          <rPr>
            <sz val="9"/>
            <color indexed="81"/>
            <rFont val="Tahoma"/>
            <family val="2"/>
          </rPr>
          <t xml:space="preserve">
4q18: up yoy</t>
        </r>
      </text>
    </comment>
    <comment ref="CP234" authorId="1" shapeId="0" xr:uid="{00000000-0006-0000-0500-000055010000}">
      <text>
        <r>
          <rPr>
            <b/>
            <sz val="9"/>
            <color indexed="81"/>
            <rFont val="Tahoma"/>
            <family val="2"/>
          </rPr>
          <t>Parsons, Gavin [GIR]:</t>
        </r>
        <r>
          <rPr>
            <sz val="9"/>
            <color indexed="81"/>
            <rFont val="Tahoma"/>
            <family val="2"/>
          </rPr>
          <t xml:space="preserve">
4q16: mid teens end of decade
3q17: same
4q18: up yoy</t>
        </r>
      </text>
    </comment>
    <comment ref="AU290" authorId="7" shapeId="0" xr:uid="{00000000-0006-0000-0500-000056010000}">
      <text>
        <r>
          <rPr>
            <b/>
            <sz val="8"/>
            <color indexed="81"/>
            <rFont val="Tahoma"/>
            <family val="2"/>
          </rPr>
          <t>sammun:</t>
        </r>
        <r>
          <rPr>
            <sz val="8"/>
            <color indexed="81"/>
            <rFont val="Tahoma"/>
            <family val="2"/>
          </rPr>
          <t xml:space="preserve">
2/3 of current backlog from airlines outside the US and Europe.</t>
        </r>
      </text>
    </comment>
    <comment ref="B300" authorId="1" shapeId="0" xr:uid="{00000000-0006-0000-0500-000057010000}">
      <text>
        <r>
          <rPr>
            <b/>
            <sz val="9"/>
            <color indexed="81"/>
            <rFont val="Tahoma"/>
            <family val="2"/>
          </rPr>
          <t>Parsons, Gavin [GIR]:</t>
        </r>
        <r>
          <rPr>
            <sz val="9"/>
            <color indexed="81"/>
            <rFont val="Tahoma"/>
            <family val="2"/>
          </rPr>
          <t xml:space="preserve">
Contractual pre 3Q17, total 3Q17 and beyond</t>
        </r>
      </text>
    </comment>
    <comment ref="AR350" authorId="2" shapeId="0" xr:uid="{00000000-0006-0000-0500-000058010000}">
      <text>
        <r>
          <rPr>
            <b/>
            <sz val="8"/>
            <color indexed="81"/>
            <rFont val="Tahoma"/>
            <family val="2"/>
          </rPr>
          <t>wachun:</t>
        </r>
        <r>
          <rPr>
            <sz val="8"/>
            <color indexed="81"/>
            <rFont val="Tahoma"/>
            <family val="2"/>
          </rPr>
          <t xml:space="preserve">
1q10: &lt; 1.0X
2q10: same</t>
        </r>
      </text>
    </comment>
    <comment ref="AW363" authorId="7" shapeId="0" xr:uid="{00000000-0006-0000-0500-000059010000}">
      <text>
        <r>
          <rPr>
            <b/>
            <sz val="8"/>
            <color indexed="81"/>
            <rFont val="Tahoma"/>
            <family val="2"/>
          </rPr>
          <t>sammun:</t>
        </r>
        <r>
          <rPr>
            <sz val="8"/>
            <color indexed="81"/>
            <rFont val="Tahoma"/>
            <family val="2"/>
          </rPr>
          <t xml:space="preserve">
3q11: year end above 1.0X</t>
        </r>
      </text>
    </comment>
    <comment ref="AR394" authorId="2" shapeId="0" xr:uid="{00000000-0006-0000-0500-00005A010000}">
      <text>
        <r>
          <rPr>
            <b/>
            <sz val="8"/>
            <color indexed="81"/>
            <rFont val="Tahoma"/>
            <family val="2"/>
          </rPr>
          <t>wachun:</t>
        </r>
        <r>
          <rPr>
            <sz val="8"/>
            <color indexed="81"/>
            <rFont val="Tahoma"/>
            <family val="2"/>
          </rPr>
          <t xml:space="preserve">
1q10: 3,900-4,100
2q10: same</t>
        </r>
      </text>
    </comment>
    <comment ref="AW394" authorId="2" shapeId="0" xr:uid="{00000000-0006-0000-0500-00005B010000}">
      <text>
        <r>
          <rPr>
            <b/>
            <sz val="8"/>
            <color indexed="81"/>
            <rFont val="Tahoma"/>
            <family val="2"/>
          </rPr>
          <t>wachun:</t>
        </r>
        <r>
          <rPr>
            <sz val="8"/>
            <color indexed="81"/>
            <rFont val="Tahoma"/>
            <family val="2"/>
          </rPr>
          <t xml:space="preserve">
1q10: decrease significantly
2q10: decrease &gt; 500mn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poponn</author>
    <author>wachun</author>
    <author>gneeti</author>
    <author>sammun</author>
    <author>kwondo</author>
    <author>Parsons, Gavin [GIR]</author>
    <author>Porat, Matthew [GIR]</author>
    <author>Dessert, Connor H [GIR]</author>
    <author>Richard T. Safran</author>
    <author>Blake, BEN [GIR]</author>
    <author>Valentini, Anthony [GIR]</author>
    <author>khalom</author>
  </authors>
  <commentList>
    <comment ref="X8" authorId="0" shapeId="0" xr:uid="{00000000-0006-0000-0600-000001000000}">
      <text>
        <r>
          <rPr>
            <b/>
            <sz val="8"/>
            <color indexed="81"/>
            <rFont val="Tahoma"/>
            <family val="2"/>
          </rPr>
          <t>poponn:</t>
        </r>
        <r>
          <rPr>
            <sz val="8"/>
            <color indexed="81"/>
            <rFont val="Tahoma"/>
            <family val="2"/>
          </rPr>
          <t xml:space="preserve">
1q06: 60,000
2q06: 60.0-60.5
3q06: 60.5</t>
        </r>
      </text>
    </comment>
    <comment ref="AC8" authorId="0" shapeId="0" xr:uid="{00000000-0006-0000-0600-000002000000}">
      <text>
        <r>
          <rPr>
            <b/>
            <sz val="8"/>
            <color indexed="81"/>
            <rFont val="Tahoma"/>
            <family val="2"/>
          </rPr>
          <t>poponn:</t>
        </r>
        <r>
          <rPr>
            <sz val="8"/>
            <color indexed="81"/>
            <rFont val="Tahoma"/>
            <family val="2"/>
          </rPr>
          <t xml:space="preserve">
1q06: 63,500-64,500
2q06: 64,500-65,500
3q06: 65,500-66,000
4q06: 64,500-65,000
1q07: same
2q07: 65,000
3q07: 66,000</t>
        </r>
      </text>
    </comment>
    <comment ref="AH8" authorId="0" shapeId="0" xr:uid="{00000000-0006-0000-0600-000003000000}">
      <text>
        <r>
          <rPr>
            <b/>
            <sz val="8"/>
            <color indexed="81"/>
            <rFont val="Tahoma"/>
            <family val="2"/>
          </rPr>
          <t>poponn:</t>
        </r>
        <r>
          <rPr>
            <sz val="8"/>
            <color indexed="81"/>
            <rFont val="Tahoma"/>
            <family val="2"/>
          </rPr>
          <t xml:space="preserve">
4q06: 71,000-72,000
1q07: same
2q07: same
3q07: 67,500-68,500
4q07: 67,000-68,000
1q08: same
2q08: same</t>
        </r>
      </text>
    </comment>
    <comment ref="AM8" authorId="0" shapeId="0" xr:uid="{00000000-0006-0000-0600-000004000000}">
      <text>
        <r>
          <rPr>
            <b/>
            <sz val="8"/>
            <color indexed="81"/>
            <rFont val="Tahoma"/>
            <family val="2"/>
          </rPr>
          <t>poponn:</t>
        </r>
        <r>
          <rPr>
            <sz val="8"/>
            <color indexed="81"/>
            <rFont val="Tahoma"/>
            <family val="2"/>
          </rPr>
          <t xml:space="preserve">
1q08: 72,000-73,000
2q08: same
3q08: 68,000-69,000
2q09: same
3q09: same</t>
        </r>
      </text>
    </comment>
    <comment ref="AN8" authorId="1" shapeId="0" xr:uid="{00000000-0006-0000-0600-000005000000}">
      <text>
        <r>
          <rPr>
            <b/>
            <sz val="8"/>
            <color indexed="81"/>
            <rFont val="Tahoma"/>
            <family val="2"/>
          </rPr>
          <t>wachun:</t>
        </r>
        <r>
          <rPr>
            <sz val="8"/>
            <color indexed="81"/>
            <rFont val="Tahoma"/>
            <family val="2"/>
          </rPr>
          <t xml:space="preserve">
4q09: lowest in 2010</t>
        </r>
      </text>
    </comment>
    <comment ref="AR8" authorId="1" shapeId="0" xr:uid="{00000000-0006-0000-0600-000006000000}">
      <text>
        <r>
          <rPr>
            <b/>
            <sz val="8"/>
            <color indexed="81"/>
            <rFont val="Tahoma"/>
            <family val="2"/>
          </rPr>
          <t>wachun:</t>
        </r>
        <r>
          <rPr>
            <sz val="8"/>
            <color indexed="81"/>
            <rFont val="Tahoma"/>
            <family val="2"/>
          </rPr>
          <t xml:space="preserve">
4q09: $64,000 - 66,000
1q10: same
2q10: same
3q10: $64,500 - 65,500</t>
        </r>
      </text>
    </comment>
    <comment ref="AS8" authorId="1" shapeId="0" xr:uid="{00000000-0006-0000-0600-000007000000}">
      <text>
        <r>
          <rPr>
            <b/>
            <sz val="8"/>
            <color indexed="81"/>
            <rFont val="Tahoma"/>
            <family val="2"/>
          </rPr>
          <t>wachun:</t>
        </r>
        <r>
          <rPr>
            <sz val="8"/>
            <color indexed="81"/>
            <rFont val="Tahoma"/>
            <family val="2"/>
          </rPr>
          <t xml:space="preserve">
4q10: lowest in 2011</t>
        </r>
      </text>
    </comment>
    <comment ref="AW8" authorId="1" shapeId="0" xr:uid="{00000000-0006-0000-0600-000008000000}">
      <text>
        <r>
          <rPr>
            <b/>
            <sz val="8"/>
            <color indexed="81"/>
            <rFont val="Tahoma"/>
            <family val="2"/>
          </rPr>
          <t>wachun:</t>
        </r>
        <r>
          <rPr>
            <sz val="8"/>
            <color indexed="81"/>
            <rFont val="Tahoma"/>
            <family val="2"/>
          </rPr>
          <t xml:space="preserve">
4q09: &gt; 2010
4q10: 68,000-71,000
1q11: same
2q11: same
3q11: 68,000-70,000</t>
        </r>
      </text>
    </comment>
    <comment ref="BB8" authorId="2" shapeId="0" xr:uid="{00000000-0006-0000-0600-000009000000}">
      <text>
        <r>
          <rPr>
            <b/>
            <sz val="8"/>
            <color indexed="81"/>
            <rFont val="Tahoma"/>
            <family val="2"/>
          </rPr>
          <t>gneeti:</t>
        </r>
        <r>
          <rPr>
            <sz val="8"/>
            <color indexed="81"/>
            <rFont val="Tahoma"/>
            <family val="2"/>
          </rPr>
          <t xml:space="preserve">
4q11: 78 - 80
1q12: same
2q12: 79.5 - 81.5
3q12: 80.5 - 82.0</t>
        </r>
      </text>
    </comment>
    <comment ref="BG8" authorId="3" shapeId="0" xr:uid="{00000000-0006-0000-0600-00000A000000}">
      <text>
        <r>
          <rPr>
            <b/>
            <sz val="8"/>
            <color indexed="81"/>
            <rFont val="Tahoma"/>
            <family val="2"/>
          </rPr>
          <t>sammun:</t>
        </r>
        <r>
          <rPr>
            <sz val="8"/>
            <color indexed="81"/>
            <rFont val="Tahoma"/>
            <family val="2"/>
          </rPr>
          <t xml:space="preserve">
4q12: 82-85 
1q13: same
2q13: 83-86
3q13: same</t>
        </r>
      </text>
    </comment>
    <comment ref="BL8" authorId="2" shapeId="0" xr:uid="{00000000-0006-0000-0600-00000B000000}">
      <text>
        <r>
          <rPr>
            <b/>
            <sz val="8"/>
            <color indexed="81"/>
            <rFont val="Tahoma"/>
            <family val="2"/>
          </rPr>
          <t>gneeti:</t>
        </r>
        <r>
          <rPr>
            <sz val="8"/>
            <color indexed="81"/>
            <rFont val="Tahoma"/>
            <family val="2"/>
          </rPr>
          <t xml:space="preserve">
4q13: 87.5-90.5
1q14: same
2q14: same
3q14: same</t>
        </r>
      </text>
    </comment>
    <comment ref="BQ8" authorId="4" shapeId="0" xr:uid="{00000000-0006-0000-0600-00000C000000}">
      <text>
        <r>
          <rPr>
            <b/>
            <sz val="9"/>
            <color indexed="81"/>
            <rFont val="Tahoma"/>
            <family val="2"/>
          </rPr>
          <t>kwondo:</t>
        </r>
        <r>
          <rPr>
            <sz val="9"/>
            <color indexed="81"/>
            <rFont val="Tahoma"/>
            <family val="2"/>
          </rPr>
          <t xml:space="preserve">
4q14: 94.5-96.5
1q15: same
2q15: same
3q15: 95.0-97.0</t>
        </r>
      </text>
    </comment>
    <comment ref="BR8" authorId="5" shapeId="0" xr:uid="{00000000-0006-0000-0600-00000D000000}">
      <text>
        <r>
          <rPr>
            <b/>
            <sz val="9"/>
            <color indexed="81"/>
            <rFont val="Tahoma"/>
            <family val="2"/>
          </rPr>
          <t>Parsons, Gavin [GIR]:</t>
        </r>
        <r>
          <rPr>
            <sz val="9"/>
            <color indexed="81"/>
            <rFont val="Tahoma"/>
            <family val="2"/>
          </rPr>
          <t xml:space="preserve">
4q15: lowest Q in 2016</t>
        </r>
      </text>
    </comment>
    <comment ref="BV8" authorId="5" shapeId="0" xr:uid="{00000000-0006-0000-0600-00000E000000}">
      <text>
        <r>
          <rPr>
            <b/>
            <sz val="9"/>
            <color indexed="81"/>
            <rFont val="Tahoma"/>
            <family val="2"/>
          </rPr>
          <t>Parsons, Gavin [GIR]:</t>
        </r>
        <r>
          <rPr>
            <sz val="9"/>
            <color indexed="81"/>
            <rFont val="Tahoma"/>
            <family val="2"/>
          </rPr>
          <t xml:space="preserve">
4q15: 93.0-95.0
1q16: same
2q16: same
3q16: 93.5-95.5</t>
        </r>
      </text>
    </comment>
    <comment ref="BW8" authorId="5" shapeId="0" xr:uid="{00000000-0006-0000-0600-00000F000000}">
      <text>
        <r>
          <rPr>
            <b/>
            <sz val="9"/>
            <color indexed="81"/>
            <rFont val="Tahoma"/>
            <family val="2"/>
          </rPr>
          <t>Parsons, Gavin [GIR]:</t>
        </r>
        <r>
          <rPr>
            <sz val="9"/>
            <color indexed="81"/>
            <rFont val="Tahoma"/>
            <family val="2"/>
          </rPr>
          <t xml:space="preserve">
4q16: lowest for year</t>
        </r>
      </text>
    </comment>
    <comment ref="CA8" authorId="5" shapeId="0" xr:uid="{00000000-0006-0000-0600-000010000000}">
      <text>
        <r>
          <rPr>
            <b/>
            <sz val="9"/>
            <color indexed="81"/>
            <rFont val="Tahoma"/>
            <family val="2"/>
          </rPr>
          <t>Parsons, Gavin [GIR]:</t>
        </r>
        <r>
          <rPr>
            <sz val="9"/>
            <color indexed="81"/>
            <rFont val="Tahoma"/>
            <family val="2"/>
          </rPr>
          <t xml:space="preserve">
sep 16: flattish
3q16: flat to down
4q16: 90.5-92.5
1q17: same
2q17: same
3q17: same</t>
        </r>
      </text>
    </comment>
    <comment ref="CB8" authorId="5" shapeId="0" xr:uid="{00000000-0006-0000-0600-000011000000}">
      <text>
        <r>
          <rPr>
            <b/>
            <sz val="9"/>
            <color indexed="81"/>
            <rFont val="Tahoma"/>
            <family val="2"/>
          </rPr>
          <t>Parsons, Gavin [GIR]:</t>
        </r>
        <r>
          <rPr>
            <sz val="9"/>
            <color indexed="81"/>
            <rFont val="Tahoma"/>
            <family val="2"/>
          </rPr>
          <t xml:space="preserve">
4q17: lowest for year</t>
        </r>
      </text>
    </comment>
    <comment ref="CF8" authorId="5" shapeId="0" xr:uid="{00000000-0006-0000-0600-000012000000}">
      <text>
        <r>
          <rPr>
            <b/>
            <sz val="9"/>
            <color indexed="81"/>
            <rFont val="Tahoma"/>
            <family val="2"/>
          </rPr>
          <t>Parsons, Gavin [GIR]:</t>
        </r>
        <r>
          <rPr>
            <sz val="9"/>
            <color indexed="81"/>
            <rFont val="Tahoma"/>
            <family val="2"/>
          </rPr>
          <t xml:space="preserve">
4q16: up yoy
3q17: same
4q17: 96.0-98.0
1q18: same
2q18: 97.0-99.0
3q18: 98.0-100.0</t>
        </r>
      </text>
    </comment>
    <comment ref="CG8" authorId="5" shapeId="0" xr:uid="{00000000-0006-0000-0600-000013000000}">
      <text>
        <r>
          <rPr>
            <b/>
            <sz val="9"/>
            <color indexed="81"/>
            <rFont val="Tahoma"/>
            <family val="2"/>
          </rPr>
          <t>Parsons, Gavin [GIR]:</t>
        </r>
        <r>
          <rPr>
            <sz val="9"/>
            <color indexed="81"/>
            <rFont val="Tahoma"/>
            <family val="2"/>
          </rPr>
          <t xml:space="preserve">
4q18: lowest for year</t>
        </r>
      </text>
    </comment>
    <comment ref="CK8" authorId="6" shapeId="0" xr:uid="{00000000-0006-0000-0600-000014000000}">
      <text>
        <r>
          <rPr>
            <b/>
            <sz val="9"/>
            <color indexed="81"/>
            <rFont val="Tahoma"/>
            <family val="2"/>
          </rPr>
          <t>Porat, Matthew [GIR]:</t>
        </r>
        <r>
          <rPr>
            <sz val="9"/>
            <color indexed="81"/>
            <rFont val="Tahoma"/>
            <family val="2"/>
          </rPr>
          <t xml:space="preserve">
4q17: up
4q18: 109.5-111.5</t>
        </r>
      </text>
    </comment>
    <comment ref="CP8" authorId="6" shapeId="0" xr:uid="{00000000-0006-0000-0600-000015000000}">
      <text>
        <r>
          <rPr>
            <b/>
            <sz val="9"/>
            <color indexed="81"/>
            <rFont val="Tahoma"/>
            <family val="2"/>
          </rPr>
          <t>Porat, Matthew [GIR]:</t>
        </r>
        <r>
          <rPr>
            <sz val="9"/>
            <color indexed="81"/>
            <rFont val="Tahoma"/>
            <family val="2"/>
          </rPr>
          <t xml:space="preserve">
4q17: up</t>
        </r>
      </text>
    </comment>
    <comment ref="CZ8" authorId="5" shapeId="0" xr:uid="{00000000-0006-0000-0600-000016000000}">
      <text>
        <r>
          <rPr>
            <b/>
            <sz val="9"/>
            <color indexed="81"/>
            <rFont val="Tahoma"/>
            <family val="2"/>
          </rPr>
          <t>Parsons, Gavin [GIR]:</t>
        </r>
        <r>
          <rPr>
            <sz val="9"/>
            <color indexed="81"/>
            <rFont val="Tahoma"/>
            <family val="2"/>
          </rPr>
          <t xml:space="preserve">
1q22: up yoy</t>
        </r>
      </text>
    </comment>
    <comment ref="DI8" authorId="7" shapeId="0" xr:uid="{1ED42EDF-378B-4BC6-98B6-4EB1CFF1BCE6}">
      <text>
        <r>
          <rPr>
            <b/>
            <sz val="9"/>
            <color indexed="81"/>
            <rFont val="Tahoma"/>
            <family val="2"/>
          </rPr>
          <t>Dessert, Connor H [GIR]:</t>
        </r>
        <r>
          <rPr>
            <sz val="9"/>
            <color indexed="81"/>
            <rFont val="Tahoma"/>
            <family val="2"/>
          </rPr>
          <t xml:space="preserve">
4q24 pre-ann: 15,200</t>
        </r>
      </text>
    </comment>
    <comment ref="DO8" authorId="5" shapeId="0" xr:uid="{0A948B12-660A-4E0B-934F-D1AB9E2ACC9E}">
      <text>
        <r>
          <rPr>
            <b/>
            <sz val="9"/>
            <color indexed="81"/>
            <rFont val="Tahoma"/>
            <family val="2"/>
          </rPr>
          <t>Parsons, Gavin [GIR]:</t>
        </r>
        <r>
          <rPr>
            <sz val="9"/>
            <color indexed="81"/>
            <rFont val="Tahoma"/>
            <family val="2"/>
          </rPr>
          <t xml:space="preserve">
nov 22: 100 in '25/26
4q22: same</t>
        </r>
      </text>
    </comment>
    <comment ref="H12" authorId="8" shapeId="0" xr:uid="{00000000-0006-0000-0600-000017000000}">
      <text>
        <r>
          <rPr>
            <b/>
            <sz val="8"/>
            <color indexed="81"/>
            <rFont val="Tahoma"/>
            <family val="2"/>
          </rPr>
          <t>user:</t>
        </r>
        <r>
          <rPr>
            <sz val="8"/>
            <color indexed="81"/>
            <rFont val="Tahoma"/>
            <family val="2"/>
          </rPr>
          <t xml:space="preserve">
67 added to reflect 2003 restatement of 2002 COGS.</t>
        </r>
      </text>
    </comment>
    <comment ref="I12" authorId="8" shapeId="0" xr:uid="{00000000-0006-0000-0600-000018000000}">
      <text>
        <r>
          <rPr>
            <b/>
            <sz val="8"/>
            <color indexed="81"/>
            <rFont val="Tahoma"/>
            <family val="2"/>
          </rPr>
          <t>user:</t>
        </r>
        <r>
          <rPr>
            <sz val="8"/>
            <color indexed="81"/>
            <rFont val="Tahoma"/>
            <family val="2"/>
          </rPr>
          <t xml:space="preserve">
(21) taken out to reflect 2nd,3rd, and 4th qtr restatements which have not been published yet.</t>
        </r>
      </text>
    </comment>
    <comment ref="X16" authorId="0" shapeId="0" xr:uid="{00000000-0006-0000-0600-000019000000}">
      <text>
        <r>
          <rPr>
            <b/>
            <sz val="8"/>
            <color indexed="81"/>
            <rFont val="Tahoma"/>
            <family val="2"/>
          </rPr>
          <t>poponn:</t>
        </r>
        <r>
          <rPr>
            <sz val="8"/>
            <color indexed="81"/>
            <rFont val="Tahoma"/>
            <family val="2"/>
          </rPr>
          <t xml:space="preserve">
1q06: 2,600-2,800
2q06: 3,000
3q06: 3,100-3,200</t>
        </r>
      </text>
    </comment>
    <comment ref="AM16" authorId="0" shapeId="0" xr:uid="{00000000-0006-0000-0600-00001A000000}">
      <text>
        <r>
          <rPr>
            <b/>
            <sz val="8"/>
            <color indexed="81"/>
            <rFont val="Tahoma"/>
            <family val="2"/>
          </rPr>
          <t>poponn:</t>
        </r>
        <r>
          <rPr>
            <sz val="8"/>
            <color indexed="81"/>
            <rFont val="Tahoma"/>
            <family val="2"/>
          </rPr>
          <t xml:space="preserve">
1q08: 3,100-3,300
2q08: same
4q08: 3600-3800
3q09: 6600-6800</t>
        </r>
      </text>
    </comment>
    <comment ref="AR16" authorId="0" shapeId="0" xr:uid="{00000000-0006-0000-0600-00001B000000}">
      <text>
        <r>
          <rPr>
            <b/>
            <sz val="8"/>
            <color indexed="81"/>
            <rFont val="Tahoma"/>
            <family val="2"/>
          </rPr>
          <t>poponn:</t>
        </r>
        <r>
          <rPr>
            <sz val="8"/>
            <color indexed="81"/>
            <rFont val="Tahoma"/>
            <family val="2"/>
          </rPr>
          <t xml:space="preserve">
2q09: down substantially yoy 
3q09: higher than "down substantially from 3.6-3.8"
4q09: $(3,900) - (4,100)
1q10: same
2q10: same
3q10: same</t>
        </r>
      </text>
    </comment>
    <comment ref="AT16" authorId="1" shapeId="0" xr:uid="{00000000-0006-0000-0600-00001C000000}">
      <text>
        <r>
          <rPr>
            <b/>
            <sz val="8"/>
            <color indexed="81"/>
            <rFont val="Tahoma"/>
            <family val="2"/>
          </rPr>
          <t>wachun:</t>
        </r>
        <r>
          <rPr>
            <sz val="8"/>
            <color indexed="81"/>
            <rFont val="Tahoma"/>
            <family val="2"/>
          </rPr>
          <t xml:space="preserve">
4q10: higher in 1H vs. 2H
1q11: same</t>
        </r>
      </text>
    </comment>
    <comment ref="AV16" authorId="1" shapeId="0" xr:uid="{00000000-0006-0000-0600-00001D000000}">
      <text>
        <r>
          <rPr>
            <b/>
            <sz val="8"/>
            <color indexed="81"/>
            <rFont val="Tahoma"/>
            <family val="2"/>
          </rPr>
          <t>wachun:</t>
        </r>
        <r>
          <rPr>
            <sz val="8"/>
            <color indexed="81"/>
            <rFont val="Tahoma"/>
            <family val="2"/>
          </rPr>
          <t xml:space="preserve">
4q10: higher in 1H vs. 2H
1q11: same</t>
        </r>
      </text>
    </comment>
    <comment ref="AW16" authorId="1" shapeId="0" xr:uid="{00000000-0006-0000-0600-00001E000000}">
      <text>
        <r>
          <rPr>
            <b/>
            <sz val="8"/>
            <color indexed="81"/>
            <rFont val="Tahoma"/>
            <family val="2"/>
          </rPr>
          <t>wachun:</t>
        </r>
        <r>
          <rPr>
            <sz val="8"/>
            <color indexed="81"/>
            <rFont val="Tahoma"/>
            <family val="2"/>
          </rPr>
          <t xml:space="preserve">
4q09: decrease significantly (&gt;500mn)
3q10: decrease by $500mn
4q10: 3,700-3,900
1q11: same
2q11: same
3q11: same</t>
        </r>
      </text>
    </comment>
    <comment ref="BB16" authorId="1" shapeId="0" xr:uid="{00000000-0006-0000-0600-00001F000000}">
      <text>
        <r>
          <rPr>
            <b/>
            <sz val="8"/>
            <color indexed="81"/>
            <rFont val="Tahoma"/>
            <family val="2"/>
          </rPr>
          <t xml:space="preserve">sammun:
</t>
        </r>
        <r>
          <rPr>
            <sz val="8"/>
            <color indexed="81"/>
            <rFont val="Tahoma"/>
            <family val="2"/>
          </rPr>
          <t>4q11: 3.3 - 3.5
1q12: same
2q12: same
3q12: 3.3 - 3.5</t>
        </r>
      </text>
    </comment>
    <comment ref="BG16" authorId="3" shapeId="0" xr:uid="{00000000-0006-0000-0600-000020000000}">
      <text>
        <r>
          <rPr>
            <b/>
            <sz val="8"/>
            <color indexed="81"/>
            <rFont val="Tahoma"/>
            <family val="2"/>
          </rPr>
          <t>sammun:</t>
        </r>
        <r>
          <rPr>
            <sz val="8"/>
            <color indexed="81"/>
            <rFont val="Tahoma"/>
            <family val="2"/>
          </rPr>
          <t xml:space="preserve">
4q12: 3.4
1q13: same
2q13: 3.3
3q13: 3.2</t>
        </r>
      </text>
    </comment>
    <comment ref="BL16" authorId="2" shapeId="0" xr:uid="{00000000-0006-0000-0600-000021000000}">
      <text>
        <r>
          <rPr>
            <b/>
            <sz val="8"/>
            <color indexed="81"/>
            <rFont val="Tahoma"/>
            <family val="2"/>
          </rPr>
          <t>gneeti:</t>
        </r>
        <r>
          <rPr>
            <sz val="8"/>
            <color indexed="81"/>
            <rFont val="Tahoma"/>
            <family val="2"/>
          </rPr>
          <t xml:space="preserve">
4q13: 3.2
1q14: same
2q14: same
3q14: same</t>
        </r>
      </text>
    </comment>
    <comment ref="BQ16" authorId="4" shapeId="0" xr:uid="{00000000-0006-0000-0600-000022000000}">
      <text>
        <r>
          <rPr>
            <b/>
            <sz val="9"/>
            <color indexed="81"/>
            <rFont val="Tahoma"/>
            <family val="2"/>
          </rPr>
          <t>kwondo:</t>
        </r>
        <r>
          <rPr>
            <sz val="9"/>
            <color indexed="81"/>
            <rFont val="Tahoma"/>
            <family val="2"/>
          </rPr>
          <t xml:space="preserve">
4q14: ~3.5
1q15: same
2q15: same
3q15: ~3.4</t>
        </r>
      </text>
    </comment>
    <comment ref="BV16" authorId="5" shapeId="0" xr:uid="{00000000-0006-0000-0600-000023000000}">
      <text>
        <r>
          <rPr>
            <b/>
            <sz val="9"/>
            <color indexed="81"/>
            <rFont val="Tahoma"/>
            <family val="2"/>
          </rPr>
          <t>Parsons, Gavin [GIR]:</t>
        </r>
        <r>
          <rPr>
            <sz val="9"/>
            <color indexed="81"/>
            <rFont val="Tahoma"/>
            <family val="2"/>
          </rPr>
          <t xml:space="preserve">
3q15: stable yoy
4q15: 3.6
1q16: same
2q16: 4.8
3q16: same</t>
        </r>
      </text>
    </comment>
    <comment ref="CA16" authorId="5" shapeId="0" xr:uid="{00000000-0006-0000-0600-000024000000}">
      <text>
        <r>
          <rPr>
            <b/>
            <sz val="9"/>
            <color indexed="81"/>
            <rFont val="Tahoma"/>
            <family val="2"/>
          </rPr>
          <t>Parsons, Gavin [GIR]:</t>
        </r>
        <r>
          <rPr>
            <sz val="9"/>
            <color indexed="81"/>
            <rFont val="Tahoma"/>
            <family val="2"/>
          </rPr>
          <t xml:space="preserve">
4q16: 3.6</t>
        </r>
      </text>
    </comment>
    <comment ref="CF16" authorId="6" shapeId="0" xr:uid="{00000000-0006-0000-0600-000025000000}">
      <text>
        <r>
          <rPr>
            <b/>
            <sz val="9"/>
            <color indexed="81"/>
            <rFont val="Tahoma"/>
            <family val="2"/>
          </rPr>
          <t>Porat, Matthew [GIR]:</t>
        </r>
        <r>
          <rPr>
            <sz val="9"/>
            <color indexed="81"/>
            <rFont val="Tahoma"/>
            <family val="2"/>
          </rPr>
          <t xml:space="preserve">
4q17: 3.7
3q18: 3.5</t>
        </r>
      </text>
    </comment>
    <comment ref="CK16" authorId="6" shapeId="0" xr:uid="{00000000-0006-0000-0600-000026000000}">
      <text>
        <r>
          <rPr>
            <b/>
            <sz val="9"/>
            <color indexed="81"/>
            <rFont val="Tahoma"/>
            <family val="2"/>
          </rPr>
          <t>Porat, Matthew [GIR]:</t>
        </r>
        <r>
          <rPr>
            <sz val="9"/>
            <color indexed="81"/>
            <rFont val="Tahoma"/>
            <family val="2"/>
          </rPr>
          <t xml:space="preserve">
4q18: ~4.1</t>
        </r>
      </text>
    </comment>
    <comment ref="DE16" authorId="9" shapeId="0" xr:uid="{5F084C9B-7E31-4438-997C-D1DA4E0F5053}">
      <text>
        <r>
          <rPr>
            <b/>
            <sz val="9"/>
            <color indexed="81"/>
            <rFont val="Tahoma"/>
            <family val="2"/>
          </rPr>
          <t>Blake, BEN [GIR]:</t>
        </r>
        <r>
          <rPr>
            <sz val="9"/>
            <color indexed="81"/>
            <rFont val="Tahoma"/>
            <family val="2"/>
          </rPr>
          <t xml:space="preserve">
1q23: 3.2bn
2q23: same
3q23: 3.4bn</t>
        </r>
      </text>
    </comment>
    <comment ref="DJ16" authorId="10" shapeId="0" xr:uid="{056016CF-D662-4D43-82DC-8323D27F26E7}">
      <text>
        <r>
          <rPr>
            <b/>
            <sz val="9"/>
            <color indexed="81"/>
            <rFont val="Tahoma"/>
            <family val="2"/>
          </rPr>
          <t>Valentini, Anthony [GIR]:</t>
        </r>
        <r>
          <rPr>
            <sz val="9"/>
            <color indexed="81"/>
            <rFont val="Tahoma"/>
            <family val="2"/>
          </rPr>
          <t xml:space="preserve">
3q23: modestly up</t>
        </r>
      </text>
    </comment>
    <comment ref="DO16" authorId="5" shapeId="0" xr:uid="{4A850438-EB61-43B9-90A3-9D977B827904}">
      <text>
        <r>
          <rPr>
            <b/>
            <sz val="9"/>
            <color indexed="81"/>
            <rFont val="Tahoma"/>
            <family val="2"/>
          </rPr>
          <t>Parsons, Gavin [GIR]:</t>
        </r>
        <r>
          <rPr>
            <sz val="9"/>
            <color indexed="81"/>
            <rFont val="Tahoma"/>
            <family val="2"/>
          </rPr>
          <t xml:space="preserve">
nov 22: 3.5 in '25/26</t>
        </r>
      </text>
    </comment>
    <comment ref="CF19" authorId="6" shapeId="0" xr:uid="{00000000-0006-0000-0600-000027000000}">
      <text>
        <r>
          <rPr>
            <b/>
            <sz val="9"/>
            <color indexed="81"/>
            <rFont val="Tahoma"/>
            <family val="2"/>
          </rPr>
          <t>Porat, Matthew [GIR]:</t>
        </r>
        <r>
          <rPr>
            <sz val="9"/>
            <color indexed="81"/>
            <rFont val="Tahoma"/>
            <family val="2"/>
          </rPr>
          <t xml:space="preserve">
4q17: 170 non-operating pension/post-retirement 
1q18: same</t>
        </r>
      </text>
    </comment>
    <comment ref="CK19" authorId="5" shapeId="0" xr:uid="{00000000-0006-0000-0600-000028000000}">
      <text>
        <r>
          <rPr>
            <b/>
            <sz val="9"/>
            <color indexed="81"/>
            <rFont val="Tahoma"/>
            <family val="2"/>
          </rPr>
          <t>Parsons, Gavin [GIR]:</t>
        </r>
        <r>
          <rPr>
            <sz val="9"/>
            <color indexed="81"/>
            <rFont val="Tahoma"/>
            <family val="2"/>
          </rPr>
          <t xml:space="preserve">
4q18: 90</t>
        </r>
      </text>
    </comment>
    <comment ref="S20" authorId="8" shapeId="0" xr:uid="{00000000-0006-0000-0600-000029000000}">
      <text>
        <r>
          <rPr>
            <b/>
            <sz val="8"/>
            <color indexed="81"/>
            <rFont val="Tahoma"/>
            <family val="2"/>
          </rPr>
          <t>Richard T. Safran:</t>
        </r>
        <r>
          <rPr>
            <sz val="8"/>
            <color indexed="81"/>
            <rFont val="Tahoma"/>
            <family val="2"/>
          </rPr>
          <t xml:space="preserve">
Assume $73 per qtr as with 04</t>
        </r>
      </text>
    </comment>
    <comment ref="X20" authorId="8" shapeId="0" xr:uid="{00000000-0006-0000-0600-00002A000000}">
      <text>
        <r>
          <rPr>
            <b/>
            <sz val="8"/>
            <color indexed="81"/>
            <rFont val="Tahoma"/>
            <family val="2"/>
          </rPr>
          <t>Richard T. Safran:</t>
        </r>
        <r>
          <rPr>
            <sz val="8"/>
            <color indexed="81"/>
            <rFont val="Tahoma"/>
            <family val="2"/>
          </rPr>
          <t xml:space="preserve">
Assume $73 per qtr as with 04</t>
        </r>
      </text>
    </comment>
    <comment ref="AR20" authorId="1" shapeId="0" xr:uid="{00000000-0006-0000-0600-00002B000000}">
      <text>
        <r>
          <rPr>
            <b/>
            <sz val="8"/>
            <color indexed="81"/>
            <rFont val="Tahoma"/>
            <family val="2"/>
          </rPr>
          <t>wachun:</t>
        </r>
        <r>
          <rPr>
            <sz val="8"/>
            <color indexed="81"/>
            <rFont val="Tahoma"/>
            <family val="2"/>
          </rPr>
          <t xml:space="preserve">
4q09: increase by (120)</t>
        </r>
      </text>
    </comment>
    <comment ref="CU20" authorId="5" shapeId="0" xr:uid="{00000000-0006-0000-0600-00002C000000}">
      <text>
        <r>
          <rPr>
            <b/>
            <sz val="9"/>
            <color indexed="81"/>
            <rFont val="Tahoma"/>
            <family val="2"/>
          </rPr>
          <t>Parsons, Gavin [GIR]:</t>
        </r>
        <r>
          <rPr>
            <sz val="9"/>
            <color indexed="81"/>
            <rFont val="Tahoma"/>
            <family val="2"/>
          </rPr>
          <t xml:space="preserve">
4q20: up yoy</t>
        </r>
      </text>
    </comment>
    <comment ref="DN20" authorId="7" shapeId="0" xr:uid="{8898F3E6-F136-41B1-BD4E-27E56AD3863B}">
      <text>
        <r>
          <rPr>
            <b/>
            <sz val="9"/>
            <color indexed="81"/>
            <rFont val="Tahoma"/>
            <family val="2"/>
          </rPr>
          <t>Dessert, Connor H [GIR]:</t>
        </r>
        <r>
          <rPr>
            <sz val="9"/>
            <color indexed="81"/>
            <rFont val="Tahoma"/>
            <family val="2"/>
          </rPr>
          <t xml:space="preserve">
3q25: similar to 2q… it's about 900mn plus in 4q
Assume add'l payment due to SPR debt</t>
        </r>
      </text>
    </comment>
    <comment ref="DE22" authorId="10" shapeId="0" xr:uid="{872DDB46-DDAD-49DF-AC60-03D08061FD6C}">
      <text>
        <r>
          <rPr>
            <b/>
            <sz val="9"/>
            <color indexed="81"/>
            <rFont val="Tahoma"/>
            <family val="2"/>
          </rPr>
          <t>Valentini, Anthony [GIR]:</t>
        </r>
        <r>
          <rPr>
            <sz val="9"/>
            <color indexed="81"/>
            <rFont val="Tahoma"/>
            <family val="2"/>
          </rPr>
          <t xml:space="preserve">
sep23: ~250mn
3q23: same</t>
        </r>
      </text>
    </comment>
    <comment ref="DI29" authorId="7" shapeId="0" xr:uid="{CCF1A2EB-40A0-49AC-ACD6-75F6877B989D}">
      <text>
        <r>
          <rPr>
            <b/>
            <sz val="9"/>
            <color indexed="81"/>
            <rFont val="Tahoma"/>
            <family val="2"/>
          </rPr>
          <t>Dessert, Connor H [GIR]:</t>
        </r>
        <r>
          <rPr>
            <sz val="9"/>
            <color indexed="81"/>
            <rFont val="Tahoma"/>
            <family val="2"/>
          </rPr>
          <t xml:space="preserve">
-.01 to match reported</t>
        </r>
      </text>
    </comment>
    <comment ref="W32" authorId="0" shapeId="0" xr:uid="{00000000-0006-0000-0600-00002D000000}">
      <text>
        <r>
          <rPr>
            <b/>
            <sz val="8"/>
            <color indexed="81"/>
            <rFont val="Tahoma"/>
            <family val="2"/>
          </rPr>
          <t>poponn:</t>
        </r>
        <r>
          <rPr>
            <sz val="8"/>
            <color indexed="81"/>
            <rFont val="Tahoma"/>
            <family val="2"/>
          </rPr>
          <t xml:space="preserve">
added $0.03 for deferred comp shares, which is not reflected in BA's reported I/S</t>
        </r>
      </text>
    </comment>
    <comment ref="X32" authorId="0" shapeId="0" xr:uid="{00000000-0006-0000-0600-00002E000000}">
      <text>
        <r>
          <rPr>
            <b/>
            <sz val="8"/>
            <color indexed="81"/>
            <rFont val="Tahoma"/>
            <family val="2"/>
          </rPr>
          <t>poponn:</t>
        </r>
        <r>
          <rPr>
            <sz val="8"/>
            <color indexed="81"/>
            <rFont val="Tahoma"/>
            <family val="2"/>
          </rPr>
          <t xml:space="preserve">
1q06: 3.25-3.45
2q06: 2.40-2.55
3q06: 2.40-2.50</t>
        </r>
      </text>
    </comment>
    <comment ref="AC32" authorId="0" shapeId="0" xr:uid="{00000000-0006-0000-0600-00002F000000}">
      <text>
        <r>
          <rPr>
            <b/>
            <sz val="8"/>
            <color indexed="81"/>
            <rFont val="Tahoma"/>
            <family val="2"/>
          </rPr>
          <t>poponn:</t>
        </r>
        <r>
          <rPr>
            <sz val="8"/>
            <color indexed="81"/>
            <rFont val="Tahoma"/>
            <family val="2"/>
          </rPr>
          <t xml:space="preserve">
1q06: $4.10 - $4.30
2q06: $4.25 - $4.45
3q06: $4.45 - $4.65
4q06: $4.55 - $4.75
1q07: same
2q07: $4.80 - $4.95
3q07: $5.05 - $5.15</t>
        </r>
      </text>
    </comment>
    <comment ref="AH32" authorId="0" shapeId="0" xr:uid="{00000000-0006-0000-0600-000030000000}">
      <text>
        <r>
          <rPr>
            <b/>
            <sz val="8"/>
            <color indexed="81"/>
            <rFont val="Tahoma"/>
            <family val="2"/>
          </rPr>
          <t>poponn:</t>
        </r>
        <r>
          <rPr>
            <sz val="8"/>
            <color indexed="81"/>
            <rFont val="Tahoma"/>
            <family val="2"/>
          </rPr>
          <t xml:space="preserve">
4q06: $5.55 - $5.75
1q07: same
2q07: same
3q07: same
4q07: $5.70 - $5.85
1q08: same
2q08: same</t>
        </r>
      </text>
    </comment>
    <comment ref="AM32" authorId="0" shapeId="0" xr:uid="{00000000-0006-0000-0600-000031000000}">
      <text>
        <r>
          <rPr>
            <b/>
            <sz val="8"/>
            <color indexed="81"/>
            <rFont val="Tahoma"/>
            <family val="2"/>
          </rPr>
          <t>poponn:</t>
        </r>
        <r>
          <rPr>
            <sz val="8"/>
            <color indexed="81"/>
            <rFont val="Tahoma"/>
            <family val="2"/>
          </rPr>
          <t xml:space="preserve">
1q08: $6.80 - $7.00
2q08: same
3q08: withdrawn due to strike
4q08: $5.05 - $5.35
2q09: $4.70 - $5.00
3q09: $1.35 - $1.55</t>
        </r>
      </text>
    </comment>
    <comment ref="AN32" authorId="1" shapeId="0" xr:uid="{00000000-0006-0000-0600-000032000000}">
      <text>
        <r>
          <rPr>
            <b/>
            <sz val="8"/>
            <color indexed="81"/>
            <rFont val="Tahoma"/>
            <family val="2"/>
          </rPr>
          <t>wachun:</t>
        </r>
        <r>
          <rPr>
            <sz val="8"/>
            <color indexed="81"/>
            <rFont val="Tahoma"/>
            <family val="2"/>
          </rPr>
          <t xml:space="preserve">
4q09: 15-20% of FY earnings</t>
        </r>
      </text>
    </comment>
    <comment ref="AR32" authorId="1" shapeId="0" xr:uid="{00000000-0006-0000-0600-000033000000}">
      <text>
        <r>
          <rPr>
            <b/>
            <sz val="8"/>
            <color indexed="81"/>
            <rFont val="Tahoma"/>
            <family val="2"/>
          </rPr>
          <t>wachun:</t>
        </r>
        <r>
          <rPr>
            <sz val="8"/>
            <color indexed="81"/>
            <rFont val="Tahoma"/>
            <family val="2"/>
          </rPr>
          <t xml:space="preserve">
4q09: $3.70 - $4.00 (excl. HC charge)
1q10: $3.50 - $3.80 (incl. HC charge)
2q10: same
3q10: $3.80 - $4.00</t>
        </r>
      </text>
    </comment>
    <comment ref="AS32" authorId="1" shapeId="0" xr:uid="{00000000-0006-0000-0600-000034000000}">
      <text>
        <r>
          <rPr>
            <b/>
            <sz val="8"/>
            <color indexed="81"/>
            <rFont val="Tahoma"/>
            <family val="2"/>
          </rPr>
          <t>wachun:</t>
        </r>
        <r>
          <rPr>
            <sz val="8"/>
            <color indexed="81"/>
            <rFont val="Tahoma"/>
            <family val="2"/>
          </rPr>
          <t xml:space="preserve">
4q10: 15% of 2011</t>
        </r>
      </text>
    </comment>
    <comment ref="AW32" authorId="1" shapeId="0" xr:uid="{00000000-0006-0000-0600-000035000000}">
      <text>
        <r>
          <rPr>
            <b/>
            <sz val="8"/>
            <color indexed="81"/>
            <rFont val="Tahoma"/>
            <family val="2"/>
          </rPr>
          <t>wachun:</t>
        </r>
        <r>
          <rPr>
            <sz val="8"/>
            <color indexed="81"/>
            <rFont val="Tahoma"/>
            <family val="2"/>
          </rPr>
          <t xml:space="preserve">
4q10: $3.80 - $4.00
1q11: same
2q11: $3.90 - $4.10
3q11: $4.30 - $4.40</t>
        </r>
      </text>
    </comment>
    <comment ref="BB32" authorId="2" shapeId="0" xr:uid="{00000000-0006-0000-0600-000036000000}">
      <text>
        <r>
          <rPr>
            <b/>
            <sz val="8"/>
            <color indexed="81"/>
            <rFont val="Tahoma"/>
            <family val="2"/>
          </rPr>
          <t>gneeti:</t>
        </r>
        <r>
          <rPr>
            <sz val="8"/>
            <color indexed="81"/>
            <rFont val="Tahoma"/>
            <family val="2"/>
          </rPr>
          <t xml:space="preserve">
4q11: $4.05 - $4.25
1q12: $4.15 - $4.35
2q12: $4.40 - $4.60
3q12: $4.80 - $4.95</t>
        </r>
      </text>
    </comment>
    <comment ref="BG32" authorId="3" shapeId="0" xr:uid="{00000000-0006-0000-0600-000037000000}">
      <text>
        <r>
          <rPr>
            <b/>
            <sz val="8"/>
            <color indexed="81"/>
            <rFont val="Tahoma"/>
            <family val="2"/>
          </rPr>
          <t>sammun:</t>
        </r>
        <r>
          <rPr>
            <sz val="8"/>
            <color indexed="81"/>
            <rFont val="Tahoma"/>
            <family val="2"/>
          </rPr>
          <t xml:space="preserve">
4q12: $5.00 - $5.20
1q13: same
2q13: $5.10 - $5.30
3q13: $5.40 - $5.55</t>
        </r>
      </text>
    </comment>
    <comment ref="BL32" authorId="2" shapeId="0" xr:uid="{00000000-0006-0000-0600-000038000000}">
      <text>
        <r>
          <rPr>
            <b/>
            <sz val="8"/>
            <color indexed="81"/>
            <rFont val="Tahoma"/>
            <family val="2"/>
          </rPr>
          <t>gneeti:</t>
        </r>
        <r>
          <rPr>
            <sz val="8"/>
            <color indexed="81"/>
            <rFont val="Tahoma"/>
            <family val="2"/>
          </rPr>
          <t xml:space="preserve">
4q13: $6.10-$6.30
1q14: same
2q14: $6.85-$7.05
3q14: $6.90-$7.10</t>
        </r>
      </text>
    </comment>
    <comment ref="BQ32" authorId="4" shapeId="0" xr:uid="{00000000-0006-0000-0600-000039000000}">
      <text>
        <r>
          <rPr>
            <b/>
            <sz val="9"/>
            <color indexed="81"/>
            <rFont val="Tahoma"/>
            <family val="2"/>
          </rPr>
          <t>kwondo:</t>
        </r>
        <r>
          <rPr>
            <sz val="9"/>
            <color indexed="81"/>
            <rFont val="Tahoma"/>
            <family val="2"/>
          </rPr>
          <t xml:space="preserve">
4q14: $8.10-$8.30
1q15: same
2q15: $7.60-$7.80
3q15: $7.65-$7.85</t>
        </r>
      </text>
    </comment>
    <comment ref="BV32" authorId="5" shapeId="0" xr:uid="{00000000-0006-0000-0600-00003A000000}">
      <text>
        <r>
          <rPr>
            <b/>
            <sz val="9"/>
            <color indexed="81"/>
            <rFont val="Tahoma"/>
            <family val="2"/>
          </rPr>
          <t>Parsons, Gavin [GIR]:</t>
        </r>
        <r>
          <rPr>
            <sz val="9"/>
            <color indexed="81"/>
            <rFont val="Tahoma"/>
            <family val="2"/>
          </rPr>
          <t xml:space="preserve">
4q15: $8.45-$8.65
1q16: same
2q16: $6.40-$6.60
3q16: $7.10-$7.30</t>
        </r>
      </text>
    </comment>
    <comment ref="CA32" authorId="5" shapeId="0" xr:uid="{00000000-0006-0000-0600-00003B000000}">
      <text>
        <r>
          <rPr>
            <b/>
            <sz val="9"/>
            <color indexed="81"/>
            <rFont val="Tahoma"/>
            <family val="2"/>
          </rPr>
          <t>Parsons, Gavin [GIR]:</t>
        </r>
        <r>
          <rPr>
            <sz val="9"/>
            <color indexed="81"/>
            <rFont val="Tahoma"/>
            <family val="2"/>
          </rPr>
          <t xml:space="preserve">
4q16: $10.25-$10.45
1q17: $10.35-$10.55
2q17: $11.10-$11.30
3q17: $11.20-$11.40</t>
        </r>
      </text>
    </comment>
    <comment ref="CF32" authorId="6" shapeId="0" xr:uid="{00000000-0006-0000-0600-00003C000000}">
      <text>
        <r>
          <rPr>
            <b/>
            <sz val="9"/>
            <color indexed="81"/>
            <rFont val="Tahoma"/>
            <family val="2"/>
          </rPr>
          <t>Porat, Matthew [GIR]:</t>
        </r>
        <r>
          <rPr>
            <sz val="9"/>
            <color indexed="81"/>
            <rFont val="Tahoma"/>
            <family val="2"/>
          </rPr>
          <t xml:space="preserve">
4q17: $15.90-$16.10
1q18: $16.40-$16.60
2q18: same
3q18: $16.90-$17.10</t>
        </r>
      </text>
    </comment>
    <comment ref="CK32" authorId="6" shapeId="0" xr:uid="{00000000-0006-0000-0600-00003D000000}">
      <text>
        <r>
          <rPr>
            <b/>
            <sz val="9"/>
            <color indexed="81"/>
            <rFont val="Tahoma"/>
            <family val="2"/>
          </rPr>
          <t>Porat, Matthew [GIR]:</t>
        </r>
        <r>
          <rPr>
            <sz val="9"/>
            <color indexed="81"/>
            <rFont val="Tahoma"/>
            <family val="2"/>
          </rPr>
          <t xml:space="preserve">
4q18: $21.90 - $22.10</t>
        </r>
      </text>
    </comment>
    <comment ref="DI33" authorId="7" shapeId="0" xr:uid="{DEA80BF5-8734-4F9A-AABC-7E66AEA0E2B8}">
      <text>
        <r>
          <rPr>
            <b/>
            <sz val="9"/>
            <color indexed="81"/>
            <rFont val="Tahoma"/>
            <family val="2"/>
          </rPr>
          <t>Dessert, Connor H [GIR]:</t>
        </r>
        <r>
          <rPr>
            <sz val="9"/>
            <color indexed="81"/>
            <rFont val="Tahoma"/>
            <family val="2"/>
          </rPr>
          <t xml:space="preserve">
-.01 to match reported</t>
        </r>
      </text>
    </comment>
    <comment ref="DJ33" authorId="7" shapeId="0" xr:uid="{D368C8A6-4B09-43C6-B567-D064C1080F7D}">
      <text>
        <r>
          <rPr>
            <b/>
            <sz val="9"/>
            <color indexed="81"/>
            <rFont val="Tahoma"/>
            <family val="2"/>
          </rPr>
          <t>Dessert, Connor H [GIR]:</t>
        </r>
        <r>
          <rPr>
            <sz val="9"/>
            <color indexed="81"/>
            <rFont val="Tahoma"/>
            <family val="2"/>
          </rPr>
          <t xml:space="preserve">
-.01 to match reported</t>
        </r>
      </text>
    </comment>
    <comment ref="DO33" authorId="7" shapeId="0" xr:uid="{D6372BD4-315C-4729-93AD-B70A0D18BED3}">
      <text>
        <r>
          <rPr>
            <b/>
            <sz val="9"/>
            <color indexed="81"/>
            <rFont val="Tahoma"/>
            <family val="2"/>
          </rPr>
          <t>Dessert, Connor H [GIR]:</t>
        </r>
        <r>
          <rPr>
            <sz val="9"/>
            <color indexed="81"/>
            <rFont val="Tahoma"/>
            <family val="2"/>
          </rPr>
          <t xml:space="preserve">
-.01 to match reported</t>
        </r>
      </text>
    </comment>
    <comment ref="DI34" authorId="7" shapeId="0" xr:uid="{C1CB11CD-4CA5-4E6D-A8D4-F1ADDDBF58B7}">
      <text>
        <r>
          <rPr>
            <b/>
            <sz val="9"/>
            <color indexed="81"/>
            <rFont val="Tahoma"/>
            <family val="2"/>
          </rPr>
          <t>Dessert, Connor H [GIR]:</t>
        </r>
        <r>
          <rPr>
            <sz val="9"/>
            <color indexed="81"/>
            <rFont val="Tahoma"/>
            <family val="2"/>
          </rPr>
          <t xml:space="preserve">
4q24 pre-ann: ($5.46)</t>
        </r>
      </text>
    </comment>
    <comment ref="BG36" authorId="11" shapeId="0" xr:uid="{00000000-0006-0000-0600-00003E000000}">
      <text>
        <r>
          <rPr>
            <b/>
            <sz val="8"/>
            <color indexed="81"/>
            <rFont val="Tahoma"/>
            <family val="2"/>
          </rPr>
          <t>khalom:</t>
        </r>
        <r>
          <rPr>
            <sz val="8"/>
            <color indexed="81"/>
            <rFont val="Tahoma"/>
            <family val="2"/>
          </rPr>
          <t xml:space="preserve">
4q12: $6.10 - $6.30
1q13: same
2q13: $6.20 - $6.40
3q13: $6.50 - $6.65</t>
        </r>
      </text>
    </comment>
    <comment ref="BL36" authorId="2" shapeId="0" xr:uid="{00000000-0006-0000-0600-00003F000000}">
      <text>
        <r>
          <rPr>
            <b/>
            <sz val="8"/>
            <color indexed="81"/>
            <rFont val="Tahoma"/>
            <family val="2"/>
          </rPr>
          <t>gneeti:</t>
        </r>
        <r>
          <rPr>
            <sz val="8"/>
            <color indexed="81"/>
            <rFont val="Tahoma"/>
            <family val="2"/>
          </rPr>
          <t xml:space="preserve">
4q13: $7.00 - $7.20
1q14: $7.15 - $7.35
2q14: $7.90 - $8.10
3q14: $8.10 - $8.30</t>
        </r>
      </text>
    </comment>
    <comment ref="BM36" authorId="5" shapeId="0" xr:uid="{00000000-0006-0000-0600-000040000000}">
      <text>
        <r>
          <rPr>
            <b/>
            <sz val="9"/>
            <color indexed="81"/>
            <rFont val="Tahoma"/>
            <family val="2"/>
          </rPr>
          <t>Parsons, Gavin [GIR]:</t>
        </r>
        <r>
          <rPr>
            <sz val="9"/>
            <color indexed="81"/>
            <rFont val="Tahoma"/>
            <family val="2"/>
          </rPr>
          <t xml:space="preserve">
4q14: 20% of full year</t>
        </r>
      </text>
    </comment>
    <comment ref="BQ36" authorId="4" shapeId="0" xr:uid="{00000000-0006-0000-0600-000041000000}">
      <text>
        <r>
          <rPr>
            <b/>
            <sz val="9"/>
            <color indexed="81"/>
            <rFont val="Tahoma"/>
            <family val="2"/>
          </rPr>
          <t>kwondo:</t>
        </r>
        <r>
          <rPr>
            <sz val="9"/>
            <color indexed="81"/>
            <rFont val="Tahoma"/>
            <family val="2"/>
          </rPr>
          <t xml:space="preserve">
4q14: $8.20-$8.40
1q15: same
2q15: $7.70-$7.90
3q15: $7.95-$8.15</t>
        </r>
      </text>
    </comment>
    <comment ref="BR36" authorId="5" shapeId="0" xr:uid="{00000000-0006-0000-0600-000042000000}">
      <text>
        <r>
          <rPr>
            <b/>
            <sz val="9"/>
            <color indexed="81"/>
            <rFont val="Tahoma"/>
            <family val="2"/>
          </rPr>
          <t>Parsons, Gavin [GIR]:</t>
        </r>
        <r>
          <rPr>
            <sz val="9"/>
            <color indexed="81"/>
            <rFont val="Tahoma"/>
            <family val="2"/>
          </rPr>
          <t xml:space="preserve">
4q15: 20% of annual (~1.65)</t>
        </r>
      </text>
    </comment>
    <comment ref="BV36" authorId="5" shapeId="0" xr:uid="{00000000-0006-0000-0600-000043000000}">
      <text>
        <r>
          <rPr>
            <b/>
            <sz val="9"/>
            <color indexed="81"/>
            <rFont val="Tahoma"/>
            <family val="2"/>
          </rPr>
          <t>Parsons, Gavin [GIR]:</t>
        </r>
        <r>
          <rPr>
            <sz val="9"/>
            <color indexed="81"/>
            <rFont val="Tahoma"/>
            <family val="2"/>
          </rPr>
          <t xml:space="preserve">
4q15: $8.15-$8.35
1q16: same
2q16: $6.10-$6.30
3q16: $6.80-$7.00</t>
        </r>
      </text>
    </comment>
    <comment ref="BW36" authorId="5" shapeId="0" xr:uid="{00000000-0006-0000-0600-000044000000}">
      <text>
        <r>
          <rPr>
            <b/>
            <sz val="9"/>
            <color indexed="81"/>
            <rFont val="Tahoma"/>
            <family val="2"/>
          </rPr>
          <t>Parsons, Gavin [GIR]:</t>
        </r>
        <r>
          <rPr>
            <sz val="9"/>
            <color indexed="81"/>
            <rFont val="Tahoma"/>
            <family val="2"/>
          </rPr>
          <t xml:space="preserve">
4q16: 20% of annual ($1.84)</t>
        </r>
      </text>
    </comment>
    <comment ref="CA36" authorId="5" shapeId="0" xr:uid="{00000000-0006-0000-0600-000045000000}">
      <text>
        <r>
          <rPr>
            <b/>
            <sz val="9"/>
            <color indexed="81"/>
            <rFont val="Tahoma"/>
            <family val="2"/>
          </rPr>
          <t>Parsons, Gavin [GIR]:</t>
        </r>
        <r>
          <rPr>
            <sz val="9"/>
            <color indexed="81"/>
            <rFont val="Tahoma"/>
            <family val="2"/>
          </rPr>
          <t xml:space="preserve">
4q16: $9.10-$9.30
1q17: $9.20-$9.40
2q17: $9.80-$10.00
3q17: $9.90-$10.10</t>
        </r>
      </text>
    </comment>
    <comment ref="CB36" authorId="6" shapeId="0" xr:uid="{00000000-0006-0000-0600-000046000000}">
      <text>
        <r>
          <rPr>
            <b/>
            <sz val="9"/>
            <color indexed="81"/>
            <rFont val="Tahoma"/>
            <family val="2"/>
          </rPr>
          <t>Porat, Matthew [GIR]:</t>
        </r>
        <r>
          <rPr>
            <sz val="9"/>
            <color indexed="81"/>
            <rFont val="Tahoma"/>
            <family val="2"/>
          </rPr>
          <t xml:space="preserve">
4q17: ~15% of annual ($2.09)</t>
        </r>
      </text>
    </comment>
    <comment ref="CF36" authorId="5" shapeId="0" xr:uid="{00000000-0006-0000-0600-000047000000}">
      <text>
        <r>
          <rPr>
            <b/>
            <sz val="9"/>
            <color indexed="81"/>
            <rFont val="Tahoma"/>
            <family val="2"/>
          </rPr>
          <t>Parsons, Gavin [GIR]:</t>
        </r>
        <r>
          <rPr>
            <sz val="9"/>
            <color indexed="81"/>
            <rFont val="Tahoma"/>
            <family val="2"/>
          </rPr>
          <t xml:space="preserve">
4q16: up yoy
4q17: $13.80-$14.00
1q18: $14.30-$14.50
2q18: same
3q18: $14.90-$15.10</t>
        </r>
      </text>
    </comment>
    <comment ref="CG36" authorId="5" shapeId="0" xr:uid="{00000000-0006-0000-0600-000048000000}">
      <text>
        <r>
          <rPr>
            <b/>
            <sz val="9"/>
            <color indexed="81"/>
            <rFont val="Tahoma"/>
            <family val="2"/>
          </rPr>
          <t>Parsons, Gavin [GIR]:</t>
        </r>
        <r>
          <rPr>
            <sz val="9"/>
            <color indexed="81"/>
            <rFont val="Tahoma"/>
            <family val="2"/>
          </rPr>
          <t xml:space="preserve">
4q18: 20% of year</t>
        </r>
      </text>
    </comment>
    <comment ref="CK36" authorId="6" shapeId="0" xr:uid="{00000000-0006-0000-0600-000049000000}">
      <text>
        <r>
          <rPr>
            <b/>
            <sz val="9"/>
            <color indexed="81"/>
            <rFont val="Tahoma"/>
            <family val="2"/>
          </rPr>
          <t>Porat, Matthew [GIR]:</t>
        </r>
        <r>
          <rPr>
            <sz val="9"/>
            <color indexed="81"/>
            <rFont val="Tahoma"/>
            <family val="2"/>
          </rPr>
          <t xml:space="preserve">
4q18: $19.90 - $20.10
1q19: [pulled]</t>
        </r>
      </text>
    </comment>
    <comment ref="DA36" authorId="5" shapeId="0" xr:uid="{6BE50A0B-D05D-429A-A816-CAAC0DA0D80B}">
      <text>
        <r>
          <rPr>
            <b/>
            <sz val="9"/>
            <color indexed="81"/>
            <rFont val="Tahoma"/>
            <family val="2"/>
          </rPr>
          <t>Parsons, Gavin [GIR]:</t>
        </r>
        <r>
          <rPr>
            <sz val="9"/>
            <color indexed="81"/>
            <rFont val="Tahoma"/>
            <family val="2"/>
          </rPr>
          <t xml:space="preserve">
4q22: negative</t>
        </r>
      </text>
    </comment>
    <comment ref="DB36" authorId="9" shapeId="0" xr:uid="{E243868B-69E2-4CE1-BD7B-EF60D8CE27E8}">
      <text>
        <r>
          <rPr>
            <b/>
            <sz val="9"/>
            <color indexed="81"/>
            <rFont val="Tahoma"/>
            <family val="2"/>
          </rPr>
          <t>Blake, BEN [GIR]:</t>
        </r>
        <r>
          <rPr>
            <sz val="9"/>
            <color indexed="81"/>
            <rFont val="Tahoma"/>
            <family val="2"/>
          </rPr>
          <t xml:space="preserve">
1q23: in-line with 1Q23 absent the tanker charge</t>
        </r>
      </text>
    </comment>
    <comment ref="DO36" authorId="7" shapeId="0" xr:uid="{E0B7C238-A2D3-4DA3-AAC4-64FFFFA4570B}">
      <text>
        <r>
          <rPr>
            <b/>
            <sz val="9"/>
            <color indexed="81"/>
            <rFont val="Tahoma"/>
            <family val="2"/>
          </rPr>
          <t>Dessert, Connor H [GIR]:</t>
        </r>
        <r>
          <rPr>
            <sz val="9"/>
            <color indexed="81"/>
            <rFont val="Tahoma"/>
            <family val="2"/>
          </rPr>
          <t xml:space="preserve">
+.01 to match reported</t>
        </r>
      </text>
    </comment>
    <comment ref="AR40" authorId="1" shapeId="0" xr:uid="{00000000-0006-0000-0600-00004A000000}">
      <text>
        <r>
          <rPr>
            <b/>
            <sz val="8"/>
            <color indexed="81"/>
            <rFont val="Tahoma"/>
            <family val="2"/>
          </rPr>
          <t>wachun:</t>
        </r>
        <r>
          <rPr>
            <sz val="8"/>
            <color indexed="81"/>
            <rFont val="Tahoma"/>
            <family val="2"/>
          </rPr>
          <t xml:space="preserve">
4q09: 740mn (b/c of stock to pension plans)</t>
        </r>
      </text>
    </comment>
    <comment ref="BB40" authorId="0" shapeId="0" xr:uid="{00000000-0006-0000-0600-00004B000000}">
      <text>
        <r>
          <rPr>
            <b/>
            <sz val="8"/>
            <color indexed="81"/>
            <rFont val="Tahoma"/>
            <family val="2"/>
          </rPr>
          <t>poponn:</t>
        </r>
        <r>
          <rPr>
            <sz val="8"/>
            <color indexed="81"/>
            <rFont val="Tahoma"/>
            <family val="2"/>
          </rPr>
          <t xml:space="preserve">
4q11: 762
1q12: same
2q12: 764</t>
        </r>
      </text>
    </comment>
    <comment ref="BQ40" authorId="5" shapeId="0" xr:uid="{00000000-0006-0000-0600-00004C000000}">
      <text>
        <r>
          <rPr>
            <b/>
            <sz val="9"/>
            <color indexed="81"/>
            <rFont val="Tahoma"/>
            <family val="2"/>
          </rPr>
          <t>Parsons, Gavin [GIR]:</t>
        </r>
        <r>
          <rPr>
            <sz val="9"/>
            <color indexed="81"/>
            <rFont val="Tahoma"/>
            <family val="2"/>
          </rPr>
          <t xml:space="preserve">
4q14: 695 - 700</t>
        </r>
      </text>
    </comment>
    <comment ref="BV40" authorId="5" shapeId="0" xr:uid="{00000000-0006-0000-0600-00004D000000}">
      <text>
        <r>
          <rPr>
            <b/>
            <sz val="9"/>
            <color indexed="81"/>
            <rFont val="Tahoma"/>
            <family val="2"/>
          </rPr>
          <t>Parsons, Gavin [GIR]:</t>
        </r>
        <r>
          <rPr>
            <sz val="9"/>
            <color indexed="81"/>
            <rFont val="Tahoma"/>
            <family val="2"/>
          </rPr>
          <t xml:space="preserve">
4q15: 655-660
1q16: 645-650</t>
        </r>
      </text>
    </comment>
    <comment ref="CA40" authorId="5" shapeId="0" xr:uid="{00000000-0006-0000-0600-00004E000000}">
      <text>
        <r>
          <rPr>
            <b/>
            <sz val="9"/>
            <color indexed="81"/>
            <rFont val="Tahoma"/>
            <family val="2"/>
          </rPr>
          <t>Parsons, Gavin [GIR]:</t>
        </r>
        <r>
          <rPr>
            <sz val="9"/>
            <color indexed="81"/>
            <rFont val="Tahoma"/>
            <family val="2"/>
          </rPr>
          <t xml:space="preserve">
4q16: 605-610
1q17: same
2q17: 610
3q17: same</t>
        </r>
      </text>
    </comment>
    <comment ref="CF40" authorId="6" shapeId="0" xr:uid="{00000000-0006-0000-0600-00004F000000}">
      <text>
        <r>
          <rPr>
            <b/>
            <sz val="9"/>
            <color indexed="81"/>
            <rFont val="Tahoma"/>
            <family val="2"/>
          </rPr>
          <t>Porat, Matthew [GIR]:</t>
        </r>
        <r>
          <rPr>
            <sz val="9"/>
            <color indexed="81"/>
            <rFont val="Tahoma"/>
            <family val="2"/>
          </rPr>
          <t xml:space="preserve">
4q17: 585-590
1q18: same
2q18: same
3q18: same</t>
        </r>
      </text>
    </comment>
    <comment ref="CK40" authorId="5" shapeId="0" xr:uid="{00000000-0006-0000-0600-000050000000}">
      <text>
        <r>
          <rPr>
            <b/>
            <sz val="9"/>
            <color indexed="81"/>
            <rFont val="Tahoma"/>
            <family val="2"/>
          </rPr>
          <t>Parsons, Gavin [GIR]:</t>
        </r>
        <r>
          <rPr>
            <sz val="9"/>
            <color indexed="81"/>
            <rFont val="Tahoma"/>
            <family val="2"/>
          </rPr>
          <t xml:space="preserve">
4q18: 560-565</t>
        </r>
      </text>
    </comment>
    <comment ref="AR45" authorId="1" shapeId="0" xr:uid="{00000000-0006-0000-0600-000051000000}">
      <text>
        <r>
          <rPr>
            <b/>
            <sz val="8"/>
            <color indexed="81"/>
            <rFont val="Tahoma"/>
            <family val="2"/>
          </rPr>
          <t>wachun:</t>
        </r>
        <r>
          <rPr>
            <sz val="8"/>
            <color indexed="81"/>
            <rFont val="Tahoma"/>
            <family val="2"/>
          </rPr>
          <t xml:space="preserve">
1q10: 1.2
2q10: same
3q10: same</t>
        </r>
      </text>
    </comment>
    <comment ref="AW45" authorId="1" shapeId="0" xr:uid="{00000000-0006-0000-0600-000052000000}">
      <text>
        <r>
          <rPr>
            <b/>
            <sz val="8"/>
            <color indexed="81"/>
            <rFont val="Tahoma"/>
            <family val="2"/>
          </rPr>
          <t>wachun:</t>
        </r>
        <r>
          <rPr>
            <sz val="8"/>
            <color indexed="81"/>
            <rFont val="Tahoma"/>
            <family val="2"/>
          </rPr>
          <t xml:space="preserve">
3q10: increase by 700 (assumes 4.6% DR)
4q10: 1.8
1q11: same
2q11: same </t>
        </r>
      </text>
    </comment>
    <comment ref="BB45" authorId="3" shapeId="0" xr:uid="{00000000-0006-0000-0600-000053000000}">
      <text>
        <r>
          <rPr>
            <b/>
            <sz val="8"/>
            <color indexed="81"/>
            <rFont val="Tahoma"/>
            <family val="2"/>
          </rPr>
          <t>sammun:</t>
        </r>
        <r>
          <rPr>
            <sz val="8"/>
            <color indexed="81"/>
            <rFont val="Tahoma"/>
            <family val="2"/>
          </rPr>
          <t xml:space="preserve">
1q12: 2.6</t>
        </r>
      </text>
    </comment>
    <comment ref="BG45" authorId="3" shapeId="0" xr:uid="{00000000-0006-0000-0600-000054000000}">
      <text>
        <r>
          <rPr>
            <b/>
            <sz val="8"/>
            <color indexed="81"/>
            <rFont val="Tahoma"/>
            <family val="2"/>
          </rPr>
          <t>sammun:</t>
        </r>
        <r>
          <rPr>
            <sz val="8"/>
            <color indexed="81"/>
            <rFont val="Tahoma"/>
            <family val="2"/>
          </rPr>
          <t xml:space="preserve">
4q12: 3.2
1q13: same
2q13: same
3q13: same</t>
        </r>
      </text>
    </comment>
    <comment ref="BL45" authorId="2" shapeId="0" xr:uid="{00000000-0006-0000-0600-000055000000}">
      <text>
        <r>
          <rPr>
            <b/>
            <sz val="9"/>
            <color indexed="81"/>
            <rFont val="Tahoma"/>
            <family val="2"/>
          </rPr>
          <t>gneeti:</t>
        </r>
        <r>
          <rPr>
            <sz val="9"/>
            <color indexed="81"/>
            <rFont val="Tahoma"/>
            <family val="2"/>
          </rPr>
          <t xml:space="preserve">
4q13: 3.1
1q14: 3.2
2q14: same
3q14: 3.3</t>
        </r>
      </text>
    </comment>
    <comment ref="BQ45" authorId="4" shapeId="0" xr:uid="{00000000-0006-0000-0600-000056000000}">
      <text>
        <r>
          <rPr>
            <b/>
            <sz val="9"/>
            <color indexed="81"/>
            <rFont val="Tahoma"/>
            <family val="2"/>
          </rPr>
          <t>kwondo:</t>
        </r>
        <r>
          <rPr>
            <sz val="9"/>
            <color indexed="81"/>
            <rFont val="Tahoma"/>
            <family val="2"/>
          </rPr>
          <t xml:space="preserve">
4q14: ~2.1
1q15: same
2q15: same
3q15: ~2.4</t>
        </r>
      </text>
    </comment>
    <comment ref="BV45" authorId="5" shapeId="0" xr:uid="{00000000-0006-0000-0600-000057000000}">
      <text>
        <r>
          <rPr>
            <b/>
            <sz val="9"/>
            <color indexed="81"/>
            <rFont val="Tahoma"/>
            <family val="2"/>
          </rPr>
          <t>Parsons, Gavin [GIR]:</t>
        </r>
        <r>
          <rPr>
            <sz val="9"/>
            <color indexed="81"/>
            <rFont val="Tahoma"/>
            <family val="2"/>
          </rPr>
          <t xml:space="preserve">
4q15: 2.1
1q16: same
2q16: same
3q16: same</t>
        </r>
      </text>
    </comment>
    <comment ref="CA45" authorId="5" shapeId="0" xr:uid="{00000000-0006-0000-0600-000058000000}">
      <text>
        <r>
          <rPr>
            <b/>
            <sz val="9"/>
            <color indexed="81"/>
            <rFont val="Tahoma"/>
            <family val="2"/>
          </rPr>
          <t>Parsons, Gavin [GIR]:</t>
        </r>
        <r>
          <rPr>
            <sz val="9"/>
            <color indexed="81"/>
            <rFont val="Tahoma"/>
            <family val="2"/>
          </rPr>
          <t xml:space="preserve">
4q16: 0.7
1q17: same
2q17: 0.6
3q17: same</t>
        </r>
      </text>
    </comment>
    <comment ref="CF45" authorId="6" shapeId="0" xr:uid="{00000000-0006-0000-0600-000059000000}">
      <text>
        <r>
          <rPr>
            <b/>
            <sz val="9"/>
            <color indexed="81"/>
            <rFont val="Tahoma"/>
            <family val="2"/>
          </rPr>
          <t>Porat, Matthew [GIR]:</t>
        </r>
        <r>
          <rPr>
            <sz val="9"/>
            <color indexed="81"/>
            <rFont val="Tahoma"/>
            <family val="2"/>
          </rPr>
          <t xml:space="preserve">
4q17: ~0.1
1q18: same
2q18: same
3q18: ~0.2</t>
        </r>
      </text>
    </comment>
    <comment ref="CK45" authorId="5" shapeId="0" xr:uid="{00000000-0006-0000-0600-00005A000000}">
      <text>
        <r>
          <rPr>
            <b/>
            <sz val="9"/>
            <color indexed="81"/>
            <rFont val="Tahoma"/>
            <family val="2"/>
          </rPr>
          <t>Parsons, Gavin [GIR]:</t>
        </r>
        <r>
          <rPr>
            <sz val="9"/>
            <color indexed="81"/>
            <rFont val="Tahoma"/>
            <family val="2"/>
          </rPr>
          <t xml:space="preserve">
4q18: ~0.0</t>
        </r>
      </text>
    </comment>
    <comment ref="BV48" authorId="5" shapeId="0" xr:uid="{00000000-0006-0000-0600-00005B000000}">
      <text>
        <r>
          <rPr>
            <b/>
            <sz val="9"/>
            <color indexed="81"/>
            <rFont val="Tahoma"/>
            <family val="2"/>
          </rPr>
          <t>Parsons, Gavin [GIR]:</t>
        </r>
        <r>
          <rPr>
            <sz val="9"/>
            <color indexed="81"/>
            <rFont val="Tahoma"/>
            <family val="2"/>
          </rPr>
          <t xml:space="preserve">
4q15: 0.3
1q16: same</t>
        </r>
      </text>
    </comment>
    <comment ref="CA48" authorId="5" shapeId="0" xr:uid="{00000000-0006-0000-0600-00005C000000}">
      <text>
        <r>
          <rPr>
            <b/>
            <sz val="9"/>
            <color indexed="81"/>
            <rFont val="Tahoma"/>
            <family val="2"/>
          </rPr>
          <t>Parsons, Gavin [GIR]:</t>
        </r>
        <r>
          <rPr>
            <sz val="9"/>
            <color indexed="81"/>
            <rFont val="Tahoma"/>
            <family val="2"/>
          </rPr>
          <t xml:space="preserve">
4q16: 1.075
1q17: same
3q17: 1.0</t>
        </r>
      </text>
    </comment>
    <comment ref="CF48" authorId="5" shapeId="0" xr:uid="{00000000-0006-0000-0600-00005D000000}">
      <text>
        <r>
          <rPr>
            <b/>
            <sz val="9"/>
            <color indexed="81"/>
            <rFont val="Tahoma"/>
            <family val="2"/>
          </rPr>
          <t>Parsons, Gavin [GIR]:</t>
        </r>
        <r>
          <rPr>
            <sz val="9"/>
            <color indexed="81"/>
            <rFont val="Tahoma"/>
            <family val="2"/>
          </rPr>
          <t xml:space="preserve">
4q17: 1.395 + 0.165
1q18: same
2q18: same
3q18: 1.395 + 0.090</t>
        </r>
      </text>
    </comment>
    <comment ref="CK48" authorId="5" shapeId="0" xr:uid="{00000000-0006-0000-0600-00005E000000}">
      <text>
        <r>
          <rPr>
            <b/>
            <sz val="9"/>
            <color indexed="81"/>
            <rFont val="Tahoma"/>
            <family val="2"/>
          </rPr>
          <t>Parsons, Gavin [GIR]:</t>
        </r>
        <r>
          <rPr>
            <sz val="9"/>
            <color indexed="81"/>
            <rFont val="Tahoma"/>
            <family val="2"/>
          </rPr>
          <t xml:space="preserve">
4q18: 1.335 + 0.090</t>
        </r>
      </text>
    </comment>
    <comment ref="BC49" authorId="11" shapeId="0" xr:uid="{00000000-0006-0000-0600-00005F000000}">
      <text>
        <r>
          <rPr>
            <b/>
            <sz val="8"/>
            <color indexed="81"/>
            <rFont val="Tahoma"/>
            <family val="2"/>
          </rPr>
          <t>khalom:</t>
        </r>
        <r>
          <rPr>
            <sz val="8"/>
            <color indexed="81"/>
            <rFont val="Tahoma"/>
            <family val="2"/>
          </rPr>
          <t xml:space="preserve">
done on a statutary tax rate</t>
        </r>
      </text>
    </comment>
    <comment ref="BV49" authorId="5" shapeId="0" xr:uid="{00000000-0006-0000-0600-000060000000}">
      <text>
        <r>
          <rPr>
            <b/>
            <sz val="9"/>
            <color indexed="81"/>
            <rFont val="Tahoma"/>
            <family val="2"/>
          </rPr>
          <t>Parsons, Gavin [GIR]:</t>
        </r>
        <r>
          <rPr>
            <sz val="9"/>
            <color indexed="81"/>
            <rFont val="Tahoma"/>
            <family val="2"/>
          </rPr>
          <t xml:space="preserve">
4q15: $0.30
1q16: same</t>
        </r>
      </text>
    </comment>
    <comment ref="CA49" authorId="5" shapeId="0" xr:uid="{00000000-0006-0000-0600-000061000000}">
      <text>
        <r>
          <rPr>
            <b/>
            <sz val="9"/>
            <color indexed="81"/>
            <rFont val="Tahoma"/>
            <family val="2"/>
          </rPr>
          <t>Parsons, Gavin [GIR]:</t>
        </r>
        <r>
          <rPr>
            <sz val="9"/>
            <color indexed="81"/>
            <rFont val="Tahoma"/>
            <family val="2"/>
          </rPr>
          <t xml:space="preserve">
4q16: $1.15
3q17: $1.30</t>
        </r>
      </text>
    </comment>
    <comment ref="DO62" authorId="5" shapeId="0" xr:uid="{72A95D08-722D-4155-9A77-4878C1244D43}">
      <text>
        <r>
          <rPr>
            <b/>
            <sz val="9"/>
            <color indexed="81"/>
            <rFont val="Tahoma"/>
            <family val="2"/>
          </rPr>
          <t>Parsons, Gavin [GIR]:</t>
        </r>
        <r>
          <rPr>
            <sz val="9"/>
            <color indexed="81"/>
            <rFont val="Tahoma"/>
            <family val="2"/>
          </rPr>
          <t xml:space="preserve">
nov 22: 10% in '25/26</t>
        </r>
      </text>
    </comment>
    <comment ref="AR63" authorId="1" shapeId="0" xr:uid="{00000000-0006-0000-0600-000062000000}">
      <text>
        <r>
          <rPr>
            <b/>
            <sz val="8"/>
            <color indexed="81"/>
            <rFont val="Tahoma"/>
            <family val="2"/>
          </rPr>
          <t>wachun:</t>
        </r>
        <r>
          <rPr>
            <sz val="8"/>
            <color indexed="81"/>
            <rFont val="Tahoma"/>
            <family val="2"/>
          </rPr>
          <t xml:space="preserve">
2q10: 36%. If no R&amp;D tax credit, should be 39%
3q10: 35% w/ HC charge (assumes R&amp;D tax credit)</t>
        </r>
      </text>
    </comment>
    <comment ref="AW63" authorId="1" shapeId="0" xr:uid="{00000000-0006-0000-0600-000063000000}">
      <text>
        <r>
          <rPr>
            <b/>
            <sz val="8"/>
            <color indexed="81"/>
            <rFont val="Tahoma"/>
            <family val="2"/>
          </rPr>
          <t>wachun:</t>
        </r>
        <r>
          <rPr>
            <sz val="8"/>
            <color indexed="81"/>
            <rFont val="Tahoma"/>
            <family val="2"/>
          </rPr>
          <t xml:space="preserve">
1q11: 34%
3q11: 34%</t>
        </r>
      </text>
    </comment>
    <comment ref="BB63" authorId="3" shapeId="0" xr:uid="{00000000-0006-0000-0600-000064000000}">
      <text>
        <r>
          <rPr>
            <b/>
            <sz val="8"/>
            <color indexed="81"/>
            <rFont val="Tahoma"/>
            <family val="2"/>
          </rPr>
          <t>sammun:</t>
        </r>
        <r>
          <rPr>
            <sz val="8"/>
            <color indexed="81"/>
            <rFont val="Tahoma"/>
            <family val="2"/>
          </rPr>
          <t xml:space="preserve">
3q11: 35%</t>
        </r>
      </text>
    </comment>
    <comment ref="BG63" authorId="3" shapeId="0" xr:uid="{00000000-0006-0000-0600-000065000000}">
      <text>
        <r>
          <rPr>
            <b/>
            <sz val="8"/>
            <color indexed="81"/>
            <rFont val="Tahoma"/>
            <family val="2"/>
          </rPr>
          <t>sammun:</t>
        </r>
        <r>
          <rPr>
            <sz val="8"/>
            <color indexed="81"/>
            <rFont val="Tahoma"/>
            <family val="2"/>
          </rPr>
          <t xml:space="preserve">
4q12: 30%
1q13: same
2q13: 31%
3q13: same</t>
        </r>
      </text>
    </comment>
    <comment ref="BL63" authorId="2" shapeId="0" xr:uid="{00000000-0006-0000-0600-000066000000}">
      <text>
        <r>
          <rPr>
            <b/>
            <sz val="8"/>
            <color indexed="81"/>
            <rFont val="Tahoma"/>
            <family val="2"/>
          </rPr>
          <t>gneeti:</t>
        </r>
        <r>
          <rPr>
            <sz val="8"/>
            <color indexed="81"/>
            <rFont val="Tahoma"/>
            <family val="2"/>
          </rPr>
          <t xml:space="preserve">
4q13: ~31%
1q14: ~29%
2q14: ~23%
3q14: same</t>
        </r>
      </text>
    </comment>
    <comment ref="BQ63" authorId="4" shapeId="0" xr:uid="{00000000-0006-0000-0600-000067000000}">
      <text>
        <r>
          <rPr>
            <b/>
            <sz val="9"/>
            <color indexed="81"/>
            <rFont val="Tahoma"/>
            <family val="2"/>
          </rPr>
          <t>kwondo:</t>
        </r>
        <r>
          <rPr>
            <sz val="9"/>
            <color indexed="81"/>
            <rFont val="Tahoma"/>
            <family val="2"/>
          </rPr>
          <t xml:space="preserve">
4q14: ~30.5%
1q15: same
2q15: ~29.0%
3q15: same</t>
        </r>
      </text>
    </comment>
    <comment ref="BV63" authorId="5" shapeId="0" xr:uid="{00000000-0006-0000-0600-000068000000}">
      <text>
        <r>
          <rPr>
            <b/>
            <sz val="9"/>
            <color indexed="81"/>
            <rFont val="Tahoma"/>
            <family val="2"/>
          </rPr>
          <t>Parsons, Gavin [GIR]:</t>
        </r>
        <r>
          <rPr>
            <sz val="9"/>
            <color indexed="81"/>
            <rFont val="Tahoma"/>
            <family val="2"/>
          </rPr>
          <t xml:space="preserve">
4q15: 30.0%
1q16: same
2q16: 23.0%
3q16: 14.0%</t>
        </r>
      </text>
    </comment>
    <comment ref="CA63" authorId="5" shapeId="0" xr:uid="{00000000-0006-0000-0600-000069000000}">
      <text>
        <r>
          <rPr>
            <b/>
            <sz val="9"/>
            <color indexed="81"/>
            <rFont val="Tahoma"/>
            <family val="2"/>
          </rPr>
          <t>Parsons, Gavin [GIR]:</t>
        </r>
        <r>
          <rPr>
            <sz val="9"/>
            <color indexed="81"/>
            <rFont val="Tahoma"/>
            <family val="2"/>
          </rPr>
          <t xml:space="preserve">
3q16: 31%-32%
4q16: 32.0%
1q17: 31.0%
2q17: 29.0%
3q17: 28.5%</t>
        </r>
      </text>
    </comment>
    <comment ref="CF63" authorId="6" shapeId="0" xr:uid="{00000000-0006-0000-0600-00006A000000}">
      <text>
        <r>
          <rPr>
            <b/>
            <sz val="9"/>
            <color indexed="81"/>
            <rFont val="Tahoma"/>
            <family val="2"/>
          </rPr>
          <t>Porat, Matthew [GIR]:</t>
        </r>
        <r>
          <rPr>
            <sz val="9"/>
            <color indexed="81"/>
            <rFont val="Tahoma"/>
            <family val="2"/>
          </rPr>
          <t xml:space="preserve">
4q17: ~16.0%
1q18: same
2q18: same
3q18: ~9.5%</t>
        </r>
      </text>
    </comment>
    <comment ref="CK63" authorId="6" shapeId="0" xr:uid="{00000000-0006-0000-0600-00006B000000}">
      <text>
        <r>
          <rPr>
            <b/>
            <sz val="9"/>
            <color indexed="81"/>
            <rFont val="Tahoma"/>
            <family val="2"/>
          </rPr>
          <t>Porat, Matthew [GIR]:</t>
        </r>
        <r>
          <rPr>
            <sz val="9"/>
            <color indexed="81"/>
            <rFont val="Tahoma"/>
            <family val="2"/>
          </rPr>
          <t xml:space="preserve">
4q18: ~16%</t>
        </r>
      </text>
    </comment>
    <comment ref="CA67" authorId="5" shapeId="0" xr:uid="{00000000-0006-0000-0600-00006C000000}">
      <text>
        <r>
          <rPr>
            <b/>
            <sz val="9"/>
            <color indexed="81"/>
            <rFont val="Tahoma"/>
            <family val="2"/>
          </rPr>
          <t>Parsons, Gavin [GIR]:</t>
        </r>
        <r>
          <rPr>
            <sz val="9"/>
            <color indexed="81"/>
            <rFont val="Tahoma"/>
            <family val="2"/>
          </rPr>
          <t xml:space="preserve">
sep 16: flattish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poponn</author>
    <author>Dessert, Connor H [GIR]</author>
    <author>wachun</author>
    <author>sammun</author>
    <author>krissa</author>
    <author>gsa</author>
    <author>Parsons, Gavin [GIR]</author>
  </authors>
  <commentList>
    <comment ref="AM7" authorId="0" shapeId="0" xr:uid="{00000000-0006-0000-0700-000001000000}">
      <text>
        <r>
          <rPr>
            <b/>
            <sz val="8"/>
            <color indexed="81"/>
            <rFont val="Tahoma"/>
            <family val="2"/>
          </rPr>
          <t>poponn:</t>
        </r>
        <r>
          <rPr>
            <sz val="8"/>
            <color indexed="81"/>
            <rFont val="Tahoma"/>
            <family val="2"/>
          </rPr>
          <t xml:space="preserve">
4q08: stable to higher</t>
        </r>
      </text>
    </comment>
    <comment ref="DI7" authorId="1" shapeId="0" xr:uid="{73FAB721-B362-4981-A66D-A4F8C0309F8B}">
      <text>
        <r>
          <rPr>
            <b/>
            <sz val="9"/>
            <color indexed="81"/>
            <rFont val="Tahoma"/>
            <family val="2"/>
          </rPr>
          <t>Dessert, Connor H [GIR]:</t>
        </r>
        <r>
          <rPr>
            <sz val="9"/>
            <color indexed="81"/>
            <rFont val="Tahoma"/>
            <family val="2"/>
          </rPr>
          <t xml:space="preserve">
4q24 pre-ann: 26,300</t>
        </r>
      </text>
    </comment>
    <comment ref="DN7" authorId="1" shapeId="0" xr:uid="{FFFB0986-3D2D-4DC3-AA40-5B79A9B1B4D5}">
      <text>
        <r>
          <rPr>
            <b/>
            <sz val="9"/>
            <color indexed="81"/>
            <rFont val="Tahoma"/>
            <family val="2"/>
          </rPr>
          <t>Dessert, Connor H [GIR]:</t>
        </r>
        <r>
          <rPr>
            <sz val="9"/>
            <color indexed="81"/>
            <rFont val="Tahoma"/>
            <family val="2"/>
          </rPr>
          <t xml:space="preserve">
3q25: c + ce balance 28ish post jepp divest</t>
        </r>
      </text>
    </comment>
    <comment ref="AO13" authorId="2" shapeId="0" xr:uid="{00000000-0006-0000-0700-000002000000}">
      <text>
        <r>
          <rPr>
            <b/>
            <sz val="8"/>
            <color indexed="81"/>
            <rFont val="Tahoma"/>
            <family val="2"/>
          </rPr>
          <t>wachun:</t>
        </r>
        <r>
          <rPr>
            <sz val="8"/>
            <color indexed="81"/>
            <rFont val="Tahoma"/>
            <family val="2"/>
          </rPr>
          <t xml:space="preserve">
1q10: inventories will increase at over 1.1bn rate</t>
        </r>
      </text>
    </comment>
    <comment ref="AP13" authorId="2" shapeId="0" xr:uid="{00000000-0006-0000-0700-000003000000}">
      <text>
        <r>
          <rPr>
            <b/>
            <sz val="8"/>
            <color indexed="81"/>
            <rFont val="Tahoma"/>
            <family val="2"/>
          </rPr>
          <t>wachun:</t>
        </r>
        <r>
          <rPr>
            <sz val="8"/>
            <color indexed="81"/>
            <rFont val="Tahoma"/>
            <family val="2"/>
          </rPr>
          <t xml:space="preserve">
1q10: inventories will increase at over 1.1bn rate</t>
        </r>
      </text>
    </comment>
    <comment ref="AQ13" authorId="2" shapeId="0" xr:uid="{00000000-0006-0000-0700-000004000000}">
      <text>
        <r>
          <rPr>
            <b/>
            <sz val="8"/>
            <color indexed="81"/>
            <rFont val="Tahoma"/>
            <family val="2"/>
          </rPr>
          <t>wachun:</t>
        </r>
        <r>
          <rPr>
            <sz val="8"/>
            <color indexed="81"/>
            <rFont val="Tahoma"/>
            <family val="2"/>
          </rPr>
          <t xml:space="preserve">
1q10: inventories will increase at over 1.1bn rate</t>
        </r>
      </text>
    </comment>
    <comment ref="AU13" authorId="3" shapeId="0" xr:uid="{00000000-0006-0000-0700-000005000000}">
      <text>
        <r>
          <rPr>
            <b/>
            <sz val="8"/>
            <color indexed="81"/>
            <rFont val="Tahoma"/>
            <family val="2"/>
          </rPr>
          <t>sammun:</t>
        </r>
        <r>
          <rPr>
            <sz val="8"/>
            <color indexed="81"/>
            <rFont val="Tahoma"/>
            <family val="2"/>
          </rPr>
          <t xml:space="preserve">
3q11: gross inventory includes $18bn related to work-in-progress on the 787, including $9.7bn in deferred production costs on 40units in process. </t>
        </r>
      </text>
    </comment>
    <comment ref="AW13" authorId="2" shapeId="0" xr:uid="{00000000-0006-0000-0700-000006000000}">
      <text>
        <r>
          <rPr>
            <b/>
            <sz val="8"/>
            <color indexed="81"/>
            <rFont val="Tahoma"/>
            <family val="2"/>
          </rPr>
          <t>wachun:</t>
        </r>
        <r>
          <rPr>
            <sz val="8"/>
            <color indexed="81"/>
            <rFont val="Tahoma"/>
            <family val="2"/>
          </rPr>
          <t xml:space="preserve">
3q10: should increase</t>
        </r>
      </text>
    </comment>
    <comment ref="AI27" authorId="4" shapeId="0" xr:uid="{00000000-0006-0000-0700-000007000000}">
      <text>
        <r>
          <rPr>
            <b/>
            <sz val="8"/>
            <color indexed="81"/>
            <rFont val="Tahoma"/>
            <family val="2"/>
          </rPr>
          <t>krissa:</t>
        </r>
        <r>
          <rPr>
            <sz val="8"/>
            <color indexed="81"/>
            <rFont val="Tahoma"/>
            <family val="2"/>
          </rPr>
          <t xml:space="preserve">
includes non controlling interests</t>
        </r>
      </text>
    </comment>
    <comment ref="DO60" authorId="1" shapeId="0" xr:uid="{5E010109-484E-4505-BB45-75FB13A4A0DD}">
      <text>
        <r>
          <rPr>
            <b/>
            <sz val="9"/>
            <color indexed="81"/>
            <rFont val="Tahoma"/>
            <family val="2"/>
          </rPr>
          <t>Dessert, Connor H [GIR]:</t>
        </r>
        <r>
          <rPr>
            <sz val="9"/>
            <color indexed="81"/>
            <rFont val="Tahoma"/>
            <family val="2"/>
          </rPr>
          <t xml:space="preserve">
Dec 2025 UBS conf: $29bn</t>
        </r>
      </text>
    </comment>
    <comment ref="B69" authorId="5" shapeId="0" xr:uid="{00000000-0006-0000-0700-000008000000}">
      <text>
        <r>
          <rPr>
            <b/>
            <sz val="8"/>
            <color indexed="81"/>
            <rFont val="Tahoma"/>
            <family val="2"/>
          </rPr>
          <t>wachun:</t>
        </r>
        <r>
          <rPr>
            <sz val="8"/>
            <color indexed="81"/>
            <rFont val="Tahoma"/>
            <family val="2"/>
          </rPr>
          <t xml:space="preserve">
Treats pension as debt</t>
        </r>
      </text>
    </comment>
    <comment ref="AJ77" authorId="6" shapeId="0" xr:uid="{00000000-0006-0000-0700-000009000000}">
      <text>
        <r>
          <rPr>
            <b/>
            <sz val="9"/>
            <color indexed="81"/>
            <rFont val="Tahoma"/>
            <family val="2"/>
          </rPr>
          <t>Parsons, Gavin [GIR]:</t>
        </r>
        <r>
          <rPr>
            <sz val="9"/>
            <color indexed="81"/>
            <rFont val="Tahoma"/>
            <family val="2"/>
          </rPr>
          <t xml:space="preserve">
before this included accrued liabilities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sihars</author>
    <author>Dessert, Connor H [GIR]</author>
    <author>Parsons, Gavin [GIR]</author>
    <author>poponn</author>
    <author>wachun</author>
    <author>khalom</author>
    <author>gneeti</author>
    <author>gsa</author>
    <author>sammun</author>
    <author>kwondo</author>
    <author>Porat, Matthew [GIR]</author>
    <author>Ortmayer, Will [GIR]</author>
    <author>Valentini, Anthony [GIR]</author>
    <author>Russo, Tomas [GIR]</author>
    <author>Blake, BEN [GIR]</author>
  </authors>
  <commentList>
    <comment ref="X7" authorId="0" shapeId="0" xr:uid="{00000000-0006-0000-0800-000001000000}">
      <text>
        <r>
          <rPr>
            <b/>
            <sz val="8"/>
            <color indexed="81"/>
            <rFont val="Tahoma"/>
            <family val="2"/>
          </rPr>
          <t>users:</t>
        </r>
        <r>
          <rPr>
            <sz val="8"/>
            <color indexed="81"/>
            <rFont val="Tahoma"/>
            <family val="2"/>
          </rPr>
          <t xml:space="preserve">
Difference of $9m from 10-K due to non-inclusion of the same amount in IS (Gain on disposal of discontinued operations)</t>
        </r>
      </text>
    </comment>
    <comment ref="DH18" authorId="1" shapeId="0" xr:uid="{09D6BAEE-3DD6-483B-8CDD-21A6D6817171}">
      <text>
        <r>
          <rPr>
            <b/>
            <sz val="9"/>
            <color indexed="81"/>
            <rFont val="Tahoma"/>
            <family val="2"/>
          </rPr>
          <t>Dessert, Connor H [GIR]:</t>
        </r>
        <r>
          <rPr>
            <sz val="9"/>
            <color indexed="81"/>
            <rFont val="Tahoma"/>
            <family val="2"/>
          </rPr>
          <t xml:space="preserve">
2q24: similar WC drag as 2Q</t>
        </r>
      </text>
    </comment>
    <comment ref="DI18" authorId="1" shapeId="0" xr:uid="{4E9A0FD5-ADC2-4FDE-8CA8-38CFBED86D47}">
      <text>
        <r>
          <rPr>
            <b/>
            <sz val="9"/>
            <color indexed="81"/>
            <rFont val="Tahoma"/>
            <family val="2"/>
          </rPr>
          <t>Dessert, Connor H [GIR]:</t>
        </r>
        <r>
          <rPr>
            <sz val="9"/>
            <color indexed="81"/>
            <rFont val="Tahoma"/>
            <family val="2"/>
          </rPr>
          <t xml:space="preserve">
2q24: WC improvement</t>
        </r>
      </text>
    </comment>
    <comment ref="BV25" authorId="2" shapeId="0" xr:uid="{00000000-0006-0000-0800-000002000000}">
      <text>
        <r>
          <rPr>
            <b/>
            <sz val="9"/>
            <color indexed="81"/>
            <rFont val="Tahoma"/>
            <family val="2"/>
          </rPr>
          <t>Parsons, Gavin [GIR]:</t>
        </r>
        <r>
          <rPr>
            <sz val="9"/>
            <color indexed="81"/>
            <rFont val="Tahoma"/>
            <family val="2"/>
          </rPr>
          <t xml:space="preserve">
4q15: higher cash tax payments</t>
        </r>
      </text>
    </comment>
    <comment ref="AR27" authorId="3" shapeId="0" xr:uid="{00000000-0006-0000-0800-000003000000}">
      <text>
        <r>
          <rPr>
            <b/>
            <sz val="8"/>
            <color indexed="81"/>
            <rFont val="Tahoma"/>
            <family val="2"/>
          </rPr>
          <t>poponn:</t>
        </r>
        <r>
          <rPr>
            <sz val="8"/>
            <color indexed="81"/>
            <rFont val="Tahoma"/>
            <family val="2"/>
          </rPr>
          <t xml:space="preserve">
3q10: assumed 500mn of pension prefund
4q09:  &lt; 100mn
1q10: same
2q10: same</t>
        </r>
      </text>
    </comment>
    <comment ref="AW27" authorId="4" shapeId="0" xr:uid="{00000000-0006-0000-0800-000004000000}">
      <text>
        <r>
          <rPr>
            <b/>
            <sz val="8"/>
            <color indexed="81"/>
            <rFont val="Tahoma"/>
            <family val="2"/>
          </rPr>
          <t>wachun:</t>
        </r>
        <r>
          <rPr>
            <sz val="8"/>
            <color indexed="81"/>
            <rFont val="Tahoma"/>
            <family val="2"/>
          </rPr>
          <t xml:space="preserve">
4q09: minimal funding
3q10: $500mn
4q10: same</t>
        </r>
      </text>
    </comment>
    <comment ref="BG27" authorId="5" shapeId="0" xr:uid="{00000000-0006-0000-0800-000005000000}">
      <text>
        <r>
          <rPr>
            <b/>
            <sz val="8"/>
            <color indexed="81"/>
            <rFont val="Tahoma"/>
            <family val="2"/>
          </rPr>
          <t>khalom:</t>
        </r>
        <r>
          <rPr>
            <sz val="8"/>
            <color indexed="81"/>
            <rFont val="Tahoma"/>
            <family val="2"/>
          </rPr>
          <t xml:space="preserve">
1q13: 1500 discretionary pension contribution
2q13: same
3q13: same</t>
        </r>
      </text>
    </comment>
    <comment ref="BL27" authorId="6" shapeId="0" xr:uid="{00000000-0006-0000-0800-000006000000}">
      <text>
        <r>
          <rPr>
            <b/>
            <sz val="8"/>
            <color indexed="81"/>
            <rFont val="Tahoma"/>
            <family val="2"/>
          </rPr>
          <t>gneeti:</t>
        </r>
        <r>
          <rPr>
            <sz val="8"/>
            <color indexed="81"/>
            <rFont val="Tahoma"/>
            <family val="2"/>
          </rPr>
          <t xml:space="preserve">
4q13: 750 discretionary pension contribution
1q14: same
2q14: same</t>
        </r>
      </text>
    </comment>
    <comment ref="CA29" authorId="2" shapeId="0" xr:uid="{00000000-0006-0000-0800-000007000000}">
      <text>
        <r>
          <rPr>
            <b/>
            <sz val="9"/>
            <color indexed="81"/>
            <rFont val="Tahoma"/>
            <family val="2"/>
          </rPr>
          <t>Parsons, Gavin [GIR]:</t>
        </r>
        <r>
          <rPr>
            <sz val="9"/>
            <color indexed="81"/>
            <rFont val="Tahoma"/>
            <family val="2"/>
          </rPr>
          <t xml:space="preserve">
4q16: (500)
2q17: (4000)</t>
        </r>
      </text>
    </comment>
    <comment ref="N32" authorId="3" shapeId="0" xr:uid="{00000000-0006-0000-0800-000008000000}">
      <text>
        <r>
          <rPr>
            <b/>
            <sz val="8"/>
            <color indexed="81"/>
            <rFont val="Tahoma"/>
            <family val="2"/>
          </rPr>
          <t>poponn:</t>
        </r>
        <r>
          <rPr>
            <sz val="8"/>
            <color indexed="81"/>
            <rFont val="Tahoma"/>
            <family val="2"/>
          </rPr>
          <t xml:space="preserve">
1q08: &gt;6,000
2q08: same
3q08: &gt;2,500
2q09: same
3q09: same</t>
        </r>
      </text>
    </comment>
    <comment ref="X32" authorId="3" shapeId="0" xr:uid="{00000000-0006-0000-0800-000009000000}">
      <text>
        <r>
          <rPr>
            <b/>
            <sz val="8"/>
            <color indexed="81"/>
            <rFont val="Tahoma"/>
            <family val="2"/>
          </rPr>
          <t>poponn:</t>
        </r>
        <r>
          <rPr>
            <sz val="8"/>
            <color indexed="81"/>
            <rFont val="Tahoma"/>
            <family val="2"/>
          </rPr>
          <t xml:space="preserve">
1q06: &gt;5,500
2q06: same
3q06: same</t>
        </r>
      </text>
    </comment>
    <comment ref="AC32" authorId="3" shapeId="0" xr:uid="{00000000-0006-0000-0800-00000A000000}">
      <text>
        <r>
          <rPr>
            <b/>
            <sz val="8"/>
            <color indexed="81"/>
            <rFont val="Tahoma"/>
            <family val="2"/>
          </rPr>
          <t>poponn:</t>
        </r>
        <r>
          <rPr>
            <sz val="8"/>
            <color indexed="81"/>
            <rFont val="Tahoma"/>
            <family val="2"/>
          </rPr>
          <t xml:space="preserve">
1q06: &gt;5,500
2q06: same
3q06: same
4q06: &gt;4,000
1q07: same
2q07: &gt; 6,000
3q07: &gt; 9,000</t>
        </r>
      </text>
    </comment>
    <comment ref="AH32" authorId="3" shapeId="0" xr:uid="{00000000-0006-0000-0800-00000B000000}">
      <text>
        <r>
          <rPr>
            <b/>
            <sz val="8"/>
            <color indexed="81"/>
            <rFont val="Tahoma"/>
            <family val="2"/>
          </rPr>
          <t>poponn:</t>
        </r>
        <r>
          <rPr>
            <sz val="8"/>
            <color indexed="81"/>
            <rFont val="Tahoma"/>
            <family val="2"/>
          </rPr>
          <t xml:space="preserve">
4q06: &gt;7
1q07: same
2q07: same
3q07: &gt; 3
4q07: &gt; 2.5
1q08: same
2q08: same</t>
        </r>
      </text>
    </comment>
    <comment ref="AI32" authorId="3" shapeId="0" xr:uid="{00000000-0006-0000-0800-00000C000000}">
      <text>
        <r>
          <rPr>
            <b/>
            <sz val="8"/>
            <color indexed="81"/>
            <rFont val="Tahoma"/>
            <family val="2"/>
          </rPr>
          <t>poponn:</t>
        </r>
        <r>
          <rPr>
            <sz val="8"/>
            <color indexed="81"/>
            <rFont val="Tahoma"/>
            <family val="2"/>
          </rPr>
          <t xml:space="preserve">
4q08: weakest qtr</t>
        </r>
      </text>
    </comment>
    <comment ref="AM32" authorId="3" shapeId="0" xr:uid="{00000000-0006-0000-0800-00000D000000}">
      <text>
        <r>
          <rPr>
            <b/>
            <sz val="8"/>
            <color indexed="81"/>
            <rFont val="Tahoma"/>
            <family val="2"/>
          </rPr>
          <t>poponn:</t>
        </r>
        <r>
          <rPr>
            <sz val="8"/>
            <color indexed="81"/>
            <rFont val="Tahoma"/>
            <family val="2"/>
          </rPr>
          <t xml:space="preserve">
1q08: &gt;6
2q08: same
3q08: &gt;2.5
2q09: same
3q09: same</t>
        </r>
      </text>
    </comment>
    <comment ref="AN32" authorId="4" shapeId="0" xr:uid="{00000000-0006-0000-0800-00000E000000}">
      <text>
        <r>
          <rPr>
            <b/>
            <sz val="8"/>
            <color indexed="81"/>
            <rFont val="Tahoma"/>
            <family val="2"/>
          </rPr>
          <t>wachun:</t>
        </r>
        <r>
          <rPr>
            <sz val="8"/>
            <color indexed="81"/>
            <rFont val="Tahoma"/>
            <family val="2"/>
          </rPr>
          <t xml:space="preserve">
4q09: lowest in 2010</t>
        </r>
      </text>
    </comment>
    <comment ref="AR32" authorId="7" shapeId="0" xr:uid="{00000000-0006-0000-0800-00000F000000}">
      <text>
        <r>
          <rPr>
            <b/>
            <sz val="8"/>
            <color indexed="81"/>
            <rFont val="Tahoma"/>
            <family val="2"/>
          </rPr>
          <t>wachun:</t>
        </r>
        <r>
          <rPr>
            <sz val="8"/>
            <color indexed="81"/>
            <rFont val="Tahoma"/>
            <family val="2"/>
          </rPr>
          <t xml:space="preserve">
Dec 09 conf: flat operating cash flow
4q09: 0
1q10: same
2q10: same
3q10: &gt;1.5</t>
        </r>
      </text>
    </comment>
    <comment ref="AS32" authorId="4" shapeId="0" xr:uid="{00000000-0006-0000-0800-000010000000}">
      <text>
        <r>
          <rPr>
            <b/>
            <sz val="8"/>
            <color indexed="81"/>
            <rFont val="Tahoma"/>
            <family val="2"/>
          </rPr>
          <t>wachun:</t>
        </r>
        <r>
          <rPr>
            <sz val="8"/>
            <color indexed="81"/>
            <rFont val="Tahoma"/>
            <family val="2"/>
          </rPr>
          <t xml:space="preserve">
4q10: negative
4q10: lowest</t>
        </r>
      </text>
    </comment>
    <comment ref="AT32" authorId="4" shapeId="0" xr:uid="{00000000-0006-0000-0800-000011000000}">
      <text>
        <r>
          <rPr>
            <b/>
            <sz val="8"/>
            <color indexed="81"/>
            <rFont val="Tahoma"/>
            <family val="2"/>
          </rPr>
          <t>wachun:</t>
        </r>
        <r>
          <rPr>
            <sz val="8"/>
            <color indexed="81"/>
            <rFont val="Tahoma"/>
            <family val="2"/>
          </rPr>
          <t xml:space="preserve">
1q11: cash flow improve through yr</t>
        </r>
      </text>
    </comment>
    <comment ref="AU32" authorId="4" shapeId="0" xr:uid="{00000000-0006-0000-0800-000012000000}">
      <text>
        <r>
          <rPr>
            <b/>
            <sz val="8"/>
            <color indexed="81"/>
            <rFont val="Tahoma"/>
            <family val="2"/>
          </rPr>
          <t>wachun:</t>
        </r>
        <r>
          <rPr>
            <sz val="8"/>
            <color indexed="81"/>
            <rFont val="Tahoma"/>
            <family val="2"/>
          </rPr>
          <t xml:space="preserve">
1q11: cash flow improve through yr</t>
        </r>
      </text>
    </comment>
    <comment ref="AV32" authorId="4" shapeId="0" xr:uid="{00000000-0006-0000-0800-000013000000}">
      <text>
        <r>
          <rPr>
            <b/>
            <sz val="8"/>
            <color indexed="81"/>
            <rFont val="Tahoma"/>
            <family val="2"/>
          </rPr>
          <t>wachun:</t>
        </r>
        <r>
          <rPr>
            <sz val="8"/>
            <color indexed="81"/>
            <rFont val="Tahoma"/>
            <family val="2"/>
          </rPr>
          <t xml:space="preserve">
1q11: cash flow improve through yr</t>
        </r>
      </text>
    </comment>
    <comment ref="AW32" authorId="4" shapeId="0" xr:uid="{00000000-0006-0000-0800-000014000000}">
      <text>
        <r>
          <rPr>
            <b/>
            <sz val="8"/>
            <color indexed="81"/>
            <rFont val="Tahoma"/>
            <family val="2"/>
          </rPr>
          <t>wachun:</t>
        </r>
        <r>
          <rPr>
            <sz val="8"/>
            <color indexed="81"/>
            <rFont val="Tahoma"/>
            <family val="2"/>
          </rPr>
          <t xml:space="preserve">
4q09: &gt;5
1q10: same
2q10: same
3q10: &gt;4
4q10: &gt;2.5
1q11: same
3q11: same</t>
        </r>
      </text>
    </comment>
    <comment ref="BB32" authorId="6" shapeId="0" xr:uid="{00000000-0006-0000-0800-000015000000}">
      <text>
        <r>
          <rPr>
            <b/>
            <sz val="8"/>
            <color indexed="81"/>
            <rFont val="Tahoma"/>
            <family val="2"/>
          </rPr>
          <t>gneeti:</t>
        </r>
        <r>
          <rPr>
            <sz val="8"/>
            <color indexed="81"/>
            <rFont val="Tahoma"/>
            <family val="2"/>
          </rPr>
          <t xml:space="preserve">
4q11: &gt;5.0
1q12: same
2q12: same
3q12: &gt;5.5</t>
        </r>
      </text>
    </comment>
    <comment ref="BG32" authorId="8" shapeId="0" xr:uid="{00000000-0006-0000-0800-000016000000}">
      <text>
        <r>
          <rPr>
            <b/>
            <sz val="8"/>
            <color indexed="81"/>
            <rFont val="Tahoma"/>
            <family val="2"/>
          </rPr>
          <t>sammun:</t>
        </r>
        <r>
          <rPr>
            <sz val="8"/>
            <color indexed="81"/>
            <rFont val="Tahoma"/>
            <family val="2"/>
          </rPr>
          <t xml:space="preserve">
4q12: &gt;6.5
1q13: same
2q13: same
3q13: &gt;7</t>
        </r>
      </text>
    </comment>
    <comment ref="BL32" authorId="6" shapeId="0" xr:uid="{00000000-0006-0000-0800-000017000000}">
      <text>
        <r>
          <rPr>
            <b/>
            <sz val="8"/>
            <color indexed="81"/>
            <rFont val="Tahoma"/>
            <family val="2"/>
          </rPr>
          <t>gneeti:</t>
        </r>
        <r>
          <rPr>
            <sz val="8"/>
            <color indexed="81"/>
            <rFont val="Tahoma"/>
            <family val="2"/>
          </rPr>
          <t xml:space="preserve">
4q13: 6.25
1q14: same
2q14: same
3q14: &gt;6.25</t>
        </r>
      </text>
    </comment>
    <comment ref="BQ32" authorId="9" shapeId="0" xr:uid="{00000000-0006-0000-0800-000018000000}">
      <text>
        <r>
          <rPr>
            <b/>
            <sz val="9"/>
            <color indexed="81"/>
            <rFont val="Tahoma"/>
            <family val="2"/>
          </rPr>
          <t>kwondo:</t>
        </r>
        <r>
          <rPr>
            <sz val="9"/>
            <color indexed="81"/>
            <rFont val="Tahoma"/>
            <family val="2"/>
          </rPr>
          <t xml:space="preserve">
4q14: &gt;$9.0
1q15: same
2q15: same
3q15: ~$9.5</t>
        </r>
      </text>
    </comment>
    <comment ref="BR32" authorId="2" shapeId="0" xr:uid="{00000000-0006-0000-0800-000019000000}">
      <text>
        <r>
          <rPr>
            <b/>
            <sz val="9"/>
            <color indexed="81"/>
            <rFont val="Tahoma"/>
            <family val="2"/>
          </rPr>
          <t>Parsons, Gavin [GIR]:</t>
        </r>
        <r>
          <rPr>
            <sz val="9"/>
            <color indexed="81"/>
            <rFont val="Tahoma"/>
            <family val="2"/>
          </rPr>
          <t xml:space="preserve">
4q15: near breakeven</t>
        </r>
      </text>
    </comment>
    <comment ref="BV32" authorId="2" shapeId="0" xr:uid="{00000000-0006-0000-0800-00001A000000}">
      <text>
        <r>
          <rPr>
            <b/>
            <sz val="9"/>
            <color indexed="81"/>
            <rFont val="Tahoma"/>
            <family val="2"/>
          </rPr>
          <t>Parsons, Gavin [GIR]:</t>
        </r>
        <r>
          <rPr>
            <sz val="9"/>
            <color indexed="81"/>
            <rFont val="Tahoma"/>
            <family val="2"/>
          </rPr>
          <t xml:space="preserve">
4q15: 10.0
1q16: same (2H weighted)
2q16: same
3q16: same</t>
        </r>
      </text>
    </comment>
    <comment ref="BW32" authorId="2" shapeId="0" xr:uid="{00000000-0006-0000-0800-00001B000000}">
      <text>
        <r>
          <rPr>
            <b/>
            <sz val="9"/>
            <color indexed="81"/>
            <rFont val="Tahoma"/>
            <family val="2"/>
          </rPr>
          <t>Parsons, Gavin [GIR]:</t>
        </r>
        <r>
          <rPr>
            <sz val="9"/>
            <color indexed="81"/>
            <rFont val="Tahoma"/>
            <family val="2"/>
          </rPr>
          <t xml:space="preserve">
4q16: near breakeven</t>
        </r>
      </text>
    </comment>
    <comment ref="CA32" authorId="2" shapeId="0" xr:uid="{00000000-0006-0000-0800-00001C000000}">
      <text>
        <r>
          <rPr>
            <b/>
            <sz val="9"/>
            <color indexed="81"/>
            <rFont val="Tahoma"/>
            <family val="2"/>
          </rPr>
          <t>Parsons, Gavin [GIR]:</t>
        </r>
        <r>
          <rPr>
            <sz val="9"/>
            <color indexed="81"/>
            <rFont val="Tahoma"/>
            <family val="2"/>
          </rPr>
          <t xml:space="preserve">
3q16: up yoy
4q16: 10.75
1q17: same
2q17: 12.25
3q17: 12.5</t>
        </r>
      </text>
    </comment>
    <comment ref="CB32" authorId="10" shapeId="0" xr:uid="{00000000-0006-0000-0800-00001D000000}">
      <text>
        <r>
          <rPr>
            <b/>
            <sz val="9"/>
            <color indexed="81"/>
            <rFont val="Tahoma"/>
            <family val="2"/>
          </rPr>
          <t>Porat, Matthew [GIR]:</t>
        </r>
        <r>
          <rPr>
            <sz val="9"/>
            <color indexed="81"/>
            <rFont val="Tahoma"/>
            <family val="2"/>
          </rPr>
          <t xml:space="preserve">
4q17: ~10% of annual (1,500)</t>
        </r>
      </text>
    </comment>
    <comment ref="CF32" authorId="2" shapeId="0" xr:uid="{00000000-0006-0000-0800-00001E000000}">
      <text>
        <r>
          <rPr>
            <b/>
            <sz val="9"/>
            <color indexed="81"/>
            <rFont val="Tahoma"/>
            <family val="2"/>
          </rPr>
          <t>Parsons, Gavin [GIR]:</t>
        </r>
        <r>
          <rPr>
            <sz val="9"/>
            <color indexed="81"/>
            <rFont val="Tahoma"/>
            <family val="2"/>
          </rPr>
          <t xml:space="preserve">
3q16: up yoy
4q16: same
3q17: same
4q17: 15.0
1q18: 15.0-15.5
2q18: same
3q18: same</t>
        </r>
      </text>
    </comment>
    <comment ref="CG32" authorId="2" shapeId="0" xr:uid="{00000000-0006-0000-0800-00001F000000}">
      <text>
        <r>
          <rPr>
            <b/>
            <sz val="9"/>
            <color indexed="81"/>
            <rFont val="Tahoma"/>
            <family val="2"/>
          </rPr>
          <t>Parsons, Gavin [GIR]:</t>
        </r>
        <r>
          <rPr>
            <sz val="9"/>
            <color indexed="81"/>
            <rFont val="Tahoma"/>
            <family val="2"/>
          </rPr>
          <t xml:space="preserve">
4q18: 10-15% of annual</t>
        </r>
      </text>
    </comment>
    <comment ref="CK32" authorId="10" shapeId="0" xr:uid="{00000000-0006-0000-0800-000020000000}">
      <text>
        <r>
          <rPr>
            <b/>
            <sz val="9"/>
            <color indexed="81"/>
            <rFont val="Tahoma"/>
            <family val="2"/>
          </rPr>
          <t>Porat, Matthew [GIR]:</t>
        </r>
        <r>
          <rPr>
            <sz val="9"/>
            <color indexed="81"/>
            <rFont val="Tahoma"/>
            <family val="2"/>
          </rPr>
          <t xml:space="preserve">
4q18: 17.0-17.5
1q19: [pulled]</t>
        </r>
      </text>
    </comment>
    <comment ref="DE32" authorId="2" shapeId="0" xr:uid="{59CFA106-AC3E-4A8F-A648-037EAC5A68B5}">
      <text>
        <r>
          <rPr>
            <b/>
            <sz val="9"/>
            <color indexed="81"/>
            <rFont val="Tahoma"/>
            <family val="2"/>
          </rPr>
          <t>Parsons, Gavin [GIR]:</t>
        </r>
        <r>
          <rPr>
            <sz val="9"/>
            <color indexed="81"/>
            <rFont val="Tahoma"/>
            <family val="2"/>
          </rPr>
          <t xml:space="preserve">
nov 22: 4.5-6.5
4q22: same
1q23: same
2q23: same
3q23: same (BDS down, BGS/BCA up)</t>
        </r>
      </text>
    </comment>
    <comment ref="DI32" authorId="1" shapeId="0" xr:uid="{20AAB220-330C-4916-BC34-A18F246AEFC1}">
      <text>
        <r>
          <rPr>
            <b/>
            <sz val="9"/>
            <color indexed="81"/>
            <rFont val="Tahoma"/>
            <family val="2"/>
          </rPr>
          <t>Dessert, Connor H [GIR]:</t>
        </r>
        <r>
          <rPr>
            <sz val="9"/>
            <color indexed="81"/>
            <rFont val="Tahoma"/>
            <family val="2"/>
          </rPr>
          <t xml:space="preserve">
4q24 pre-ann: (3,500)</t>
        </r>
      </text>
    </comment>
    <comment ref="DK32" authorId="1" shapeId="0" xr:uid="{A95A8F6A-0394-4DE1-B4F8-34749B6E29AC}">
      <text>
        <r>
          <rPr>
            <b/>
            <sz val="9"/>
            <color indexed="81"/>
            <rFont val="Tahoma"/>
            <family val="2"/>
          </rPr>
          <t>Dessert, Connor H [GIR]:</t>
        </r>
        <r>
          <rPr>
            <sz val="9"/>
            <color indexed="81"/>
            <rFont val="Tahoma"/>
            <family val="2"/>
          </rPr>
          <t xml:space="preserve">
19 March 2025
BofA Conference:
Seeing less WC drag. FCF could be hundreds of millions better than prior outlook</t>
        </r>
      </text>
    </comment>
    <comment ref="DM32" authorId="1" shapeId="0" xr:uid="{30F8E4AD-8E7B-4E25-8FE2-F9CD4299CD6F}">
      <text>
        <r>
          <rPr>
            <b/>
            <sz val="9"/>
            <color indexed="81"/>
            <rFont val="Tahoma"/>
            <family val="2"/>
          </rPr>
          <t>Dessert, Connor H [GIR]:</t>
        </r>
        <r>
          <rPr>
            <sz val="9"/>
            <color indexed="81"/>
            <rFont val="Tahoma"/>
            <family val="2"/>
          </rPr>
          <t xml:space="preserve">
Initially assumed $700mn DOJ payment here. Looks like shifted to 4Q.</t>
        </r>
      </text>
    </comment>
    <comment ref="DN32" authorId="1" shapeId="0" xr:uid="{E81E56C8-7E35-4B04-8B74-158E9DF17B48}">
      <text>
        <r>
          <rPr>
            <b/>
            <sz val="9"/>
            <color indexed="81"/>
            <rFont val="Tahoma"/>
            <family val="2"/>
          </rPr>
          <t>Dessert, Connor H [GIR]:</t>
        </r>
        <r>
          <rPr>
            <sz val="9"/>
            <color indexed="81"/>
            <rFont val="Tahoma"/>
            <family val="2"/>
          </rPr>
          <t xml:space="preserve">
Assume $700mn DOJ payment.
Dec 2025 UBS conf: This moves into 2026</t>
        </r>
      </text>
    </comment>
    <comment ref="DO32" authorId="2" shapeId="0" xr:uid="{F5197762-45EC-44B9-A453-352514683B2E}">
      <text>
        <r>
          <rPr>
            <b/>
            <sz val="9"/>
            <color indexed="81"/>
            <rFont val="Tahoma"/>
            <family val="2"/>
          </rPr>
          <t>Parsons, Gavin [GIR]:</t>
        </r>
        <r>
          <rPr>
            <sz val="9"/>
            <color indexed="81"/>
            <rFont val="Tahoma"/>
            <family val="2"/>
          </rPr>
          <t xml:space="preserve">
nov 22: 12.0 in '25/26
4q22: same</t>
        </r>
      </text>
    </comment>
    <comment ref="DR32" authorId="1" shapeId="0" xr:uid="{45AE34C0-65E5-4E27-B88B-6D9537BBCD21}">
      <text>
        <r>
          <rPr>
            <b/>
            <sz val="9"/>
            <color indexed="81"/>
            <rFont val="Tahoma"/>
            <family val="2"/>
          </rPr>
          <t>Dessert, Connor H [GIR]:</t>
        </r>
        <r>
          <rPr>
            <sz val="9"/>
            <color indexed="81"/>
            <rFont val="Tahoma"/>
            <family val="2"/>
          </rPr>
          <t xml:space="preserve">
Assume$700mn DOJ payment</t>
        </r>
      </text>
    </comment>
    <comment ref="DT32" authorId="11" shapeId="0" xr:uid="{6D506252-5AFE-40FA-A852-09099E65804D}">
      <text>
        <r>
          <rPr>
            <b/>
            <sz val="9"/>
            <color indexed="81"/>
            <rFont val="Tahoma"/>
            <family val="2"/>
          </rPr>
          <t>Ortmayer, Will [GIR]:</t>
        </r>
        <r>
          <rPr>
            <sz val="9"/>
            <color indexed="81"/>
            <rFont val="Tahoma"/>
            <family val="2"/>
          </rPr>
          <t xml:space="preserve">
1q26: 5,000 - 7,000
2q26: same</t>
        </r>
      </text>
    </comment>
    <comment ref="N33" authorId="3" shapeId="0" xr:uid="{00000000-0006-0000-0800-000021000000}">
      <text>
        <r>
          <rPr>
            <b/>
            <sz val="8"/>
            <color indexed="81"/>
            <rFont val="Tahoma"/>
            <family val="2"/>
          </rPr>
          <t>poponn:</t>
        </r>
        <r>
          <rPr>
            <sz val="8"/>
            <color indexed="81"/>
            <rFont val="Tahoma"/>
            <family val="2"/>
          </rPr>
          <t xml:space="preserve">
1q08: (1,700)
2q08: same
4q08: (1,400)
3q09: -1,300</t>
        </r>
      </text>
    </comment>
    <comment ref="X33" authorId="3" shapeId="0" xr:uid="{00000000-0006-0000-0800-000022000000}">
      <text>
        <r>
          <rPr>
            <b/>
            <sz val="8"/>
            <color indexed="81"/>
            <rFont val="Tahoma"/>
            <family val="2"/>
          </rPr>
          <t>poponn:</t>
        </r>
        <r>
          <rPr>
            <sz val="8"/>
            <color indexed="81"/>
            <rFont val="Tahoma"/>
            <family val="2"/>
          </rPr>
          <t xml:space="preserve">
1q06: (1,600)
2q06: same
3q06: same</t>
        </r>
      </text>
    </comment>
    <comment ref="AC33" authorId="3" shapeId="0" xr:uid="{00000000-0006-0000-0800-000023000000}">
      <text>
        <r>
          <rPr>
            <b/>
            <sz val="8"/>
            <color indexed="81"/>
            <rFont val="Tahoma"/>
            <family val="2"/>
          </rPr>
          <t>poponn:</t>
        </r>
        <r>
          <rPr>
            <sz val="8"/>
            <color indexed="81"/>
            <rFont val="Tahoma"/>
            <family val="2"/>
          </rPr>
          <t xml:space="preserve">
1q06: (1,500)
2q06: same
3q06: same
4q06: (1,600)
1q07: same
2q07: same
3q07: (1,700)</t>
        </r>
      </text>
    </comment>
    <comment ref="AH33" authorId="3" shapeId="0" xr:uid="{00000000-0006-0000-0800-000024000000}">
      <text>
        <r>
          <rPr>
            <b/>
            <sz val="8"/>
            <color indexed="81"/>
            <rFont val="Tahoma"/>
            <family val="2"/>
          </rPr>
          <t>poponn:</t>
        </r>
        <r>
          <rPr>
            <sz val="8"/>
            <color indexed="81"/>
            <rFont val="Tahoma"/>
            <family val="2"/>
          </rPr>
          <t xml:space="preserve">
4q06: (1.6)
1q07: same
2q07: same
3q07: (1.8)
4q07: same
1q08: same
2q08: same</t>
        </r>
      </text>
    </comment>
    <comment ref="AM33" authorId="3" shapeId="0" xr:uid="{00000000-0006-0000-0800-000025000000}">
      <text>
        <r>
          <rPr>
            <b/>
            <sz val="8"/>
            <color indexed="81"/>
            <rFont val="Tahoma"/>
            <family val="2"/>
          </rPr>
          <t>poponn:</t>
        </r>
        <r>
          <rPr>
            <sz val="8"/>
            <color indexed="81"/>
            <rFont val="Tahoma"/>
            <family val="2"/>
          </rPr>
          <t xml:space="preserve">
1q08: (1.7)
2q08: same
4q08: (1.4)
3q09: (1.3)</t>
        </r>
      </text>
    </comment>
    <comment ref="AP33" authorId="4" shapeId="0" xr:uid="{00000000-0006-0000-0800-000026000000}">
      <text>
        <r>
          <rPr>
            <b/>
            <sz val="8"/>
            <color indexed="81"/>
            <rFont val="Tahoma"/>
            <family val="2"/>
          </rPr>
          <t>wachun:</t>
        </r>
        <r>
          <rPr>
            <sz val="8"/>
            <color indexed="81"/>
            <rFont val="Tahoma"/>
            <family val="2"/>
          </rPr>
          <t xml:space="preserve">
2q10: continue ramp for Charleston</t>
        </r>
      </text>
    </comment>
    <comment ref="AQ33" authorId="4" shapeId="0" xr:uid="{00000000-0006-0000-0800-000027000000}">
      <text>
        <r>
          <rPr>
            <b/>
            <sz val="8"/>
            <color indexed="81"/>
            <rFont val="Tahoma"/>
            <family val="2"/>
          </rPr>
          <t>wachun:</t>
        </r>
        <r>
          <rPr>
            <sz val="8"/>
            <color indexed="81"/>
            <rFont val="Tahoma"/>
            <family val="2"/>
          </rPr>
          <t xml:space="preserve">
2q10: continue ramp for Charleston</t>
        </r>
      </text>
    </comment>
    <comment ref="AR33" authorId="4" shapeId="0" xr:uid="{00000000-0006-0000-0800-000028000000}">
      <text>
        <r>
          <rPr>
            <b/>
            <sz val="8"/>
            <color indexed="81"/>
            <rFont val="Tahoma"/>
            <family val="2"/>
          </rPr>
          <t>wachun:</t>
        </r>
        <r>
          <rPr>
            <sz val="8"/>
            <color indexed="81"/>
            <rFont val="Tahoma"/>
            <family val="2"/>
          </rPr>
          <t xml:space="preserve">
4q09: (1.9)
1q10: same
2q10: (1.7)
3q10: (1.6)</t>
        </r>
      </text>
    </comment>
    <comment ref="AW33" authorId="4" shapeId="0" xr:uid="{00000000-0006-0000-0800-000029000000}">
      <text>
        <r>
          <rPr>
            <b/>
            <sz val="8"/>
            <color indexed="81"/>
            <rFont val="Tahoma"/>
            <family val="2"/>
          </rPr>
          <t>wachun:</t>
        </r>
        <r>
          <rPr>
            <sz val="8"/>
            <color indexed="81"/>
            <rFont val="Tahoma"/>
            <family val="2"/>
          </rPr>
          <t xml:space="preserve">
4q09: &lt; 2010
1q10: same
3q10: &gt; 2010 
4q10: 2.3
1q11: same
2q11: 2.0
3q11: ~1.7</t>
        </r>
      </text>
    </comment>
    <comment ref="BB33" authorId="6" shapeId="0" xr:uid="{00000000-0006-0000-0800-00002A000000}">
      <text>
        <r>
          <rPr>
            <b/>
            <sz val="8"/>
            <color indexed="81"/>
            <rFont val="Tahoma"/>
            <family val="2"/>
          </rPr>
          <t>gneeti:</t>
        </r>
        <r>
          <rPr>
            <sz val="8"/>
            <color indexed="81"/>
            <rFont val="Tahoma"/>
            <family val="2"/>
          </rPr>
          <t xml:space="preserve">
4q11: ~2.0
1q12: same</t>
        </r>
      </text>
    </comment>
    <comment ref="BG33" authorId="8" shapeId="0" xr:uid="{00000000-0006-0000-0800-00002B000000}">
      <text>
        <r>
          <rPr>
            <b/>
            <sz val="8"/>
            <color indexed="81"/>
            <rFont val="Tahoma"/>
            <family val="2"/>
          </rPr>
          <t>sammun:</t>
        </r>
        <r>
          <rPr>
            <sz val="8"/>
            <color indexed="81"/>
            <rFont val="Tahoma"/>
            <family val="2"/>
          </rPr>
          <t xml:space="preserve">
4q12: 2.3-2.5
1q13: same
2q13: 2.3
3q13: same</t>
        </r>
      </text>
    </comment>
    <comment ref="BL33" authorId="6" shapeId="0" xr:uid="{00000000-0006-0000-0800-00002C000000}">
      <text>
        <r>
          <rPr>
            <b/>
            <sz val="8"/>
            <color indexed="81"/>
            <rFont val="Tahoma"/>
            <family val="2"/>
          </rPr>
          <t>gneeti:</t>
        </r>
        <r>
          <rPr>
            <sz val="8"/>
            <color indexed="81"/>
            <rFont val="Tahoma"/>
            <family val="2"/>
          </rPr>
          <t xml:space="preserve">
4q13: ~2.5
1q14: same
2q14: same
3q14: ~2.3</t>
        </r>
      </text>
    </comment>
    <comment ref="BQ33" authorId="9" shapeId="0" xr:uid="{00000000-0006-0000-0800-00002D000000}">
      <text>
        <r>
          <rPr>
            <b/>
            <sz val="9"/>
            <color indexed="81"/>
            <rFont val="Tahoma"/>
            <family val="2"/>
          </rPr>
          <t>kwondo:</t>
        </r>
        <r>
          <rPr>
            <sz val="9"/>
            <color indexed="81"/>
            <rFont val="Tahoma"/>
            <family val="2"/>
          </rPr>
          <t xml:space="preserve">
4q14: 2.8
1q15: same
2q15: same
3q15: same</t>
        </r>
      </text>
    </comment>
    <comment ref="BV33" authorId="2" shapeId="0" xr:uid="{00000000-0006-0000-0800-00002E000000}">
      <text>
        <r>
          <rPr>
            <b/>
            <sz val="9"/>
            <color indexed="81"/>
            <rFont val="Tahoma"/>
            <family val="2"/>
          </rPr>
          <t>Parsons, Gavin [GIR]:</t>
        </r>
        <r>
          <rPr>
            <sz val="9"/>
            <color indexed="81"/>
            <rFont val="Tahoma"/>
            <family val="2"/>
          </rPr>
          <t xml:space="preserve">
3q15: up yoy
4q15: 2.8
1q16: same
2q16: same
3q16: same</t>
        </r>
      </text>
    </comment>
    <comment ref="CA33" authorId="2" shapeId="0" xr:uid="{00000000-0006-0000-0800-00002F000000}">
      <text>
        <r>
          <rPr>
            <b/>
            <sz val="9"/>
            <color indexed="81"/>
            <rFont val="Tahoma"/>
            <family val="2"/>
          </rPr>
          <t>Parsons, Gavin [GIR]:</t>
        </r>
        <r>
          <rPr>
            <sz val="9"/>
            <color indexed="81"/>
            <rFont val="Tahoma"/>
            <family val="2"/>
          </rPr>
          <t xml:space="preserve">
3q15: down yoy
4q15: same
sep 16: same
4q16: 2.3
1q17: same
2q17: 2.0
3q17: same</t>
        </r>
      </text>
    </comment>
    <comment ref="CF33" authorId="10" shapeId="0" xr:uid="{00000000-0006-0000-0800-000030000000}">
      <text>
        <r>
          <rPr>
            <b/>
            <sz val="9"/>
            <color indexed="81"/>
            <rFont val="Tahoma"/>
            <family val="2"/>
          </rPr>
          <t>Porat, Matthew [GIR]:</t>
        </r>
        <r>
          <rPr>
            <sz val="9"/>
            <color indexed="81"/>
            <rFont val="Tahoma"/>
            <family val="2"/>
          </rPr>
          <t xml:space="preserve">
4q17: 2.2
1q18: same
2q18: same
3q18: 2.0</t>
        </r>
      </text>
    </comment>
    <comment ref="CK33" authorId="10" shapeId="0" xr:uid="{00000000-0006-0000-0800-000031000000}">
      <text>
        <r>
          <rPr>
            <b/>
            <sz val="9"/>
            <color indexed="81"/>
            <rFont val="Tahoma"/>
            <family val="2"/>
          </rPr>
          <t>Porat, Matthew [GIR]:</t>
        </r>
        <r>
          <rPr>
            <sz val="9"/>
            <color indexed="81"/>
            <rFont val="Tahoma"/>
            <family val="2"/>
          </rPr>
          <t xml:space="preserve">
4q18: ~2.3</t>
        </r>
      </text>
    </comment>
    <comment ref="DE33" authorId="2" shapeId="0" xr:uid="{F6AD0275-3544-4C29-9CC5-41D6ED282CCE}">
      <text>
        <r>
          <rPr>
            <b/>
            <sz val="9"/>
            <color indexed="81"/>
            <rFont val="Tahoma"/>
            <family val="2"/>
          </rPr>
          <t>Parsons, Gavin [GIR]:</t>
        </r>
        <r>
          <rPr>
            <sz val="9"/>
            <color indexed="81"/>
            <rFont val="Tahoma"/>
            <family val="2"/>
          </rPr>
          <t xml:space="preserve">
nov 22: 1.5
4q22: same
1q23: same
2q23: same
3q23: same</t>
        </r>
      </text>
    </comment>
    <comment ref="DM33" authorId="1" shapeId="0" xr:uid="{BBCF4F70-C570-46EC-898F-62E69E77D0F3}">
      <text>
        <r>
          <rPr>
            <b/>
            <sz val="9"/>
            <color indexed="81"/>
            <rFont val="Tahoma"/>
            <family val="2"/>
          </rPr>
          <t>Dessert, Connor H [GIR]:</t>
        </r>
        <r>
          <rPr>
            <sz val="9"/>
            <color indexed="81"/>
            <rFont val="Tahoma"/>
            <family val="2"/>
          </rPr>
          <t xml:space="preserve">
2q25: few hundred million unfavorable timing shift from 2q to 3q, mainly capex</t>
        </r>
      </text>
    </comment>
    <comment ref="DO33" authorId="2" shapeId="0" xr:uid="{858DAE14-79B3-4AAB-9979-703DEBF3D9F3}">
      <text>
        <r>
          <rPr>
            <b/>
            <sz val="9"/>
            <color indexed="81"/>
            <rFont val="Tahoma"/>
            <family val="2"/>
          </rPr>
          <t>Parsons, Gavin [GIR]:</t>
        </r>
        <r>
          <rPr>
            <sz val="9"/>
            <color indexed="81"/>
            <rFont val="Tahoma"/>
            <family val="2"/>
          </rPr>
          <t xml:space="preserve">
nov 22: 2.0 in '25/26
4q22: same
4q24: +500mn over 2024
3q25: closer to 3bn for the year</t>
        </r>
      </text>
    </comment>
    <comment ref="DT33" authorId="1" shapeId="0" xr:uid="{19332C5A-9A18-4209-881B-86707CE3ED3A}">
      <text>
        <r>
          <rPr>
            <b/>
            <sz val="9"/>
            <color indexed="81"/>
            <rFont val="Tahoma"/>
            <family val="2"/>
          </rPr>
          <t>Dessert, Connor H [GIR]:</t>
        </r>
        <r>
          <rPr>
            <sz val="9"/>
            <color indexed="81"/>
            <rFont val="Tahoma"/>
            <family val="2"/>
          </rPr>
          <t xml:space="preserve">
3q25: higher capex associated with charleston 787 capacity increases and st louis
4q25: 4,000
1q26: same
2q26: same</t>
        </r>
      </text>
    </comment>
    <comment ref="DN35" authorId="1" shapeId="0" xr:uid="{75DC6899-FE64-4743-B352-005AA5CE072A}">
      <text>
        <r>
          <rPr>
            <b/>
            <sz val="9"/>
            <color indexed="81"/>
            <rFont val="Tahoma"/>
            <family val="2"/>
          </rPr>
          <t>Dessert, Connor H [GIR]:</t>
        </r>
        <r>
          <rPr>
            <sz val="9"/>
            <color indexed="81"/>
            <rFont val="Tahoma"/>
            <family val="2"/>
          </rPr>
          <t xml:space="preserve">
Jeppesen divestiture</t>
        </r>
      </text>
    </comment>
    <comment ref="AR38" authorId="3" shapeId="0" xr:uid="{00000000-0006-0000-0800-000032000000}">
      <text>
        <r>
          <rPr>
            <b/>
            <sz val="8"/>
            <color indexed="81"/>
            <rFont val="Tahoma"/>
            <family val="2"/>
          </rPr>
          <t>poponn:</t>
        </r>
        <r>
          <rPr>
            <sz val="8"/>
            <color indexed="81"/>
            <rFont val="Tahoma"/>
            <family val="2"/>
          </rPr>
          <t xml:space="preserve">
assumed other - penalties, etc</t>
        </r>
      </text>
    </comment>
    <comment ref="DG38" authorId="12" shapeId="0" xr:uid="{F7B1F2BB-4E41-415C-983D-4D4E53C7A52E}">
      <text>
        <r>
          <rPr>
            <b/>
            <sz val="9"/>
            <color indexed="81"/>
            <rFont val="Tahoma"/>
            <family val="2"/>
          </rPr>
          <t>Valentini, Anthony [GIR]:</t>
        </r>
        <r>
          <rPr>
            <sz val="9"/>
            <color indexed="81"/>
            <rFont val="Tahoma"/>
            <family val="2"/>
          </rPr>
          <t xml:space="preserve">
275mn 4/18
50mn 4/29
100mn 5/6
all to SPR
SPR returns cash:
36.6mn 6/12
89.5mn 8/14
134.3mn 9/18
14mn 10/16
</t>
        </r>
      </text>
    </comment>
    <comment ref="DH38" authorId="12" shapeId="0" xr:uid="{D9F2F228-BD0E-4D95-A605-5AD1E94D7545}">
      <text>
        <r>
          <rPr>
            <b/>
            <sz val="9"/>
            <color indexed="81"/>
            <rFont val="Tahoma"/>
            <family val="2"/>
          </rPr>
          <t>Valentini, Anthony [GIR]:</t>
        </r>
        <r>
          <rPr>
            <sz val="9"/>
            <color indexed="81"/>
            <rFont val="Tahoma"/>
            <family val="2"/>
          </rPr>
          <t xml:space="preserve">
275mn 4/18
50mn 4/29
100mn 5/6
all to SPR
SPR returns cash:
36.6mn 6/12
89.5mn 8/14
134.3mn 9/18
14mn 10/16
</t>
        </r>
      </text>
    </comment>
    <comment ref="DI38" authorId="12" shapeId="0" xr:uid="{68F08BC6-0D7D-42AE-B2B9-0A9C9E5279F8}">
      <text>
        <r>
          <rPr>
            <b/>
            <sz val="9"/>
            <color indexed="81"/>
            <rFont val="Tahoma"/>
            <family val="2"/>
          </rPr>
          <t>Valentini, Anthony [GIR]:</t>
        </r>
        <r>
          <rPr>
            <sz val="9"/>
            <color indexed="81"/>
            <rFont val="Tahoma"/>
            <family val="2"/>
          </rPr>
          <t xml:space="preserve">
275mn 4/18
50mn 4/29
100mn 5/6
all to SPR
SPR returns cash:
36.6mn 6/12
89.5mn 8/14
134.3mn 9/18
14mn 10/16
</t>
        </r>
      </text>
    </comment>
    <comment ref="DN41" authorId="1" shapeId="0" xr:uid="{AE6EDAE8-95F2-4F78-B368-2E19F02A782C}">
      <text>
        <r>
          <rPr>
            <b/>
            <sz val="9"/>
            <color indexed="81"/>
            <rFont val="Tahoma"/>
            <family val="2"/>
          </rPr>
          <t>Dessert, Connor H [GIR]:</t>
        </r>
        <r>
          <rPr>
            <sz val="9"/>
            <color indexed="81"/>
            <rFont val="Tahoma"/>
            <family val="2"/>
          </rPr>
          <t xml:space="preserve">
2q25: 300mn of maturities left in the year</t>
        </r>
      </text>
    </comment>
    <comment ref="AH45" authorId="3" shapeId="0" xr:uid="{00000000-0006-0000-0800-000033000000}">
      <text>
        <r>
          <rPr>
            <b/>
            <sz val="8"/>
            <color indexed="81"/>
            <rFont val="Tahoma"/>
            <family val="2"/>
          </rPr>
          <t>poponn:</t>
        </r>
        <r>
          <rPr>
            <sz val="8"/>
            <color indexed="81"/>
            <rFont val="Tahoma"/>
            <family val="2"/>
          </rPr>
          <t xml:space="preserve">
1q08: similar to '07 level</t>
        </r>
      </text>
    </comment>
    <comment ref="DI45" authorId="1" shapeId="0" xr:uid="{08836CFA-72EE-49C5-AAC3-C2F57128060B}">
      <text>
        <r>
          <rPr>
            <b/>
            <sz val="9"/>
            <color indexed="81"/>
            <rFont val="Tahoma"/>
            <family val="2"/>
          </rPr>
          <t>Dessert, Connor H [GIR]:</t>
        </r>
        <r>
          <rPr>
            <sz val="9"/>
            <color indexed="81"/>
            <rFont val="Tahoma"/>
            <family val="2"/>
          </rPr>
          <t xml:space="preserve">
Net proceeds from common stock offering: </t>
        </r>
        <r>
          <rPr>
            <b/>
            <sz val="9"/>
            <color indexed="81"/>
            <rFont val="Tahoma"/>
            <family val="2"/>
          </rPr>
          <t>$18,200</t>
        </r>
        <r>
          <rPr>
            <sz val="9"/>
            <color indexed="81"/>
            <rFont val="Tahoma"/>
            <family val="2"/>
          </rPr>
          <t xml:space="preserve">
Net proceeds from depositary shares offering: </t>
        </r>
        <r>
          <rPr>
            <b/>
            <sz val="9"/>
            <color indexed="81"/>
            <rFont val="Tahoma"/>
            <family val="2"/>
          </rPr>
          <t>$5,657</t>
        </r>
      </text>
    </comment>
    <comment ref="DL49" authorId="1" shapeId="0" xr:uid="{DAE85B4B-0F9C-4D2E-8C2F-EC6F4485F2EF}">
      <text>
        <r>
          <rPr>
            <b/>
            <sz val="9"/>
            <color indexed="81"/>
            <rFont val="Tahoma"/>
            <family val="2"/>
          </rPr>
          <t>Dessert, Connor H [GIR]:</t>
        </r>
        <r>
          <rPr>
            <sz val="9"/>
            <color indexed="81"/>
            <rFont val="Tahoma"/>
            <family val="2"/>
          </rPr>
          <t xml:space="preserve">
-688 change in restricted cash adjustment</t>
        </r>
      </text>
    </comment>
    <comment ref="DQ49" authorId="13" shapeId="0" xr:uid="{CBBAE880-C5A0-4814-AC48-1AEE8E630D1F}">
      <text>
        <r>
          <rPr>
            <b/>
            <sz val="9"/>
            <color indexed="81"/>
            <rFont val="Tahoma"/>
            <family val="2"/>
          </rPr>
          <t>Russo, Tomas [GIR]:</t>
        </r>
        <r>
          <rPr>
            <sz val="9"/>
            <color indexed="81"/>
            <rFont val="Tahoma"/>
            <family val="2"/>
          </rPr>
          <t xml:space="preserve">
+15 change in restricted cash adjustment</t>
        </r>
      </text>
    </comment>
    <comment ref="CM52" authorId="2" shapeId="0" xr:uid="{00000000-0006-0000-0800-000034000000}">
      <text>
        <r>
          <rPr>
            <b/>
            <sz val="9"/>
            <color indexed="81"/>
            <rFont val="Tahoma"/>
            <family val="2"/>
          </rPr>
          <t>Parsons, Gavin [GIR]:</t>
        </r>
        <r>
          <rPr>
            <sz val="9"/>
            <color indexed="81"/>
            <rFont val="Tahoma"/>
            <family val="2"/>
          </rPr>
          <t xml:space="preserve">
does not include short-term investments</t>
        </r>
      </text>
    </comment>
    <comment ref="CA56" authorId="2" shapeId="0" xr:uid="{00000000-0006-0000-0800-000035000000}">
      <text>
        <r>
          <rPr>
            <b/>
            <sz val="9"/>
            <color indexed="81"/>
            <rFont val="Tahoma"/>
            <family val="2"/>
          </rPr>
          <t>Parsons, Gavin [GIR]:</t>
        </r>
        <r>
          <rPr>
            <sz val="9"/>
            <color indexed="81"/>
            <rFont val="Tahoma"/>
            <family val="2"/>
          </rPr>
          <t xml:space="preserve">
sep 15: up yoy
4q16: 8.45 implied
1q17: same
2q17: 10.25 implied
3q17: 10.5 implied</t>
        </r>
      </text>
    </comment>
    <comment ref="CF56" authorId="2" shapeId="0" xr:uid="{00000000-0006-0000-0800-000036000000}">
      <text>
        <r>
          <rPr>
            <b/>
            <sz val="9"/>
            <color indexed="81"/>
            <rFont val="Tahoma"/>
            <family val="2"/>
          </rPr>
          <t>Parsons, Gavin [GIR]:</t>
        </r>
        <r>
          <rPr>
            <sz val="9"/>
            <color indexed="81"/>
            <rFont val="Tahoma"/>
            <family val="2"/>
          </rPr>
          <t xml:space="preserve">
sep 15: up yoy
4q17: 12.8 implied
1q18: 12.8-13.3 implied
2q18: same
3q18: 13.0-13.5 implied</t>
        </r>
      </text>
    </comment>
    <comment ref="CP56" authorId="2" shapeId="0" xr:uid="{00000000-0006-0000-0800-000037000000}">
      <text>
        <r>
          <rPr>
            <b/>
            <sz val="9"/>
            <color indexed="81"/>
            <rFont val="Tahoma"/>
            <family val="2"/>
          </rPr>
          <t>Parsons, Gavin [GIR]:</t>
        </r>
        <r>
          <rPr>
            <sz val="9"/>
            <color indexed="81"/>
            <rFont val="Tahoma"/>
            <family val="2"/>
          </rPr>
          <t xml:space="preserve">
4q19: greater use than 2019</t>
        </r>
      </text>
    </comment>
    <comment ref="CS56" authorId="2" shapeId="0" xr:uid="{00000000-0006-0000-0800-000038000000}">
      <text>
        <r>
          <rPr>
            <b/>
            <sz val="9"/>
            <color indexed="81"/>
            <rFont val="Tahoma"/>
            <family val="2"/>
          </rPr>
          <t>Parsons, Gavin [GIR]:</t>
        </r>
        <r>
          <rPr>
            <sz val="9"/>
            <color indexed="81"/>
            <rFont val="Tahoma"/>
            <family val="2"/>
          </rPr>
          <t xml:space="preserve">
incl 1,300 income tax refund</t>
        </r>
      </text>
    </comment>
    <comment ref="CU56" authorId="2" shapeId="0" xr:uid="{00000000-0006-0000-0800-000039000000}">
      <text>
        <r>
          <rPr>
            <b/>
            <sz val="9"/>
            <color indexed="81"/>
            <rFont val="Tahoma"/>
            <family val="2"/>
          </rPr>
          <t>Parsons, Gavin [GIR]:</t>
        </r>
        <r>
          <rPr>
            <sz val="9"/>
            <color indexed="81"/>
            <rFont val="Tahoma"/>
            <family val="2"/>
          </rPr>
          <t xml:space="preserve">
1q20: confirmed positive
3q20: likely not positive, but much improved
4q20: negative, but much improved</t>
        </r>
      </text>
    </comment>
    <comment ref="CV56" authorId="2" shapeId="0" xr:uid="{00000000-0006-0000-0800-00003A000000}">
      <text>
        <r>
          <rPr>
            <b/>
            <sz val="9"/>
            <color indexed="81"/>
            <rFont val="Tahoma"/>
            <family val="2"/>
          </rPr>
          <t>Parsons, Gavin [GIR]:</t>
        </r>
        <r>
          <rPr>
            <sz val="9"/>
            <color indexed="81"/>
            <rFont val="Tahoma"/>
            <family val="2"/>
          </rPr>
          <t xml:space="preserve">
4q21: similar to 1Q21</t>
        </r>
      </text>
    </comment>
    <comment ref="CW56" authorId="2" shapeId="0" xr:uid="{00000000-0006-0000-0800-00003B000000}">
      <text>
        <r>
          <rPr>
            <b/>
            <sz val="9"/>
            <color indexed="81"/>
            <rFont val="Tahoma"/>
            <family val="2"/>
          </rPr>
          <t>Parsons, Gavin [GIR]:</t>
        </r>
        <r>
          <rPr>
            <sz val="9"/>
            <color indexed="81"/>
            <rFont val="Tahoma"/>
            <family val="2"/>
          </rPr>
          <t xml:space="preserve">
4q21: improved vs. 1Q
1q22: same</t>
        </r>
      </text>
    </comment>
    <comment ref="CX56" authorId="2" shapeId="0" xr:uid="{00000000-0006-0000-0800-00003C000000}">
      <text>
        <r>
          <rPr>
            <b/>
            <sz val="9"/>
            <color indexed="81"/>
            <rFont val="Tahoma"/>
            <family val="2"/>
          </rPr>
          <t>Parsons, Gavin [GIR]:</t>
        </r>
        <r>
          <rPr>
            <sz val="9"/>
            <color indexed="81"/>
            <rFont val="Tahoma"/>
            <family val="2"/>
          </rPr>
          <t xml:space="preserve">
4q21: meaningful improvement
1q22: same</t>
        </r>
      </text>
    </comment>
    <comment ref="CY56" authorId="2" shapeId="0" xr:uid="{00000000-0006-0000-0800-00003D000000}">
      <text>
        <r>
          <rPr>
            <b/>
            <sz val="9"/>
            <color indexed="81"/>
            <rFont val="Tahoma"/>
            <family val="2"/>
          </rPr>
          <t>Parsons, Gavin [GIR]:</t>
        </r>
        <r>
          <rPr>
            <sz val="9"/>
            <color indexed="81"/>
            <rFont val="Tahoma"/>
            <family val="2"/>
          </rPr>
          <t xml:space="preserve">
4q21: meaningful improvement
1q22: same
nov 22: 2.5</t>
        </r>
      </text>
    </comment>
    <comment ref="CZ56" authorId="2" shapeId="0" xr:uid="{00000000-0006-0000-0800-00003E000000}">
      <text>
        <r>
          <rPr>
            <b/>
            <sz val="9"/>
            <color indexed="81"/>
            <rFont val="Tahoma"/>
            <family val="2"/>
          </rPr>
          <t>Parsons, Gavin [GIR]:</t>
        </r>
        <r>
          <rPr>
            <sz val="9"/>
            <color indexed="81"/>
            <rFont val="Tahoma"/>
            <family val="2"/>
          </rPr>
          <t xml:space="preserve">
3q20: likely positive
4q20: positive
4q21: 'small billions' positive
1q22: positive
2q22: same
nov 22: 1.5-2.0</t>
        </r>
      </text>
    </comment>
    <comment ref="DA56" authorId="2" shapeId="0" xr:uid="{A1C0357C-4B83-4D77-BDE3-5A65B4E70104}">
      <text>
        <r>
          <rPr>
            <b/>
            <sz val="9"/>
            <color indexed="81"/>
            <rFont val="Tahoma"/>
            <family val="2"/>
          </rPr>
          <t>Parsons, Gavin [GIR]:</t>
        </r>
        <r>
          <rPr>
            <sz val="9"/>
            <color indexed="81"/>
            <rFont val="Tahoma"/>
            <family val="2"/>
          </rPr>
          <t xml:space="preserve">
4q22: negative</t>
        </r>
      </text>
    </comment>
    <comment ref="DB56" authorId="14" shapeId="0" xr:uid="{28EFD643-B38D-4642-BBD7-C86E0D3F0809}">
      <text>
        <r>
          <rPr>
            <b/>
            <sz val="9"/>
            <color indexed="81"/>
            <rFont val="Tahoma"/>
            <family val="2"/>
          </rPr>
          <t>Blake, BEN [GIR]:</t>
        </r>
        <r>
          <rPr>
            <sz val="9"/>
            <color indexed="81"/>
            <rFont val="Tahoma"/>
            <family val="2"/>
          </rPr>
          <t xml:space="preserve">
1q23: breakeven to slightly negative</t>
        </r>
      </text>
    </comment>
    <comment ref="DC56" authorId="12" shapeId="0" xr:uid="{8F821B64-DD22-4F9D-970D-6CD72392FDCB}">
      <text>
        <r>
          <rPr>
            <b/>
            <sz val="9"/>
            <color indexed="81"/>
            <rFont val="Tahoma"/>
            <family val="2"/>
          </rPr>
          <t>Valentini, Anthony [GIR]:</t>
        </r>
        <r>
          <rPr>
            <sz val="9"/>
            <color indexed="81"/>
            <rFont val="Tahoma"/>
            <family val="2"/>
          </rPr>
          <t xml:space="preserve">
2q23: lower sequentially, in the hundreds of millions
sep23: slightly negative</t>
        </r>
      </text>
    </comment>
    <comment ref="DE56" authorId="2" shapeId="0" xr:uid="{00000000-0006-0000-0800-00003F000000}">
      <text>
        <r>
          <rPr>
            <b/>
            <sz val="9"/>
            <color indexed="81"/>
            <rFont val="Tahoma"/>
            <family val="2"/>
          </rPr>
          <t>Parsons, Gavin [GIR]:</t>
        </r>
        <r>
          <rPr>
            <sz val="9"/>
            <color indexed="81"/>
            <rFont val="Tahoma"/>
            <family val="2"/>
          </rPr>
          <t xml:space="preserve">
4q21: materially higher yoy
1q22: same
nov 22: 3.0-5.0
4q22: same
1q23: same
2q23: same
3q23: same (lower end based on lower 737 delivs)</t>
        </r>
      </text>
    </comment>
    <comment ref="DF56" authorId="14" shapeId="0" xr:uid="{4410E40B-7D99-4741-B0CA-506250246BD8}">
      <text>
        <r>
          <rPr>
            <b/>
            <sz val="9"/>
            <color indexed="81"/>
            <rFont val="Tahoma"/>
            <family val="2"/>
          </rPr>
          <t>Blake, BEN [GIR]:</t>
        </r>
        <r>
          <rPr>
            <sz val="9"/>
            <color indexed="81"/>
            <rFont val="Tahoma"/>
            <family val="2"/>
          </rPr>
          <t xml:space="preserve">
Mar23: (4)-(4.5)</t>
        </r>
      </text>
    </comment>
    <comment ref="DG56" authorId="12" shapeId="0" xr:uid="{4BF4E964-F290-4DA4-BA85-A8FB5885E4E1}">
      <text>
        <r>
          <rPr>
            <b/>
            <sz val="9"/>
            <color indexed="81"/>
            <rFont val="Tahoma"/>
            <family val="2"/>
          </rPr>
          <t>Valentini, Anthony [GIR]:</t>
        </r>
        <r>
          <rPr>
            <sz val="9"/>
            <color indexed="81"/>
            <rFont val="Tahoma"/>
            <family val="2"/>
          </rPr>
          <t xml:space="preserve">
1q24: improvement sequentially, still negative
may24: more in line possibly worse than 1Q</t>
        </r>
      </text>
    </comment>
    <comment ref="DH56" authorId="1" shapeId="0" xr:uid="{5665753E-AB8E-4EF7-85DB-237CF4DB61D5}">
      <text>
        <r>
          <rPr>
            <b/>
            <sz val="9"/>
            <color indexed="81"/>
            <rFont val="Tahoma"/>
            <family val="2"/>
          </rPr>
          <t>Dessert, Connor H [GIR]:</t>
        </r>
        <r>
          <rPr>
            <sz val="9"/>
            <color indexed="81"/>
            <rFont val="Tahoma"/>
            <family val="2"/>
          </rPr>
          <t xml:space="preserve">
2q24: 3Q will be another use of cash</t>
        </r>
      </text>
    </comment>
    <comment ref="DI56" authorId="1" shapeId="0" xr:uid="{44D5C1F8-EE7B-4FB6-8BB6-C5D5A0C703CD}">
      <text>
        <r>
          <rPr>
            <b/>
            <sz val="9"/>
            <color indexed="81"/>
            <rFont val="Tahoma"/>
            <family val="2"/>
          </rPr>
          <t>Dessert, Connor H [GIR]:</t>
        </r>
        <r>
          <rPr>
            <sz val="9"/>
            <color indexed="81"/>
            <rFont val="Tahoma"/>
            <family val="2"/>
          </rPr>
          <t xml:space="preserve">
3q24: expect fcf to be a use. Could look similar to 2q.</t>
        </r>
      </text>
    </comment>
    <comment ref="DJ56" authorId="12" shapeId="0" xr:uid="{AA24832A-891B-44F2-A6AF-AB3CD23D68C3}">
      <text>
        <r>
          <rPr>
            <b/>
            <sz val="9"/>
            <color indexed="81"/>
            <rFont val="Tahoma"/>
            <family val="2"/>
          </rPr>
          <t>Valentini, Anthony [GIR]:</t>
        </r>
        <r>
          <rPr>
            <sz val="9"/>
            <color indexed="81"/>
            <rFont val="Tahoma"/>
            <family val="2"/>
          </rPr>
          <t xml:space="preserve">
3q23: higher yoy
4q23: steady
Mar23: LSD-billions
1q24: same
may24: LSD billions use of cash
2q24: larger use of cash than previously forecasted</t>
        </r>
      </text>
    </comment>
    <comment ref="DK56" authorId="1" shapeId="0" xr:uid="{E8174E4B-2E57-4AEE-88F0-0F8866FA5C53}">
      <text>
        <r>
          <rPr>
            <b/>
            <sz val="9"/>
            <color indexed="81"/>
            <rFont val="Tahoma"/>
            <family val="2"/>
          </rPr>
          <t>Dessert, Connor H [GIR]:</t>
        </r>
        <r>
          <rPr>
            <sz val="9"/>
            <color indexed="81"/>
            <rFont val="Tahoma"/>
            <family val="2"/>
          </rPr>
          <t xml:space="preserve">
4q24: similar to 4Q24
Mar '25 BofA: less WC drag, could be hundreds of millions better</t>
        </r>
      </text>
    </comment>
    <comment ref="DL56" authorId="1" shapeId="0" xr:uid="{0EE03DF1-FE1E-4C5A-BFC2-4B3EC17A080C}">
      <text>
        <r>
          <rPr>
            <b/>
            <sz val="9"/>
            <color indexed="81"/>
            <rFont val="Tahoma"/>
            <family val="2"/>
          </rPr>
          <t>Dessert, Connor H [GIR]:</t>
        </r>
        <r>
          <rPr>
            <sz val="9"/>
            <color indexed="81"/>
            <rFont val="Tahoma"/>
            <family val="2"/>
          </rPr>
          <t xml:space="preserve">
4q24: 1H use of cash
1q25: roughly in line with 1Q
2q25: better FCF driven by BCA deliveries, and some timing items. There were 13 777 deliveries in the quarter, which drive an incremental $700mn of FCF (usually 6-7 delivs)</t>
        </r>
      </text>
    </comment>
    <comment ref="DM56" authorId="1" shapeId="0" xr:uid="{E19F8B59-07CF-4F33-AF88-FA96BE95ED0E}">
      <text>
        <r>
          <rPr>
            <b/>
            <sz val="9"/>
            <color indexed="81"/>
            <rFont val="Tahoma"/>
            <family val="2"/>
          </rPr>
          <t>Dessert, Connor H [GIR]:</t>
        </r>
        <r>
          <rPr>
            <sz val="9"/>
            <color indexed="81"/>
            <rFont val="Tahoma"/>
            <family val="2"/>
          </rPr>
          <t xml:space="preserve">
2q25: will look like 2Q, except for one-time $700mn payment to DOJ</t>
        </r>
      </text>
    </comment>
    <comment ref="DN56" authorId="1" shapeId="0" xr:uid="{6F18EF56-2B51-47A5-833A-CFE9453AE3B4}">
      <text>
        <r>
          <rPr>
            <b/>
            <sz val="9"/>
            <color indexed="81"/>
            <rFont val="Tahoma"/>
            <family val="2"/>
          </rPr>
          <t>Dessert, Connor H [GIR]:</t>
        </r>
        <r>
          <rPr>
            <sz val="9"/>
            <color indexed="81"/>
            <rFont val="Tahoma"/>
            <family val="2"/>
          </rPr>
          <t xml:space="preserve">
4q24: 2H positive cash, accelerating exiting 2025
5/29 Bernstein: Positive 2H
2q25: return to positive FCF
3q25: ~500mn ex. 700mn DOJ payment, -200mn or so implied after DOJ payment</t>
        </r>
      </text>
    </comment>
    <comment ref="DO56" authorId="2" shapeId="0" xr:uid="{7D53AB82-D1E8-4AE8-B08C-FFE3F1CC7281}">
      <text>
        <r>
          <rPr>
            <b/>
            <sz val="9"/>
            <color indexed="81"/>
            <rFont val="Tahoma"/>
            <family val="2"/>
          </rPr>
          <t>Parsons, Gavin [GIR]:</t>
        </r>
        <r>
          <rPr>
            <sz val="9"/>
            <color indexed="81"/>
            <rFont val="Tahoma"/>
            <family val="2"/>
          </rPr>
          <t xml:space="preserve">
nov 22: 10.0 in '25/26
4q22: same
1q23: same
2q23: same
3q23: same
Mar23: same but further out '25/26 window
1q24: same
4q24: use of cash, ~4-5bn ballpark from call
1q25: same
2q25: use of ~3bn
3q25: use of ~2.5bn
Dec 2025 UBS conf: use of ~2.0bn</t>
        </r>
      </text>
    </comment>
    <comment ref="DP56" authorId="1" shapeId="0" xr:uid="{798BF868-C11F-4A64-8D87-B18B64D49FEF}">
      <text>
        <r>
          <rPr>
            <b/>
            <sz val="9"/>
            <color indexed="81"/>
            <rFont val="Tahoma"/>
            <family val="2"/>
          </rPr>
          <t>Dessert, Connor H [GIR]:</t>
        </r>
        <r>
          <rPr>
            <sz val="9"/>
            <color indexed="81"/>
            <rFont val="Tahoma"/>
            <family val="2"/>
          </rPr>
          <t xml:space="preserve">
4q25: usage similar to 1q25</t>
        </r>
      </text>
    </comment>
    <comment ref="DQ56" authorId="1" shapeId="0" xr:uid="{261172B4-6387-4484-83E0-EBA64493F19D}">
      <text>
        <r>
          <rPr>
            <b/>
            <sz val="9"/>
            <color indexed="81"/>
            <rFont val="Tahoma"/>
            <family val="2"/>
          </rPr>
          <t>Dessert, Connor H [GIR]:</t>
        </r>
        <r>
          <rPr>
            <sz val="9"/>
            <color indexed="81"/>
            <rFont val="Tahoma"/>
            <family val="2"/>
          </rPr>
          <t xml:space="preserve">
4q25: 1H a usage
1q26: sequential improvement</t>
        </r>
      </text>
    </comment>
    <comment ref="DS56" authorId="1" shapeId="0" xr:uid="{9491EC14-D6E4-4940-AF75-A31B0817D70F}">
      <text>
        <r>
          <rPr>
            <b/>
            <sz val="9"/>
            <color indexed="81"/>
            <rFont val="Tahoma"/>
            <family val="2"/>
          </rPr>
          <t>Dessert, Connor H [GIR]:</t>
        </r>
        <r>
          <rPr>
            <sz val="9"/>
            <color indexed="81"/>
            <rFont val="Tahoma"/>
            <family val="2"/>
          </rPr>
          <t xml:space="preserve">
4q25: 2H positive
2q26: KC46 receipts</t>
        </r>
      </text>
    </comment>
    <comment ref="DT56" authorId="1" shapeId="0" xr:uid="{6680BCAE-4932-4D10-9BF4-D40252BF50D0}">
      <text>
        <r>
          <rPr>
            <b/>
            <sz val="9"/>
            <color indexed="81"/>
            <rFont val="Tahoma"/>
            <family val="2"/>
          </rPr>
          <t>Dessert, Connor H [GIR]:</t>
        </r>
        <r>
          <rPr>
            <sz val="9"/>
            <color indexed="81"/>
            <rFont val="Tahoma"/>
            <family val="2"/>
          </rPr>
          <t xml:space="preserve">
Dec 2025 UBS conf: LSD $bn
4q25: 1,000 - 3,000
1q26: same
2q26: same</t>
        </r>
      </text>
    </comment>
    <comment ref="DY56" authorId="1" shapeId="0" xr:uid="{5F089254-0C15-4E0D-8944-9DBB6698E6E3}">
      <text>
        <r>
          <rPr>
            <b/>
            <sz val="9"/>
            <color indexed="81"/>
            <rFont val="Tahoma"/>
            <family val="2"/>
          </rPr>
          <t>Dessert, Connor H [GIR]:</t>
        </r>
        <r>
          <rPr>
            <sz val="9"/>
            <color indexed="81"/>
            <rFont val="Tahoma"/>
            <family val="2"/>
          </rPr>
          <t xml:space="preserve">
2q25: $10bn longer-term is reasonable</t>
        </r>
      </text>
    </comment>
    <comment ref="DZ56" authorId="1" shapeId="0" xr:uid="{35540F97-47AF-4796-B69B-69B7CA6E82C9}">
      <text>
        <r>
          <rPr>
            <b/>
            <sz val="9"/>
            <color indexed="81"/>
            <rFont val="Tahoma"/>
            <family val="2"/>
          </rPr>
          <t>Dessert, Connor H [GIR]:</t>
        </r>
        <r>
          <rPr>
            <sz val="9"/>
            <color indexed="81"/>
            <rFont val="Tahoma"/>
            <family val="2"/>
          </rPr>
          <t xml:space="preserve">
2q25: $10bn longer-term is reasonable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Parsons, Gavin [GIR]</author>
    <author>Poponak, Noah [GIR]</author>
    <author>Porat, Matthew [GIR]</author>
    <author>Dessert, Connor H [GIR]</author>
    <author>Blake, BEN [GIR]</author>
    <author>Valentini, Anthony [GIR]</author>
  </authors>
  <commentList>
    <comment ref="S5" authorId="0" shapeId="0" xr:uid="{00000000-0006-0000-0900-000001000000}">
      <text>
        <r>
          <rPr>
            <b/>
            <sz val="9"/>
            <color indexed="81"/>
            <rFont val="Tahoma"/>
            <family val="2"/>
          </rPr>
          <t>Parsons, Gavin [GIR]:</t>
        </r>
        <r>
          <rPr>
            <sz val="9"/>
            <color indexed="81"/>
            <rFont val="Tahoma"/>
            <family val="2"/>
          </rPr>
          <t xml:space="preserve">
program charges</t>
        </r>
      </text>
    </comment>
    <comment ref="T5" authorId="0" shapeId="0" xr:uid="{00000000-0006-0000-0900-000002000000}">
      <text>
        <r>
          <rPr>
            <b/>
            <sz val="9"/>
            <color indexed="81"/>
            <rFont val="Tahoma"/>
            <family val="2"/>
          </rPr>
          <t>Parsons, Gavin [GIR]:</t>
        </r>
        <r>
          <rPr>
            <sz val="9"/>
            <color indexed="81"/>
            <rFont val="Tahoma"/>
            <family val="2"/>
          </rPr>
          <t xml:space="preserve">
program charges</t>
        </r>
      </text>
    </comment>
    <comment ref="O6" authorId="0" shapeId="0" xr:uid="{00000000-0006-0000-0900-000003000000}">
      <text>
        <r>
          <rPr>
            <b/>
            <sz val="9"/>
            <color indexed="81"/>
            <rFont val="Tahoma"/>
            <family val="2"/>
          </rPr>
          <t>Parsons, Gavin [GIR]:</t>
        </r>
        <r>
          <rPr>
            <sz val="9"/>
            <color indexed="81"/>
            <rFont val="Tahoma"/>
            <family val="2"/>
          </rPr>
          <t xml:space="preserve">
1.011bn 787 writedown</t>
        </r>
      </text>
    </comment>
    <comment ref="S6" authorId="1" shapeId="0" xr:uid="{00000000-0006-0000-0900-000004000000}">
      <text>
        <r>
          <rPr>
            <b/>
            <sz val="9"/>
            <color indexed="81"/>
            <rFont val="Tahoma"/>
            <family val="2"/>
          </rPr>
          <t>Poponak, Noah [GIR]:</t>
        </r>
        <r>
          <rPr>
            <sz val="9"/>
            <color indexed="81"/>
            <rFont val="Tahoma"/>
            <family val="2"/>
          </rPr>
          <t xml:space="preserve">
adjusts for block changes</t>
        </r>
      </text>
    </comment>
    <comment ref="T6" authorId="1" shapeId="0" xr:uid="{00000000-0006-0000-0900-000005000000}">
      <text>
        <r>
          <rPr>
            <b/>
            <sz val="9"/>
            <color indexed="81"/>
            <rFont val="Tahoma"/>
            <family val="2"/>
          </rPr>
          <t>Poponak, Noah [GIR]:</t>
        </r>
        <r>
          <rPr>
            <sz val="9"/>
            <color indexed="81"/>
            <rFont val="Tahoma"/>
            <family val="2"/>
          </rPr>
          <t xml:space="preserve">
adjusts for block changes</t>
        </r>
      </text>
    </comment>
    <comment ref="P12" authorId="0" shapeId="0" xr:uid="{00000000-0006-0000-0900-000006000000}">
      <text>
        <r>
          <rPr>
            <b/>
            <sz val="9"/>
            <color indexed="81"/>
            <rFont val="Tahoma"/>
            <family val="2"/>
          </rPr>
          <t>Parsons, Gavin [GIR]:</t>
        </r>
        <r>
          <rPr>
            <sz val="9"/>
            <color indexed="81"/>
            <rFont val="Tahoma"/>
            <family val="2"/>
          </rPr>
          <t xml:space="preserve">
3q16: up yoy
4q16: 10.75
1q17: same
2q17: 12.25
3q17: 12.5</t>
        </r>
      </text>
    </comment>
    <comment ref="Q12" authorId="0" shapeId="0" xr:uid="{00000000-0006-0000-0900-000007000000}">
      <text>
        <r>
          <rPr>
            <b/>
            <sz val="9"/>
            <color indexed="81"/>
            <rFont val="Tahoma"/>
            <family val="2"/>
          </rPr>
          <t>Parsons, Gavin [GIR]:</t>
        </r>
        <r>
          <rPr>
            <sz val="9"/>
            <color indexed="81"/>
            <rFont val="Tahoma"/>
            <family val="2"/>
          </rPr>
          <t xml:space="preserve">
3q16: up yoy
4q16: same
3q17: same
4q17: 15.0
1q18: 15.0-15.5
2q18: same
3q18: same</t>
        </r>
      </text>
    </comment>
    <comment ref="R12" authorId="2" shapeId="0" xr:uid="{00000000-0006-0000-0900-000008000000}">
      <text>
        <r>
          <rPr>
            <b/>
            <sz val="9"/>
            <color indexed="81"/>
            <rFont val="Tahoma"/>
            <family val="2"/>
          </rPr>
          <t>Porat, Matthew [GIR]:</t>
        </r>
        <r>
          <rPr>
            <sz val="9"/>
            <color indexed="81"/>
            <rFont val="Tahoma"/>
            <family val="2"/>
          </rPr>
          <t xml:space="preserve">
4q18: 17.0-17.5</t>
        </r>
      </text>
    </comment>
    <comment ref="V17" authorId="0" shapeId="0" xr:uid="{00000000-0006-0000-0900-00000A000000}">
      <text>
        <r>
          <rPr>
            <b/>
            <sz val="9"/>
            <color indexed="81"/>
            <rFont val="Tahoma"/>
            <family val="2"/>
          </rPr>
          <t>Parsons, Gavin [GIR]:</t>
        </r>
        <r>
          <rPr>
            <sz val="9"/>
            <color indexed="81"/>
            <rFont val="Tahoma"/>
            <family val="2"/>
          </rPr>
          <t xml:space="preserve">
MAX unwind
787 unwind
777X build</t>
        </r>
      </text>
    </comment>
    <comment ref="W17" authorId="0" shapeId="0" xr:uid="{00000000-0006-0000-0900-00000B000000}">
      <text>
        <r>
          <rPr>
            <b/>
            <sz val="9"/>
            <color indexed="81"/>
            <rFont val="Tahoma"/>
            <family val="2"/>
          </rPr>
          <t>Parsons, Gavin [GIR]:</t>
        </r>
        <r>
          <rPr>
            <sz val="9"/>
            <color indexed="81"/>
            <rFont val="Tahoma"/>
            <family val="2"/>
          </rPr>
          <t xml:space="preserve">
MAX unwind
787 unwind
777X build </t>
        </r>
      </text>
    </comment>
    <comment ref="X17" authorId="0" shapeId="0" xr:uid="{81B3C278-A81A-47DA-AC2C-ED0156EADFAD}">
      <text>
        <r>
          <rPr>
            <b/>
            <sz val="9"/>
            <color indexed="81"/>
            <rFont val="Tahoma"/>
            <family val="2"/>
          </rPr>
          <t>Parsons, Gavin [GIR]:</t>
        </r>
        <r>
          <rPr>
            <sz val="9"/>
            <color indexed="81"/>
            <rFont val="Tahoma"/>
            <family val="2"/>
          </rPr>
          <t xml:space="preserve">
MAX unwind
777X build </t>
        </r>
      </text>
    </comment>
    <comment ref="AE17" authorId="0" shapeId="0" xr:uid="{BCF8F106-2D5D-4118-B392-85E880D0EA0F}">
      <text>
        <r>
          <rPr>
            <b/>
            <sz val="9"/>
            <color indexed="81"/>
            <rFont val="Tahoma"/>
            <family val="2"/>
          </rPr>
          <t>Parsons, Gavin [GIR]:</t>
        </r>
        <r>
          <rPr>
            <sz val="9"/>
            <color indexed="81"/>
            <rFont val="Tahoma"/>
            <family val="2"/>
          </rPr>
          <t xml:space="preserve">
Cumulative inventory</t>
        </r>
      </text>
    </comment>
    <comment ref="V20" authorId="0" shapeId="0" xr:uid="{00000000-0006-0000-0900-00000E000000}">
      <text>
        <r>
          <rPr>
            <b/>
            <sz val="9"/>
            <color indexed="81"/>
            <rFont val="Tahoma"/>
            <family val="2"/>
          </rPr>
          <t>Parsons, Gavin [GIR]:</t>
        </r>
        <r>
          <rPr>
            <sz val="9"/>
            <color indexed="81"/>
            <rFont val="Tahoma"/>
            <family val="2"/>
          </rPr>
          <t xml:space="preserve">
MAX
787
</t>
        </r>
      </text>
    </comment>
    <comment ref="W20" authorId="0" shapeId="0" xr:uid="{00000000-0006-0000-0900-00000F000000}">
      <text>
        <r>
          <rPr>
            <b/>
            <sz val="9"/>
            <color indexed="81"/>
            <rFont val="Tahoma"/>
            <family val="2"/>
          </rPr>
          <t>Parsons, Gavin [GIR]:</t>
        </r>
        <r>
          <rPr>
            <sz val="9"/>
            <color indexed="81"/>
            <rFont val="Tahoma"/>
            <family val="2"/>
          </rPr>
          <t xml:space="preserve">
MAX advances
787 advances</t>
        </r>
      </text>
    </comment>
    <comment ref="X20" authorId="0" shapeId="0" xr:uid="{00000000-0006-0000-0900-000010000000}">
      <text>
        <r>
          <rPr>
            <b/>
            <sz val="9"/>
            <color indexed="81"/>
            <rFont val="Tahoma"/>
            <family val="2"/>
          </rPr>
          <t>Parsons, Gavin [GIR]:</t>
        </r>
        <r>
          <rPr>
            <sz val="9"/>
            <color indexed="81"/>
            <rFont val="Tahoma"/>
            <family val="2"/>
          </rPr>
          <t xml:space="preserve">
MAX advances
787 advances</t>
        </r>
      </text>
    </comment>
    <comment ref="AG21" authorId="0" shapeId="0" xr:uid="{1895F4DE-F1FD-4636-977F-9F19F8B854D0}">
      <text>
        <r>
          <rPr>
            <b/>
            <sz val="9"/>
            <color indexed="81"/>
            <rFont val="Tahoma"/>
            <family val="2"/>
          </rPr>
          <t>Parsons, Gavin [GIR]:</t>
        </r>
        <r>
          <rPr>
            <sz val="9"/>
            <color indexed="81"/>
            <rFont val="Tahoma"/>
            <family val="2"/>
          </rPr>
          <t xml:space="preserve">
revenue decline PDPs spread over two years</t>
        </r>
      </text>
    </comment>
    <comment ref="T22" authorId="0" shapeId="0" xr:uid="{7A07E5A7-AAFD-4FD3-9487-18AC6279BBA6}">
      <text>
        <r>
          <rPr>
            <b/>
            <sz val="9"/>
            <color indexed="81"/>
            <rFont val="Tahoma"/>
            <family val="2"/>
          </rPr>
          <t>Parsons, Gavin [GIR]:</t>
        </r>
        <r>
          <rPr>
            <sz val="9"/>
            <color indexed="81"/>
            <rFont val="Tahoma"/>
            <family val="2"/>
          </rPr>
          <t xml:space="preserve">
3Q 1.3bn CARES tax benefit </t>
        </r>
      </text>
    </comment>
    <comment ref="U22" authorId="0" shapeId="0" xr:uid="{86C0B146-BCE4-4011-ABD8-AF3BA7FCDBDB}">
      <text>
        <r>
          <rPr>
            <b/>
            <sz val="9"/>
            <color indexed="81"/>
            <rFont val="Tahoma"/>
            <family val="2"/>
          </rPr>
          <t>Parsons, Gavin [GIR]:</t>
        </r>
        <r>
          <rPr>
            <sz val="9"/>
            <color indexed="81"/>
            <rFont val="Tahoma"/>
            <family val="2"/>
          </rPr>
          <t xml:space="preserve">
3Q 1.5bn tax refund</t>
        </r>
      </text>
    </comment>
    <comment ref="R23" authorId="0" shapeId="0" xr:uid="{00000000-0006-0000-0900-000013000000}">
      <text>
        <r>
          <rPr>
            <b/>
            <sz val="9"/>
            <color indexed="81"/>
            <rFont val="Tahoma"/>
            <family val="2"/>
          </rPr>
          <t>Parsons, Gavin [GIR]:</t>
        </r>
        <r>
          <rPr>
            <sz val="9"/>
            <color indexed="81"/>
            <rFont val="Tahoma"/>
            <family val="2"/>
          </rPr>
          <t xml:space="preserve">
actual: (1,400)</t>
        </r>
      </text>
    </comment>
    <comment ref="S23" authorId="0" shapeId="0" xr:uid="{00000000-0006-0000-0900-000014000000}">
      <text>
        <r>
          <rPr>
            <b/>
            <sz val="9"/>
            <color indexed="81"/>
            <rFont val="Tahoma"/>
            <family val="2"/>
          </rPr>
          <t>Parsons, Gavin [GIR]:</t>
        </r>
        <r>
          <rPr>
            <sz val="9"/>
            <color indexed="81"/>
            <rFont val="Tahoma"/>
            <family val="2"/>
          </rPr>
          <t xml:space="preserve">
1Q actual: (700)
2Q actual: (600)
3Q actual: (500)
Full year (2350)</t>
        </r>
      </text>
    </comment>
    <comment ref="T23" authorId="0" shapeId="0" xr:uid="{00000000-0006-0000-0900-000015000000}">
      <text>
        <r>
          <rPr>
            <b/>
            <sz val="9"/>
            <color indexed="81"/>
            <rFont val="Tahoma"/>
            <family val="2"/>
          </rPr>
          <t>Parsons, Gavin [GIR]:</t>
        </r>
        <r>
          <rPr>
            <sz val="9"/>
            <color indexed="81"/>
            <rFont val="Tahoma"/>
            <family val="2"/>
          </rPr>
          <t xml:space="preserve">
1Q actual: (1167)
2Q actual: (406)
3Q actual: (521)
Full year: (2597)</t>
        </r>
      </text>
    </comment>
    <comment ref="U23" authorId="0" shapeId="0" xr:uid="{00000000-0006-0000-0900-000016000000}">
      <text>
        <r>
          <rPr>
            <b/>
            <sz val="9"/>
            <color indexed="81"/>
            <rFont val="Tahoma"/>
            <family val="2"/>
          </rPr>
          <t>Parsons, Gavin [GIR]:</t>
        </r>
        <r>
          <rPr>
            <sz val="9"/>
            <color indexed="81"/>
            <rFont val="Tahoma"/>
            <family val="2"/>
          </rPr>
          <t xml:space="preserve">
1Q actual: (550) MAX
2Q actual: (294) MAX
3Q actual: (172) MAX</t>
        </r>
      </text>
    </comment>
    <comment ref="AE23" authorId="0" shapeId="0" xr:uid="{6D0F0EBA-8F97-45C5-BAA8-3D22ADC13E81}">
      <text>
        <r>
          <rPr>
            <b/>
            <sz val="9"/>
            <color indexed="81"/>
            <rFont val="Tahoma"/>
            <family val="2"/>
          </rPr>
          <t>Parsons, Gavin [GIR]:</t>
        </r>
        <r>
          <rPr>
            <sz val="9"/>
            <color indexed="81"/>
            <rFont val="Tahoma"/>
            <family val="2"/>
          </rPr>
          <t xml:space="preserve">
*MAX Concessions*
2Q19: $4.9bn ($5.6bn pre tax) - 2Q19 737 MAX charge
4Q19: +$2.6bn pre-tax for $8.3bn total (implied post tax = $7.2bn)
2Q20: $9.6bn total
4Q20: $5.537bn remaining
1Q21: $4.370bn remaining
2Q21: $3.964bn remaining
3Q21: $3.443bn remaining
4Q21: $2.940bn remaining; 787 unquantified portion of $3.5bn
1Q22: $2.419bn remaining; 787 unquantified 
2Q22: $2.108bn remaining; 787 unquantified 
3Q22: $1.936bn remaining; 787 unquantified
4Q22: ?</t>
        </r>
      </text>
    </comment>
    <comment ref="Q26" authorId="0" shapeId="0" xr:uid="{00000000-0006-0000-0900-000018000000}">
      <text>
        <r>
          <rPr>
            <b/>
            <sz val="9"/>
            <color indexed="81"/>
            <rFont val="Tahoma"/>
            <family val="2"/>
          </rPr>
          <t>Parsons, Gavin [GIR]:</t>
        </r>
        <r>
          <rPr>
            <sz val="9"/>
            <color indexed="81"/>
            <rFont val="Tahoma"/>
            <family val="2"/>
          </rPr>
          <t xml:space="preserve">
2Q charges
3Q charges</t>
        </r>
      </text>
    </comment>
    <comment ref="R26" authorId="0" shapeId="0" xr:uid="{00000000-0006-0000-0900-000019000000}">
      <text>
        <r>
          <rPr>
            <b/>
            <sz val="9"/>
            <color indexed="81"/>
            <rFont val="Tahoma"/>
            <family val="2"/>
          </rPr>
          <t>Parsons, Gavin [GIR]:</t>
        </r>
        <r>
          <rPr>
            <sz val="9"/>
            <color indexed="81"/>
            <rFont val="Tahoma"/>
            <family val="2"/>
          </rPr>
          <t xml:space="preserve">
primarily non-cash charges</t>
        </r>
      </text>
    </comment>
    <comment ref="S26" authorId="0" shapeId="0" xr:uid="{00000000-0006-0000-0900-00001A000000}">
      <text>
        <r>
          <rPr>
            <b/>
            <sz val="9"/>
            <color indexed="81"/>
            <rFont val="Tahoma"/>
            <family val="2"/>
          </rPr>
          <t>Parsons, Gavin [GIR]:</t>
        </r>
        <r>
          <rPr>
            <sz val="9"/>
            <color indexed="81"/>
            <rFont val="Tahoma"/>
            <family val="2"/>
          </rPr>
          <t xml:space="preserve">
6.5 777X charge
0.8 BCA charges (pickle fork, severance)
1.3 BDS charges
1.2 BGS charges
0.7 DoJ settlement</t>
        </r>
      </text>
    </comment>
    <comment ref="T26" authorId="0" shapeId="0" xr:uid="{00000000-0006-0000-0900-00001B000000}">
      <text>
        <r>
          <rPr>
            <b/>
            <sz val="9"/>
            <color indexed="81"/>
            <rFont val="Tahoma"/>
            <family val="2"/>
          </rPr>
          <t>Parsons, Gavin [GIR]:</t>
        </r>
        <r>
          <rPr>
            <sz val="9"/>
            <color indexed="81"/>
            <rFont val="Tahoma"/>
            <family val="2"/>
          </rPr>
          <t xml:space="preserve">
1.1 BGS/BDS charges
3.5 787 charge</t>
        </r>
      </text>
    </comment>
    <comment ref="U26" authorId="0" shapeId="0" xr:uid="{00000000-0006-0000-0900-00001C000000}">
      <text>
        <r>
          <rPr>
            <b/>
            <sz val="9"/>
            <color indexed="81"/>
            <rFont val="Tahoma"/>
            <family val="2"/>
          </rPr>
          <t>Parsons, Gavin [GIR]:</t>
        </r>
        <r>
          <rPr>
            <sz val="9"/>
            <color indexed="81"/>
            <rFont val="Tahoma"/>
            <family val="2"/>
          </rPr>
          <t xml:space="preserve">
1.3 1Q BGS non-cash charges
0.2 2Q BGS non-cash charges
2.8 3Q BGS non-cash charges</t>
        </r>
      </text>
    </comment>
    <comment ref="V26" authorId="0" shapeId="0" xr:uid="{B6F89E88-B7C8-48D4-A29C-587F50653E52}">
      <text>
        <r>
          <rPr>
            <b/>
            <sz val="9"/>
            <color indexed="81"/>
            <rFont val="Tahoma"/>
            <family val="2"/>
          </rPr>
          <t>Parsons, Gavin [GIR]:</t>
        </r>
        <r>
          <rPr>
            <sz val="9"/>
            <color indexed="81"/>
            <rFont val="Tahoma"/>
            <family val="2"/>
          </rPr>
          <t xml:space="preserve">
defense development cash loss assumption</t>
        </r>
      </text>
    </comment>
    <comment ref="W26" authorId="0" shapeId="0" xr:uid="{3BE4266F-6E7A-4726-BE39-3FD88E61972C}">
      <text>
        <r>
          <rPr>
            <b/>
            <sz val="9"/>
            <color indexed="81"/>
            <rFont val="Tahoma"/>
            <family val="2"/>
          </rPr>
          <t>Parsons, Gavin [GIR]:</t>
        </r>
        <r>
          <rPr>
            <sz val="9"/>
            <color indexed="81"/>
            <rFont val="Tahoma"/>
            <family val="2"/>
          </rPr>
          <t xml:space="preserve">
defense development cash loss assumption; 777X loss assumption
</t>
        </r>
      </text>
    </comment>
    <comment ref="X26" authorId="0" shapeId="0" xr:uid="{2CE6A320-03F8-4435-B839-E63D6DA212F6}">
      <text>
        <r>
          <rPr>
            <b/>
            <sz val="9"/>
            <color indexed="81"/>
            <rFont val="Tahoma"/>
            <family val="2"/>
          </rPr>
          <t>Parsons, Gavin [GIR]:</t>
        </r>
        <r>
          <rPr>
            <sz val="9"/>
            <color indexed="81"/>
            <rFont val="Tahoma"/>
            <family val="2"/>
          </rPr>
          <t xml:space="preserve">
defense development cash loss assumption; 777X loss assumption
</t>
        </r>
      </text>
    </comment>
    <comment ref="Y26" authorId="0" shapeId="0" xr:uid="{160EBD24-4467-4BC8-ACF4-4727188BD263}">
      <text>
        <r>
          <rPr>
            <b/>
            <sz val="9"/>
            <color indexed="81"/>
            <rFont val="Tahoma"/>
            <family val="2"/>
          </rPr>
          <t>Parsons, Gavin [GIR]:</t>
        </r>
        <r>
          <rPr>
            <sz val="9"/>
            <color indexed="81"/>
            <rFont val="Tahoma"/>
            <family val="2"/>
          </rPr>
          <t xml:space="preserve">
defense development cash loss assumption; 777X loss assumption
</t>
        </r>
      </text>
    </comment>
    <comment ref="W27" authorId="3" shapeId="0" xr:uid="{E426CAB8-494E-41EB-8392-38B3C8FA11E3}">
      <text>
        <r>
          <rPr>
            <b/>
            <sz val="9"/>
            <color indexed="81"/>
            <rFont val="Tahoma"/>
            <family val="2"/>
          </rPr>
          <t>Dessert, Connor H [GIR]:</t>
        </r>
        <r>
          <rPr>
            <sz val="9"/>
            <color indexed="81"/>
            <rFont val="Tahoma"/>
            <family val="2"/>
          </rPr>
          <t xml:space="preserve">
2q24: larger use of cash than previously anticipated</t>
        </r>
      </text>
    </comment>
    <comment ref="W31" authorId="4" shapeId="0" xr:uid="{CF7FDF69-03A5-4670-A225-AE2AED8838C4}">
      <text>
        <r>
          <rPr>
            <b/>
            <sz val="9"/>
            <color indexed="81"/>
            <rFont val="Tahoma"/>
            <family val="2"/>
          </rPr>
          <t>Blake, BEN [GIR]:</t>
        </r>
        <r>
          <rPr>
            <sz val="9"/>
            <color indexed="81"/>
            <rFont val="Tahoma"/>
            <family val="2"/>
          </rPr>
          <t xml:space="preserve">
Mar23: LSD billions
2q24: larger use of cash than previously anticipated</t>
        </r>
      </text>
    </comment>
    <comment ref="U42" authorId="0" shapeId="0" xr:uid="{00000000-0006-0000-0900-00001F000000}">
      <text>
        <r>
          <rPr>
            <b/>
            <sz val="9"/>
            <color indexed="81"/>
            <rFont val="Tahoma"/>
            <family val="2"/>
          </rPr>
          <t>Parsons, Gavin [GIR]:</t>
        </r>
        <r>
          <rPr>
            <sz val="9"/>
            <color indexed="81"/>
            <rFont val="Tahoma"/>
            <family val="2"/>
          </rPr>
          <t xml:space="preserve">
1.011bn write-down</t>
        </r>
      </text>
    </comment>
    <comment ref="AL42" authorId="0" shapeId="0" xr:uid="{00000000-0006-0000-0900-000020000000}">
      <text>
        <r>
          <rPr>
            <b/>
            <sz val="9"/>
            <color indexed="81"/>
            <rFont val="Tahoma"/>
            <family val="2"/>
          </rPr>
          <t>Parsons, Gavin [GIR]:</t>
        </r>
        <r>
          <rPr>
            <sz val="9"/>
            <color indexed="81"/>
            <rFont val="Tahoma"/>
            <family val="2"/>
          </rPr>
          <t xml:space="preserve">
charge / units moved out of block</t>
        </r>
      </text>
    </comment>
    <comment ref="AM42" authorId="0" shapeId="0" xr:uid="{00000000-0006-0000-0900-000021000000}">
      <text>
        <r>
          <rPr>
            <b/>
            <sz val="9"/>
            <color indexed="81"/>
            <rFont val="Tahoma"/>
            <family val="2"/>
          </rPr>
          <t>Parsons, Gavin [GIR]:</t>
        </r>
        <r>
          <rPr>
            <sz val="9"/>
            <color indexed="81"/>
            <rFont val="Tahoma"/>
            <family val="2"/>
          </rPr>
          <t xml:space="preserve">
charge / units moved out of block</t>
        </r>
      </text>
    </comment>
    <comment ref="AT42" authorId="0" shapeId="0" xr:uid="{00000000-0006-0000-0900-000022000000}">
      <text>
        <r>
          <rPr>
            <b/>
            <sz val="9"/>
            <color indexed="81"/>
            <rFont val="Tahoma"/>
            <family val="2"/>
          </rPr>
          <t>Parsons, Gavin [GIR]:</t>
        </r>
        <r>
          <rPr>
            <sz val="9"/>
            <color indexed="81"/>
            <rFont val="Tahoma"/>
            <family val="2"/>
          </rPr>
          <t xml:space="preserve">
exact amount of charge in quarter</t>
        </r>
      </text>
    </comment>
    <comment ref="AY42" authorId="0" shapeId="0" xr:uid="{EF5B0B68-1317-40AB-A98B-75DBF83ABFB7}">
      <text>
        <r>
          <rPr>
            <b/>
            <sz val="9"/>
            <color indexed="81"/>
            <rFont val="Tahoma"/>
            <family val="2"/>
          </rPr>
          <t>Parsons, Gavin [GIR]:</t>
        </r>
        <r>
          <rPr>
            <sz val="9"/>
            <color indexed="81"/>
            <rFont val="Tahoma"/>
            <family val="2"/>
          </rPr>
          <t xml:space="preserve">
600 abnormal production charge in quarter</t>
        </r>
      </text>
    </comment>
    <comment ref="U43" authorId="0" shapeId="0" xr:uid="{00000000-0006-0000-0900-000023000000}">
      <text>
        <r>
          <rPr>
            <b/>
            <sz val="9"/>
            <color indexed="81"/>
            <rFont val="Tahoma"/>
            <family val="2"/>
          </rPr>
          <t>Parsons, Gavin [GIR]:</t>
        </r>
        <r>
          <rPr>
            <sz val="9"/>
            <color indexed="81"/>
            <rFont val="Tahoma"/>
            <family val="2"/>
          </rPr>
          <t xml:space="preserve">
1.011bn writedown = 33mn</t>
        </r>
      </text>
    </comment>
    <comment ref="AI44" authorId="0" shapeId="0" xr:uid="{00000000-0006-0000-0900-000024000000}">
      <text>
        <r>
          <rPr>
            <b/>
            <sz val="9"/>
            <color indexed="81"/>
            <rFont val="Tahoma"/>
            <family val="2"/>
          </rPr>
          <t>Parsons, Gavin [GIR]:</t>
        </r>
        <r>
          <rPr>
            <sz val="9"/>
            <color indexed="81"/>
            <rFont val="Tahoma"/>
            <family val="2"/>
          </rPr>
          <t xml:space="preserve">
average 3/4Q</t>
        </r>
      </text>
    </comment>
    <comment ref="AJ44" authorId="0" shapeId="0" xr:uid="{00000000-0006-0000-0900-000025000000}">
      <text>
        <r>
          <rPr>
            <b/>
            <sz val="9"/>
            <color indexed="81"/>
            <rFont val="Tahoma"/>
            <family val="2"/>
          </rPr>
          <t>Parsons, Gavin [GIR]:</t>
        </r>
        <r>
          <rPr>
            <sz val="9"/>
            <color indexed="81"/>
            <rFont val="Tahoma"/>
            <family val="2"/>
          </rPr>
          <t xml:space="preserve">
average 3/4Q</t>
        </r>
      </text>
    </comment>
    <comment ref="AM44" authorId="1" shapeId="0" xr:uid="{00000000-0006-0000-0900-000026000000}">
      <text>
        <r>
          <rPr>
            <b/>
            <sz val="9"/>
            <color indexed="81"/>
            <rFont val="Tahoma"/>
            <family val="2"/>
          </rPr>
          <t>Poponak, Noah [GIR]:</t>
        </r>
        <r>
          <rPr>
            <sz val="9"/>
            <color indexed="81"/>
            <rFont val="Tahoma"/>
            <family val="2"/>
          </rPr>
          <t xml:space="preserve">
assumed 10/month with april shut down + some WIP</t>
        </r>
      </text>
    </comment>
    <comment ref="BD44" authorId="5" shapeId="0" xr:uid="{3C392103-533A-4582-85FB-E80B371A486A}">
      <text>
        <r>
          <rPr>
            <b/>
            <sz val="9"/>
            <color indexed="81"/>
            <rFont val="Tahoma"/>
            <family val="2"/>
          </rPr>
          <t>Valentini, Anthony [GIR]:</t>
        </r>
        <r>
          <rPr>
            <sz val="9"/>
            <color indexed="81"/>
            <rFont val="Tahoma"/>
            <family val="2"/>
          </rPr>
          <t xml:space="preserve">
assumes inventory unwind is over in 2025</t>
        </r>
      </text>
    </comment>
    <comment ref="AL45" authorId="0" shapeId="0" xr:uid="{00000000-0006-0000-0900-000027000000}">
      <text>
        <r>
          <rPr>
            <b/>
            <sz val="9"/>
            <color indexed="81"/>
            <rFont val="Tahoma"/>
            <family val="2"/>
          </rPr>
          <t>Parsons, Gavin [GIR]:</t>
        </r>
        <r>
          <rPr>
            <sz val="9"/>
            <color indexed="81"/>
            <rFont val="Tahoma"/>
            <family val="2"/>
          </rPr>
          <t xml:space="preserve">
100 units moved out of block</t>
        </r>
      </text>
    </comment>
    <comment ref="Z46" authorId="0" shapeId="0" xr:uid="{00000000-0006-0000-0900-000028000000}">
      <text>
        <r>
          <rPr>
            <b/>
            <sz val="9"/>
            <color indexed="81"/>
            <rFont val="Tahoma"/>
            <family val="2"/>
          </rPr>
          <t>Parsons, Gavin [GIR]:</t>
        </r>
        <r>
          <rPr>
            <sz val="9"/>
            <color indexed="81"/>
            <rFont val="Tahoma"/>
            <family val="2"/>
          </rPr>
          <t xml:space="preserve">
extended block</t>
        </r>
      </text>
    </comment>
    <comment ref="AC46" authorId="0" shapeId="0" xr:uid="{00000000-0006-0000-0900-000029000000}">
      <text>
        <r>
          <rPr>
            <b/>
            <sz val="9"/>
            <color indexed="81"/>
            <rFont val="Tahoma"/>
            <family val="2"/>
          </rPr>
          <t>Parsons, Gavin [GIR]:</t>
        </r>
        <r>
          <rPr>
            <sz val="9"/>
            <color indexed="81"/>
            <rFont val="Tahoma"/>
            <family val="2"/>
          </rPr>
          <t xml:space="preserve">
extended block</t>
        </r>
      </text>
    </comment>
    <comment ref="AQ46" authorId="0" shapeId="0" xr:uid="{00000000-0006-0000-0900-00002A000000}">
      <text>
        <r>
          <rPr>
            <b/>
            <sz val="9"/>
            <color indexed="81"/>
            <rFont val="Tahoma"/>
            <family val="2"/>
          </rPr>
          <t>Parsons, Gavin [GIR]:</t>
        </r>
        <r>
          <rPr>
            <sz val="9"/>
            <color indexed="81"/>
            <rFont val="Tahoma"/>
            <family val="2"/>
          </rPr>
          <t xml:space="preserve">
abnormally disrupted</t>
        </r>
      </text>
    </comment>
    <comment ref="AV46" authorId="0" shapeId="0" xr:uid="{00000000-0006-0000-0900-00002B000000}">
      <text>
        <r>
          <rPr>
            <b/>
            <sz val="9"/>
            <color indexed="81"/>
            <rFont val="Tahoma"/>
            <family val="2"/>
          </rPr>
          <t>Parsons, Gavin [GIR]:</t>
        </r>
        <r>
          <rPr>
            <sz val="9"/>
            <color indexed="81"/>
            <rFont val="Tahoma"/>
            <family val="2"/>
          </rPr>
          <t xml:space="preserve">
1q22: positive</t>
        </r>
      </text>
    </comment>
    <comment ref="B65" authorId="0" shapeId="0" xr:uid="{00000000-0006-0000-0900-00002C000000}">
      <text>
        <r>
          <rPr>
            <b/>
            <sz val="9"/>
            <color indexed="81"/>
            <rFont val="Tahoma"/>
            <family val="2"/>
          </rPr>
          <t>Parsons, Gavin [GIR]:</t>
        </r>
        <r>
          <rPr>
            <sz val="9"/>
            <color indexed="81"/>
            <rFont val="Tahoma"/>
            <family val="2"/>
          </rPr>
          <t xml:space="preserve">
2.9 is equivalent to 11.5 months</t>
        </r>
      </text>
    </comment>
    <comment ref="H65" authorId="0" shapeId="0" xr:uid="{00000000-0006-0000-0900-00002D000000}">
      <text>
        <r>
          <rPr>
            <b/>
            <sz val="9"/>
            <color indexed="81"/>
            <rFont val="Tahoma"/>
            <family val="2"/>
          </rPr>
          <t>Parsons, Gavin [GIR]:</t>
        </r>
        <r>
          <rPr>
            <sz val="9"/>
            <color indexed="81"/>
            <rFont val="Tahoma"/>
            <family val="2"/>
          </rPr>
          <t xml:space="preserve">
P-8s</t>
        </r>
      </text>
    </comment>
    <comment ref="N65" authorId="0" shapeId="0" xr:uid="{00000000-0006-0000-0900-00002E000000}">
      <text>
        <r>
          <rPr>
            <b/>
            <sz val="9"/>
            <color indexed="81"/>
            <rFont val="Tahoma"/>
            <family val="2"/>
          </rPr>
          <t>Parsons, Gavin [GIR]:</t>
        </r>
        <r>
          <rPr>
            <sz val="9"/>
            <color indexed="81"/>
            <rFont val="Tahoma"/>
            <family val="2"/>
          </rPr>
          <t xml:space="preserve">
Stated at 26/mo with 4Q release</t>
        </r>
      </text>
    </comment>
    <comment ref="K68" authorId="0" shapeId="0" xr:uid="{00000000-0006-0000-0900-00002F000000}">
      <text>
        <r>
          <rPr>
            <b/>
            <sz val="9"/>
            <color indexed="81"/>
            <rFont val="Tahoma"/>
            <family val="2"/>
          </rPr>
          <t>Parsons, Gavin [GIR]:</t>
        </r>
        <r>
          <rPr>
            <sz val="9"/>
            <color indexed="81"/>
            <rFont val="Tahoma"/>
            <family val="2"/>
          </rPr>
          <t xml:space="preserve">
1q21: 400</t>
        </r>
      </text>
    </comment>
    <comment ref="M68" authorId="0" shapeId="0" xr:uid="{00000000-0006-0000-0900-000030000000}">
      <text>
        <r>
          <rPr>
            <b/>
            <sz val="9"/>
            <color indexed="81"/>
            <rFont val="Tahoma"/>
            <family val="2"/>
          </rPr>
          <t>Parsons, Gavin [GIR]:</t>
        </r>
        <r>
          <rPr>
            <sz val="9"/>
            <color indexed="81"/>
            <rFont val="Tahoma"/>
            <family val="2"/>
          </rPr>
          <t xml:space="preserve">
370</t>
        </r>
      </text>
    </comment>
    <comment ref="N68" authorId="0" shapeId="0" xr:uid="{00000000-0006-0000-0900-000031000000}">
      <text>
        <r>
          <rPr>
            <b/>
            <sz val="9"/>
            <color indexed="81"/>
            <rFont val="Tahoma"/>
            <family val="2"/>
          </rPr>
          <t>Parsons, Gavin [GIR]:</t>
        </r>
        <r>
          <rPr>
            <sz val="9"/>
            <color indexed="81"/>
            <rFont val="Tahoma"/>
            <family val="2"/>
          </rPr>
          <t xml:space="preserve">
335</t>
        </r>
      </text>
    </comment>
    <comment ref="O68" authorId="0" shapeId="0" xr:uid="{00000000-0006-0000-0900-000032000000}">
      <text>
        <r>
          <rPr>
            <b/>
            <sz val="9"/>
            <color indexed="81"/>
            <rFont val="Tahoma"/>
            <family val="2"/>
          </rPr>
          <t>Parsons, Gavin [GIR]:</t>
        </r>
        <r>
          <rPr>
            <sz val="9"/>
            <color indexed="81"/>
            <rFont val="Tahoma"/>
            <family val="2"/>
          </rPr>
          <t xml:space="preserve">
1q22: 320</t>
        </r>
      </text>
    </comment>
    <comment ref="P68" authorId="0" shapeId="0" xr:uid="{8282F499-19A5-4BE2-82A5-CA179D4D7020}">
      <text>
        <r>
          <rPr>
            <b/>
            <sz val="9"/>
            <color indexed="81"/>
            <rFont val="Tahoma"/>
            <family val="2"/>
          </rPr>
          <t>Parsons, Gavin [GIR]:</t>
        </r>
        <r>
          <rPr>
            <sz val="9"/>
            <color indexed="81"/>
            <rFont val="Tahoma"/>
            <family val="2"/>
          </rPr>
          <t xml:space="preserve">
2q22: 290</t>
        </r>
      </text>
    </comment>
    <comment ref="Q68" authorId="0" shapeId="0" xr:uid="{9552D886-2F36-4275-B813-0BF81EEE1F43}">
      <text>
        <r>
          <rPr>
            <b/>
            <sz val="9"/>
            <color indexed="81"/>
            <rFont val="Tahoma"/>
            <family val="2"/>
          </rPr>
          <t>Parsons, Gavin [GIR]:</t>
        </r>
        <r>
          <rPr>
            <sz val="9"/>
            <color indexed="81"/>
            <rFont val="Tahoma"/>
            <family val="2"/>
          </rPr>
          <t xml:space="preserve">
3q22: 270</t>
        </r>
      </text>
    </comment>
    <comment ref="R68" authorId="0" shapeId="0" xr:uid="{FF7B62A9-53EE-4D93-BC1E-7EED09FB7A6C}">
      <text>
        <r>
          <rPr>
            <b/>
            <sz val="9"/>
            <color indexed="81"/>
            <rFont val="Tahoma"/>
            <family val="2"/>
          </rPr>
          <t>Parsons, Gavin [GIR]:</t>
        </r>
        <r>
          <rPr>
            <sz val="9"/>
            <color indexed="81"/>
            <rFont val="Tahoma"/>
            <family val="2"/>
          </rPr>
          <t xml:space="preserve">
4q22: 250</t>
        </r>
      </text>
    </comment>
    <comment ref="V68" authorId="1" shapeId="0" xr:uid="{5F8F4C7F-D810-41F2-8C6B-85904621E74A}">
      <text>
        <r>
          <rPr>
            <b/>
            <sz val="9"/>
            <color indexed="81"/>
            <rFont val="Tahoma"/>
            <family val="2"/>
          </rPr>
          <t>Poponak, Noah [GIR]:</t>
        </r>
        <r>
          <rPr>
            <sz val="9"/>
            <color indexed="81"/>
            <rFont val="Tahoma"/>
            <family val="2"/>
          </rPr>
          <t xml:space="preserve">
1q24: 140</t>
        </r>
      </text>
    </comment>
    <comment ref="W68" authorId="1" shapeId="0" xr:uid="{645484BF-2354-4797-B596-22049349EDA3}">
      <text>
        <r>
          <rPr>
            <b/>
            <sz val="9"/>
            <color indexed="81"/>
            <rFont val="Tahoma"/>
            <family val="2"/>
          </rPr>
          <t>Poponak, Noah [GIR]:</t>
        </r>
        <r>
          <rPr>
            <sz val="9"/>
            <color indexed="81"/>
            <rFont val="Tahoma"/>
            <family val="2"/>
          </rPr>
          <t xml:space="preserve">
1q24: 110</t>
        </r>
      </text>
    </comment>
    <comment ref="B77" authorId="0" shapeId="0" xr:uid="{00000000-0006-0000-0900-000033000000}">
      <text>
        <r>
          <rPr>
            <b/>
            <sz val="9"/>
            <color indexed="81"/>
            <rFont val="Tahoma"/>
            <family val="2"/>
          </rPr>
          <t>Parsons, Gavin [GIR]:</t>
        </r>
        <r>
          <rPr>
            <sz val="9"/>
            <color indexed="81"/>
            <rFont val="Tahoma"/>
            <family val="2"/>
          </rPr>
          <t xml:space="preserve">
multiplied by inventory defined by COGS -&gt; 40% of sale price
sale price 100
20% margin = COGS 80
PDPs 40
Final airline pmt 60
-collect 20 profit on final pmt
-unwind 80 inv
-offset with 40 lower PDP balance</t>
        </r>
      </text>
    </comment>
    <comment ref="B83" authorId="0" shapeId="0" xr:uid="{00000000-0006-0000-0900-000034000000}">
      <text>
        <r>
          <rPr>
            <b/>
            <sz val="9"/>
            <color indexed="81"/>
            <rFont val="Tahoma"/>
            <family val="2"/>
          </rPr>
          <t>Parsons, Gavin [GIR]:</t>
        </r>
        <r>
          <rPr>
            <sz val="9"/>
            <color indexed="81"/>
            <rFont val="Tahoma"/>
            <family val="2"/>
          </rPr>
          <t xml:space="preserve">
2.9 is equivalent to 11.5 months</t>
        </r>
      </text>
    </comment>
    <comment ref="J86" authorId="0" shapeId="0" xr:uid="{00000000-0006-0000-0900-000035000000}">
      <text>
        <r>
          <rPr>
            <b/>
            <sz val="9"/>
            <color indexed="81"/>
            <rFont val="Tahoma"/>
            <family val="2"/>
          </rPr>
          <t>Parsons, Gavin [GIR]:</t>
        </r>
        <r>
          <rPr>
            <sz val="9"/>
            <color indexed="81"/>
            <rFont val="Tahoma"/>
            <family val="2"/>
          </rPr>
          <t xml:space="preserve">
4q20: about 80, unwound mostly in '21</t>
        </r>
      </text>
    </comment>
    <comment ref="K86" authorId="0" shapeId="0" xr:uid="{00000000-0006-0000-0900-000036000000}">
      <text>
        <r>
          <rPr>
            <b/>
            <sz val="9"/>
            <color indexed="81"/>
            <rFont val="Tahoma"/>
            <family val="2"/>
          </rPr>
          <t>Parsons, Gavin [GIR]:</t>
        </r>
        <r>
          <rPr>
            <sz val="9"/>
            <color indexed="81"/>
            <rFont val="Tahoma"/>
            <family val="2"/>
          </rPr>
          <t xml:space="preserve">
1q21: ~100, mostly unwound in 2021</t>
        </r>
      </text>
    </comment>
    <comment ref="M86" authorId="0" shapeId="0" xr:uid="{00000000-0006-0000-0900-000037000000}">
      <text>
        <r>
          <rPr>
            <b/>
            <sz val="9"/>
            <color indexed="81"/>
            <rFont val="Tahoma"/>
            <family val="2"/>
          </rPr>
          <t>Parsons, Gavin [GIR]:</t>
        </r>
        <r>
          <rPr>
            <sz val="9"/>
            <color indexed="81"/>
            <rFont val="Tahoma"/>
            <family val="2"/>
          </rPr>
          <t xml:space="preserve">
105</t>
        </r>
      </text>
    </comment>
    <comment ref="N86" authorId="0" shapeId="0" xr:uid="{00000000-0006-0000-0900-000038000000}">
      <text>
        <r>
          <rPr>
            <b/>
            <sz val="9"/>
            <color indexed="81"/>
            <rFont val="Tahoma"/>
            <family val="2"/>
          </rPr>
          <t>Parsons, Gavin [GIR]:</t>
        </r>
        <r>
          <rPr>
            <sz val="9"/>
            <color indexed="81"/>
            <rFont val="Tahoma"/>
            <family val="2"/>
          </rPr>
          <t xml:space="preserve">
110</t>
        </r>
      </text>
    </comment>
    <comment ref="O86" authorId="0" shapeId="0" xr:uid="{00000000-0006-0000-0900-000039000000}">
      <text>
        <r>
          <rPr>
            <b/>
            <sz val="9"/>
            <color indexed="81"/>
            <rFont val="Tahoma"/>
            <family val="2"/>
          </rPr>
          <t>Parsons, Gavin [GIR]:</t>
        </r>
        <r>
          <rPr>
            <sz val="9"/>
            <color indexed="81"/>
            <rFont val="Tahoma"/>
            <family val="2"/>
          </rPr>
          <t xml:space="preserve">
115</t>
        </r>
      </text>
    </comment>
    <comment ref="Q86" authorId="0" shapeId="0" xr:uid="{2BC1DEBE-B0BB-4C58-87DE-57CA726D7E5A}">
      <text>
        <r>
          <rPr>
            <b/>
            <sz val="9"/>
            <color indexed="81"/>
            <rFont val="Tahoma"/>
            <family val="2"/>
          </rPr>
          <t>Parsons, Gavin [GIR]:</t>
        </r>
        <r>
          <rPr>
            <sz val="9"/>
            <color indexed="81"/>
            <rFont val="Tahoma"/>
            <family val="2"/>
          </rPr>
          <t xml:space="preserve">
3q22: 115</t>
        </r>
      </text>
    </comment>
    <comment ref="R86" authorId="0" shapeId="0" xr:uid="{0F1E1632-53E9-4B11-B54E-03BDD358A3B3}">
      <text>
        <r>
          <rPr>
            <b/>
            <sz val="9"/>
            <color indexed="81"/>
            <rFont val="Tahoma"/>
            <family val="2"/>
          </rPr>
          <t>Parsons, Gavin [GIR]:</t>
        </r>
        <r>
          <rPr>
            <sz val="9"/>
            <color indexed="81"/>
            <rFont val="Tahoma"/>
            <family val="2"/>
          </rPr>
          <t xml:space="preserve">
4q22: 100</t>
        </r>
      </text>
    </comment>
  </commentList>
</comments>
</file>

<file path=xl/sharedStrings.xml><?xml version="1.0" encoding="utf-8"?>
<sst xmlns="http://schemas.openxmlformats.org/spreadsheetml/2006/main" count="2026" uniqueCount="755">
  <si>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</si>
  <si>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</si>
  <si>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</si>
  <si>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</si>
  <si>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</si>
  <si>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</si>
  <si>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</si>
  <si>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</si>
  <si>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</si>
  <si>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</si>
  <si>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</si>
  <si>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</si>
  <si>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</si>
  <si>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</si>
  <si>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</si>
  <si>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</si>
  <si>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</si>
  <si>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</si>
  <si>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</si>
  <si>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</si>
  <si>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</si>
  <si>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</si>
  <si>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</si>
  <si>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4Q09</t>
  </si>
  <si>
    <t>Income Statement</t>
  </si>
  <si>
    <t>Sales of products</t>
  </si>
  <si>
    <t>Sales of services</t>
  </si>
  <si>
    <t>Total revenues</t>
  </si>
  <si>
    <t>Cost of products</t>
  </si>
  <si>
    <t>Cost of services</t>
  </si>
  <si>
    <t>Boeing Capital Corporation interest expense</t>
  </si>
  <si>
    <t>Total costs and expenses</t>
  </si>
  <si>
    <t>Income from operating investments, net</t>
  </si>
  <si>
    <t>General and administrative</t>
  </si>
  <si>
    <t>Research and development expense, net</t>
  </si>
  <si>
    <t>Loss on dispositions/business shutdown, net</t>
  </si>
  <si>
    <t>Interest and debt expense</t>
  </si>
  <si>
    <t>Earnings before income taxes</t>
  </si>
  <si>
    <t>Income tax expense</t>
  </si>
  <si>
    <t>Discontinued ops. &amp; non recurring items</t>
  </si>
  <si>
    <t>Net income, continuing ops.</t>
  </si>
  <si>
    <t>Net income reported</t>
  </si>
  <si>
    <t>Basic EPS, continuing ops.</t>
  </si>
  <si>
    <t>Basic EPS, reported</t>
  </si>
  <si>
    <t>Diluted EPS</t>
  </si>
  <si>
    <t>Diluted EPS, reported</t>
  </si>
  <si>
    <t>Basic</t>
  </si>
  <si>
    <t>Diluted</t>
  </si>
  <si>
    <t>Assets</t>
  </si>
  <si>
    <t>Cash and cash equivalents</t>
  </si>
  <si>
    <t>Short-term investments</t>
  </si>
  <si>
    <t>Current portion of customer financing, net</t>
  </si>
  <si>
    <t>Deferred income taxes</t>
  </si>
  <si>
    <t>Inventories, net of advances and progress billings</t>
  </si>
  <si>
    <t>Total current assets</t>
  </si>
  <si>
    <t>Other current assets</t>
  </si>
  <si>
    <t>Customer financing, net</t>
  </si>
  <si>
    <t>Net PP&amp;E</t>
  </si>
  <si>
    <t>Goodwill</t>
  </si>
  <si>
    <t>Other acquired intangibles, net</t>
  </si>
  <si>
    <t>Investments</t>
  </si>
  <si>
    <t>Pension plan assets, net</t>
  </si>
  <si>
    <t>Other assets, net of accumulated amortization</t>
  </si>
  <si>
    <t>Total assets</t>
  </si>
  <si>
    <t>Liabilities and shareholder's equity</t>
  </si>
  <si>
    <t>Advances and billings in excess of related costs</t>
  </si>
  <si>
    <t>Income tax payable</t>
  </si>
  <si>
    <t>Short term debt and current portion of long term debt</t>
  </si>
  <si>
    <t>Total current liabilities</t>
  </si>
  <si>
    <t>Accrued retiree health care</t>
  </si>
  <si>
    <t>Accrued pension plan liability, net</t>
  </si>
  <si>
    <t>Non-current income taxes payable</t>
  </si>
  <si>
    <t>Other long term liabilities</t>
  </si>
  <si>
    <t>Long term debt</t>
  </si>
  <si>
    <t>Common stock</t>
  </si>
  <si>
    <t>Additional paid in capital</t>
  </si>
  <si>
    <t>Retained earnings</t>
  </si>
  <si>
    <t>Accumulated other comprehensive loss</t>
  </si>
  <si>
    <t>Treasury stock</t>
  </si>
  <si>
    <t>Share Value Trust shares</t>
  </si>
  <si>
    <t>Total Boeing's shareholder's equity</t>
  </si>
  <si>
    <t>Non controlling interest</t>
  </si>
  <si>
    <t>Total shareholder's equity</t>
  </si>
  <si>
    <t>Total liabilities and shareholder's equity</t>
  </si>
  <si>
    <t>Net income</t>
  </si>
  <si>
    <t>Share based plan expense</t>
  </si>
  <si>
    <t>Amortization of other acquired intangibles</t>
  </si>
  <si>
    <t>Investment/asset impairment charges, net</t>
  </si>
  <si>
    <t>Customer financing valuation provision/(benefit)</t>
  </si>
  <si>
    <t>Other charges and credits, net</t>
  </si>
  <si>
    <t>Accounts receivable</t>
  </si>
  <si>
    <t>Income taxes receivable, payable and deferred</t>
  </si>
  <si>
    <t>Pension and other post retirement plans</t>
  </si>
  <si>
    <t>Other</t>
  </si>
  <si>
    <t>Contributions to investments</t>
  </si>
  <si>
    <t>Proceeds from investments</t>
  </si>
  <si>
    <t>Debt repayments</t>
  </si>
  <si>
    <t>Stock options exercised, other</t>
  </si>
  <si>
    <t>Common shares repurchased</t>
  </si>
  <si>
    <t>Dividends paid</t>
  </si>
  <si>
    <t>Others</t>
  </si>
  <si>
    <t>Increase in cash and cash equivalents</t>
  </si>
  <si>
    <t>Cash and cash equivalents - beginning of period</t>
  </si>
  <si>
    <t>Cash and cash equivalents - end of period</t>
  </si>
  <si>
    <t>Segment Data</t>
  </si>
  <si>
    <t>Commercial Airplanes</t>
  </si>
  <si>
    <t>Boeing Military Aircraft</t>
  </si>
  <si>
    <t>Network and Space Systems</t>
  </si>
  <si>
    <t>Global Services and Support</t>
  </si>
  <si>
    <t>Unallocated items and eliminations</t>
  </si>
  <si>
    <t>Total revenue</t>
  </si>
  <si>
    <t>Operating Income</t>
  </si>
  <si>
    <t>Total operating income</t>
  </si>
  <si>
    <t>Revenue</t>
  </si>
  <si>
    <t>Backlog</t>
  </si>
  <si>
    <t>Units</t>
  </si>
  <si>
    <t>Total contractual</t>
  </si>
  <si>
    <t>Unobligated</t>
  </si>
  <si>
    <t>Total backlog</t>
  </si>
  <si>
    <t>BCA backlog/sales</t>
  </si>
  <si>
    <t>Total backlog/sales</t>
  </si>
  <si>
    <t>Implied bookings</t>
  </si>
  <si>
    <t>Book-to-bill</t>
  </si>
  <si>
    <t>Total book-to-bill</t>
  </si>
  <si>
    <t>Research and development expense:</t>
  </si>
  <si>
    <t>Support Systems</t>
  </si>
  <si>
    <t>Total research and development expense</t>
  </si>
  <si>
    <t>Depreciation</t>
  </si>
  <si>
    <t>New borrowings</t>
  </si>
  <si>
    <t>Exchange rate effect</t>
  </si>
  <si>
    <t>Aircraft and Weapon Systems</t>
  </si>
  <si>
    <t>Network Systems</t>
  </si>
  <si>
    <t>Launch and Orbital Systems</t>
  </si>
  <si>
    <t>Military Aircraft and Missile Systems</t>
  </si>
  <si>
    <t>Space and Communications</t>
  </si>
  <si>
    <t>Earnings from operations</t>
  </si>
  <si>
    <t>Accounts receivable, net</t>
  </si>
  <si>
    <t>Other current liabilities</t>
  </si>
  <si>
    <t>Total liabilities</t>
  </si>
  <si>
    <t>Loss/(gain) on disposal of disc. Ops</t>
  </si>
  <si>
    <t>Loss on dispositions/business shutdown net</t>
  </si>
  <si>
    <t>Property, plant and equipment additions</t>
  </si>
  <si>
    <t>Property, plant and equipment reductions</t>
  </si>
  <si>
    <t>Acquisitions, net of cash acquired</t>
  </si>
  <si>
    <t>Boeing Capital Corporation</t>
  </si>
  <si>
    <t>Balance Sheet</t>
  </si>
  <si>
    <t>Operating activities</t>
  </si>
  <si>
    <t>Changes in assets and liabilities:</t>
  </si>
  <si>
    <t>($ mn)</t>
  </si>
  <si>
    <t>Digital Receiver Technology, Inc. - 12/08</t>
  </si>
  <si>
    <t>The Federated Software Group, Inc. - 12/08</t>
  </si>
  <si>
    <t>Tapestry Solutions, Inc. - 11/08</t>
  </si>
  <si>
    <t>HXL/ BHA Aero Composites Parts Co. Ltd. - 7/08</t>
  </si>
  <si>
    <t>INSITU, Inc. - 9/08</t>
  </si>
  <si>
    <t>Ocean Systems, Inc. - 3/08</t>
  </si>
  <si>
    <t>Sisu Services, Inc. - 4/07</t>
  </si>
  <si>
    <t>C-Map, Inc. - 1/07</t>
  </si>
  <si>
    <t>Aviall, Inc. - 9/06</t>
  </si>
  <si>
    <t>Kronos, Inc./ Carmen systems- 6/06</t>
  </si>
  <si>
    <t>Frontier Systems Inc - 5/04</t>
  </si>
  <si>
    <t>Conquest Inc - 2/03</t>
  </si>
  <si>
    <t>SBS International - 7/01</t>
  </si>
  <si>
    <t>FlightSafety International, Inc. - 10/02</t>
  </si>
  <si>
    <t>AeroInfo Systems, Inc. - 9/00</t>
  </si>
  <si>
    <t>Tribune Co./ Jeppesen &amp; Co. - 10/00</t>
  </si>
  <si>
    <t>SVS Inc - 6/00</t>
  </si>
  <si>
    <t>Autometric Inc - 6/00</t>
  </si>
  <si>
    <t>Preston Group Pty Ltd. - 9/99</t>
  </si>
  <si>
    <t>McDonnell Douglas Corp.  - 7/97</t>
  </si>
  <si>
    <t>AERO Vodochody AS - 1/98</t>
  </si>
  <si>
    <t>Acquisitions</t>
  </si>
  <si>
    <t>Divestures</t>
  </si>
  <si>
    <t>Rocketdyne Propulsion &amp; Power - 8/05</t>
  </si>
  <si>
    <t>Boeing Electron Dynamic Devices, Inc. - 3/05</t>
  </si>
  <si>
    <t>AERO Vodochody AS - 10/04</t>
  </si>
  <si>
    <t>Boeing Commercial Electronics - 7/04</t>
  </si>
  <si>
    <t>Military Plane Structures Operations - 1/01</t>
  </si>
  <si>
    <t>Commercial Helicopter Business - 2/03</t>
  </si>
  <si>
    <t>Acquired Revenue</t>
  </si>
  <si>
    <t>Divested Revenue</t>
  </si>
  <si>
    <t>Revenue Mix</t>
  </si>
  <si>
    <t>Organic Revenue Y/Y Growth</t>
  </si>
  <si>
    <t>Revenue Y/Y Growth</t>
  </si>
  <si>
    <t>Revenue Q/Q growth</t>
  </si>
  <si>
    <t>Operating Income Mix</t>
  </si>
  <si>
    <t>Operating Margin</t>
  </si>
  <si>
    <t>Operating Income Y/Y Growth</t>
  </si>
  <si>
    <t>Operating Income Q/Q growth</t>
  </si>
  <si>
    <t>Total</t>
  </si>
  <si>
    <t>Continental Graphics Corp - 9/00</t>
  </si>
  <si>
    <t>Unit Price  $</t>
  </si>
  <si>
    <t>Program Revenue  $</t>
  </si>
  <si>
    <t>Program gross profit  $</t>
  </si>
  <si>
    <t>Unit Price $</t>
  </si>
  <si>
    <t>Program Revenue $</t>
  </si>
  <si>
    <t>Total Units Delivered</t>
  </si>
  <si>
    <t>yoy</t>
  </si>
  <si>
    <t>Total Delivery Revenue</t>
  </si>
  <si>
    <t>Aviall</t>
  </si>
  <si>
    <t>Support Service Revenues</t>
  </si>
  <si>
    <t>Spares Revenues</t>
  </si>
  <si>
    <t>B-707</t>
  </si>
  <si>
    <t>Gross Margin</t>
  </si>
  <si>
    <t>B-747 (Units)</t>
  </si>
  <si>
    <t>B-747-800 (Units)</t>
  </si>
  <si>
    <t>B-757 (Units)</t>
  </si>
  <si>
    <t>B-787 (Units)</t>
  </si>
  <si>
    <t>B-767 (Units)</t>
  </si>
  <si>
    <t>B-777 (Units)</t>
  </si>
  <si>
    <t>B-717 (Units)</t>
  </si>
  <si>
    <t>MD-80 (Units)</t>
  </si>
  <si>
    <t>MD-90 (Units)</t>
  </si>
  <si>
    <t>MD-11 (Units)</t>
  </si>
  <si>
    <t>Douglas Product Division:</t>
  </si>
  <si>
    <t>($ mn, except per share data)</t>
  </si>
  <si>
    <t>Calculation of EBITDA</t>
  </si>
  <si>
    <t>EBIT</t>
  </si>
  <si>
    <t>D&amp;A</t>
  </si>
  <si>
    <t>EBITDA</t>
  </si>
  <si>
    <t>Margin analysis</t>
  </si>
  <si>
    <t>Gross margin</t>
  </si>
  <si>
    <t>R&amp;D</t>
  </si>
  <si>
    <t>SG&amp;A</t>
  </si>
  <si>
    <t>EBITDA margin</t>
  </si>
  <si>
    <t>EBIT margin</t>
  </si>
  <si>
    <t>Effective tax rate</t>
  </si>
  <si>
    <t>Net margin</t>
  </si>
  <si>
    <t>Y/Y growth</t>
  </si>
  <si>
    <t>Diluted EPS, continuing</t>
  </si>
  <si>
    <t>Q/Q growth</t>
  </si>
  <si>
    <t>Gross Profit</t>
  </si>
  <si>
    <t>Capital structure</t>
  </si>
  <si>
    <t>Cash</t>
  </si>
  <si>
    <t>Cash per share</t>
  </si>
  <si>
    <t>Equity</t>
  </si>
  <si>
    <t>Debt</t>
  </si>
  <si>
    <t>Net debt</t>
  </si>
  <si>
    <t>Debt/capital</t>
  </si>
  <si>
    <t>Net debt/capital</t>
  </si>
  <si>
    <t>Working capital analysis</t>
  </si>
  <si>
    <t>Working capital</t>
  </si>
  <si>
    <t>Days sales outstanding (DSO)</t>
  </si>
  <si>
    <t>Days payable outstanding (DPO)</t>
  </si>
  <si>
    <t>Inventory turnover</t>
  </si>
  <si>
    <t>Days inventory</t>
  </si>
  <si>
    <t>Cash conversion (days)</t>
  </si>
  <si>
    <t>Asset turnover</t>
  </si>
  <si>
    <t>Liquidity</t>
  </si>
  <si>
    <t>Current ratio</t>
  </si>
  <si>
    <t>Interest coverage ratio</t>
  </si>
  <si>
    <t>Net debt/EBITDA</t>
  </si>
  <si>
    <t>Profitability</t>
  </si>
  <si>
    <t>Return on assets (ROA)</t>
  </si>
  <si>
    <t>CROCI</t>
  </si>
  <si>
    <t>Return on invested capital (ROIC)</t>
  </si>
  <si>
    <t>Return on equity (ROE)</t>
  </si>
  <si>
    <t>Cash from operations</t>
  </si>
  <si>
    <t>Capex</t>
  </si>
  <si>
    <t>Free cash flow</t>
  </si>
  <si>
    <t>FCF/NI</t>
  </si>
  <si>
    <t>Actual</t>
  </si>
  <si>
    <t>Liabilities and Stockholder's Equity</t>
  </si>
  <si>
    <t>Accumulated amortization</t>
  </si>
  <si>
    <t>Accounts payable</t>
  </si>
  <si>
    <t>Sales</t>
  </si>
  <si>
    <t>Cost of sales</t>
  </si>
  <si>
    <t xml:space="preserve"> </t>
  </si>
  <si>
    <t>Pension and other postretirement</t>
  </si>
  <si>
    <t>Share-based plans</t>
  </si>
  <si>
    <t>Deferred compensation benefit/(expense)</t>
  </si>
  <si>
    <t>Other unallocated items and eliminations</t>
  </si>
  <si>
    <t>Geographical Breakdown</t>
  </si>
  <si>
    <t>Sales - % United States</t>
  </si>
  <si>
    <t>Sales - % Canada</t>
  </si>
  <si>
    <t>Sales - % Europe</t>
  </si>
  <si>
    <t>Sales - % Middle East</t>
  </si>
  <si>
    <t>Sales - % Africa</t>
  </si>
  <si>
    <t>Sales - % Asia, other than China</t>
  </si>
  <si>
    <t>Sales - % China</t>
  </si>
  <si>
    <t>Sales - % Oceania</t>
  </si>
  <si>
    <t>Sales - % Latin America, Caribbean, other</t>
  </si>
  <si>
    <t>Avg price</t>
  </si>
  <si>
    <t>Previous remaining authority</t>
  </si>
  <si>
    <t>Expired authority</t>
  </si>
  <si>
    <t>Added authority</t>
  </si>
  <si>
    <t>Dividends</t>
  </si>
  <si>
    <t>Dividend/share</t>
  </si>
  <si>
    <t>Pension</t>
  </si>
  <si>
    <t>Benefit obligation</t>
  </si>
  <si>
    <t>Fair value of plan assets</t>
  </si>
  <si>
    <t>Unfunded Pension status</t>
  </si>
  <si>
    <t>Stock compensation expense (pre-tax)</t>
  </si>
  <si>
    <t>Historical Segments</t>
  </si>
  <si>
    <t>Total acquired revenue</t>
  </si>
  <si>
    <t>Seasonality</t>
  </si>
  <si>
    <t>Incremental Margin</t>
  </si>
  <si>
    <t>Total divested revenue</t>
  </si>
  <si>
    <t xml:space="preserve">Total </t>
  </si>
  <si>
    <t>Cash Dividend/Share</t>
  </si>
  <si>
    <t>Dividend payout ratio</t>
  </si>
  <si>
    <t>Pension expense</t>
  </si>
  <si>
    <t>Benefit plan adjustments to equity</t>
  </si>
  <si>
    <t>Pension-adjusted Equity</t>
  </si>
  <si>
    <t>Pension-adjusted Debt</t>
  </si>
  <si>
    <t>Sales - % Others</t>
  </si>
  <si>
    <t>Sales -% Consumer (C)</t>
  </si>
  <si>
    <t>Sales -% Industry (I)</t>
  </si>
  <si>
    <t>Sales -% Government (G)</t>
  </si>
  <si>
    <t>Cash Flow YTD</t>
  </si>
  <si>
    <t>2Q10</t>
  </si>
  <si>
    <t>3Q10</t>
  </si>
  <si>
    <t>4Q10</t>
  </si>
  <si>
    <t>1Q10</t>
  </si>
  <si>
    <t>2Q11</t>
  </si>
  <si>
    <t>3Q11</t>
  </si>
  <si>
    <t>4Q11</t>
  </si>
  <si>
    <t>1Q11</t>
  </si>
  <si>
    <t>Total segment profit</t>
  </si>
  <si>
    <t>Research and development expense</t>
  </si>
  <si>
    <t>Sales - % Total</t>
  </si>
  <si>
    <t>Others and unallocated items</t>
  </si>
  <si>
    <t>Accumulated depreciation</t>
  </si>
  <si>
    <t>Divestitures</t>
  </si>
  <si>
    <t>Common shares outstanding</t>
  </si>
  <si>
    <t>Share buy back</t>
  </si>
  <si>
    <t>Tenix Holdings / Hawker Di Havilland - 10/00</t>
  </si>
  <si>
    <t>Corinth Texas Aerospace Wiring - 4/03</t>
  </si>
  <si>
    <t>Spokane Fabrication Operation - 1/03</t>
  </si>
  <si>
    <t>Boeing Canada /Arnprior Facility Ops - 7/05</t>
  </si>
  <si>
    <t>Boeing Co / Wichita &amp; Tulsa Division - 6/05</t>
  </si>
  <si>
    <t>GM / Hughes Satellite Systems - 10/00</t>
  </si>
  <si>
    <t>BCC / Commercial Financial Services - 6/04</t>
  </si>
  <si>
    <t>Global Aeronautica LLC. - 12/09</t>
  </si>
  <si>
    <t>Global Aeronautica LLC. - 6/08</t>
  </si>
  <si>
    <t>Vought Aircraft North Charleston Ops - 7/09</t>
  </si>
  <si>
    <t>eXMeritus - 6/09</t>
  </si>
  <si>
    <t>RavenWing - 1/08</t>
  </si>
  <si>
    <t>Boeing Co. /Ordinance Business - 5/02</t>
  </si>
  <si>
    <t>Sensors &amp; Electronic Systems - 10/01</t>
  </si>
  <si>
    <t>Amortization of debt and issuance costs</t>
  </si>
  <si>
    <t>Excess tax benefits from share based payments</t>
  </si>
  <si>
    <t>Employee taxes on certain share based payments</t>
  </si>
  <si>
    <t>Cash from Operations</t>
  </si>
  <si>
    <t>Cash from Investing</t>
  </si>
  <si>
    <t>Cash from Financing</t>
  </si>
  <si>
    <t xml:space="preserve"> No. of shares plan (mn shares) - until 3Q 2006</t>
  </si>
  <si>
    <t>Dollar amount plan ($ mn) - 3Q 2006 to present</t>
  </si>
  <si>
    <t>LTM Book-to-bill</t>
  </si>
  <si>
    <t>BCA deferrals</t>
  </si>
  <si>
    <t>BA Cash Flow</t>
  </si>
  <si>
    <t>BA Balance Sheet</t>
  </si>
  <si>
    <t>BA Income Statement</t>
  </si>
  <si>
    <t>BA Segment Data</t>
  </si>
  <si>
    <t>BA Raw Data</t>
  </si>
  <si>
    <t>BA BCA Build</t>
  </si>
  <si>
    <t>New remaining authority (mn shares)</t>
  </si>
  <si>
    <t>New remaining authority ($mn)</t>
  </si>
  <si>
    <t>Net periodic benefit income (cost)</t>
  </si>
  <si>
    <t>($ mn, except number of units)</t>
  </si>
  <si>
    <t>BCA Deferrals</t>
  </si>
  <si>
    <t>Gross fixed assets</t>
  </si>
  <si>
    <t>Aviall EBIT</t>
  </si>
  <si>
    <t>Support EBIT</t>
  </si>
  <si>
    <t>Spares EBIT</t>
  </si>
  <si>
    <t>Total BCA Revenue</t>
  </si>
  <si>
    <t>yoy growth</t>
  </si>
  <si>
    <t>BCAG ex-one time items</t>
  </si>
  <si>
    <t>BCAG one time adjustments</t>
  </si>
  <si>
    <t>BCA R&amp;D</t>
  </si>
  <si>
    <t>EBIT margin (pre-R&amp;D)</t>
  </si>
  <si>
    <t>Program EBIT (pre-R&amp;D) $</t>
  </si>
  <si>
    <t>B-737 (units)</t>
  </si>
  <si>
    <t>MDs (Units)</t>
  </si>
  <si>
    <t>Support Service Revenue</t>
  </si>
  <si>
    <t>Spares Revenue</t>
  </si>
  <si>
    <t>Total BCA EBIT (pre-R&amp;D, pre-one-times)</t>
  </si>
  <si>
    <t>Margin</t>
  </si>
  <si>
    <t>BCA EBIT post-R&amp;D</t>
  </si>
  <si>
    <t>BCA EBIT margin</t>
  </si>
  <si>
    <t>Total Reported BCA EBIT</t>
  </si>
  <si>
    <t>BCA Margin Analysis</t>
  </si>
  <si>
    <t>($ mn, except percentages)</t>
  </si>
  <si>
    <t>Employees</t>
  </si>
  <si>
    <t>--</t>
  </si>
  <si>
    <t>FCF/share</t>
  </si>
  <si>
    <t>Backlog/sales</t>
  </si>
  <si>
    <t>Years of production by model</t>
  </si>
  <si>
    <t>Unit backlog by model</t>
  </si>
  <si>
    <t>Argon ST, 8/10</t>
  </si>
  <si>
    <t>Narus Inc, 7/10</t>
  </si>
  <si>
    <t>Total Defense, Space &amp; Security</t>
  </si>
  <si>
    <t>Defense, Space &amp; Security</t>
  </si>
  <si>
    <t>Sales (%) SMB</t>
  </si>
  <si>
    <t>CDM Technologies - 12/10</t>
  </si>
  <si>
    <t xml:space="preserve">Summit Aeronautics Group - </t>
  </si>
  <si>
    <t>1Q12</t>
  </si>
  <si>
    <t>2Q12</t>
  </si>
  <si>
    <t>3Q12</t>
  </si>
  <si>
    <t>4Q12</t>
  </si>
  <si>
    <t>B-717</t>
  </si>
  <si>
    <t>B-737</t>
  </si>
  <si>
    <t>B-747</t>
  </si>
  <si>
    <t>B-757</t>
  </si>
  <si>
    <t>B-767</t>
  </si>
  <si>
    <t>B-777</t>
  </si>
  <si>
    <t>B-787</t>
  </si>
  <si>
    <t>Commercial Orders</t>
  </si>
  <si>
    <t>Shares (mn)</t>
  </si>
  <si>
    <t>Total dollar amount spent</t>
  </si>
  <si>
    <t>Sales - % from Captive Financing Business</t>
  </si>
  <si>
    <t>EBIT - % from Captive Financing Business</t>
  </si>
  <si>
    <t>1Q13</t>
  </si>
  <si>
    <t>2Q13</t>
  </si>
  <si>
    <t>3Q13</t>
  </si>
  <si>
    <t>4Q13</t>
  </si>
  <si>
    <t>"Core" EPS (ex. unallocated pension)</t>
  </si>
  <si>
    <t>Unallocated pension expense</t>
  </si>
  <si>
    <t>Unallocated pension expense per share</t>
  </si>
  <si>
    <t>Pension expense per share</t>
  </si>
  <si>
    <t>Commodities Exposure - Sales</t>
  </si>
  <si>
    <t>Commodities Exposure - Expense</t>
  </si>
  <si>
    <t>FX Exposure - Sales</t>
  </si>
  <si>
    <t>Sales - % Other commodity</t>
  </si>
  <si>
    <t>Expense - % Oil/Petrol/Fuel</t>
  </si>
  <si>
    <t>Sales - % FX: British Pounds/Pence</t>
  </si>
  <si>
    <t>Sales - % FX: Euro</t>
  </si>
  <si>
    <t>Sales - % FX: New Russian Ruble</t>
  </si>
  <si>
    <t>Sales - % FX: U.S. Dollar</t>
  </si>
  <si>
    <t>Sales - % FX: Brazilian Real</t>
  </si>
  <si>
    <t>Sales - % FX: Japanese Yen</t>
  </si>
  <si>
    <t>Sales - % FX: Chinese Renminbi</t>
  </si>
  <si>
    <t>Sales - % FX: Indian Rupee</t>
  </si>
  <si>
    <t>Sales - % FX: Canadian Dollar</t>
  </si>
  <si>
    <t>Sales - % FX: Mexican Peso</t>
  </si>
  <si>
    <t>Sales - % FX: Colombian Peso</t>
  </si>
  <si>
    <t>Sales - % FX: Argentine Peso</t>
  </si>
  <si>
    <t>Sales - % FX: Chilean Peso</t>
  </si>
  <si>
    <t>Sales - % FX: Venezuelan bolivar</t>
  </si>
  <si>
    <t>Sales - % FX: Other Currency</t>
  </si>
  <si>
    <t>Sales - % Other (Non-Commodity) sales sources</t>
  </si>
  <si>
    <t>Expense - % Oil derivatives/NGLs/plastics</t>
  </si>
  <si>
    <t>Expense - % Nat Gas</t>
  </si>
  <si>
    <t>Expense - % Gold</t>
  </si>
  <si>
    <t>Expense - % Copper</t>
  </si>
  <si>
    <t>Expense - % Silver</t>
  </si>
  <si>
    <t>Expense - % Platinum</t>
  </si>
  <si>
    <t>Expense - % Palladium</t>
  </si>
  <si>
    <t>Expense - % Aluminium</t>
  </si>
  <si>
    <t>Expense - % Nickel</t>
  </si>
  <si>
    <t>Expense - % Zinc</t>
  </si>
  <si>
    <t>Expense - % Steel</t>
  </si>
  <si>
    <t>Expense - % Glass</t>
  </si>
  <si>
    <t>Expense - % Rubber</t>
  </si>
  <si>
    <t>Expense - % Water</t>
  </si>
  <si>
    <t>Expense - % Other commodity</t>
  </si>
  <si>
    <t>Expense - % Other (Non-Commodity) cost</t>
  </si>
  <si>
    <t>Sales - % Industry Sub-Segment: Financial Services</t>
  </si>
  <si>
    <t>Required pension contribution</t>
  </si>
  <si>
    <t>Discretionary pension contribution</t>
  </si>
  <si>
    <t>Adjustment to equity (accumulated other comprehensive loss)</t>
  </si>
  <si>
    <t>Net Operating Loss Carry-forwards</t>
  </si>
  <si>
    <t>Deferred Income Tax - Non-current asset</t>
  </si>
  <si>
    <t>Deferred Income Tax - Non-current liability</t>
  </si>
  <si>
    <t>Cash held overseas</t>
  </si>
  <si>
    <t>1Q14</t>
  </si>
  <si>
    <t>2Q14</t>
  </si>
  <si>
    <t>3Q14</t>
  </si>
  <si>
    <t>4Q14</t>
  </si>
  <si>
    <t>1Q15</t>
  </si>
  <si>
    <t>2Q15</t>
  </si>
  <si>
    <t>3Q15</t>
  </si>
  <si>
    <t>4Q15</t>
  </si>
  <si>
    <t>1Q16</t>
  </si>
  <si>
    <t>2Q16</t>
  </si>
  <si>
    <t>3Q16</t>
  </si>
  <si>
    <t>4Q16</t>
  </si>
  <si>
    <t>1Q17</t>
  </si>
  <si>
    <t>2Q17</t>
  </si>
  <si>
    <t>3Q17</t>
  </si>
  <si>
    <t>4Q17</t>
  </si>
  <si>
    <t>Implied orders</t>
  </si>
  <si>
    <t>Advances</t>
  </si>
  <si>
    <t>787 deferred production</t>
  </si>
  <si>
    <t>change yoy</t>
  </si>
  <si>
    <t>Total FCF</t>
  </si>
  <si>
    <t>FCF minus change in 787 deferred</t>
  </si>
  <si>
    <t>Inventory ex deferred</t>
  </si>
  <si>
    <t>Implied total</t>
  </si>
  <si>
    <t>Per share</t>
  </si>
  <si>
    <t>FCF ex deferred</t>
  </si>
  <si>
    <t>FCF ex deferred / NI</t>
  </si>
  <si>
    <t>FCF ex deferred / NI w pension added back</t>
  </si>
  <si>
    <t>WC + other help</t>
  </si>
  <si>
    <t>FCF ex deferred and WC help / NI</t>
  </si>
  <si>
    <t>FCF ex deferred and WC help / NI w pension added back</t>
  </si>
  <si>
    <t>Book to bill</t>
  </si>
  <si>
    <t>Deferred</t>
  </si>
  <si>
    <t>Total Bookings</t>
  </si>
  <si>
    <t>Accrued liabilities</t>
  </si>
  <si>
    <t>Sales - % Industry Sub-segment: Oil &amp; Gas End Market</t>
  </si>
  <si>
    <t>International Exposure - Sales, detailed</t>
  </si>
  <si>
    <t xml:space="preserve">   Canada</t>
  </si>
  <si>
    <t xml:space="preserve">   US</t>
  </si>
  <si>
    <t xml:space="preserve">   Other N.America</t>
  </si>
  <si>
    <t xml:space="preserve">   Argentina</t>
  </si>
  <si>
    <t xml:space="preserve">   Brazil</t>
  </si>
  <si>
    <t xml:space="preserve">   Chile</t>
  </si>
  <si>
    <t xml:space="preserve">   Colombia</t>
  </si>
  <si>
    <t xml:space="preserve">   Mexico</t>
  </si>
  <si>
    <t xml:space="preserve">   Venezuela</t>
  </si>
  <si>
    <t xml:space="preserve">   Other S.Americas</t>
  </si>
  <si>
    <t xml:space="preserve">   Austria</t>
  </si>
  <si>
    <t xml:space="preserve">   Belgium</t>
  </si>
  <si>
    <t xml:space="preserve">   France</t>
  </si>
  <si>
    <t xml:space="preserve">   Germany</t>
  </si>
  <si>
    <t xml:space="preserve">   Greece</t>
  </si>
  <si>
    <t xml:space="preserve">   Ireland</t>
  </si>
  <si>
    <t xml:space="preserve">   Italy</t>
  </si>
  <si>
    <t xml:space="preserve">   Netherlands</t>
  </si>
  <si>
    <t xml:space="preserve">   Norway</t>
  </si>
  <si>
    <t xml:space="preserve">   Portugal</t>
  </si>
  <si>
    <t xml:space="preserve">   Spain</t>
  </si>
  <si>
    <t xml:space="preserve">   Sweden</t>
  </si>
  <si>
    <t xml:space="preserve">   Switzerland</t>
  </si>
  <si>
    <t xml:space="preserve">   UK</t>
  </si>
  <si>
    <t xml:space="preserve">   Other W.Europe</t>
  </si>
  <si>
    <t xml:space="preserve">   Poland</t>
  </si>
  <si>
    <t xml:space="preserve">   Russia</t>
  </si>
  <si>
    <t xml:space="preserve">   Turkey</t>
  </si>
  <si>
    <t xml:space="preserve">   Other CEE</t>
  </si>
  <si>
    <t xml:space="preserve">   Saudi Arabia</t>
  </si>
  <si>
    <t xml:space="preserve">   UAE</t>
  </si>
  <si>
    <t xml:space="preserve">   Other Middle East</t>
  </si>
  <si>
    <t xml:space="preserve">   Nigeria</t>
  </si>
  <si>
    <t xml:space="preserve">   South Africa</t>
  </si>
  <si>
    <t xml:space="preserve">   Other Africa</t>
  </si>
  <si>
    <t xml:space="preserve">   Hong Kong</t>
  </si>
  <si>
    <t xml:space="preserve">   Japan</t>
  </si>
  <si>
    <t xml:space="preserve">   Singapore</t>
  </si>
  <si>
    <t xml:space="preserve">   South Korea</t>
  </si>
  <si>
    <t xml:space="preserve">   Taiwan</t>
  </si>
  <si>
    <t xml:space="preserve">   Other Developed Asia</t>
  </si>
  <si>
    <t xml:space="preserve">   China</t>
  </si>
  <si>
    <t xml:space="preserve">   India</t>
  </si>
  <si>
    <t xml:space="preserve">   Indonesia</t>
  </si>
  <si>
    <t xml:space="preserve">   Thailand</t>
  </si>
  <si>
    <t xml:space="preserve">   Other Emerging Asia</t>
  </si>
  <si>
    <t xml:space="preserve">   Australia</t>
  </si>
  <si>
    <t xml:space="preserve">   N.Zealand</t>
  </si>
  <si>
    <t>1Q18</t>
  </si>
  <si>
    <t>2Q18</t>
  </si>
  <si>
    <t>3Q18</t>
  </si>
  <si>
    <t>4Q18</t>
  </si>
  <si>
    <t>BDS backlog/sales</t>
  </si>
  <si>
    <t>737-800</t>
  </si>
  <si>
    <t>787-9</t>
  </si>
  <si>
    <t>787-10</t>
  </si>
  <si>
    <t>787-8</t>
  </si>
  <si>
    <t>737-700</t>
  </si>
  <si>
    <t>737-900</t>
  </si>
  <si>
    <t>737-600</t>
  </si>
  <si>
    <t>777-200</t>
  </si>
  <si>
    <t>777-300</t>
  </si>
  <si>
    <t>Variance</t>
  </si>
  <si>
    <t>Per plane</t>
  </si>
  <si>
    <t>International Exposure - Expenses</t>
  </si>
  <si>
    <t>COGS, % from US</t>
  </si>
  <si>
    <t>COGS, % from Non-US</t>
  </si>
  <si>
    <t>SG&amp;A, % from US</t>
  </si>
  <si>
    <t>SG&amp;A, % from Non-US</t>
  </si>
  <si>
    <t>Debt - Geographical and Fixed / Floating exposure</t>
  </si>
  <si>
    <t>% of local currency debt with floating interest</t>
  </si>
  <si>
    <t>% of local currency floating debt with hedged rate</t>
  </si>
  <si>
    <t>Adjusted margin</t>
  </si>
  <si>
    <t>Cash tax from pension change</t>
  </si>
  <si>
    <t>Global Services</t>
  </si>
  <si>
    <t>BCA ex-one time items</t>
  </si>
  <si>
    <t>BCA one time adjustments</t>
  </si>
  <si>
    <t>Total BCA Revenue + Commercial Services</t>
  </si>
  <si>
    <t>Total Global Services</t>
  </si>
  <si>
    <t>Defense Services</t>
  </si>
  <si>
    <t>Delta</t>
  </si>
  <si>
    <t>Unattributed / Discount adjustment</t>
  </si>
  <si>
    <t>BGS backlog/sales</t>
  </si>
  <si>
    <t>Adjustment</t>
  </si>
  <si>
    <t>Aurora Flight Sciences</t>
  </si>
  <si>
    <t>Total contractual backlog</t>
  </si>
  <si>
    <t>FAS/CAS service cost adjustment</t>
  </si>
  <si>
    <t>Non-operating pension expense</t>
  </si>
  <si>
    <t>Non-operating postretirement expense</t>
  </si>
  <si>
    <t>Other income</t>
  </si>
  <si>
    <t>Other (loss)/income, non-operating pension net</t>
  </si>
  <si>
    <t>Other (loss)/income, non-operating pension, net</t>
  </si>
  <si>
    <t>Unbilled receivables</t>
  </si>
  <si>
    <t>Deferred change</t>
  </si>
  <si>
    <t>CFO:</t>
  </si>
  <si>
    <t>2025E</t>
  </si>
  <si>
    <t>1Q19</t>
  </si>
  <si>
    <t>2Q19</t>
  </si>
  <si>
    <t>3Q19</t>
  </si>
  <si>
    <t>4Q19</t>
  </si>
  <si>
    <t>KLX Aero</t>
  </si>
  <si>
    <t>KLX Aerospace</t>
  </si>
  <si>
    <t>BDS one time adjustments</t>
  </si>
  <si>
    <t>BDS ex-one time items</t>
  </si>
  <si>
    <t>1Q20</t>
  </si>
  <si>
    <t>2Q20</t>
  </si>
  <si>
    <t>3Q20</t>
  </si>
  <si>
    <t>4Q20</t>
  </si>
  <si>
    <t>737-300</t>
  </si>
  <si>
    <t>737 (units)</t>
  </si>
  <si>
    <t>747-800 (units)</t>
  </si>
  <si>
    <t>787 (units)</t>
  </si>
  <si>
    <t>767 (units)</t>
  </si>
  <si>
    <t>777 (units)</t>
  </si>
  <si>
    <t>717 (Units)</t>
  </si>
  <si>
    <t>737-400</t>
  </si>
  <si>
    <t>737-500</t>
  </si>
  <si>
    <t>BBJ</t>
  </si>
  <si>
    <t>777F</t>
  </si>
  <si>
    <t>Rate</t>
  </si>
  <si>
    <t>737-7 MAX</t>
  </si>
  <si>
    <t>737-8 MAX</t>
  </si>
  <si>
    <t>737-9 MAX</t>
  </si>
  <si>
    <t>737-10 MAX</t>
  </si>
  <si>
    <t>737-200 MAX</t>
  </si>
  <si>
    <t>777-8X</t>
  </si>
  <si>
    <t>777-9X</t>
  </si>
  <si>
    <t>Military eliminations</t>
  </si>
  <si>
    <t>Total unit backlog</t>
  </si>
  <si>
    <t>787 backlog</t>
  </si>
  <si>
    <t>4Q21E</t>
  </si>
  <si>
    <t>BA production rate</t>
  </si>
  <si>
    <t>BA deliveries</t>
  </si>
  <si>
    <t>Cumulative variance</t>
  </si>
  <si>
    <t>Inventory $$ build</t>
  </si>
  <si>
    <t>Noah Poponak, CFA</t>
  </si>
  <si>
    <t>(212) 357-0954</t>
  </si>
  <si>
    <t>noah.poponak@gs.com</t>
  </si>
  <si>
    <t>Advances on production halt</t>
  </si>
  <si>
    <t>Monthly</t>
  </si>
  <si>
    <t>Production</t>
  </si>
  <si>
    <t>Delivery</t>
  </si>
  <si>
    <t>Inventory unwind (build)</t>
  </si>
  <si>
    <t>Annual deliveries</t>
  </si>
  <si>
    <t>Unallocated, elims, other</t>
  </si>
  <si>
    <t>NCI</t>
  </si>
  <si>
    <t>BGS one time adjustments</t>
  </si>
  <si>
    <t>BGS ex-one time items</t>
  </si>
  <si>
    <t>1Q21</t>
  </si>
  <si>
    <t>2Q21</t>
  </si>
  <si>
    <t>3Q21</t>
  </si>
  <si>
    <t>4Q21</t>
  </si>
  <si>
    <t>FCF margin</t>
  </si>
  <si>
    <t>737MAX</t>
  </si>
  <si>
    <t>Inventory:</t>
  </si>
  <si>
    <t>Program incremental margin</t>
  </si>
  <si>
    <t>787 Deferred production</t>
  </si>
  <si>
    <t>Program margin</t>
  </si>
  <si>
    <t>Cash margin</t>
  </si>
  <si>
    <t>Price</t>
  </si>
  <si>
    <t>777X deferred / cash vs. program</t>
  </si>
  <si>
    <t>Deferred tax</t>
  </si>
  <si>
    <t>777X deferred yoy</t>
  </si>
  <si>
    <t>777X</t>
  </si>
  <si>
    <t>3Q24E</t>
  </si>
  <si>
    <t>4Q24E</t>
  </si>
  <si>
    <t>1Q22</t>
  </si>
  <si>
    <t>2Q22</t>
  </si>
  <si>
    <t>3Q22</t>
  </si>
  <si>
    <t>4Q22</t>
  </si>
  <si>
    <t>Unabsorbed overhead</t>
  </si>
  <si>
    <t>737 / 787 concessions</t>
  </si>
  <si>
    <t>One-time items, abnormal cost</t>
  </si>
  <si>
    <t>1Q23</t>
  </si>
  <si>
    <t>2Q23</t>
  </si>
  <si>
    <t>3Q23</t>
  </si>
  <si>
    <t>4Q23</t>
  </si>
  <si>
    <t>1Q25E</t>
  </si>
  <si>
    <t>2Q25E</t>
  </si>
  <si>
    <t>3Q25E</t>
  </si>
  <si>
    <t>4Q25E</t>
  </si>
  <si>
    <t xml:space="preserve">  2026E</t>
  </si>
  <si>
    <t xml:space="preserve">  2027E</t>
  </si>
  <si>
    <t>1Q24</t>
  </si>
  <si>
    <t>2Q24</t>
  </si>
  <si>
    <t>3Q24</t>
  </si>
  <si>
    <t>4Q24</t>
  </si>
  <si>
    <t>2026E</t>
  </si>
  <si>
    <t>2027E</t>
  </si>
  <si>
    <t>Boeing (BA) Model</t>
  </si>
  <si>
    <t>2028E</t>
  </si>
  <si>
    <t>2029E</t>
  </si>
  <si>
    <t>2030E</t>
  </si>
  <si>
    <t>FY26E</t>
  </si>
  <si>
    <t>1Q25</t>
  </si>
  <si>
    <t>2Q25</t>
  </si>
  <si>
    <t>3Q25</t>
  </si>
  <si>
    <t>4Q25</t>
  </si>
  <si>
    <t>Undelivered units under firm orders</t>
  </si>
  <si>
    <t>Connor Dessert</t>
  </si>
  <si>
    <t>(212) 357-6166</t>
  </si>
  <si>
    <t>connor.dessert@gs.com</t>
  </si>
  <si>
    <t>4Q of 24, 25</t>
  </si>
  <si>
    <t>then FY 26, 27</t>
  </si>
  <si>
    <t>737 /787</t>
  </si>
  <si>
    <t>= Deliveries</t>
  </si>
  <si>
    <t>Inventory Unwind</t>
  </si>
  <si>
    <t>737 MAX</t>
  </si>
  <si>
    <t>Underlying Monthly Production Rate</t>
  </si>
  <si>
    <t>Monthly Inventory Unwind</t>
  </si>
  <si>
    <t>Monthly Delivery Rate</t>
  </si>
  <si>
    <t>737 MAX Monthly Deliveries, by Production / Inventory</t>
  </si>
  <si>
    <t>787 Monthly Deliveries, by Production / Inventory</t>
  </si>
  <si>
    <t>FY27E</t>
  </si>
  <si>
    <t>1Q26</t>
  </si>
  <si>
    <t>2Q26</t>
  </si>
  <si>
    <t>3Q26</t>
  </si>
  <si>
    <t>4Q26</t>
  </si>
  <si>
    <t>2Q26E</t>
  </si>
  <si>
    <t>3Q26E</t>
  </si>
  <si>
    <t>4Q26E</t>
  </si>
  <si>
    <t>1Q26E</t>
  </si>
  <si>
    <t>Jeppesen - 11/25</t>
  </si>
  <si>
    <t>Spirit AeroSystems - 12/25</t>
  </si>
  <si>
    <t>Nizar Mesani</t>
  </si>
  <si>
    <t>(212) 934-6965</t>
  </si>
  <si>
    <t>nizar.mesani@gs.com</t>
  </si>
  <si>
    <t>Tomas Russo</t>
  </si>
  <si>
    <t>(212) 902-7439</t>
  </si>
  <si>
    <t>tomas.russo@gs.com</t>
  </si>
  <si>
    <t>1Q27</t>
  </si>
  <si>
    <t>2Q27</t>
  </si>
  <si>
    <t>3Q27</t>
  </si>
  <si>
    <t>4Q27</t>
  </si>
  <si>
    <t>1Q27E</t>
  </si>
  <si>
    <t>2Q27E</t>
  </si>
  <si>
    <t>3Q27E</t>
  </si>
  <si>
    <t>4Q27E</t>
  </si>
  <si>
    <t>Amanda Fenenbock, CFA</t>
  </si>
  <si>
    <t>(212) 934-0385</t>
  </si>
  <si>
    <t>amanda.fenenbock@gs.com</t>
  </si>
  <si>
    <t>Inv build calc</t>
  </si>
  <si>
    <t>Inventory</t>
  </si>
  <si>
    <t>MAX</t>
  </si>
  <si>
    <t>737 In</t>
  </si>
  <si>
    <t>Concessions</t>
  </si>
  <si>
    <t>737 Out</t>
  </si>
  <si>
    <t>787 In</t>
  </si>
  <si>
    <t>787 Out</t>
  </si>
  <si>
    <t>777x</t>
  </si>
  <si>
    <t>800/qtr</t>
  </si>
  <si>
    <t>year before eis largest - - 3 but bigger</t>
  </si>
  <si>
    <t>defense</t>
  </si>
  <si>
    <t>9000 of charges - 50% realized into cash - 4.5bn left; 900mn t7 spread out; 3.5bn amortized next few years thru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</si>
</sst>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2">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409]mmm\-yy;@"/>
    <numFmt numFmtId="165" formatCode="0.0"/>
    <numFmt numFmtId="166" formatCode="0.0_);\(0.0\)"/>
    <numFmt numFmtId="167" formatCode="#.###\x"/>
    <numFmt numFmtId="168" formatCode="0.00\x"/>
    <numFmt numFmtId="169" formatCode="0.0\x"/>
    <numFmt numFmtId="170" formatCode="0.0%"/>
    <numFmt numFmtId="171" formatCode="_(* #,##0.0_);_(* \(#,##0.0\);_(* &quot;-&quot;??_);_(@_)"/>
    <numFmt numFmtId="172" formatCode="_(* #,##0_);_(* \(#,##0\);_(* &quot;-&quot;??_);_(@_)"/>
    <numFmt numFmtId="173" formatCode="#,##0.0_);\(#,##0.0\)"/>
    <numFmt numFmtId="174" formatCode="#,##0.0"/>
    <numFmt numFmtId="175" formatCode="0\x"/>
    <numFmt numFmtId="176" formatCode="#,##0_);\(#,##0\);_(&quot;-&quot;_)"/>
    <numFmt numFmtId="177" formatCode="#,##0.00\x_);\(#,##0.00\x\);_(&quot;-&quot;_)"/>
    <numFmt numFmtId="178" formatCode="0_);\(0\)"/>
    <numFmt numFmtId="179" formatCode="0.000"/>
    <numFmt numFmtId="180" formatCode="&quot;$&quot;#,##0.0_);\(&quot;$&quot;#,##0.0\)"/>
    <numFmt numFmtId="181" formatCode="#,##0.00\x_);\(#,##0.00\x\);_(&quot;-&quot;"/>
    <numFmt numFmtId="182" formatCode="#,##0.00\x_);\(#,##0.00\x\)"/>
    <numFmt numFmtId="183" formatCode="&quot;$&quot;#,##0.00"/>
    <numFmt numFmtId="184" formatCode="#,##0\x_);\(#,##0\x\);_(&quot;-&quot;"/>
    <numFmt numFmtId="185" formatCode="0.0_)\%;\(0.0\)\%;0.0_)\%;@_)_%"/>
    <numFmt numFmtId="186" formatCode="#,##0.0_)_%;\(#,##0.0\)_%;0.0_)_%;@_)_%"/>
    <numFmt numFmtId="187" formatCode="#,##0.0_);\(#,##0.0\);#,##0.0_);@_)"/>
    <numFmt numFmtId="188" formatCode="&quot;$&quot;_(#,##0.00_);&quot;$&quot;\(#,##0.00\)"/>
    <numFmt numFmtId="189" formatCode="&quot;$&quot;_(#,##0.00_);&quot;$&quot;\(#,##0.00\);&quot;$&quot;_(0.00_);@_)"/>
    <numFmt numFmtId="190" formatCode="#,##0.00_);\(#,##0.00\);0.00_);@_)"/>
    <numFmt numFmtId="191" formatCode="\€_(#,##0.00_);\€\(#,##0.00\);\€_(0.00_);@_)"/>
    <numFmt numFmtId="192" formatCode="#,##0.0_)\x;\(#,##0.0\)\x"/>
    <numFmt numFmtId="193" formatCode="#,##0_)\x;\(#,##0\)\x;0_)\x;@_)_x"/>
    <numFmt numFmtId="194" formatCode="#,##0.0_)\x;\(#,##0.0\)\x;0.0_)\x;@_)_x"/>
    <numFmt numFmtId="195" formatCode="#,##0.0_)_x;\(#,##0.0\)_x"/>
    <numFmt numFmtId="196" formatCode="#,##0_)_x;\(#,##0\)_x;0_)_x;@_)_x"/>
    <numFmt numFmtId="197" formatCode="#,##0.0_)_x;\(#,##0.0\)_x;0.0_)_x;@_)_x"/>
    <numFmt numFmtId="198" formatCode="0.0_)\%;\(0.0\)\%"/>
    <numFmt numFmtId="199" formatCode="#,##0.0_)_%;\(#,##0.0\)_%"/>
    <numFmt numFmtId="200" formatCode="#,##0;\(#,##0\)"/>
    <numFmt numFmtId="201" formatCode="0\A"/>
    <numFmt numFmtId="202" formatCode="0.00_)"/>
    <numFmt numFmtId="203" formatCode="0\p"/>
    <numFmt numFmtId="204" formatCode="\$0.00;\(\$0.00\)"/>
    <numFmt numFmtId="205" formatCode="0.0&quot;  &quot;"/>
    <numFmt numFmtId="206" formatCode="_-* #,##0_-;\(#,##0\);_-* &quot;–&quot;_-;_-@_-"/>
    <numFmt numFmtId="207" formatCode="#,##0.00;;;[White]General"/>
    <numFmt numFmtId="208" formatCode="#,##0.000_);[Red]\(#,##0.000\)"/>
    <numFmt numFmtId="209" formatCode="&quot;$&quot;0.0"/>
    <numFmt numFmtId="210" formatCode="#,##0;\(#,##0\);\–;@"/>
    <numFmt numFmtId="211" formatCode="_(&quot;CHF&quot;* #,##0.0_);_(&quot;CHF&quot;* \(#,##0.0\);_(&quot;CHF&quot;* &quot;-&quot;??_);_(@_)"/>
    <numFmt numFmtId="212" formatCode="#.##\x"/>
    <numFmt numFmtId="213" formatCode="&quot;£&quot;_(#,##0.00_);&quot;£&quot;\(#,##0.00\);&quot;£&quot;_(0.00_);@_)"/>
    <numFmt numFmtId="214" formatCode="0.0;\(0.0\)"/>
    <numFmt numFmtId="215" formatCode="#,##0.00000;\(#,##0.00000\)"/>
    <numFmt numFmtId="216" formatCode="&quot;£&quot;0.00\b\n"/>
    <numFmt numFmtId="217" formatCode="#,##0.0;\-#,##0.0"/>
    <numFmt numFmtId="218" formatCode="0.00;\(0.00\)"/>
    <numFmt numFmtId="219" formatCode="_-* #,##0.000_-;\-* #,##0.000_-;_-* &quot;-&quot;??_-;_-@_-"/>
    <numFmt numFmtId="220" formatCode="&quot;$&quot;#,##0.000_);\(&quot;$&quot;#,##0.000\)"/>
    <numFmt numFmtId="221" formatCode="#,##0.000_);\(#,##0.000\)"/>
    <numFmt numFmtId="222" formatCode="#,##0.000"/>
    <numFmt numFmtId="223" formatCode="yyyy"/>
    <numFmt numFmtId="224" formatCode="&quot;$&quot;#,##0.0_);[Red]\(&quot;$&quot;#,##0.0\)"/>
    <numFmt numFmtId="225" formatCode="#,##0.0_);[Red]\(#,##0.0\)"/>
    <numFmt numFmtId="226" formatCode="&quot;$&quot;#\ ??/??"/>
    <numFmt numFmtId="227" formatCode="0.000_)"/>
    <numFmt numFmtId="228" formatCode="\¥#,##0.00_);\(\¥#,##0.00\)"/>
    <numFmt numFmtId="229" formatCode="\£#,##0.00_);\(\£#,##0.00\)"/>
    <numFmt numFmtId="230" formatCode="\A\ &quot;$&quot;#,##0.00\ ;\(\A\ &quot;$&quot;#,##0.00\)"/>
    <numFmt numFmtId="231" formatCode="\F\F\r\ \ #,##0.00_);\F\F\r\ \ \(#,##0.00\)"/>
    <numFmt numFmtId="232" formatCode="&quot;$&quot;#,##0.000\ ;\(&quot;$&quot;#,##0.000\)"/>
    <numFmt numFmtId="233" formatCode="#,##0.0\x"/>
    <numFmt numFmtId="234" formatCode="#,##0.0\A"/>
    <numFmt numFmtId="235" formatCode="_(* #,##0_);_(* \(#,##0\);_(* &quot;----&quot;_);_(@_)"/>
    <numFmt numFmtId="236" formatCode="_(* #,##0.00_);_(* \(#,##0.00\);_(* &quot;-----&quot;_);_(@_)"/>
    <numFmt numFmtId="237" formatCode="_(* #,##0.00_);_(* \(#,##0.00\);_(* &quot;---&quot;_);_(@_)"/>
    <numFmt numFmtId="238" formatCode="_(* #,##0.0_);_(* \(#,##0.0\);_(* &quot;----&quot;_);_(@_)"/>
    <numFmt numFmtId="239" formatCode="0.0\x_)_);&quot;NM&quot;_x_)_);0.0\x_)_);@_%_)"/>
    <numFmt numFmtId="240" formatCode="0.00%;\(0.00%\)"/>
    <numFmt numFmtId="241" formatCode="0.0%_);[Red]\(0.0%\)"/>
    <numFmt numFmtId="242" formatCode="_([$€-2]* #,##0.00_);_([$€-2]* \(#,##0.00\);_([$€-2]* &quot;-&quot;??_)"/>
    <numFmt numFmtId="243" formatCode="0.0%_);\(0.0%\)"/>
    <numFmt numFmtId="244" formatCode="&quot;$&quot;#,##0.00&quot;A&quot;;[Red]\(&quot;$&quot;#,##0.00\)&quot;A&quot;"/>
    <numFmt numFmtId="245" formatCode="&quot;$&quot;#,##0.00&quot;E&quot;;[Red]\(&quot;$&quot;#,##0.00\)&quot;E&quot;"/>
    <numFmt numFmtId="246" formatCode="#,##0.0;[Red]\(#,##0.0\)"/>
    <numFmt numFmtId="247" formatCode="#,##0.0___);\(#,##0.0__\)"/>
    <numFmt numFmtId="248" formatCode="#,##0;[Red]\(#,##0\);&quot;-&quot;"/>
    <numFmt numFmtId="249" formatCode="#,##0.0;\(#,##0.0\);&quot;-&quot;"/>
    <numFmt numFmtId="250" formatCode="#,##0.00;\(#,##0.00\);&quot;-&quot;"/>
    <numFmt numFmtId="251" formatCode="#,##0.000;\(#,##0.000\);&quot;-&quot;"/>
    <numFmt numFmtId="252" formatCode="&quot;$&quot;#,##0;[Red]\ &quot;$&quot;\(#,##0\);&quot;-&quot;"/>
    <numFmt numFmtId="253" formatCode="&quot;$&quot;#,##0.0;\(&quot;$&quot;#,##0.0\);&quot;-&quot;"/>
    <numFmt numFmtId="254" formatCode="&quot;$&quot;#,##0.00;\(&quot;$&quot;#,##0.00\);&quot;-&quot;"/>
    <numFmt numFmtId="255" formatCode="&quot;$&quot;#,##0.00_)\ \ ;\(&quot;$&quot;#,##0.00\)\ \ "/>
    <numFmt numFmtId="256" formatCode="#,##0.0&quot; days&quot;;[Red]\(#,##0.0&quot; days&quot;\);&quot;-&quot;"/>
    <numFmt numFmtId="257" formatCode="0&quot;E&quot;"/>
    <numFmt numFmtId="258" formatCode="#,##0;[Red]\(#,##0\)"/>
    <numFmt numFmtId="259" formatCode="&quot;$&quot;#,##0.0_%_);\(&quot;$&quot;#,##0.0\)_%"/>
    <numFmt numFmtId="260" formatCode="&quot;$&quot;#,##0.00_%_);\(&quot;$&quot;#,##0.00\)_%"/>
    <numFmt numFmtId="261" formatCode="0.0\x_)_);&quot;NM    &quot;;0.0\x_)_)"/>
    <numFmt numFmtId="262" formatCode="&quot;$&quot;#,##0.0_)\ \ ;\(&quot;$&quot;#,##0.0\)\ \ "/>
    <numFmt numFmtId="263" formatCode="#,##0.00_);\(&quot;$&quot;#,##0.00\)"/>
    <numFmt numFmtId="264" formatCode="0.0\ \x\ \ \ \ ;&quot;NM      &quot;;\ 0.0\ \x\ \ \ \ "/>
    <numFmt numFmtId="265" formatCode="0.0%_)\ \ ;\(0.0%\)\ \ "/>
    <numFmt numFmtId="266" formatCode="#,##0\ &quot;DM&quot;;\-#,##0\ &quot;DM&quot;"/>
    <numFmt numFmtId="267" formatCode="#,##0\ &quot;DM&quot;;[Red]\-#,##0\ &quot;DM&quot;"/>
    <numFmt numFmtId="268" formatCode="#,##0.0\x;[Red]\(#,##0.0\x\);&quot;-&quot;"/>
    <numFmt numFmtId="269" formatCode="#,##0.0___);\(#,##0.0\)__\)"/>
    <numFmt numFmtId="270" formatCode="#,##0.00_)\ \ ;\(#,##0.00\)\ \ "/>
    <numFmt numFmtId="271" formatCode="#,##0.0%;\(#,##0.0%\)"/>
    <numFmt numFmtId="272" formatCode="#,##0.000%;[Red]\(#,##0.000%\);&quot;-&quot;"/>
    <numFmt numFmtId="273" formatCode="#,##0.0_)\ \ ;\(#,##0.0\)\ \ "/>
    <numFmt numFmtId="274" formatCode="#,##0.0_%_);\(#,##0.0\)_%"/>
    <numFmt numFmtId="275" formatCode="#,##0.000;[Red]\(#,##0.000\)"/>
    <numFmt numFmtId="276" formatCode="0.0\ \ \ ;\(0.0\)\ \ \ "/>
    <numFmt numFmtId="277" formatCode="0.0%;[Red]\-0.0%"/>
    <numFmt numFmtId="278" formatCode="#,##0.0&quot; years &quot;;\(#,##0.0&quot; years &quot;\);&quot;-&quot;"/>
    <numFmt numFmtId="279" formatCode="#,##0.0\ ;\(#,##0.0\)"/>
    <numFmt numFmtId="280" formatCode="0.0_)"/>
    <numFmt numFmtId="281" formatCode="\C&quot;$&quot;\ #,##0.00_);\C&quot;$&quot;\ \(#,##0.00\);\C&quot;$&quot;\ 0.00_)"/>
    <numFmt numFmtId="282" formatCode="0.0\x_);[Red]\(0.0\x\)"/>
    <numFmt numFmtId="283" formatCode="&quot;$&quot;#,##0\ ;\(&quot;$&quot;#,##0\)"/>
    <numFmt numFmtId="284" formatCode="#,##0.0\%_);\(#,##0.0\%\);#,##0.0\%_);@_)"/>
    <numFmt numFmtId="285" formatCode="_(* #,##0.0%;_(* #,##0.0%"/>
    <numFmt numFmtId="286" formatCode="#,##0.00&quot; F&quot;_);[Red]\(#,##0.00&quot; F&quot;\)"/>
    <numFmt numFmtId="287" formatCode="#,##0;[Red]#,##0"/>
    <numFmt numFmtId="288" formatCode="yyyy&quot;-&quot;m&quot;-&quot;d"/>
    <numFmt numFmtId="289" formatCode="yy&quot;/&quot;m&quot;/&quot;d"/>
    <numFmt numFmtId="290" formatCode="yyyy&quot;년&quot;\ m&quot;월&quot;"/>
    <numFmt numFmtId="291" formatCode="_(* #,##0.00_);_(* &quot;?&quot;&quot;?&quot;&quot;?&quot;&quot;?&quot;&quot;?&quot;&quot;?&quot;&quot;?&quot;&quot;?&quot;\(#,##0.00&quot;?&quot;&quot;?&quot;&quot;?&quot;&quot;?&quot;&quot;?&quot;&quot;?&quot;&quot;?&quot;&quot;?&quot;\);_(* &quot;-&quot;??_);_(@_)"/>
    <numFmt numFmtId="292" formatCode="_-&quot;?* #,##0_-;&quot;&quot;?&quot;&quot;?&quot;&quot;?&quot;&quot;?&quot;&quot;?&quot;&quot;?&quot;&quot;?&quot;\-&quot;?* #,##0_-;_-&quot;&quot;?&quot;* &quot;-&quot;_-;_-@_-"/>
    <numFmt numFmtId="293" formatCode="_-&quot;?* #,##0.00_-;&quot;&quot;?&quot;&quot;?&quot;&quot;?&quot;&quot;?&quot;&quot;?&quot;&quot;?&quot;&quot;?&quot;\-&quot;?* #,##0.00_-;_-&quot;&quot;?&quot;* &quot;-&quot;??_-;_-@_-"/>
    <numFmt numFmtId="294" formatCode="#,##0.0_);&quot;?&quot;&quot;?&quot;&quot;?&quot;&quot;?&quot;&quot;?&quot;&quot;?&quot;&quot;?&quot;&quot;?&quot;\(#,##0.0&quot;?&quot;&quot;?&quot;&quot;?&quot;&quot;?&quot;&quot;?&quot;&quot;?&quot;&quot;?&quot;&quot;?&quot;\)"/>
    <numFmt numFmtId="295" formatCode="#,###,##0"/>
    <numFmt numFmtId="296" formatCode="_(&quot;$&quot;#,##0_)&quot;millions&quot;;\(&quot;$&quot;#,##0\)&quot; millions&quot;"/>
    <numFmt numFmtId="297" formatCode="&quot;$&quot;#,##0.00_)\ \ \ ;\(&quot;$&quot;#,##0.00\)\ \ \ "/>
    <numFmt numFmtId="298" formatCode="&quot;$&quot;#,##0.00&quot;*&quot;\ \ ;\(&quot;$&quot;#,##0.00\)&quot;*&quot;\ \ "/>
    <numFmt numFmtId="299" formatCode="&quot;$&quot;#,##0.00\A_)\ ;\(&quot;$&quot;#,##0.00\A\)\ \ "/>
    <numFmt numFmtId="300" formatCode="@\ \ \ \ \ "/>
    <numFmt numFmtId="301" formatCode="&quot;$&quot;#,##0.00\A\ \ \ \ ;\(&quot;$&quot;#,##0.00\A\)\ \ \ \ "/>
    <numFmt numFmtId="302" formatCode="&quot;$&quot;#,##0.00&quot;E&quot;\ \ \ \ ;\(&quot;$&quot;#,##0.00&quot;E&quot;\)\ \ \ \ "/>
    <numFmt numFmtId="303" formatCode="#,##0.00\A\ \ \ \ ;\(#,##0.00\A\)\ \ \ \ "/>
    <numFmt numFmtId="304" formatCode="#,##0.00&quot;E&quot;\ \ \ \ ;\(#,##0.00&quot;E&quot;\)\ \ \ \ "/>
    <numFmt numFmtId="305" formatCode="&quot;$&quot;#,##0.00_)\ \ \ \ \ ;\(&quot;$&quot;#,##0.00\)\ \ \ \ \ "/>
    <numFmt numFmtId="306" formatCode="0%\ \ \ \ \ \ \ "/>
    <numFmt numFmtId="307" formatCode="&quot;$&quot;#,##0\ &quot;MM&quot;;\(&quot;$&quot;#,##0.00\ &quot;MM&quot;\)"/>
    <numFmt numFmtId="308" formatCode="_(&quot;$&quot;* #,##0_)\ &quot;millions&quot;;_(&quot;$&quot;* \(#,##0\)&quot; millions&quot;"/>
    <numFmt numFmtId="309" formatCode="0.0\ "/>
    <numFmt numFmtId="310" formatCode="0.0%\ \ \ \ \ "/>
    <numFmt numFmtId="311" formatCode="0.00\ \ \ \ "/>
    <numFmt numFmtId="312" formatCode="@\ "/>
    <numFmt numFmtId="313" formatCode="&quot;$&quot;@"/>
    <numFmt numFmtId="314" formatCode="0\ &quot;bps&quot;"/>
    <numFmt numFmtId="315" formatCode="_(* #,##0.00000_);_(* \(#,##0.00000\);_(* &quot;-&quot;??_);_(@_)"/>
    <numFmt numFmtId="316" formatCode="&quot;$&quot;#,##0"/>
    <numFmt numFmtId="317" formatCode="0.000_);\(0.000\)"/>
    <numFmt numFmtId="318" formatCode="0.00\X"/>
  </numFmts>
  <fonts count="271">
    <font>
      <sz val="9"/>
      <name val="Arial"/>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0"/>
      <name val="Arial"/>
      <family val="2"/>
    </font>
    <font>
      <sz val="8"/>
      <name val="Arial"/>
      <family val="2"/>
    </font>
    <font>
      <b/>
      <sz val="10"/>
      <name val="Arial"/>
      <family val="2"/>
    </font>
    <font>
      <i/>
      <sz val="10"/>
      <name val="Arial"/>
      <family val="2"/>
    </font>
    <font>
      <sz val="8"/>
      <color indexed="81"/>
      <name val="Tahoma"/>
      <family val="2"/>
    </font>
    <font>
      <b/>
      <sz val="8"/>
      <color indexed="81"/>
      <name val="Tahoma"/>
      <family val="2"/>
    </font>
    <font>
      <b/>
      <sz val="16"/>
      <color indexed="9"/>
      <name val="Arial"/>
      <family val="2"/>
    </font>
    <font>
      <b/>
      <sz val="10"/>
      <name val="Arial"/>
      <family val="2"/>
    </font>
    <font>
      <b/>
      <sz val="12"/>
      <color indexed="9"/>
      <name val="Arial"/>
      <family val="2"/>
    </font>
    <font>
      <i/>
      <sz val="10"/>
      <color indexed="9"/>
      <name val="Arial"/>
      <family val="2"/>
    </font>
    <font>
      <sz val="9"/>
      <name val="Arial"/>
      <family val="2"/>
    </font>
    <font>
      <sz val="9"/>
      <color indexed="8"/>
      <name val="Arial"/>
      <family val="2"/>
    </font>
    <font>
      <i/>
      <sz val="10"/>
      <name val="Arial"/>
      <family val="2"/>
    </font>
    <font>
      <sz val="8"/>
      <name val="Helvetica"/>
      <family val="2"/>
    </font>
    <font>
      <b/>
      <sz val="8"/>
      <name val="Arial"/>
      <family val="2"/>
    </font>
    <font>
      <b/>
      <sz val="12"/>
      <name val="Arial"/>
      <family val="2"/>
    </font>
    <font>
      <i/>
      <sz val="8"/>
      <name val="Arial"/>
      <family val="2"/>
    </font>
    <font>
      <b/>
      <sz val="10"/>
      <color indexed="9"/>
      <name val="Arial"/>
      <family val="2"/>
    </font>
    <font>
      <sz val="10"/>
      <color indexed="8"/>
      <name val="Arial"/>
      <family val="2"/>
    </font>
    <font>
      <sz val="9"/>
      <name val="Arial"/>
      <family val="2"/>
    </font>
    <font>
      <u/>
      <sz val="9"/>
      <name val="Arial"/>
      <family val="2"/>
    </font>
    <font>
      <b/>
      <sz val="9"/>
      <name val="Arial"/>
      <family val="2"/>
    </font>
    <font>
      <sz val="9"/>
      <color indexed="8"/>
      <name val="Arial"/>
      <family val="2"/>
    </font>
    <font>
      <b/>
      <sz val="9"/>
      <name val="Arial"/>
      <family val="2"/>
    </font>
    <font>
      <b/>
      <sz val="9"/>
      <color indexed="16"/>
      <name val="Arial"/>
      <family val="2"/>
    </font>
    <font>
      <sz val="9"/>
      <color indexed="12"/>
      <name val="Arial"/>
      <family val="2"/>
    </font>
    <font>
      <sz val="9"/>
      <color indexed="16"/>
      <name val="Arial"/>
      <family val="2"/>
    </font>
    <font>
      <sz val="9"/>
      <name val="Helvetica"/>
      <family val="2"/>
    </font>
    <font>
      <b/>
      <sz val="9"/>
      <name val="Helvetica"/>
      <family val="2"/>
    </font>
    <font>
      <b/>
      <sz val="9"/>
      <name val="Helvetica"/>
      <family val="2"/>
    </font>
    <font>
      <i/>
      <u/>
      <sz val="9"/>
      <name val="Arial"/>
      <family val="2"/>
    </font>
    <font>
      <sz val="9"/>
      <color indexed="12"/>
      <name val="Arial"/>
      <family val="2"/>
    </font>
    <font>
      <sz val="9"/>
      <color indexed="16"/>
      <name val="Arial"/>
      <family val="2"/>
    </font>
    <font>
      <u/>
      <sz val="9"/>
      <color indexed="12"/>
      <name val="Arial"/>
      <family val="2"/>
    </font>
    <font>
      <u/>
      <sz val="9"/>
      <color indexed="16"/>
      <name val="Arial"/>
      <family val="2"/>
    </font>
    <font>
      <b/>
      <sz val="10"/>
      <color indexed="8"/>
      <name val="Arial"/>
      <family val="2"/>
    </font>
    <font>
      <sz val="9"/>
      <color indexed="10"/>
      <name val="Arial"/>
      <family val="2"/>
    </font>
    <font>
      <i/>
      <sz val="9"/>
      <color indexed="9"/>
      <name val="Arial"/>
      <family val="2"/>
    </font>
    <font>
      <i/>
      <sz val="9"/>
      <name val="Arial"/>
      <family val="2"/>
    </font>
    <font>
      <b/>
      <sz val="9"/>
      <color indexed="8"/>
      <name val="Arial"/>
      <family val="2"/>
    </font>
    <font>
      <b/>
      <sz val="9"/>
      <color indexed="12"/>
      <name val="Arial"/>
      <family val="2"/>
    </font>
    <font>
      <u/>
      <sz val="9"/>
      <color indexed="8"/>
      <name val="Arial"/>
      <family val="2"/>
    </font>
    <font>
      <sz val="9"/>
      <name val="Arial"/>
      <family val="2"/>
    </font>
    <font>
      <b/>
      <i/>
      <sz val="9"/>
      <name val="Arial"/>
      <family val="2"/>
    </font>
    <font>
      <u/>
      <sz val="9"/>
      <name val="Arial"/>
      <family val="2"/>
    </font>
    <font>
      <i/>
      <sz val="9"/>
      <name val="Arial"/>
      <family val="2"/>
    </font>
    <font>
      <i/>
      <sz val="9"/>
      <color theme="4" tint="-0.249977111117893"/>
      <name val="Arial"/>
      <family val="2"/>
    </font>
    <font>
      <b/>
      <i/>
      <sz val="9"/>
      <color theme="4" tint="-0.249977111117893"/>
      <name val="Arial"/>
      <family val="2"/>
    </font>
    <font>
      <u/>
      <sz val="9"/>
      <color rgb="FF800000"/>
      <name val="Arial"/>
      <family val="2"/>
    </font>
    <font>
      <sz val="9"/>
      <color rgb="FF0000FF"/>
      <name val="Arial"/>
      <family val="2"/>
    </font>
    <font>
      <b/>
      <sz val="9"/>
      <color rgb="FFC00000"/>
      <name val="Arial"/>
      <family val="2"/>
    </font>
    <font>
      <sz val="9"/>
      <color rgb="FFC00000"/>
      <name val="Arial"/>
      <family val="2"/>
    </font>
    <font>
      <sz val="10"/>
      <name val="GS TheSans"/>
      <family val="2"/>
    </font>
    <font>
      <sz val="8"/>
      <name val="Tahoma"/>
      <family val="2"/>
    </font>
    <font>
      <b/>
      <sz val="10"/>
      <name val="MS Sans Serif"/>
      <family val="2"/>
    </font>
    <font>
      <b/>
      <sz val="22"/>
      <color indexed="18"/>
      <name val="Arial"/>
      <family val="2"/>
    </font>
    <font>
      <b/>
      <sz val="14"/>
      <color indexed="18"/>
      <name val="Arial"/>
      <family val="2"/>
    </font>
    <font>
      <b/>
      <sz val="10"/>
      <color indexed="18"/>
      <name val="Arial"/>
      <family val="2"/>
    </font>
    <font>
      <b/>
      <u val="singleAccounting"/>
      <sz val="10"/>
      <color indexed="18"/>
      <name val="Arial"/>
      <family val="2"/>
    </font>
    <font>
      <sz val="9"/>
      <color indexed="8"/>
      <name val="Times New Roman"/>
      <family val="1"/>
    </font>
    <font>
      <b/>
      <sz val="10"/>
      <color indexed="8"/>
      <name val="Times New Roman"/>
      <family val="1"/>
    </font>
    <font>
      <sz val="8"/>
      <name val="Times"/>
      <family val="1"/>
    </font>
    <font>
      <b/>
      <sz val="12"/>
      <name val="Tms Rmn"/>
    </font>
    <font>
      <sz val="9"/>
      <color indexed="9"/>
      <name val="Times New Roman"/>
      <family val="1"/>
    </font>
    <font>
      <sz val="8"/>
      <color indexed="12"/>
      <name val="Tms Rmn"/>
    </font>
    <font>
      <b/>
      <i/>
      <sz val="8"/>
      <name val="Arial"/>
      <family val="2"/>
    </font>
    <font>
      <b/>
      <sz val="10"/>
      <name val="Bookman"/>
      <family val="1"/>
    </font>
    <font>
      <b/>
      <sz val="24"/>
      <name val="Times New Roman"/>
      <family val="1"/>
    </font>
    <font>
      <b/>
      <sz val="14"/>
      <name val="Book Antiqua"/>
      <family val="1"/>
    </font>
    <font>
      <sz val="11"/>
      <color indexed="12"/>
      <name val="Book Antiqua"/>
      <family val="1"/>
    </font>
    <font>
      <b/>
      <u/>
      <sz val="7"/>
      <name val="Helvetica"/>
      <family val="2"/>
    </font>
    <font>
      <sz val="9"/>
      <name val="Times New Roman"/>
      <family val="1"/>
    </font>
    <font>
      <sz val="10"/>
      <name val="Book Antiqua"/>
      <family val="1"/>
    </font>
    <font>
      <sz val="7"/>
      <name val="Arial"/>
      <family val="2"/>
    </font>
    <font>
      <b/>
      <sz val="8.5"/>
      <color indexed="17"/>
      <name val="Arial"/>
      <family val="2"/>
    </font>
    <font>
      <b/>
      <sz val="7"/>
      <color indexed="17"/>
      <name val="Arial"/>
      <family val="2"/>
    </font>
    <font>
      <sz val="8.5"/>
      <color indexed="8"/>
      <name val="Arial"/>
      <family val="2"/>
    </font>
    <font>
      <b/>
      <sz val="8"/>
      <name val="Book Antiqua"/>
      <family val="1"/>
    </font>
    <font>
      <sz val="10"/>
      <name val="MS Sans Serif"/>
      <family val="2"/>
    </font>
    <font>
      <b/>
      <sz val="10"/>
      <name val="Palatino"/>
      <family val="1"/>
    </font>
    <font>
      <b/>
      <sz val="14"/>
      <name val="Arial"/>
      <family val="2"/>
    </font>
    <font>
      <sz val="8"/>
      <name val="Book Antiqua"/>
      <family val="1"/>
    </font>
    <font>
      <i/>
      <sz val="7"/>
      <name val="Book Antiqua"/>
      <family val="1"/>
    </font>
    <font>
      <sz val="8"/>
      <color indexed="9"/>
      <name val="Arial"/>
      <family val="2"/>
    </font>
    <font>
      <b/>
      <i/>
      <sz val="16"/>
      <name val="Helv"/>
    </font>
    <font>
      <sz val="10"/>
      <color indexed="72"/>
      <name val="System"/>
      <family val="2"/>
    </font>
    <font>
      <b/>
      <sz val="14"/>
      <name val="Times New Roman"/>
      <family val="1"/>
    </font>
    <font>
      <sz val="10"/>
      <name val="Palatino"/>
      <family val="1"/>
    </font>
    <font>
      <sz val="8"/>
      <name val="Helv"/>
      <family val="2"/>
    </font>
    <font>
      <sz val="10"/>
      <name val="Times New Roman"/>
      <family val="1"/>
    </font>
    <font>
      <sz val="8"/>
      <name val="Helv"/>
    </font>
    <font>
      <sz val="12"/>
      <name val="Helvetica"/>
      <family val="2"/>
    </font>
    <font>
      <b/>
      <sz val="14"/>
      <name val="Bookman"/>
      <family val="1"/>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2"/>
      <color indexed="16"/>
      <name val="Arial"/>
      <family val="2"/>
    </font>
    <font>
      <sz val="7"/>
      <name val="Times New Roman"/>
      <family val="1"/>
    </font>
    <font>
      <b/>
      <u/>
      <sz val="9"/>
      <name val="Arial"/>
      <family val="2"/>
    </font>
    <font>
      <b/>
      <u/>
      <sz val="14"/>
      <name val="Book Antiqua"/>
      <family val="1"/>
    </font>
    <font>
      <b/>
      <sz val="10"/>
      <name val="Book Antiqua"/>
      <family val="1"/>
    </font>
    <font>
      <b/>
      <sz val="7"/>
      <name val="Arial"/>
      <family val="2"/>
    </font>
    <font>
      <b/>
      <sz val="10"/>
      <name val="Times New Roman"/>
      <family val="1"/>
    </font>
    <font>
      <u/>
      <sz val="9"/>
      <color theme="10"/>
      <name val="Arial"/>
      <family val="2"/>
    </font>
    <font>
      <sz val="9"/>
      <color theme="4" tint="-0.249977111117893"/>
      <name val="Arial"/>
      <family val="2"/>
    </font>
    <font>
      <sz val="9"/>
      <color indexed="81"/>
      <name val="Tahoma"/>
      <family val="2"/>
    </font>
    <font>
      <b/>
      <sz val="9"/>
      <color indexed="81"/>
      <name val="Tahoma"/>
      <family val="2"/>
    </font>
    <font>
      <sz val="9"/>
      <color theme="1"/>
      <name val="Arial"/>
      <family val="2"/>
    </font>
    <font>
      <sz val="9"/>
      <color rgb="FFFF0000"/>
      <name val="Arial"/>
      <family val="2"/>
    </font>
    <font>
      <sz val="9"/>
      <name val="Arial"/>
      <family val="2"/>
    </font>
    <font>
      <b/>
      <sz val="11"/>
      <color indexed="8"/>
      <name val="Arial"/>
      <family val="2"/>
    </font>
    <font>
      <sz val="11"/>
      <color indexed="8"/>
      <name val="Arial"/>
      <family val="2"/>
    </font>
    <font>
      <sz val="10"/>
      <color rgb="FF000000"/>
      <name val="Arial"/>
      <family val="2"/>
    </font>
    <font>
      <b/>
      <sz val="10"/>
      <color rgb="FF000000"/>
      <name val="Arial"/>
      <family val="2"/>
    </font>
    <font>
      <u val="singleAccounting"/>
      <sz val="10"/>
      <color rgb="FF000000"/>
      <name val="Arial"/>
      <family val="2"/>
    </font>
    <font>
      <b/>
      <sz val="11"/>
      <color rgb="FFFFFFFF"/>
      <name val="Arial"/>
      <family val="2"/>
    </font>
    <font>
      <b/>
      <sz val="11"/>
      <color rgb="FF000000"/>
      <name val="Arial"/>
      <family val="2"/>
    </font>
    <font>
      <sz val="11"/>
      <color rgb="FF000000"/>
      <name val="Arial"/>
      <family val="2"/>
    </font>
    <font>
      <i/>
      <sz val="10"/>
      <color rgb="FF000000"/>
      <name val="Arial"/>
      <family val="2"/>
    </font>
    <font>
      <sz val="11"/>
      <name val="Arial"/>
      <family val="2"/>
    </font>
    <font>
      <sz val="9"/>
      <name val="Arial"/>
      <family val="2"/>
    </font>
    <font>
      <sz val="9"/>
      <color theme="1"/>
      <name val="Times New Roman"/>
      <family val="2"/>
    </font>
    <font>
      <sz val="10"/>
      <color indexed="8"/>
      <name val="MS Sans Serif"/>
      <family val="2"/>
    </font>
    <font>
      <sz val="10"/>
      <name val="Univers LT Std 65 Bold"/>
      <family val="2"/>
    </font>
    <font>
      <u/>
      <sz val="11"/>
      <color theme="10"/>
      <name val="Calibri"/>
      <family val="2"/>
    </font>
    <font>
      <i/>
      <sz val="10"/>
      <name val="Helv"/>
    </font>
    <font>
      <sz val="10"/>
      <name val="Helv"/>
    </font>
    <font>
      <sz val="10"/>
      <name val="Courier"/>
      <family val="3"/>
    </font>
    <font>
      <sz val="10"/>
      <name val="Helvetic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52"/>
      <name val="Calibri"/>
      <family val="2"/>
    </font>
    <font>
      <sz val="11"/>
      <color indexed="60"/>
      <name val="Calibri"/>
      <family val="2"/>
    </font>
    <font>
      <sz val="11"/>
      <color indexed="10"/>
      <name val="Calibri"/>
      <family val="2"/>
    </font>
    <font>
      <sz val="10"/>
      <color indexed="10"/>
      <name val="Times New Roman"/>
      <family val="1"/>
    </font>
    <font>
      <sz val="8"/>
      <name val="Times New Roman"/>
      <family val="1"/>
    </font>
    <font>
      <b/>
      <sz val="10"/>
      <name val="GS TheSans"/>
      <family val="2"/>
    </font>
    <font>
      <i/>
      <sz val="10"/>
      <name val="Times New Roman"/>
      <family val="1"/>
    </font>
    <font>
      <b/>
      <sz val="8"/>
      <color indexed="8"/>
      <name val="Arial"/>
      <family val="2"/>
    </font>
    <font>
      <sz val="8"/>
      <color indexed="49"/>
      <name val="Times New Roman"/>
      <family val="1"/>
    </font>
    <font>
      <sz val="10"/>
      <name val="Times"/>
      <family val="1"/>
    </font>
    <font>
      <sz val="8"/>
      <name val="Tms Rmn"/>
    </font>
    <font>
      <b/>
      <sz val="9"/>
      <color indexed="8"/>
      <name val="Helvetica 65"/>
    </font>
    <font>
      <sz val="7"/>
      <color indexed="8"/>
      <name val="Helvetica 45"/>
      <family val="2"/>
    </font>
    <font>
      <sz val="7"/>
      <color indexed="8"/>
      <name val="Helvetica 65"/>
      <family val="2"/>
    </font>
    <font>
      <sz val="6"/>
      <color indexed="8"/>
      <name val="Helvetica 65"/>
      <family val="2"/>
    </font>
    <font>
      <sz val="12"/>
      <name val="Arial"/>
      <family val="2"/>
    </font>
    <font>
      <b/>
      <sz val="8"/>
      <name val="TimesNewRomanPS"/>
      <family val="1"/>
    </font>
    <font>
      <sz val="8"/>
      <color indexed="12"/>
      <name val="Helv"/>
      <family val="2"/>
    </font>
    <font>
      <sz val="8.5"/>
      <name val="Arial Narrow"/>
      <family val="2"/>
    </font>
    <font>
      <sz val="8"/>
      <color indexed="12"/>
      <name val="Arial Narrow"/>
      <family val="2"/>
    </font>
    <font>
      <sz val="8.5"/>
      <color indexed="49"/>
      <name val="Arial Narrow"/>
      <family val="2"/>
    </font>
    <font>
      <sz val="10"/>
      <name val="System"/>
      <family val="2"/>
    </font>
    <font>
      <sz val="14"/>
      <name val="Palatino"/>
      <family val="1"/>
    </font>
    <font>
      <sz val="16"/>
      <name val="Palatino"/>
      <family val="1"/>
    </font>
    <font>
      <sz val="32"/>
      <name val="Helvetica-Black"/>
    </font>
    <font>
      <b/>
      <i/>
      <u/>
      <sz val="8.5"/>
      <color indexed="12"/>
      <name val="Arial Narrow"/>
      <family val="2"/>
    </font>
    <font>
      <sz val="8.5"/>
      <color indexed="12"/>
      <name val="Arial Narrow"/>
      <family val="2"/>
    </font>
    <font>
      <b/>
      <sz val="8.5"/>
      <name val="Arial Narrow"/>
      <family val="2"/>
    </font>
    <font>
      <sz val="8"/>
      <name val="Palatino"/>
      <family val="1"/>
    </font>
    <font>
      <b/>
      <sz val="8"/>
      <name val="Times New Roman"/>
      <family val="1"/>
    </font>
    <font>
      <sz val="8"/>
      <color indexed="14"/>
      <name val="Arial Narrow"/>
      <family val="2"/>
    </font>
    <font>
      <b/>
      <sz val="9.5"/>
      <color indexed="10"/>
      <name val="MS Sans Serif"/>
      <family val="2"/>
    </font>
    <font>
      <sz val="6"/>
      <color indexed="23"/>
      <name val="Helvetica-Black"/>
    </font>
    <font>
      <sz val="9.5"/>
      <color indexed="23"/>
      <name val="Helvetica-Black"/>
    </font>
    <font>
      <sz val="7"/>
      <name val="Palatino"/>
      <family val="1"/>
    </font>
    <font>
      <i/>
      <sz val="8"/>
      <color indexed="17"/>
      <name val="Times New Roman"/>
      <family val="1"/>
    </font>
    <font>
      <sz val="8"/>
      <color indexed="21"/>
      <name val="Arial"/>
      <family val="2"/>
    </font>
    <font>
      <sz val="6"/>
      <name val="Palatino"/>
      <family val="1"/>
    </font>
    <font>
      <sz val="28"/>
      <name val="Helvetica-Black"/>
    </font>
    <font>
      <sz val="10"/>
      <name val="Helvetica-Black"/>
    </font>
    <font>
      <sz val="18"/>
      <name val="Helvetica-Black"/>
    </font>
    <font>
      <sz val="18"/>
      <name val="Palatino"/>
      <family val="1"/>
    </font>
    <font>
      <i/>
      <sz val="14"/>
      <name val="Palatino"/>
      <family val="1"/>
    </font>
    <font>
      <sz val="8"/>
      <color indexed="16"/>
      <name val="Palatino"/>
      <family val="1"/>
    </font>
    <font>
      <sz val="8"/>
      <color indexed="12"/>
      <name val="Palatino"/>
      <family val="1"/>
    </font>
    <font>
      <i/>
      <sz val="8"/>
      <name val="Tms Rmn"/>
    </font>
    <font>
      <sz val="8"/>
      <color indexed="10"/>
      <name val="Times New Roman"/>
      <family val="1"/>
    </font>
    <font>
      <sz val="8"/>
      <color indexed="18"/>
      <name val="Times New Roman"/>
      <family val="1"/>
    </font>
    <font>
      <b/>
      <sz val="8"/>
      <color indexed="12"/>
      <name val="Arial Narrow"/>
      <family val="2"/>
    </font>
    <font>
      <sz val="8"/>
      <name val="GS TheSans"/>
      <family val="2"/>
    </font>
    <font>
      <b/>
      <sz val="9"/>
      <color indexed="8"/>
      <name val="Helvetica 65"/>
      <family val="2"/>
    </font>
    <font>
      <sz val="9"/>
      <color indexed="8"/>
      <name val="Helvetica 45"/>
      <family val="2"/>
    </font>
    <font>
      <b/>
      <sz val="8"/>
      <color indexed="8"/>
      <name val="Helvetica 65"/>
    </font>
    <font>
      <sz val="8"/>
      <name val="Helvetica 65"/>
      <family val="2"/>
    </font>
    <font>
      <b/>
      <sz val="26"/>
      <name val="Times New Roman"/>
      <family val="1"/>
    </font>
    <font>
      <b/>
      <sz val="18"/>
      <name val="Times New Roman"/>
      <family val="1"/>
    </font>
    <font>
      <sz val="10"/>
      <color indexed="16"/>
      <name val="Helvetica-Black"/>
    </font>
    <font>
      <b/>
      <sz val="8"/>
      <name val="Arial Narrow"/>
      <family val="2"/>
    </font>
    <font>
      <sz val="9"/>
      <color indexed="21"/>
      <name val="Helvetica-Black"/>
    </font>
    <font>
      <b/>
      <sz val="9"/>
      <name val="Palatino"/>
      <family val="1"/>
    </font>
    <font>
      <sz val="9"/>
      <name val="Palatino"/>
      <family val="1"/>
    </font>
    <font>
      <sz val="9"/>
      <name val="Helvetica-Black"/>
    </font>
    <font>
      <b/>
      <sz val="14"/>
      <color indexed="8"/>
      <name val="Times New Roman"/>
      <family val="1"/>
    </font>
    <font>
      <sz val="8"/>
      <name val="Helvetica-Narrow"/>
      <family val="2"/>
    </font>
    <font>
      <b/>
      <sz val="7"/>
      <name val="Helvetica-Narrow"/>
      <family val="2"/>
    </font>
    <font>
      <sz val="12"/>
      <color indexed="8"/>
      <name val="Palatino"/>
      <family val="1"/>
    </font>
    <font>
      <sz val="12"/>
      <name val="Palatino"/>
      <family val="1"/>
    </font>
    <font>
      <sz val="11"/>
      <name val="Helvetica-Black"/>
    </font>
    <font>
      <sz val="11"/>
      <color indexed="8"/>
      <name val="Helvetica-Black"/>
    </font>
    <font>
      <sz val="11"/>
      <name val="Helvetica-Black"/>
      <family val="2"/>
    </font>
    <font>
      <b/>
      <sz val="10"/>
      <color indexed="16"/>
      <name val="Times New Roman"/>
      <family val="1"/>
    </font>
    <font>
      <b/>
      <sz val="8"/>
      <color indexed="18"/>
      <name val="Times New Roman"/>
      <family val="1"/>
    </font>
    <font>
      <b/>
      <sz val="8"/>
      <name val="Palatino"/>
      <family val="1"/>
    </font>
    <font>
      <u val="double"/>
      <sz val="8"/>
      <color indexed="8"/>
      <name val="Arial"/>
      <family val="2"/>
    </font>
    <font>
      <u/>
      <sz val="8"/>
      <name val="Tms Rmn"/>
    </font>
    <font>
      <sz val="8"/>
      <color indexed="12"/>
      <name val="Times New Roman"/>
      <family val="1"/>
    </font>
    <font>
      <sz val="8.5"/>
      <color indexed="14"/>
      <name val="Arial Narrow"/>
      <family val="2"/>
    </font>
    <font>
      <sz val="12"/>
      <name val="宋体"/>
      <charset val="134"/>
    </font>
    <font>
      <sz val="12"/>
      <name val="바탕체"/>
      <family val="1"/>
      <charset val="129"/>
    </font>
    <font>
      <sz val="11"/>
      <name val="돋움"/>
      <family val="3"/>
      <charset val="129"/>
    </font>
    <font>
      <sz val="10"/>
      <name val="GillSans"/>
      <family val="2"/>
    </font>
    <font>
      <sz val="10"/>
      <name val="Tms Rmn"/>
    </font>
    <font>
      <sz val="9"/>
      <name val="Helv"/>
    </font>
    <font>
      <sz val="11"/>
      <name val="Tms Rmn"/>
    </font>
    <font>
      <sz val="10"/>
      <color indexed="12"/>
      <name val="Book Antiqua"/>
      <family val="1"/>
    </font>
    <font>
      <b/>
      <sz val="11"/>
      <name val="Book Antiqua"/>
      <family val="1"/>
    </font>
    <font>
      <b/>
      <sz val="11"/>
      <color indexed="56"/>
      <name val="Calibri"/>
      <family val="2"/>
    </font>
    <font>
      <b/>
      <sz val="9"/>
      <name val="Helv"/>
    </font>
    <font>
      <b/>
      <sz val="6"/>
      <color indexed="18"/>
      <name val="Arial"/>
      <family val="2"/>
    </font>
    <font>
      <i/>
      <sz val="9"/>
      <color indexed="8"/>
      <name val="Arial"/>
      <family val="2"/>
    </font>
    <font>
      <b/>
      <sz val="11"/>
      <color indexed="63"/>
      <name val="Calibri"/>
      <family val="2"/>
    </font>
    <font>
      <b/>
      <sz val="20"/>
      <color indexed="8"/>
      <name val="Helvetica"/>
      <family val="2"/>
    </font>
    <font>
      <u/>
      <sz val="10"/>
      <name val="GillSans"/>
      <family val="2"/>
    </font>
    <font>
      <sz val="10"/>
      <name val="GillSans Light"/>
      <family val="2"/>
    </font>
    <font>
      <b/>
      <sz val="14"/>
      <color indexed="9"/>
      <name val="Arial"/>
      <family val="2"/>
    </font>
    <font>
      <b/>
      <i/>
      <sz val="8"/>
      <color indexed="9"/>
      <name val="Arial"/>
      <family val="2"/>
    </font>
    <font>
      <sz val="7"/>
      <color indexed="17"/>
      <name val="Times New Roman"/>
      <family val="1"/>
    </font>
    <font>
      <sz val="7"/>
      <color indexed="18"/>
      <name val="Times New Roman"/>
      <family val="1"/>
    </font>
    <font>
      <b/>
      <sz val="12"/>
      <name val="GillSans"/>
      <family val="2"/>
    </font>
    <font>
      <sz val="9"/>
      <name val="Book Antiqua"/>
      <family val="1"/>
    </font>
    <font>
      <i/>
      <sz val="8"/>
      <name val="Times New Roman"/>
      <family val="1"/>
    </font>
    <font>
      <b/>
      <sz val="10"/>
      <color indexed="37"/>
      <name val="Arial"/>
      <family val="2"/>
    </font>
    <font>
      <b/>
      <sz val="12"/>
      <color indexed="8"/>
      <name val="Arial"/>
      <family val="2"/>
    </font>
    <font>
      <b/>
      <i/>
      <sz val="12"/>
      <color indexed="10"/>
      <name val="Arial"/>
      <family val="2"/>
    </font>
    <font>
      <u/>
      <sz val="11"/>
      <name val="GillSans"/>
      <family val="2"/>
    </font>
    <font>
      <b/>
      <u/>
      <sz val="10"/>
      <color indexed="9"/>
      <name val="Arial"/>
      <family val="2"/>
    </font>
    <font>
      <b/>
      <i/>
      <sz val="10"/>
      <color indexed="18"/>
      <name val="Arial"/>
      <family val="2"/>
    </font>
    <font>
      <b/>
      <i/>
      <sz val="10"/>
      <color indexed="8"/>
      <name val="Arial"/>
      <family val="2"/>
    </font>
    <font>
      <u/>
      <sz val="10"/>
      <name val="Helv"/>
    </font>
    <font>
      <b/>
      <u/>
      <sz val="10"/>
      <name val="Times"/>
      <family val="1"/>
    </font>
    <font>
      <u/>
      <sz val="10"/>
      <color theme="10"/>
      <name val="Arial"/>
      <family val="2"/>
    </font>
    <font>
      <sz val="9"/>
      <color theme="0" tint="-0.499984740745262"/>
      <name val="Arial"/>
      <family val="2"/>
    </font>
    <font>
      <sz val="9"/>
      <color theme="0" tint="-0.34998626667073579"/>
      <name val="Arial"/>
      <family val="2"/>
    </font>
    <font>
      <u/>
      <sz val="9"/>
      <color theme="0" tint="-0.34998626667073579"/>
      <name val="Arial"/>
      <family val="2"/>
    </font>
    <font>
      <b/>
      <sz val="9"/>
      <color theme="0" tint="-0.34998626667073579"/>
      <name val="Arial"/>
      <family val="2"/>
    </font>
    <font>
      <i/>
      <sz val="11"/>
      <name val="Arial"/>
      <family val="2"/>
    </font>
    <font>
      <b/>
      <sz val="9"/>
      <color theme="0"/>
      <name val="Arial"/>
      <family val="2"/>
    </font>
    <font>
      <i/>
      <sz val="9"/>
      <color indexed="12"/>
      <name val="Arial"/>
      <family val="2"/>
    </font>
    <font>
      <i/>
      <sz val="9"/>
      <color indexed="81"/>
      <name val="Tahoma"/>
      <family val="2"/>
    </font>
    <font>
      <u val="singleAccounting"/>
      <sz val="10"/>
      <name val="Arial"/>
      <family val="2"/>
    </font>
    <font>
      <b/>
      <sz val="11"/>
      <name val="Arial"/>
      <family val="2"/>
    </font>
    <font>
      <u/>
      <sz val="9"/>
      <color indexed="81"/>
      <name val="Tahoma"/>
      <family val="2"/>
    </font>
    <font>
      <i/>
      <sz val="11"/>
      <color rgb="FF000000"/>
      <name val="Arial"/>
      <family val="2"/>
    </font>
    <font>
      <b/>
      <sz val="9"/>
      <color rgb="FF0000FF"/>
      <name val="Arial"/>
      <family val="2"/>
    </font>
    <font>
      <i/>
      <sz val="9"/>
      <color rgb="FF0000FF"/>
      <name val="Arial"/>
      <family val="2"/>
    </font>
    <font>
      <u/>
      <sz val="9"/>
      <color rgb="FF0000FF"/>
      <name val="Arial"/>
      <family val="2"/>
    </font>
    <font>
      <b/>
      <sz val="9"/>
      <color theme="1"/>
      <name val="Arial"/>
      <family val="2"/>
    </font>
  </fonts>
  <fills count="69">
    <fill>
      <patternFill patternType="none"/>
    </fill>
    <fill>
      <patternFill patternType="gray125"/>
    </fill>
    <fill>
      <patternFill patternType="solid">
        <fgColor indexed="9"/>
        <bgColor indexed="64"/>
      </patternFill>
    </fill>
    <fill>
      <patternFill patternType="solid">
        <fgColor indexed="28"/>
        <bgColor indexed="64"/>
      </patternFill>
    </fill>
    <fill>
      <patternFill patternType="solid">
        <fgColor indexed="30"/>
        <bgColor indexed="64"/>
      </patternFill>
    </fill>
    <fill>
      <patternFill patternType="solid">
        <fgColor indexed="24"/>
        <bgColor indexed="64"/>
      </patternFill>
    </fill>
    <fill>
      <patternFill patternType="solid">
        <fgColor indexed="13"/>
        <bgColor indexed="64"/>
      </patternFill>
    </fill>
    <fill>
      <patternFill patternType="solid">
        <fgColor theme="0"/>
        <bgColor indexed="64"/>
      </patternFill>
    </fill>
    <fill>
      <patternFill patternType="solid">
        <fgColor indexed="43"/>
      </patternFill>
    </fill>
    <fill>
      <patternFill patternType="gray0625">
        <fgColor indexed="10"/>
        <bgColor indexed="9"/>
      </patternFill>
    </fill>
    <fill>
      <patternFill patternType="solid">
        <fgColor indexed="18"/>
        <bgColor indexed="64"/>
      </patternFill>
    </fill>
    <fill>
      <patternFill patternType="lightGray">
        <fgColor indexed="14"/>
        <bgColor indexed="9"/>
      </patternFill>
    </fill>
    <fill>
      <patternFill patternType="lightGray">
        <fgColor indexed="15"/>
      </patternFill>
    </fill>
    <fill>
      <patternFill patternType="lightGray">
        <fgColor indexed="12"/>
        <bgColor indexed="9"/>
      </patternFill>
    </fill>
    <fill>
      <patternFill patternType="solid">
        <fgColor indexed="11"/>
        <bgColor indexed="9"/>
      </patternFill>
    </fill>
    <fill>
      <patternFill patternType="solid">
        <fgColor indexed="8"/>
        <bgColor indexed="64"/>
      </patternFill>
    </fill>
    <fill>
      <patternFill patternType="solid">
        <fgColor indexed="10"/>
      </patternFill>
    </fill>
    <fill>
      <patternFill patternType="lightGray">
        <fgColor indexed="22"/>
        <bgColor indexed="9"/>
      </patternFill>
    </fill>
    <fill>
      <patternFill patternType="solid">
        <fgColor rgb="FFFFFF00"/>
        <bgColor indexed="64"/>
      </patternFill>
    </fill>
    <fill>
      <patternFill patternType="solid">
        <fgColor rgb="FFAEBAD5"/>
        <bgColor rgb="FF000000"/>
      </patternFill>
    </fill>
    <fill>
      <patternFill patternType="solid">
        <fgColor rgb="FF4A6091"/>
        <bgColor rgb="FF000000"/>
      </patternFill>
    </fill>
    <fill>
      <patternFill patternType="solid">
        <fgColor rgb="FFBEC8DC"/>
        <bgColor rgb="FF000000"/>
      </patternFill>
    </fill>
    <fill>
      <patternFill patternType="solid">
        <fgColor rgb="FFD1D9E7"/>
        <bgColor rgb="FF000000"/>
      </patternFill>
    </fill>
    <fill>
      <patternFill patternType="solid">
        <fgColor theme="2"/>
        <bgColor indexed="64"/>
      </patternFill>
    </fill>
    <fill>
      <patternFill patternType="solid">
        <fgColor indexed="22"/>
        <bgColor indexed="64"/>
      </patternFill>
    </fill>
    <fill>
      <patternFill patternType="solid">
        <fgColor indexed="65"/>
        <bgColor indexed="64"/>
      </patternFill>
    </fill>
    <fill>
      <patternFill patternType="solid">
        <fgColor indexed="30"/>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mediumGray">
        <fgColor indexed="22"/>
      </patternFill>
    </fill>
    <fill>
      <patternFill patternType="solid">
        <fgColor indexed="47"/>
        <bgColor indexed="64"/>
      </patternFill>
    </fill>
    <fill>
      <patternFill patternType="solid">
        <fgColor indexed="11"/>
        <bgColor indexed="64"/>
      </patternFill>
    </fill>
    <fill>
      <patternFill patternType="lightGray">
        <fgColor indexed="9"/>
      </patternFill>
    </fill>
    <fill>
      <patternFill patternType="gray0625">
        <fgColor indexed="13"/>
        <bgColor indexed="9"/>
      </patternFill>
    </fill>
    <fill>
      <patternFill patternType="solid">
        <fgColor indexed="15"/>
        <bgColor indexed="64"/>
      </patternFill>
    </fill>
    <fill>
      <patternFill patternType="solid">
        <fgColor indexed="26"/>
        <bgColor indexed="64"/>
      </patternFill>
    </fill>
    <fill>
      <patternFill patternType="gray0625">
        <fgColor indexed="9"/>
      </patternFill>
    </fill>
    <fill>
      <patternFill patternType="gray0625">
        <fgColor indexed="9"/>
        <bgColor indexed="9"/>
      </patternFill>
    </fill>
    <fill>
      <patternFill patternType="solid">
        <fgColor indexed="13"/>
      </patternFill>
    </fill>
    <fill>
      <patternFill patternType="solid">
        <fgColor indexed="63"/>
        <bgColor indexed="64"/>
      </patternFill>
    </fill>
    <fill>
      <patternFill patternType="solid">
        <fgColor indexed="34"/>
        <bgColor indexed="64"/>
      </patternFill>
    </fill>
    <fill>
      <patternFill patternType="solid">
        <fgColor indexed="16"/>
        <bgColor indexed="64"/>
      </patternFill>
    </fill>
    <fill>
      <patternFill patternType="lightGray">
        <fgColor indexed="13"/>
      </patternFill>
    </fill>
    <fill>
      <patternFill patternType="solid">
        <fgColor indexed="9"/>
        <bgColor indexed="9"/>
      </patternFill>
    </fill>
    <fill>
      <patternFill patternType="lightGray">
        <fgColor indexed="9"/>
        <bgColor indexed="9"/>
      </patternFill>
    </fill>
    <fill>
      <patternFill patternType="lightGray">
        <fgColor indexed="22"/>
      </patternFill>
    </fill>
    <fill>
      <patternFill patternType="solid">
        <fgColor indexed="27"/>
        <bgColor indexed="64"/>
      </patternFill>
    </fill>
    <fill>
      <patternFill patternType="solid">
        <fgColor theme="8"/>
        <bgColor indexed="64"/>
      </patternFill>
    </fill>
    <fill>
      <patternFill patternType="solid">
        <fgColor theme="4"/>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s>
  <borders count="71">
    <border>
      <left/>
      <right/>
      <top/>
      <bottom/>
      <diagonal/>
    </border>
    <border>
      <left style="medium">
        <color indexed="64"/>
      </left>
      <right style="medium">
        <color indexed="64"/>
      </right>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bottom style="hair">
        <color indexed="64"/>
      </bottom>
      <diagonal/>
    </border>
    <border>
      <left/>
      <right/>
      <top/>
      <bottom style="hair">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hair">
        <color indexed="64"/>
      </top>
      <bottom/>
      <diagonal/>
    </border>
    <border>
      <left/>
      <right/>
      <top style="hair">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tted">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style="medium">
        <color indexed="9"/>
      </left>
      <right style="medium">
        <color indexed="9"/>
      </right>
      <top/>
      <bottom/>
      <diagonal/>
    </border>
    <border>
      <left/>
      <right style="thin">
        <color indexed="8"/>
      </right>
      <top style="thin">
        <color indexed="8"/>
      </top>
      <bottom/>
      <diagonal/>
    </border>
    <border>
      <left style="thick">
        <color indexed="9"/>
      </left>
      <right style="thick">
        <color indexed="9"/>
      </right>
      <top/>
      <bottom style="double">
        <color indexed="64"/>
      </bottom>
      <diagonal/>
    </border>
    <border>
      <left/>
      <right/>
      <top style="thin">
        <color indexed="64"/>
      </top>
      <bottom style="medium">
        <color indexed="64"/>
      </bottom>
      <diagonal/>
    </border>
    <border>
      <left style="medium">
        <color auto="1"/>
      </left>
      <right style="medium">
        <color auto="1"/>
      </right>
      <top/>
      <bottom/>
      <diagonal/>
    </border>
    <border>
      <left style="medium">
        <color indexed="64"/>
      </left>
      <right/>
      <top/>
      <bottom/>
      <diagonal/>
    </border>
    <border>
      <left/>
      <right/>
      <top/>
      <bottom style="thin">
        <color indexed="8"/>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9"/>
      </left>
      <right style="thin">
        <color indexed="9"/>
      </right>
      <top/>
      <bottom/>
      <diagonal/>
    </border>
    <border>
      <left/>
      <right/>
      <top/>
      <bottom style="double">
        <color indexed="52"/>
      </bottom>
      <diagonal/>
    </border>
    <border>
      <left style="medium">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23"/>
      </top>
      <bottom style="medium">
        <color indexed="23"/>
      </bottom>
      <diagonal/>
    </border>
    <border>
      <left/>
      <right/>
      <top/>
      <bottom style="thick">
        <color indexed="18"/>
      </bottom>
      <diagonal/>
    </border>
    <border>
      <left style="medium">
        <color indexed="9"/>
      </left>
      <right style="medium">
        <color indexed="49"/>
      </right>
      <top/>
      <bottom/>
      <diagonal/>
    </border>
    <border>
      <left style="thick">
        <color indexed="64"/>
      </left>
      <right style="thin">
        <color indexed="64"/>
      </right>
      <top/>
      <bottom/>
      <diagonal/>
    </border>
    <border>
      <left/>
      <right/>
      <top style="thin">
        <color auto="1"/>
      </top>
      <bottom/>
      <diagonal/>
    </border>
  </borders>
  <cellStyleXfs count="3419">
    <xf numFmtId="37" fontId="0" fillId="0" borderId="0" applyFill="0" applyBorder="0" applyProtection="0"/>
    <xf numFmtId="41" fontId="15" fillId="0" borderId="0" applyFill="0" applyBorder="0" applyProtection="0"/>
    <xf numFmtId="7" fontId="24" fillId="0" borderId="0" applyFill="0" applyBorder="0" applyProtection="0">
      <alignment horizontal="right"/>
    </xf>
    <xf numFmtId="7" fontId="15" fillId="0" borderId="0" applyFill="0" applyBorder="0" applyProtection="0">
      <alignment horizontal="right"/>
    </xf>
    <xf numFmtId="177" fontId="24" fillId="0" borderId="0" applyFill="0" applyBorder="0" applyProtection="0"/>
    <xf numFmtId="177" fontId="15" fillId="0" borderId="0" applyFill="0" applyBorder="0" applyProtection="0"/>
    <xf numFmtId="182" fontId="15" fillId="0" borderId="0" applyFill="0" applyBorder="0" applyProtection="0">
      <alignment horizontal="right"/>
    </xf>
    <xf numFmtId="176" fontId="24" fillId="0" borderId="1" applyFill="0" applyBorder="0" applyProtection="0"/>
    <xf numFmtId="37" fontId="15" fillId="0" borderId="0" applyFill="0" applyBorder="0"/>
    <xf numFmtId="176" fontId="15" fillId="0" borderId="1" applyFill="0" applyBorder="0" applyProtection="0"/>
    <xf numFmtId="37" fontId="15" fillId="0" borderId="0" applyFill="0" applyBorder="0"/>
    <xf numFmtId="176" fontId="15" fillId="0" borderId="1" applyFill="0" applyBorder="0" applyProtection="0"/>
    <xf numFmtId="9" fontId="24" fillId="0" borderId="1" applyFill="0" applyBorder="0" applyProtection="0"/>
    <xf numFmtId="9" fontId="15" fillId="0" borderId="1" applyFill="0" applyBorder="0" applyProtection="0"/>
    <xf numFmtId="0" fontId="4" fillId="0" borderId="0"/>
    <xf numFmtId="185" fontId="57" fillId="0" borderId="0" applyFont="0" applyFill="0" applyBorder="0" applyAlignment="0" applyProtection="0"/>
    <xf numFmtId="186" fontId="57" fillId="0" borderId="0" applyFont="0" applyFill="0" applyBorder="0" applyAlignment="0" applyProtection="0"/>
    <xf numFmtId="187" fontId="57"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7" fillId="0" borderId="0" applyFont="0" applyFill="0" applyBorder="0" applyAlignment="0" applyProtection="0"/>
    <xf numFmtId="187" fontId="57" fillId="0" borderId="0" applyFont="0" applyFill="0" applyBorder="0" applyAlignment="0" applyProtection="0"/>
    <xf numFmtId="187" fontId="57" fillId="0" borderId="0" applyFont="0" applyFill="0" applyBorder="0" applyAlignment="0" applyProtection="0"/>
    <xf numFmtId="187" fontId="58"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87" fontId="5" fillId="0" borderId="0" applyFont="0" applyFill="0" applyBorder="0" applyAlignment="0" applyProtection="0"/>
    <xf numFmtId="187" fontId="59"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7"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87" fontId="57"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7"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87" fontId="57"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8"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9"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7"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7" fillId="0" borderId="0" applyFont="0" applyFill="0" applyBorder="0" applyAlignment="0" applyProtection="0"/>
    <xf numFmtId="189" fontId="57" fillId="0" borderId="0" applyFont="0" applyFill="0" applyBorder="0" applyAlignment="0" applyProtection="0"/>
    <xf numFmtId="189" fontId="57" fillId="0" borderId="0" applyFont="0" applyFill="0" applyBorder="0" applyAlignment="0" applyProtection="0"/>
    <xf numFmtId="188" fontId="5" fillId="0" borderId="0" applyFont="0" applyFill="0" applyBorder="0" applyAlignment="0" applyProtection="0"/>
    <xf numFmtId="189" fontId="57" fillId="0" borderId="0" applyFont="0" applyFill="0" applyBorder="0" applyAlignment="0" applyProtection="0"/>
    <xf numFmtId="188" fontId="5" fillId="0" borderId="0" applyFont="0" applyFill="0" applyBorder="0" applyAlignment="0" applyProtection="0"/>
    <xf numFmtId="189" fontId="57"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0" fontId="58"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190" fontId="59"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0" fontId="57"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7" fillId="0" borderId="0" applyFont="0" applyFill="0" applyBorder="0" applyAlignment="0" applyProtection="0"/>
    <xf numFmtId="190" fontId="57" fillId="0" borderId="0" applyFont="0" applyFill="0" applyBorder="0" applyAlignment="0" applyProtection="0"/>
    <xf numFmtId="190" fontId="57" fillId="0" borderId="0" applyFont="0" applyFill="0" applyBorder="0" applyAlignment="0" applyProtection="0"/>
    <xf numFmtId="39" fontId="5" fillId="0" borderId="0" applyFont="0" applyFill="0" applyBorder="0" applyAlignment="0" applyProtection="0"/>
    <xf numFmtId="190" fontId="57" fillId="0" borderId="0" applyFont="0" applyFill="0" applyBorder="0" applyAlignment="0" applyProtection="0"/>
    <xf numFmtId="39" fontId="5" fillId="0" borderId="0" applyFont="0" applyFill="0" applyBorder="0" applyAlignment="0" applyProtection="0"/>
    <xf numFmtId="190" fontId="57"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88" fontId="5" fillId="0" borderId="0" applyFont="0" applyFill="0" applyBorder="0" applyAlignment="0" applyProtection="0"/>
    <xf numFmtId="191" fontId="57" fillId="0" borderId="0" applyFon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57" fillId="8" borderId="0" applyNumberFormat="0" applyFont="0" applyAlignment="0" applyProtection="0"/>
    <xf numFmtId="192"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3" fontId="58"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3" fontId="59"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3" fontId="57"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7" fillId="0" borderId="0" applyFont="0" applyFill="0" applyBorder="0" applyAlignment="0" applyProtection="0"/>
    <xf numFmtId="193" fontId="57" fillId="0" borderId="0" applyFont="0" applyFill="0" applyBorder="0" applyAlignment="0" applyProtection="0"/>
    <xf numFmtId="193" fontId="57" fillId="0" borderId="0" applyFont="0" applyFill="0" applyBorder="0" applyAlignment="0" applyProtection="0"/>
    <xf numFmtId="192" fontId="5" fillId="0" borderId="0" applyFont="0" applyFill="0" applyBorder="0" applyAlignment="0" applyProtection="0"/>
    <xf numFmtId="193" fontId="57" fillId="0" borderId="0" applyFont="0" applyFill="0" applyBorder="0" applyAlignment="0" applyProtection="0"/>
    <xf numFmtId="192" fontId="5" fillId="0" borderId="0" applyFont="0" applyFill="0" applyBorder="0" applyAlignment="0" applyProtection="0"/>
    <xf numFmtId="193" fontId="57"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5" fontId="5" fillId="0" borderId="0" applyFont="0" applyFill="0" applyBorder="0" applyAlignment="0" applyProtection="0"/>
    <xf numFmtId="196" fontId="5" fillId="0" borderId="0" applyFont="0" applyFill="0" applyBorder="0" applyProtection="0">
      <alignment horizontal="right"/>
    </xf>
    <xf numFmtId="196" fontId="5" fillId="0" borderId="0" applyFont="0" applyFill="0" applyBorder="0" applyProtection="0">
      <alignment horizontal="right"/>
    </xf>
    <xf numFmtId="195" fontId="5" fillId="0" borderId="0" applyFont="0" applyFill="0" applyBorder="0" applyAlignment="0" applyProtection="0"/>
    <xf numFmtId="195" fontId="5" fillId="0" borderId="0" applyFont="0" applyFill="0" applyBorder="0" applyAlignment="0" applyProtection="0"/>
    <xf numFmtId="196" fontId="58" fillId="0" borderId="0" applyFont="0" applyFill="0" applyBorder="0" applyProtection="0">
      <alignment horizontal="right"/>
    </xf>
    <xf numFmtId="195" fontId="5" fillId="0" borderId="0" applyFont="0" applyFill="0" applyBorder="0" applyAlignment="0" applyProtection="0"/>
    <xf numFmtId="196" fontId="5" fillId="0" borderId="0" applyFont="0" applyFill="0" applyBorder="0" applyProtection="0">
      <alignment horizontal="right"/>
    </xf>
    <xf numFmtId="195" fontId="5" fillId="0" borderId="0" applyFont="0" applyFill="0" applyBorder="0" applyAlignment="0" applyProtection="0"/>
    <xf numFmtId="196" fontId="5" fillId="0" borderId="0" applyFont="0" applyFill="0" applyBorder="0" applyProtection="0">
      <alignment horizontal="right"/>
    </xf>
    <xf numFmtId="195" fontId="5" fillId="0" borderId="0" applyFont="0" applyFill="0" applyBorder="0" applyAlignment="0" applyProtection="0"/>
    <xf numFmtId="195" fontId="5" fillId="0" borderId="0" applyFont="0" applyFill="0" applyBorder="0" applyAlignment="0" applyProtection="0"/>
    <xf numFmtId="196" fontId="5" fillId="0" borderId="0" applyFont="0" applyFill="0" applyBorder="0" applyProtection="0">
      <alignment horizontal="right"/>
    </xf>
    <xf numFmtId="196" fontId="59"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6" fontId="57" fillId="0" borderId="0" applyFont="0" applyFill="0" applyBorder="0" applyProtection="0">
      <alignment horizontal="right"/>
    </xf>
    <xf numFmtId="195" fontId="5" fillId="0" borderId="0" applyFont="0" applyFill="0" applyBorder="0" applyAlignment="0" applyProtection="0"/>
    <xf numFmtId="196" fontId="5" fillId="0" borderId="0" applyFont="0" applyFill="0" applyBorder="0" applyProtection="0">
      <alignment horizontal="right"/>
    </xf>
    <xf numFmtId="196" fontId="5" fillId="0" borderId="0" applyFont="0" applyFill="0" applyBorder="0" applyProtection="0">
      <alignment horizontal="right"/>
    </xf>
    <xf numFmtId="196" fontId="57" fillId="0" borderId="0" applyFont="0" applyFill="0" applyBorder="0" applyProtection="0">
      <alignment horizontal="right"/>
    </xf>
    <xf numFmtId="196" fontId="57" fillId="0" borderId="0" applyFont="0" applyFill="0" applyBorder="0" applyProtection="0">
      <alignment horizontal="right"/>
    </xf>
    <xf numFmtId="196" fontId="57" fillId="0" borderId="0" applyFont="0" applyFill="0" applyBorder="0" applyProtection="0">
      <alignment horizontal="right"/>
    </xf>
    <xf numFmtId="195" fontId="5" fillId="0" borderId="0" applyFont="0" applyFill="0" applyBorder="0" applyAlignment="0" applyProtection="0"/>
    <xf numFmtId="196" fontId="57" fillId="0" borderId="0" applyFont="0" applyFill="0" applyBorder="0" applyProtection="0">
      <alignment horizontal="right"/>
    </xf>
    <xf numFmtId="195" fontId="5" fillId="0" borderId="0" applyFont="0" applyFill="0" applyBorder="0" applyAlignment="0" applyProtection="0"/>
    <xf numFmtId="196" fontId="57" fillId="0" borderId="0" applyFont="0" applyFill="0" applyBorder="0" applyProtection="0">
      <alignment horizontal="right"/>
    </xf>
    <xf numFmtId="195" fontId="5" fillId="0" borderId="0" applyFont="0" applyFill="0" applyBorder="0" applyAlignment="0" applyProtection="0"/>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8" fontId="5" fillId="0" borderId="0" applyFont="0" applyFill="0" applyBorder="0" applyAlignment="0" applyProtection="0"/>
    <xf numFmtId="185" fontId="5" fillId="0" borderId="0" applyFont="0" applyFill="0" applyBorder="0" applyProtection="0">
      <alignment horizontal="right"/>
    </xf>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99" fontId="5" fillId="0" borderId="0" applyFont="0" applyFill="0" applyBorder="0" applyAlignment="0" applyProtection="0"/>
    <xf numFmtId="186" fontId="5" fillId="0" borderId="0" applyFont="0" applyFill="0" applyBorder="0" applyProtection="0">
      <alignment horizontal="right"/>
    </xf>
    <xf numFmtId="186" fontId="5" fillId="0" borderId="0" applyFont="0" applyFill="0" applyBorder="0" applyProtection="0">
      <alignment horizontal="right"/>
    </xf>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Alignment="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16" fillId="0" borderId="45" applyNumberFormat="0" applyFill="0" applyAlignment="0" applyProtection="0"/>
    <xf numFmtId="0" fontId="16" fillId="0" borderId="45" applyNumberFormat="0" applyFill="0" applyAlignment="0" applyProtection="0"/>
    <xf numFmtId="0" fontId="16" fillId="0" borderId="46" applyNumberFormat="0" applyFill="0" applyAlignment="0" applyProtection="0"/>
    <xf numFmtId="0" fontId="16" fillId="0" borderId="45" applyNumberFormat="0" applyFill="0" applyAlignment="0" applyProtection="0"/>
    <xf numFmtId="0" fontId="16" fillId="0" borderId="45" applyNumberFormat="0" applyFill="0" applyAlignment="0" applyProtection="0"/>
    <xf numFmtId="0" fontId="62" fillId="0" borderId="47" applyNumberFormat="0" applyFill="0" applyProtection="0">
      <alignment horizontal="center"/>
    </xf>
    <xf numFmtId="0" fontId="62" fillId="0" borderId="0" applyNumberFormat="0" applyFill="0" applyBorder="0" applyProtection="0">
      <alignment horizontal="left"/>
    </xf>
    <xf numFmtId="0" fontId="63" fillId="0" borderId="0" applyNumberFormat="0" applyFill="0" applyBorder="0" applyProtection="0">
      <alignment horizontal="centerContinuous"/>
    </xf>
    <xf numFmtId="0" fontId="63" fillId="0" borderId="0" applyNumberFormat="0" applyFill="0" applyBorder="0" applyProtection="0">
      <alignment horizontal="centerContinuous"/>
    </xf>
    <xf numFmtId="0" fontId="63" fillId="0" borderId="0" applyNumberFormat="0" applyFill="0" applyProtection="0">
      <alignment horizontal="centerContinuous"/>
    </xf>
    <xf numFmtId="0" fontId="63" fillId="0" borderId="0" applyNumberFormat="0" applyFill="0" applyBorder="0" applyProtection="0">
      <alignment horizontal="centerContinuous"/>
    </xf>
    <xf numFmtId="0" fontId="63" fillId="0" borderId="0" applyNumberFormat="0" applyFill="0" applyBorder="0" applyProtection="0">
      <alignment horizontal="centerContinuous"/>
    </xf>
    <xf numFmtId="200" fontId="64" fillId="9" borderId="0" applyNumberFormat="0" applyFont="0" applyBorder="0" applyAlignment="0">
      <alignment horizontal="right"/>
    </xf>
    <xf numFmtId="201" fontId="65" fillId="9" borderId="2" applyFont="0">
      <alignment horizontal="right"/>
    </xf>
    <xf numFmtId="0" fontId="6" fillId="0" borderId="0" applyNumberFormat="0" applyFill="0" applyBorder="0" applyAlignment="0" applyProtection="0"/>
    <xf numFmtId="0" fontId="66" fillId="0" borderId="0"/>
    <xf numFmtId="2" fontId="18" fillId="0" borderId="0" applyNumberFormat="0" applyBorder="0" applyAlignment="0"/>
    <xf numFmtId="174" fontId="67" fillId="0" borderId="0"/>
    <xf numFmtId="0" fontId="68" fillId="0" borderId="0" applyNumberFormat="0" applyFill="0" applyBorder="0" applyAlignment="0"/>
    <xf numFmtId="0" fontId="69" fillId="0" borderId="0" applyNumberFormat="0" applyFill="0" applyBorder="0" applyAlignment="0" applyProtection="0"/>
    <xf numFmtId="0" fontId="22" fillId="10" borderId="48">
      <alignment horizontal="center"/>
    </xf>
    <xf numFmtId="2" fontId="6" fillId="11" borderId="0" applyNumberFormat="0" applyFont="0" applyBorder="0" applyAlignment="0" applyProtection="0"/>
    <xf numFmtId="202" fontId="6" fillId="12" borderId="0" applyNumberFormat="0" applyFont="0" applyBorder="0" applyAlignment="0">
      <protection locked="0"/>
    </xf>
    <xf numFmtId="0" fontId="6" fillId="0" borderId="0" applyNumberFormat="0" applyFill="0" applyBorder="0" applyAlignment="0" applyProtection="0"/>
    <xf numFmtId="0" fontId="70" fillId="0" borderId="0" applyNumberFormat="0" applyFill="0" applyBorder="0" applyAlignment="0" applyProtection="0"/>
    <xf numFmtId="0" fontId="6" fillId="0" borderId="0" applyNumberFormat="0" applyFill="0" applyBorder="0" applyAlignment="0" applyProtection="0"/>
    <xf numFmtId="202" fontId="71" fillId="0" borderId="0" applyNumberFormat="0" applyFill="0" applyBorder="0" applyProtection="0">
      <alignment horizontal="right"/>
    </xf>
    <xf numFmtId="203" fontId="5" fillId="0" borderId="0">
      <protection locked="0"/>
    </xf>
    <xf numFmtId="0" fontId="72" fillId="0" borderId="0" applyNumberFormat="0" applyFill="0" applyBorder="0">
      <alignment horizontal="right"/>
    </xf>
    <xf numFmtId="38" fontId="73" fillId="0" borderId="0" applyNumberFormat="0" applyFill="0" applyBorder="0">
      <alignment vertical="center"/>
    </xf>
    <xf numFmtId="8" fontId="74" fillId="0" borderId="49">
      <protection locked="0"/>
    </xf>
    <xf numFmtId="203" fontId="5" fillId="0" borderId="0">
      <protection locked="0"/>
    </xf>
    <xf numFmtId="14" fontId="75" fillId="0" borderId="0">
      <alignment horizontal="right"/>
    </xf>
    <xf numFmtId="0" fontId="15" fillId="0" borderId="0"/>
    <xf numFmtId="204" fontId="76" fillId="0" borderId="0" applyFont="0" applyFill="0" applyBorder="0" applyAlignment="0" applyProtection="0">
      <alignment horizontal="right"/>
    </xf>
    <xf numFmtId="0" fontId="18" fillId="0" borderId="0" applyNumberFormat="0" applyAlignment="0"/>
    <xf numFmtId="205" fontId="6" fillId="13" borderId="17" applyNumberFormat="0" applyFont="0" applyBorder="0" applyAlignment="0" applyProtection="0">
      <alignment horizontal="right"/>
    </xf>
    <xf numFmtId="170" fontId="77" fillId="0" borderId="0" applyNumberFormat="0" applyFont="0" applyAlignment="0">
      <alignment vertical="center"/>
    </xf>
    <xf numFmtId="203" fontId="5" fillId="0" borderId="0">
      <protection locked="0"/>
    </xf>
    <xf numFmtId="0" fontId="78" fillId="0" borderId="0" applyNumberFormat="0" applyFill="0" applyBorder="0" applyAlignment="0" applyProtection="0"/>
    <xf numFmtId="1" fontId="6" fillId="0" borderId="0" applyNumberFormat="0" applyBorder="0" applyAlignment="0" applyProtection="0"/>
    <xf numFmtId="206" fontId="79" fillId="0" borderId="0">
      <alignment vertical="center"/>
    </xf>
    <xf numFmtId="49" fontId="78" fillId="0" borderId="0">
      <alignment horizontal="right"/>
    </xf>
    <xf numFmtId="49" fontId="80" fillId="0" borderId="0">
      <alignment horizontal="right"/>
    </xf>
    <xf numFmtId="206" fontId="81" fillId="0" borderId="0">
      <alignment vertical="center"/>
    </xf>
    <xf numFmtId="170" fontId="82" fillId="0" borderId="0" applyNumberFormat="0" applyFill="0" applyBorder="0">
      <alignment horizontal="left" vertical="center"/>
    </xf>
    <xf numFmtId="0" fontId="20" fillId="0" borderId="0"/>
    <xf numFmtId="0" fontId="83" fillId="14" borderId="0" applyNumberFormat="0" applyFont="0" applyBorder="0" applyAlignment="0" applyProtection="0"/>
    <xf numFmtId="207" fontId="5" fillId="0" borderId="0" applyNumberFormat="0" applyFill="0" applyBorder="0" applyAlignment="0" applyProtection="0"/>
    <xf numFmtId="0" fontId="84" fillId="0" borderId="0"/>
    <xf numFmtId="0" fontId="85" fillId="0" borderId="0"/>
    <xf numFmtId="38" fontId="86" fillId="0" borderId="0" applyNumberFormat="0" applyFill="0" applyBorder="0">
      <alignment horizontal="left" vertical="center"/>
    </xf>
    <xf numFmtId="170" fontId="87" fillId="0" borderId="0" applyFill="0" applyBorder="0">
      <alignment vertical="center"/>
    </xf>
    <xf numFmtId="0" fontId="88" fillId="15" borderId="0"/>
    <xf numFmtId="202" fontId="89" fillId="0" borderId="0"/>
    <xf numFmtId="2" fontId="83" fillId="0" borderId="0" applyBorder="0" applyProtection="0"/>
    <xf numFmtId="0" fontId="5" fillId="0" borderId="0"/>
    <xf numFmtId="0" fontId="6" fillId="0" borderId="0" applyNumberFormat="0" applyFill="0" applyBorder="0" applyAlignment="0" applyProtection="0"/>
    <xf numFmtId="0" fontId="19" fillId="0" borderId="0" applyNumberFormat="0" applyFill="0" applyBorder="0" applyAlignment="0" applyProtection="0"/>
    <xf numFmtId="207" fontId="5" fillId="0" borderId="0" applyNumberFormat="0" applyFill="0" applyBorder="0" applyAlignment="0" applyProtection="0"/>
    <xf numFmtId="0" fontId="19" fillId="0" borderId="0" applyNumberFormat="0" applyFill="0" applyBorder="0" applyAlignment="0" applyProtection="0"/>
    <xf numFmtId="0" fontId="86" fillId="0" borderId="0" applyNumberFormat="0" applyFill="0" applyBorder="0" applyAlignment="0" applyProtection="0"/>
    <xf numFmtId="0" fontId="6" fillId="0" borderId="0" applyNumberFormat="0" applyFill="0" applyBorder="0" applyAlignment="0" applyProtection="0"/>
    <xf numFmtId="0" fontId="90" fillId="0" borderId="0">
      <alignment horizontal="left" vertical="top"/>
      <protection locked="0"/>
    </xf>
    <xf numFmtId="208" fontId="5" fillId="0" borderId="0" applyFill="0">
      <alignment horizontal="center" vertical="center"/>
    </xf>
    <xf numFmtId="0" fontId="91" fillId="0" borderId="0" applyNumberFormat="0" applyFill="0" applyBorder="0">
      <alignment horizontal="left"/>
    </xf>
    <xf numFmtId="209" fontId="5" fillId="0" borderId="0"/>
    <xf numFmtId="7" fontId="92" fillId="0" borderId="0" applyFont="0" applyFill="0" applyBorder="0" applyAlignment="0" applyProtection="0"/>
    <xf numFmtId="0" fontId="93" fillId="0" borderId="0" applyNumberFormat="0" applyAlignment="0"/>
    <xf numFmtId="174" fontId="5" fillId="0" borderId="0" applyFill="0" applyBorder="0" applyAlignment="0" applyProtection="0"/>
    <xf numFmtId="173" fontId="94" fillId="0" borderId="0">
      <alignment vertical="top"/>
    </xf>
    <xf numFmtId="165" fontId="83" fillId="16" borderId="20" applyNumberFormat="0" applyFont="0" applyBorder="0" applyAlignment="0" applyProtection="0">
      <alignment horizontal="center"/>
    </xf>
    <xf numFmtId="37" fontId="95" fillId="1" borderId="0">
      <alignment horizontal="right"/>
    </xf>
    <xf numFmtId="1" fontId="96" fillId="17" borderId="0" applyNumberFormat="0" applyFont="0" applyBorder="0" applyAlignment="0">
      <alignment horizontal="left"/>
    </xf>
    <xf numFmtId="2" fontId="97" fillId="0" borderId="0"/>
    <xf numFmtId="1" fontId="5" fillId="0" borderId="0"/>
    <xf numFmtId="0" fontId="5" fillId="0" borderId="0" applyFont="0" applyFill="0" applyBorder="0" applyAlignment="0" applyProtection="0"/>
    <xf numFmtId="0" fontId="5" fillId="0" borderId="0">
      <alignment vertical="top"/>
    </xf>
    <xf numFmtId="0" fontId="5" fillId="0" borderId="0">
      <alignment vertical="top"/>
    </xf>
    <xf numFmtId="210" fontId="98" fillId="0" borderId="0" applyNumberFormat="0" applyFill="0" applyBorder="0" applyAlignment="0" applyProtection="0">
      <alignment horizontal="right" vertical="center" wrapText="1"/>
    </xf>
    <xf numFmtId="0" fontId="99" fillId="0" borderId="0" applyNumberFormat="0" applyFill="0" applyBorder="0" applyAlignment="0" applyProtection="0"/>
    <xf numFmtId="0" fontId="100" fillId="0" borderId="0" applyNumberFormat="0" applyFill="0" applyBorder="0" applyAlignment="0" applyProtection="0">
      <protection locked="0"/>
    </xf>
    <xf numFmtId="0" fontId="101" fillId="0" borderId="17" applyNumberFormat="0" applyFill="0" applyProtection="0">
      <alignment horizontal="right"/>
    </xf>
    <xf numFmtId="6" fontId="86" fillId="0" borderId="50" applyFill="0">
      <alignment vertical="center"/>
    </xf>
    <xf numFmtId="211" fontId="6" fillId="0" borderId="0"/>
    <xf numFmtId="39" fontId="7" fillId="0" borderId="2" applyNumberFormat="0" applyBorder="0">
      <alignment horizontal="right"/>
    </xf>
    <xf numFmtId="0" fontId="101" fillId="0" borderId="51" applyNumberFormat="0" applyProtection="0">
      <alignment horizontal="right"/>
    </xf>
    <xf numFmtId="0" fontId="102" fillId="0" borderId="12" applyNumberFormat="0" applyFill="0" applyProtection="0"/>
    <xf numFmtId="0" fontId="103" fillId="0" borderId="0">
      <alignment vertical="center"/>
    </xf>
    <xf numFmtId="0" fontId="79" fillId="0" borderId="0">
      <alignment vertical="center"/>
    </xf>
    <xf numFmtId="0" fontId="81" fillId="0" borderId="0">
      <alignment vertical="center"/>
    </xf>
    <xf numFmtId="0" fontId="104" fillId="0" borderId="0" applyNumberFormat="0">
      <alignment horizontal="left"/>
    </xf>
    <xf numFmtId="0" fontId="105" fillId="0" borderId="0" applyFill="0" applyBorder="0" applyProtection="0">
      <alignment horizontal="left" vertical="top"/>
    </xf>
    <xf numFmtId="14" fontId="5" fillId="0" borderId="0" applyFill="0" applyBorder="0">
      <alignment vertical="center"/>
    </xf>
    <xf numFmtId="0" fontId="20" fillId="0" borderId="0" applyNumberFormat="0" applyFill="0" applyBorder="0" applyAlignment="0" applyProtection="0"/>
    <xf numFmtId="0" fontId="106" fillId="0" borderId="0" applyNumberFormat="0" applyFill="0" applyBorder="0" applyAlignment="0" applyProtection="0"/>
    <xf numFmtId="38" fontId="107" fillId="0" borderId="0" applyNumberFormat="0" applyFill="0" applyBorder="0">
      <alignment horizontal="left" vertical="center"/>
    </xf>
    <xf numFmtId="38" fontId="108" fillId="0" borderId="0" applyNumberFormat="0" applyFill="0" applyBorder="0">
      <alignment horizontal="centerContinuous" vertical="center"/>
    </xf>
    <xf numFmtId="0" fontId="109" fillId="0" borderId="0" applyNumberFormat="0" applyFill="0" applyBorder="0" applyAlignment="0" applyProtection="0"/>
    <xf numFmtId="0" fontId="26" fillId="0" borderId="0" applyNumberFormat="0" applyFill="0" applyBorder="0" applyAlignment="0" applyProtection="0"/>
    <xf numFmtId="165" fontId="18" fillId="0" borderId="0" applyNumberFormat="0" applyBorder="0" applyAlignment="0"/>
    <xf numFmtId="1" fontId="110" fillId="0" borderId="2" applyFill="0" applyProtection="0">
      <alignment horizontal="right"/>
    </xf>
    <xf numFmtId="183" fontId="5" fillId="0" borderId="0" applyFill="0" applyBorder="0">
      <alignment vertical="center"/>
    </xf>
    <xf numFmtId="43" fontId="117" fillId="0" borderId="0" applyFont="0" applyFill="0" applyBorder="0" applyAlignment="0" applyProtection="0"/>
    <xf numFmtId="37" fontId="15" fillId="0" borderId="0" applyFill="0" applyBorder="0" applyProtection="0"/>
    <xf numFmtId="176" fontId="15" fillId="0" borderId="1" applyFill="0" applyBorder="0" applyProtection="0"/>
    <xf numFmtId="0" fontId="3" fillId="0" borderId="0"/>
    <xf numFmtId="0" fontId="3" fillId="0" borderId="0"/>
    <xf numFmtId="176" fontId="15" fillId="0" borderId="1" applyFill="0" applyBorder="0" applyProtection="0"/>
    <xf numFmtId="0" fontId="3" fillId="0" borderId="0"/>
    <xf numFmtId="176" fontId="15" fillId="0" borderId="1" applyFill="0" applyBorder="0" applyProtection="0"/>
    <xf numFmtId="0" fontId="3" fillId="0" borderId="0"/>
    <xf numFmtId="176" fontId="15" fillId="0" borderId="1" applyFill="0" applyBorder="0" applyProtection="0"/>
    <xf numFmtId="0" fontId="3" fillId="0" borderId="0"/>
    <xf numFmtId="176" fontId="15" fillId="0" borderId="1" applyFill="0" applyBorder="0" applyProtection="0"/>
    <xf numFmtId="0" fontId="3" fillId="0" borderId="0"/>
    <xf numFmtId="176" fontId="15" fillId="0" borderId="1" applyFill="0" applyBorder="0" applyProtection="0"/>
    <xf numFmtId="0" fontId="3" fillId="0" borderId="0"/>
    <xf numFmtId="176" fontId="15" fillId="0" borderId="1" applyFill="0" applyBorder="0" applyProtection="0"/>
    <xf numFmtId="0" fontId="3" fillId="0" borderId="0"/>
    <xf numFmtId="176" fontId="15" fillId="0" borderId="1" applyFill="0" applyBorder="0" applyProtection="0"/>
    <xf numFmtId="37" fontId="15" fillId="0" borderId="0" applyFill="0" applyBorder="0" applyProtection="0"/>
    <xf numFmtId="43" fontId="15" fillId="0" borderId="0" applyFont="0" applyFill="0" applyBorder="0" applyAlignment="0" applyProtection="0"/>
    <xf numFmtId="37" fontId="15" fillId="0" borderId="0" applyFill="0" applyBorder="0" applyProtection="0"/>
    <xf numFmtId="37" fontId="15" fillId="0" borderId="0" applyFill="0" applyBorder="0" applyProtection="0"/>
    <xf numFmtId="37" fontId="15" fillId="0" borderId="0" applyFill="0" applyBorder="0" applyProtection="0"/>
    <xf numFmtId="37" fontId="15" fillId="0" borderId="0" applyFill="0" applyBorder="0" applyProtection="0"/>
    <xf numFmtId="37" fontId="15" fillId="0" borderId="0" applyFill="0" applyBorder="0" applyProtection="0"/>
    <xf numFmtId="37" fontId="15" fillId="0" borderId="0" applyFill="0" applyBorder="0" applyProtection="0"/>
    <xf numFmtId="44" fontId="128"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29" fillId="0" borderId="0"/>
    <xf numFmtId="9" fontId="129" fillId="0" borderId="0" applyFont="0" applyFill="0" applyBorder="0" applyAlignment="0" applyProtection="0"/>
    <xf numFmtId="0" fontId="130" fillId="0" borderId="0" applyNumberFormat="0" applyFont="0" applyFill="0" applyBorder="0" applyAlignment="0" applyProtection="0"/>
    <xf numFmtId="0" fontId="5" fillId="0" borderId="0" applyNumberFormat="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213" fontId="5" fillId="0" borderId="0" applyFont="0" applyFill="0" applyBorder="0" applyAlignment="0" applyProtection="0"/>
    <xf numFmtId="213" fontId="5" fillId="0" borderId="0" applyFont="0" applyFill="0" applyBorder="0" applyAlignment="0" applyProtection="0"/>
    <xf numFmtId="213" fontId="5" fillId="0" borderId="0" applyFont="0" applyFill="0" applyBorder="0" applyAlignment="0" applyProtection="0"/>
    <xf numFmtId="213"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0" fontId="5" fillId="8" borderId="0" applyNumberFormat="0" applyFont="0" applyAlignment="0" applyProtection="0"/>
    <xf numFmtId="0" fontId="5" fillId="8" borderId="0" applyNumberFormat="0" applyFont="0" applyAlignment="0" applyProtection="0"/>
    <xf numFmtId="0" fontId="5" fillId="8" borderId="0" applyNumberFormat="0" applyFont="0" applyAlignment="0" applyProtection="0"/>
    <xf numFmtId="0" fontId="5" fillId="8" borderId="0" applyNumberFormat="0" applyFont="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214" fontId="5" fillId="9" borderId="2" applyFont="0">
      <alignment horizontal="right"/>
    </xf>
    <xf numFmtId="214" fontId="5" fillId="9" borderId="2" applyFont="0">
      <alignment horizontal="right"/>
    </xf>
    <xf numFmtId="214" fontId="5" fillId="9" borderId="2" applyFont="0">
      <alignment horizontal="right"/>
    </xf>
    <xf numFmtId="214" fontId="5" fillId="9" borderId="2" applyFont="0">
      <alignment horizontal="right"/>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6" fillId="0" borderId="0" applyNumberFormat="0" applyBorder="0">
      <alignment vertical="center"/>
    </xf>
    <xf numFmtId="215" fontId="5" fillId="0" borderId="0" applyFont="0" applyFill="0" applyBorder="0" applyAlignment="0" applyProtection="0">
      <alignment horizontal="right"/>
    </xf>
    <xf numFmtId="215" fontId="5" fillId="0" borderId="0" applyFont="0" applyFill="0" applyBorder="0" applyAlignment="0" applyProtection="0">
      <alignment horizontal="right"/>
    </xf>
    <xf numFmtId="215" fontId="5" fillId="0" borderId="0" applyFont="0" applyFill="0" applyBorder="0" applyAlignment="0" applyProtection="0">
      <alignment horizontal="right"/>
    </xf>
    <xf numFmtId="215" fontId="5" fillId="0" borderId="0" applyFont="0" applyFill="0" applyBorder="0" applyAlignment="0" applyProtection="0">
      <alignment horizontal="right"/>
    </xf>
    <xf numFmtId="216" fontId="5" fillId="13" borderId="17" applyNumberFormat="0" applyFont="0" applyBorder="0" applyAlignment="0" applyProtection="0">
      <alignment horizontal="right"/>
    </xf>
    <xf numFmtId="216" fontId="5" fillId="13" borderId="17" applyNumberFormat="0" applyFont="0" applyBorder="0" applyAlignment="0" applyProtection="0">
      <alignment horizontal="right"/>
    </xf>
    <xf numFmtId="216" fontId="5" fillId="13" borderId="17" applyNumberFormat="0" applyFont="0" applyBorder="0" applyAlignment="0" applyProtection="0">
      <alignment horizontal="right"/>
    </xf>
    <xf numFmtId="216" fontId="5" fillId="13" borderId="17" applyNumberFormat="0" applyFont="0" applyBorder="0" applyAlignment="0" applyProtection="0">
      <alignment horizontal="right"/>
    </xf>
    <xf numFmtId="0" fontId="131" fillId="0" borderId="0" applyNumberFormat="0" applyFill="0" applyBorder="0" applyAlignment="0" applyProtection="0"/>
    <xf numFmtId="0" fontId="132" fillId="0" borderId="0" applyNumberFormat="0" applyFill="0" applyBorder="0" applyAlignment="0" applyProtection="0">
      <alignment vertical="top"/>
      <protection locked="0"/>
    </xf>
    <xf numFmtId="217" fontId="5" fillId="0" borderId="0"/>
    <xf numFmtId="0" fontId="5" fillId="0" borderId="0"/>
    <xf numFmtId="0" fontId="2" fillId="0" borderId="0"/>
    <xf numFmtId="0" fontId="5" fillId="0" borderId="0"/>
    <xf numFmtId="0" fontId="2" fillId="0" borderId="0"/>
    <xf numFmtId="0" fontId="2" fillId="0" borderId="0"/>
    <xf numFmtId="0" fontId="2" fillId="0" borderId="0"/>
    <xf numFmtId="0" fontId="5" fillId="0" borderId="0"/>
    <xf numFmtId="0" fontId="2" fillId="0" borderId="0"/>
    <xf numFmtId="0" fontId="2" fillId="0" borderId="0"/>
    <xf numFmtId="0" fontId="133" fillId="0" borderId="19"/>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96" fillId="0" borderId="0"/>
    <xf numFmtId="218" fontId="5" fillId="0" borderId="0" applyNumberFormat="0" applyFill="0" applyBorder="0" applyAlignment="0" applyProtection="0">
      <alignment horizontal="right" vertical="center" wrapText="1"/>
    </xf>
    <xf numFmtId="218" fontId="5" fillId="0" borderId="0" applyNumberFormat="0" applyFill="0" applyBorder="0" applyAlignment="0" applyProtection="0">
      <alignment horizontal="right" vertical="center" wrapText="1"/>
    </xf>
    <xf numFmtId="218" fontId="5" fillId="0" borderId="0" applyNumberFormat="0" applyFill="0" applyBorder="0" applyAlignment="0" applyProtection="0">
      <alignment horizontal="right" vertical="center" wrapText="1"/>
    </xf>
    <xf numFmtId="218" fontId="5" fillId="0" borderId="0" applyNumberFormat="0" applyFill="0" applyBorder="0" applyAlignment="0" applyProtection="0">
      <alignment horizontal="right" vertical="center" wrapText="1"/>
    </xf>
    <xf numFmtId="40" fontId="134" fillId="0" borderId="0"/>
    <xf numFmtId="219" fontId="135" fillId="0" borderId="0"/>
    <xf numFmtId="0" fontId="2" fillId="0" borderId="0"/>
    <xf numFmtId="37" fontId="15" fillId="0" borderId="0" applyFill="0" applyBorder="0" applyProtection="0"/>
    <xf numFmtId="0" fontId="136" fillId="0" borderId="0"/>
    <xf numFmtId="279" fontId="15" fillId="0" borderId="0"/>
    <xf numFmtId="0"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0" fontId="224" fillId="0" borderId="0"/>
    <xf numFmtId="279" fontId="15" fillId="0" borderId="0"/>
    <xf numFmtId="281" fontId="148" fillId="0" borderId="0"/>
    <xf numFmtId="0" fontId="225" fillId="0" borderId="0"/>
    <xf numFmtId="281" fontId="148" fillId="0" borderId="0"/>
    <xf numFmtId="281" fontId="148" fillId="0" borderId="0"/>
    <xf numFmtId="8" fontId="66" fillId="0" borderId="0"/>
    <xf numFmtId="225" fontId="15" fillId="0" borderId="0"/>
    <xf numFmtId="0" fontId="15" fillId="0" borderId="0"/>
    <xf numFmtId="232" fontId="95" fillId="0" borderId="0"/>
    <xf numFmtId="0" fontId="95" fillId="0" borderId="0"/>
    <xf numFmtId="0" fontId="30" fillId="0" borderId="0"/>
    <xf numFmtId="296" fontId="224" fillId="0" borderId="0">
      <alignment horizontal="right"/>
    </xf>
    <xf numFmtId="297" fontId="224" fillId="24" borderId="0"/>
    <xf numFmtId="298" fontId="224" fillId="24" borderId="0"/>
    <xf numFmtId="299" fontId="224" fillId="24" borderId="0"/>
    <xf numFmtId="0" fontId="224" fillId="24" borderId="0">
      <alignment horizontal="right"/>
    </xf>
    <xf numFmtId="243" fontId="152" fillId="0" borderId="0" applyFont="0" applyFill="0" applyBorder="0" applyAlignment="0" applyProtection="0"/>
    <xf numFmtId="0" fontId="152" fillId="0" borderId="0" applyFont="0" applyFill="0" applyBorder="0" applyAlignment="0" applyProtection="0"/>
    <xf numFmtId="285" fontId="5" fillId="25" borderId="13" applyFont="0" applyFill="0" applyBorder="0" applyAlignment="0" applyProtection="0"/>
    <xf numFmtId="285" fontId="5" fillId="25" borderId="13"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0" fontId="15" fillId="0" borderId="0" applyFont="0" applyFill="0" applyBorder="0" applyAlignment="0" applyProtection="0">
      <alignment horizontal="centerContinuous"/>
    </xf>
    <xf numFmtId="37" fontId="136" fillId="0" borderId="0"/>
    <xf numFmtId="0" fontId="136" fillId="0" borderId="0"/>
    <xf numFmtId="0" fontId="130" fillId="0" borderId="0" applyNumberFormat="0" applyFont="0" applyFill="0" applyBorder="0" applyAlignment="0" applyProtection="0"/>
    <xf numFmtId="0" fontId="5" fillId="0" borderId="0" applyFont="0" applyFill="0" applyBorder="0" applyAlignment="0" applyProtection="0"/>
    <xf numFmtId="185" fontId="5" fillId="0" borderId="0" applyFont="0" applyFill="0" applyBorder="0" applyAlignment="0" applyProtection="0"/>
    <xf numFmtId="0" fontId="5" fillId="0" borderId="0" applyFont="0" applyFill="0" applyBorder="0" applyAlignment="0" applyProtection="0"/>
    <xf numFmtId="185" fontId="5" fillId="0" borderId="0" applyFont="0" applyFill="0" applyBorder="0" applyAlignment="0" applyProtection="0"/>
    <xf numFmtId="0"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3" fontId="15" fillId="0" borderId="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3" fontId="15" fillId="0" borderId="0"/>
    <xf numFmtId="188"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6"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39"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3"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0"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136" fillId="0" borderId="0"/>
    <xf numFmtId="0" fontId="136" fillId="0" borderId="0"/>
    <xf numFmtId="0" fontId="136" fillId="0" borderId="0"/>
    <xf numFmtId="0" fontId="136" fillId="0" borderId="0"/>
    <xf numFmtId="0" fontId="136" fillId="0" borderId="0"/>
    <xf numFmtId="0" fontId="136" fillId="0" borderId="0"/>
    <xf numFmtId="0" fontId="5" fillId="0" borderId="0" applyFont="0" applyFill="0" applyBorder="0" applyAlignment="0" applyProtection="0"/>
    <xf numFmtId="0" fontId="136" fillId="0" borderId="0"/>
    <xf numFmtId="0" fontId="5" fillId="0" borderId="0" applyNumberFormat="0" applyFill="0" applyBorder="0" applyAlignment="0" applyProtection="0"/>
    <xf numFmtId="0" fontId="60"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0"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0"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0" fillId="0" borderId="0" applyNumberFormat="0" applyFill="0" applyBorder="0" applyAlignment="0" applyProtection="0"/>
    <xf numFmtId="0" fontId="5" fillId="0" borderId="0" applyNumberFormat="0" applyFill="0" applyBorder="0" applyAlignment="0" applyProtection="0"/>
    <xf numFmtId="0" fontId="60"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0" fillId="0" borderId="0" applyNumberFormat="0" applyFill="0" applyBorder="0" applyAlignment="0" applyProtection="0"/>
    <xf numFmtId="3" fontId="15" fillId="0" borderId="0"/>
    <xf numFmtId="192"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202" fontId="5" fillId="0" borderId="0" applyFont="0" applyFill="0" applyBorder="0" applyAlignment="0" applyProtection="0"/>
    <xf numFmtId="0"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6"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195" fontId="5" fillId="0" borderId="0" applyFont="0" applyFill="0" applyBorder="0" applyAlignment="0" applyProtection="0"/>
    <xf numFmtId="0"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225" fontId="5" fillId="0" borderId="0" applyFont="0" applyFill="0" applyBorder="0" applyAlignment="0" applyProtection="0"/>
    <xf numFmtId="0"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196" fontId="5" fillId="0" borderId="0" applyFont="0" applyFill="0" applyBorder="0" applyProtection="0">
      <alignment horizontal="right"/>
    </xf>
    <xf numFmtId="0"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0" fontId="5" fillId="0" borderId="0" applyFont="0" applyFill="0" applyBorder="0" applyProtection="0">
      <alignment horizontal="right"/>
    </xf>
    <xf numFmtId="0" fontId="5" fillId="0" borderId="0" applyFont="0" applyFill="0" applyBorder="0" applyAlignment="0" applyProtection="0"/>
    <xf numFmtId="196" fontId="5" fillId="0" borderId="0" applyFont="0" applyFill="0" applyBorder="0" applyProtection="0">
      <alignment horizontal="right"/>
    </xf>
    <xf numFmtId="0"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5"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Protection="0">
      <alignment horizontal="right"/>
    </xf>
    <xf numFmtId="0" fontId="5" fillId="0" borderId="0" applyFont="0" applyFill="0" applyBorder="0" applyAlignment="0" applyProtection="0"/>
    <xf numFmtId="195"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Protection="0">
      <alignment horizontal="right"/>
    </xf>
    <xf numFmtId="195" fontId="5" fillId="0" borderId="0" applyFont="0" applyFill="0" applyBorder="0" applyAlignment="0" applyProtection="0"/>
    <xf numFmtId="195"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0" fontId="5" fillId="0" borderId="0" applyFont="0" applyFill="0" applyBorder="0" applyAlignment="0" applyProtection="0"/>
    <xf numFmtId="195" fontId="5" fillId="0" borderId="0" applyFont="0" applyFill="0" applyBorder="0" applyAlignment="0" applyProtection="0"/>
    <xf numFmtId="0" fontId="5" fillId="0" borderId="0" applyFont="0" applyFill="0" applyBorder="0" applyAlignment="0" applyProtection="0"/>
    <xf numFmtId="195" fontId="5" fillId="0" borderId="0" applyFont="0" applyFill="0" applyBorder="0" applyAlignment="0" applyProtection="0"/>
    <xf numFmtId="0" fontId="5" fillId="0" borderId="0" applyFont="0" applyFill="0" applyBorder="0" applyProtection="0">
      <alignment horizontal="right"/>
    </xf>
    <xf numFmtId="195" fontId="5" fillId="0" borderId="0" applyFont="0" applyFill="0" applyBorder="0" applyAlignment="0" applyProtection="0"/>
    <xf numFmtId="0" fontId="5" fillId="0" borderId="0" applyFont="0" applyFill="0" applyBorder="0" applyProtection="0">
      <alignment horizontal="right"/>
    </xf>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6" fontId="5" fillId="0" borderId="0" applyFont="0" applyFill="0" applyBorder="0" applyProtection="0">
      <alignment horizontal="right"/>
    </xf>
    <xf numFmtId="0"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0" fontId="5" fillId="0" borderId="0" applyFont="0" applyFill="0" applyBorder="0" applyAlignment="0" applyProtection="0"/>
    <xf numFmtId="0" fontId="5" fillId="0" borderId="0" applyFont="0" applyFill="0" applyBorder="0" applyProtection="0">
      <alignment horizontal="right"/>
    </xf>
    <xf numFmtId="0" fontId="5" fillId="0" borderId="0" applyFont="0" applyFill="0" applyBorder="0" applyAlignment="0" applyProtection="0"/>
    <xf numFmtId="0" fontId="5" fillId="0" borderId="0" applyFont="0" applyFill="0" applyBorder="0" applyAlignment="0" applyProtection="0"/>
    <xf numFmtId="0" fontId="226" fillId="0" borderId="0" applyFont="0" applyFill="0" applyBorder="0" applyAlignment="0" applyProtection="0"/>
    <xf numFmtId="196" fontId="5" fillId="0" borderId="0" applyFont="0" applyFill="0" applyBorder="0" applyProtection="0">
      <alignment horizontal="right"/>
    </xf>
    <xf numFmtId="0"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0" fontId="5" fillId="0" borderId="0" applyFont="0" applyFill="0" applyBorder="0" applyProtection="0">
      <alignment horizontal="right"/>
    </xf>
    <xf numFmtId="225" fontId="5" fillId="0" borderId="0" applyFont="0" applyFill="0" applyBorder="0" applyAlignment="0" applyProtection="0"/>
    <xf numFmtId="225" fontId="5" fillId="0" borderId="0" applyFont="0" applyFill="0" applyBorder="0" applyAlignment="0" applyProtection="0"/>
    <xf numFmtId="0"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224" fontId="5" fillId="0" borderId="0" applyFont="0" applyFill="0" applyBorder="0" applyAlignment="0" applyProtection="0"/>
    <xf numFmtId="0"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0" fontId="5" fillId="0" borderId="0" applyFont="0" applyFill="0" applyBorder="0" applyAlignment="0" applyProtection="0"/>
    <xf numFmtId="198" fontId="5" fillId="0" borderId="0" applyFont="0" applyFill="0" applyBorder="0" applyAlignment="0" applyProtection="0"/>
    <xf numFmtId="0"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0"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0"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0" fontId="5" fillId="0" borderId="0" applyFont="0" applyFill="0" applyBorder="0" applyAlignment="0" applyProtection="0"/>
    <xf numFmtId="0" fontId="226" fillId="0" borderId="0" applyFont="0" applyFill="0" applyBorder="0" applyAlignment="0" applyProtection="0"/>
    <xf numFmtId="0"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221" fontId="5" fillId="0" borderId="0" applyFont="0" applyFill="0" applyBorder="0" applyAlignment="0" applyProtection="0"/>
    <xf numFmtId="0"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0" fontId="5" fillId="0" borderId="0" applyFont="0" applyFill="0" applyBorder="0" applyAlignment="0" applyProtection="0"/>
    <xf numFmtId="0" fontId="226" fillId="0" borderId="0" applyFont="0" applyFill="0" applyBorder="0" applyAlignment="0" applyProtection="0"/>
    <xf numFmtId="0"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0" fontId="5" fillId="0" borderId="0" applyNumberFormat="0" applyFill="0" applyBorder="0" applyAlignment="0" applyProtection="0"/>
    <xf numFmtId="0" fontId="61" fillId="0" borderId="0" applyNumberFormat="0" applyFill="0" applyBorder="0" applyProtection="0">
      <alignment vertical="top"/>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1" fillId="0" borderId="0" applyNumberFormat="0" applyFill="0" applyBorder="0" applyProtection="0">
      <alignment vertical="top"/>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1" fillId="0" borderId="0" applyNumberFormat="0" applyFill="0" applyBorder="0" applyProtection="0">
      <alignment vertical="top"/>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1" fillId="0" borderId="0" applyNumberFormat="0" applyFill="0" applyBorder="0" applyProtection="0">
      <alignment vertical="top"/>
    </xf>
    <xf numFmtId="0" fontId="5" fillId="0" borderId="0" applyNumberFormat="0" applyFill="0" applyBorder="0" applyAlignment="0" applyProtection="0"/>
    <xf numFmtId="0" fontId="61" fillId="0" borderId="0" applyNumberFormat="0" applyFill="0" applyBorder="0" applyProtection="0">
      <alignment vertical="top"/>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6" fillId="0" borderId="45"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6" fillId="0" borderId="45"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6" fillId="0" borderId="45"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6" fillId="0" borderId="45" applyNumberFormat="0" applyFill="0" applyAlignment="0" applyProtection="0"/>
    <xf numFmtId="0" fontId="5" fillId="0" borderId="0" applyNumberFormat="0" applyFill="0" applyBorder="0" applyAlignment="0" applyProtection="0"/>
    <xf numFmtId="0" fontId="16" fillId="0" borderId="45"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47" applyNumberFormat="0" applyFill="0" applyProtection="0">
      <alignment horizontal="center"/>
    </xf>
    <xf numFmtId="0" fontId="62"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62"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62"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62"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62" fillId="0" borderId="47" applyNumberFormat="0" applyFill="0" applyProtection="0">
      <alignment horizontal="center"/>
    </xf>
    <xf numFmtId="0" fontId="5" fillId="0" borderId="47" applyNumberFormat="0" applyFill="0" applyProtection="0">
      <alignment horizontal="center"/>
    </xf>
    <xf numFmtId="0" fontId="62"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62" fillId="0" borderId="47" applyNumberFormat="0" applyFill="0" applyProtection="0">
      <alignment horizontal="center"/>
    </xf>
    <xf numFmtId="0" fontId="5" fillId="0" borderId="54" applyNumberFormat="0" applyFont="0" applyFill="0" applyAlignment="0" applyProtection="0"/>
    <xf numFmtId="0" fontId="5" fillId="0" borderId="54" applyNumberFormat="0" applyFont="0" applyFill="0" applyAlignment="0" applyProtection="0"/>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centerContinuous"/>
    </xf>
    <xf numFmtId="0" fontId="63"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63"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63"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63" fillId="0" borderId="0" applyNumberFormat="0" applyFill="0" applyBorder="0" applyProtection="0">
      <alignment horizontal="centerContinuous"/>
    </xf>
    <xf numFmtId="0" fontId="5" fillId="0" borderId="0" applyNumberFormat="0" applyFill="0" applyBorder="0" applyProtection="0">
      <alignment horizontal="centerContinuous"/>
    </xf>
    <xf numFmtId="0" fontId="63"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63" fillId="0" borderId="0" applyNumberFormat="0" applyFill="0" applyBorder="0" applyProtection="0">
      <alignment horizontal="centerContinuous"/>
    </xf>
    <xf numFmtId="0" fontId="16" fillId="0" borderId="0" applyNumberFormat="0" applyFill="0" applyBorder="0" applyAlignment="0" applyProtection="0"/>
    <xf numFmtId="172" fontId="148" fillId="0" borderId="0"/>
    <xf numFmtId="0" fontId="148" fillId="0" borderId="0"/>
    <xf numFmtId="172" fontId="148" fillId="0" borderId="0"/>
    <xf numFmtId="172" fontId="148" fillId="0" borderId="0"/>
    <xf numFmtId="9" fontId="95" fillId="0" borderId="0" applyFont="0" applyFill="0" applyBorder="0" applyAlignment="0" applyProtection="0"/>
    <xf numFmtId="225" fontId="153" fillId="0" borderId="0"/>
    <xf numFmtId="0" fontId="153" fillId="0" borderId="0"/>
    <xf numFmtId="0" fontId="95" fillId="0" borderId="0" applyFont="0" applyFill="0" applyBorder="0" applyAlignment="0" applyProtection="0"/>
    <xf numFmtId="225" fontId="153" fillId="0" borderId="0"/>
    <xf numFmtId="40" fontId="153" fillId="0" borderId="0"/>
    <xf numFmtId="10" fontId="95" fillId="0" borderId="0" applyFont="0" applyFill="0" applyBorder="0" applyAlignment="0" applyProtection="0"/>
    <xf numFmtId="281" fontId="148" fillId="0" borderId="0"/>
    <xf numFmtId="0" fontId="225" fillId="0" borderId="0"/>
    <xf numFmtId="281" fontId="148" fillId="0" borderId="0"/>
    <xf numFmtId="281" fontId="148" fillId="0" borderId="0"/>
    <xf numFmtId="0" fontId="95" fillId="0" borderId="0" applyFont="0" applyFill="0" applyBorder="0" applyAlignment="0" applyProtection="0"/>
    <xf numFmtId="3" fontId="136" fillId="0" borderId="0"/>
    <xf numFmtId="0" fontId="5" fillId="0" borderId="0" applyBorder="0"/>
    <xf numFmtId="39" fontId="135" fillId="0" borderId="0" applyFont="0" applyFill="0" applyBorder="0" applyAlignment="0" applyProtection="0"/>
    <xf numFmtId="0" fontId="137" fillId="27" borderId="0" applyNumberFormat="0" applyBorder="0" applyAlignment="0" applyProtection="0"/>
    <xf numFmtId="0" fontId="137" fillId="27" borderId="0" applyNumberFormat="0" applyBorder="0" applyAlignment="0" applyProtection="0"/>
    <xf numFmtId="0" fontId="137" fillId="29" borderId="0" applyNumberFormat="0" applyBorder="0" applyAlignment="0" applyProtection="0"/>
    <xf numFmtId="0" fontId="137" fillId="29" borderId="0" applyNumberFormat="0" applyBorder="0" applyAlignment="0" applyProtection="0"/>
    <xf numFmtId="0" fontId="137" fillId="30" borderId="0" applyNumberFormat="0" applyBorder="0" applyAlignment="0" applyProtection="0"/>
    <xf numFmtId="0" fontId="137" fillId="30" borderId="0" applyNumberFormat="0" applyBorder="0" applyAlignment="0" applyProtection="0"/>
    <xf numFmtId="0" fontId="137" fillId="31" borderId="0" applyNumberFormat="0" applyBorder="0" applyAlignment="0" applyProtection="0"/>
    <xf numFmtId="0" fontId="137" fillId="31" borderId="0" applyNumberFormat="0" applyBorder="0" applyAlignment="0" applyProtection="0"/>
    <xf numFmtId="0" fontId="137" fillId="32" borderId="0" applyNumberFormat="0" applyBorder="0" applyAlignment="0" applyProtection="0"/>
    <xf numFmtId="0" fontId="137" fillId="32" borderId="0" applyNumberFormat="0" applyBorder="0" applyAlignment="0" applyProtection="0"/>
    <xf numFmtId="0" fontId="137" fillId="28" borderId="0" applyNumberFormat="0" applyBorder="0" applyAlignment="0" applyProtection="0"/>
    <xf numFmtId="0" fontId="137" fillId="28" borderId="0" applyNumberFormat="0" applyBorder="0" applyAlignment="0" applyProtection="0"/>
    <xf numFmtId="0" fontId="135" fillId="0" borderId="0" applyFont="0" applyFill="0" applyBorder="0" applyAlignment="0" applyProtection="0"/>
    <xf numFmtId="0" fontId="137" fillId="33" borderId="0" applyNumberFormat="0" applyBorder="0" applyAlignment="0" applyProtection="0"/>
    <xf numFmtId="0" fontId="137" fillId="33" borderId="0" applyNumberFormat="0" applyBorder="0" applyAlignment="0" applyProtection="0"/>
    <xf numFmtId="0" fontId="137" fillId="34" borderId="0" applyNumberFormat="0" applyBorder="0" applyAlignment="0" applyProtection="0"/>
    <xf numFmtId="0" fontId="137" fillId="34" borderId="0" applyNumberFormat="0" applyBorder="0" applyAlignment="0" applyProtection="0"/>
    <xf numFmtId="0" fontId="137" fillId="35" borderId="0" applyNumberFormat="0" applyBorder="0" applyAlignment="0" applyProtection="0"/>
    <xf numFmtId="0" fontId="137" fillId="35" borderId="0" applyNumberFormat="0" applyBorder="0" applyAlignment="0" applyProtection="0"/>
    <xf numFmtId="0" fontId="137" fillId="31" borderId="0" applyNumberFormat="0" applyBorder="0" applyAlignment="0" applyProtection="0"/>
    <xf numFmtId="0" fontId="137" fillId="31" borderId="0" applyNumberFormat="0" applyBorder="0" applyAlignment="0" applyProtection="0"/>
    <xf numFmtId="0" fontId="137" fillId="33" borderId="0" applyNumberFormat="0" applyBorder="0" applyAlignment="0" applyProtection="0"/>
    <xf numFmtId="0" fontId="137" fillId="33" borderId="0" applyNumberFormat="0" applyBorder="0" applyAlignment="0" applyProtection="0"/>
    <xf numFmtId="0" fontId="137" fillId="36" borderId="0" applyNumberFormat="0" applyBorder="0" applyAlignment="0" applyProtection="0"/>
    <xf numFmtId="0" fontId="137" fillId="36" borderId="0" applyNumberFormat="0" applyBorder="0" applyAlignment="0" applyProtection="0"/>
    <xf numFmtId="0" fontId="138" fillId="26" borderId="0" applyNumberFormat="0" applyBorder="0" applyAlignment="0" applyProtection="0"/>
    <xf numFmtId="0" fontId="138" fillId="26" borderId="0" applyNumberFormat="0" applyBorder="0" applyAlignment="0" applyProtection="0"/>
    <xf numFmtId="0" fontId="138" fillId="34" borderId="0" applyNumberFormat="0" applyBorder="0" applyAlignment="0" applyProtection="0"/>
    <xf numFmtId="0" fontId="138" fillId="34" borderId="0" applyNumberFormat="0" applyBorder="0" applyAlignment="0" applyProtection="0"/>
    <xf numFmtId="0" fontId="138" fillId="35" borderId="0" applyNumberFormat="0" applyBorder="0" applyAlignment="0" applyProtection="0"/>
    <xf numFmtId="0" fontId="138" fillId="35" borderId="0" applyNumberFormat="0" applyBorder="0" applyAlignment="0" applyProtection="0"/>
    <xf numFmtId="0" fontId="138" fillId="38" borderId="0" applyNumberFormat="0" applyBorder="0" applyAlignment="0" applyProtection="0"/>
    <xf numFmtId="0" fontId="138" fillId="38" borderId="0" applyNumberFormat="0" applyBorder="0" applyAlignment="0" applyProtection="0"/>
    <xf numFmtId="0" fontId="138" fillId="39" borderId="0" applyNumberFormat="0" applyBorder="0" applyAlignment="0" applyProtection="0"/>
    <xf numFmtId="0" fontId="138" fillId="39" borderId="0" applyNumberFormat="0" applyBorder="0" applyAlignment="0" applyProtection="0"/>
    <xf numFmtId="0" fontId="138" fillId="40" borderId="0" applyNumberFormat="0" applyBorder="0" applyAlignment="0" applyProtection="0"/>
    <xf numFmtId="0" fontId="138" fillId="40" borderId="0" applyNumberFormat="0" applyBorder="0" applyAlignment="0" applyProtection="0"/>
    <xf numFmtId="230" fontId="154" fillId="0" borderId="0"/>
    <xf numFmtId="0" fontId="154" fillId="0" borderId="0"/>
    <xf numFmtId="171" fontId="148" fillId="0" borderId="0"/>
    <xf numFmtId="0" fontId="148" fillId="0" borderId="0"/>
    <xf numFmtId="171" fontId="148" fillId="0" borderId="0"/>
    <xf numFmtId="171" fontId="148" fillId="0" borderId="0"/>
    <xf numFmtId="0" fontId="138" fillId="41" borderId="0" applyNumberFormat="0" applyBorder="0" applyAlignment="0" applyProtection="0"/>
    <xf numFmtId="0" fontId="138" fillId="41" borderId="0" applyNumberFormat="0" applyBorder="0" applyAlignment="0" applyProtection="0"/>
    <xf numFmtId="0" fontId="138" fillId="16" borderId="0" applyNumberFormat="0" applyBorder="0" applyAlignment="0" applyProtection="0"/>
    <xf numFmtId="0" fontId="138" fillId="16" borderId="0" applyNumberFormat="0" applyBorder="0" applyAlignment="0" applyProtection="0"/>
    <xf numFmtId="0" fontId="138" fillId="42" borderId="0" applyNumberFormat="0" applyBorder="0" applyAlignment="0" applyProtection="0"/>
    <xf numFmtId="0" fontId="138" fillId="42" borderId="0" applyNumberFormat="0" applyBorder="0" applyAlignment="0" applyProtection="0"/>
    <xf numFmtId="0" fontId="138" fillId="38" borderId="0" applyNumberFormat="0" applyBorder="0" applyAlignment="0" applyProtection="0"/>
    <xf numFmtId="0" fontId="138" fillId="38" borderId="0" applyNumberFormat="0" applyBorder="0" applyAlignment="0" applyProtection="0"/>
    <xf numFmtId="0" fontId="138" fillId="39" borderId="0" applyNumberFormat="0" applyBorder="0" applyAlignment="0" applyProtection="0"/>
    <xf numFmtId="0" fontId="138" fillId="39" borderId="0" applyNumberFormat="0" applyBorder="0" applyAlignment="0" applyProtection="0"/>
    <xf numFmtId="0" fontId="138" fillId="43" borderId="0" applyNumberFormat="0" applyBorder="0" applyAlignment="0" applyProtection="0"/>
    <xf numFmtId="0" fontId="138" fillId="43" borderId="0" applyNumberFormat="0" applyBorder="0" applyAlignment="0" applyProtection="0"/>
    <xf numFmtId="0" fontId="64" fillId="9" borderId="0" applyNumberFormat="0" applyFont="0" applyBorder="0" applyAlignment="0">
      <alignment horizontal="right"/>
    </xf>
    <xf numFmtId="201" fontId="65" fillId="9" borderId="2" applyFont="0">
      <alignment horizontal="right"/>
    </xf>
    <xf numFmtId="0" fontId="65" fillId="9" borderId="2" applyFont="0">
      <alignment horizontal="right"/>
    </xf>
    <xf numFmtId="0" fontId="155" fillId="0" borderId="0" applyNumberFormat="0" applyAlignment="0"/>
    <xf numFmtId="0" fontId="156" fillId="0" borderId="0" applyNumberFormat="0" applyAlignment="0"/>
    <xf numFmtId="0" fontId="157" fillId="0" borderId="0" applyNumberFormat="0" applyAlignment="0"/>
    <xf numFmtId="0" fontId="158" fillId="0" borderId="0" applyNumberFormat="0" applyAlignment="0"/>
    <xf numFmtId="0" fontId="5" fillId="0" borderId="0"/>
    <xf numFmtId="0" fontId="5" fillId="0" borderId="0"/>
    <xf numFmtId="5" fontId="159" fillId="0" borderId="39">
      <alignment horizontal="right"/>
    </xf>
    <xf numFmtId="0" fontId="139" fillId="29" borderId="0" applyNumberFormat="0" applyBorder="0" applyAlignment="0" applyProtection="0"/>
    <xf numFmtId="0" fontId="139" fillId="29" borderId="0" applyNumberFormat="0" applyBorder="0" applyAlignment="0" applyProtection="0"/>
    <xf numFmtId="0" fontId="148" fillId="0" borderId="0" applyFont="0" applyFill="0" applyBorder="0" applyAlignment="0" applyProtection="0"/>
    <xf numFmtId="208" fontId="148" fillId="0" borderId="0" applyFill="0" applyBorder="0" applyAlignment="0" applyProtection="0">
      <protection locked="0"/>
    </xf>
    <xf numFmtId="0" fontId="148" fillId="0" borderId="0" applyFill="0" applyBorder="0" applyAlignment="0" applyProtection="0">
      <protection locked="0"/>
    </xf>
    <xf numFmtId="208" fontId="148" fillId="0" borderId="0" applyFill="0" applyBorder="0" applyAlignment="0" applyProtection="0">
      <protection locked="0"/>
    </xf>
    <xf numFmtId="208" fontId="148" fillId="0" borderId="0" applyFill="0" applyBorder="0" applyAlignment="0" applyProtection="0">
      <protection locked="0"/>
    </xf>
    <xf numFmtId="3" fontId="159" fillId="0" borderId="0" applyFont="0" applyBorder="0" applyAlignment="0" applyProtection="0"/>
    <xf numFmtId="0" fontId="19" fillId="0" borderId="0"/>
    <xf numFmtId="0" fontId="148" fillId="0" borderId="39" applyNumberFormat="0" applyFont="0" applyFill="0" applyAlignment="0" applyProtection="0"/>
    <xf numFmtId="0" fontId="148" fillId="0" borderId="55" applyNumberFormat="0" applyFont="0" applyFill="0" applyAlignment="0" applyProtection="0"/>
    <xf numFmtId="0" fontId="160" fillId="0" borderId="0"/>
    <xf numFmtId="0" fontId="5" fillId="0" borderId="0" applyFill="0" applyBorder="0" applyAlignment="0"/>
    <xf numFmtId="0" fontId="5" fillId="0" borderId="0" applyFill="0" applyBorder="0" applyAlignment="0"/>
    <xf numFmtId="287" fontId="222" fillId="0" borderId="0" applyFill="0" applyBorder="0" applyAlignment="0"/>
    <xf numFmtId="288" fontId="222" fillId="0" borderId="0" applyFill="0" applyBorder="0" applyAlignment="0"/>
    <xf numFmtId="289" fontId="222" fillId="0" borderId="0" applyFill="0" applyBorder="0" applyAlignment="0"/>
    <xf numFmtId="290" fontId="222" fillId="0" borderId="0" applyFill="0" applyBorder="0" applyAlignment="0"/>
    <xf numFmtId="294" fontId="222" fillId="0" borderId="0" applyFill="0" applyBorder="0" applyAlignment="0"/>
    <xf numFmtId="291" fontId="222" fillId="0" borderId="0" applyFill="0" applyBorder="0" applyAlignment="0"/>
    <xf numFmtId="287" fontId="222" fillId="0" borderId="0" applyFill="0" applyBorder="0" applyAlignment="0"/>
    <xf numFmtId="0" fontId="140" fillId="44" borderId="56" applyNumberFormat="0" applyAlignment="0" applyProtection="0"/>
    <xf numFmtId="0" fontId="140" fillId="44" borderId="56" applyNumberFormat="0" applyAlignment="0" applyProtection="0"/>
    <xf numFmtId="208" fontId="148" fillId="0" borderId="0" applyFont="0" applyFill="0" applyBorder="0" applyAlignment="0" applyProtection="0">
      <protection locked="0"/>
    </xf>
    <xf numFmtId="0" fontId="148" fillId="0" borderId="0" applyFont="0" applyFill="0" applyBorder="0" applyAlignment="0" applyProtection="0">
      <protection locked="0"/>
    </xf>
    <xf numFmtId="208" fontId="148" fillId="0" borderId="0" applyFont="0" applyFill="0" applyBorder="0" applyAlignment="0" applyProtection="0">
      <protection locked="0"/>
    </xf>
    <xf numFmtId="0" fontId="148" fillId="0" borderId="57" applyFont="0" applyFill="0" applyAlignment="0" applyProtection="0"/>
    <xf numFmtId="0" fontId="141" fillId="45" borderId="58" applyNumberFormat="0" applyAlignment="0" applyProtection="0"/>
    <xf numFmtId="0" fontId="141" fillId="45" borderId="58" applyNumberFormat="0" applyAlignment="0" applyProtection="0"/>
    <xf numFmtId="0" fontId="19" fillId="46" borderId="59" applyFont="0" applyFill="0" applyBorder="0"/>
    <xf numFmtId="0" fontId="6" fillId="0" borderId="19"/>
    <xf numFmtId="0" fontId="227" fillId="0" borderId="0"/>
    <xf numFmtId="0" fontId="227" fillId="0" borderId="0"/>
    <xf numFmtId="0" fontId="227" fillId="0" borderId="0"/>
    <xf numFmtId="0" fontId="227" fillId="0" borderId="0"/>
    <xf numFmtId="0" fontId="227" fillId="0" borderId="0"/>
    <xf numFmtId="0" fontId="227" fillId="0" borderId="0"/>
    <xf numFmtId="0" fontId="227" fillId="0" borderId="0"/>
    <xf numFmtId="0" fontId="227" fillId="0" borderId="0"/>
    <xf numFmtId="246" fontId="148" fillId="0" borderId="0"/>
    <xf numFmtId="0" fontId="148" fillId="0" borderId="0"/>
    <xf numFmtId="246" fontId="148" fillId="0" borderId="0"/>
    <xf numFmtId="246" fontId="148" fillId="0" borderId="0"/>
    <xf numFmtId="38" fontId="83" fillId="0" borderId="0" applyFont="0" applyFill="0" applyBorder="0" applyAlignment="0" applyProtection="0"/>
    <xf numFmtId="294" fontId="222" fillId="0" borderId="0" applyFont="0" applyFill="0" applyBorder="0" applyAlignment="0" applyProtection="0"/>
    <xf numFmtId="38" fontId="161" fillId="0" borderId="0">
      <alignment horizontal="center"/>
      <protection locked="0"/>
    </xf>
    <xf numFmtId="233" fontId="94" fillId="0" borderId="0" applyFont="0" applyFill="0" applyBorder="0" applyAlignment="0" applyProtection="0">
      <alignment horizontal="right"/>
    </xf>
    <xf numFmtId="0" fontId="94" fillId="0" borderId="0" applyFont="0" applyFill="0" applyBorder="0" applyAlignment="0" applyProtection="0">
      <alignment horizontal="right"/>
    </xf>
    <xf numFmtId="233" fontId="94" fillId="0" borderId="0" applyFont="0" applyFill="0" applyBorder="0" applyAlignment="0" applyProtection="0">
      <alignment horizontal="right"/>
    </xf>
    <xf numFmtId="247" fontId="18" fillId="0" borderId="0" applyFont="0" applyFill="0" applyBorder="0" applyAlignment="0" applyProtection="0"/>
    <xf numFmtId="0" fontId="18" fillId="0" borderId="0" applyFont="0" applyFill="0" applyBorder="0" applyAlignment="0" applyProtection="0"/>
    <xf numFmtId="270" fontId="18" fillId="0" borderId="0" applyFill="0" applyBorder="0" applyProtection="0"/>
    <xf numFmtId="173" fontId="83" fillId="0" borderId="0" applyFont="0" applyFill="0" applyBorder="0" applyAlignment="0" applyProtection="0"/>
    <xf numFmtId="0" fontId="8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7" fillId="0" borderId="0" applyFont="0" applyFill="0" applyBorder="0" applyAlignment="0" applyProtection="0"/>
    <xf numFmtId="43" fontId="137" fillId="0" borderId="0" applyFont="0" applyFill="0" applyBorder="0" applyAlignment="0" applyProtection="0"/>
    <xf numFmtId="43" fontId="137" fillId="0" borderId="0" applyFont="0" applyFill="0" applyBorder="0" applyAlignment="0" applyProtection="0"/>
    <xf numFmtId="234" fontId="94" fillId="0" borderId="0" applyFont="0" applyFill="0" applyBorder="0" applyAlignment="0" applyProtection="0">
      <alignment horizontal="right"/>
    </xf>
    <xf numFmtId="0" fontId="94" fillId="0" borderId="0" applyFont="0" applyFill="0" applyBorder="0" applyAlignment="0" applyProtection="0">
      <alignment horizontal="right"/>
    </xf>
    <xf numFmtId="234" fontId="94" fillId="0" borderId="0" applyFont="0" applyFill="0" applyBorder="0" applyAlignment="0" applyProtection="0">
      <alignment horizontal="right"/>
    </xf>
    <xf numFmtId="221" fontId="32" fillId="0" borderId="0" applyFont="0" applyFill="0" applyBorder="0" applyAlignment="0" applyProtection="0"/>
    <xf numFmtId="0" fontId="32" fillId="0" borderId="0" applyFont="0" applyFill="0" applyBorder="0" applyAlignment="0" applyProtection="0"/>
    <xf numFmtId="43" fontId="5" fillId="0" borderId="0" applyFont="0" applyFill="0" applyBorder="0" applyAlignment="0" applyProtection="0"/>
    <xf numFmtId="39"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48" fontId="162" fillId="0" borderId="0" applyFont="0" applyFill="0" applyBorder="0">
      <alignment horizontal="right"/>
    </xf>
    <xf numFmtId="0" fontId="162" fillId="0" borderId="0" applyFont="0" applyFill="0" applyBorder="0">
      <alignment horizontal="right"/>
    </xf>
    <xf numFmtId="249" fontId="163" fillId="0" borderId="0" applyFont="0" applyFill="0" applyBorder="0" applyAlignment="0"/>
    <xf numFmtId="0" fontId="163" fillId="0" borderId="0" applyFont="0" applyFill="0" applyBorder="0" applyAlignment="0"/>
    <xf numFmtId="250" fontId="162" fillId="0" borderId="0" applyFont="0" applyFill="0" applyBorder="0" applyAlignment="0"/>
    <xf numFmtId="0" fontId="162" fillId="0" borderId="0" applyFont="0" applyFill="0" applyBorder="0" applyAlignment="0"/>
    <xf numFmtId="251" fontId="164" fillId="47" borderId="17" applyFont="0" applyFill="0" applyBorder="0" applyAlignment="0"/>
    <xf numFmtId="0" fontId="164" fillId="47" borderId="17" applyFont="0" applyFill="0" applyBorder="0" applyAlignment="0"/>
    <xf numFmtId="0" fontId="164" fillId="47" borderId="17" applyFont="0" applyFill="0" applyBorder="0" applyAlignment="0"/>
    <xf numFmtId="251" fontId="164" fillId="47" borderId="17" applyFont="0" applyFill="0" applyBorder="0" applyAlignment="0"/>
    <xf numFmtId="3" fontId="165" fillId="0" borderId="0" applyFont="0" applyFill="0" applyBorder="0" applyAlignment="0" applyProtection="0"/>
    <xf numFmtId="0" fontId="5" fillId="0" borderId="0" applyNumberFormat="0" applyAlignment="0">
      <alignment horizontal="left"/>
    </xf>
    <xf numFmtId="0" fontId="5" fillId="0" borderId="0" applyNumberFormat="0" applyAlignment="0">
      <alignment horizontal="left"/>
    </xf>
    <xf numFmtId="0" fontId="166" fillId="0" borderId="0">
      <alignment horizontal="left"/>
    </xf>
    <xf numFmtId="0" fontId="167" fillId="0" borderId="0"/>
    <xf numFmtId="0" fontId="168" fillId="0" borderId="0">
      <alignment horizontal="left"/>
    </xf>
    <xf numFmtId="225" fontId="15" fillId="0" borderId="0"/>
    <xf numFmtId="0" fontId="15" fillId="0" borderId="0"/>
    <xf numFmtId="287" fontId="222" fillId="0" borderId="0" applyFont="0" applyFill="0" applyBorder="0" applyAlignment="0" applyProtection="0"/>
    <xf numFmtId="235" fontId="94" fillId="0" borderId="0" applyFont="0" applyFill="0" applyBorder="0" applyAlignment="0" applyProtection="0">
      <alignment horizontal="right"/>
    </xf>
    <xf numFmtId="0" fontId="94" fillId="0" borderId="0" applyFont="0" applyFill="0" applyBorder="0" applyAlignment="0" applyProtection="0">
      <alignment horizontal="right"/>
    </xf>
    <xf numFmtId="235" fontId="94" fillId="0" borderId="0" applyFont="0" applyFill="0" applyBorder="0" applyAlignment="0" applyProtection="0">
      <alignment horizontal="right"/>
    </xf>
    <xf numFmtId="180" fontId="32" fillId="0" borderId="0" applyFont="0" applyFill="0" applyBorder="0" applyAlignment="0" applyProtection="0"/>
    <xf numFmtId="0" fontId="3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0" fontId="94" fillId="0" borderId="0" applyFont="0" applyFill="0" applyBorder="0" applyAlignment="0" applyProtection="0">
      <alignment horizontal="right"/>
    </xf>
    <xf numFmtId="0" fontId="94" fillId="0" borderId="0" applyFont="0" applyFill="0" applyBorder="0" applyAlignment="0" applyProtection="0">
      <alignment horizontal="right"/>
    </xf>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220" fontId="32" fillId="0" borderId="0" applyFont="0" applyFill="0" applyBorder="0" applyAlignment="0" applyProtection="0"/>
    <xf numFmtId="0" fontId="32"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252" fontId="169" fillId="0" borderId="0" applyFont="0" applyFill="0" applyBorder="0"/>
    <xf numFmtId="0" fontId="169" fillId="0" borderId="0" applyFont="0" applyFill="0" applyBorder="0"/>
    <xf numFmtId="253" fontId="170" fillId="0" borderId="0" applyFont="0" applyFill="0" applyBorder="0" applyAlignment="0"/>
    <xf numFmtId="0" fontId="170" fillId="0" borderId="0" applyFont="0" applyFill="0" applyBorder="0" applyAlignment="0"/>
    <xf numFmtId="254" fontId="171" fillId="0" borderId="12" applyFont="0" applyFill="0" applyBorder="0" applyAlignment="0"/>
    <xf numFmtId="0" fontId="171" fillId="0" borderId="12" applyFont="0" applyFill="0" applyBorder="0" applyAlignment="0"/>
    <xf numFmtId="0" fontId="171" fillId="0" borderId="12" applyFont="0" applyFill="0" applyBorder="0" applyAlignment="0"/>
    <xf numFmtId="254" fontId="171" fillId="0" borderId="12" applyFont="0" applyFill="0" applyBorder="0" applyAlignment="0"/>
    <xf numFmtId="283" fontId="165" fillId="0" borderId="0" applyFont="0" applyFill="0" applyBorder="0" applyAlignment="0" applyProtection="0"/>
    <xf numFmtId="0" fontId="165" fillId="0" borderId="0" applyFont="0" applyFill="0" applyBorder="0" applyAlignment="0" applyProtection="0"/>
    <xf numFmtId="255" fontId="172" fillId="0" borderId="0" applyFill="0" applyBorder="0" applyProtection="0">
      <alignment vertical="center"/>
    </xf>
    <xf numFmtId="0" fontId="172" fillId="0" borderId="0" applyFill="0" applyBorder="0" applyProtection="0">
      <alignment vertical="center"/>
    </xf>
    <xf numFmtId="0" fontId="5" fillId="24" borderId="0" applyFont="0" applyBorder="0"/>
    <xf numFmtId="0" fontId="5" fillId="24" borderId="0" applyFont="0" applyBorder="0"/>
    <xf numFmtId="300" fontId="224" fillId="24" borderId="14">
      <alignment horizontal="right"/>
    </xf>
    <xf numFmtId="0" fontId="172" fillId="0" borderId="0" applyNumberFormat="0">
      <alignment horizontal="right"/>
    </xf>
    <xf numFmtId="14" fontId="153" fillId="0" borderId="0"/>
    <xf numFmtId="17" fontId="19" fillId="0" borderId="0" applyFill="0" applyBorder="0">
      <alignment horizontal="right"/>
    </xf>
    <xf numFmtId="17" fontId="19" fillId="0" borderId="0" applyFill="0" applyBorder="0">
      <alignment horizontal="right"/>
    </xf>
    <xf numFmtId="17" fontId="19" fillId="0" borderId="0" applyFill="0" applyBorder="0">
      <alignment horizontal="right"/>
    </xf>
    <xf numFmtId="14" fontId="153" fillId="0" borderId="0"/>
    <xf numFmtId="14" fontId="153" fillId="0" borderId="0"/>
    <xf numFmtId="14" fontId="153" fillId="0" borderId="0"/>
    <xf numFmtId="14" fontId="153" fillId="0" borderId="0"/>
    <xf numFmtId="14" fontId="153" fillId="0" borderId="0"/>
    <xf numFmtId="14" fontId="153" fillId="0" borderId="0"/>
    <xf numFmtId="14" fontId="153" fillId="0" borderId="0"/>
    <xf numFmtId="14" fontId="153" fillId="0" borderId="0"/>
    <xf numFmtId="14" fontId="153" fillId="0" borderId="0"/>
    <xf numFmtId="14" fontId="153" fillId="0" borderId="0"/>
    <xf numFmtId="14" fontId="153" fillId="0" borderId="0"/>
    <xf numFmtId="236" fontId="94" fillId="0" borderId="0" applyFont="0" applyFill="0" applyBorder="0" applyAlignment="0" applyProtection="0"/>
    <xf numFmtId="0" fontId="94" fillId="0" borderId="0" applyFont="0" applyFill="0" applyBorder="0" applyAlignment="0" applyProtection="0"/>
    <xf numFmtId="236" fontId="94" fillId="0" borderId="0" applyFont="0" applyFill="0" applyBorder="0" applyAlignment="0" applyProtection="0"/>
    <xf numFmtId="14" fontId="23" fillId="0" borderId="0" applyFill="0" applyBorder="0" applyAlignment="0"/>
    <xf numFmtId="14" fontId="153" fillId="0" borderId="0"/>
    <xf numFmtId="14" fontId="173" fillId="0" borderId="0" applyFont="0" applyFill="0" applyBorder="0" applyAlignment="0" applyProtection="0">
      <alignment horizontal="center"/>
    </xf>
    <xf numFmtId="14" fontId="173" fillId="0" borderId="0" applyFont="0" applyFill="0" applyBorder="0" applyAlignment="0" applyProtection="0">
      <alignment horizontal="center"/>
    </xf>
    <xf numFmtId="223" fontId="173" fillId="0" borderId="0" applyFont="0" applyFill="0" applyBorder="0" applyAlignment="0" applyProtection="0">
      <alignment horizontal="center"/>
    </xf>
    <xf numFmtId="0" fontId="173" fillId="0" borderId="0" applyFont="0" applyFill="0" applyBorder="0" applyAlignment="0" applyProtection="0">
      <alignment horizontal="center"/>
    </xf>
    <xf numFmtId="223" fontId="173" fillId="0" borderId="0" applyFont="0" applyFill="0" applyBorder="0" applyAlignment="0" applyProtection="0">
      <alignment horizontal="center"/>
    </xf>
    <xf numFmtId="256" fontId="174" fillId="47" borderId="0" applyFont="0" applyFill="0">
      <alignment horizontal="right"/>
    </xf>
    <xf numFmtId="0" fontId="174" fillId="47" borderId="0" applyFont="0" applyFill="0">
      <alignment horizontal="right"/>
    </xf>
    <xf numFmtId="1" fontId="94" fillId="0" borderId="0" applyFont="0" applyFill="0" applyBorder="0" applyAlignment="0" applyProtection="0">
      <alignment horizontal="right"/>
    </xf>
    <xf numFmtId="2" fontId="151" fillId="48" borderId="0">
      <alignment horizontal="left"/>
      <protection hidden="1"/>
    </xf>
    <xf numFmtId="295" fontId="23" fillId="49" borderId="0" applyNumberFormat="0" applyBorder="0">
      <protection locked="0"/>
    </xf>
    <xf numFmtId="204" fontId="76" fillId="0" borderId="0" applyFont="0" applyFill="0" applyBorder="0" applyAlignment="0" applyProtection="0">
      <alignment horizontal="right"/>
    </xf>
    <xf numFmtId="0" fontId="76" fillId="0" borderId="0" applyFont="0" applyFill="0" applyBorder="0" applyAlignment="0" applyProtection="0">
      <alignment horizontal="right"/>
    </xf>
    <xf numFmtId="204" fontId="76" fillId="0" borderId="0" applyFont="0" applyFill="0" applyBorder="0" applyAlignment="0" applyProtection="0">
      <alignment horizontal="right"/>
    </xf>
    <xf numFmtId="6" fontId="148" fillId="0" borderId="0" applyFont="0" applyFill="0" applyBorder="0" applyAlignment="0" applyProtection="0">
      <alignment horizontal="right"/>
    </xf>
    <xf numFmtId="6" fontId="148" fillId="0" borderId="0" applyFont="0" applyFill="0" applyBorder="0" applyAlignment="0" applyProtection="0">
      <alignment horizontal="right"/>
    </xf>
    <xf numFmtId="6" fontId="148" fillId="0" borderId="0" applyFont="0" applyFill="0" applyBorder="0" applyAlignment="0" applyProtection="0"/>
    <xf numFmtId="6" fontId="148" fillId="0" borderId="0" applyFont="0" applyFill="0" applyBorder="0" applyAlignment="0" applyProtection="0"/>
    <xf numFmtId="237" fontId="94" fillId="0" borderId="26" applyNumberFormat="0" applyFont="0" applyFill="0" applyAlignment="0" applyProtection="0"/>
    <xf numFmtId="0" fontId="94" fillId="0" borderId="26" applyNumberFormat="0" applyFont="0" applyFill="0" applyAlignment="0" applyProtection="0"/>
    <xf numFmtId="237" fontId="94" fillId="0" borderId="26" applyNumberFormat="0" applyFont="0" applyFill="0" applyAlignment="0" applyProtection="0"/>
    <xf numFmtId="1" fontId="148" fillId="0" borderId="0"/>
    <xf numFmtId="1" fontId="148" fillId="0" borderId="0"/>
    <xf numFmtId="1" fontId="148" fillId="0" borderId="0"/>
    <xf numFmtId="257" fontId="171" fillId="0" borderId="12" applyFont="0" applyFill="0" applyBorder="0">
      <alignment horizontal="center"/>
    </xf>
    <xf numFmtId="0" fontId="171" fillId="0" borderId="12" applyFont="0" applyFill="0" applyBorder="0">
      <alignment horizontal="center"/>
    </xf>
    <xf numFmtId="0"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0" fontId="171" fillId="0" borderId="12" applyFont="0" applyFill="0" applyBorder="0">
      <alignment horizontal="center"/>
    </xf>
    <xf numFmtId="0"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0" fontId="171" fillId="0" borderId="12" applyFont="0" applyFill="0" applyBorder="0">
      <alignment horizontal="center"/>
    </xf>
    <xf numFmtId="0" fontId="171" fillId="0" borderId="12" applyFont="0" applyFill="0" applyBorder="0">
      <alignment horizontal="center"/>
    </xf>
    <xf numFmtId="0" fontId="171" fillId="0" borderId="12" applyFont="0" applyFill="0" applyBorder="0">
      <alignment horizontal="center"/>
    </xf>
    <xf numFmtId="0"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0" fontId="171" fillId="0" borderId="12" applyFont="0" applyFill="0" applyBorder="0">
      <alignment horizontal="center"/>
    </xf>
    <xf numFmtId="0"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94" fontId="222" fillId="0" borderId="0" applyFill="0" applyBorder="0" applyAlignment="0"/>
    <xf numFmtId="287" fontId="222" fillId="0" borderId="0" applyFill="0" applyBorder="0" applyAlignment="0"/>
    <xf numFmtId="294" fontId="222" fillId="0" borderId="0" applyFill="0" applyBorder="0" applyAlignment="0"/>
    <xf numFmtId="291" fontId="222" fillId="0" borderId="0" applyFill="0" applyBorder="0" applyAlignment="0"/>
    <xf numFmtId="287" fontId="222" fillId="0" borderId="0" applyFill="0" applyBorder="0" applyAlignment="0"/>
    <xf numFmtId="0" fontId="5" fillId="0" borderId="0" applyNumberFormat="0" applyAlignment="0">
      <alignment horizontal="left"/>
    </xf>
    <xf numFmtId="0" fontId="5" fillId="0" borderId="0" applyNumberFormat="0" applyAlignment="0">
      <alignment horizontal="left"/>
    </xf>
    <xf numFmtId="9" fontId="175" fillId="0" borderId="24" applyNumberFormat="0" applyBorder="0" applyAlignment="0">
      <protection locked="0"/>
    </xf>
    <xf numFmtId="0" fontId="148" fillId="50" borderId="60" applyNumberFormat="0" applyFont="0" applyAlignment="0">
      <protection locked="0"/>
    </xf>
    <xf numFmtId="7" fontId="15" fillId="0" borderId="0" applyFill="0" applyBorder="0" applyProtection="0"/>
    <xf numFmtId="8" fontId="148" fillId="0" borderId="0" applyFont="0" applyFill="0" applyBorder="0" applyAlignment="0" applyProtection="0">
      <alignment horizontal="right"/>
    </xf>
    <xf numFmtId="8" fontId="148" fillId="0" borderId="0" applyFont="0" applyFill="0" applyBorder="0" applyAlignment="0" applyProtection="0">
      <alignment horizontal="right"/>
    </xf>
    <xf numFmtId="7" fontId="15" fillId="0" borderId="0" applyFill="0" applyBorder="0" applyProtection="0"/>
    <xf numFmtId="7" fontId="15" fillId="0" borderId="0" applyFill="0" applyBorder="0" applyProtection="0"/>
    <xf numFmtId="0" fontId="228" fillId="0" borderId="0"/>
    <xf numFmtId="7" fontId="224" fillId="51" borderId="0" applyBorder="0"/>
    <xf numFmtId="301" fontId="224" fillId="0" borderId="0"/>
    <xf numFmtId="302" fontId="224" fillId="0" borderId="0"/>
    <xf numFmtId="39" fontId="224" fillId="51" borderId="0"/>
    <xf numFmtId="303" fontId="224" fillId="0" borderId="0"/>
    <xf numFmtId="244" fontId="94" fillId="0" borderId="0" applyFont="0" applyFill="0" applyBorder="0" applyProtection="0">
      <alignment horizontal="left"/>
      <protection locked="0"/>
    </xf>
    <xf numFmtId="0" fontId="94" fillId="0" borderId="0" applyFont="0" applyFill="0" applyBorder="0" applyProtection="0">
      <alignment horizontal="left"/>
      <protection locked="0"/>
    </xf>
    <xf numFmtId="304" fontId="224" fillId="0" borderId="0"/>
    <xf numFmtId="245" fontId="94" fillId="0" borderId="0" applyFont="0" applyFill="0" applyBorder="0" applyProtection="0">
      <alignment horizontal="left"/>
      <protection locked="0"/>
    </xf>
    <xf numFmtId="0" fontId="94" fillId="0" borderId="0" applyFont="0" applyFill="0" applyBorder="0" applyProtection="0">
      <alignment horizontal="left"/>
      <protection locked="0"/>
    </xf>
    <xf numFmtId="242" fontId="5" fillId="0" borderId="0" applyFont="0" applyFill="0" applyBorder="0" applyAlignment="0" applyProtection="0"/>
    <xf numFmtId="0" fontId="5" fillId="0" borderId="0" applyFont="0" applyFill="0" applyBorder="0" applyAlignment="0" applyProtection="0"/>
    <xf numFmtId="242" fontId="5" fillId="0" borderId="0" applyFont="0" applyFill="0" applyBorder="0" applyAlignment="0" applyProtection="0"/>
    <xf numFmtId="179" fontId="94" fillId="0" borderId="0" applyFont="0" applyFill="0" applyBorder="0" applyAlignment="0" applyProtection="0"/>
    <xf numFmtId="0" fontId="94" fillId="0" borderId="0" applyFont="0" applyFill="0" applyBorder="0" applyAlignment="0" applyProtection="0"/>
    <xf numFmtId="179" fontId="94" fillId="0" borderId="0" applyFont="0" applyFill="0" applyBorder="0" applyAlignment="0" applyProtection="0"/>
    <xf numFmtId="0" fontId="142" fillId="0" borderId="0" applyNumberFormat="0" applyFill="0" applyBorder="0" applyAlignment="0" applyProtection="0"/>
    <xf numFmtId="0" fontId="142" fillId="0" borderId="0" applyNumberFormat="0" applyFill="0" applyBorder="0" applyAlignment="0" applyProtection="0"/>
    <xf numFmtId="205" fontId="6" fillId="13" borderId="17" applyNumberFormat="0" applyFont="0" applyBorder="0" applyAlignment="0" applyProtection="0">
      <alignment horizontal="right"/>
    </xf>
    <xf numFmtId="0" fontId="6" fillId="13" borderId="17" applyNumberFormat="0" applyFont="0" applyBorder="0" applyAlignment="0" applyProtection="0">
      <alignment horizontal="right"/>
    </xf>
    <xf numFmtId="0" fontId="6" fillId="13" borderId="17" applyNumberFormat="0" applyFont="0" applyBorder="0" applyAlignment="0" applyProtection="0">
      <alignment horizontal="right"/>
    </xf>
    <xf numFmtId="205" fontId="6" fillId="13" borderId="17" applyNumberFormat="0" applyFont="0" applyBorder="0" applyAlignment="0" applyProtection="0">
      <alignment horizontal="right"/>
    </xf>
    <xf numFmtId="231" fontId="154" fillId="0" borderId="0">
      <alignment horizontal="right"/>
    </xf>
    <xf numFmtId="0" fontId="154" fillId="0" borderId="0">
      <alignment horizontal="right"/>
    </xf>
    <xf numFmtId="173" fontId="94" fillId="0" borderId="0" applyFont="0" applyFill="0" applyBorder="0" applyAlignment="0" applyProtection="0">
      <alignment horizontal="right"/>
    </xf>
    <xf numFmtId="0" fontId="94" fillId="0" borderId="0" applyFont="0" applyFill="0" applyBorder="0" applyAlignment="0" applyProtection="0">
      <alignment horizontal="right"/>
    </xf>
    <xf numFmtId="173" fontId="94" fillId="0" borderId="0" applyFont="0" applyFill="0" applyBorder="0" applyAlignment="0" applyProtection="0">
      <alignment horizontal="right"/>
    </xf>
    <xf numFmtId="0" fontId="26" fillId="0" borderId="2" applyFont="0" applyFill="0" applyBorder="0" applyAlignment="0" applyProtection="0">
      <alignment horizontal="center"/>
    </xf>
    <xf numFmtId="2" fontId="165" fillId="0" borderId="0" applyFont="0" applyFill="0" applyBorder="0" applyAlignment="0" applyProtection="0"/>
    <xf numFmtId="0" fontId="176" fillId="0" borderId="0">
      <alignment horizontal="left"/>
    </xf>
    <xf numFmtId="0" fontId="177" fillId="0" borderId="0">
      <alignment horizontal="left"/>
    </xf>
    <xf numFmtId="0" fontId="178" fillId="0" borderId="0" applyFill="0" applyBorder="0" applyProtection="0">
      <alignment horizontal="left"/>
    </xf>
    <xf numFmtId="0" fontId="178" fillId="0" borderId="0" applyNumberFormat="0" applyFill="0" applyBorder="0" applyProtection="0">
      <alignment horizontal="left"/>
    </xf>
    <xf numFmtId="0" fontId="178" fillId="0" borderId="0" applyFill="0" applyBorder="0" applyProtection="0">
      <alignment vertical="center"/>
    </xf>
    <xf numFmtId="305" fontId="224" fillId="0" borderId="61"/>
    <xf numFmtId="0" fontId="224" fillId="24" borderId="14">
      <alignment horizontal="right"/>
    </xf>
    <xf numFmtId="306" fontId="224" fillId="24" borderId="14">
      <alignment horizontal="right"/>
    </xf>
    <xf numFmtId="225" fontId="148" fillId="0" borderId="0" applyFill="0" applyBorder="0" applyAlignment="0" applyProtection="0">
      <protection locked="0"/>
    </xf>
    <xf numFmtId="0" fontId="148" fillId="0" borderId="0" applyFill="0" applyBorder="0" applyAlignment="0" applyProtection="0">
      <protection locked="0"/>
    </xf>
    <xf numFmtId="225" fontId="148" fillId="0" borderId="0" applyFill="0" applyBorder="0" applyAlignment="0" applyProtection="0">
      <protection locked="0"/>
    </xf>
    <xf numFmtId="225" fontId="148" fillId="0" borderId="0" applyFill="0" applyBorder="0" applyAlignment="0" applyProtection="0">
      <protection locked="0"/>
    </xf>
    <xf numFmtId="0" fontId="143" fillId="30" borderId="0" applyNumberFormat="0" applyBorder="0" applyAlignment="0" applyProtection="0"/>
    <xf numFmtId="0" fontId="143" fillId="30" borderId="0" applyNumberFormat="0" applyBorder="0" applyAlignment="0" applyProtection="0"/>
    <xf numFmtId="38" fontId="6" fillId="24" borderId="0" applyNumberFormat="0" applyBorder="0" applyAlignment="0" applyProtection="0"/>
    <xf numFmtId="38" fontId="6" fillId="24" borderId="0" applyNumberFormat="0" applyBorder="0" applyAlignment="0" applyProtection="0"/>
    <xf numFmtId="38" fontId="6" fillId="24" borderId="0" applyNumberFormat="0" applyBorder="0" applyAlignment="0" applyProtection="0"/>
    <xf numFmtId="241" fontId="179" fillId="0" borderId="0" applyFill="0" applyBorder="0" applyAlignment="0" applyProtection="0"/>
    <xf numFmtId="0" fontId="179" fillId="0" borderId="0" applyFill="0" applyBorder="0" applyAlignment="0" applyProtection="0"/>
    <xf numFmtId="241" fontId="180" fillId="0" borderId="0" applyAlignment="0">
      <alignment horizontal="left"/>
      <protection locked="0"/>
    </xf>
    <xf numFmtId="0" fontId="180" fillId="0" borderId="0" applyAlignment="0">
      <alignment horizontal="left"/>
      <protection locked="0"/>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240" fontId="19" fillId="52" borderId="24" applyNumberFormat="0" applyFont="0" applyAlignment="0"/>
    <xf numFmtId="0" fontId="19" fillId="52" borderId="24" applyNumberFormat="0" applyFont="0" applyAlignment="0"/>
    <xf numFmtId="238" fontId="94" fillId="0" borderId="0" applyFont="0" applyFill="0" applyBorder="0" applyAlignment="0" applyProtection="0">
      <alignment horizontal="right"/>
    </xf>
    <xf numFmtId="0" fontId="94" fillId="0" borderId="0" applyFont="0" applyFill="0" applyBorder="0" applyAlignment="0" applyProtection="0">
      <alignment horizontal="right"/>
    </xf>
    <xf numFmtId="238" fontId="94" fillId="0" borderId="0" applyFont="0" applyFill="0" applyBorder="0" applyAlignment="0" applyProtection="0">
      <alignment horizontal="right"/>
    </xf>
    <xf numFmtId="227" fontId="7" fillId="0" borderId="0" applyNumberFormat="0" applyFill="0" applyBorder="0" applyAlignment="0" applyProtection="0"/>
    <xf numFmtId="0" fontId="7" fillId="0" borderId="0" applyNumberFormat="0" applyFill="0" applyBorder="0" applyAlignment="0" applyProtection="0"/>
    <xf numFmtId="0" fontId="181" fillId="0" borderId="0">
      <alignment horizontal="left"/>
    </xf>
    <xf numFmtId="227" fontId="149" fillId="0" borderId="0" applyNumberFormat="0" applyFill="0" applyBorder="0" applyAlignment="0" applyProtection="0"/>
    <xf numFmtId="0" fontId="20" fillId="0" borderId="30" applyNumberFormat="0" applyAlignment="0" applyProtection="0">
      <alignment horizontal="left" vertical="center"/>
    </xf>
    <xf numFmtId="0" fontId="20" fillId="0" borderId="2">
      <alignment horizontal="left" vertical="center"/>
    </xf>
    <xf numFmtId="0" fontId="216" fillId="0" borderId="0">
      <alignment horizontal="center"/>
    </xf>
    <xf numFmtId="0" fontId="229" fillId="44" borderId="24">
      <alignment horizontal="centerContinuous"/>
    </xf>
    <xf numFmtId="0" fontId="182" fillId="0" borderId="13">
      <alignment horizontal="left" vertical="top"/>
    </xf>
    <xf numFmtId="0" fontId="183" fillId="0" borderId="0">
      <alignment horizontal="left"/>
    </xf>
    <xf numFmtId="0" fontId="182" fillId="0" borderId="13">
      <alignment horizontal="left" vertical="top"/>
    </xf>
    <xf numFmtId="0" fontId="184" fillId="0" borderId="0" applyProtection="0">
      <alignment horizontal="left"/>
    </xf>
    <xf numFmtId="0" fontId="92" fillId="0" borderId="0">
      <alignment horizontal="left"/>
    </xf>
    <xf numFmtId="0" fontId="185" fillId="0" borderId="13">
      <alignment horizontal="left" vertical="top"/>
    </xf>
    <xf numFmtId="0" fontId="186" fillId="0" borderId="0" applyProtection="0">
      <alignment horizontal="left"/>
    </xf>
    <xf numFmtId="0" fontId="186" fillId="0" borderId="0">
      <alignment horizontal="left"/>
    </xf>
    <xf numFmtId="0" fontId="230" fillId="0" borderId="0" applyNumberFormat="0" applyFill="0" applyBorder="0" applyAlignment="0" applyProtection="0"/>
    <xf numFmtId="0" fontId="230" fillId="0" borderId="0" applyNumberFormat="0" applyFill="0" applyBorder="0" applyAlignment="0" applyProtection="0"/>
    <xf numFmtId="187" fontId="5" fillId="0" borderId="0" applyFont="0" applyFill="0" applyBorder="0" applyAlignment="0" applyProtection="0"/>
    <xf numFmtId="0" fontId="231" fillId="0" borderId="0" applyNumberFormat="0" applyFont="0" applyFill="0" applyBorder="0" applyAlignment="0">
      <alignment horizontal="left"/>
    </xf>
    <xf numFmtId="0" fontId="111" fillId="0" borderId="0" applyNumberFormat="0" applyFill="0" applyBorder="0" applyAlignment="0" applyProtection="0">
      <alignment vertical="top"/>
      <protection locked="0"/>
    </xf>
    <xf numFmtId="0" fontId="254" fillId="0" borderId="0" applyNumberFormat="0" applyFill="0" applyBorder="0" applyAlignment="0" applyProtection="0">
      <alignment vertical="top"/>
      <protection locked="0"/>
    </xf>
    <xf numFmtId="295" fontId="232" fillId="53" borderId="0" applyNumberFormat="0" applyBorder="0">
      <alignment horizontal="left"/>
      <protection locked="0"/>
    </xf>
    <xf numFmtId="0" fontId="148" fillId="0" borderId="0" applyFont="0" applyFill="0" applyBorder="0" applyAlignment="0" applyProtection="0"/>
    <xf numFmtId="225" fontId="148" fillId="0" borderId="0" applyFill="0" applyBorder="0" applyAlignment="0" applyProtection="0">
      <alignment horizontal="right"/>
      <protection locked="0"/>
    </xf>
    <xf numFmtId="0" fontId="148" fillId="0" borderId="0" applyFill="0" applyBorder="0" applyAlignment="0" applyProtection="0">
      <alignment horizontal="right"/>
      <protection locked="0"/>
    </xf>
    <xf numFmtId="225" fontId="148" fillId="0" borderId="0" applyFill="0" applyBorder="0" applyAlignment="0" applyProtection="0">
      <alignment horizontal="right"/>
      <protection locked="0"/>
    </xf>
    <xf numFmtId="225" fontId="148" fillId="0" borderId="0" applyFill="0" applyBorder="0" applyAlignment="0" applyProtection="0">
      <alignment horizontal="right"/>
      <protection locked="0"/>
    </xf>
    <xf numFmtId="40" fontId="148" fillId="0" borderId="0" applyFont="0" applyFill="0" applyBorder="0" applyAlignment="0" applyProtection="0">
      <alignment horizontal="right"/>
    </xf>
    <xf numFmtId="258" fontId="78" fillId="0" borderId="0" applyBorder="0" applyAlignment="0"/>
    <xf numFmtId="10" fontId="6" fillId="52" borderId="24" applyNumberFormat="0" applyBorder="0" applyAlignment="0" applyProtection="0"/>
    <xf numFmtId="10" fontId="6" fillId="52" borderId="24" applyNumberFormat="0" applyBorder="0" applyAlignment="0" applyProtection="0"/>
    <xf numFmtId="10" fontId="6" fillId="52" borderId="24" applyNumberFormat="0" applyBorder="0" applyAlignment="0" applyProtection="0"/>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259" fontId="187" fillId="0" borderId="0" applyFill="0" applyBorder="0" applyProtection="0"/>
    <xf numFmtId="260" fontId="187" fillId="0" borderId="0" applyFill="0" applyBorder="0" applyProtection="0"/>
    <xf numFmtId="0" fontId="187" fillId="0" borderId="0" applyFill="0" applyBorder="0" applyProtection="0"/>
    <xf numFmtId="0" fontId="187" fillId="0" borderId="0" applyFill="0" applyBorder="0" applyProtection="0"/>
    <xf numFmtId="259" fontId="187" fillId="0" borderId="0" applyFill="0" applyBorder="0" applyProtection="0"/>
    <xf numFmtId="261" fontId="187" fillId="0" borderId="0" applyFill="0" applyBorder="0" applyProtection="0"/>
    <xf numFmtId="0" fontId="187" fillId="0" borderId="0" applyFill="0" applyBorder="0" applyProtection="0"/>
    <xf numFmtId="243" fontId="187" fillId="0" borderId="0" applyFill="0" applyBorder="0" applyProtection="0"/>
    <xf numFmtId="0" fontId="187" fillId="0" borderId="0" applyFill="0" applyBorder="0" applyProtection="0"/>
    <xf numFmtId="262" fontId="188" fillId="0" borderId="0" applyFill="0" applyBorder="0" applyProtection="0">
      <alignment vertical="center"/>
    </xf>
    <xf numFmtId="0" fontId="188" fillId="0" borderId="0" applyFill="0" applyBorder="0" applyProtection="0">
      <alignment vertical="center"/>
    </xf>
    <xf numFmtId="255" fontId="188" fillId="0" borderId="0" applyFill="0" applyBorder="0" applyProtection="0">
      <alignment vertical="center"/>
    </xf>
    <xf numFmtId="0" fontId="188" fillId="0" borderId="0" applyFill="0" applyBorder="0" applyProtection="0">
      <alignment vertical="center"/>
    </xf>
    <xf numFmtId="263" fontId="18" fillId="0" borderId="0" applyFont="0" applyFill="0" applyBorder="0" applyAlignment="0">
      <protection locked="0"/>
    </xf>
    <xf numFmtId="0" fontId="18" fillId="0" borderId="0" applyFont="0" applyFill="0" applyBorder="0" applyAlignment="0">
      <protection locked="0"/>
    </xf>
    <xf numFmtId="243" fontId="18" fillId="0" borderId="0" applyFont="0" applyFill="0" applyBorder="0" applyAlignment="0">
      <protection locked="0"/>
    </xf>
    <xf numFmtId="0" fontId="18" fillId="0" borderId="0" applyFont="0" applyFill="0" applyBorder="0" applyAlignment="0">
      <protection locked="0"/>
    </xf>
    <xf numFmtId="264" fontId="188" fillId="0" borderId="0" applyFill="0" applyBorder="0" applyProtection="0">
      <alignment vertical="center"/>
    </xf>
    <xf numFmtId="0" fontId="188" fillId="0" borderId="0" applyFill="0" applyBorder="0" applyProtection="0">
      <alignment vertical="center"/>
    </xf>
    <xf numFmtId="265" fontId="188" fillId="0" borderId="0" applyFill="0" applyBorder="0" applyProtection="0">
      <alignment vertical="center"/>
    </xf>
    <xf numFmtId="0" fontId="188" fillId="0" borderId="0" applyFill="0" applyBorder="0" applyProtection="0">
      <alignment vertical="center"/>
    </xf>
    <xf numFmtId="169" fontId="18" fillId="0" borderId="12" applyFill="0"/>
    <xf numFmtId="0" fontId="18" fillId="0" borderId="12" applyFill="0"/>
    <xf numFmtId="0" fontId="18" fillId="0" borderId="12" applyFill="0"/>
    <xf numFmtId="169" fontId="18" fillId="0" borderId="12" applyFill="0"/>
    <xf numFmtId="0" fontId="189" fillId="0" borderId="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227" fontId="19" fillId="0" borderId="0" applyNumberFormat="0" applyFill="0" applyBorder="0" applyAlignment="0" applyProtection="0"/>
    <xf numFmtId="0" fontId="19" fillId="0" borderId="0" applyNumberFormat="0" applyFill="0" applyBorder="0" applyAlignment="0" applyProtection="0"/>
    <xf numFmtId="295" fontId="23" fillId="54" borderId="0" applyNumberFormat="0" applyBorder="0">
      <alignment horizontal="right"/>
      <protection locked="0"/>
    </xf>
    <xf numFmtId="294" fontId="222" fillId="0" borderId="0" applyFill="0" applyBorder="0" applyAlignment="0"/>
    <xf numFmtId="287" fontId="222" fillId="0" borderId="0" applyFill="0" applyBorder="0" applyAlignment="0"/>
    <xf numFmtId="294" fontId="222" fillId="0" borderId="0" applyFill="0" applyBorder="0" applyAlignment="0"/>
    <xf numFmtId="291" fontId="222" fillId="0" borderId="0" applyFill="0" applyBorder="0" applyAlignment="0"/>
    <xf numFmtId="287" fontId="222" fillId="0" borderId="0" applyFill="0" applyBorder="0" applyAlignment="0"/>
    <xf numFmtId="0" fontId="144" fillId="0" borderId="62" applyNumberFormat="0" applyFill="0" applyAlignment="0" applyProtection="0"/>
    <xf numFmtId="0" fontId="144" fillId="0" borderId="62" applyNumberFormat="0" applyFill="0" applyAlignment="0" applyProtection="0"/>
    <xf numFmtId="170" fontId="148" fillId="0" borderId="0" applyFont="0" applyFill="0" applyBorder="0" applyAlignment="0" applyProtection="0">
      <alignment horizontal="right"/>
    </xf>
    <xf numFmtId="0" fontId="148" fillId="0" borderId="0" applyFont="0" applyFill="0" applyBorder="0" applyAlignment="0" applyProtection="0">
      <alignment horizontal="right"/>
    </xf>
    <xf numFmtId="170" fontId="148" fillId="0" borderId="0" applyFont="0" applyFill="0" applyBorder="0" applyAlignment="0" applyProtection="0">
      <alignment horizontal="right"/>
    </xf>
    <xf numFmtId="0" fontId="224" fillId="0" borderId="0">
      <alignment horizontal="right"/>
    </xf>
    <xf numFmtId="307" fontId="224" fillId="0" borderId="0">
      <alignment horizontal="right"/>
    </xf>
    <xf numFmtId="308" fontId="224" fillId="0" borderId="0">
      <alignment horizontal="right"/>
    </xf>
    <xf numFmtId="0" fontId="134" fillId="0" borderId="0"/>
    <xf numFmtId="1" fontId="190" fillId="0" borderId="0"/>
    <xf numFmtId="1" fontId="190" fillId="0" borderId="0"/>
    <xf numFmtId="1" fontId="190" fillId="0" borderId="0"/>
    <xf numFmtId="243" fontId="191" fillId="0" borderId="0" applyFill="0" applyBorder="0" applyAlignment="0" applyProtection="0">
      <alignment horizontal="right"/>
    </xf>
    <xf numFmtId="0" fontId="191" fillId="0" borderId="0" applyFill="0" applyBorder="0" applyAlignment="0" applyProtection="0">
      <alignment horizontal="right"/>
    </xf>
    <xf numFmtId="243" fontId="191" fillId="0" borderId="0" applyFill="0" applyBorder="0" applyAlignment="0" applyProtection="0"/>
    <xf numFmtId="0" fontId="191" fillId="0" borderId="0" applyFill="0" applyBorder="0" applyAlignment="0" applyProtection="0"/>
    <xf numFmtId="295" fontId="151" fillId="54" borderId="0" applyNumberFormat="0" applyBorder="0">
      <alignment horizontal="right"/>
      <protection locked="0"/>
    </xf>
    <xf numFmtId="295" fontId="233" fillId="54" borderId="0" applyNumberFormat="0" applyBorder="0">
      <alignment horizontal="right"/>
      <protection locked="0"/>
    </xf>
    <xf numFmtId="266" fontId="5" fillId="0" borderId="0" applyFont="0" applyFill="0" applyBorder="0" applyAlignment="0" applyProtection="0"/>
    <xf numFmtId="267" fontId="5" fillId="0" borderId="0" applyFont="0" applyFill="0" applyBorder="0" applyAlignment="0" applyProtection="0"/>
    <xf numFmtId="0" fontId="224" fillId="24" borderId="14">
      <alignment horizontal="right"/>
    </xf>
    <xf numFmtId="268" fontId="192" fillId="6" borderId="63" applyFont="0" applyFill="0" applyBorder="0" applyAlignment="0">
      <alignment horizontal="center"/>
    </xf>
    <xf numFmtId="0" fontId="192" fillId="6" borderId="63" applyFont="0" applyFill="0" applyBorder="0" applyAlignment="0">
      <alignment horizontal="center"/>
    </xf>
    <xf numFmtId="0" fontId="172" fillId="0" borderId="0" applyFont="0" applyFill="0" applyBorder="0" applyAlignment="0" applyProtection="0">
      <alignment horizontal="right"/>
    </xf>
    <xf numFmtId="239" fontId="172" fillId="0" borderId="0" applyFont="0" applyFill="0" applyBorder="0" applyAlignment="0" applyProtection="0">
      <alignment horizontal="right"/>
    </xf>
    <xf numFmtId="177" fontId="15" fillId="0" borderId="0" applyFill="0" applyBorder="0" applyProtection="0"/>
    <xf numFmtId="177" fontId="15" fillId="0" borderId="0" applyFill="0" applyBorder="0" applyProtection="0"/>
    <xf numFmtId="177" fontId="15" fillId="0" borderId="0" applyFill="0" applyBorder="0" applyProtection="0"/>
    <xf numFmtId="264" fontId="172" fillId="0" borderId="0" applyFill="0" applyBorder="0" applyProtection="0">
      <alignment vertical="center"/>
    </xf>
    <xf numFmtId="0" fontId="172" fillId="0" borderId="0" applyFill="0" applyBorder="0" applyProtection="0">
      <alignment vertical="center"/>
    </xf>
    <xf numFmtId="269" fontId="18" fillId="0" borderId="0" applyFont="0" applyFill="0" applyBorder="0" applyAlignment="0" applyProtection="0">
      <alignment horizontal="right"/>
    </xf>
    <xf numFmtId="0" fontId="18" fillId="0" borderId="0" applyFont="0" applyFill="0" applyBorder="0" applyAlignment="0" applyProtection="0">
      <alignment horizontal="right"/>
    </xf>
    <xf numFmtId="0" fontId="145" fillId="8" borderId="0" applyNumberFormat="0" applyBorder="0" applyAlignment="0" applyProtection="0"/>
    <xf numFmtId="0" fontId="145" fillId="8" borderId="0" applyNumberFormat="0" applyBorder="0" applyAlignment="0" applyProtection="0"/>
    <xf numFmtId="37" fontId="5" fillId="0" borderId="0"/>
    <xf numFmtId="37" fontId="5" fillId="0" borderId="0"/>
    <xf numFmtId="0" fontId="5" fillId="0" borderId="0" applyFont="0" applyFill="0" applyBorder="0" applyAlignment="0" applyProtection="0"/>
    <xf numFmtId="176" fontId="15" fillId="0" borderId="0" applyFill="0" applyBorder="0" applyProtection="0"/>
    <xf numFmtId="0" fontId="5" fillId="0" borderId="0"/>
    <xf numFmtId="0" fontId="5"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15" fillId="0" borderId="0" applyFill="0" applyBorder="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0" fontId="120" fillId="0" borderId="0"/>
    <xf numFmtId="176" fontId="15" fillId="0" borderId="0" applyFill="0" applyBorder="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0" fillId="0" borderId="0"/>
    <xf numFmtId="0" fontId="5" fillId="0" borderId="0"/>
    <xf numFmtId="0" fontId="5" fillId="0" borderId="0"/>
    <xf numFmtId="0" fontId="5" fillId="0" borderId="0"/>
    <xf numFmtId="0" fontId="5" fillId="0" borderId="0"/>
    <xf numFmtId="0" fontId="12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227" fontId="193" fillId="0" borderId="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0" fontId="5" fillId="0" borderId="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1"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0" fontId="5" fillId="0" borderId="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5" fillId="0" borderId="0" applyFont="0" applyFill="0" applyBorder="0" applyAlignment="0" applyProtection="0"/>
    <xf numFmtId="176" fontId="15" fillId="0" borderId="0" applyFill="0" applyBorder="0" applyProtection="0"/>
    <xf numFmtId="37" fontId="15" fillId="0" borderId="0" applyFill="0" applyBorder="0" applyProtection="0"/>
    <xf numFmtId="0" fontId="5" fillId="0" borderId="0"/>
    <xf numFmtId="0" fontId="2" fillId="0" borderId="0"/>
    <xf numFmtId="0" fontId="2"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37" fontId="15" fillId="0" borderId="0" applyFill="0" applyBorder="0" applyProtection="0"/>
    <xf numFmtId="0" fontId="5" fillId="0" borderId="0"/>
    <xf numFmtId="0" fontId="5" fillId="0" borderId="0"/>
    <xf numFmtId="0" fontId="5" fillId="0" borderId="0"/>
    <xf numFmtId="176" fontId="15" fillId="0" borderId="0" applyFill="0" applyBorder="0" applyProtection="0"/>
    <xf numFmtId="0" fontId="5" fillId="0" borderId="0"/>
    <xf numFmtId="0" fontId="5" fillId="0" borderId="0"/>
    <xf numFmtId="0" fontId="5" fillId="0" borderId="0"/>
    <xf numFmtId="0" fontId="2" fillId="0" borderId="0"/>
    <xf numFmtId="0" fontId="2" fillId="0" borderId="0"/>
    <xf numFmtId="0" fontId="2" fillId="0" borderId="0"/>
    <xf numFmtId="0" fontId="5" fillId="0" borderId="0"/>
    <xf numFmtId="0" fontId="5" fillId="0" borderId="0"/>
    <xf numFmtId="0" fontId="5" fillId="0" borderId="0"/>
    <xf numFmtId="0" fontId="2" fillId="0" borderId="0"/>
    <xf numFmtId="270" fontId="172" fillId="0" borderId="0" applyFill="0" applyBorder="0" applyProtection="0">
      <alignment vertical="center"/>
    </xf>
    <xf numFmtId="0" fontId="172" fillId="0" borderId="0" applyFill="0" applyBorder="0" applyProtection="0">
      <alignment vertical="center"/>
    </xf>
    <xf numFmtId="0" fontId="5" fillId="0" borderId="0"/>
    <xf numFmtId="0" fontId="92" fillId="0" borderId="0"/>
    <xf numFmtId="0" fontId="92" fillId="0" borderId="0"/>
    <xf numFmtId="0" fontId="92" fillId="0" borderId="0"/>
    <xf numFmtId="0" fontId="5" fillId="37" borderId="64" applyNumberFormat="0" applyFont="0" applyAlignment="0" applyProtection="0"/>
    <xf numFmtId="0" fontId="5" fillId="37" borderId="64" applyNumberFormat="0" applyFont="0" applyAlignment="0" applyProtection="0"/>
    <xf numFmtId="37" fontId="154" fillId="0" borderId="0"/>
    <xf numFmtId="39" fontId="154" fillId="0" borderId="0"/>
    <xf numFmtId="0" fontId="77" fillId="0" borderId="0" applyNumberFormat="0" applyFill="0" applyBorder="0" applyAlignment="0" applyProtection="0"/>
    <xf numFmtId="0" fontId="194" fillId="0" borderId="0" applyNumberFormat="0" applyAlignment="0"/>
    <xf numFmtId="0" fontId="195" fillId="0" borderId="0" applyNumberFormat="0" applyAlignment="0"/>
    <xf numFmtId="0" fontId="196" fillId="0" borderId="0" applyNumberFormat="0" applyAlignment="0"/>
    <xf numFmtId="0" fontId="197" fillId="0" borderId="0"/>
    <xf numFmtId="0" fontId="234" fillId="44" borderId="65" applyNumberFormat="0" applyAlignment="0" applyProtection="0"/>
    <xf numFmtId="0" fontId="234" fillId="44" borderId="65" applyNumberFormat="0" applyAlignment="0" applyProtection="0"/>
    <xf numFmtId="282" fontId="148" fillId="0" borderId="0" applyFont="0" applyFill="0" applyBorder="0" applyAlignment="0" applyProtection="0">
      <alignment horizontal="right"/>
    </xf>
    <xf numFmtId="0" fontId="148" fillId="0" borderId="0" applyFont="0" applyFill="0" applyBorder="0" applyAlignment="0" applyProtection="0">
      <alignment horizontal="right"/>
    </xf>
    <xf numFmtId="282" fontId="148" fillId="0" borderId="0" applyFont="0" applyFill="0" applyBorder="0" applyAlignment="0" applyProtection="0">
      <alignment horizontal="right"/>
    </xf>
    <xf numFmtId="185" fontId="57" fillId="0" borderId="0" applyFont="0" applyFill="0" applyBorder="0" applyAlignment="0" applyProtection="0"/>
    <xf numFmtId="0" fontId="198" fillId="0" borderId="0" applyFill="0" applyBorder="0" applyProtection="0">
      <alignment horizontal="left"/>
    </xf>
    <xf numFmtId="0" fontId="199" fillId="0" borderId="0" applyFill="0" applyBorder="0" applyProtection="0">
      <alignment horizontal="left"/>
    </xf>
    <xf numFmtId="1" fontId="200" fillId="0" borderId="0" applyProtection="0">
      <alignment horizontal="right" vertical="center"/>
    </xf>
    <xf numFmtId="0" fontId="92" fillId="0" borderId="0" applyNumberFormat="0" applyFill="0" applyBorder="0" applyAlignment="0" applyProtection="0"/>
    <xf numFmtId="309" fontId="224" fillId="51" borderId="0"/>
    <xf numFmtId="169" fontId="148" fillId="0" borderId="0" applyFont="0" applyFill="0" applyBorder="0" applyAlignment="0" applyProtection="0">
      <alignment horizontal="right"/>
    </xf>
    <xf numFmtId="0" fontId="148" fillId="0" borderId="0" applyFont="0" applyFill="0" applyBorder="0" applyAlignment="0" applyProtection="0">
      <alignment horizontal="right"/>
    </xf>
    <xf numFmtId="169" fontId="148" fillId="0" borderId="0" applyFont="0" applyFill="0" applyBorder="0" applyAlignment="0" applyProtection="0">
      <alignment horizontal="right"/>
    </xf>
    <xf numFmtId="9" fontId="148" fillId="0" borderId="0" applyFont="0" applyFill="0" applyBorder="0" applyAlignment="0" applyProtection="0">
      <alignment horizontal="right"/>
    </xf>
    <xf numFmtId="9" fontId="148" fillId="0" borderId="0" applyFont="0" applyFill="0" applyBorder="0" applyAlignment="0" applyProtection="0">
      <alignment horizontal="right"/>
    </xf>
    <xf numFmtId="310" fontId="224" fillId="0" borderId="0"/>
    <xf numFmtId="2" fontId="148" fillId="0" borderId="0"/>
    <xf numFmtId="2" fontId="148" fillId="0" borderId="0"/>
    <xf numFmtId="2" fontId="148" fillId="0" borderId="0"/>
    <xf numFmtId="9" fontId="15" fillId="0" borderId="0" applyFill="0" applyBorder="0" applyProtection="0"/>
    <xf numFmtId="290" fontId="222" fillId="0" borderId="0" applyFont="0" applyFill="0" applyBorder="0" applyAlignment="0" applyProtection="0"/>
    <xf numFmtId="286" fontId="222" fillId="0" borderId="0" applyFont="0" applyFill="0" applyBorder="0" applyAlignment="0" applyProtection="0"/>
    <xf numFmtId="241" fontId="5" fillId="0" borderId="0" applyFont="0" applyFill="0" applyBorder="0" applyAlignment="0" applyProtection="0"/>
    <xf numFmtId="0" fontId="5" fillId="0" borderId="0" applyFont="0" applyFill="0" applyBorder="0" applyAlignment="0" applyProtection="0"/>
    <xf numFmtId="241"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5" fillId="0" borderId="0" applyFont="0" applyFill="0" applyBorder="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5" fillId="2" borderId="0" applyFont="0" applyFill="0" applyBorder="0" applyAlignment="0" applyProtection="0"/>
    <xf numFmtId="9" fontId="15" fillId="0" borderId="0" applyFill="0" applyBorder="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15" fillId="0" borderId="0" applyFill="0" applyBorder="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284" fontId="148" fillId="0" borderId="0" applyFont="0" applyFill="0" applyBorder="0" applyProtection="0">
      <alignment horizontal="right"/>
    </xf>
    <xf numFmtId="284" fontId="148" fillId="0" borderId="0" applyFont="0" applyFill="0" applyBorder="0" applyProtection="0">
      <alignment horizontal="right"/>
    </xf>
    <xf numFmtId="271" fontId="201" fillId="0" borderId="12" applyFont="0" applyFill="0" applyBorder="0" applyAlignment="0">
      <alignment horizontal="right"/>
    </xf>
    <xf numFmtId="0" fontId="201" fillId="0" borderId="12" applyFont="0" applyFill="0" applyBorder="0" applyAlignment="0">
      <alignment horizontal="right"/>
    </xf>
    <xf numFmtId="0" fontId="201" fillId="0" borderId="12" applyFont="0" applyFill="0" applyBorder="0" applyAlignment="0">
      <alignment horizontal="right"/>
    </xf>
    <xf numFmtId="271" fontId="201" fillId="0" borderId="12" applyFont="0" applyFill="0" applyBorder="0" applyAlignment="0">
      <alignment horizontal="right"/>
    </xf>
    <xf numFmtId="272" fontId="162" fillId="0" borderId="0" applyFont="0" applyFill="0" applyBorder="0"/>
    <xf numFmtId="0" fontId="162" fillId="0" borderId="0" applyFont="0" applyFill="0" applyBorder="0"/>
    <xf numFmtId="265" fontId="172" fillId="0" borderId="0" applyFill="0" applyBorder="0" applyProtection="0">
      <alignment vertical="center"/>
    </xf>
    <xf numFmtId="0" fontId="172" fillId="0" borderId="0" applyFill="0" applyBorder="0" applyProtection="0">
      <alignment vertical="center"/>
    </xf>
    <xf numFmtId="272" fontId="162" fillId="0" borderId="0" applyFont="0" applyFill="0"/>
    <xf numFmtId="0" fontId="162" fillId="0" borderId="0" applyFont="0" applyFill="0"/>
    <xf numFmtId="0" fontId="77" fillId="0" borderId="0"/>
    <xf numFmtId="241" fontId="148" fillId="0" borderId="0" applyFont="0" applyFill="0" applyBorder="0" applyAlignment="0" applyProtection="0"/>
    <xf numFmtId="0" fontId="148" fillId="0" borderId="0" applyFont="0" applyFill="0" applyBorder="0" applyAlignment="0" applyProtection="0"/>
    <xf numFmtId="241" fontId="148" fillId="0" borderId="0" applyFont="0" applyFill="0" applyBorder="0" applyAlignment="0" applyProtection="0"/>
    <xf numFmtId="8" fontId="148" fillId="0" borderId="0" applyFont="0" applyFill="0" applyBorder="0" applyAlignment="0" applyProtection="0"/>
    <xf numFmtId="8" fontId="148" fillId="0" borderId="0" applyFont="0" applyFill="0" applyBorder="0" applyAlignment="0" applyProtection="0"/>
    <xf numFmtId="225" fontId="148" fillId="0" borderId="0" applyFont="0" applyFill="0" applyBorder="0" applyAlignment="0" applyProtection="0">
      <protection locked="0"/>
    </xf>
    <xf numFmtId="0" fontId="148" fillId="0" borderId="0" applyFont="0" applyFill="0" applyBorder="0" applyAlignment="0" applyProtection="0">
      <protection locked="0"/>
    </xf>
    <xf numFmtId="225" fontId="148" fillId="0" borderId="0" applyFont="0" applyFill="0" applyBorder="0" applyAlignment="0" applyProtection="0">
      <protection locked="0"/>
    </xf>
    <xf numFmtId="229" fontId="6" fillId="0" borderId="0" applyFill="0" applyBorder="0" applyAlignment="0" applyProtection="0"/>
    <xf numFmtId="0" fontId="6" fillId="0" borderId="0" applyFill="0" applyBorder="0" applyAlignment="0" applyProtection="0"/>
    <xf numFmtId="229" fontId="6" fillId="0" borderId="0" applyFill="0" applyBorder="0" applyAlignment="0" applyProtection="0"/>
    <xf numFmtId="229" fontId="6" fillId="0" borderId="0" applyFill="0" applyBorder="0" applyAlignment="0" applyProtection="0"/>
    <xf numFmtId="165" fontId="26" fillId="4" borderId="0">
      <alignment horizontal="center"/>
    </xf>
    <xf numFmtId="294" fontId="222" fillId="0" borderId="0" applyFill="0" applyBorder="0" applyAlignment="0"/>
    <xf numFmtId="287" fontId="222" fillId="0" borderId="0" applyFill="0" applyBorder="0" applyAlignment="0"/>
    <xf numFmtId="294" fontId="222" fillId="0" borderId="0" applyFill="0" applyBorder="0" applyAlignment="0"/>
    <xf numFmtId="291" fontId="222" fillId="0" borderId="0" applyFill="0" applyBorder="0" applyAlignment="0"/>
    <xf numFmtId="287" fontId="222" fillId="0" borderId="0" applyFill="0" applyBorder="0" applyAlignment="0"/>
    <xf numFmtId="225" fontId="148" fillId="0" borderId="0" applyFill="0" applyBorder="0" applyAlignment="0" applyProtection="0"/>
    <xf numFmtId="0" fontId="148" fillId="0" borderId="0" applyFill="0" applyBorder="0" applyAlignment="0" applyProtection="0"/>
    <xf numFmtId="225" fontId="148" fillId="0" borderId="0" applyFill="0" applyBorder="0" applyAlignment="0" applyProtection="0"/>
    <xf numFmtId="225" fontId="148" fillId="0" borderId="0" applyFill="0" applyBorder="0" applyAlignment="0" applyProtection="0"/>
    <xf numFmtId="38" fontId="148" fillId="0" borderId="0" applyFont="0" applyFill="0" applyBorder="0" applyAlignment="0" applyProtection="0"/>
    <xf numFmtId="38" fontId="148" fillId="0" borderId="0" applyFont="0" applyFill="0" applyBorder="0" applyAlignment="0" applyProtection="0"/>
    <xf numFmtId="0" fontId="148" fillId="0" borderId="0" applyFont="0" applyFill="0" applyBorder="0" applyAlignment="0" applyProtection="0">
      <alignment horizontal="right"/>
    </xf>
    <xf numFmtId="10" fontId="148" fillId="0" borderId="0"/>
    <xf numFmtId="10" fontId="148" fillId="0" borderId="0"/>
    <xf numFmtId="10" fontId="148" fillId="55" borderId="0"/>
    <xf numFmtId="10" fontId="148" fillId="55" borderId="0"/>
    <xf numFmtId="10" fontId="148" fillId="55" borderId="0"/>
    <xf numFmtId="9" fontId="148" fillId="0" borderId="0" applyFont="0" applyFill="0" applyBorder="0" applyAlignment="0" applyProtection="0"/>
    <xf numFmtId="0" fontId="83" fillId="0" borderId="0" applyNumberFormat="0" applyFont="0" applyFill="0" applyBorder="0" applyAlignment="0" applyProtection="0">
      <alignment horizontal="left"/>
    </xf>
    <xf numFmtId="15" fontId="83" fillId="0" borderId="0" applyFont="0" applyFill="0" applyBorder="0" applyAlignment="0" applyProtection="0"/>
    <xf numFmtId="4" fontId="83" fillId="0" borderId="0" applyFont="0" applyFill="0" applyBorder="0" applyAlignment="0" applyProtection="0"/>
    <xf numFmtId="0" fontId="59" fillId="0" borderId="39">
      <alignment horizontal="center"/>
    </xf>
    <xf numFmtId="3" fontId="83" fillId="0" borderId="0" applyFont="0" applyFill="0" applyBorder="0" applyAlignment="0" applyProtection="0"/>
    <xf numFmtId="0" fontId="83" fillId="46" borderId="0" applyNumberFormat="0" applyFont="0" applyBorder="0" applyAlignment="0" applyProtection="0"/>
    <xf numFmtId="0" fontId="235" fillId="0" borderId="0"/>
    <xf numFmtId="311" fontId="224" fillId="24" borderId="0"/>
    <xf numFmtId="0" fontId="236" fillId="0" borderId="0">
      <alignment horizontal="center"/>
    </xf>
    <xf numFmtId="0" fontId="224" fillId="0" borderId="12">
      <alignment horizontal="centerContinuous"/>
    </xf>
    <xf numFmtId="0" fontId="224" fillId="0" borderId="12">
      <alignment horizontal="centerContinuous"/>
    </xf>
    <xf numFmtId="312" fontId="224" fillId="24" borderId="0">
      <alignment horizontal="right"/>
    </xf>
    <xf numFmtId="0" fontId="94" fillId="0" borderId="0">
      <alignment vertical="top"/>
    </xf>
    <xf numFmtId="0" fontId="94" fillId="0" borderId="0">
      <alignment vertical="top"/>
    </xf>
    <xf numFmtId="0" fontId="94" fillId="0" borderId="0">
      <alignment vertical="top"/>
    </xf>
    <xf numFmtId="313" fontId="224" fillId="24" borderId="14">
      <alignment horizontal="right"/>
    </xf>
    <xf numFmtId="0" fontId="134" fillId="0" borderId="0"/>
    <xf numFmtId="225" fontId="173" fillId="0" borderId="0" applyFont="0" applyFill="0" applyBorder="0" applyAlignment="0" applyProtection="0"/>
    <xf numFmtId="0" fontId="173" fillId="0" borderId="0" applyFont="0" applyFill="0" applyBorder="0" applyAlignment="0" applyProtection="0"/>
    <xf numFmtId="225" fontId="173" fillId="0" borderId="0" applyFont="0" applyFill="0" applyBorder="0" applyAlignment="0" applyProtection="0"/>
    <xf numFmtId="0" fontId="130" fillId="0" borderId="14" applyNumberFormat="0" applyBorder="0" applyAlignment="0"/>
    <xf numFmtId="0" fontId="130" fillId="0" borderId="14" applyNumberFormat="0" applyBorder="0" applyAlignment="0"/>
    <xf numFmtId="0" fontId="130" fillId="0" borderId="14" applyNumberFormat="0" applyBorder="0" applyAlignment="0"/>
    <xf numFmtId="0" fontId="83" fillId="16" borderId="20" applyNumberFormat="0" applyFont="0" applyBorder="0" applyAlignment="0" applyProtection="0">
      <alignment horizontal="center"/>
    </xf>
    <xf numFmtId="14" fontId="95" fillId="0" borderId="0" applyNumberFormat="0" applyFill="0" applyBorder="0" applyAlignment="0" applyProtection="0">
      <alignment horizontal="left"/>
    </xf>
    <xf numFmtId="0" fontId="237" fillId="0" borderId="0" applyNumberFormat="0" applyFill="0" applyBorder="0" applyProtection="0">
      <alignment horizontal="right" vertical="center"/>
    </xf>
    <xf numFmtId="0" fontId="177" fillId="0" borderId="66">
      <alignment vertical="center"/>
    </xf>
    <xf numFmtId="0" fontId="5" fillId="15" borderId="0">
      <alignment horizontal="right"/>
    </xf>
    <xf numFmtId="0" fontId="5" fillId="15" borderId="0">
      <alignment horizontal="right"/>
    </xf>
    <xf numFmtId="0" fontId="94" fillId="56" borderId="0" applyNumberFormat="0" applyFont="0" applyBorder="0" applyAlignment="0" applyProtection="0"/>
    <xf numFmtId="9" fontId="15" fillId="2" borderId="0" applyFont="0" applyFill="0" applyBorder="0" applyAlignment="0" applyProtection="0"/>
    <xf numFmtId="174" fontId="94" fillId="0" borderId="12" applyFont="0" applyFill="0" applyBorder="0" applyAlignment="0" applyProtection="0">
      <alignment horizontal="right"/>
    </xf>
    <xf numFmtId="0" fontId="94" fillId="0" borderId="12" applyFont="0" applyFill="0" applyBorder="0" applyAlignment="0" applyProtection="0">
      <alignment horizontal="right"/>
    </xf>
    <xf numFmtId="0" fontId="94" fillId="0" borderId="12" applyFont="0" applyFill="0" applyBorder="0" applyAlignment="0" applyProtection="0">
      <alignment horizontal="right"/>
    </xf>
    <xf numFmtId="174" fontId="94" fillId="0" borderId="12" applyFont="0" applyFill="0" applyBorder="0" applyAlignment="0" applyProtection="0">
      <alignment horizontal="right"/>
    </xf>
    <xf numFmtId="174" fontId="94" fillId="0" borderId="12" applyFont="0" applyFill="0" applyBorder="0" applyAlignment="0" applyProtection="0">
      <alignment horizontal="right"/>
    </xf>
    <xf numFmtId="174" fontId="94" fillId="0" borderId="12" applyFont="0" applyFill="0" applyBorder="0" applyAlignment="0" applyProtection="0">
      <alignment horizontal="right"/>
    </xf>
    <xf numFmtId="208" fontId="148" fillId="0" borderId="0" applyFill="0" applyBorder="0" applyAlignment="0" applyProtection="0">
      <protection locked="0"/>
    </xf>
    <xf numFmtId="0" fontId="148" fillId="0" borderId="0" applyFill="0" applyBorder="0" applyAlignment="0" applyProtection="0">
      <protection locked="0"/>
    </xf>
    <xf numFmtId="208" fontId="148" fillId="0" borderId="0" applyFill="0" applyBorder="0" applyAlignment="0" applyProtection="0">
      <protection locked="0"/>
    </xf>
    <xf numFmtId="208" fontId="148" fillId="0" borderId="0" applyFill="0" applyBorder="0" applyAlignment="0" applyProtection="0">
      <protection locked="0"/>
    </xf>
    <xf numFmtId="0" fontId="150" fillId="0" borderId="0" applyNumberFormat="0" applyFill="0" applyBorder="0" applyAlignment="0" applyProtection="0"/>
    <xf numFmtId="0" fontId="158" fillId="0" borderId="0" applyNumberFormat="0" applyAlignment="0"/>
    <xf numFmtId="222" fontId="94" fillId="0" borderId="0" applyFill="0" applyBorder="0" applyProtection="0">
      <alignment horizontal="right"/>
    </xf>
    <xf numFmtId="0" fontId="94" fillId="0" borderId="0" applyFill="0" applyBorder="0" applyProtection="0">
      <alignment horizontal="right"/>
    </xf>
    <xf numFmtId="0" fontId="148" fillId="0" borderId="0"/>
    <xf numFmtId="226" fontId="6" fillId="0" borderId="0" applyFill="0" applyBorder="0" applyAlignment="0" applyProtection="0"/>
    <xf numFmtId="0" fontId="6" fillId="0" borderId="0" applyFill="0" applyBorder="0" applyAlignment="0" applyProtection="0"/>
    <xf numFmtId="226" fontId="6" fillId="0" borderId="0" applyFill="0" applyBorder="0" applyAlignment="0" applyProtection="0"/>
    <xf numFmtId="226" fontId="6" fillId="0" borderId="0" applyFill="0" applyBorder="0" applyAlignment="0" applyProtection="0"/>
    <xf numFmtId="0" fontId="173" fillId="0" borderId="0" applyFont="0" applyFill="0" applyBorder="0" applyAlignment="0" applyProtection="0">
      <alignment horizontal="right"/>
    </xf>
    <xf numFmtId="0" fontId="5" fillId="0" borderId="0" applyFont="0" applyFill="0" applyBorder="0" applyAlignment="0" applyProtection="0"/>
    <xf numFmtId="0" fontId="5" fillId="0" borderId="0">
      <alignment vertical="top"/>
    </xf>
    <xf numFmtId="0" fontId="238" fillId="56" borderId="0" applyNumberFormat="0" applyBorder="0" applyAlignment="0" applyProtection="0"/>
    <xf numFmtId="0" fontId="85" fillId="0" borderId="0" applyNumberFormat="0" applyFill="0" applyBorder="0" applyAlignment="0" applyProtection="0"/>
    <xf numFmtId="0" fontId="13" fillId="56" borderId="0" applyNumberFormat="0" applyBorder="0" applyAlignment="0" applyProtection="0"/>
    <xf numFmtId="0" fontId="20" fillId="0" borderId="0" applyNumberFormat="0" applyFill="0" applyBorder="0" applyAlignment="0" applyProtection="0"/>
    <xf numFmtId="0" fontId="7" fillId="0" borderId="0" applyNumberFormat="0" applyFill="0" applyBorder="0" applyAlignment="0" applyProtection="0"/>
    <xf numFmtId="0" fontId="22" fillId="15" borderId="0" applyNumberFormat="0" applyBorder="0" applyAlignment="0" applyProtection="0"/>
    <xf numFmtId="0" fontId="239" fillId="15" borderId="0" applyNumberFormat="0" applyBorder="0" applyAlignment="0" applyProtection="0"/>
    <xf numFmtId="0" fontId="5" fillId="0" borderId="0" applyNumberFormat="0" applyFont="0" applyFill="0" applyBorder="0" applyProtection="0">
      <alignment horizontal="right"/>
    </xf>
    <xf numFmtId="0" fontId="5" fillId="0" borderId="0" applyNumberFormat="0" applyFont="0" applyFill="0" applyBorder="0" applyProtection="0">
      <alignment horizontal="left"/>
    </xf>
    <xf numFmtId="0" fontId="5" fillId="0" borderId="0">
      <alignment vertical="top"/>
    </xf>
    <xf numFmtId="0" fontId="6" fillId="0" borderId="0" applyNumberFormat="0" applyFill="0" applyBorder="0" applyAlignment="0" applyProtection="0"/>
    <xf numFmtId="0" fontId="19" fillId="0" borderId="0" applyNumberFormat="0" applyFill="0" applyBorder="0" applyAlignment="0" applyProtection="0"/>
    <xf numFmtId="0" fontId="5" fillId="57" borderId="0" applyNumberFormat="0" applyFont="0" applyBorder="0" applyAlignment="0" applyProtection="0"/>
    <xf numFmtId="0" fontId="5" fillId="0" borderId="0" applyFont="0" applyFill="0" applyBorder="0" applyAlignment="0" applyProtection="0"/>
    <xf numFmtId="2" fontId="5" fillId="0" borderId="0" applyFont="0" applyFill="0" applyBorder="0" applyAlignment="0" applyProtection="0"/>
    <xf numFmtId="0" fontId="5" fillId="0" borderId="0" applyFont="0" applyFill="0" applyBorder="0" applyAlignment="0" applyProtection="0"/>
    <xf numFmtId="0" fontId="5" fillId="0" borderId="0" applyNumberFormat="0" applyFill="0" applyBorder="0" applyProtection="0">
      <alignment wrapText="1"/>
    </xf>
    <xf numFmtId="0" fontId="5" fillId="0" borderId="39" applyNumberFormat="0" applyFont="0" applyFill="0" applyAlignment="0" applyProtection="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210" fontId="98" fillId="0" borderId="0" applyNumberFormat="0" applyFill="0" applyBorder="0" applyAlignment="0" applyProtection="0">
      <alignment horizontal="right" vertical="center" wrapText="1"/>
    </xf>
    <xf numFmtId="0" fontId="98" fillId="0" borderId="0" applyNumberFormat="0" applyFill="0" applyBorder="0" applyAlignment="0" applyProtection="0">
      <alignment horizontal="right" vertical="center" wrapText="1"/>
    </xf>
    <xf numFmtId="37" fontId="15" fillId="0" borderId="0" applyFill="0" applyBorder="0" applyProtection="0"/>
    <xf numFmtId="176" fontId="15" fillId="0" borderId="1" applyFill="0" applyBorder="0" applyProtection="0"/>
    <xf numFmtId="37" fontId="15" fillId="0" borderId="0" applyFill="0" applyBorder="0" applyProtection="0"/>
    <xf numFmtId="0" fontId="101" fillId="0" borderId="17" applyNumberFormat="0" applyFill="0" applyProtection="0">
      <alignment horizontal="right"/>
    </xf>
    <xf numFmtId="0" fontId="105" fillId="0" borderId="0" applyFill="0" applyBorder="0" applyAlignment="0" applyProtection="0"/>
    <xf numFmtId="0" fontId="240" fillId="0" borderId="0" applyFill="0" applyBorder="0" applyAlignment="0" applyProtection="0">
      <alignment horizontal="left"/>
      <protection locked="0"/>
    </xf>
    <xf numFmtId="0" fontId="240" fillId="0" borderId="0" applyFill="0" applyBorder="0" applyAlignment="0" applyProtection="0"/>
    <xf numFmtId="0" fontId="241" fillId="0" borderId="0" applyFill="0" applyBorder="0" applyAlignment="0" applyProtection="0">
      <alignment horizontal="left"/>
      <protection locked="0"/>
    </xf>
    <xf numFmtId="0" fontId="241" fillId="0" borderId="0" applyFill="0" applyBorder="0" applyAlignment="0" applyProtection="0">
      <protection locked="0"/>
    </xf>
    <xf numFmtId="0" fontId="148" fillId="0" borderId="0" applyFill="0" applyBorder="0" applyAlignment="0" applyProtection="0">
      <protection locked="0"/>
    </xf>
    <xf numFmtId="40" fontId="5" fillId="0" borderId="0" applyBorder="0">
      <alignment horizontal="right"/>
    </xf>
    <xf numFmtId="40" fontId="5" fillId="0" borderId="0" applyBorder="0">
      <alignment horizontal="right"/>
    </xf>
    <xf numFmtId="0" fontId="105" fillId="0" borderId="0" applyFill="0" applyBorder="0" applyAlignment="0" applyProtection="0"/>
    <xf numFmtId="0" fontId="5" fillId="0" borderId="13" applyBorder="0">
      <alignment horizontal="center"/>
    </xf>
    <xf numFmtId="0" fontId="5" fillId="0" borderId="13" applyBorder="0">
      <alignment horizontal="center"/>
    </xf>
    <xf numFmtId="37" fontId="19" fillId="0" borderId="0" applyNumberFormat="0" applyFont="0" applyBorder="0" applyAlignment="0">
      <alignment horizontal="center"/>
    </xf>
    <xf numFmtId="0" fontId="26" fillId="0" borderId="0" applyFill="0" applyBorder="0" applyProtection="0">
      <alignment horizontal="center" vertical="center"/>
    </xf>
    <xf numFmtId="176" fontId="15" fillId="0" borderId="1" applyFill="0" applyBorder="0" applyProtection="0"/>
    <xf numFmtId="37" fontId="15" fillId="0" borderId="0" applyFill="0" applyBorder="0" applyProtection="0"/>
    <xf numFmtId="0" fontId="102" fillId="0" borderId="12" applyNumberFormat="0" applyFill="0" applyProtection="0"/>
    <xf numFmtId="237" fontId="94" fillId="0" borderId="12" applyBorder="0" applyProtection="0">
      <alignment horizontal="right" vertical="center"/>
    </xf>
    <xf numFmtId="0" fontId="94" fillId="0" borderId="12" applyBorder="0" applyProtection="0">
      <alignment horizontal="right" vertical="center"/>
    </xf>
    <xf numFmtId="0" fontId="94" fillId="0" borderId="12" applyBorder="0" applyProtection="0">
      <alignment horizontal="right" vertical="center"/>
    </xf>
    <xf numFmtId="237" fontId="94" fillId="0" borderId="12" applyBorder="0" applyProtection="0">
      <alignment horizontal="right" vertical="center"/>
    </xf>
    <xf numFmtId="237" fontId="94" fillId="0" borderId="12" applyBorder="0" applyProtection="0">
      <alignment horizontal="right" vertical="center"/>
    </xf>
    <xf numFmtId="237" fontId="94" fillId="0" borderId="12" applyBorder="0" applyProtection="0">
      <alignment horizontal="right" vertical="center"/>
    </xf>
    <xf numFmtId="237" fontId="94" fillId="0" borderId="12" applyBorder="0" applyProtection="0">
      <alignment horizontal="right" vertical="center"/>
    </xf>
    <xf numFmtId="0" fontId="202" fillId="58" borderId="0" applyBorder="0" applyProtection="0">
      <alignment horizontal="centerContinuous" vertical="center"/>
    </xf>
    <xf numFmtId="0" fontId="202" fillId="15" borderId="12" applyBorder="0" applyProtection="0">
      <alignment horizontal="centerContinuous" vertical="center"/>
    </xf>
    <xf numFmtId="0" fontId="202" fillId="15" borderId="12" applyBorder="0" applyProtection="0">
      <alignment horizontal="centerContinuous" vertical="center"/>
    </xf>
    <xf numFmtId="0" fontId="203" fillId="0" borderId="0" applyBorder="0" applyProtection="0">
      <alignment vertical="center"/>
    </xf>
    <xf numFmtId="0" fontId="178" fillId="0" borderId="0" applyNumberFormat="0" applyFill="0" applyBorder="0" applyProtection="0">
      <alignment horizontal="left"/>
    </xf>
    <xf numFmtId="0" fontId="26" fillId="0" borderId="0" applyFill="0" applyBorder="0" applyProtection="0"/>
    <xf numFmtId="0" fontId="204" fillId="0" borderId="0" applyFill="0" applyBorder="0" applyProtection="0">
      <alignment vertical="center"/>
    </xf>
    <xf numFmtId="176" fontId="15" fillId="0" borderId="1" applyFill="0" applyBorder="0" applyProtection="0"/>
    <xf numFmtId="7" fontId="15" fillId="0" borderId="12" applyFont="0" applyFill="0" applyBorder="0" applyProtection="0"/>
    <xf numFmtId="0" fontId="79" fillId="0" borderId="0">
      <alignment vertical="center"/>
    </xf>
    <xf numFmtId="0" fontId="79" fillId="0" borderId="0">
      <alignment vertical="center"/>
    </xf>
    <xf numFmtId="0" fontId="103" fillId="0" borderId="0">
      <alignment vertical="center"/>
    </xf>
    <xf numFmtId="7" fontId="15" fillId="0" borderId="12" applyFont="0" applyFill="0" applyBorder="0" applyProtection="0"/>
    <xf numFmtId="0" fontId="205" fillId="0" borderId="0" applyFill="0" applyBorder="0" applyProtection="0">
      <alignment horizontal="left"/>
    </xf>
    <xf numFmtId="0" fontId="178" fillId="0" borderId="13" applyFill="0" applyBorder="0" applyProtection="0">
      <alignment horizontal="left" vertical="top"/>
    </xf>
    <xf numFmtId="0" fontId="206" fillId="0" borderId="0"/>
    <xf numFmtId="202" fontId="207" fillId="0" borderId="0" applyNumberFormat="0" applyFill="0" applyBorder="0">
      <alignment horizontal="left"/>
    </xf>
    <xf numFmtId="0" fontId="207" fillId="0" borderId="0" applyNumberFormat="0" applyFill="0" applyBorder="0">
      <alignment horizontal="left"/>
    </xf>
    <xf numFmtId="202" fontId="207" fillId="0" borderId="0" applyNumberFormat="0" applyFill="0" applyBorder="0">
      <alignment horizontal="right"/>
    </xf>
    <xf numFmtId="0" fontId="207" fillId="0" borderId="0" applyNumberFormat="0" applyFill="0" applyBorder="0">
      <alignment horizontal="right"/>
    </xf>
    <xf numFmtId="202" fontId="208" fillId="0" borderId="0" applyNumberFormat="0" applyFill="0" applyBorder="0">
      <alignment horizontal="right"/>
    </xf>
    <xf numFmtId="0" fontId="208" fillId="0" borderId="0" applyNumberFormat="0" applyFill="0" applyBorder="0">
      <alignment horizontal="right"/>
    </xf>
    <xf numFmtId="49" fontId="242" fillId="0" borderId="0"/>
    <xf numFmtId="0" fontId="209" fillId="0" borderId="13" applyFill="0" applyBorder="0" applyProtection="0"/>
    <xf numFmtId="0" fontId="209" fillId="0" borderId="0"/>
    <xf numFmtId="0" fontId="210" fillId="0" borderId="0" applyNumberFormat="0" applyFill="0" applyBorder="0" applyProtection="0"/>
    <xf numFmtId="0" fontId="211" fillId="0" borderId="0" applyFill="0" applyBorder="0" applyProtection="0"/>
    <xf numFmtId="0" fontId="212" fillId="0" borderId="0"/>
    <xf numFmtId="0" fontId="211" fillId="0" borderId="0" applyNumberFormat="0" applyFill="0" applyBorder="0" applyProtection="0"/>
    <xf numFmtId="0" fontId="213" fillId="0" borderId="0" applyFill="0" applyBorder="0" applyProtection="0"/>
    <xf numFmtId="0" fontId="210" fillId="0" borderId="0" applyNumberFormat="0" applyFill="0" applyBorder="0" applyProtection="0"/>
    <xf numFmtId="0" fontId="210" fillId="0" borderId="0"/>
    <xf numFmtId="49" fontId="23" fillId="0" borderId="0" applyFill="0" applyBorder="0" applyAlignment="0"/>
    <xf numFmtId="292" fontId="222" fillId="0" borderId="0" applyFill="0" applyBorder="0" applyAlignment="0"/>
    <xf numFmtId="293" fontId="222" fillId="0" borderId="0" applyFill="0" applyBorder="0" applyAlignment="0"/>
    <xf numFmtId="0" fontId="86" fillId="0" borderId="0" applyNumberFormat="0" applyFill="0" applyBorder="0"/>
    <xf numFmtId="11" fontId="148" fillId="0" borderId="0" applyFont="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0" fontId="173" fillId="0" borderId="0" applyFill="0" applyBorder="0" applyAlignment="0" applyProtection="0"/>
    <xf numFmtId="0"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0" fontId="243" fillId="0" borderId="0">
      <alignment horizontal="center"/>
    </xf>
    <xf numFmtId="225" fontId="214" fillId="0" borderId="67"/>
    <xf numFmtId="0" fontId="214" fillId="0" borderId="67"/>
    <xf numFmtId="225" fontId="215" fillId="0" borderId="0" applyNumberFormat="0" applyFill="0" applyBorder="0" applyAlignment="0" applyProtection="0"/>
    <xf numFmtId="0" fontId="215" fillId="0" borderId="0" applyNumberFormat="0" applyFill="0" applyBorder="0" applyAlignment="0" applyProtection="0"/>
    <xf numFmtId="0" fontId="19" fillId="0" borderId="0" applyNumberFormat="0" applyFill="0" applyBorder="0" applyAlignment="0" applyProtection="0"/>
    <xf numFmtId="0" fontId="129" fillId="0" borderId="0"/>
    <xf numFmtId="0" fontId="2"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38" fontId="244" fillId="0" borderId="0" applyFill="0" applyBorder="0" applyAlignment="0" applyProtection="0">
      <alignment horizontal="left"/>
    </xf>
    <xf numFmtId="295" fontId="245" fillId="59" borderId="0" applyNumberFormat="0" applyBorder="0">
      <alignment horizontal="center"/>
      <protection locked="0"/>
    </xf>
    <xf numFmtId="295" fontId="40" fillId="54" borderId="0" applyNumberFormat="0" applyBorder="0">
      <alignment horizontal="left"/>
      <protection locked="0"/>
    </xf>
    <xf numFmtId="295" fontId="246" fillId="49" borderId="0" applyNumberFormat="0" applyBorder="0">
      <alignment horizontal="center"/>
      <protection locked="0"/>
    </xf>
    <xf numFmtId="295" fontId="246" fillId="54" borderId="0" applyNumberFormat="0" applyBorder="0">
      <alignment horizontal="left"/>
      <protection locked="0"/>
    </xf>
    <xf numFmtId="295" fontId="62" fillId="49" borderId="0" applyNumberFormat="0" applyBorder="0">
      <protection locked="0"/>
    </xf>
    <xf numFmtId="295" fontId="40" fillId="60" borderId="0" applyNumberFormat="0" applyBorder="0">
      <alignment horizontal="left"/>
      <protection locked="0"/>
    </xf>
    <xf numFmtId="295" fontId="247" fillId="49" borderId="0" applyNumberFormat="0" applyBorder="0">
      <protection locked="0"/>
    </xf>
    <xf numFmtId="0" fontId="248" fillId="0" borderId="0"/>
    <xf numFmtId="0" fontId="211" fillId="0" borderId="0"/>
    <xf numFmtId="0" fontId="210" fillId="0" borderId="0"/>
    <xf numFmtId="0" fontId="216" fillId="0" borderId="0" applyFill="0" applyBorder="0" applyProtection="0">
      <alignment vertical="center"/>
    </xf>
    <xf numFmtId="0" fontId="216" fillId="0" borderId="0" applyFill="0" applyBorder="0" applyProtection="0">
      <alignment vertical="center"/>
    </xf>
    <xf numFmtId="273" fontId="216" fillId="0" borderId="0" applyFill="0" applyBorder="0" applyProtection="0">
      <alignment vertical="center"/>
    </xf>
    <xf numFmtId="259" fontId="216" fillId="0" borderId="0" applyFill="0" applyBorder="0" applyProtection="0"/>
    <xf numFmtId="0" fontId="216" fillId="0" borderId="0" applyFill="0" applyBorder="0" applyProtection="0"/>
    <xf numFmtId="295" fontId="40" fillId="53" borderId="0" applyNumberFormat="0" applyBorder="0">
      <protection locked="0"/>
    </xf>
    <xf numFmtId="295" fontId="249" fillId="61" borderId="0" applyNumberFormat="0" applyBorder="0">
      <protection locked="0"/>
    </xf>
    <xf numFmtId="295" fontId="250" fillId="61" borderId="0" applyNumberFormat="0" applyBorder="0">
      <protection locked="0"/>
    </xf>
    <xf numFmtId="295" fontId="40" fillId="54" borderId="0" applyNumberFormat="0" applyBorder="0">
      <protection locked="0"/>
    </xf>
    <xf numFmtId="295" fontId="40" fillId="54" borderId="0" applyNumberFormat="0" applyBorder="0">
      <protection locked="0"/>
    </xf>
    <xf numFmtId="295" fontId="40" fillId="54" borderId="0" applyNumberFormat="0" applyBorder="0">
      <protection locked="0"/>
    </xf>
    <xf numFmtId="274" fontId="216" fillId="0" borderId="0" applyFill="0" applyBorder="0" applyProtection="0"/>
    <xf numFmtId="0" fontId="216" fillId="0" borderId="0" applyFill="0" applyBorder="0" applyProtection="0"/>
    <xf numFmtId="295" fontId="251" fillId="62" borderId="0" applyNumberFormat="0" applyBorder="0">
      <protection locked="0"/>
    </xf>
    <xf numFmtId="262" fontId="216" fillId="0" borderId="26" applyFill="0" applyBorder="0" applyProtection="0">
      <alignment vertical="center"/>
    </xf>
    <xf numFmtId="0" fontId="216" fillId="0" borderId="26" applyFill="0" applyBorder="0" applyProtection="0">
      <alignment vertical="center"/>
    </xf>
    <xf numFmtId="0" fontId="5" fillId="0" borderId="24">
      <protection locked="0"/>
    </xf>
    <xf numFmtId="0" fontId="5" fillId="0" borderId="24">
      <protection locked="0"/>
    </xf>
    <xf numFmtId="165" fontId="5" fillId="0" borderId="24">
      <alignment horizontal="right"/>
      <protection locked="0"/>
    </xf>
    <xf numFmtId="0" fontId="5" fillId="0" borderId="24">
      <alignment horizontal="right"/>
      <protection locked="0"/>
    </xf>
    <xf numFmtId="165" fontId="5" fillId="0" borderId="24">
      <alignment horizontal="right"/>
      <protection locked="0"/>
    </xf>
    <xf numFmtId="314" fontId="6" fillId="2" borderId="14" applyFill="0" applyBorder="0" applyProtection="0">
      <alignment horizontal="right"/>
    </xf>
    <xf numFmtId="0" fontId="15" fillId="0" borderId="0"/>
    <xf numFmtId="0" fontId="252" fillId="0" borderId="0"/>
    <xf numFmtId="38" fontId="252" fillId="0" borderId="0"/>
    <xf numFmtId="0" fontId="217" fillId="0" borderId="0">
      <alignment horizontal="fill"/>
    </xf>
    <xf numFmtId="37" fontId="218" fillId="0" borderId="0"/>
    <xf numFmtId="225" fontId="6" fillId="52" borderId="60">
      <alignment horizontal="right"/>
    </xf>
    <xf numFmtId="225" fontId="19" fillId="52" borderId="60"/>
    <xf numFmtId="0" fontId="8" fillId="63" borderId="68">
      <alignment horizontal="left"/>
    </xf>
    <xf numFmtId="0" fontId="8" fillId="63" borderId="68">
      <alignment horizontal="left"/>
    </xf>
    <xf numFmtId="0" fontId="8" fillId="63" borderId="68">
      <alignment horizontal="left"/>
    </xf>
    <xf numFmtId="275" fontId="5" fillId="0" borderId="0" applyFont="0" applyFill="0" applyBorder="0" applyAlignment="0" applyProtection="0"/>
    <xf numFmtId="267" fontId="5" fillId="0" borderId="0" applyFont="0" applyFill="0" applyBorder="0" applyAlignment="0" applyProtection="0"/>
    <xf numFmtId="0" fontId="146" fillId="0" borderId="0" applyNumberFormat="0" applyFill="0" applyBorder="0" applyAlignment="0" applyProtection="0"/>
    <xf numFmtId="0" fontId="146" fillId="0" borderId="0" applyNumberFormat="0" applyFill="0" applyBorder="0" applyAlignment="0" applyProtection="0"/>
    <xf numFmtId="276" fontId="18" fillId="0" borderId="0"/>
    <xf numFmtId="0" fontId="18" fillId="0" borderId="0"/>
    <xf numFmtId="1" fontId="148" fillId="0" borderId="0" applyFont="0" applyFill="0" applyBorder="0" applyAlignment="0" applyProtection="0"/>
    <xf numFmtId="1" fontId="148" fillId="0" borderId="0" applyFont="0" applyFill="0" applyBorder="0" applyAlignment="0" applyProtection="0"/>
    <xf numFmtId="0" fontId="219" fillId="0" borderId="0"/>
    <xf numFmtId="1" fontId="219" fillId="0" borderId="0"/>
    <xf numFmtId="202" fontId="15" fillId="0" borderId="0"/>
    <xf numFmtId="0" fontId="15" fillId="0" borderId="0"/>
    <xf numFmtId="202" fontId="15" fillId="0" borderId="0"/>
    <xf numFmtId="202" fontId="15" fillId="0" borderId="0"/>
    <xf numFmtId="202" fontId="15" fillId="0" borderId="0"/>
    <xf numFmtId="202" fontId="15" fillId="0" borderId="0"/>
    <xf numFmtId="202" fontId="15" fillId="0" borderId="0"/>
    <xf numFmtId="202" fontId="15" fillId="0" borderId="0"/>
    <xf numFmtId="202" fontId="15" fillId="0" borderId="0"/>
    <xf numFmtId="202" fontId="15" fillId="0" borderId="0"/>
    <xf numFmtId="202" fontId="15" fillId="0" borderId="0"/>
    <xf numFmtId="202" fontId="15" fillId="0" borderId="0"/>
    <xf numFmtId="202" fontId="15" fillId="0" borderId="0"/>
    <xf numFmtId="37" fontId="15" fillId="0" borderId="0" applyFill="0" applyBorder="0" applyProtection="0"/>
    <xf numFmtId="1" fontId="110" fillId="0" borderId="2" applyFill="0" applyProtection="0">
      <alignment horizontal="right"/>
    </xf>
    <xf numFmtId="277" fontId="5" fillId="0" borderId="0"/>
    <xf numFmtId="0" fontId="5" fillId="0" borderId="0"/>
    <xf numFmtId="277" fontId="5" fillId="0" borderId="0"/>
    <xf numFmtId="1" fontId="253" fillId="0" borderId="0">
      <alignment horizontal="right"/>
    </xf>
    <xf numFmtId="278" fontId="220" fillId="0" borderId="0" applyFont="0" applyFill="0" applyBorder="0">
      <alignment horizontal="right"/>
    </xf>
    <xf numFmtId="0" fontId="220" fillId="0" borderId="0" applyFont="0" applyFill="0" applyBorder="0">
      <alignment horizontal="right"/>
    </xf>
    <xf numFmtId="0" fontId="86" fillId="59" borderId="69" applyNumberFormat="0" applyFont="0" applyBorder="0" applyAlignment="0" applyProtection="0">
      <alignment horizontal="right"/>
    </xf>
    <xf numFmtId="228" fontId="6" fillId="0" borderId="0" applyFill="0" applyBorder="0" applyAlignment="0" applyProtection="0"/>
    <xf numFmtId="0" fontId="6" fillId="0" borderId="0" applyFill="0" applyBorder="0" applyAlignment="0" applyProtection="0"/>
    <xf numFmtId="228" fontId="6" fillId="0" borderId="0" applyFill="0" applyBorder="0" applyAlignment="0" applyProtection="0"/>
    <xf numFmtId="228" fontId="6" fillId="0" borderId="0" applyFill="0" applyBorder="0" applyAlignment="0" applyProtection="0"/>
    <xf numFmtId="9" fontId="222" fillId="0" borderId="0" applyFont="0" applyFill="0" applyBorder="0" applyAlignment="0" applyProtection="0"/>
    <xf numFmtId="0" fontId="223" fillId="0" borderId="0" applyFont="0" applyFill="0" applyBorder="0" applyAlignment="0" applyProtection="0"/>
    <xf numFmtId="0" fontId="223" fillId="0" borderId="0" applyFont="0" applyFill="0" applyBorder="0" applyAlignment="0" applyProtection="0"/>
    <xf numFmtId="0" fontId="223" fillId="0" borderId="0" applyFont="0" applyFill="0" applyBorder="0" applyAlignment="0" applyProtection="0"/>
    <xf numFmtId="0" fontId="223" fillId="0" borderId="0" applyFont="0" applyFill="0" applyBorder="0" applyAlignment="0" applyProtection="0"/>
    <xf numFmtId="0" fontId="223" fillId="0" borderId="0"/>
    <xf numFmtId="0" fontId="221" fillId="0" borderId="0"/>
    <xf numFmtId="0" fontId="5" fillId="0" borderId="0"/>
    <xf numFmtId="186" fontId="57" fillId="0" borderId="0" applyFont="0" applyFill="0" applyBorder="0" applyAlignment="0" applyProtection="0"/>
    <xf numFmtId="0" fontId="2" fillId="0" borderId="0"/>
    <xf numFmtId="0" fontId="2" fillId="0" borderId="0"/>
    <xf numFmtId="0" fontId="2" fillId="0" borderId="0"/>
    <xf numFmtId="0" fontId="5" fillId="0" borderId="0"/>
    <xf numFmtId="0" fontId="2" fillId="0" borderId="0"/>
    <xf numFmtId="0" fontId="2" fillId="0" borderId="0"/>
    <xf numFmtId="0" fontId="5" fillId="0" borderId="0"/>
    <xf numFmtId="0" fontId="26" fillId="0" borderId="0" applyNumberFormat="0" applyBorder="0">
      <alignment vertical="center"/>
    </xf>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29" fillId="0" borderId="0"/>
    <xf numFmtId="9" fontId="129" fillId="0" borderId="0" applyFont="0" applyFill="0" applyBorder="0" applyAlignment="0" applyProtection="0"/>
    <xf numFmtId="0" fontId="5" fillId="0" borderId="0" applyNumberFormat="0" applyFont="0" applyFill="0" applyBorder="0" applyAlignment="0" applyProtection="0"/>
    <xf numFmtId="185"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213" fontId="5" fillId="0" borderId="0" applyFont="0" applyFill="0" applyBorder="0" applyAlignment="0" applyProtection="0"/>
    <xf numFmtId="213" fontId="5" fillId="0" borderId="0" applyFont="0" applyFill="0" applyBorder="0" applyAlignment="0" applyProtection="0"/>
    <xf numFmtId="213"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73" fontId="5" fillId="0" borderId="0" applyFont="0" applyFill="0" applyBorder="0" applyAlignment="0" applyProtection="0"/>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217" fontId="5" fillId="0" borderId="0"/>
    <xf numFmtId="214" fontId="5" fillId="9" borderId="2" applyFont="0">
      <alignment horizontal="right"/>
    </xf>
    <xf numFmtId="214" fontId="5" fillId="9" borderId="2" applyFont="0">
      <alignment horizontal="right"/>
    </xf>
    <xf numFmtId="0" fontId="5"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0" fontId="2" fillId="0" borderId="0"/>
    <xf numFmtId="43" fontId="5" fillId="0" borderId="0" applyFont="0" applyFill="0" applyBorder="0" applyAlignment="0" applyProtection="0"/>
    <xf numFmtId="0" fontId="26" fillId="0" borderId="0" applyNumberFormat="0" applyBorder="0">
      <alignment vertical="center"/>
    </xf>
    <xf numFmtId="215" fontId="5" fillId="0" borderId="0" applyFont="0" applyFill="0" applyBorder="0" applyAlignment="0" applyProtection="0">
      <alignment horizontal="right"/>
    </xf>
    <xf numFmtId="215" fontId="5" fillId="0" borderId="0" applyFont="0" applyFill="0" applyBorder="0" applyAlignment="0" applyProtection="0">
      <alignment horizontal="right"/>
    </xf>
    <xf numFmtId="215" fontId="5" fillId="0" borderId="0" applyFont="0" applyFill="0" applyBorder="0" applyAlignment="0" applyProtection="0">
      <alignment horizontal="right"/>
    </xf>
    <xf numFmtId="216" fontId="5" fillId="13" borderId="70" applyNumberFormat="0" applyFont="0" applyBorder="0" applyAlignment="0" applyProtection="0">
      <alignment horizontal="right"/>
    </xf>
    <xf numFmtId="216" fontId="5" fillId="13" borderId="70" applyNumberFormat="0" applyFont="0" applyBorder="0" applyAlignment="0" applyProtection="0">
      <alignment horizontal="right"/>
    </xf>
    <xf numFmtId="216" fontId="5" fillId="13" borderId="70" applyNumberFormat="0" applyFont="0" applyBorder="0" applyAlignment="0" applyProtection="0">
      <alignment horizontal="right"/>
    </xf>
    <xf numFmtId="216" fontId="5" fillId="13" borderId="70" applyNumberFormat="0" applyFont="0" applyBorder="0" applyAlignment="0" applyProtection="0">
      <alignment horizontal="right"/>
    </xf>
    <xf numFmtId="0" fontId="2" fillId="0" borderId="0"/>
    <xf numFmtId="0" fontId="2" fillId="0" borderId="0"/>
    <xf numFmtId="0" fontId="132" fillId="0" borderId="0" applyNumberFormat="0" applyFill="0" applyBorder="0" applyAlignment="0" applyProtection="0">
      <alignment vertical="top"/>
      <protection locked="0"/>
    </xf>
    <xf numFmtId="217" fontId="5" fillId="0" borderId="0"/>
    <xf numFmtId="0" fontId="2" fillId="0" borderId="0"/>
    <xf numFmtId="0" fontId="5" fillId="0" borderId="0"/>
    <xf numFmtId="0" fontId="2" fillId="0" borderId="0"/>
    <xf numFmtId="0" fontId="2" fillId="0" borderId="0"/>
    <xf numFmtId="0" fontId="2" fillId="0" borderId="0"/>
    <xf numFmtId="0" fontId="2" fillId="0" borderId="0"/>
    <xf numFmtId="187" fontId="57" fillId="0" borderId="0" applyFont="0" applyFill="0" applyBorder="0" applyAlignment="0" applyProtection="0"/>
    <xf numFmtId="9" fontId="5" fillId="0" borderId="0" applyFont="0" applyFill="0" applyBorder="0" applyAlignment="0" applyProtection="0"/>
    <xf numFmtId="218" fontId="5" fillId="0" borderId="0" applyNumberFormat="0" applyFill="0" applyBorder="0" applyAlignment="0" applyProtection="0">
      <alignment horizontal="right" vertical="center" wrapText="1"/>
    </xf>
    <xf numFmtId="218" fontId="5" fillId="0" borderId="0" applyNumberFormat="0" applyFill="0" applyBorder="0" applyAlignment="0" applyProtection="0">
      <alignment horizontal="right" vertical="center" wrapText="1"/>
    </xf>
    <xf numFmtId="9" fontId="15" fillId="2" borderId="0" applyFont="0" applyFill="0" applyBorder="0" applyAlignment="0" applyProtection="0"/>
    <xf numFmtId="176" fontId="15" fillId="0" borderId="1" applyFill="0" applyBorder="0" applyProtection="0"/>
    <xf numFmtId="0" fontId="129" fillId="0" borderId="0"/>
    <xf numFmtId="0" fontId="101" fillId="0" borderId="70" applyNumberFormat="0" applyFill="0" applyProtection="0">
      <alignment horizontal="right"/>
    </xf>
    <xf numFmtId="0" fontId="2" fillId="0" borderId="0"/>
    <xf numFmtId="9" fontId="2" fillId="0" borderId="0" applyFont="0" applyFill="0" applyBorder="0" applyAlignment="0" applyProtection="0"/>
    <xf numFmtId="0" fontId="2" fillId="0" borderId="0"/>
    <xf numFmtId="219" fontId="135" fillId="0" borderId="0"/>
    <xf numFmtId="0" fontId="26" fillId="0" borderId="0" applyNumberFormat="0" applyBorder="0">
      <alignment vertical="center"/>
    </xf>
    <xf numFmtId="0" fontId="26" fillId="0" borderId="0" applyNumberFormat="0" applyBorder="0">
      <alignment vertical="center"/>
    </xf>
    <xf numFmtId="217" fontId="5" fillId="0" borderId="0"/>
    <xf numFmtId="0" fontId="5" fillId="0" borderId="0"/>
    <xf numFmtId="0" fontId="2" fillId="0" borderId="0"/>
    <xf numFmtId="0" fontId="2" fillId="0" borderId="0"/>
    <xf numFmtId="0" fontId="2" fillId="0" borderId="0"/>
    <xf numFmtId="0" fontId="2" fillId="0" borderId="0"/>
    <xf numFmtId="0" fontId="129" fillId="0" borderId="0"/>
    <xf numFmtId="0" fontId="2" fillId="0" borderId="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0" fontId="129"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5" fillId="0" borderId="0"/>
    <xf numFmtId="217" fontId="5" fillId="0" borderId="0"/>
    <xf numFmtId="217" fontId="5" fillId="0" borderId="0"/>
    <xf numFmtId="0" fontId="26" fillId="0" borderId="0" applyNumberFormat="0" applyBorder="0">
      <alignment vertical="center"/>
    </xf>
    <xf numFmtId="0" fontId="26" fillId="0" borderId="0" applyNumberFormat="0" applyBorder="0">
      <alignment vertical="center"/>
    </xf>
    <xf numFmtId="0" fontId="26" fillId="0" borderId="0" applyNumberFormat="0" applyBorder="0">
      <alignment vertical="center"/>
    </xf>
    <xf numFmtId="0" fontId="26" fillId="0" borderId="0" applyNumberFormat="0" applyBorder="0">
      <alignment vertical="center"/>
    </xf>
    <xf numFmtId="217" fontId="5" fillId="0" borderId="0"/>
    <xf numFmtId="217" fontId="5" fillId="0" borderId="0"/>
    <xf numFmtId="0" fontId="2" fillId="0" borderId="0"/>
    <xf numFmtId="0" fontId="5"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29" fillId="0" borderId="0"/>
    <xf numFmtId="0" fontId="2" fillId="0" borderId="0"/>
    <xf numFmtId="9" fontId="2" fillId="0" borderId="0" applyFont="0" applyFill="0" applyBorder="0" applyAlignment="0" applyProtection="0"/>
    <xf numFmtId="0" fontId="2" fillId="0" borderId="0"/>
    <xf numFmtId="0" fontId="129" fillId="0" borderId="0"/>
    <xf numFmtId="0" fontId="2" fillId="0" borderId="0"/>
    <xf numFmtId="9" fontId="2" fillId="0" borderId="0" applyFont="0" applyFill="0" applyBorder="0" applyAlignment="0" applyProtection="0"/>
    <xf numFmtId="0" fontId="2" fillId="0" borderId="0"/>
    <xf numFmtId="0" fontId="129" fillId="0" borderId="0"/>
    <xf numFmtId="0" fontId="2" fillId="0" borderId="0"/>
    <xf numFmtId="9" fontId="2" fillId="0" borderId="0" applyFont="0" applyFill="0" applyBorder="0" applyAlignment="0" applyProtection="0"/>
    <xf numFmtId="0" fontId="2" fillId="0" borderId="0"/>
    <xf numFmtId="188" fontId="5" fillId="0" borderId="0" applyFont="0" applyFill="0" applyBorder="0" applyAlignment="0" applyProtection="0"/>
    <xf numFmtId="190" fontId="5" fillId="0" borderId="0" applyFont="0" applyFill="0" applyBorder="0" applyAlignment="0" applyProtection="0"/>
    <xf numFmtId="39" fontId="5" fillId="0" borderId="0" applyFont="0" applyFill="0" applyBorder="0" applyAlignment="0" applyProtection="0"/>
    <xf numFmtId="191" fontId="57" fillId="0" borderId="0" applyFont="0" applyFill="0" applyBorder="0" applyAlignment="0" applyProtection="0"/>
    <xf numFmtId="0" fontId="57" fillId="8" borderId="0" applyNumberFormat="0" applyFont="0" applyAlignment="0" applyProtection="0"/>
    <xf numFmtId="193" fontId="5" fillId="0" borderId="0" applyFont="0" applyFill="0" applyBorder="0" applyAlignment="0" applyProtection="0"/>
    <xf numFmtId="192" fontId="5" fillId="0" borderId="0" applyFont="0" applyFill="0" applyBorder="0" applyAlignment="0" applyProtection="0"/>
    <xf numFmtId="196" fontId="5" fillId="0" borderId="0" applyFont="0" applyFill="0" applyBorder="0" applyProtection="0">
      <alignment horizontal="right"/>
    </xf>
    <xf numFmtId="195" fontId="5" fillId="0" borderId="0" applyFont="0" applyFill="0" applyBorder="0" applyAlignment="0" applyProtection="0"/>
    <xf numFmtId="0" fontId="16" fillId="0" borderId="46" applyNumberFormat="0" applyFill="0" applyAlignment="0" applyProtection="0"/>
    <xf numFmtId="0" fontId="66" fillId="0" borderId="0"/>
    <xf numFmtId="203" fontId="5" fillId="0" borderId="0">
      <protection locked="0"/>
    </xf>
    <xf numFmtId="8" fontId="74" fillId="0" borderId="49">
      <protection locked="0"/>
    </xf>
    <xf numFmtId="203" fontId="5" fillId="0" borderId="0">
      <protection locked="0"/>
    </xf>
    <xf numFmtId="14" fontId="75" fillId="0" borderId="0">
      <alignment horizontal="right"/>
    </xf>
    <xf numFmtId="205" fontId="6" fillId="13" borderId="70" applyNumberFormat="0" applyFont="0" applyBorder="0" applyAlignment="0" applyProtection="0">
      <alignment horizontal="right"/>
    </xf>
    <xf numFmtId="203" fontId="5" fillId="0" borderId="0">
      <protection locked="0"/>
    </xf>
    <xf numFmtId="170" fontId="82" fillId="0" borderId="0" applyNumberFormat="0" applyFill="0" applyBorder="0">
      <alignment horizontal="left" vertical="center"/>
    </xf>
    <xf numFmtId="315" fontId="5" fillId="0" borderId="0" applyFont="0" applyFill="0" applyBorder="0" applyAlignment="0" applyProtection="0"/>
    <xf numFmtId="202" fontId="89" fillId="0" borderId="0"/>
    <xf numFmtId="0" fontId="5" fillId="0" borderId="0"/>
    <xf numFmtId="207" fontId="5" fillId="0" borderId="0" applyNumberFormat="0" applyFill="0" applyBorder="0" applyAlignment="0" applyProtection="0"/>
    <xf numFmtId="209" fontId="5" fillId="0" borderId="0"/>
    <xf numFmtId="7" fontId="92" fillId="0" borderId="0" applyFont="0" applyFill="0" applyBorder="0" applyAlignment="0" applyProtection="0"/>
    <xf numFmtId="173" fontId="94" fillId="0" borderId="0">
      <alignment vertical="top"/>
    </xf>
    <xf numFmtId="39" fontId="7" fillId="0" borderId="2" applyNumberFormat="0" applyBorder="0">
      <alignment horizontal="right"/>
    </xf>
    <xf numFmtId="0" fontId="104" fillId="0" borderId="0" applyNumberFormat="0">
      <alignment horizontal="left"/>
    </xf>
    <xf numFmtId="0" fontId="105" fillId="0" borderId="0" applyFill="0" applyBorder="0" applyProtection="0">
      <alignment horizontal="left" vertical="top"/>
    </xf>
    <xf numFmtId="38" fontId="107" fillId="0" borderId="0" applyNumberFormat="0" applyFill="0" applyBorder="0">
      <alignment horizontal="left" vertical="center"/>
    </xf>
    <xf numFmtId="38" fontId="108" fillId="0" borderId="0" applyNumberFormat="0" applyFill="0" applyBorder="0">
      <alignment horizontal="centerContinuous" vertical="center"/>
    </xf>
    <xf numFmtId="183" fontId="5" fillId="0" borderId="0" applyFill="0" applyBorder="0">
      <alignment vertical="center"/>
    </xf>
    <xf numFmtId="37" fontId="111" fillId="0" borderId="0" applyNumberFormat="0" applyFill="0" applyBorder="0" applyAlignment="0" applyProtection="0"/>
    <xf numFmtId="44" fontId="15" fillId="0" borderId="0" applyFont="0" applyFill="0" applyBorder="0" applyAlignment="0" applyProtection="0"/>
    <xf numFmtId="43" fontId="15" fillId="0" borderId="0" applyFont="0" applyFill="0" applyBorder="0" applyAlignment="0" applyProtection="0"/>
    <xf numFmtId="37" fontId="15" fillId="0" borderId="0" applyFill="0" applyBorder="0" applyProtection="0"/>
    <xf numFmtId="176" fontId="15" fillId="0" borderId="1" applyFill="0" applyBorder="0" applyProtection="0"/>
    <xf numFmtId="44" fontId="15" fillId="0" borderId="0" applyFont="0" applyFill="0" applyBorder="0" applyAlignment="0" applyProtection="0"/>
    <xf numFmtId="37" fontId="15" fillId="0" borderId="0" applyFill="0" applyBorder="0" applyProtection="0"/>
    <xf numFmtId="176" fontId="15" fillId="0" borderId="1" applyFill="0" applyBorder="0" applyProtection="0"/>
    <xf numFmtId="44"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129" fillId="0" borderId="0"/>
    <xf numFmtId="185" fontId="5" fillId="0" borderId="0" applyFont="0" applyFill="0" applyBorder="0" applyAlignment="0" applyProtection="0"/>
    <xf numFmtId="186" fontId="5" fillId="0" borderId="0" applyFont="0" applyFill="0" applyBorder="0" applyAlignment="0" applyProtection="0"/>
    <xf numFmtId="191" fontId="5" fillId="0" borderId="0" applyFont="0" applyFill="0" applyBorder="0" applyAlignment="0" applyProtection="0"/>
    <xf numFmtId="0" fontId="5" fillId="8" borderId="0" applyNumberFormat="0" applyFont="0" applyAlignment="0" applyProtection="0"/>
    <xf numFmtId="43" fontId="5" fillId="0" borderId="0" applyFont="0" applyFill="0" applyBorder="0" applyAlignment="0" applyProtection="0"/>
    <xf numFmtId="0" fontId="26" fillId="0" borderId="0" applyNumberFormat="0" applyBorder="0">
      <alignment vertical="center"/>
    </xf>
    <xf numFmtId="0" fontId="5" fillId="0" borderId="0"/>
    <xf numFmtId="0" fontId="96" fillId="0" borderId="0"/>
    <xf numFmtId="0" fontId="2" fillId="0" borderId="0"/>
    <xf numFmtId="9" fontId="2" fillId="0" borderId="0" applyFont="0" applyFill="0" applyBorder="0" applyAlignment="0" applyProtection="0"/>
    <xf numFmtId="0" fontId="2" fillId="0" borderId="0"/>
    <xf numFmtId="0" fontId="129" fillId="0" borderId="0"/>
    <xf numFmtId="0" fontId="2" fillId="0" borderId="0"/>
    <xf numFmtId="0" fontId="5" fillId="0" borderId="0"/>
    <xf numFmtId="0" fontId="2" fillId="0" borderId="0"/>
    <xf numFmtId="0" fontId="2" fillId="0" borderId="0"/>
    <xf numFmtId="0" fontId="2" fillId="0" borderId="0"/>
    <xf numFmtId="0" fontId="5" fillId="0" borderId="0"/>
    <xf numFmtId="0" fontId="2" fillId="0" borderId="0"/>
    <xf numFmtId="0" fontId="2" fillId="0" borderId="0"/>
    <xf numFmtId="37" fontId="15" fillId="0" borderId="0" applyFill="0" applyBorder="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Protection="0">
      <alignment horizontal="right"/>
    </xf>
    <xf numFmtId="0" fontId="5" fillId="0" borderId="0" applyFont="0" applyFill="0" applyBorder="0" applyAlignment="0" applyProtection="0"/>
    <xf numFmtId="0" fontId="5" fillId="0" borderId="0"/>
    <xf numFmtId="0" fontId="140" fillId="44" borderId="56" applyNumberFormat="0" applyAlignment="0" applyProtection="0"/>
    <xf numFmtId="0" fontId="140" fillId="44" borderId="56" applyNumberFormat="0" applyAlignment="0" applyProtection="0"/>
    <xf numFmtId="0" fontId="94" fillId="0" borderId="0" applyFont="0" applyFill="0" applyBorder="0" applyAlignment="0" applyProtection="0">
      <alignment horizontal="right"/>
    </xf>
    <xf numFmtId="251" fontId="164" fillId="47" borderId="70" applyFont="0" applyFill="0" applyBorder="0" applyAlignment="0"/>
    <xf numFmtId="0" fontId="164" fillId="47" borderId="70" applyFont="0" applyFill="0" applyBorder="0" applyAlignment="0"/>
    <xf numFmtId="0" fontId="164" fillId="47" borderId="70" applyFont="0" applyFill="0" applyBorder="0" applyAlignment="0"/>
    <xf numFmtId="251" fontId="164" fillId="47" borderId="70" applyFont="0" applyFill="0" applyBorder="0" applyAlignment="0"/>
    <xf numFmtId="3" fontId="165" fillId="0" borderId="0" applyFont="0" applyFill="0" applyBorder="0" applyAlignment="0" applyProtection="0"/>
    <xf numFmtId="0" fontId="94" fillId="0" borderId="0" applyFont="0" applyFill="0" applyBorder="0" applyAlignment="0" applyProtection="0">
      <alignment horizontal="right"/>
    </xf>
    <xf numFmtId="220" fontId="32" fillId="0" borderId="0" applyFont="0" applyFill="0" applyBorder="0" applyAlignment="0" applyProtection="0"/>
    <xf numFmtId="283" fontId="165" fillId="0" borderId="0" applyFont="0" applyFill="0" applyBorder="0" applyAlignment="0" applyProtection="0"/>
    <xf numFmtId="14" fontId="153" fillId="0" borderId="0"/>
    <xf numFmtId="7" fontId="15" fillId="0" borderId="0" applyFill="0" applyBorder="0" applyProtection="0"/>
    <xf numFmtId="8" fontId="148" fillId="0" borderId="0" applyFont="0" applyFill="0" applyBorder="0" applyAlignment="0" applyProtection="0">
      <alignment horizontal="right"/>
    </xf>
    <xf numFmtId="205" fontId="6" fillId="13" borderId="70" applyNumberFormat="0" applyFont="0" applyBorder="0" applyAlignment="0" applyProtection="0">
      <alignment horizontal="right"/>
    </xf>
    <xf numFmtId="0" fontId="6" fillId="13" borderId="70" applyNumberFormat="0" applyFont="0" applyBorder="0" applyAlignment="0" applyProtection="0">
      <alignment horizontal="right"/>
    </xf>
    <xf numFmtId="0" fontId="6" fillId="13" borderId="70" applyNumberFormat="0" applyFont="0" applyBorder="0" applyAlignment="0" applyProtection="0">
      <alignment horizontal="right"/>
    </xf>
    <xf numFmtId="205" fontId="6" fillId="13" borderId="70" applyNumberFormat="0" applyFont="0" applyBorder="0" applyAlignment="0" applyProtection="0">
      <alignment horizontal="right"/>
    </xf>
    <xf numFmtId="0" fontId="26" fillId="0" borderId="2" applyFont="0" applyFill="0" applyBorder="0" applyAlignment="0" applyProtection="0">
      <alignment horizontal="center"/>
    </xf>
    <xf numFmtId="0" fontId="229" fillId="44" borderId="24">
      <alignment horizontal="centerContinuous"/>
    </xf>
    <xf numFmtId="177" fontId="15" fillId="0" borderId="0" applyFill="0" applyBorder="0" applyProtection="0"/>
    <xf numFmtId="176" fontId="15" fillId="0" borderId="0" applyFill="0" applyBorder="0" applyProtection="0"/>
    <xf numFmtId="0" fontId="5" fillId="0" borderId="0"/>
    <xf numFmtId="176" fontId="15" fillId="0" borderId="0" applyFill="0" applyBorder="0" applyProtection="0"/>
    <xf numFmtId="0" fontId="120" fillId="0" borderId="0"/>
    <xf numFmtId="176" fontId="15" fillId="0" borderId="0" applyFill="0" applyBorder="0" applyProtection="0"/>
    <xf numFmtId="176" fontId="15" fillId="0" borderId="0" applyFill="0" applyBorder="0" applyProtection="0"/>
    <xf numFmtId="176" fontId="15" fillId="0" borderId="0" applyFill="0" applyBorder="0" applyProtection="0"/>
    <xf numFmtId="176" fontId="15" fillId="0" borderId="0" applyFill="0" applyBorder="0" applyProtection="0"/>
    <xf numFmtId="0" fontId="5" fillId="0" borderId="0"/>
    <xf numFmtId="0" fontId="5" fillId="37" borderId="64" applyNumberFormat="0" applyFont="0" applyAlignment="0" applyProtection="0"/>
    <xf numFmtId="0" fontId="5" fillId="37" borderId="64" applyNumberFormat="0" applyFont="0" applyAlignment="0" applyProtection="0"/>
    <xf numFmtId="37" fontId="154" fillId="0" borderId="0"/>
    <xf numFmtId="0" fontId="77" fillId="0" borderId="0" applyNumberFormat="0" applyFill="0" applyBorder="0" applyAlignment="0" applyProtection="0"/>
    <xf numFmtId="0" fontId="234" fillId="44" borderId="65" applyNumberFormat="0" applyAlignment="0" applyProtection="0"/>
    <xf numFmtId="0" fontId="234" fillId="44" borderId="65" applyNumberFormat="0" applyAlignment="0" applyProtection="0"/>
    <xf numFmtId="0" fontId="77" fillId="0" borderId="0"/>
    <xf numFmtId="0" fontId="94" fillId="0" borderId="0">
      <alignment vertical="top"/>
    </xf>
    <xf numFmtId="0" fontId="101" fillId="0" borderId="70" applyNumberFormat="0" applyFill="0" applyProtection="0">
      <alignment horizontal="right"/>
    </xf>
    <xf numFmtId="37" fontId="19" fillId="0" borderId="0" applyNumberFormat="0" applyFont="0" applyBorder="0" applyAlignment="0">
      <alignment horizontal="center"/>
    </xf>
    <xf numFmtId="0" fontId="205" fillId="0" borderId="0" applyFill="0" applyBorder="0" applyProtection="0">
      <alignment horizontal="left"/>
    </xf>
    <xf numFmtId="0" fontId="178" fillId="0" borderId="13" applyFill="0" applyBorder="0" applyProtection="0">
      <alignment horizontal="left" vertical="top"/>
    </xf>
    <xf numFmtId="0" fontId="243" fillId="0" borderId="0">
      <alignment horizontal="center"/>
    </xf>
    <xf numFmtId="225" fontId="214" fillId="0" borderId="67"/>
    <xf numFmtId="278" fontId="220" fillId="0" borderId="0" applyFont="0" applyFill="0" applyBorder="0">
      <alignment horizontal="right"/>
    </xf>
    <xf numFmtId="0" fontId="2" fillId="0" borderId="0"/>
    <xf numFmtId="0" fontId="2" fillId="0" borderId="0"/>
    <xf numFmtId="216" fontId="5" fillId="13" borderId="70" applyNumberFormat="0" applyFont="0" applyBorder="0" applyAlignment="0" applyProtection="0">
      <alignment horizontal="right"/>
    </xf>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29" fillId="44" borderId="24">
      <alignment horizontal="centerContinuous"/>
    </xf>
    <xf numFmtId="176" fontId="15" fillId="0" borderId="0" applyFill="0" applyBorder="0" applyProtection="0"/>
    <xf numFmtId="176" fontId="15" fillId="0" borderId="0" applyFill="0" applyBorder="0" applyProtection="0"/>
    <xf numFmtId="0" fontId="5" fillId="0" borderId="0"/>
    <xf numFmtId="176" fontId="15" fillId="0" borderId="0" applyFill="0" applyBorder="0" applyProtection="0"/>
    <xf numFmtId="0" fontId="5" fillId="0" borderId="0"/>
    <xf numFmtId="176" fontId="15" fillId="0" borderId="0" applyFill="0" applyBorder="0" applyProtection="0"/>
    <xf numFmtId="176" fontId="15" fillId="0" borderId="0" applyFill="0" applyBorder="0" applyProtection="0"/>
    <xf numFmtId="176" fontId="15" fillId="0" borderId="0" applyFill="0" applyBorder="0" applyProtection="0"/>
    <xf numFmtId="176" fontId="15" fillId="0" borderId="0" applyFill="0" applyBorder="0" applyProtection="0"/>
    <xf numFmtId="176" fontId="15" fillId="0" borderId="0" applyFill="0" applyBorder="0" applyProtection="0"/>
    <xf numFmtId="176" fontId="15" fillId="0" borderId="0" applyFill="0" applyBorder="0" applyProtection="0"/>
    <xf numFmtId="176" fontId="15" fillId="0" borderId="0" applyFill="0" applyBorder="0" applyProtection="0"/>
    <xf numFmtId="0" fontId="5" fillId="0" borderId="0"/>
    <xf numFmtId="176" fontId="15" fillId="0" borderId="0" applyFill="0" applyBorder="0" applyProtection="0"/>
    <xf numFmtId="0" fontId="2" fillId="0" borderId="0"/>
    <xf numFmtId="0" fontId="2" fillId="0" borderId="0"/>
    <xf numFmtId="0" fontId="2" fillId="0" borderId="0"/>
    <xf numFmtId="37" fontId="15" fillId="0" borderId="0" applyFill="0" applyBorder="0" applyProtection="0"/>
    <xf numFmtId="41" fontId="15" fillId="0" borderId="0" applyFill="0" applyBorder="0" applyProtection="0"/>
    <xf numFmtId="43" fontId="15" fillId="0" borderId="0" applyFont="0" applyFill="0" applyBorder="0" applyAlignment="0" applyProtection="0"/>
    <xf numFmtId="7" fontId="15" fillId="0" borderId="0" applyFill="0" applyBorder="0" applyProtection="0"/>
    <xf numFmtId="168" fontId="5" fillId="0" borderId="1" applyBorder="0"/>
    <xf numFmtId="168" fontId="5" fillId="0" borderId="1" applyBorder="0"/>
    <xf numFmtId="176" fontId="15" fillId="0" borderId="0" applyFill="0" applyBorder="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15" fillId="0" borderId="0" applyFill="0" applyBorder="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15" fillId="0" borderId="0" applyFill="0" applyBorder="0" applyProtection="0"/>
    <xf numFmtId="37" fontId="15" fillId="0" borderId="0" applyFill="0" applyBorder="0" applyProtection="0"/>
    <xf numFmtId="176" fontId="15" fillId="0" borderId="0" applyFill="0" applyBorder="0" applyProtection="0"/>
    <xf numFmtId="0" fontId="1" fillId="0" borderId="0"/>
    <xf numFmtId="176" fontId="15" fillId="0" borderId="0" applyFill="0" applyBorder="0" applyProtection="0"/>
    <xf numFmtId="0" fontId="1" fillId="0" borderId="0"/>
    <xf numFmtId="0" fontId="1" fillId="0" borderId="0"/>
    <xf numFmtId="0" fontId="1" fillId="0" borderId="0"/>
    <xf numFmtId="0" fontId="1" fillId="0" borderId="0"/>
    <xf numFmtId="173" fontId="32" fillId="2" borderId="0"/>
    <xf numFmtId="9" fontId="15" fillId="0" borderId="1" applyFill="0" applyBorder="0" applyProtection="0"/>
    <xf numFmtId="0" fontId="1" fillId="0" borderId="0"/>
    <xf numFmtId="168" fontId="5" fillId="0" borderId="1" applyBorder="0"/>
    <xf numFmtId="176" fontId="15" fillId="0" borderId="0" applyFill="0" applyBorder="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15" fillId="0" borderId="0" applyFill="0" applyBorder="0" applyProtection="0"/>
    <xf numFmtId="0" fontId="1" fillId="0" borderId="0"/>
    <xf numFmtId="0" fontId="1" fillId="0" borderId="0"/>
    <xf numFmtId="176" fontId="15" fillId="0" borderId="0" applyFill="0" applyBorder="0" applyProtection="0"/>
    <xf numFmtId="176" fontId="15" fillId="0" borderId="0" applyFill="0" applyBorder="0" applyProtection="0"/>
    <xf numFmtId="0" fontId="1" fillId="0" borderId="0"/>
    <xf numFmtId="43" fontId="15" fillId="0" borderId="0" applyFont="0" applyFill="0" applyBorder="0" applyAlignment="0" applyProtection="0"/>
    <xf numFmtId="37" fontId="111" fillId="0" borderId="0" applyNumberFormat="0" applyFill="0" applyBorder="0" applyAlignment="0" applyProtection="0"/>
  </cellStyleXfs>
  <cellXfs count="1169">
    <xf numFmtId="37" fontId="0" fillId="0" borderId="0" xfId="0"/>
    <xf numFmtId="2" fontId="46" fillId="0" borderId="0" xfId="0" applyNumberFormat="1" applyFont="1" applyFill="1" applyBorder="1" applyAlignment="1">
      <alignment horizontal="left"/>
    </xf>
    <xf numFmtId="2" fontId="16" fillId="0" borderId="0" xfId="0" applyNumberFormat="1" applyFont="1" applyFill="1" applyBorder="1" applyAlignment="1">
      <alignment horizontal="left"/>
    </xf>
    <xf numFmtId="7" fontId="25" fillId="0" borderId="0" xfId="2" applyFont="1">
      <alignment horizontal="right"/>
    </xf>
    <xf numFmtId="7" fontId="25" fillId="0" borderId="1" xfId="2" applyFont="1" applyBorder="1">
      <alignment horizontal="right"/>
    </xf>
    <xf numFmtId="7" fontId="24" fillId="2" borderId="0" xfId="2" applyFill="1" applyBorder="1">
      <alignment horizontal="right"/>
    </xf>
    <xf numFmtId="7" fontId="24" fillId="2" borderId="1" xfId="2" applyFill="1" applyBorder="1">
      <alignment horizontal="right"/>
    </xf>
    <xf numFmtId="176" fontId="24" fillId="2" borderId="0" xfId="7" applyFill="1" applyBorder="1"/>
    <xf numFmtId="176" fontId="24" fillId="2" borderId="1" xfId="7" applyFill="1" applyBorder="1"/>
    <xf numFmtId="176" fontId="24" fillId="0" borderId="0" xfId="7" applyFill="1" applyBorder="1"/>
    <xf numFmtId="176" fontId="24" fillId="0" borderId="0" xfId="7" applyBorder="1"/>
    <xf numFmtId="176" fontId="24" fillId="0" borderId="1" xfId="7" applyBorder="1"/>
    <xf numFmtId="9" fontId="24" fillId="0" borderId="0" xfId="12" applyBorder="1"/>
    <xf numFmtId="9" fontId="24" fillId="0" borderId="1" xfId="12" applyBorder="1"/>
    <xf numFmtId="166" fontId="15" fillId="0" borderId="1" xfId="0" applyNumberFormat="1" applyFont="1" applyBorder="1" applyAlignment="1">
      <alignment horizontal="right"/>
    </xf>
    <xf numFmtId="37" fontId="15" fillId="2" borderId="0" xfId="0" applyFont="1" applyFill="1" applyAlignment="1">
      <alignment horizontal="right"/>
    </xf>
    <xf numFmtId="37" fontId="15" fillId="0" borderId="0" xfId="0" applyFont="1" applyAlignment="1">
      <alignment horizontal="right"/>
    </xf>
    <xf numFmtId="37" fontId="15" fillId="0" borderId="1" xfId="0" applyFont="1" applyBorder="1" applyAlignment="1">
      <alignment horizontal="right"/>
    </xf>
    <xf numFmtId="7" fontId="24" fillId="0" borderId="1" xfId="2" applyBorder="1">
      <alignment horizontal="right"/>
    </xf>
    <xf numFmtId="7" fontId="24" fillId="0" borderId="0" xfId="2">
      <alignment horizontal="right"/>
    </xf>
    <xf numFmtId="168" fontId="26" fillId="0" borderId="2" xfId="0" applyNumberFormat="1" applyFont="1" applyBorder="1"/>
    <xf numFmtId="168" fontId="26" fillId="0" borderId="3" xfId="0" applyNumberFormat="1" applyFont="1" applyBorder="1"/>
    <xf numFmtId="37" fontId="36" fillId="0" borderId="4" xfId="0" applyFont="1" applyBorder="1"/>
    <xf numFmtId="37" fontId="45" fillId="3" borderId="3" xfId="0" applyFont="1" applyFill="1" applyBorder="1"/>
    <xf numFmtId="37" fontId="45" fillId="3" borderId="2" xfId="0" applyFont="1" applyFill="1" applyBorder="1"/>
    <xf numFmtId="37" fontId="26" fillId="3" borderId="2" xfId="0" applyFont="1" applyFill="1" applyBorder="1"/>
    <xf numFmtId="37" fontId="26" fillId="3" borderId="3" xfId="0" applyFont="1" applyFill="1" applyBorder="1"/>
    <xf numFmtId="37" fontId="37" fillId="0" borderId="5" xfId="0" applyFont="1" applyBorder="1"/>
    <xf numFmtId="170" fontId="26" fillId="0" borderId="3" xfId="0" applyNumberFormat="1" applyFont="1" applyBorder="1"/>
    <xf numFmtId="9" fontId="26" fillId="0" borderId="2" xfId="0" applyNumberFormat="1" applyFont="1" applyBorder="1"/>
    <xf numFmtId="9" fontId="26" fillId="0" borderId="3" xfId="0" applyNumberFormat="1" applyFont="1" applyBorder="1"/>
    <xf numFmtId="165" fontId="26" fillId="0" borderId="0" xfId="0" applyNumberFormat="1" applyFont="1" applyBorder="1"/>
    <xf numFmtId="37" fontId="26" fillId="0" borderId="2" xfId="0" applyFont="1" applyBorder="1"/>
    <xf numFmtId="37" fontId="26" fillId="0" borderId="3" xfId="0" applyFont="1" applyBorder="1"/>
    <xf numFmtId="166" fontId="26" fillId="4" borderId="1" xfId="0" applyNumberFormat="1" applyFont="1" applyFill="1" applyBorder="1"/>
    <xf numFmtId="166" fontId="26" fillId="4" borderId="0" xfId="0" applyNumberFormat="1" applyFont="1" applyFill="1"/>
    <xf numFmtId="37" fontId="45" fillId="4" borderId="1" xfId="0" applyFont="1" applyFill="1" applyBorder="1"/>
    <xf numFmtId="37" fontId="45" fillId="4" borderId="0" xfId="0" applyFont="1" applyFill="1"/>
    <xf numFmtId="5" fontId="38" fillId="0" borderId="1" xfId="0" applyNumberFormat="1" applyFont="1" applyBorder="1"/>
    <xf numFmtId="5" fontId="38" fillId="0" borderId="0" xfId="0" applyNumberFormat="1" applyFont="1"/>
    <xf numFmtId="5" fontId="25" fillId="0" borderId="0" xfId="0" applyNumberFormat="1" applyFont="1"/>
    <xf numFmtId="5" fontId="25" fillId="0" borderId="1" xfId="0" applyNumberFormat="1" applyFont="1" applyBorder="1"/>
    <xf numFmtId="37" fontId="26" fillId="4" borderId="0" xfId="0" applyFont="1" applyFill="1"/>
    <xf numFmtId="37" fontId="26" fillId="4" borderId="1" xfId="0" applyFont="1" applyFill="1" applyBorder="1"/>
    <xf numFmtId="37" fontId="24" fillId="0" borderId="6" xfId="0" applyFont="1" applyBorder="1" applyAlignment="1">
      <alignment horizontal="right"/>
    </xf>
    <xf numFmtId="2" fontId="44" fillId="0" borderId="0" xfId="0" applyNumberFormat="1" applyFont="1" applyFill="1" applyBorder="1" applyAlignment="1">
      <alignment horizontal="left"/>
    </xf>
    <xf numFmtId="172" fontId="44" fillId="0" borderId="0" xfId="0" applyNumberFormat="1" applyFont="1" applyFill="1" applyBorder="1" applyAlignment="1">
      <alignment horizontal="left"/>
    </xf>
    <xf numFmtId="37" fontId="24" fillId="0" borderId="2" xfId="0" applyFont="1" applyFill="1" applyBorder="1"/>
    <xf numFmtId="37" fontId="26" fillId="0" borderId="0" xfId="0" applyFont="1" applyFill="1"/>
    <xf numFmtId="37" fontId="26" fillId="0" borderId="0" xfId="0" applyFont="1" applyFill="1" applyBorder="1" applyAlignment="1">
      <alignment horizontal="left"/>
    </xf>
    <xf numFmtId="17" fontId="43" fillId="2" borderId="1" xfId="0" applyNumberFormat="1" applyFont="1" applyFill="1" applyBorder="1" applyAlignment="1">
      <alignment horizontal="center"/>
    </xf>
    <xf numFmtId="17" fontId="43" fillId="2" borderId="0" xfId="0" applyNumberFormat="1" applyFont="1" applyFill="1" applyAlignment="1">
      <alignment horizontal="center"/>
    </xf>
    <xf numFmtId="164" fontId="43" fillId="2" borderId="0" xfId="0" applyNumberFormat="1" applyFont="1" applyFill="1" applyAlignment="1">
      <alignment horizontal="center"/>
    </xf>
    <xf numFmtId="164" fontId="43" fillId="2" borderId="1" xfId="0" applyNumberFormat="1" applyFont="1" applyFill="1" applyBorder="1" applyAlignment="1">
      <alignment horizontal="center"/>
    </xf>
    <xf numFmtId="37" fontId="42" fillId="2" borderId="0" xfId="0" applyFont="1" applyFill="1" applyBorder="1" applyAlignment="1">
      <alignment horizontal="left"/>
    </xf>
    <xf numFmtId="37" fontId="7" fillId="3" borderId="0" xfId="0" applyFont="1" applyFill="1" applyAlignment="1">
      <alignment horizontal="center"/>
    </xf>
    <xf numFmtId="164" fontId="8" fillId="4" borderId="1" xfId="0" applyNumberFormat="1" applyFont="1" applyFill="1" applyBorder="1" applyAlignment="1">
      <alignment horizontal="center"/>
    </xf>
    <xf numFmtId="164" fontId="8" fillId="4" borderId="0" xfId="0" applyNumberFormat="1" applyFont="1" applyFill="1" applyAlignment="1">
      <alignment horizontal="center"/>
    </xf>
    <xf numFmtId="37" fontId="0" fillId="0" borderId="7" xfId="0" applyBorder="1"/>
    <xf numFmtId="37" fontId="0" fillId="0" borderId="1" xfId="0" applyBorder="1"/>
    <xf numFmtId="37" fontId="0" fillId="0" borderId="0" xfId="0" applyAlignment="1">
      <alignment horizontal="right"/>
    </xf>
    <xf numFmtId="37" fontId="13" fillId="5" borderId="8" xfId="0" applyFont="1" applyFill="1" applyBorder="1" applyAlignment="1">
      <alignment horizontal="left"/>
    </xf>
    <xf numFmtId="37" fontId="7" fillId="3" borderId="0" xfId="0" applyFont="1" applyFill="1" applyBorder="1" applyAlignment="1">
      <alignment horizontal="center"/>
    </xf>
    <xf numFmtId="37" fontId="14" fillId="5" borderId="9" xfId="0" applyFont="1" applyFill="1" applyBorder="1" applyAlignment="1">
      <alignment horizontal="left"/>
    </xf>
    <xf numFmtId="164" fontId="8" fillId="4" borderId="0" xfId="0" applyNumberFormat="1" applyFont="1" applyFill="1" applyBorder="1" applyAlignment="1">
      <alignment horizontal="center"/>
    </xf>
    <xf numFmtId="37" fontId="5" fillId="0" borderId="0" xfId="0" applyFont="1"/>
    <xf numFmtId="37" fontId="0" fillId="0" borderId="0" xfId="0" applyBorder="1"/>
    <xf numFmtId="37" fontId="24" fillId="0" borderId="1" xfId="0" applyFont="1" applyBorder="1"/>
    <xf numFmtId="37" fontId="24" fillId="0" borderId="0" xfId="0" applyFont="1"/>
    <xf numFmtId="37" fontId="25" fillId="0" borderId="1" xfId="0" applyFont="1" applyBorder="1"/>
    <xf numFmtId="37" fontId="25" fillId="0" borderId="0" xfId="0" applyFont="1"/>
    <xf numFmtId="37" fontId="26" fillId="0" borderId="1" xfId="0" applyFont="1" applyBorder="1" applyAlignment="1">
      <alignment horizontal="right"/>
    </xf>
    <xf numFmtId="37" fontId="26" fillId="0" borderId="0" xfId="0" applyFont="1" applyAlignment="1">
      <alignment horizontal="right"/>
    </xf>
    <xf numFmtId="37" fontId="26" fillId="2" borderId="0" xfId="0" applyFont="1" applyFill="1" applyAlignment="1">
      <alignment horizontal="right"/>
    </xf>
    <xf numFmtId="37" fontId="26" fillId="0" borderId="0" xfId="0" applyFont="1"/>
    <xf numFmtId="166" fontId="24" fillId="0" borderId="0" xfId="0" applyNumberFormat="1" applyFont="1" applyAlignment="1">
      <alignment horizontal="right"/>
    </xf>
    <xf numFmtId="37" fontId="24" fillId="0" borderId="1" xfId="0" applyFont="1" applyBorder="1" applyAlignment="1">
      <alignment horizontal="right"/>
    </xf>
    <xf numFmtId="37" fontId="24" fillId="0" borderId="0" xfId="0" applyFont="1" applyAlignment="1">
      <alignment horizontal="right"/>
    </xf>
    <xf numFmtId="37" fontId="24" fillId="2" borderId="0" xfId="0" applyFont="1" applyFill="1" applyAlignment="1">
      <alignment horizontal="right"/>
    </xf>
    <xf numFmtId="37" fontId="25" fillId="0" borderId="1" xfId="0" applyFont="1" applyBorder="1" applyAlignment="1">
      <alignment horizontal="right"/>
    </xf>
    <xf numFmtId="37" fontId="25" fillId="0" borderId="0" xfId="0" applyFont="1" applyAlignment="1">
      <alignment horizontal="right"/>
    </xf>
    <xf numFmtId="37" fontId="25" fillId="2" borderId="0" xfId="0" applyFont="1" applyFill="1" applyAlignment="1">
      <alignment horizontal="right"/>
    </xf>
    <xf numFmtId="166" fontId="26" fillId="0" borderId="0" xfId="0" applyNumberFormat="1" applyFont="1" applyAlignment="1">
      <alignment horizontal="right"/>
    </xf>
    <xf numFmtId="37" fontId="24" fillId="0" borderId="3" xfId="0" applyFont="1" applyBorder="1" applyAlignment="1">
      <alignment horizontal="right"/>
    </xf>
    <xf numFmtId="37" fontId="24" fillId="0" borderId="2" xfId="0" applyFont="1" applyBorder="1" applyAlignment="1">
      <alignment horizontal="right"/>
    </xf>
    <xf numFmtId="166" fontId="26" fillId="0" borderId="1" xfId="0" applyNumberFormat="1" applyFont="1" applyBorder="1" applyAlignment="1">
      <alignment horizontal="right"/>
    </xf>
    <xf numFmtId="37" fontId="24" fillId="0" borderId="0" xfId="0" applyFont="1" applyFill="1" applyAlignment="1">
      <alignment horizontal="right"/>
    </xf>
    <xf numFmtId="37" fontId="24" fillId="0" borderId="10" xfId="0" applyFont="1" applyBorder="1" applyAlignment="1">
      <alignment horizontal="right"/>
    </xf>
    <xf numFmtId="37" fontId="24" fillId="0" borderId="11" xfId="0" applyFont="1" applyBorder="1" applyAlignment="1">
      <alignment horizontal="right"/>
    </xf>
    <xf numFmtId="37" fontId="24" fillId="0" borderId="11" xfId="0" applyFont="1" applyFill="1" applyBorder="1" applyAlignment="1">
      <alignment horizontal="right"/>
    </xf>
    <xf numFmtId="37" fontId="26" fillId="0" borderId="0" xfId="0" applyFont="1" applyFill="1" applyAlignment="1">
      <alignment horizontal="right"/>
    </xf>
    <xf numFmtId="171" fontId="24" fillId="0" borderId="1" xfId="0" applyNumberFormat="1" applyFont="1" applyBorder="1" applyAlignment="1">
      <alignment horizontal="right"/>
    </xf>
    <xf numFmtId="171" fontId="24" fillId="0" borderId="0" xfId="0" applyNumberFormat="1" applyFont="1" applyAlignment="1">
      <alignment horizontal="right"/>
    </xf>
    <xf numFmtId="166" fontId="24" fillId="0" borderId="1" xfId="0" applyNumberFormat="1" applyFont="1" applyBorder="1" applyAlignment="1">
      <alignment horizontal="right"/>
    </xf>
    <xf numFmtId="168" fontId="24" fillId="0" borderId="0" xfId="0" applyNumberFormat="1" applyFont="1" applyBorder="1"/>
    <xf numFmtId="168" fontId="24" fillId="0" borderId="1" xfId="0" applyNumberFormat="1" applyFont="1" applyBorder="1"/>
    <xf numFmtId="167" fontId="24" fillId="0" borderId="0" xfId="0" applyNumberFormat="1" applyFont="1" applyAlignment="1">
      <alignment horizontal="right"/>
    </xf>
    <xf numFmtId="37" fontId="25" fillId="0" borderId="0" xfId="0" applyFont="1" applyFill="1" applyAlignment="1">
      <alignment horizontal="right"/>
    </xf>
    <xf numFmtId="37" fontId="24" fillId="0" borderId="0" xfId="0" applyFont="1" applyBorder="1"/>
    <xf numFmtId="2" fontId="27" fillId="0" borderId="0" xfId="0" applyNumberFormat="1" applyFont="1" applyFill="1" applyBorder="1" applyAlignment="1">
      <alignment horizontal="left"/>
    </xf>
    <xf numFmtId="37" fontId="28" fillId="0" borderId="0" xfId="0" applyFont="1"/>
    <xf numFmtId="175" fontId="24" fillId="0" borderId="0" xfId="0" applyNumberFormat="1" applyFont="1" applyBorder="1"/>
    <xf numFmtId="37" fontId="26" fillId="0" borderId="0" xfId="0" applyFont="1" applyBorder="1"/>
    <xf numFmtId="37" fontId="24" fillId="0" borderId="0" xfId="0" applyFont="1" applyBorder="1" applyAlignment="1">
      <alignment horizontal="right"/>
    </xf>
    <xf numFmtId="167" fontId="24" fillId="0" borderId="0" xfId="0" applyNumberFormat="1" applyFont="1" applyBorder="1" applyAlignment="1">
      <alignment horizontal="right"/>
    </xf>
    <xf numFmtId="166" fontId="24" fillId="0" borderId="0" xfId="0" applyNumberFormat="1" applyFont="1" applyBorder="1" applyAlignment="1">
      <alignment horizontal="right"/>
    </xf>
    <xf numFmtId="7" fontId="24" fillId="2" borderId="1" xfId="0" applyNumberFormat="1" applyFont="1" applyFill="1" applyBorder="1"/>
    <xf numFmtId="7" fontId="24" fillId="2" borderId="0" xfId="0" applyNumberFormat="1" applyFont="1" applyFill="1" applyBorder="1"/>
    <xf numFmtId="166" fontId="24" fillId="0" borderId="0" xfId="0" applyNumberFormat="1" applyFont="1" applyBorder="1"/>
    <xf numFmtId="7" fontId="24" fillId="0" borderId="1" xfId="0" applyNumberFormat="1" applyFont="1" applyBorder="1"/>
    <xf numFmtId="7" fontId="24" fillId="0" borderId="0" xfId="0" applyNumberFormat="1" applyFont="1" applyBorder="1"/>
    <xf numFmtId="7" fontId="24" fillId="0" borderId="0" xfId="0" applyNumberFormat="1" applyFont="1" applyBorder="1" applyAlignment="1">
      <alignment horizontal="right"/>
    </xf>
    <xf numFmtId="171" fontId="24" fillId="0" borderId="1" xfId="0" applyNumberFormat="1" applyFont="1" applyBorder="1"/>
    <xf numFmtId="172" fontId="24" fillId="0" borderId="1" xfId="0" applyNumberFormat="1" applyFont="1" applyBorder="1"/>
    <xf numFmtId="172" fontId="24" fillId="0" borderId="0" xfId="0" applyNumberFormat="1" applyFont="1" applyBorder="1"/>
    <xf numFmtId="172" fontId="24" fillId="0" borderId="0" xfId="0" applyNumberFormat="1" applyFont="1" applyBorder="1" applyAlignment="1">
      <alignment horizontal="right"/>
    </xf>
    <xf numFmtId="172" fontId="24" fillId="0" borderId="0" xfId="0" applyNumberFormat="1" applyFont="1" applyAlignment="1">
      <alignment horizontal="right"/>
    </xf>
    <xf numFmtId="37" fontId="28" fillId="0" borderId="1" xfId="0" applyFont="1" applyBorder="1"/>
    <xf numFmtId="37" fontId="29" fillId="0" borderId="0" xfId="0" applyFont="1"/>
    <xf numFmtId="37" fontId="29" fillId="0" borderId="1" xfId="0" applyFont="1" applyBorder="1"/>
    <xf numFmtId="37" fontId="15" fillId="0" borderId="1" xfId="0" applyFont="1" applyBorder="1"/>
    <xf numFmtId="37" fontId="15" fillId="0" borderId="0" xfId="0" applyFont="1"/>
    <xf numFmtId="37" fontId="30" fillId="0" borderId="0" xfId="0" applyFont="1"/>
    <xf numFmtId="37" fontId="30" fillId="0" borderId="1" xfId="0" applyFont="1" applyBorder="1"/>
    <xf numFmtId="37" fontId="31" fillId="0" borderId="0" xfId="0" applyFont="1"/>
    <xf numFmtId="37" fontId="31" fillId="0" borderId="1" xfId="0" applyFont="1" applyBorder="1"/>
    <xf numFmtId="37" fontId="28" fillId="3" borderId="3" xfId="0" applyFont="1" applyFill="1" applyBorder="1"/>
    <xf numFmtId="37" fontId="28" fillId="3" borderId="2" xfId="0" applyFont="1" applyFill="1" applyBorder="1"/>
    <xf numFmtId="166" fontId="15" fillId="0" borderId="1" xfId="0" applyNumberFormat="1" applyFont="1" applyBorder="1"/>
    <xf numFmtId="166" fontId="15" fillId="0" borderId="0" xfId="0" applyNumberFormat="1" applyFont="1"/>
    <xf numFmtId="166" fontId="30" fillId="0" borderId="0" xfId="0" applyNumberFormat="1" applyFont="1"/>
    <xf numFmtId="166" fontId="30" fillId="0" borderId="1" xfId="0" applyNumberFormat="1" applyFont="1" applyBorder="1"/>
    <xf numFmtId="7" fontId="15" fillId="0" borderId="1" xfId="0" applyNumberFormat="1" applyFont="1" applyBorder="1"/>
    <xf numFmtId="7" fontId="15" fillId="0" borderId="0" xfId="0" applyNumberFormat="1" applyFont="1"/>
    <xf numFmtId="7" fontId="30" fillId="0" borderId="0" xfId="0" applyNumberFormat="1" applyFont="1"/>
    <xf numFmtId="7" fontId="30" fillId="0" borderId="1" xfId="0" applyNumberFormat="1" applyFont="1" applyBorder="1"/>
    <xf numFmtId="170" fontId="15" fillId="0" borderId="1" xfId="0" applyNumberFormat="1" applyFont="1" applyBorder="1"/>
    <xf numFmtId="170" fontId="15" fillId="0" borderId="0" xfId="0" applyNumberFormat="1" applyFont="1"/>
    <xf numFmtId="170" fontId="30" fillId="0" borderId="0" xfId="0" applyNumberFormat="1" applyFont="1"/>
    <xf numFmtId="170" fontId="30" fillId="0" borderId="1" xfId="0" applyNumberFormat="1" applyFont="1" applyBorder="1"/>
    <xf numFmtId="7" fontId="16" fillId="0" borderId="1" xfId="0" applyNumberFormat="1" applyFont="1" applyBorder="1"/>
    <xf numFmtId="7" fontId="16" fillId="0" borderId="0" xfId="0" applyNumberFormat="1" applyFont="1"/>
    <xf numFmtId="37" fontId="15" fillId="0" borderId="3" xfId="0" applyFont="1" applyBorder="1"/>
    <xf numFmtId="37" fontId="15" fillId="0" borderId="2" xfId="0" applyFont="1" applyBorder="1"/>
    <xf numFmtId="9" fontId="15" fillId="0" borderId="1" xfId="0" applyNumberFormat="1" applyFont="1" applyBorder="1"/>
    <xf numFmtId="9" fontId="15" fillId="0" borderId="0" xfId="0" applyNumberFormat="1" applyFont="1"/>
    <xf numFmtId="37" fontId="15" fillId="0" borderId="6" xfId="0" applyFont="1" applyBorder="1"/>
    <xf numFmtId="37" fontId="27" fillId="0" borderId="0" xfId="0" applyFont="1"/>
    <xf numFmtId="37" fontId="24" fillId="0" borderId="2" xfId="0" applyFont="1" applyBorder="1"/>
    <xf numFmtId="166" fontId="28" fillId="3" borderId="0" xfId="0" applyNumberFormat="1" applyFont="1" applyFill="1" applyBorder="1"/>
    <xf numFmtId="166" fontId="32" fillId="2" borderId="0" xfId="0" applyNumberFormat="1" applyFont="1" applyFill="1" applyBorder="1"/>
    <xf numFmtId="173" fontId="32" fillId="2" borderId="0" xfId="0" applyNumberFormat="1" applyFont="1" applyFill="1" applyBorder="1"/>
    <xf numFmtId="173" fontId="33" fillId="3" borderId="2" xfId="0" applyNumberFormat="1" applyFont="1" applyFill="1" applyBorder="1"/>
    <xf numFmtId="37" fontId="32" fillId="2" borderId="0" xfId="0" applyFont="1" applyFill="1" applyBorder="1"/>
    <xf numFmtId="37" fontId="34" fillId="3" borderId="0" xfId="0" applyFont="1" applyFill="1" applyBorder="1"/>
    <xf numFmtId="37" fontId="32" fillId="2" borderId="12" xfId="0" applyFont="1" applyFill="1" applyBorder="1"/>
    <xf numFmtId="37" fontId="35" fillId="0" borderId="0" xfId="0" applyFont="1" applyAlignment="1">
      <alignment horizontal="left" indent="1"/>
    </xf>
    <xf numFmtId="37" fontId="24" fillId="0" borderId="0" xfId="0" applyFont="1" applyAlignment="1">
      <alignment horizontal="left" indent="1"/>
    </xf>
    <xf numFmtId="37" fontId="27" fillId="0" borderId="0" xfId="0" applyFont="1" applyAlignment="1">
      <alignment horizontal="left"/>
    </xf>
    <xf numFmtId="37" fontId="24" fillId="0" borderId="0" xfId="0" applyFont="1" applyAlignment="1">
      <alignment horizontal="left"/>
    </xf>
    <xf numFmtId="37" fontId="35" fillId="0" borderId="0" xfId="0" applyFont="1"/>
    <xf numFmtId="37" fontId="24" fillId="0" borderId="11" xfId="0" applyFont="1" applyBorder="1" applyAlignment="1">
      <alignment horizontal="left"/>
    </xf>
    <xf numFmtId="37" fontId="26" fillId="2" borderId="2" xfId="0" applyFont="1" applyFill="1" applyBorder="1"/>
    <xf numFmtId="37" fontId="26" fillId="2" borderId="0" xfId="0" applyFont="1" applyFill="1"/>
    <xf numFmtId="37" fontId="26" fillId="3" borderId="0" xfId="0" applyFont="1" applyFill="1"/>
    <xf numFmtId="37" fontId="26" fillId="4" borderId="2" xfId="0" applyFont="1" applyFill="1" applyBorder="1"/>
    <xf numFmtId="37" fontId="24" fillId="0" borderId="0" xfId="0" applyFont="1" applyFill="1"/>
    <xf numFmtId="37" fontId="26" fillId="0" borderId="2" xfId="0" applyFont="1" applyFill="1" applyBorder="1"/>
    <xf numFmtId="166" fontId="27" fillId="0" borderId="0" xfId="0" applyNumberFormat="1" applyFont="1"/>
    <xf numFmtId="171" fontId="24" fillId="0" borderId="0" xfId="0" applyNumberFormat="1" applyFont="1"/>
    <xf numFmtId="37" fontId="24" fillId="2" borderId="0" xfId="0" applyFont="1" applyFill="1"/>
    <xf numFmtId="37" fontId="24" fillId="0" borderId="3" xfId="0" applyFont="1" applyBorder="1"/>
    <xf numFmtId="166" fontId="24" fillId="0" borderId="10" xfId="0" applyNumberFormat="1" applyFont="1" applyBorder="1" applyAlignment="1">
      <alignment horizontal="right"/>
    </xf>
    <xf numFmtId="166" fontId="24" fillId="0" borderId="11" xfId="0" applyNumberFormat="1" applyFont="1" applyBorder="1" applyAlignment="1">
      <alignment horizontal="right"/>
    </xf>
    <xf numFmtId="166" fontId="26" fillId="0" borderId="6" xfId="0" applyNumberFormat="1" applyFont="1" applyBorder="1" applyAlignment="1">
      <alignment horizontal="right"/>
    </xf>
    <xf numFmtId="37" fontId="27" fillId="0" borderId="1" xfId="0" applyFont="1" applyBorder="1"/>
    <xf numFmtId="37" fontId="36" fillId="0" borderId="0" xfId="0" applyFont="1" applyBorder="1"/>
    <xf numFmtId="37" fontId="37" fillId="0" borderId="11" xfId="0" applyFont="1" applyBorder="1"/>
    <xf numFmtId="37" fontId="37" fillId="0" borderId="10" xfId="0" applyFont="1" applyBorder="1"/>
    <xf numFmtId="37" fontId="36" fillId="0" borderId="0" xfId="0" applyFont="1"/>
    <xf numFmtId="37" fontId="36" fillId="0" borderId="1" xfId="0" applyFont="1" applyBorder="1"/>
    <xf numFmtId="37" fontId="26" fillId="2" borderId="3" xfId="0" applyFont="1" applyFill="1" applyBorder="1"/>
    <xf numFmtId="9" fontId="27" fillId="0" borderId="0" xfId="0" applyNumberFormat="1" applyFont="1"/>
    <xf numFmtId="9" fontId="27" fillId="0" borderId="1" xfId="0" applyNumberFormat="1" applyFont="1" applyBorder="1"/>
    <xf numFmtId="37" fontId="37" fillId="0" borderId="0" xfId="0" applyFont="1"/>
    <xf numFmtId="37" fontId="37" fillId="0" borderId="1" xfId="0" applyFont="1" applyBorder="1"/>
    <xf numFmtId="37" fontId="26" fillId="4" borderId="3" xfId="0" applyFont="1" applyFill="1" applyBorder="1"/>
    <xf numFmtId="9" fontId="24" fillId="0" borderId="1" xfId="0" applyNumberFormat="1" applyFont="1" applyBorder="1"/>
    <xf numFmtId="9" fontId="24" fillId="0" borderId="0" xfId="0" applyNumberFormat="1" applyFont="1"/>
    <xf numFmtId="5" fontId="24" fillId="0" borderId="1" xfId="0" applyNumberFormat="1" applyFont="1" applyBorder="1"/>
    <xf numFmtId="5" fontId="24" fillId="0" borderId="0" xfId="0" applyNumberFormat="1" applyFont="1"/>
    <xf numFmtId="5" fontId="37" fillId="0" borderId="0" xfId="0" applyNumberFormat="1" applyFont="1"/>
    <xf numFmtId="5" fontId="37" fillId="0" borderId="1" xfId="0" applyNumberFormat="1" applyFont="1" applyBorder="1"/>
    <xf numFmtId="37" fontId="26" fillId="0" borderId="1" xfId="0" applyFont="1" applyBorder="1"/>
    <xf numFmtId="37" fontId="38" fillId="0" borderId="0" xfId="0" applyFont="1"/>
    <xf numFmtId="37" fontId="38" fillId="0" borderId="1" xfId="0" applyFont="1" applyBorder="1"/>
    <xf numFmtId="37" fontId="39" fillId="0" borderId="0" xfId="0" applyFont="1"/>
    <xf numFmtId="37" fontId="39" fillId="0" borderId="1" xfId="0" applyFont="1" applyBorder="1"/>
    <xf numFmtId="172" fontId="24" fillId="0" borderId="0" xfId="0" applyNumberFormat="1" applyFont="1"/>
    <xf numFmtId="37" fontId="24" fillId="2" borderId="1" xfId="0" applyFont="1" applyFill="1" applyBorder="1"/>
    <xf numFmtId="37" fontId="24" fillId="2" borderId="0" xfId="0" applyFont="1" applyFill="1" applyBorder="1"/>
    <xf numFmtId="37" fontId="24" fillId="2" borderId="0" xfId="0" applyFont="1" applyFill="1" applyBorder="1" applyAlignment="1">
      <alignment horizontal="right"/>
    </xf>
    <xf numFmtId="7" fontId="24" fillId="2" borderId="0" xfId="0" applyNumberFormat="1" applyFont="1" applyFill="1" applyBorder="1" applyAlignment="1">
      <alignment horizontal="right"/>
    </xf>
    <xf numFmtId="169" fontId="24" fillId="0" borderId="1" xfId="0" applyNumberFormat="1" applyFont="1" applyBorder="1"/>
    <xf numFmtId="169" fontId="24" fillId="0" borderId="0" xfId="0" applyNumberFormat="1" applyFont="1" applyAlignment="1">
      <alignment horizontal="right"/>
    </xf>
    <xf numFmtId="165" fontId="24" fillId="0" borderId="0" xfId="0" applyNumberFormat="1" applyFont="1"/>
    <xf numFmtId="169" fontId="24" fillId="0" borderId="0" xfId="0" applyNumberFormat="1" applyFont="1"/>
    <xf numFmtId="37" fontId="24" fillId="0" borderId="12" xfId="0" applyFont="1" applyBorder="1"/>
    <xf numFmtId="37" fontId="24" fillId="0" borderId="6" xfId="0" applyFont="1" applyBorder="1"/>
    <xf numFmtId="9" fontId="24" fillId="0" borderId="0" xfId="0" applyNumberFormat="1" applyFont="1" applyAlignment="1">
      <alignment horizontal="right"/>
    </xf>
    <xf numFmtId="9" fontId="24" fillId="0" borderId="5" xfId="0" applyNumberFormat="1" applyFont="1" applyBorder="1"/>
    <xf numFmtId="9" fontId="24" fillId="0" borderId="12" xfId="0" applyNumberFormat="1" applyFont="1" applyBorder="1" applyAlignment="1">
      <alignment horizontal="right"/>
    </xf>
    <xf numFmtId="9" fontId="24" fillId="0" borderId="12" xfId="0" applyNumberFormat="1" applyFont="1" applyBorder="1"/>
    <xf numFmtId="170" fontId="27" fillId="0" borderId="1" xfId="0" applyNumberFormat="1" applyFont="1" applyBorder="1"/>
    <xf numFmtId="170" fontId="27" fillId="0" borderId="0" xfId="0" applyNumberFormat="1" applyFont="1"/>
    <xf numFmtId="7" fontId="24" fillId="0" borderId="1" xfId="0" applyNumberFormat="1" applyFont="1" applyBorder="1" applyAlignment="1">
      <alignment horizontal="right"/>
    </xf>
    <xf numFmtId="166" fontId="24" fillId="0" borderId="1" xfId="0" applyNumberFormat="1" applyFont="1" applyBorder="1"/>
    <xf numFmtId="167" fontId="24" fillId="0" borderId="1" xfId="0" applyNumberFormat="1" applyFont="1" applyBorder="1" applyAlignment="1">
      <alignment horizontal="right"/>
    </xf>
    <xf numFmtId="172" fontId="24" fillId="0" borderId="1" xfId="0" applyNumberFormat="1" applyFont="1" applyBorder="1" applyAlignment="1">
      <alignment horizontal="right"/>
    </xf>
    <xf numFmtId="17" fontId="8" fillId="4" borderId="0" xfId="0" applyNumberFormat="1" applyFont="1" applyFill="1" applyAlignment="1">
      <alignment horizontal="center"/>
    </xf>
    <xf numFmtId="17" fontId="8" fillId="4" borderId="1" xfId="0" applyNumberFormat="1" applyFont="1" applyFill="1" applyBorder="1" applyAlignment="1">
      <alignment horizontal="center"/>
    </xf>
    <xf numFmtId="168" fontId="24" fillId="0" borderId="2" xfId="0" applyNumberFormat="1" applyFont="1" applyBorder="1"/>
    <xf numFmtId="168" fontId="24" fillId="0" borderId="3" xfId="0" applyNumberFormat="1" applyFont="1" applyBorder="1"/>
    <xf numFmtId="167" fontId="24" fillId="0" borderId="2" xfId="0" applyNumberFormat="1" applyFont="1" applyBorder="1" applyAlignment="1">
      <alignment horizontal="right"/>
    </xf>
    <xf numFmtId="167" fontId="24" fillId="0" borderId="3" xfId="0" applyNumberFormat="1" applyFont="1" applyBorder="1" applyAlignment="1">
      <alignment horizontal="right"/>
    </xf>
    <xf numFmtId="37" fontId="0" fillId="0" borderId="0" xfId="0" applyBorder="1" applyAlignment="1">
      <alignment horizontal="right"/>
    </xf>
    <xf numFmtId="37" fontId="5" fillId="0" borderId="7" xfId="0" applyFont="1" applyBorder="1"/>
    <xf numFmtId="164" fontId="17" fillId="4" borderId="1" xfId="0" applyNumberFormat="1" applyFont="1" applyFill="1" applyBorder="1" applyAlignment="1">
      <alignment horizontal="center"/>
    </xf>
    <xf numFmtId="169" fontId="26" fillId="0" borderId="3" xfId="0" applyNumberFormat="1" applyFont="1" applyBorder="1" applyAlignment="1">
      <alignment horizontal="right"/>
    </xf>
    <xf numFmtId="9" fontId="25" fillId="0" borderId="1" xfId="0" applyNumberFormat="1" applyFont="1" applyBorder="1"/>
    <xf numFmtId="9" fontId="25" fillId="0" borderId="0" xfId="0" applyNumberFormat="1" applyFont="1"/>
    <xf numFmtId="9" fontId="38" fillId="0" borderId="0" xfId="0" applyNumberFormat="1" applyFont="1"/>
    <xf numFmtId="9" fontId="38" fillId="0" borderId="1" xfId="0" applyNumberFormat="1" applyFont="1" applyBorder="1"/>
    <xf numFmtId="9" fontId="25" fillId="0" borderId="10" xfId="0" applyNumberFormat="1" applyFont="1" applyBorder="1"/>
    <xf numFmtId="9" fontId="25" fillId="0" borderId="11" xfId="0" applyNumberFormat="1" applyFont="1" applyBorder="1"/>
    <xf numFmtId="37" fontId="0" fillId="0" borderId="0" xfId="0" applyFill="1"/>
    <xf numFmtId="172" fontId="36" fillId="0" borderId="0" xfId="0" applyNumberFormat="1" applyFont="1" applyBorder="1"/>
    <xf numFmtId="172" fontId="36" fillId="0" borderId="1" xfId="0" applyNumberFormat="1" applyFont="1" applyBorder="1" applyAlignment="1">
      <alignment horizontal="right"/>
    </xf>
    <xf numFmtId="37" fontId="41" fillId="0" borderId="0" xfId="0" applyFont="1"/>
    <xf numFmtId="37" fontId="41" fillId="0" borderId="1" xfId="0" applyFont="1" applyBorder="1"/>
    <xf numFmtId="37" fontId="24" fillId="0" borderId="1" xfId="0" applyFont="1" applyFill="1" applyBorder="1"/>
    <xf numFmtId="37" fontId="47" fillId="0" borderId="0" xfId="0" applyFont="1"/>
    <xf numFmtId="9" fontId="47" fillId="0" borderId="0" xfId="0" applyNumberFormat="1" applyFont="1"/>
    <xf numFmtId="165" fontId="47" fillId="0" borderId="0" xfId="0" applyNumberFormat="1" applyFont="1"/>
    <xf numFmtId="176" fontId="25" fillId="0" borderId="1" xfId="7" applyFont="1" applyBorder="1"/>
    <xf numFmtId="176" fontId="25" fillId="0" borderId="0" xfId="7" applyFont="1" applyBorder="1"/>
    <xf numFmtId="37" fontId="24" fillId="0" borderId="11" xfId="0" applyFont="1" applyBorder="1" applyAlignment="1">
      <alignment horizontal="left" indent="1"/>
    </xf>
    <xf numFmtId="37" fontId="35" fillId="0" borderId="0" xfId="0" applyFont="1" applyAlignment="1">
      <alignment horizontal="left" indent="2"/>
    </xf>
    <xf numFmtId="9" fontId="25" fillId="0" borderId="21" xfId="0" applyNumberFormat="1" applyFont="1" applyBorder="1"/>
    <xf numFmtId="9" fontId="25" fillId="0" borderId="22" xfId="0" applyNumberFormat="1" applyFont="1" applyBorder="1"/>
    <xf numFmtId="9" fontId="25" fillId="0" borderId="0" xfId="0" applyNumberFormat="1" applyFont="1" applyBorder="1"/>
    <xf numFmtId="37" fontId="39" fillId="0" borderId="0" xfId="0" applyFont="1" applyBorder="1"/>
    <xf numFmtId="37" fontId="24" fillId="0" borderId="21" xfId="0" applyFont="1" applyBorder="1" applyAlignment="1">
      <alignment horizontal="right"/>
    </xf>
    <xf numFmtId="37" fontId="24" fillId="0" borderId="22" xfId="0" applyFont="1" applyBorder="1" applyAlignment="1">
      <alignment horizontal="right"/>
    </xf>
    <xf numFmtId="176" fontId="28" fillId="3" borderId="3" xfId="7" applyFont="1" applyFill="1" applyBorder="1"/>
    <xf numFmtId="176" fontId="28" fillId="3" borderId="2" xfId="7" applyFont="1" applyFill="1" applyBorder="1"/>
    <xf numFmtId="7" fontId="28" fillId="3" borderId="3" xfId="2" applyFont="1" applyFill="1" applyBorder="1">
      <alignment horizontal="right"/>
    </xf>
    <xf numFmtId="7" fontId="28" fillId="3" borderId="2" xfId="2" applyFont="1" applyFill="1" applyBorder="1">
      <alignment horizontal="right"/>
    </xf>
    <xf numFmtId="7" fontId="28" fillId="0" borderId="1" xfId="2" applyFont="1" applyBorder="1">
      <alignment horizontal="right"/>
    </xf>
    <xf numFmtId="7" fontId="28" fillId="0" borderId="0" xfId="2" applyFont="1">
      <alignment horizontal="right"/>
    </xf>
    <xf numFmtId="1" fontId="36" fillId="0" borderId="0" xfId="0" applyNumberFormat="1" applyFont="1"/>
    <xf numFmtId="170" fontId="25" fillId="0" borderId="1" xfId="0" applyNumberFormat="1" applyFont="1" applyBorder="1"/>
    <xf numFmtId="170" fontId="25" fillId="0" borderId="0" xfId="0" applyNumberFormat="1" applyFont="1" applyBorder="1"/>
    <xf numFmtId="170" fontId="38" fillId="0" borderId="1" xfId="0" applyNumberFormat="1" applyFont="1" applyBorder="1"/>
    <xf numFmtId="170" fontId="26" fillId="0" borderId="2" xfId="0" applyNumberFormat="1" applyFont="1" applyBorder="1"/>
    <xf numFmtId="37" fontId="24" fillId="0" borderId="13" xfId="0" applyFont="1" applyBorder="1"/>
    <xf numFmtId="170" fontId="24" fillId="0" borderId="0" xfId="12" applyNumberFormat="1" applyBorder="1"/>
    <xf numFmtId="176" fontId="37" fillId="0" borderId="1" xfId="7" applyFont="1" applyBorder="1"/>
    <xf numFmtId="9" fontId="36" fillId="0" borderId="1" xfId="12" applyFont="1" applyBorder="1"/>
    <xf numFmtId="9" fontId="25" fillId="0" borderId="0" xfId="12" applyFont="1" applyBorder="1"/>
    <xf numFmtId="9" fontId="25" fillId="0" borderId="1" xfId="12" applyFont="1" applyBorder="1"/>
    <xf numFmtId="37" fontId="25" fillId="0" borderId="0" xfId="0" applyFont="1" applyBorder="1"/>
    <xf numFmtId="37" fontId="25" fillId="0" borderId="0" xfId="0" applyFont="1" applyBorder="1" applyAlignment="1">
      <alignment horizontal="right"/>
    </xf>
    <xf numFmtId="37" fontId="0" fillId="0" borderId="22" xfId="0" applyBorder="1"/>
    <xf numFmtId="37" fontId="0" fillId="0" borderId="21" xfId="0" applyBorder="1"/>
    <xf numFmtId="37" fontId="0" fillId="0" borderId="11" xfId="0" applyBorder="1"/>
    <xf numFmtId="37" fontId="0" fillId="0" borderId="10" xfId="0" applyBorder="1"/>
    <xf numFmtId="166" fontId="26" fillId="0" borderId="0" xfId="0" applyNumberFormat="1" applyFont="1" applyBorder="1" applyAlignment="1">
      <alignment horizontal="right"/>
    </xf>
    <xf numFmtId="166" fontId="15" fillId="0" borderId="0" xfId="0" applyNumberFormat="1" applyFont="1" applyBorder="1" applyAlignment="1">
      <alignment horizontal="right"/>
    </xf>
    <xf numFmtId="37" fontId="26" fillId="0" borderId="0" xfId="0" applyFont="1" applyBorder="1" applyAlignment="1">
      <alignment horizontal="right"/>
    </xf>
    <xf numFmtId="165" fontId="24" fillId="0" borderId="0" xfId="0" applyNumberFormat="1" applyFont="1" applyBorder="1" applyAlignment="1">
      <alignment horizontal="right"/>
    </xf>
    <xf numFmtId="5" fontId="28" fillId="0" borderId="0" xfId="0" applyNumberFormat="1" applyFont="1"/>
    <xf numFmtId="5" fontId="28" fillId="0" borderId="1" xfId="0" applyNumberFormat="1" applyFont="1" applyBorder="1"/>
    <xf numFmtId="5" fontId="29" fillId="0" borderId="0" xfId="0" applyNumberFormat="1" applyFont="1"/>
    <xf numFmtId="5" fontId="29" fillId="0" borderId="1" xfId="0" applyNumberFormat="1" applyFont="1" applyBorder="1"/>
    <xf numFmtId="37" fontId="47" fillId="0" borderId="1" xfId="0" applyFont="1" applyBorder="1"/>
    <xf numFmtId="176" fontId="49" fillId="0" borderId="1" xfId="7" applyFont="1" applyBorder="1"/>
    <xf numFmtId="176" fontId="49" fillId="0" borderId="0" xfId="7" applyFont="1" applyBorder="1"/>
    <xf numFmtId="37" fontId="24" fillId="0" borderId="0" xfId="0" applyFont="1" applyFill="1" applyBorder="1" applyAlignment="1">
      <alignment horizontal="right"/>
    </xf>
    <xf numFmtId="37" fontId="25" fillId="0" borderId="0" xfId="0" applyFont="1" applyFill="1" applyBorder="1" applyAlignment="1">
      <alignment horizontal="right"/>
    </xf>
    <xf numFmtId="37" fontId="41" fillId="0" borderId="1" xfId="0" applyFont="1" applyBorder="1" applyAlignment="1">
      <alignment horizontal="right"/>
    </xf>
    <xf numFmtId="37" fontId="49" fillId="0" borderId="1" xfId="0" applyFont="1" applyBorder="1"/>
    <xf numFmtId="37" fontId="26" fillId="0" borderId="0" xfId="0" applyFont="1" applyFill="1" applyBorder="1"/>
    <xf numFmtId="169" fontId="26" fillId="0" borderId="1" xfId="0" applyNumberFormat="1" applyFont="1" applyBorder="1" applyAlignment="1">
      <alignment horizontal="right"/>
    </xf>
    <xf numFmtId="37" fontId="0" fillId="0" borderId="0" xfId="0" applyFill="1" applyBorder="1"/>
    <xf numFmtId="170" fontId="15" fillId="0" borderId="0" xfId="0" applyNumberFormat="1" applyFont="1" applyBorder="1"/>
    <xf numFmtId="9" fontId="47" fillId="0" borderId="1" xfId="12" applyFont="1" applyBorder="1"/>
    <xf numFmtId="176" fontId="36" fillId="0" borderId="0" xfId="7" applyFont="1" applyBorder="1"/>
    <xf numFmtId="165" fontId="47" fillId="0" borderId="0" xfId="0" applyNumberFormat="1" applyFont="1" applyBorder="1"/>
    <xf numFmtId="165" fontId="47" fillId="0" borderId="1" xfId="0" applyNumberFormat="1" applyFont="1" applyBorder="1"/>
    <xf numFmtId="37" fontId="47" fillId="0" borderId="0" xfId="0" applyFont="1" applyBorder="1"/>
    <xf numFmtId="9" fontId="47" fillId="0" borderId="1" xfId="0" applyNumberFormat="1" applyFont="1" applyBorder="1"/>
    <xf numFmtId="9" fontId="47" fillId="0" borderId="0" xfId="0" applyNumberFormat="1" applyFont="1" applyBorder="1"/>
    <xf numFmtId="9" fontId="47" fillId="0" borderId="0" xfId="12" applyFont="1" applyBorder="1"/>
    <xf numFmtId="5" fontId="47" fillId="0" borderId="0" xfId="0" applyNumberFormat="1" applyFont="1"/>
    <xf numFmtId="170" fontId="47" fillId="0" borderId="0" xfId="0" applyNumberFormat="1" applyFont="1"/>
    <xf numFmtId="170" fontId="47" fillId="0" borderId="0" xfId="0" applyNumberFormat="1" applyFont="1" applyBorder="1"/>
    <xf numFmtId="166" fontId="47" fillId="0" borderId="0" xfId="0" applyNumberFormat="1" applyFont="1"/>
    <xf numFmtId="166" fontId="47" fillId="0" borderId="1" xfId="0" applyNumberFormat="1" applyFont="1" applyBorder="1"/>
    <xf numFmtId="170" fontId="47" fillId="0" borderId="1" xfId="0" applyNumberFormat="1" applyFont="1" applyBorder="1"/>
    <xf numFmtId="39" fontId="24" fillId="0" borderId="0" xfId="0" applyNumberFormat="1" applyFont="1"/>
    <xf numFmtId="37" fontId="47" fillId="0" borderId="0" xfId="0" applyFont="1" applyAlignment="1">
      <alignment horizontal="left" indent="1"/>
    </xf>
    <xf numFmtId="37" fontId="47" fillId="0" borderId="0" xfId="0" applyFont="1" applyBorder="1" applyAlignment="1">
      <alignment horizontal="left" indent="1"/>
    </xf>
    <xf numFmtId="166" fontId="47" fillId="0" borderId="0" xfId="0" applyNumberFormat="1" applyFont="1" applyBorder="1"/>
    <xf numFmtId="176" fontId="47" fillId="0" borderId="1" xfId="7" applyFont="1" applyBorder="1"/>
    <xf numFmtId="176" fontId="47" fillId="0" borderId="0" xfId="7" applyFont="1" applyBorder="1"/>
    <xf numFmtId="37" fontId="47" fillId="0" borderId="0" xfId="0" applyFont="1" applyAlignment="1">
      <alignment horizontal="left" indent="2"/>
    </xf>
    <xf numFmtId="37" fontId="47" fillId="0" borderId="0" xfId="0" applyFont="1" applyAlignment="1">
      <alignment horizontal="left"/>
    </xf>
    <xf numFmtId="37" fontId="47" fillId="0" borderId="11" xfId="0" applyFont="1" applyBorder="1" applyAlignment="1">
      <alignment horizontal="left"/>
    </xf>
    <xf numFmtId="37" fontId="47" fillId="0" borderId="10" xfId="0" applyFont="1" applyBorder="1"/>
    <xf numFmtId="37" fontId="47" fillId="0" borderId="11" xfId="0" applyFont="1" applyBorder="1"/>
    <xf numFmtId="176" fontId="47" fillId="0" borderId="10" xfId="7" applyFont="1" applyBorder="1"/>
    <xf numFmtId="176" fontId="47" fillId="0" borderId="11" xfId="7" applyFont="1" applyBorder="1"/>
    <xf numFmtId="37" fontId="47" fillId="2" borderId="0" xfId="0" applyFont="1" applyFill="1"/>
    <xf numFmtId="37" fontId="47" fillId="0" borderId="22" xfId="0" applyFont="1" applyBorder="1" applyAlignment="1">
      <alignment horizontal="left" indent="1"/>
    </xf>
    <xf numFmtId="9" fontId="47" fillId="0" borderId="21" xfId="0" applyNumberFormat="1" applyFont="1" applyBorder="1"/>
    <xf numFmtId="9" fontId="47" fillId="0" borderId="22" xfId="0" applyNumberFormat="1" applyFont="1" applyBorder="1"/>
    <xf numFmtId="37" fontId="47" fillId="0" borderId="11" xfId="0" applyFont="1" applyBorder="1" applyAlignment="1">
      <alignment horizontal="left" indent="1"/>
    </xf>
    <xf numFmtId="9" fontId="47" fillId="0" borderId="10" xfId="0" applyNumberFormat="1" applyFont="1" applyBorder="1"/>
    <xf numFmtId="9" fontId="47" fillId="0" borderId="11" xfId="0" applyNumberFormat="1" applyFont="1" applyBorder="1"/>
    <xf numFmtId="37" fontId="47" fillId="0" borderId="22" xfId="0" applyFont="1" applyBorder="1" applyAlignment="1">
      <alignment horizontal="left"/>
    </xf>
    <xf numFmtId="176" fontId="47" fillId="0" borderId="21" xfId="7" applyFont="1" applyBorder="1"/>
    <xf numFmtId="176" fontId="47" fillId="0" borderId="22" xfId="7" applyFont="1" applyBorder="1"/>
    <xf numFmtId="37" fontId="47" fillId="0" borderId="21" xfId="0" applyFont="1" applyBorder="1"/>
    <xf numFmtId="37" fontId="47" fillId="0" borderId="22" xfId="0" applyFont="1" applyBorder="1"/>
    <xf numFmtId="37" fontId="47" fillId="0" borderId="0" xfId="0" applyFont="1" applyBorder="1" applyAlignment="1">
      <alignment horizontal="left"/>
    </xf>
    <xf numFmtId="176" fontId="26" fillId="4" borderId="3" xfId="7" applyFont="1" applyFill="1" applyBorder="1"/>
    <xf numFmtId="176" fontId="26" fillId="4" borderId="2" xfId="7" applyFont="1" applyFill="1" applyBorder="1"/>
    <xf numFmtId="37" fontId="26" fillId="4" borderId="2" xfId="7" applyNumberFormat="1" applyFont="1" applyFill="1" applyBorder="1"/>
    <xf numFmtId="170" fontId="47" fillId="0" borderId="0" xfId="0" applyNumberFormat="1" applyFont="1" applyAlignment="1">
      <alignment horizontal="left" indent="1"/>
    </xf>
    <xf numFmtId="170" fontId="47" fillId="0" borderId="0" xfId="0" applyNumberFormat="1" applyFont="1" applyBorder="1" applyAlignment="1">
      <alignment horizontal="left" indent="1"/>
    </xf>
    <xf numFmtId="170" fontId="47" fillId="0" borderId="22" xfId="0" applyNumberFormat="1" applyFont="1" applyBorder="1" applyAlignment="1">
      <alignment horizontal="left"/>
    </xf>
    <xf numFmtId="170" fontId="47" fillId="0" borderId="21" xfId="0" applyNumberFormat="1" applyFont="1" applyBorder="1"/>
    <xf numFmtId="170" fontId="47" fillId="0" borderId="22" xfId="0" applyNumberFormat="1" applyFont="1" applyBorder="1"/>
    <xf numFmtId="170" fontId="47" fillId="0" borderId="0" xfId="0" applyNumberFormat="1" applyFont="1" applyBorder="1" applyAlignment="1">
      <alignment horizontal="left"/>
    </xf>
    <xf numFmtId="170" fontId="47" fillId="0" borderId="11" xfId="0" applyNumberFormat="1" applyFont="1" applyBorder="1" applyAlignment="1">
      <alignment horizontal="left"/>
    </xf>
    <xf numFmtId="170" fontId="47" fillId="0" borderId="10" xfId="0" applyNumberFormat="1" applyFont="1" applyBorder="1"/>
    <xf numFmtId="170" fontId="47" fillId="0" borderId="11" xfId="0" applyNumberFormat="1" applyFont="1" applyBorder="1"/>
    <xf numFmtId="37" fontId="47" fillId="0" borderId="0" xfId="0" applyFont="1" applyFill="1"/>
    <xf numFmtId="176" fontId="26" fillId="0" borderId="3" xfId="7" applyFont="1" applyBorder="1"/>
    <xf numFmtId="176" fontId="26" fillId="0" borderId="2" xfId="7" applyFont="1" applyBorder="1"/>
    <xf numFmtId="176" fontId="47" fillId="0" borderId="2" xfId="7" applyFont="1" applyBorder="1"/>
    <xf numFmtId="176" fontId="47" fillId="0" borderId="3" xfId="7" applyFont="1" applyBorder="1"/>
    <xf numFmtId="166" fontId="47" fillId="0" borderId="1" xfId="0" applyNumberFormat="1" applyFont="1" applyBorder="1" applyAlignment="1">
      <alignment horizontal="right"/>
    </xf>
    <xf numFmtId="166" fontId="47" fillId="0" borderId="0" xfId="0" applyNumberFormat="1" applyFont="1" applyAlignment="1">
      <alignment horizontal="right"/>
    </xf>
    <xf numFmtId="177" fontId="47" fillId="0" borderId="1" xfId="4" applyFont="1" applyBorder="1"/>
    <xf numFmtId="177" fontId="47" fillId="0" borderId="0" xfId="4" applyFont="1" applyBorder="1"/>
    <xf numFmtId="168" fontId="47" fillId="0" borderId="1" xfId="0" applyNumberFormat="1" applyFont="1" applyBorder="1"/>
    <xf numFmtId="168" fontId="47" fillId="0" borderId="0" xfId="0" applyNumberFormat="1" applyFont="1" applyBorder="1"/>
    <xf numFmtId="176" fontId="47" fillId="0" borderId="1" xfId="7" applyFont="1" applyFill="1" applyBorder="1"/>
    <xf numFmtId="176" fontId="47" fillId="0" borderId="0" xfId="7" applyFont="1" applyFill="1" applyBorder="1"/>
    <xf numFmtId="176" fontId="47" fillId="0" borderId="22" xfId="7" applyFont="1" applyFill="1" applyBorder="1"/>
    <xf numFmtId="176" fontId="47" fillId="0" borderId="21" xfId="7" applyFont="1" applyFill="1" applyBorder="1"/>
    <xf numFmtId="176" fontId="47" fillId="0" borderId="11" xfId="7" applyFont="1" applyFill="1" applyBorder="1"/>
    <xf numFmtId="176" fontId="47" fillId="0" borderId="10" xfId="7" applyFont="1" applyFill="1" applyBorder="1"/>
    <xf numFmtId="176" fontId="26" fillId="0" borderId="3" xfId="7" applyFont="1" applyFill="1" applyBorder="1"/>
    <xf numFmtId="176" fontId="26" fillId="0" borderId="2" xfId="7" applyFont="1" applyFill="1" applyBorder="1"/>
    <xf numFmtId="166" fontId="47" fillId="0" borderId="1" xfId="0" applyNumberFormat="1" applyFont="1" applyFill="1" applyBorder="1" applyAlignment="1">
      <alignment horizontal="right"/>
    </xf>
    <xf numFmtId="166" fontId="47" fillId="0" borderId="0" xfId="0" applyNumberFormat="1" applyFont="1" applyFill="1" applyAlignment="1">
      <alignment horizontal="right"/>
    </xf>
    <xf numFmtId="169" fontId="47" fillId="0" borderId="1" xfId="0" applyNumberFormat="1" applyFont="1" applyBorder="1" applyAlignment="1">
      <alignment horizontal="right"/>
    </xf>
    <xf numFmtId="177" fontId="47" fillId="0" borderId="0" xfId="4" applyFont="1"/>
    <xf numFmtId="169" fontId="47" fillId="0" borderId="21" xfId="0" applyNumberFormat="1" applyFont="1" applyBorder="1" applyAlignment="1">
      <alignment horizontal="right"/>
    </xf>
    <xf numFmtId="177" fontId="47" fillId="0" borderId="21" xfId="4" applyFont="1" applyBorder="1"/>
    <xf numFmtId="177" fontId="47" fillId="0" borderId="22" xfId="4" applyFont="1" applyBorder="1"/>
    <xf numFmtId="169" fontId="47" fillId="0" borderId="10" xfId="0" applyNumberFormat="1" applyFont="1" applyBorder="1" applyAlignment="1">
      <alignment horizontal="right"/>
    </xf>
    <xf numFmtId="177" fontId="47" fillId="0" borderId="10" xfId="4" applyFont="1" applyBorder="1"/>
    <xf numFmtId="177" fontId="47" fillId="0" borderId="11" xfId="4" applyFont="1" applyBorder="1"/>
    <xf numFmtId="177" fontId="26" fillId="0" borderId="3" xfId="4" applyFont="1" applyBorder="1"/>
    <xf numFmtId="177" fontId="26" fillId="0" borderId="2" xfId="4" applyFont="1" applyBorder="1"/>
    <xf numFmtId="177" fontId="26" fillId="0" borderId="1" xfId="4" applyFont="1" applyBorder="1"/>
    <xf numFmtId="177" fontId="26" fillId="0" borderId="0" xfId="4" applyFont="1" applyBorder="1"/>
    <xf numFmtId="7" fontId="24" fillId="0" borderId="3" xfId="2" applyBorder="1">
      <alignment horizontal="right"/>
    </xf>
    <xf numFmtId="7" fontId="24" fillId="0" borderId="2" xfId="2" applyBorder="1">
      <alignment horizontal="right"/>
    </xf>
    <xf numFmtId="7" fontId="47" fillId="0" borderId="1" xfId="2" applyFont="1" applyBorder="1">
      <alignment horizontal="right"/>
    </xf>
    <xf numFmtId="7" fontId="47" fillId="0" borderId="0" xfId="2" applyFont="1">
      <alignment horizontal="right"/>
    </xf>
    <xf numFmtId="37" fontId="47" fillId="0" borderId="12" xfId="0" applyFont="1" applyBorder="1"/>
    <xf numFmtId="9" fontId="47" fillId="0" borderId="5" xfId="12" applyFont="1" applyBorder="1"/>
    <xf numFmtId="9" fontId="47" fillId="0" borderId="12" xfId="12" applyFont="1" applyBorder="1"/>
    <xf numFmtId="37" fontId="28" fillId="0" borderId="0" xfId="0" applyFont="1" applyAlignment="1">
      <alignment horizontal="right"/>
    </xf>
    <xf numFmtId="37" fontId="28" fillId="0" borderId="1" xfId="0" applyFont="1" applyBorder="1" applyAlignment="1">
      <alignment horizontal="right"/>
    </xf>
    <xf numFmtId="176" fontId="26" fillId="0" borderId="1" xfId="7" applyFont="1" applyBorder="1"/>
    <xf numFmtId="176" fontId="26" fillId="0" borderId="0" xfId="7" applyFont="1" applyBorder="1"/>
    <xf numFmtId="37" fontId="15" fillId="0" borderId="0" xfId="0" applyFont="1" applyFill="1" applyBorder="1"/>
    <xf numFmtId="176" fontId="15" fillId="0" borderId="0" xfId="7" applyFont="1" applyBorder="1"/>
    <xf numFmtId="176" fontId="15" fillId="0" borderId="1" xfId="7" applyFont="1" applyBorder="1"/>
    <xf numFmtId="37" fontId="0" fillId="2" borderId="0" xfId="0" applyFill="1"/>
    <xf numFmtId="37" fontId="0" fillId="2" borderId="0" xfId="0" applyFill="1" applyBorder="1"/>
    <xf numFmtId="37" fontId="0" fillId="2" borderId="1" xfId="0" applyFill="1" applyBorder="1"/>
    <xf numFmtId="37" fontId="25" fillId="2" borderId="0" xfId="0" applyFont="1" applyFill="1" applyBorder="1"/>
    <xf numFmtId="37" fontId="25" fillId="2" borderId="1" xfId="0" applyFont="1" applyFill="1" applyBorder="1"/>
    <xf numFmtId="37" fontId="39" fillId="2" borderId="0" xfId="0" applyFont="1" applyFill="1" applyBorder="1"/>
    <xf numFmtId="7" fontId="15" fillId="0" borderId="0" xfId="2" applyFont="1">
      <alignment horizontal="right"/>
    </xf>
    <xf numFmtId="39" fontId="15" fillId="0" borderId="0" xfId="0" applyNumberFormat="1" applyFont="1"/>
    <xf numFmtId="171" fontId="47" fillId="0" borderId="0" xfId="0" applyNumberFormat="1" applyFont="1"/>
    <xf numFmtId="37" fontId="49" fillId="0" borderId="0" xfId="0" applyFont="1"/>
    <xf numFmtId="7" fontId="15" fillId="0" borderId="2" xfId="2" applyFont="1" applyBorder="1">
      <alignment horizontal="right"/>
    </xf>
    <xf numFmtId="176" fontId="28" fillId="0" borderId="2" xfId="7" applyFont="1" applyBorder="1"/>
    <xf numFmtId="170" fontId="24" fillId="0" borderId="0" xfId="0" applyNumberFormat="1" applyFont="1"/>
    <xf numFmtId="1" fontId="24" fillId="0" borderId="0" xfId="0" applyNumberFormat="1" applyFont="1"/>
    <xf numFmtId="179" fontId="24" fillId="0" borderId="0" xfId="0" applyNumberFormat="1" applyFont="1"/>
    <xf numFmtId="5" fontId="36" fillId="0" borderId="0" xfId="0" applyNumberFormat="1" applyFont="1"/>
    <xf numFmtId="5" fontId="47" fillId="0" borderId="1" xfId="0" applyNumberFormat="1" applyFont="1" applyBorder="1"/>
    <xf numFmtId="5" fontId="36" fillId="0" borderId="1" xfId="0" applyNumberFormat="1" applyFont="1" applyBorder="1"/>
    <xf numFmtId="170" fontId="24" fillId="0" borderId="1" xfId="12" applyNumberFormat="1" applyBorder="1"/>
    <xf numFmtId="170" fontId="50" fillId="0" borderId="0" xfId="0" applyNumberFormat="1" applyFont="1" applyBorder="1"/>
    <xf numFmtId="176" fontId="50" fillId="2" borderId="1" xfId="7" applyFont="1" applyFill="1" applyBorder="1"/>
    <xf numFmtId="176" fontId="50" fillId="2" borderId="0" xfId="7" applyFont="1" applyFill="1" applyBorder="1"/>
    <xf numFmtId="37" fontId="50" fillId="2" borderId="0" xfId="7" applyNumberFormat="1" applyFont="1" applyFill="1" applyBorder="1"/>
    <xf numFmtId="37" fontId="50" fillId="2" borderId="1" xfId="0" applyFont="1" applyFill="1" applyBorder="1"/>
    <xf numFmtId="37" fontId="50" fillId="2" borderId="0" xfId="0" applyFont="1" applyFill="1" applyBorder="1"/>
    <xf numFmtId="37" fontId="50" fillId="2" borderId="0" xfId="0" applyFont="1" applyFill="1"/>
    <xf numFmtId="37" fontId="50" fillId="0" borderId="0" xfId="0" applyFont="1"/>
    <xf numFmtId="170" fontId="50" fillId="0" borderId="17" xfId="0" applyNumberFormat="1" applyFont="1" applyBorder="1"/>
    <xf numFmtId="170" fontId="50" fillId="0" borderId="4" xfId="0" applyNumberFormat="1" applyFont="1" applyBorder="1"/>
    <xf numFmtId="165" fontId="24" fillId="0" borderId="0" xfId="0" applyNumberFormat="1" applyFont="1" applyBorder="1"/>
    <xf numFmtId="165" fontId="24" fillId="0" borderId="1" xfId="0" applyNumberFormat="1" applyFont="1" applyBorder="1"/>
    <xf numFmtId="170" fontId="24" fillId="0" borderId="1" xfId="0" applyNumberFormat="1" applyFont="1" applyBorder="1"/>
    <xf numFmtId="170" fontId="24" fillId="0" borderId="0" xfId="0" applyNumberFormat="1" applyFont="1" applyBorder="1"/>
    <xf numFmtId="37" fontId="24" fillId="0" borderId="27" xfId="0" applyFont="1" applyBorder="1"/>
    <xf numFmtId="37" fontId="26" fillId="4" borderId="28" xfId="0" applyFont="1" applyFill="1" applyBorder="1"/>
    <xf numFmtId="37" fontId="26" fillId="4" borderId="29" xfId="0" applyFont="1" applyFill="1" applyBorder="1"/>
    <xf numFmtId="37" fontId="26" fillId="4" borderId="30" xfId="0" applyFont="1" applyFill="1" applyBorder="1"/>
    <xf numFmtId="37" fontId="26" fillId="4" borderId="0" xfId="0" applyFont="1" applyFill="1" applyBorder="1"/>
    <xf numFmtId="5" fontId="38" fillId="0" borderId="0" xfId="0" applyNumberFormat="1" applyFont="1" applyBorder="1"/>
    <xf numFmtId="37" fontId="45" fillId="4" borderId="0" xfId="0" applyFont="1" applyFill="1" applyBorder="1"/>
    <xf numFmtId="5" fontId="36" fillId="0" borderId="0" xfId="0" applyNumberFormat="1" applyFont="1" applyBorder="1"/>
    <xf numFmtId="166" fontId="26" fillId="4" borderId="0" xfId="0" applyNumberFormat="1" applyFont="1" applyFill="1" applyBorder="1"/>
    <xf numFmtId="37" fontId="15" fillId="0" borderId="0" xfId="0" applyFont="1" applyBorder="1"/>
    <xf numFmtId="170" fontId="15" fillId="0" borderId="1" xfId="12" applyNumberFormat="1" applyFont="1" applyBorder="1"/>
    <xf numFmtId="165" fontId="15" fillId="0" borderId="0" xfId="0" applyNumberFormat="1" applyFont="1" applyBorder="1"/>
    <xf numFmtId="170" fontId="51" fillId="0" borderId="1" xfId="0" applyNumberFormat="1" applyFont="1" applyBorder="1"/>
    <xf numFmtId="170" fontId="51" fillId="0" borderId="0" xfId="0" applyNumberFormat="1" applyFont="1" applyBorder="1"/>
    <xf numFmtId="37" fontId="7" fillId="3" borderId="17" xfId="0" applyFont="1" applyFill="1" applyBorder="1" applyAlignment="1">
      <alignment horizontal="center"/>
    </xf>
    <xf numFmtId="164" fontId="8" fillId="4" borderId="5" xfId="0" applyNumberFormat="1" applyFont="1" applyFill="1" applyBorder="1" applyAlignment="1">
      <alignment horizontal="center"/>
    </xf>
    <xf numFmtId="164" fontId="8" fillId="4" borderId="12" xfId="0" applyNumberFormat="1" applyFont="1" applyFill="1" applyBorder="1" applyAlignment="1">
      <alignment horizontal="center"/>
    </xf>
    <xf numFmtId="170" fontId="26" fillId="0" borderId="31" xfId="0" applyNumberFormat="1" applyFont="1" applyBorder="1"/>
    <xf numFmtId="37" fontId="26" fillId="0" borderId="7" xfId="0" applyFont="1" applyBorder="1"/>
    <xf numFmtId="170" fontId="26" fillId="0" borderId="32" xfId="12" applyNumberFormat="1" applyFont="1" applyBorder="1"/>
    <xf numFmtId="170" fontId="52" fillId="0" borderId="33" xfId="0" applyNumberFormat="1" applyFont="1" applyBorder="1"/>
    <xf numFmtId="170" fontId="52" fillId="0" borderId="6" xfId="0" applyNumberFormat="1" applyFont="1" applyBorder="1"/>
    <xf numFmtId="9" fontId="15" fillId="0" borderId="0" xfId="12" applyFont="1" applyBorder="1"/>
    <xf numFmtId="5" fontId="24" fillId="0" borderId="0" xfId="0" applyNumberFormat="1" applyFont="1" applyBorder="1"/>
    <xf numFmtId="170" fontId="24" fillId="0" borderId="34" xfId="0" applyNumberFormat="1" applyFont="1" applyBorder="1"/>
    <xf numFmtId="170" fontId="24" fillId="0" borderId="35" xfId="0" applyNumberFormat="1" applyFont="1" applyBorder="1"/>
    <xf numFmtId="37" fontId="24" fillId="0" borderId="34" xfId="0" applyFont="1" applyBorder="1"/>
    <xf numFmtId="37" fontId="24" fillId="0" borderId="35" xfId="0" applyFont="1" applyBorder="1"/>
    <xf numFmtId="37" fontId="26" fillId="4" borderId="36" xfId="0" applyFont="1" applyFill="1" applyBorder="1"/>
    <xf numFmtId="170" fontId="24" fillId="0" borderId="34" xfId="12" applyNumberFormat="1" applyBorder="1"/>
    <xf numFmtId="170" fontId="24" fillId="0" borderId="35" xfId="12" applyNumberFormat="1" applyBorder="1"/>
    <xf numFmtId="170" fontId="52" fillId="0" borderId="39" xfId="0" applyNumberFormat="1" applyFont="1" applyBorder="1"/>
    <xf numFmtId="170" fontId="52" fillId="0" borderId="40" xfId="0" applyNumberFormat="1" applyFont="1" applyBorder="1"/>
    <xf numFmtId="179" fontId="24" fillId="0" borderId="0" xfId="0" applyNumberFormat="1" applyFont="1" applyBorder="1"/>
    <xf numFmtId="172" fontId="24" fillId="0" borderId="12" xfId="0" applyNumberFormat="1" applyFont="1" applyBorder="1"/>
    <xf numFmtId="37" fontId="0" fillId="0" borderId="12" xfId="0" applyBorder="1"/>
    <xf numFmtId="172" fontId="24" fillId="0" borderId="12" xfId="0" applyNumberFormat="1" applyFont="1" applyBorder="1" applyAlignment="1">
      <alignment horizontal="right"/>
    </xf>
    <xf numFmtId="172" fontId="36" fillId="0" borderId="12" xfId="0" applyNumberFormat="1" applyFont="1" applyBorder="1"/>
    <xf numFmtId="9" fontId="15" fillId="0" borderId="1" xfId="12" applyFont="1" applyBorder="1"/>
    <xf numFmtId="9" fontId="15" fillId="0" borderId="5" xfId="12" applyFont="1" applyBorder="1"/>
    <xf numFmtId="5" fontId="25" fillId="0" borderId="0" xfId="0" applyNumberFormat="1" applyFont="1" applyBorder="1"/>
    <xf numFmtId="9" fontId="15" fillId="0" borderId="0" xfId="0" applyNumberFormat="1" applyFont="1" applyBorder="1"/>
    <xf numFmtId="5" fontId="15" fillId="0" borderId="0" xfId="0" applyNumberFormat="1" applyFont="1" applyBorder="1"/>
    <xf numFmtId="166" fontId="15" fillId="0" borderId="0" xfId="0" applyNumberFormat="1" applyFont="1" applyBorder="1"/>
    <xf numFmtId="1" fontId="15" fillId="0" borderId="0" xfId="0" applyNumberFormat="1" applyFont="1" applyBorder="1"/>
    <xf numFmtId="39" fontId="41" fillId="0" borderId="1" xfId="0" applyNumberFormat="1" applyFont="1" applyBorder="1"/>
    <xf numFmtId="176" fontId="54" fillId="0" borderId="0" xfId="7" applyFont="1" applyBorder="1"/>
    <xf numFmtId="0" fontId="24" fillId="0" borderId="0" xfId="0" applyNumberFormat="1" applyFont="1"/>
    <xf numFmtId="0" fontId="15" fillId="0" borderId="0" xfId="0" applyNumberFormat="1" applyFont="1" applyFill="1"/>
    <xf numFmtId="0" fontId="24" fillId="0" borderId="0" xfId="0" applyNumberFormat="1" applyFont="1" applyBorder="1"/>
    <xf numFmtId="0" fontId="24" fillId="0" borderId="1" xfId="0" applyNumberFormat="1" applyFont="1" applyBorder="1"/>
    <xf numFmtId="3" fontId="24" fillId="0" borderId="0" xfId="0" applyNumberFormat="1" applyFont="1" applyBorder="1"/>
    <xf numFmtId="3" fontId="24" fillId="0" borderId="1" xfId="0" applyNumberFormat="1" applyFont="1" applyBorder="1"/>
    <xf numFmtId="3" fontId="24" fillId="0" borderId="0" xfId="0" applyNumberFormat="1" applyFont="1" applyAlignment="1">
      <alignment horizontal="right"/>
    </xf>
    <xf numFmtId="3" fontId="24" fillId="0" borderId="1" xfId="0" applyNumberFormat="1" applyFont="1" applyBorder="1" applyAlignment="1">
      <alignment horizontal="right"/>
    </xf>
    <xf numFmtId="3" fontId="24" fillId="0" borderId="0" xfId="0" applyNumberFormat="1" applyFont="1" applyBorder="1" applyAlignment="1">
      <alignment horizontal="right"/>
    </xf>
    <xf numFmtId="37" fontId="55" fillId="4" borderId="1" xfId="0" applyFont="1" applyFill="1" applyBorder="1"/>
    <xf numFmtId="5" fontId="56" fillId="0" borderId="1" xfId="0" applyNumberFormat="1" applyFont="1" applyBorder="1"/>
    <xf numFmtId="170" fontId="15" fillId="0" borderId="0" xfId="12" applyNumberFormat="1" applyFont="1" applyBorder="1"/>
    <xf numFmtId="164" fontId="8" fillId="4" borderId="38" xfId="0" applyNumberFormat="1" applyFont="1" applyFill="1" applyBorder="1" applyAlignment="1">
      <alignment horizontal="center"/>
    </xf>
    <xf numFmtId="37" fontId="26" fillId="4" borderId="34" xfId="0" applyFont="1" applyFill="1" applyBorder="1"/>
    <xf numFmtId="5" fontId="24" fillId="0" borderId="34" xfId="0" applyNumberFormat="1" applyFont="1" applyBorder="1"/>
    <xf numFmtId="165" fontId="24" fillId="0" borderId="34" xfId="0" applyNumberFormat="1" applyFont="1" applyBorder="1"/>
    <xf numFmtId="37" fontId="26" fillId="0" borderId="37" xfId="0" applyFont="1" applyBorder="1"/>
    <xf numFmtId="9" fontId="24" fillId="0" borderId="34" xfId="12" applyBorder="1"/>
    <xf numFmtId="37" fontId="24" fillId="0" borderId="37" xfId="0" applyFont="1" applyBorder="1"/>
    <xf numFmtId="37" fontId="7" fillId="3" borderId="8" xfId="0" applyFont="1" applyFill="1" applyBorder="1" applyAlignment="1">
      <alignment horizontal="center"/>
    </xf>
    <xf numFmtId="164" fontId="8" fillId="4" borderId="9" xfId="0" applyNumberFormat="1" applyFont="1" applyFill="1" applyBorder="1" applyAlignment="1">
      <alignment horizontal="center"/>
    </xf>
    <xf numFmtId="37" fontId="26" fillId="4" borderId="13" xfId="0" applyFont="1" applyFill="1" applyBorder="1"/>
    <xf numFmtId="5" fontId="24" fillId="0" borderId="13" xfId="0" applyNumberFormat="1" applyFont="1" applyBorder="1"/>
    <xf numFmtId="170" fontId="24" fillId="0" borderId="13" xfId="0" applyNumberFormat="1" applyFont="1" applyBorder="1"/>
    <xf numFmtId="165" fontId="24" fillId="0" borderId="13" xfId="0" applyNumberFormat="1" applyFont="1" applyBorder="1"/>
    <xf numFmtId="37" fontId="26" fillId="0" borderId="23" xfId="0" applyFont="1" applyBorder="1"/>
    <xf numFmtId="37" fontId="26" fillId="4" borderId="42" xfId="0" applyFont="1" applyFill="1" applyBorder="1"/>
    <xf numFmtId="9" fontId="24" fillId="0" borderId="13" xfId="12" applyBorder="1"/>
    <xf numFmtId="170" fontId="24" fillId="0" borderId="13" xfId="12" applyNumberFormat="1" applyBorder="1"/>
    <xf numFmtId="170" fontId="51" fillId="0" borderId="13" xfId="0" applyNumberFormat="1" applyFont="1" applyBorder="1"/>
    <xf numFmtId="170" fontId="26" fillId="0" borderId="43" xfId="12" applyNumberFormat="1" applyFont="1" applyBorder="1"/>
    <xf numFmtId="170" fontId="52" fillId="0" borderId="44" xfId="0" applyNumberFormat="1" applyFont="1" applyBorder="1"/>
    <xf numFmtId="37" fontId="24" fillId="0" borderId="23" xfId="0" applyFont="1" applyBorder="1"/>
    <xf numFmtId="37" fontId="26" fillId="0" borderId="32" xfId="12" applyNumberFormat="1" applyFont="1" applyBorder="1"/>
    <xf numFmtId="7" fontId="26" fillId="0" borderId="3" xfId="0" applyNumberFormat="1" applyFont="1" applyBorder="1"/>
    <xf numFmtId="7" fontId="26" fillId="0" borderId="2" xfId="0" applyNumberFormat="1" applyFont="1" applyBorder="1"/>
    <xf numFmtId="37" fontId="25" fillId="0" borderId="0" xfId="0" applyFont="1" applyFill="1"/>
    <xf numFmtId="37" fontId="0" fillId="0" borderId="0" xfId="0" applyFill="1" applyAlignment="1">
      <alignment horizontal="left"/>
    </xf>
    <xf numFmtId="37" fontId="25" fillId="0" borderId="0" xfId="0" applyFont="1" applyFill="1" applyAlignment="1">
      <alignment horizontal="left"/>
    </xf>
    <xf numFmtId="37" fontId="15" fillId="0" borderId="0" xfId="0" applyFont="1" applyFill="1" applyAlignment="1">
      <alignment horizontal="left"/>
    </xf>
    <xf numFmtId="37" fontId="25" fillId="0" borderId="0" xfId="0" applyFont="1" applyFill="1" applyBorder="1"/>
    <xf numFmtId="37" fontId="47" fillId="0" borderId="6" xfId="0" applyFont="1" applyBorder="1"/>
    <xf numFmtId="166" fontId="47" fillId="0" borderId="0" xfId="0" applyNumberFormat="1" applyFont="1" applyBorder="1" applyAlignment="1">
      <alignment horizontal="right"/>
    </xf>
    <xf numFmtId="37" fontId="47" fillId="0" borderId="1" xfId="4" applyNumberFormat="1" applyFont="1" applyBorder="1"/>
    <xf numFmtId="37" fontId="47" fillId="0" borderId="0" xfId="4" applyNumberFormat="1" applyFont="1" applyBorder="1"/>
    <xf numFmtId="37" fontId="26" fillId="0" borderId="1" xfId="4" applyNumberFormat="1" applyFont="1" applyBorder="1"/>
    <xf numFmtId="37" fontId="26" fillId="0" borderId="0" xfId="4" applyNumberFormat="1" applyFont="1" applyBorder="1"/>
    <xf numFmtId="37" fontId="25" fillId="0" borderId="1" xfId="4" applyNumberFormat="1" applyFont="1" applyBorder="1"/>
    <xf numFmtId="37" fontId="25" fillId="0" borderId="0" xfId="4" applyNumberFormat="1" applyFont="1" applyBorder="1"/>
    <xf numFmtId="181" fontId="47" fillId="0" borderId="0" xfId="4" applyNumberFormat="1" applyFont="1" applyBorder="1" applyAlignment="1">
      <alignment horizontal="right"/>
    </xf>
    <xf numFmtId="181" fontId="26" fillId="0" borderId="0" xfId="4" applyNumberFormat="1" applyFont="1" applyBorder="1" applyAlignment="1">
      <alignment horizontal="right"/>
    </xf>
    <xf numFmtId="181" fontId="47" fillId="0" borderId="1" xfId="4" applyNumberFormat="1" applyFont="1" applyBorder="1" applyAlignment="1">
      <alignment horizontal="right"/>
    </xf>
    <xf numFmtId="181" fontId="26" fillId="0" borderId="1" xfId="4" applyNumberFormat="1" applyFont="1" applyBorder="1" applyAlignment="1">
      <alignment horizontal="right"/>
    </xf>
    <xf numFmtId="170" fontId="47" fillId="0" borderId="2" xfId="0" applyNumberFormat="1" applyFont="1" applyBorder="1"/>
    <xf numFmtId="37" fontId="47" fillId="0" borderId="3" xfId="0" applyFont="1" applyBorder="1"/>
    <xf numFmtId="9" fontId="47" fillId="0" borderId="3" xfId="12" applyFont="1" applyBorder="1"/>
    <xf numFmtId="9" fontId="47" fillId="0" borderId="2" xfId="12" applyFont="1" applyBorder="1"/>
    <xf numFmtId="9" fontId="15" fillId="0" borderId="2" xfId="12" applyFont="1" applyBorder="1"/>
    <xf numFmtId="37" fontId="15" fillId="0" borderId="0" xfId="0" applyFont="1" applyAlignment="1">
      <alignment horizontal="left" indent="2"/>
    </xf>
    <xf numFmtId="37" fontId="54" fillId="0" borderId="0" xfId="0" applyFont="1"/>
    <xf numFmtId="39" fontId="41" fillId="0" borderId="0" xfId="0" applyNumberFormat="1" applyFont="1"/>
    <xf numFmtId="37" fontId="15" fillId="0" borderId="0" xfId="0" applyFont="1" applyAlignment="1">
      <alignment horizontal="left" indent="1"/>
    </xf>
    <xf numFmtId="5" fontId="15" fillId="0" borderId="0" xfId="0" applyNumberFormat="1" applyFont="1"/>
    <xf numFmtId="165" fontId="15" fillId="0" borderId="0" xfId="0" applyNumberFormat="1" applyFont="1"/>
    <xf numFmtId="1" fontId="15" fillId="0" borderId="0" xfId="0" applyNumberFormat="1" applyFont="1"/>
    <xf numFmtId="37" fontId="15" fillId="0" borderId="1" xfId="0" applyFont="1" applyFill="1" applyBorder="1"/>
    <xf numFmtId="0" fontId="0" fillId="2" borderId="0" xfId="0" applyNumberFormat="1" applyFill="1" applyBorder="1"/>
    <xf numFmtId="0" fontId="26" fillId="2" borderId="2" xfId="0" applyNumberFormat="1" applyFont="1" applyFill="1" applyBorder="1"/>
    <xf numFmtId="37" fontId="15" fillId="0" borderId="0" xfId="0" applyFont="1" applyFill="1" applyBorder="1" applyAlignment="1">
      <alignment horizontal="right"/>
    </xf>
    <xf numFmtId="173" fontId="24" fillId="0" borderId="0" xfId="0" applyNumberFormat="1" applyFont="1"/>
    <xf numFmtId="173" fontId="24" fillId="0" borderId="1" xfId="0" applyNumberFormat="1" applyFont="1" applyBorder="1" applyAlignment="1">
      <alignment horizontal="right"/>
    </xf>
    <xf numFmtId="173" fontId="24" fillId="0" borderId="0" xfId="0" applyNumberFormat="1" applyFont="1" applyAlignment="1">
      <alignment horizontal="right"/>
    </xf>
    <xf numFmtId="37" fontId="15" fillId="0" borderId="0" xfId="0" applyFont="1" applyFill="1"/>
    <xf numFmtId="173" fontId="24" fillId="0" borderId="0" xfId="0" applyNumberFormat="1" applyFont="1" applyFill="1" applyAlignment="1">
      <alignment horizontal="right"/>
    </xf>
    <xf numFmtId="3" fontId="24" fillId="0" borderId="0" xfId="0" applyNumberFormat="1" applyFont="1" applyFill="1" applyBorder="1"/>
    <xf numFmtId="37" fontId="15" fillId="0" borderId="11" xfId="0" applyFont="1" applyBorder="1"/>
    <xf numFmtId="170" fontId="15" fillId="0" borderId="22" xfId="0" applyNumberFormat="1" applyFont="1" applyBorder="1"/>
    <xf numFmtId="170" fontId="15" fillId="0" borderId="11" xfId="0" applyNumberFormat="1" applyFont="1" applyBorder="1"/>
    <xf numFmtId="5" fontId="26" fillId="0" borderId="0" xfId="0" applyNumberFormat="1" applyFont="1"/>
    <xf numFmtId="37" fontId="15" fillId="0" borderId="0" xfId="0" applyFont="1" applyFill="1" applyAlignment="1">
      <alignment horizontal="right"/>
    </xf>
    <xf numFmtId="166" fontId="26" fillId="0" borderId="0" xfId="0" applyNumberFormat="1" applyFont="1" applyFill="1" applyAlignment="1">
      <alignment horizontal="right"/>
    </xf>
    <xf numFmtId="172" fontId="16" fillId="0" borderId="0" xfId="0" applyNumberFormat="1" applyFont="1" applyFill="1" applyBorder="1" applyAlignment="1">
      <alignment horizontal="left"/>
    </xf>
    <xf numFmtId="9" fontId="24" fillId="0" borderId="0" xfId="0" applyNumberFormat="1" applyFont="1" applyBorder="1"/>
    <xf numFmtId="9" fontId="24" fillId="0" borderId="0" xfId="0" applyNumberFormat="1" applyFont="1" applyBorder="1" applyAlignment="1">
      <alignment horizontal="right"/>
    </xf>
    <xf numFmtId="9" fontId="36" fillId="0" borderId="0" xfId="0" applyNumberFormat="1" applyFont="1" applyBorder="1"/>
    <xf numFmtId="170" fontId="24" fillId="0" borderId="0" xfId="0" applyNumberFormat="1" applyFont="1" applyBorder="1" applyAlignment="1">
      <alignment horizontal="right"/>
    </xf>
    <xf numFmtId="184" fontId="15" fillId="0" borderId="0" xfId="4" quotePrefix="1" applyNumberFormat="1" applyFont="1" applyBorder="1" applyAlignment="1">
      <alignment horizontal="right"/>
    </xf>
    <xf numFmtId="178" fontId="24" fillId="0" borderId="0" xfId="0" applyNumberFormat="1" applyFont="1" applyAlignment="1">
      <alignment horizontal="right"/>
    </xf>
    <xf numFmtId="178" fontId="24" fillId="0" borderId="11" xfId="0" applyNumberFormat="1" applyFont="1" applyBorder="1" applyAlignment="1">
      <alignment horizontal="right"/>
    </xf>
    <xf numFmtId="178" fontId="26" fillId="0" borderId="0" xfId="0" applyNumberFormat="1" applyFont="1" applyAlignment="1">
      <alignment horizontal="right"/>
    </xf>
    <xf numFmtId="178" fontId="25" fillId="0" borderId="0" xfId="0" applyNumberFormat="1" applyFont="1" applyAlignment="1">
      <alignment horizontal="right"/>
    </xf>
    <xf numFmtId="5" fontId="15" fillId="0" borderId="1" xfId="0" applyNumberFormat="1" applyFont="1" applyBorder="1"/>
    <xf numFmtId="171" fontId="15" fillId="0" borderId="0" xfId="0" applyNumberFormat="1" applyFont="1"/>
    <xf numFmtId="37" fontId="25" fillId="7" borderId="0" xfId="0" applyFont="1" applyFill="1" applyAlignment="1">
      <alignment horizontal="right"/>
    </xf>
    <xf numFmtId="37" fontId="15" fillId="0" borderId="34" xfId="0" applyFont="1" applyBorder="1"/>
    <xf numFmtId="37" fontId="15" fillId="0" borderId="35" xfId="0" applyFont="1" applyBorder="1"/>
    <xf numFmtId="9" fontId="54" fillId="0" borderId="0" xfId="0" applyNumberFormat="1" applyFont="1" applyBorder="1"/>
    <xf numFmtId="37" fontId="15" fillId="0" borderId="21" xfId="0" applyFont="1" applyBorder="1"/>
    <xf numFmtId="37" fontId="15" fillId="0" borderId="10" xfId="0" applyFont="1" applyBorder="1"/>
    <xf numFmtId="170" fontId="15" fillId="0" borderId="21" xfId="0" applyNumberFormat="1" applyFont="1" applyBorder="1"/>
    <xf numFmtId="170" fontId="15" fillId="0" borderId="10" xfId="0" applyNumberFormat="1" applyFont="1" applyBorder="1"/>
    <xf numFmtId="5" fontId="26" fillId="0" borderId="1" xfId="0" applyNumberFormat="1" applyFont="1" applyBorder="1"/>
    <xf numFmtId="7" fontId="15" fillId="0" borderId="3" xfId="2" applyFont="1" applyBorder="1">
      <alignment horizontal="right"/>
    </xf>
    <xf numFmtId="7" fontId="15" fillId="0" borderId="1" xfId="2" applyFont="1" applyBorder="1">
      <alignment horizontal="right"/>
    </xf>
    <xf numFmtId="7" fontId="26" fillId="3" borderId="3" xfId="2" applyFont="1" applyFill="1" applyBorder="1">
      <alignment horizontal="right"/>
    </xf>
    <xf numFmtId="37" fontId="54" fillId="0" borderId="0" xfId="0" applyFont="1" applyFill="1" applyBorder="1" applyAlignment="1">
      <alignment horizontal="right"/>
    </xf>
    <xf numFmtId="37" fontId="15" fillId="0" borderId="22" xfId="0" applyFont="1" applyBorder="1"/>
    <xf numFmtId="7" fontId="26" fillId="3" borderId="2" xfId="2" applyFont="1" applyFill="1" applyBorder="1">
      <alignment horizontal="right"/>
    </xf>
    <xf numFmtId="39" fontId="15" fillId="0" borderId="1" xfId="0" applyNumberFormat="1" applyFont="1" applyBorder="1"/>
    <xf numFmtId="37" fontId="16" fillId="0" borderId="0" xfId="0" applyFont="1"/>
    <xf numFmtId="165" fontId="15" fillId="0" borderId="1" xfId="0" applyNumberFormat="1" applyFont="1" applyBorder="1"/>
    <xf numFmtId="1" fontId="15" fillId="7" borderId="0" xfId="0" applyNumberFormat="1" applyFont="1" applyFill="1"/>
    <xf numFmtId="9" fontId="15" fillId="7" borderId="0" xfId="0" applyNumberFormat="1" applyFont="1" applyFill="1" applyBorder="1"/>
    <xf numFmtId="179" fontId="15" fillId="7" borderId="0" xfId="0" applyNumberFormat="1" applyFont="1" applyFill="1"/>
    <xf numFmtId="165" fontId="15" fillId="7" borderId="0" xfId="0" applyNumberFormat="1" applyFont="1" applyFill="1"/>
    <xf numFmtId="9" fontId="15" fillId="7" borderId="0" xfId="0" applyNumberFormat="1" applyFont="1" applyFill="1"/>
    <xf numFmtId="37" fontId="30" fillId="0" borderId="0" xfId="0" applyFont="1" applyAlignment="1">
      <alignment horizontal="right"/>
    </xf>
    <xf numFmtId="37" fontId="53" fillId="2" borderId="1" xfId="0" applyFont="1" applyFill="1" applyBorder="1"/>
    <xf numFmtId="37" fontId="15" fillId="0" borderId="0" xfId="0" applyFont="1" applyBorder="1" applyAlignment="1">
      <alignment horizontal="right"/>
    </xf>
    <xf numFmtId="37" fontId="24" fillId="7" borderId="0" xfId="0" applyFont="1" applyFill="1" applyAlignment="1">
      <alignment horizontal="right"/>
    </xf>
    <xf numFmtId="37" fontId="24" fillId="7" borderId="1" xfId="0" applyFont="1" applyFill="1" applyBorder="1" applyAlignment="1">
      <alignment horizontal="right"/>
    </xf>
    <xf numFmtId="37" fontId="25" fillId="7" borderId="1" xfId="0" applyFont="1" applyFill="1" applyBorder="1" applyAlignment="1">
      <alignment horizontal="right"/>
    </xf>
    <xf numFmtId="37" fontId="26" fillId="7" borderId="0" xfId="0" applyFont="1" applyFill="1" applyAlignment="1">
      <alignment horizontal="right"/>
    </xf>
    <xf numFmtId="37" fontId="26" fillId="7" borderId="1" xfId="0" applyFont="1" applyFill="1" applyBorder="1" applyAlignment="1">
      <alignment horizontal="right"/>
    </xf>
    <xf numFmtId="37" fontId="112" fillId="0" borderId="1" xfId="0" applyFont="1" applyBorder="1"/>
    <xf numFmtId="43" fontId="24" fillId="0" borderId="0" xfId="0" applyNumberFormat="1" applyFont="1" applyAlignment="1">
      <alignment horizontal="right"/>
    </xf>
    <xf numFmtId="37" fontId="15" fillId="0" borderId="0" xfId="0" applyFont="1" applyAlignment="1">
      <alignment horizontal="left" indent="3"/>
    </xf>
    <xf numFmtId="37" fontId="26" fillId="7" borderId="0" xfId="0" applyFont="1" applyFill="1" applyBorder="1"/>
    <xf numFmtId="0" fontId="7" fillId="3" borderId="1" xfId="0" applyNumberFormat="1" applyFont="1" applyFill="1" applyBorder="1" applyAlignment="1">
      <alignment horizontal="center"/>
    </xf>
    <xf numFmtId="0" fontId="7" fillId="3" borderId="4" xfId="0" applyNumberFormat="1" applyFont="1" applyFill="1" applyBorder="1" applyAlignment="1">
      <alignment horizontal="center"/>
    </xf>
    <xf numFmtId="0" fontId="7" fillId="3" borderId="41" xfId="0" applyNumberFormat="1" applyFont="1" applyFill="1" applyBorder="1" applyAlignment="1">
      <alignment horizontal="center"/>
    </xf>
    <xf numFmtId="0" fontId="12" fillId="3" borderId="1" xfId="0" applyNumberFormat="1" applyFont="1" applyFill="1" applyBorder="1" applyAlignment="1">
      <alignment horizontal="center"/>
    </xf>
    <xf numFmtId="37" fontId="43" fillId="2" borderId="0" xfId="0" applyFont="1" applyFill="1" applyBorder="1"/>
    <xf numFmtId="37" fontId="43" fillId="2" borderId="1" xfId="0" applyFont="1" applyFill="1" applyBorder="1"/>
    <xf numFmtId="9" fontId="15" fillId="0" borderId="22" xfId="0" applyNumberFormat="1" applyFont="1" applyBorder="1"/>
    <xf numFmtId="9" fontId="15" fillId="0" borderId="21" xfId="0" applyNumberFormat="1" applyFont="1" applyBorder="1"/>
    <xf numFmtId="9" fontId="15" fillId="0" borderId="11" xfId="0" applyNumberFormat="1" applyFont="1" applyBorder="1"/>
    <xf numFmtId="9" fontId="15" fillId="0" borderId="10" xfId="0" applyNumberFormat="1" applyFont="1" applyBorder="1"/>
    <xf numFmtId="170" fontId="43" fillId="0" borderId="17" xfId="0" applyNumberFormat="1" applyFont="1" applyBorder="1"/>
    <xf numFmtId="170" fontId="43" fillId="0" borderId="4" xfId="0" applyNumberFormat="1" applyFont="1" applyBorder="1"/>
    <xf numFmtId="166" fontId="15" fillId="0" borderId="0" xfId="0" applyNumberFormat="1" applyFont="1" applyAlignment="1">
      <alignment horizontal="right"/>
    </xf>
    <xf numFmtId="168" fontId="15" fillId="0" borderId="0" xfId="0" applyNumberFormat="1" applyFont="1" applyBorder="1"/>
    <xf numFmtId="168" fontId="15" fillId="0" borderId="1" xfId="0" applyNumberFormat="1" applyFont="1" applyBorder="1"/>
    <xf numFmtId="166" fontId="15" fillId="0" borderId="0" xfId="0" applyNumberFormat="1" applyFont="1" applyFill="1" applyAlignment="1">
      <alignment horizontal="right"/>
    </xf>
    <xf numFmtId="166" fontId="15" fillId="0" borderId="1" xfId="0" applyNumberFormat="1" applyFont="1" applyFill="1" applyBorder="1" applyAlignment="1">
      <alignment horizontal="right"/>
    </xf>
    <xf numFmtId="176" fontId="15" fillId="0" borderId="0" xfId="9" applyBorder="1"/>
    <xf numFmtId="176" fontId="25" fillId="0" borderId="0" xfId="9" applyFont="1" applyBorder="1"/>
    <xf numFmtId="7" fontId="15" fillId="0" borderId="2" xfId="3" applyBorder="1">
      <alignment horizontal="right"/>
    </xf>
    <xf numFmtId="7" fontId="15" fillId="0" borderId="0" xfId="3">
      <alignment horizontal="right"/>
    </xf>
    <xf numFmtId="7" fontId="26" fillId="3" borderId="2" xfId="3" applyFont="1" applyFill="1" applyBorder="1">
      <alignment horizontal="right"/>
    </xf>
    <xf numFmtId="170" fontId="16" fillId="0" borderId="0" xfId="0" applyNumberFormat="1" applyFont="1"/>
    <xf numFmtId="176" fontId="30" fillId="0" borderId="0" xfId="9" applyFont="1" applyBorder="1"/>
    <xf numFmtId="176" fontId="26" fillId="3" borderId="2" xfId="9" applyFont="1" applyFill="1" applyBorder="1"/>
    <xf numFmtId="9" fontId="15" fillId="0" borderId="0" xfId="13" applyBorder="1"/>
    <xf numFmtId="9" fontId="15" fillId="0" borderId="12" xfId="13" applyBorder="1"/>
    <xf numFmtId="176" fontId="15" fillId="0" borderId="1" xfId="9" applyBorder="1"/>
    <xf numFmtId="176" fontId="25" fillId="0" borderId="1" xfId="9" applyFont="1" applyBorder="1"/>
    <xf numFmtId="7" fontId="15" fillId="0" borderId="3" xfId="3" applyBorder="1">
      <alignment horizontal="right"/>
    </xf>
    <xf numFmtId="7" fontId="15" fillId="0" borderId="1" xfId="3" applyBorder="1">
      <alignment horizontal="right"/>
    </xf>
    <xf numFmtId="7" fontId="26" fillId="3" borderId="3" xfId="3" applyFont="1" applyFill="1" applyBorder="1">
      <alignment horizontal="right"/>
    </xf>
    <xf numFmtId="170" fontId="15" fillId="0" borderId="1" xfId="13" applyNumberFormat="1" applyBorder="1"/>
    <xf numFmtId="176" fontId="30" fillId="0" borderId="1" xfId="9" applyFont="1" applyBorder="1"/>
    <xf numFmtId="176" fontId="26" fillId="3" borderId="3" xfId="9" applyFont="1" applyFill="1" applyBorder="1"/>
    <xf numFmtId="9" fontId="15" fillId="0" borderId="1" xfId="13" applyBorder="1"/>
    <xf numFmtId="9" fontId="15" fillId="0" borderId="5" xfId="13" applyBorder="1"/>
    <xf numFmtId="37" fontId="30" fillId="0" borderId="0" xfId="0" applyFont="1" applyBorder="1"/>
    <xf numFmtId="37" fontId="16" fillId="0" borderId="1" xfId="0" applyFont="1" applyBorder="1"/>
    <xf numFmtId="37" fontId="31" fillId="0" borderId="11" xfId="0" applyFont="1" applyBorder="1"/>
    <xf numFmtId="37" fontId="31" fillId="0" borderId="10" xfId="0" applyFont="1" applyBorder="1"/>
    <xf numFmtId="176" fontId="15" fillId="2" borderId="0" xfId="9" applyFill="1" applyBorder="1"/>
    <xf numFmtId="176" fontId="15" fillId="2" borderId="1" xfId="9" applyFill="1" applyBorder="1"/>
    <xf numFmtId="9" fontId="16" fillId="0" borderId="0" xfId="0" applyNumberFormat="1" applyFont="1"/>
    <xf numFmtId="9" fontId="16" fillId="0" borderId="1" xfId="0" applyNumberFormat="1" applyFont="1" applyBorder="1"/>
    <xf numFmtId="9" fontId="30" fillId="0" borderId="0" xfId="0" applyNumberFormat="1" applyFont="1"/>
    <xf numFmtId="9" fontId="30" fillId="0" borderId="1" xfId="0" applyNumberFormat="1" applyFont="1" applyBorder="1"/>
    <xf numFmtId="176" fontId="15" fillId="0" borderId="22" xfId="9" applyBorder="1"/>
    <xf numFmtId="176" fontId="15" fillId="0" borderId="21" xfId="9" applyBorder="1"/>
    <xf numFmtId="176" fontId="15" fillId="0" borderId="11" xfId="9" applyBorder="1"/>
    <xf numFmtId="176" fontId="15" fillId="0" borderId="10" xfId="9" applyBorder="1"/>
    <xf numFmtId="176" fontId="15" fillId="0" borderId="2" xfId="9" applyBorder="1"/>
    <xf numFmtId="176" fontId="15" fillId="0" borderId="3" xfId="9" applyBorder="1"/>
    <xf numFmtId="177" fontId="15" fillId="0" borderId="0" xfId="5" applyBorder="1"/>
    <xf numFmtId="177" fontId="15" fillId="0" borderId="1" xfId="5" applyBorder="1"/>
    <xf numFmtId="177" fontId="15" fillId="0" borderId="35" xfId="5" applyBorder="1"/>
    <xf numFmtId="176" fontId="26" fillId="0" borderId="0" xfId="9" applyFont="1" applyBorder="1"/>
    <xf numFmtId="176" fontId="26" fillId="0" borderId="1" xfId="9" applyFont="1" applyBorder="1"/>
    <xf numFmtId="181" fontId="15" fillId="0" borderId="0" xfId="5" applyNumberFormat="1" applyBorder="1" applyAlignment="1">
      <alignment horizontal="right"/>
    </xf>
    <xf numFmtId="181" fontId="15" fillId="0" borderId="1" xfId="5" applyNumberFormat="1" applyBorder="1" applyAlignment="1">
      <alignment horizontal="right"/>
    </xf>
    <xf numFmtId="181" fontId="26" fillId="0" borderId="0" xfId="5" applyNumberFormat="1" applyFont="1" applyBorder="1" applyAlignment="1">
      <alignment horizontal="right"/>
    </xf>
    <xf numFmtId="181" fontId="26" fillId="0" borderId="1" xfId="5" applyNumberFormat="1" applyFont="1" applyBorder="1" applyAlignment="1">
      <alignment horizontal="right"/>
    </xf>
    <xf numFmtId="176" fontId="15" fillId="0" borderId="0" xfId="9" applyFill="1" applyBorder="1"/>
    <xf numFmtId="176" fontId="15" fillId="0" borderId="1" xfId="9" applyFill="1" applyBorder="1"/>
    <xf numFmtId="176" fontId="15" fillId="0" borderId="22" xfId="9" applyFill="1" applyBorder="1"/>
    <xf numFmtId="176" fontId="15" fillId="0" borderId="21" xfId="9" applyFill="1" applyBorder="1"/>
    <xf numFmtId="176" fontId="15" fillId="0" borderId="11" xfId="9" applyFill="1" applyBorder="1"/>
    <xf numFmtId="176" fontId="15" fillId="0" borderId="10" xfId="9" applyFill="1" applyBorder="1"/>
    <xf numFmtId="176" fontId="26" fillId="0" borderId="2" xfId="9" applyFont="1" applyFill="1" applyBorder="1"/>
    <xf numFmtId="176" fontId="26" fillId="0" borderId="2" xfId="9" applyFont="1" applyBorder="1"/>
    <xf numFmtId="176" fontId="26" fillId="0" borderId="3" xfId="9" applyFont="1" applyFill="1" applyBorder="1"/>
    <xf numFmtId="177" fontId="15" fillId="0" borderId="0" xfId="5"/>
    <xf numFmtId="177" fontId="15" fillId="0" borderId="22" xfId="5" applyBorder="1"/>
    <xf numFmtId="177" fontId="15" fillId="0" borderId="21" xfId="5" applyBorder="1"/>
    <xf numFmtId="177" fontId="15" fillId="0" borderId="11" xfId="5" applyBorder="1"/>
    <xf numFmtId="177" fontId="15" fillId="0" borderId="10" xfId="5" applyBorder="1"/>
    <xf numFmtId="177" fontId="26" fillId="0" borderId="2" xfId="5" applyFont="1" applyBorder="1"/>
    <xf numFmtId="177" fontId="26" fillId="0" borderId="3" xfId="5" applyFont="1" applyBorder="1"/>
    <xf numFmtId="177" fontId="26" fillId="0" borderId="0" xfId="5" applyFont="1" applyBorder="1"/>
    <xf numFmtId="177" fontId="26" fillId="0" borderId="1" xfId="5" applyFont="1" applyBorder="1"/>
    <xf numFmtId="176" fontId="26" fillId="0" borderId="3" xfId="9" applyFont="1" applyBorder="1"/>
    <xf numFmtId="172" fontId="15" fillId="0" borderId="0" xfId="0" applyNumberFormat="1" applyFont="1" applyBorder="1"/>
    <xf numFmtId="172" fontId="15" fillId="0" borderId="1" xfId="0" applyNumberFormat="1" applyFont="1" applyBorder="1" applyAlignment="1">
      <alignment horizontal="right"/>
    </xf>
    <xf numFmtId="37" fontId="115" fillId="0" borderId="0" xfId="0" applyFont="1"/>
    <xf numFmtId="172" fontId="15" fillId="0" borderId="0" xfId="0" applyNumberFormat="1" applyFont="1" applyAlignment="1">
      <alignment horizontal="right"/>
    </xf>
    <xf numFmtId="172" fontId="15" fillId="0" borderId="1" xfId="0" applyNumberFormat="1" applyFont="1" applyBorder="1"/>
    <xf numFmtId="37" fontId="24" fillId="0" borderId="5" xfId="0" applyFont="1" applyBorder="1"/>
    <xf numFmtId="39" fontId="116" fillId="0" borderId="0" xfId="0" applyNumberFormat="1" applyFont="1"/>
    <xf numFmtId="39" fontId="116" fillId="0" borderId="1" xfId="0" applyNumberFormat="1" applyFont="1" applyBorder="1"/>
    <xf numFmtId="37" fontId="116" fillId="0" borderId="0" xfId="0" applyFont="1"/>
    <xf numFmtId="37" fontId="15" fillId="7" borderId="0" xfId="0" applyFont="1" applyFill="1" applyAlignment="1">
      <alignment horizontal="right"/>
    </xf>
    <xf numFmtId="172" fontId="30" fillId="0" borderId="12" xfId="0" applyNumberFormat="1" applyFont="1" applyBorder="1"/>
    <xf numFmtId="37" fontId="15" fillId="7" borderId="0" xfId="0" applyFont="1" applyFill="1"/>
    <xf numFmtId="37" fontId="25" fillId="7" borderId="0" xfId="0" applyFont="1" applyFill="1"/>
    <xf numFmtId="7" fontId="28" fillId="7" borderId="0" xfId="2" applyFont="1" applyFill="1">
      <alignment horizontal="right"/>
    </xf>
    <xf numFmtId="7" fontId="25" fillId="7" borderId="0" xfId="2" applyFont="1" applyFill="1">
      <alignment horizontal="right"/>
    </xf>
    <xf numFmtId="7" fontId="24" fillId="7" borderId="0" xfId="2" applyFill="1">
      <alignment horizontal="right"/>
    </xf>
    <xf numFmtId="173" fontId="15" fillId="7" borderId="0" xfId="0" applyNumberFormat="1" applyFont="1" applyFill="1" applyAlignment="1">
      <alignment horizontal="right"/>
    </xf>
    <xf numFmtId="37" fontId="15" fillId="7" borderId="2" xfId="0" applyFont="1" applyFill="1" applyBorder="1" applyAlignment="1">
      <alignment horizontal="right"/>
    </xf>
    <xf numFmtId="166" fontId="26" fillId="7" borderId="0" xfId="0" applyNumberFormat="1" applyFont="1" applyFill="1" applyAlignment="1">
      <alignment horizontal="right"/>
    </xf>
    <xf numFmtId="37" fontId="15" fillId="7" borderId="0" xfId="0" applyFont="1" applyFill="1" applyBorder="1" applyAlignment="1">
      <alignment horizontal="right"/>
    </xf>
    <xf numFmtId="178" fontId="15" fillId="7" borderId="0" xfId="0" applyNumberFormat="1" applyFont="1" applyFill="1" applyAlignment="1">
      <alignment horizontal="right"/>
    </xf>
    <xf numFmtId="178" fontId="15" fillId="7" borderId="11" xfId="0" applyNumberFormat="1" applyFont="1" applyFill="1" applyBorder="1" applyAlignment="1">
      <alignment horizontal="right"/>
    </xf>
    <xf numFmtId="178" fontId="25" fillId="7" borderId="0" xfId="0" applyNumberFormat="1" applyFont="1" applyFill="1" applyAlignment="1">
      <alignment horizontal="right"/>
    </xf>
    <xf numFmtId="171" fontId="15" fillId="7" borderId="0" xfId="0" applyNumberFormat="1" applyFont="1" applyFill="1" applyAlignment="1">
      <alignment horizontal="right"/>
    </xf>
    <xf numFmtId="37" fontId="15" fillId="7" borderId="11" xfId="0" applyFont="1" applyFill="1" applyBorder="1" applyAlignment="1">
      <alignment horizontal="right"/>
    </xf>
    <xf numFmtId="37" fontId="28" fillId="7" borderId="0" xfId="0" applyFont="1" applyFill="1" applyAlignment="1">
      <alignment horizontal="right"/>
    </xf>
    <xf numFmtId="166" fontId="15" fillId="7" borderId="0" xfId="0" applyNumberFormat="1" applyFont="1" applyFill="1" applyAlignment="1">
      <alignment horizontal="right"/>
    </xf>
    <xf numFmtId="168" fontId="24" fillId="7" borderId="0" xfId="0" applyNumberFormat="1" applyFont="1" applyFill="1" applyBorder="1"/>
    <xf numFmtId="168" fontId="15" fillId="7" borderId="0" xfId="0" applyNumberFormat="1" applyFont="1" applyFill="1" applyBorder="1"/>
    <xf numFmtId="37" fontId="0" fillId="7" borderId="0" xfId="0" applyFill="1" applyBorder="1"/>
    <xf numFmtId="37" fontId="15" fillId="7" borderId="0" xfId="0" applyFont="1" applyFill="1" applyBorder="1"/>
    <xf numFmtId="37" fontId="25" fillId="7" borderId="0" xfId="0" applyFont="1" applyFill="1" applyBorder="1"/>
    <xf numFmtId="168" fontId="15" fillId="7" borderId="2" xfId="0" applyNumberFormat="1" applyFont="1" applyFill="1" applyBorder="1"/>
    <xf numFmtId="176" fontId="15" fillId="7" borderId="0" xfId="9" applyFill="1" applyBorder="1"/>
    <xf numFmtId="7" fontId="24" fillId="7" borderId="0" xfId="0" applyNumberFormat="1" applyFont="1" applyFill="1" applyBorder="1"/>
    <xf numFmtId="37" fontId="0" fillId="7" borderId="22" xfId="0" applyFill="1" applyBorder="1"/>
    <xf numFmtId="37" fontId="0" fillId="7" borderId="0" xfId="0" applyFill="1"/>
    <xf numFmtId="37" fontId="0" fillId="7" borderId="11" xfId="0" applyFill="1" applyBorder="1"/>
    <xf numFmtId="37" fontId="25" fillId="7" borderId="0" xfId="0" applyFont="1" applyFill="1" applyBorder="1" applyAlignment="1">
      <alignment horizontal="right"/>
    </xf>
    <xf numFmtId="3" fontId="15" fillId="7" borderId="0" xfId="0" applyNumberFormat="1" applyFont="1" applyFill="1" applyBorder="1"/>
    <xf numFmtId="37" fontId="39" fillId="7" borderId="0" xfId="0" applyFont="1" applyFill="1" applyBorder="1"/>
    <xf numFmtId="172" fontId="30" fillId="7" borderId="0" xfId="0" applyNumberFormat="1" applyFont="1" applyFill="1" applyBorder="1"/>
    <xf numFmtId="172" fontId="15" fillId="7" borderId="0" xfId="0" applyNumberFormat="1" applyFont="1" applyFill="1" applyBorder="1"/>
    <xf numFmtId="170" fontId="15" fillId="7" borderId="0" xfId="0" applyNumberFormat="1" applyFont="1" applyFill="1" applyBorder="1"/>
    <xf numFmtId="170" fontId="38" fillId="0" borderId="0" xfId="0" applyNumberFormat="1" applyFont="1"/>
    <xf numFmtId="37" fontId="15" fillId="0" borderId="7" xfId="0" applyFont="1" applyBorder="1"/>
    <xf numFmtId="37" fontId="15" fillId="0" borderId="27" xfId="0" applyFont="1" applyBorder="1"/>
    <xf numFmtId="180" fontId="24" fillId="0" borderId="0" xfId="0" applyNumberFormat="1" applyFont="1" applyBorder="1"/>
    <xf numFmtId="179" fontId="15" fillId="0" borderId="0" xfId="0" applyNumberFormat="1" applyFont="1"/>
    <xf numFmtId="39" fontId="116" fillId="0" borderId="1" xfId="0" applyNumberFormat="1" applyFont="1" applyBorder="1" applyAlignment="1">
      <alignment horizontal="right"/>
    </xf>
    <xf numFmtId="9" fontId="24" fillId="7" borderId="0" xfId="12" applyFill="1" applyBorder="1"/>
    <xf numFmtId="9" fontId="15" fillId="0" borderId="0" xfId="0" applyNumberFormat="1" applyFont="1" applyFill="1" applyBorder="1"/>
    <xf numFmtId="179" fontId="15" fillId="0" borderId="0" xfId="0" applyNumberFormat="1" applyFont="1" applyFill="1"/>
    <xf numFmtId="1" fontId="15" fillId="0" borderId="0" xfId="0" applyNumberFormat="1" applyFont="1" applyFill="1"/>
    <xf numFmtId="165" fontId="15" fillId="0" borderId="0" xfId="0" applyNumberFormat="1" applyFont="1" applyFill="1"/>
    <xf numFmtId="37" fontId="55" fillId="4" borderId="0" xfId="0" applyFont="1" applyFill="1" applyBorder="1"/>
    <xf numFmtId="5" fontId="56" fillId="0" borderId="0" xfId="0" applyNumberFormat="1" applyFont="1" applyBorder="1"/>
    <xf numFmtId="0" fontId="26" fillId="2" borderId="0" xfId="0" applyNumberFormat="1" applyFont="1" applyFill="1" applyBorder="1"/>
    <xf numFmtId="172" fontId="24" fillId="0" borderId="0" xfId="327" applyNumberFormat="1" applyFont="1"/>
    <xf numFmtId="173" fontId="47" fillId="0" borderId="0" xfId="0" applyNumberFormat="1" applyFont="1" applyBorder="1"/>
    <xf numFmtId="178" fontId="15" fillId="0" borderId="0" xfId="0" applyNumberFormat="1" applyFont="1" applyAlignment="1">
      <alignment horizontal="right"/>
    </xf>
    <xf numFmtId="178" fontId="24" fillId="0" borderId="0" xfId="0" applyNumberFormat="1" applyFont="1" applyFill="1" applyAlignment="1">
      <alignment horizontal="right"/>
    </xf>
    <xf numFmtId="178" fontId="24" fillId="0" borderId="11" xfId="0" applyNumberFormat="1" applyFont="1" applyFill="1" applyBorder="1" applyAlignment="1">
      <alignment horizontal="right"/>
    </xf>
    <xf numFmtId="178" fontId="25" fillId="0" borderId="0" xfId="0" applyNumberFormat="1" applyFont="1" applyFill="1" applyAlignment="1">
      <alignment horizontal="right"/>
    </xf>
    <xf numFmtId="179" fontId="15" fillId="0" borderId="0" xfId="0" applyNumberFormat="1" applyFont="1" applyBorder="1"/>
    <xf numFmtId="170" fontId="15" fillId="0" borderId="34" xfId="0" applyNumberFormat="1" applyFont="1" applyBorder="1"/>
    <xf numFmtId="37" fontId="119" fillId="0" borderId="0" xfId="0" applyFont="1"/>
    <xf numFmtId="0" fontId="120" fillId="19" borderId="23" xfId="0" applyNumberFormat="1" applyFont="1" applyFill="1" applyBorder="1"/>
    <xf numFmtId="0" fontId="121" fillId="19" borderId="2" xfId="0" applyNumberFormat="1" applyFont="1" applyFill="1" applyBorder="1" applyAlignment="1">
      <alignment horizontal="center"/>
    </xf>
    <xf numFmtId="0" fontId="120" fillId="0" borderId="13" xfId="0" applyNumberFormat="1" applyFont="1" applyFill="1" applyBorder="1"/>
    <xf numFmtId="172" fontId="120" fillId="0" borderId="0" xfId="327" applyNumberFormat="1" applyFont="1" applyFill="1" applyBorder="1"/>
    <xf numFmtId="0" fontId="120" fillId="0" borderId="13" xfId="0" applyNumberFormat="1" applyFont="1" applyFill="1" applyBorder="1" applyAlignment="1">
      <alignment horizontal="left" indent="1"/>
    </xf>
    <xf numFmtId="172" fontId="122" fillId="0" borderId="0" xfId="327" applyNumberFormat="1" applyFont="1" applyFill="1" applyBorder="1"/>
    <xf numFmtId="0" fontId="120" fillId="0" borderId="9" xfId="0" applyNumberFormat="1" applyFont="1" applyFill="1" applyBorder="1"/>
    <xf numFmtId="172" fontId="120" fillId="0" borderId="12" xfId="0" applyNumberFormat="1" applyFont="1" applyFill="1" applyBorder="1"/>
    <xf numFmtId="0" fontId="120" fillId="0" borderId="0" xfId="0" applyNumberFormat="1" applyFont="1" applyFill="1" applyBorder="1"/>
    <xf numFmtId="0" fontId="123" fillId="20" borderId="24" xfId="0" applyNumberFormat="1" applyFont="1" applyFill="1" applyBorder="1"/>
    <xf numFmtId="0" fontId="125" fillId="0" borderId="16" xfId="0" applyNumberFormat="1" applyFont="1" applyFill="1" applyBorder="1" applyAlignment="1">
      <alignment horizontal="left"/>
    </xf>
    <xf numFmtId="37" fontId="125" fillId="0" borderId="8" xfId="0" applyFont="1" applyFill="1" applyBorder="1" applyAlignment="1">
      <alignment horizontal="right"/>
    </xf>
    <xf numFmtId="37" fontId="125" fillId="0" borderId="17" xfId="0" applyFont="1" applyFill="1" applyBorder="1" applyAlignment="1">
      <alignment horizontal="right"/>
    </xf>
    <xf numFmtId="0" fontId="125" fillId="0" borderId="19" xfId="0" applyNumberFormat="1" applyFont="1" applyFill="1" applyBorder="1" applyAlignment="1">
      <alignment horizontal="left"/>
    </xf>
    <xf numFmtId="37" fontId="125" fillId="0" borderId="13" xfId="0" applyFont="1" applyFill="1" applyBorder="1" applyAlignment="1">
      <alignment horizontal="right"/>
    </xf>
    <xf numFmtId="37" fontId="125" fillId="0" borderId="0" xfId="0" applyFont="1" applyFill="1" applyBorder="1" applyAlignment="1">
      <alignment horizontal="right"/>
    </xf>
    <xf numFmtId="0" fontId="124" fillId="0" borderId="29" xfId="0" applyNumberFormat="1" applyFont="1" applyFill="1" applyBorder="1" applyAlignment="1">
      <alignment horizontal="left"/>
    </xf>
    <xf numFmtId="37" fontId="124" fillId="0" borderId="28" xfId="0" applyFont="1" applyFill="1" applyBorder="1" applyAlignment="1">
      <alignment horizontal="right"/>
    </xf>
    <xf numFmtId="37" fontId="124" fillId="0" borderId="30" xfId="0" applyFont="1" applyFill="1" applyBorder="1" applyAlignment="1">
      <alignment horizontal="right"/>
    </xf>
    <xf numFmtId="0" fontId="125" fillId="0" borderId="20" xfId="0" applyNumberFormat="1" applyFont="1" applyFill="1" applyBorder="1" applyAlignment="1">
      <alignment horizontal="left"/>
    </xf>
    <xf numFmtId="165" fontId="125" fillId="0" borderId="12" xfId="0" applyNumberFormat="1" applyFont="1" applyFill="1" applyBorder="1" applyAlignment="1">
      <alignment horizontal="right"/>
    </xf>
    <xf numFmtId="0" fontId="125" fillId="0" borderId="0" xfId="0" applyNumberFormat="1" applyFont="1" applyFill="1" applyBorder="1" applyAlignment="1">
      <alignment horizontal="left"/>
    </xf>
    <xf numFmtId="0" fontId="125" fillId="0" borderId="0" xfId="0" applyNumberFormat="1" applyFont="1" applyFill="1" applyBorder="1" applyAlignment="1">
      <alignment horizontal="right"/>
    </xf>
    <xf numFmtId="37" fontId="125" fillId="0" borderId="12" xfId="0" applyFont="1" applyFill="1" applyBorder="1" applyAlignment="1">
      <alignment horizontal="right"/>
    </xf>
    <xf numFmtId="2" fontId="125" fillId="0" borderId="12" xfId="0" applyNumberFormat="1" applyFont="1" applyFill="1" applyBorder="1" applyAlignment="1">
      <alignment horizontal="right"/>
    </xf>
    <xf numFmtId="0" fontId="125" fillId="0" borderId="24" xfId="0" applyNumberFormat="1" applyFont="1" applyFill="1" applyBorder="1" applyAlignment="1">
      <alignment horizontal="left"/>
    </xf>
    <xf numFmtId="37" fontId="125" fillId="0" borderId="23" xfId="0" applyFont="1" applyFill="1" applyBorder="1" applyAlignment="1">
      <alignment horizontal="right"/>
    </xf>
    <xf numFmtId="37" fontId="125" fillId="0" borderId="2" xfId="0" applyFont="1" applyFill="1" applyBorder="1" applyAlignment="1">
      <alignment horizontal="right"/>
    </xf>
    <xf numFmtId="0" fontId="125" fillId="0" borderId="0" xfId="0" applyNumberFormat="1" applyFont="1" applyFill="1" applyBorder="1"/>
    <xf numFmtId="0" fontId="124" fillId="21" borderId="23" xfId="0" applyNumberFormat="1" applyFont="1" applyFill="1" applyBorder="1" applyAlignment="1">
      <alignment horizontal="center"/>
    </xf>
    <xf numFmtId="0" fontId="124" fillId="21" borderId="2" xfId="0" applyNumberFormat="1" applyFont="1" applyFill="1" applyBorder="1" applyAlignment="1">
      <alignment horizontal="center"/>
    </xf>
    <xf numFmtId="37" fontId="124" fillId="22" borderId="0" xfId="0" applyFont="1" applyFill="1" applyBorder="1" applyAlignment="1">
      <alignment horizontal="right"/>
    </xf>
    <xf numFmtId="37" fontId="127" fillId="0" borderId="0" xfId="0" applyFont="1"/>
    <xf numFmtId="172" fontId="127" fillId="0" borderId="0" xfId="327" applyNumberFormat="1" applyFont="1"/>
    <xf numFmtId="172" fontId="127" fillId="0" borderId="0" xfId="0" applyNumberFormat="1" applyFont="1"/>
    <xf numFmtId="1" fontId="127" fillId="0" borderId="0" xfId="0" applyNumberFormat="1" applyFont="1"/>
    <xf numFmtId="37" fontId="118" fillId="23" borderId="0" xfId="0" applyFont="1" applyFill="1"/>
    <xf numFmtId="212" fontId="24" fillId="0" borderId="1" xfId="0" applyNumberFormat="1" applyFont="1" applyBorder="1" applyAlignment="1">
      <alignment horizontal="right"/>
    </xf>
    <xf numFmtId="168" fontId="24" fillId="0" borderId="52" xfId="0" applyNumberFormat="1" applyFont="1" applyBorder="1"/>
    <xf numFmtId="168" fontId="25" fillId="0" borderId="0" xfId="0" applyNumberFormat="1" applyFont="1" applyBorder="1"/>
    <xf numFmtId="168" fontId="25" fillId="7" borderId="0" xfId="0" applyNumberFormat="1" applyFont="1" applyFill="1" applyBorder="1"/>
    <xf numFmtId="168" fontId="25" fillId="0" borderId="0" xfId="0" applyNumberFormat="1" applyFont="1" applyAlignment="1">
      <alignment horizontal="right"/>
    </xf>
    <xf numFmtId="168" fontId="25" fillId="0" borderId="1" xfId="0" applyNumberFormat="1" applyFont="1" applyBorder="1" applyAlignment="1">
      <alignment horizontal="right"/>
    </xf>
    <xf numFmtId="173" fontId="0" fillId="0" borderId="0" xfId="0" applyNumberFormat="1"/>
    <xf numFmtId="37" fontId="43" fillId="0" borderId="0" xfId="0" applyFont="1"/>
    <xf numFmtId="37" fontId="116" fillId="0" borderId="1" xfId="0" applyFont="1" applyBorder="1"/>
    <xf numFmtId="173" fontId="15" fillId="0" borderId="0" xfId="0" applyNumberFormat="1" applyFont="1" applyFill="1" applyAlignment="1">
      <alignment horizontal="right"/>
    </xf>
    <xf numFmtId="178" fontId="15" fillId="0" borderId="0" xfId="0" applyNumberFormat="1" applyFont="1" applyFill="1" applyAlignment="1">
      <alignment horizontal="right"/>
    </xf>
    <xf numFmtId="178" fontId="15" fillId="0" borderId="11" xfId="0" applyNumberFormat="1" applyFont="1" applyFill="1" applyBorder="1" applyAlignment="1">
      <alignment horizontal="right"/>
    </xf>
    <xf numFmtId="1" fontId="118" fillId="23" borderId="0" xfId="0" applyNumberFormat="1" applyFont="1" applyFill="1"/>
    <xf numFmtId="170" fontId="24" fillId="0" borderId="0" xfId="12" applyNumberFormat="1" applyFill="1" applyBorder="1"/>
    <xf numFmtId="37" fontId="24" fillId="0" borderId="52" xfId="0" applyFont="1" applyBorder="1" applyAlignment="1">
      <alignment horizontal="right"/>
    </xf>
    <xf numFmtId="166" fontId="24" fillId="0" borderId="52" xfId="0" applyNumberFormat="1" applyFont="1" applyBorder="1" applyAlignment="1">
      <alignment horizontal="right"/>
    </xf>
    <xf numFmtId="37" fontId="15" fillId="0" borderId="0" xfId="0" applyFont="1" applyAlignment="1">
      <alignment horizontal="left"/>
    </xf>
    <xf numFmtId="37" fontId="24" fillId="0" borderId="52" xfId="0" applyFont="1" applyBorder="1"/>
    <xf numFmtId="9" fontId="15" fillId="0" borderId="52" xfId="12" applyFont="1" applyBorder="1"/>
    <xf numFmtId="0" fontId="6" fillId="0" borderId="0" xfId="3151" applyFont="1"/>
    <xf numFmtId="9" fontId="15" fillId="0" borderId="0" xfId="2625"/>
    <xf numFmtId="9" fontId="15" fillId="0" borderId="1" xfId="2625" applyBorder="1"/>
    <xf numFmtId="0" fontId="21" fillId="0" borderId="0" xfId="3151" applyFont="1"/>
    <xf numFmtId="37" fontId="26" fillId="64" borderId="0" xfId="0" applyFont="1" applyFill="1" applyBorder="1"/>
    <xf numFmtId="37" fontId="125" fillId="0" borderId="0" xfId="0" applyFont="1" applyFill="1" applyBorder="1"/>
    <xf numFmtId="173" fontId="47" fillId="0" borderId="0" xfId="0" applyNumberFormat="1" applyFont="1"/>
    <xf numFmtId="37" fontId="15" fillId="0" borderId="0" xfId="3342" applyFill="1" applyBorder="1"/>
    <xf numFmtId="37" fontId="15" fillId="0" borderId="0" xfId="3342" applyBorder="1"/>
    <xf numFmtId="37" fontId="26" fillId="3" borderId="0" xfId="3342" applyFont="1" applyFill="1"/>
    <xf numFmtId="170" fontId="43" fillId="0" borderId="0" xfId="0" applyNumberFormat="1" applyFont="1" applyBorder="1"/>
    <xf numFmtId="37" fontId="43" fillId="2" borderId="0" xfId="0" applyFont="1" applyFill="1"/>
    <xf numFmtId="176" fontId="43" fillId="2" borderId="1" xfId="7" applyFont="1" applyFill="1" applyBorder="1"/>
    <xf numFmtId="176" fontId="43" fillId="2" borderId="0" xfId="7" applyFont="1" applyFill="1" applyBorder="1"/>
    <xf numFmtId="176" fontId="43" fillId="2" borderId="0" xfId="9" applyFont="1" applyFill="1" applyBorder="1"/>
    <xf numFmtId="176" fontId="43" fillId="2" borderId="1" xfId="9" applyFont="1" applyFill="1" applyBorder="1"/>
    <xf numFmtId="37" fontId="48" fillId="2" borderId="0" xfId="0" applyFont="1" applyFill="1"/>
    <xf numFmtId="170" fontId="43" fillId="2" borderId="1" xfId="12" applyNumberFormat="1" applyFont="1" applyFill="1" applyBorder="1"/>
    <xf numFmtId="170" fontId="43" fillId="2" borderId="0" xfId="12" applyNumberFormat="1" applyFont="1" applyFill="1" applyBorder="1"/>
    <xf numFmtId="221" fontId="15" fillId="0" borderId="1" xfId="0" applyNumberFormat="1" applyFont="1" applyBorder="1"/>
    <xf numFmtId="172" fontId="120" fillId="0" borderId="17" xfId="327" applyNumberFormat="1" applyFont="1" applyFill="1" applyBorder="1"/>
    <xf numFmtId="37" fontId="15" fillId="0" borderId="0" xfId="0" applyFont="1" applyFill="1" applyBorder="1" applyAlignment="1">
      <alignment horizontal="left"/>
    </xf>
    <xf numFmtId="37" fontId="24" fillId="0" borderId="22" xfId="0" applyFont="1" applyBorder="1"/>
    <xf numFmtId="37" fontId="24" fillId="0" borderId="22" xfId="0" applyFont="1" applyFill="1" applyBorder="1" applyAlignment="1">
      <alignment horizontal="right"/>
    </xf>
    <xf numFmtId="178" fontId="24" fillId="0" borderId="22" xfId="0" applyNumberFormat="1" applyFont="1" applyBorder="1" applyAlignment="1">
      <alignment horizontal="right"/>
    </xf>
    <xf numFmtId="178" fontId="15" fillId="7" borderId="22" xfId="0" applyNumberFormat="1" applyFont="1" applyFill="1" applyBorder="1" applyAlignment="1">
      <alignment horizontal="right"/>
    </xf>
    <xf numFmtId="178" fontId="24" fillId="0" borderId="22" xfId="0" applyNumberFormat="1" applyFont="1" applyFill="1" applyBorder="1" applyAlignment="1">
      <alignment horizontal="right"/>
    </xf>
    <xf numFmtId="178" fontId="15" fillId="0" borderId="22" xfId="0" applyNumberFormat="1" applyFont="1" applyFill="1" applyBorder="1" applyAlignment="1">
      <alignment horizontal="right"/>
    </xf>
    <xf numFmtId="166" fontId="24" fillId="0" borderId="21" xfId="0" applyNumberFormat="1" applyFont="1" applyBorder="1" applyAlignment="1">
      <alignment horizontal="right"/>
    </xf>
    <xf numFmtId="37" fontId="24" fillId="0" borderId="0" xfId="0" applyFont="1" applyBorder="1" applyAlignment="1">
      <alignment horizontal="left"/>
    </xf>
    <xf numFmtId="178" fontId="24" fillId="0" borderId="0" xfId="0" applyNumberFormat="1" applyFont="1" applyBorder="1" applyAlignment="1">
      <alignment horizontal="right"/>
    </xf>
    <xf numFmtId="178" fontId="15" fillId="7" borderId="0" xfId="0" applyNumberFormat="1" applyFont="1" applyFill="1" applyBorder="1" applyAlignment="1">
      <alignment horizontal="right"/>
    </xf>
    <xf numFmtId="178" fontId="24" fillId="0" borderId="0" xfId="0" applyNumberFormat="1" applyFont="1" applyFill="1" applyBorder="1" applyAlignment="1">
      <alignment horizontal="right"/>
    </xf>
    <xf numFmtId="178" fontId="15" fillId="0" borderId="0" xfId="0" applyNumberFormat="1" applyFont="1" applyFill="1" applyBorder="1" applyAlignment="1">
      <alignment horizontal="right"/>
    </xf>
    <xf numFmtId="37" fontId="27" fillId="0" borderId="11" xfId="0" applyFont="1" applyBorder="1" applyAlignment="1">
      <alignment horizontal="left"/>
    </xf>
    <xf numFmtId="176" fontId="25" fillId="0" borderId="10" xfId="7" applyFont="1" applyBorder="1"/>
    <xf numFmtId="176" fontId="25" fillId="0" borderId="11" xfId="7" applyFont="1" applyBorder="1"/>
    <xf numFmtId="37" fontId="25" fillId="0" borderId="10" xfId="0" applyFont="1" applyBorder="1"/>
    <xf numFmtId="37" fontId="25" fillId="0" borderId="11" xfId="0" applyFont="1" applyBorder="1"/>
    <xf numFmtId="37" fontId="39" fillId="0" borderId="11" xfId="0" applyFont="1" applyBorder="1"/>
    <xf numFmtId="37" fontId="39" fillId="0" borderId="10" xfId="0" applyFont="1" applyBorder="1"/>
    <xf numFmtId="37" fontId="27" fillId="0" borderId="0" xfId="0" applyFont="1" applyBorder="1"/>
    <xf numFmtId="9" fontId="30" fillId="0" borderId="22" xfId="0" applyNumberFormat="1" applyFont="1" applyBorder="1"/>
    <xf numFmtId="9" fontId="30" fillId="0" borderId="21" xfId="0" applyNumberFormat="1" applyFont="1" applyBorder="1"/>
    <xf numFmtId="37" fontId="31" fillId="0" borderId="22" xfId="0" applyFont="1" applyBorder="1"/>
    <xf numFmtId="37" fontId="31" fillId="0" borderId="21" xfId="0" applyFont="1" applyBorder="1"/>
    <xf numFmtId="170" fontId="47" fillId="0" borderId="22" xfId="0" applyNumberFormat="1" applyFont="1" applyBorder="1" applyAlignment="1">
      <alignment horizontal="left" indent="1"/>
    </xf>
    <xf numFmtId="170" fontId="30" fillId="0" borderId="22" xfId="0" applyNumberFormat="1" applyFont="1" applyBorder="1"/>
    <xf numFmtId="170" fontId="30" fillId="0" borderId="21" xfId="0" applyNumberFormat="1" applyFont="1" applyBorder="1"/>
    <xf numFmtId="172" fontId="47" fillId="0" borderId="0" xfId="327" applyNumberFormat="1" applyFont="1" applyBorder="1"/>
    <xf numFmtId="172" fontId="47" fillId="0" borderId="0" xfId="327" applyNumberFormat="1" applyFont="1"/>
    <xf numFmtId="172" fontId="47" fillId="0" borderId="1" xfId="327" applyNumberFormat="1" applyFont="1" applyBorder="1"/>
    <xf numFmtId="172" fontId="15" fillId="0" borderId="0" xfId="327" applyNumberFormat="1" applyFont="1" applyBorder="1"/>
    <xf numFmtId="172" fontId="15" fillId="0" borderId="0" xfId="327" applyNumberFormat="1" applyFont="1"/>
    <xf numFmtId="37" fontId="30" fillId="0" borderId="0" xfId="0" applyFont="1" applyFill="1"/>
    <xf numFmtId="9" fontId="54" fillId="0" borderId="1" xfId="0" applyNumberFormat="1" applyFont="1" applyBorder="1"/>
    <xf numFmtId="37" fontId="26" fillId="23" borderId="2" xfId="0" applyFont="1" applyFill="1" applyBorder="1"/>
    <xf numFmtId="37" fontId="26" fillId="23" borderId="3" xfId="0" applyFont="1" applyFill="1" applyBorder="1"/>
    <xf numFmtId="37" fontId="24" fillId="0" borderId="22" xfId="0" applyFont="1" applyBorder="1" applyAlignment="1">
      <alignment horizontal="left"/>
    </xf>
    <xf numFmtId="37" fontId="15" fillId="7" borderId="22" xfId="0" applyFont="1" applyFill="1" applyBorder="1" applyAlignment="1">
      <alignment horizontal="right"/>
    </xf>
    <xf numFmtId="178" fontId="30" fillId="0" borderId="0" xfId="2869" applyNumberFormat="1" applyFont="1"/>
    <xf numFmtId="317" fontId="15" fillId="0" borderId="1" xfId="0" applyNumberFormat="1" applyFont="1" applyBorder="1"/>
    <xf numFmtId="37" fontId="24" fillId="23" borderId="2" xfId="0" applyFont="1" applyFill="1" applyBorder="1" applyAlignment="1">
      <alignment horizontal="right"/>
    </xf>
    <xf numFmtId="37" fontId="15" fillId="23" borderId="2" xfId="0" applyFont="1" applyFill="1" applyBorder="1" applyAlignment="1">
      <alignment horizontal="right"/>
    </xf>
    <xf numFmtId="37" fontId="24" fillId="0" borderId="1" xfId="0" applyFont="1" applyFill="1" applyBorder="1" applyAlignment="1">
      <alignment horizontal="right"/>
    </xf>
    <xf numFmtId="37" fontId="25" fillId="0" borderId="1" xfId="0" applyFont="1" applyFill="1" applyBorder="1" applyAlignment="1">
      <alignment horizontal="right"/>
    </xf>
    <xf numFmtId="173" fontId="24" fillId="0" borderId="1" xfId="0" applyNumberFormat="1" applyFont="1" applyFill="1" applyBorder="1" applyAlignment="1">
      <alignment horizontal="right"/>
    </xf>
    <xf numFmtId="37" fontId="26" fillId="0" borderId="1" xfId="0" applyFont="1" applyFill="1" applyBorder="1" applyAlignment="1">
      <alignment horizontal="right"/>
    </xf>
    <xf numFmtId="37" fontId="15" fillId="0" borderId="1" xfId="0" applyFont="1" applyFill="1" applyBorder="1" applyAlignment="1">
      <alignment horizontal="right"/>
    </xf>
    <xf numFmtId="7" fontId="24" fillId="0" borderId="1" xfId="2" applyFill="1" applyBorder="1">
      <alignment horizontal="right"/>
    </xf>
    <xf numFmtId="7" fontId="25" fillId="0" borderId="1" xfId="2" applyFont="1" applyFill="1" applyBorder="1">
      <alignment horizontal="right"/>
    </xf>
    <xf numFmtId="7" fontId="28" fillId="0" borderId="1" xfId="2" applyFont="1" applyFill="1" applyBorder="1">
      <alignment horizontal="right"/>
    </xf>
    <xf numFmtId="37" fontId="24" fillId="0" borderId="3" xfId="0" applyFont="1" applyFill="1" applyBorder="1" applyAlignment="1">
      <alignment horizontal="right"/>
    </xf>
    <xf numFmtId="37" fontId="256" fillId="0" borderId="0" xfId="0" applyFont="1" applyFill="1"/>
    <xf numFmtId="37" fontId="257" fillId="0" borderId="0" xfId="0" applyFont="1" applyFill="1"/>
    <xf numFmtId="37" fontId="256" fillId="0" borderId="0" xfId="0" applyFont="1" applyFill="1" applyAlignment="1">
      <alignment horizontal="right"/>
    </xf>
    <xf numFmtId="37" fontId="257" fillId="0" borderId="0" xfId="0" applyFont="1" applyFill="1" applyAlignment="1">
      <alignment horizontal="right"/>
    </xf>
    <xf numFmtId="173" fontId="256" fillId="0" borderId="0" xfId="0" applyNumberFormat="1" applyFont="1" applyFill="1" applyAlignment="1">
      <alignment horizontal="right"/>
    </xf>
    <xf numFmtId="173" fontId="256" fillId="0" borderId="1" xfId="0" applyNumberFormat="1" applyFont="1" applyFill="1" applyBorder="1" applyAlignment="1">
      <alignment horizontal="right"/>
    </xf>
    <xf numFmtId="37" fontId="256" fillId="0" borderId="0" xfId="0" applyFont="1" applyAlignment="1">
      <alignment horizontal="right"/>
    </xf>
    <xf numFmtId="37" fontId="256" fillId="7" borderId="0" xfId="0" applyFont="1" applyFill="1" applyAlignment="1">
      <alignment horizontal="right"/>
    </xf>
    <xf numFmtId="37" fontId="256" fillId="0" borderId="22" xfId="0" applyFont="1" applyBorder="1" applyAlignment="1">
      <alignment horizontal="right"/>
    </xf>
    <xf numFmtId="37" fontId="256" fillId="7" borderId="22" xfId="0" applyFont="1" applyFill="1" applyBorder="1" applyAlignment="1">
      <alignment horizontal="right"/>
    </xf>
    <xf numFmtId="37" fontId="256" fillId="0" borderId="11" xfId="0" applyFont="1" applyBorder="1" applyAlignment="1">
      <alignment horizontal="right"/>
    </xf>
    <xf numFmtId="37" fontId="256" fillId="7" borderId="11" xfId="0" applyFont="1" applyFill="1" applyBorder="1" applyAlignment="1">
      <alignment horizontal="right"/>
    </xf>
    <xf numFmtId="166" fontId="256" fillId="0" borderId="0" xfId="0" applyNumberFormat="1" applyFont="1" applyAlignment="1">
      <alignment horizontal="right"/>
    </xf>
    <xf numFmtId="166" fontId="256" fillId="0" borderId="11" xfId="0" applyNumberFormat="1" applyFont="1" applyBorder="1" applyAlignment="1">
      <alignment horizontal="right"/>
    </xf>
    <xf numFmtId="37" fontId="258" fillId="7" borderId="0" xfId="0" applyFont="1" applyFill="1" applyAlignment="1">
      <alignment horizontal="right"/>
    </xf>
    <xf numFmtId="37" fontId="257" fillId="0" borderId="0" xfId="0" applyFont="1" applyAlignment="1">
      <alignment horizontal="right"/>
    </xf>
    <xf numFmtId="37" fontId="257" fillId="7" borderId="0" xfId="0" applyFont="1" applyFill="1" applyAlignment="1">
      <alignment horizontal="right"/>
    </xf>
    <xf numFmtId="37" fontId="256" fillId="0" borderId="1" xfId="0" applyFont="1" applyFill="1" applyBorder="1"/>
    <xf numFmtId="37" fontId="256" fillId="0" borderId="1" xfId="0" applyFont="1" applyFill="1" applyBorder="1" applyAlignment="1">
      <alignment horizontal="right"/>
    </xf>
    <xf numFmtId="37" fontId="257" fillId="0" borderId="1" xfId="0" applyFont="1" applyFill="1" applyBorder="1" applyAlignment="1">
      <alignment horizontal="right"/>
    </xf>
    <xf numFmtId="7" fontId="24" fillId="0" borderId="0" xfId="2" applyFill="1">
      <alignment horizontal="right"/>
    </xf>
    <xf numFmtId="7" fontId="25" fillId="0" borderId="0" xfId="2" applyFont="1" applyFill="1">
      <alignment horizontal="right"/>
    </xf>
    <xf numFmtId="7" fontId="28" fillId="0" borderId="0" xfId="2" applyFont="1" applyFill="1">
      <alignment horizontal="right"/>
    </xf>
    <xf numFmtId="37" fontId="24" fillId="0" borderId="21" xfId="0" applyFont="1" applyFill="1" applyBorder="1" applyAlignment="1">
      <alignment horizontal="right"/>
    </xf>
    <xf numFmtId="37" fontId="24" fillId="0" borderId="10" xfId="0" applyFont="1" applyFill="1" applyBorder="1" applyAlignment="1">
      <alignment horizontal="right"/>
    </xf>
    <xf numFmtId="166" fontId="24" fillId="0" borderId="1" xfId="0" applyNumberFormat="1" applyFont="1" applyFill="1" applyBorder="1" applyAlignment="1">
      <alignment horizontal="right"/>
    </xf>
    <xf numFmtId="166" fontId="24" fillId="0" borderId="10" xfId="0" applyNumberFormat="1" applyFont="1" applyFill="1" applyBorder="1" applyAlignment="1">
      <alignment horizontal="right"/>
    </xf>
    <xf numFmtId="37" fontId="125" fillId="0" borderId="70" xfId="0" applyFont="1" applyFill="1" applyBorder="1" applyAlignment="1">
      <alignment horizontal="right"/>
    </xf>
    <xf numFmtId="37" fontId="125" fillId="0" borderId="12" xfId="0" applyFont="1" applyFill="1" applyBorder="1"/>
    <xf numFmtId="37" fontId="127" fillId="0" borderId="0" xfId="0" applyFont="1" applyFill="1" applyBorder="1" applyAlignment="1">
      <alignment horizontal="right"/>
    </xf>
    <xf numFmtId="170" fontId="15" fillId="0" borderId="35" xfId="0" applyNumberFormat="1" applyFont="1" applyBorder="1"/>
    <xf numFmtId="173" fontId="15" fillId="0" borderId="0" xfId="0" applyNumberFormat="1" applyFont="1" applyAlignment="1">
      <alignment horizontal="right"/>
    </xf>
    <xf numFmtId="168" fontId="24" fillId="0" borderId="0" xfId="0" applyNumberFormat="1" applyFont="1" applyAlignment="1">
      <alignment horizontal="right"/>
    </xf>
    <xf numFmtId="168" fontId="30" fillId="0" borderId="0" xfId="0" applyNumberFormat="1" applyFont="1" applyAlignment="1">
      <alignment horizontal="right"/>
    </xf>
    <xf numFmtId="168" fontId="36" fillId="0" borderId="1" xfId="0" applyNumberFormat="1" applyFont="1" applyBorder="1"/>
    <xf numFmtId="9" fontId="24" fillId="0" borderId="0" xfId="12" applyFill="1" applyBorder="1"/>
    <xf numFmtId="9" fontId="15" fillId="7" borderId="1" xfId="2625" applyFill="1" applyBorder="1"/>
    <xf numFmtId="9" fontId="15" fillId="7" borderId="0" xfId="2625" applyFill="1"/>
    <xf numFmtId="9" fontId="15" fillId="0" borderId="3" xfId="12" applyFont="1" applyBorder="1"/>
    <xf numFmtId="37" fontId="15" fillId="0" borderId="5" xfId="0" applyFont="1" applyBorder="1"/>
    <xf numFmtId="37" fontId="15" fillId="0" borderId="4" xfId="0" applyFont="1" applyBorder="1"/>
    <xf numFmtId="171" fontId="15" fillId="0" borderId="1" xfId="0" applyNumberFormat="1" applyFont="1" applyBorder="1"/>
    <xf numFmtId="37" fontId="259" fillId="0" borderId="0" xfId="0" applyFont="1" applyAlignment="1">
      <alignment horizontal="right"/>
    </xf>
    <xf numFmtId="170" fontId="43" fillId="0" borderId="0" xfId="12" applyNumberFormat="1" applyFont="1" applyBorder="1"/>
    <xf numFmtId="37" fontId="0" fillId="23" borderId="0" xfId="0" applyFill="1"/>
    <xf numFmtId="37" fontId="15" fillId="2" borderId="1" xfId="0" applyFont="1" applyFill="1" applyBorder="1"/>
    <xf numFmtId="7" fontId="15" fillId="2" borderId="1" xfId="0" applyNumberFormat="1" applyFont="1" applyFill="1" applyBorder="1"/>
    <xf numFmtId="169" fontId="15" fillId="0" borderId="1" xfId="0" applyNumberFormat="1" applyFont="1" applyBorder="1"/>
    <xf numFmtId="9" fontId="15" fillId="0" borderId="5" xfId="0" applyNumberFormat="1" applyFont="1" applyBorder="1"/>
    <xf numFmtId="173" fontId="15" fillId="0" borderId="0" xfId="0" applyNumberFormat="1" applyFont="1"/>
    <xf numFmtId="1" fontId="26" fillId="0" borderId="1" xfId="0" applyNumberFormat="1" applyFont="1" applyBorder="1"/>
    <xf numFmtId="1" fontId="26" fillId="0" borderId="0" xfId="0" applyNumberFormat="1" applyFont="1"/>
    <xf numFmtId="1" fontId="26" fillId="0" borderId="0" xfId="0" applyNumberFormat="1" applyFont="1" applyBorder="1"/>
    <xf numFmtId="165" fontId="116" fillId="0" borderId="1" xfId="0" applyNumberFormat="1" applyFont="1" applyBorder="1"/>
    <xf numFmtId="165" fontId="116" fillId="0" borderId="0" xfId="0" applyNumberFormat="1" applyFont="1"/>
    <xf numFmtId="165" fontId="116" fillId="0" borderId="0" xfId="0" applyNumberFormat="1" applyFont="1" applyBorder="1"/>
    <xf numFmtId="5" fontId="43" fillId="0" borderId="0" xfId="0" applyNumberFormat="1" applyFont="1"/>
    <xf numFmtId="5" fontId="43" fillId="0" borderId="1" xfId="0" applyNumberFormat="1" applyFont="1" applyBorder="1"/>
    <xf numFmtId="5" fontId="43" fillId="0" borderId="0" xfId="0" applyNumberFormat="1" applyFont="1" applyBorder="1"/>
    <xf numFmtId="5" fontId="261" fillId="0" borderId="0" xfId="0" applyNumberFormat="1" applyFont="1"/>
    <xf numFmtId="5" fontId="261" fillId="0" borderId="1" xfId="0" applyNumberFormat="1" applyFont="1" applyBorder="1"/>
    <xf numFmtId="165" fontId="43" fillId="0" borderId="0" xfId="0" applyNumberFormat="1" applyFont="1" applyBorder="1"/>
    <xf numFmtId="5" fontId="43" fillId="0" borderId="0" xfId="0" applyNumberFormat="1" applyFont="1" applyAlignment="1">
      <alignment horizontal="left" indent="1"/>
    </xf>
    <xf numFmtId="5" fontId="43" fillId="0" borderId="1" xfId="0" applyNumberFormat="1" applyFont="1" applyBorder="1" applyAlignment="1">
      <alignment horizontal="right"/>
    </xf>
    <xf numFmtId="1" fontId="116" fillId="0" borderId="0" xfId="0" applyNumberFormat="1" applyFont="1"/>
    <xf numFmtId="1" fontId="116" fillId="0" borderId="1" xfId="0" applyNumberFormat="1" applyFont="1" applyBorder="1"/>
    <xf numFmtId="172" fontId="116" fillId="0" borderId="0" xfId="327" applyNumberFormat="1" applyFont="1"/>
    <xf numFmtId="172" fontId="116" fillId="0" borderId="1" xfId="327" applyNumberFormat="1" applyFont="1" applyBorder="1"/>
    <xf numFmtId="172" fontId="116" fillId="0" borderId="0" xfId="327" applyNumberFormat="1" applyFont="1" applyBorder="1"/>
    <xf numFmtId="316" fontId="261" fillId="0" borderId="1" xfId="0" applyNumberFormat="1" applyFont="1" applyBorder="1"/>
    <xf numFmtId="37" fontId="45" fillId="0" borderId="1" xfId="0" applyFont="1" applyFill="1" applyBorder="1"/>
    <xf numFmtId="37" fontId="45" fillId="0" borderId="0" xfId="0" applyFont="1" applyFill="1" applyBorder="1"/>
    <xf numFmtId="173" fontId="47" fillId="0" borderId="1" xfId="0" applyNumberFormat="1" applyFont="1" applyBorder="1"/>
    <xf numFmtId="173" fontId="15" fillId="0" borderId="0" xfId="0" applyNumberFormat="1" applyFont="1" applyBorder="1"/>
    <xf numFmtId="1" fontId="118" fillId="23" borderId="0" xfId="0" applyNumberFormat="1" applyFont="1" applyFill="1" applyAlignment="1">
      <alignment horizontal="left"/>
    </xf>
    <xf numFmtId="178" fontId="255" fillId="0" borderId="22" xfId="0" applyNumberFormat="1" applyFont="1" applyBorder="1" applyAlignment="1">
      <alignment horizontal="right"/>
    </xf>
    <xf numFmtId="178" fontId="255" fillId="7" borderId="22" xfId="0" applyNumberFormat="1" applyFont="1" applyFill="1" applyBorder="1" applyAlignment="1">
      <alignment horizontal="right"/>
    </xf>
    <xf numFmtId="37" fontId="255" fillId="0" borderId="22" xfId="0" applyFont="1" applyBorder="1" applyAlignment="1">
      <alignment horizontal="right"/>
    </xf>
    <xf numFmtId="178" fontId="255" fillId="0" borderId="0" xfId="0" applyNumberFormat="1" applyFont="1" applyAlignment="1">
      <alignment horizontal="right"/>
    </xf>
    <xf numFmtId="178" fontId="255" fillId="7" borderId="0" xfId="0" applyNumberFormat="1" applyFont="1" applyFill="1" applyAlignment="1">
      <alignment horizontal="right"/>
    </xf>
    <xf numFmtId="37" fontId="255" fillId="0" borderId="0" xfId="0" applyFont="1" applyAlignment="1">
      <alignment horizontal="right"/>
    </xf>
    <xf numFmtId="178" fontId="255" fillId="0" borderId="0" xfId="0" applyNumberFormat="1" applyFont="1" applyBorder="1" applyAlignment="1">
      <alignment horizontal="right"/>
    </xf>
    <xf numFmtId="178" fontId="255" fillId="7" borderId="0" xfId="0" applyNumberFormat="1" applyFont="1" applyFill="1" applyBorder="1" applyAlignment="1">
      <alignment horizontal="right"/>
    </xf>
    <xf numFmtId="37" fontId="255" fillId="0" borderId="0" xfId="0" applyFont="1" applyBorder="1" applyAlignment="1">
      <alignment horizontal="right"/>
    </xf>
    <xf numFmtId="178" fontId="255" fillId="0" borderId="11" xfId="0" applyNumberFormat="1" applyFont="1" applyBorder="1" applyAlignment="1">
      <alignment horizontal="right"/>
    </xf>
    <xf numFmtId="178" fontId="255" fillId="7" borderId="11" xfId="0" applyNumberFormat="1" applyFont="1" applyFill="1" applyBorder="1" applyAlignment="1">
      <alignment horizontal="right"/>
    </xf>
    <xf numFmtId="37" fontId="255" fillId="0" borderId="11" xfId="0" applyFont="1" applyBorder="1" applyAlignment="1">
      <alignment horizontal="right"/>
    </xf>
    <xf numFmtId="37" fontId="255" fillId="7" borderId="0" xfId="0" applyFont="1" applyFill="1" applyAlignment="1">
      <alignment horizontal="right"/>
    </xf>
    <xf numFmtId="9" fontId="116" fillId="0" borderId="0" xfId="12" applyFont="1" applyBorder="1"/>
    <xf numFmtId="37" fontId="15" fillId="7" borderId="1" xfId="0" applyFont="1" applyFill="1" applyBorder="1" applyAlignment="1">
      <alignment horizontal="right"/>
    </xf>
    <xf numFmtId="173" fontId="15" fillId="0" borderId="1" xfId="0" applyNumberFormat="1" applyFont="1" applyFill="1" applyBorder="1" applyAlignment="1">
      <alignment horizontal="right"/>
    </xf>
    <xf numFmtId="37" fontId="26" fillId="0" borderId="53" xfId="0" applyFont="1" applyBorder="1"/>
    <xf numFmtId="316" fontId="0" fillId="0" borderId="0" xfId="0" applyNumberFormat="1"/>
    <xf numFmtId="316" fontId="0" fillId="0" borderId="0" xfId="353" applyNumberFormat="1" applyFont="1" applyAlignment="1">
      <alignment horizontal="left"/>
    </xf>
    <xf numFmtId="37" fontId="125" fillId="0" borderId="0" xfId="0" quotePrefix="1" applyFont="1" applyFill="1" applyBorder="1" applyAlignment="1">
      <alignment horizontal="right"/>
    </xf>
    <xf numFmtId="37" fontId="15" fillId="0" borderId="0" xfId="350"/>
    <xf numFmtId="172" fontId="24" fillId="0" borderId="0" xfId="327" applyNumberFormat="1" applyFont="1" applyBorder="1"/>
    <xf numFmtId="5" fontId="56" fillId="0" borderId="0" xfId="0" applyNumberFormat="1" applyFont="1" applyBorder="1" applyAlignment="1">
      <alignment horizontal="right"/>
    </xf>
    <xf numFmtId="5" fontId="15" fillId="0" borderId="0" xfId="0" applyNumberFormat="1" applyFont="1" applyAlignment="1">
      <alignment horizontal="right"/>
    </xf>
    <xf numFmtId="1" fontId="118" fillId="23" borderId="0" xfId="0" applyNumberFormat="1" applyFont="1" applyFill="1" applyAlignment="1">
      <alignment horizontal="right"/>
    </xf>
    <xf numFmtId="37" fontId="127" fillId="18" borderId="0" xfId="0" applyFont="1" applyFill="1"/>
    <xf numFmtId="37" fontId="111" fillId="0" borderId="0" xfId="3226"/>
    <xf numFmtId="172" fontId="15" fillId="0" borderId="35" xfId="0" applyNumberFormat="1" applyFont="1" applyBorder="1" applyAlignment="1">
      <alignment horizontal="right"/>
    </xf>
    <xf numFmtId="5" fontId="15" fillId="0" borderId="0" xfId="0" applyNumberFormat="1" applyFont="1" applyBorder="1" applyAlignment="1">
      <alignment horizontal="right"/>
    </xf>
    <xf numFmtId="1" fontId="127" fillId="18" borderId="0" xfId="0" applyNumberFormat="1" applyFont="1" applyFill="1"/>
    <xf numFmtId="37" fontId="56" fillId="0" borderId="0" xfId="0" applyFont="1" applyFill="1" applyBorder="1"/>
    <xf numFmtId="0" fontId="7" fillId="19" borderId="25" xfId="0" applyNumberFormat="1" applyFont="1" applyFill="1" applyBorder="1" applyAlignment="1">
      <alignment horizontal="center"/>
    </xf>
    <xf numFmtId="37" fontId="127" fillId="0" borderId="0" xfId="0" applyFont="1" applyFill="1" applyBorder="1"/>
    <xf numFmtId="37" fontId="127" fillId="0" borderId="18" xfId="0" applyFont="1" applyFill="1" applyBorder="1" applyAlignment="1">
      <alignment horizontal="right"/>
    </xf>
    <xf numFmtId="9" fontId="15" fillId="0" borderId="0" xfId="12" applyFont="1" applyFill="1" applyBorder="1"/>
    <xf numFmtId="0" fontId="127" fillId="0" borderId="0" xfId="0" applyNumberFormat="1" applyFont="1" applyFill="1" applyBorder="1" applyAlignment="1">
      <alignment horizontal="right"/>
    </xf>
    <xf numFmtId="37" fontId="127" fillId="0" borderId="25" xfId="0" applyFont="1" applyFill="1" applyBorder="1" applyAlignment="1">
      <alignment horizontal="right"/>
    </xf>
    <xf numFmtId="170" fontId="26" fillId="0" borderId="3" xfId="12" applyNumberFormat="1" applyFont="1" applyBorder="1"/>
    <xf numFmtId="170" fontId="26" fillId="0" borderId="2" xfId="12" applyNumberFormat="1" applyFont="1" applyBorder="1"/>
    <xf numFmtId="37" fontId="26" fillId="0" borderId="0" xfId="0" applyFont="1" applyAlignment="1">
      <alignment horizontal="left"/>
    </xf>
    <xf numFmtId="37" fontId="255" fillId="0" borderId="0" xfId="0" applyFont="1"/>
    <xf numFmtId="37" fontId="127" fillId="0" borderId="0" xfId="0" applyFont="1" applyFill="1"/>
    <xf numFmtId="172" fontId="126" fillId="0" borderId="0" xfId="327" applyNumberFormat="1" applyFont="1" applyFill="1" applyBorder="1"/>
    <xf numFmtId="1" fontId="259" fillId="0" borderId="0" xfId="0" applyNumberFormat="1" applyFont="1"/>
    <xf numFmtId="316" fontId="127" fillId="0" borderId="0" xfId="0" applyNumberFormat="1" applyFont="1"/>
    <xf numFmtId="37" fontId="118" fillId="23" borderId="0" xfId="0" applyFont="1" applyFill="1" applyAlignment="1">
      <alignment horizontal="right"/>
    </xf>
    <xf numFmtId="172" fontId="24" fillId="0" borderId="0" xfId="327" applyNumberFormat="1" applyFont="1" applyFill="1" applyBorder="1"/>
    <xf numFmtId="318" fontId="125" fillId="0" borderId="8" xfId="0" applyNumberFormat="1" applyFont="1" applyFill="1" applyBorder="1" applyAlignment="1">
      <alignment horizontal="right"/>
    </xf>
    <xf numFmtId="318" fontId="125" fillId="0" borderId="17" xfId="0" applyNumberFormat="1" applyFont="1" applyFill="1" applyBorder="1" applyAlignment="1">
      <alignment horizontal="right"/>
    </xf>
    <xf numFmtId="318" fontId="125" fillId="0" borderId="70" xfId="0" applyNumberFormat="1" applyFont="1" applyFill="1" applyBorder="1" applyAlignment="1">
      <alignment horizontal="right"/>
    </xf>
    <xf numFmtId="318" fontId="127" fillId="0" borderId="18" xfId="0" applyNumberFormat="1" applyFont="1" applyFill="1" applyBorder="1" applyAlignment="1">
      <alignment horizontal="right"/>
    </xf>
    <xf numFmtId="318" fontId="125" fillId="0" borderId="9" xfId="0" applyNumberFormat="1" applyFont="1" applyFill="1" applyBorder="1" applyAlignment="1">
      <alignment horizontal="right"/>
    </xf>
    <xf numFmtId="318" fontId="125" fillId="0" borderId="12" xfId="0" applyNumberFormat="1" applyFont="1" applyFill="1" applyBorder="1" applyAlignment="1">
      <alignment horizontal="right"/>
    </xf>
    <xf numFmtId="318" fontId="127" fillId="0" borderId="15" xfId="0" applyNumberFormat="1" applyFont="1" applyFill="1" applyBorder="1" applyAlignment="1">
      <alignment horizontal="right"/>
    </xf>
    <xf numFmtId="37" fontId="266" fillId="0" borderId="0" xfId="0" applyFont="1" applyFill="1" applyBorder="1" applyAlignment="1">
      <alignment horizontal="right"/>
    </xf>
    <xf numFmtId="37" fontId="125" fillId="0" borderId="28" xfId="0" applyFont="1" applyFill="1" applyBorder="1" applyAlignment="1">
      <alignment horizontal="right"/>
    </xf>
    <xf numFmtId="37" fontId="125" fillId="0" borderId="30" xfId="0" applyFont="1" applyFill="1" applyBorder="1" applyAlignment="1">
      <alignment horizontal="right"/>
    </xf>
    <xf numFmtId="37" fontId="127" fillId="0" borderId="36" xfId="0" applyFont="1" applyFill="1" applyBorder="1" applyAlignment="1">
      <alignment horizontal="right"/>
    </xf>
    <xf numFmtId="43" fontId="15" fillId="0" borderId="1" xfId="327" applyFont="1" applyBorder="1"/>
    <xf numFmtId="176" fontId="43" fillId="18" borderId="0" xfId="9" applyFont="1" applyFill="1" applyBorder="1"/>
    <xf numFmtId="17" fontId="43" fillId="2" borderId="0" xfId="0" applyNumberFormat="1" applyFont="1" applyFill="1" applyBorder="1" applyAlignment="1">
      <alignment horizontal="center"/>
    </xf>
    <xf numFmtId="173" fontId="24" fillId="0" borderId="0" xfId="0" applyNumberFormat="1" applyFont="1" applyBorder="1" applyAlignment="1">
      <alignment horizontal="right"/>
    </xf>
    <xf numFmtId="166" fontId="24" fillId="0" borderId="22" xfId="0" applyNumberFormat="1" applyFont="1" applyBorder="1" applyAlignment="1">
      <alignment horizontal="right"/>
    </xf>
    <xf numFmtId="9" fontId="36" fillId="0" borderId="0" xfId="12" applyFont="1" applyBorder="1"/>
    <xf numFmtId="37" fontId="53" fillId="2" borderId="0" xfId="0" applyFont="1" applyFill="1" applyBorder="1"/>
    <xf numFmtId="172" fontId="36" fillId="0" borderId="0" xfId="0" applyNumberFormat="1" applyFont="1" applyBorder="1" applyAlignment="1">
      <alignment horizontal="right"/>
    </xf>
    <xf numFmtId="9" fontId="15" fillId="0" borderId="0" xfId="2625" applyBorder="1"/>
    <xf numFmtId="9" fontId="15" fillId="0" borderId="12" xfId="12" applyFont="1" applyBorder="1"/>
    <xf numFmtId="173" fontId="15" fillId="0" borderId="1" xfId="0" applyNumberFormat="1" applyFont="1" applyBorder="1"/>
    <xf numFmtId="1" fontId="15" fillId="0" borderId="1" xfId="0" applyNumberFormat="1" applyFont="1" applyBorder="1"/>
    <xf numFmtId="37" fontId="26" fillId="0" borderId="1" xfId="0" applyFont="1" applyFill="1" applyBorder="1"/>
    <xf numFmtId="316" fontId="43" fillId="0" borderId="1" xfId="0" applyNumberFormat="1" applyFont="1" applyBorder="1"/>
    <xf numFmtId="172" fontId="15" fillId="0" borderId="1" xfId="327" applyNumberFormat="1" applyFont="1" applyBorder="1"/>
    <xf numFmtId="178" fontId="15" fillId="0" borderId="0" xfId="2869" applyNumberFormat="1"/>
    <xf numFmtId="170" fontId="25" fillId="0" borderId="0" xfId="0" applyNumberFormat="1" applyFont="1"/>
    <xf numFmtId="37" fontId="15" fillId="2" borderId="0" xfId="0" applyFont="1" applyFill="1" applyBorder="1" applyAlignment="1">
      <alignment horizontal="right"/>
    </xf>
    <xf numFmtId="7" fontId="15" fillId="2" borderId="0" xfId="0" applyNumberFormat="1" applyFont="1" applyFill="1" applyBorder="1" applyAlignment="1">
      <alignment horizontal="right"/>
    </xf>
    <xf numFmtId="168" fontId="15" fillId="0" borderId="0" xfId="0" applyNumberFormat="1" applyFont="1" applyAlignment="1">
      <alignment horizontal="right"/>
    </xf>
    <xf numFmtId="169" fontId="15" fillId="0" borderId="0" xfId="0" applyNumberFormat="1" applyFont="1" applyAlignment="1">
      <alignment horizontal="right"/>
    </xf>
    <xf numFmtId="169" fontId="15" fillId="0" borderId="0" xfId="0" applyNumberFormat="1" applyFont="1"/>
    <xf numFmtId="9" fontId="15" fillId="0" borderId="12" xfId="0" applyNumberFormat="1" applyFont="1" applyBorder="1"/>
    <xf numFmtId="14" fontId="7" fillId="0" borderId="0" xfId="2402" applyNumberFormat="1" applyFont="1" applyAlignment="1">
      <alignment horizontal="left"/>
    </xf>
    <xf numFmtId="37" fontId="7" fillId="0" borderId="0" xfId="350" applyFont="1"/>
    <xf numFmtId="178" fontId="24" fillId="7" borderId="0" xfId="0" applyNumberFormat="1" applyFont="1" applyFill="1" applyAlignment="1">
      <alignment horizontal="right"/>
    </xf>
    <xf numFmtId="37" fontId="15" fillId="0" borderId="0" xfId="2402"/>
    <xf numFmtId="37" fontId="26" fillId="0" borderId="0" xfId="2402" applyFont="1"/>
    <xf numFmtId="37" fontId="15" fillId="0" borderId="0" xfId="0" quotePrefix="1" applyFont="1" applyBorder="1" applyAlignment="1">
      <alignment horizontal="right"/>
    </xf>
    <xf numFmtId="167" fontId="15" fillId="0" borderId="1" xfId="0" applyNumberFormat="1" applyFont="1" applyBorder="1" applyAlignment="1">
      <alignment horizontal="right"/>
    </xf>
    <xf numFmtId="5" fontId="15" fillId="0" borderId="0" xfId="0" quotePrefix="1" applyNumberFormat="1" applyFont="1" applyBorder="1" applyAlignment="1">
      <alignment horizontal="right"/>
    </xf>
    <xf numFmtId="170" fontId="48" fillId="0" borderId="39" xfId="0" applyNumberFormat="1" applyFont="1" applyBorder="1"/>
    <xf numFmtId="7" fontId="15" fillId="0" borderId="0" xfId="2" applyFont="1" applyFill="1">
      <alignment horizontal="right"/>
    </xf>
    <xf numFmtId="7" fontId="26" fillId="0" borderId="0" xfId="2" applyFont="1" applyFill="1">
      <alignment horizontal="right"/>
    </xf>
    <xf numFmtId="37" fontId="15" fillId="0" borderId="2" xfId="0" applyFont="1" applyBorder="1" applyAlignment="1">
      <alignment horizontal="right"/>
    </xf>
    <xf numFmtId="178" fontId="15" fillId="0" borderId="22" xfId="0" applyNumberFormat="1" applyFont="1" applyBorder="1" applyAlignment="1">
      <alignment horizontal="right"/>
    </xf>
    <xf numFmtId="178" fontId="15" fillId="0" borderId="0" xfId="0" applyNumberFormat="1" applyFont="1" applyBorder="1" applyAlignment="1">
      <alignment horizontal="right"/>
    </xf>
    <xf numFmtId="178" fontId="15" fillId="0" borderId="11" xfId="0" applyNumberFormat="1" applyFont="1" applyBorder="1" applyAlignment="1">
      <alignment horizontal="right"/>
    </xf>
    <xf numFmtId="37" fontId="15" fillId="0" borderId="22" xfId="0" applyFont="1" applyBorder="1" applyAlignment="1">
      <alignment horizontal="right"/>
    </xf>
    <xf numFmtId="37" fontId="15" fillId="0" borderId="11" xfId="0" applyFont="1" applyBorder="1" applyAlignment="1">
      <alignment horizontal="right"/>
    </xf>
    <xf numFmtId="166" fontId="15" fillId="0" borderId="11" xfId="0" applyNumberFormat="1" applyFont="1" applyBorder="1" applyAlignment="1">
      <alignment horizontal="right"/>
    </xf>
    <xf numFmtId="167" fontId="15" fillId="0" borderId="0" xfId="0" applyNumberFormat="1" applyFont="1" applyBorder="1" applyAlignment="1">
      <alignment horizontal="right"/>
    </xf>
    <xf numFmtId="167" fontId="15" fillId="0" borderId="0" xfId="0" applyNumberFormat="1" applyFont="1" applyAlignment="1">
      <alignment horizontal="right"/>
    </xf>
    <xf numFmtId="167" fontId="15" fillId="0" borderId="2" xfId="0" applyNumberFormat="1" applyFont="1" applyBorder="1" applyAlignment="1">
      <alignment horizontal="right"/>
    </xf>
    <xf numFmtId="176" fontId="15" fillId="2" borderId="0" xfId="7" applyFont="1" applyFill="1" applyBorder="1"/>
    <xf numFmtId="3" fontId="15" fillId="0" borderId="0" xfId="0" applyNumberFormat="1" applyFont="1" applyBorder="1" applyAlignment="1">
      <alignment horizontal="right"/>
    </xf>
    <xf numFmtId="37" fontId="15" fillId="2" borderId="0" xfId="0" applyFont="1" applyFill="1" applyBorder="1"/>
    <xf numFmtId="172" fontId="15" fillId="0" borderId="0" xfId="0" applyNumberFormat="1" applyFont="1" applyBorder="1" applyAlignment="1">
      <alignment horizontal="right"/>
    </xf>
    <xf numFmtId="37" fontId="0" fillId="0" borderId="0" xfId="0" quotePrefix="1"/>
    <xf numFmtId="37" fontId="26" fillId="0" borderId="0" xfId="0" quotePrefix="1" applyFont="1"/>
    <xf numFmtId="37" fontId="260" fillId="65" borderId="0" xfId="0" applyFont="1" applyFill="1"/>
    <xf numFmtId="37" fontId="0" fillId="23" borderId="0" xfId="0" applyFill="1" applyAlignment="1">
      <alignment horizontal="left"/>
    </xf>
    <xf numFmtId="37" fontId="26" fillId="7" borderId="0" xfId="0" applyFont="1" applyFill="1" applyBorder="1" applyAlignment="1">
      <alignment horizontal="right"/>
    </xf>
    <xf numFmtId="37" fontId="26" fillId="0" borderId="0" xfId="0" applyFont="1" applyFill="1" applyBorder="1" applyAlignment="1">
      <alignment horizontal="right"/>
    </xf>
    <xf numFmtId="7" fontId="25" fillId="0" borderId="0" xfId="2" applyFont="1" applyFill="1" applyBorder="1">
      <alignment horizontal="right"/>
    </xf>
    <xf numFmtId="178" fontId="25" fillId="0" borderId="0" xfId="0" applyNumberFormat="1" applyFont="1" applyFill="1" applyBorder="1" applyAlignment="1">
      <alignment horizontal="right"/>
    </xf>
    <xf numFmtId="7" fontId="15" fillId="0" borderId="0" xfId="2" applyFont="1" applyFill="1" applyBorder="1">
      <alignment horizontal="right"/>
    </xf>
    <xf numFmtId="7" fontId="26" fillId="0" borderId="0" xfId="2" applyFont="1" applyFill="1" applyBorder="1">
      <alignment horizontal="right"/>
    </xf>
    <xf numFmtId="173" fontId="15" fillId="0" borderId="0" xfId="0" applyNumberFormat="1" applyFont="1" applyBorder="1" applyAlignment="1">
      <alignment horizontal="right"/>
    </xf>
    <xf numFmtId="7" fontId="15" fillId="0" borderId="0" xfId="0" applyNumberFormat="1" applyFont="1" applyBorder="1"/>
    <xf numFmtId="37" fontId="269" fillId="0" borderId="0" xfId="0" applyFont="1"/>
    <xf numFmtId="37" fontId="54" fillId="0" borderId="0" xfId="0" applyFont="1" applyAlignment="1">
      <alignment horizontal="right"/>
    </xf>
    <xf numFmtId="37" fontId="269" fillId="0" borderId="0" xfId="0" applyFont="1" applyAlignment="1">
      <alignment horizontal="right"/>
    </xf>
    <xf numFmtId="173" fontId="54" fillId="0" borderId="0" xfId="0" applyNumberFormat="1" applyFont="1" applyAlignment="1">
      <alignment horizontal="right"/>
    </xf>
    <xf numFmtId="37" fontId="54" fillId="7" borderId="0" xfId="0" applyFont="1" applyFill="1" applyAlignment="1">
      <alignment horizontal="right"/>
    </xf>
    <xf numFmtId="37" fontId="269" fillId="7" borderId="0" xfId="0" applyFont="1" applyFill="1" applyAlignment="1">
      <alignment horizontal="right"/>
    </xf>
    <xf numFmtId="178" fontId="269" fillId="0" borderId="0" xfId="0" applyNumberFormat="1" applyFont="1" applyAlignment="1">
      <alignment horizontal="right"/>
    </xf>
    <xf numFmtId="178" fontId="54" fillId="0" borderId="0" xfId="0" applyNumberFormat="1" applyFont="1" applyAlignment="1">
      <alignment horizontal="right"/>
    </xf>
    <xf numFmtId="166" fontId="15" fillId="0" borderId="0" xfId="0" applyNumberFormat="1" applyFont="1" applyBorder="1" applyAlignment="1">
      <alignment horizontal="left"/>
    </xf>
    <xf numFmtId="37" fontId="26" fillId="7" borderId="0" xfId="0" applyFont="1" applyFill="1" applyAlignment="1">
      <alignment horizontal="left"/>
    </xf>
    <xf numFmtId="170" fontId="43" fillId="0" borderId="1" xfId="0" applyNumberFormat="1" applyFont="1" applyBorder="1"/>
    <xf numFmtId="170" fontId="48" fillId="0" borderId="6" xfId="0" applyNumberFormat="1" applyFont="1" applyBorder="1"/>
    <xf numFmtId="5" fontId="268" fillId="0" borderId="0" xfId="0" applyNumberFormat="1" applyFont="1"/>
    <xf numFmtId="37" fontId="54" fillId="0" borderId="0" xfId="0" applyFont="1" applyBorder="1" applyAlignment="1">
      <alignment horizontal="right"/>
    </xf>
    <xf numFmtId="166" fontId="54" fillId="0" borderId="0" xfId="0" applyNumberFormat="1" applyFont="1" applyBorder="1" applyAlignment="1">
      <alignment horizontal="right"/>
    </xf>
    <xf numFmtId="37" fontId="267" fillId="0" borderId="1" xfId="0" applyFont="1" applyBorder="1"/>
    <xf numFmtId="316" fontId="268" fillId="0" borderId="1" xfId="0" applyNumberFormat="1" applyFont="1" applyBorder="1"/>
    <xf numFmtId="170" fontId="54" fillId="0" borderId="1" xfId="0" applyNumberFormat="1" applyFont="1" applyBorder="1"/>
    <xf numFmtId="173" fontId="15" fillId="0" borderId="1" xfId="0" applyNumberFormat="1" applyFont="1" applyBorder="1" applyAlignment="1">
      <alignment horizontal="right"/>
    </xf>
    <xf numFmtId="167" fontId="24" fillId="7" borderId="0" xfId="0" applyNumberFormat="1" applyFont="1" applyFill="1" applyAlignment="1">
      <alignment horizontal="right"/>
    </xf>
    <xf numFmtId="172" fontId="5" fillId="0" borderId="0" xfId="327" applyNumberFormat="1" applyFont="1" applyFill="1" applyBorder="1"/>
    <xf numFmtId="172" fontId="263" fillId="0" borderId="0" xfId="327" applyNumberFormat="1" applyFont="1" applyFill="1" applyBorder="1"/>
    <xf numFmtId="37" fontId="264" fillId="22" borderId="0" xfId="0" applyFont="1" applyFill="1" applyBorder="1" applyAlignment="1">
      <alignment horizontal="right"/>
    </xf>
    <xf numFmtId="0" fontId="7" fillId="19" borderId="2" xfId="0" applyNumberFormat="1" applyFont="1" applyFill="1" applyBorder="1" applyAlignment="1">
      <alignment horizontal="center"/>
    </xf>
    <xf numFmtId="172" fontId="5" fillId="0" borderId="70" xfId="327" applyNumberFormat="1" applyFont="1" applyFill="1" applyBorder="1"/>
    <xf numFmtId="172" fontId="5" fillId="0" borderId="12" xfId="0" applyNumberFormat="1" applyFont="1" applyFill="1" applyBorder="1"/>
    <xf numFmtId="37" fontId="127" fillId="0" borderId="12" xfId="0" applyFont="1" applyFill="1" applyBorder="1"/>
    <xf numFmtId="0" fontId="264" fillId="21" borderId="2" xfId="0" applyNumberFormat="1" applyFont="1" applyFill="1" applyBorder="1" applyAlignment="1">
      <alignment horizontal="center"/>
    </xf>
    <xf numFmtId="37" fontId="127" fillId="0" borderId="70" xfId="0" applyFont="1" applyFill="1" applyBorder="1" applyAlignment="1">
      <alignment horizontal="right"/>
    </xf>
    <xf numFmtId="37" fontId="264" fillId="0" borderId="30" xfId="0" applyFont="1" applyFill="1" applyBorder="1" applyAlignment="1">
      <alignment horizontal="right"/>
    </xf>
    <xf numFmtId="2" fontId="127" fillId="0" borderId="12" xfId="0" applyNumberFormat="1" applyFont="1" applyFill="1" applyBorder="1" applyAlignment="1">
      <alignment horizontal="right"/>
    </xf>
    <xf numFmtId="167" fontId="24" fillId="7" borderId="0" xfId="0" applyNumberFormat="1" applyFont="1" applyFill="1" applyBorder="1" applyAlignment="1">
      <alignment horizontal="right"/>
    </xf>
    <xf numFmtId="37" fontId="270" fillId="0" borderId="0" xfId="0" applyFont="1"/>
    <xf numFmtId="37" fontId="111" fillId="0" borderId="0" xfId="3418"/>
    <xf numFmtId="37" fontId="269" fillId="0" borderId="0" xfId="0" applyFont="1" applyBorder="1"/>
    <xf numFmtId="37" fontId="269" fillId="0" borderId="0" xfId="0" applyFont="1" applyBorder="1" applyAlignment="1">
      <alignment horizontal="right"/>
    </xf>
    <xf numFmtId="173" fontId="54" fillId="0" borderId="0" xfId="0" applyNumberFormat="1" applyFont="1" applyBorder="1" applyAlignment="1">
      <alignment horizontal="right"/>
    </xf>
    <xf numFmtId="37" fontId="24" fillId="7" borderId="0" xfId="0" applyFont="1" applyFill="1" applyBorder="1" applyAlignment="1">
      <alignment horizontal="right"/>
    </xf>
    <xf numFmtId="37" fontId="54" fillId="7" borderId="0" xfId="0" applyFont="1" applyFill="1" applyBorder="1" applyAlignment="1">
      <alignment horizontal="right"/>
    </xf>
    <xf numFmtId="37" fontId="269" fillId="7" borderId="0" xfId="0" applyFont="1" applyFill="1" applyBorder="1" applyAlignment="1">
      <alignment horizontal="right"/>
    </xf>
    <xf numFmtId="178" fontId="54" fillId="0" borderId="0" xfId="0" applyNumberFormat="1" applyFont="1" applyBorder="1" applyAlignment="1">
      <alignment horizontal="right"/>
    </xf>
    <xf numFmtId="178" fontId="269" fillId="0" borderId="0" xfId="0" applyNumberFormat="1" applyFont="1" applyBorder="1" applyAlignment="1">
      <alignment horizontal="right"/>
    </xf>
    <xf numFmtId="37" fontId="54" fillId="0" borderId="22" xfId="0" applyFont="1" applyBorder="1" applyAlignment="1">
      <alignment horizontal="right"/>
    </xf>
    <xf numFmtId="37" fontId="54" fillId="0" borderId="11" xfId="0" applyFont="1" applyBorder="1" applyAlignment="1">
      <alignment horizontal="right"/>
    </xf>
    <xf numFmtId="37" fontId="28" fillId="7" borderId="0" xfId="0" applyFont="1" applyFill="1" applyBorder="1" applyAlignment="1">
      <alignment horizontal="right"/>
    </xf>
    <xf numFmtId="37" fontId="54" fillId="0" borderId="0" xfId="0" applyFont="1" applyFill="1" applyBorder="1"/>
    <xf numFmtId="172" fontId="5" fillId="0" borderId="70" xfId="3228" applyNumberFormat="1" applyFont="1" applyFill="1" applyBorder="1"/>
    <xf numFmtId="172" fontId="5" fillId="0" borderId="14" xfId="3228" applyNumberFormat="1" applyFont="1" applyFill="1" applyBorder="1"/>
    <xf numFmtId="172" fontId="5" fillId="0" borderId="0" xfId="3228" applyNumberFormat="1" applyFont="1" applyFill="1" applyBorder="1"/>
    <xf numFmtId="172" fontId="120" fillId="0" borderId="0" xfId="3228" applyNumberFormat="1" applyFont="1" applyFill="1" applyBorder="1"/>
    <xf numFmtId="172" fontId="120" fillId="0" borderId="14" xfId="3228" applyNumberFormat="1" applyFont="1" applyFill="1" applyBorder="1"/>
    <xf numFmtId="172" fontId="263" fillId="0" borderId="0" xfId="3228" applyNumberFormat="1" applyFont="1" applyFill="1" applyBorder="1"/>
    <xf numFmtId="172" fontId="263" fillId="0" borderId="14" xfId="3228" applyNumberFormat="1" applyFont="1" applyFill="1" applyBorder="1"/>
    <xf numFmtId="172" fontId="5" fillId="0" borderId="15" xfId="0" applyNumberFormat="1" applyFont="1" applyFill="1" applyBorder="1"/>
    <xf numFmtId="172" fontId="120" fillId="0" borderId="0" xfId="0" applyNumberFormat="1" applyFont="1" applyFill="1" applyBorder="1"/>
    <xf numFmtId="43" fontId="15" fillId="0" borderId="0" xfId="3228" applyFont="1" applyBorder="1"/>
    <xf numFmtId="9" fontId="15" fillId="0" borderId="0" xfId="3377" applyBorder="1"/>
    <xf numFmtId="0" fontId="264" fillId="21" borderId="25" xfId="0" applyNumberFormat="1" applyFont="1" applyFill="1" applyBorder="1" applyAlignment="1">
      <alignment horizontal="center"/>
    </xf>
    <xf numFmtId="0" fontId="124" fillId="0" borderId="0" xfId="0" applyNumberFormat="1" applyFont="1" applyFill="1" applyBorder="1" applyAlignment="1">
      <alignment horizontal="center"/>
    </xf>
    <xf numFmtId="37" fontId="127" fillId="0" borderId="14" xfId="0" applyFont="1" applyFill="1" applyBorder="1" applyAlignment="1">
      <alignment horizontal="right"/>
    </xf>
    <xf numFmtId="37" fontId="264" fillId="22" borderId="14" xfId="0" applyFont="1" applyFill="1" applyBorder="1" applyAlignment="1">
      <alignment horizontal="right"/>
    </xf>
    <xf numFmtId="37" fontId="26" fillId="66" borderId="0" xfId="0" applyFont="1" applyFill="1" applyBorder="1"/>
    <xf numFmtId="0" fontId="48" fillId="66" borderId="12" xfId="0" applyNumberFormat="1" applyFont="1" applyFill="1" applyBorder="1"/>
    <xf numFmtId="0" fontId="48" fillId="66" borderId="15" xfId="0" applyNumberFormat="1" applyFont="1" applyFill="1" applyBorder="1"/>
    <xf numFmtId="37" fontId="26" fillId="66" borderId="0" xfId="0" applyFont="1" applyFill="1" applyBorder="1" applyAlignment="1">
      <alignment horizontal="right"/>
    </xf>
    <xf numFmtId="37" fontId="0" fillId="66" borderId="0" xfId="0" applyFill="1" applyBorder="1"/>
    <xf numFmtId="37" fontId="0" fillId="66" borderId="14" xfId="0" applyFill="1" applyBorder="1"/>
    <xf numFmtId="37" fontId="0" fillId="66" borderId="0" xfId="0" applyFill="1"/>
    <xf numFmtId="37" fontId="15" fillId="0" borderId="0" xfId="0" quotePrefix="1" applyFont="1"/>
    <xf numFmtId="37" fontId="26" fillId="67" borderId="0" xfId="0" applyFont="1" applyFill="1"/>
    <xf numFmtId="0" fontId="48" fillId="67" borderId="12" xfId="0" applyNumberFormat="1" applyFont="1" applyFill="1" applyBorder="1"/>
    <xf numFmtId="0" fontId="48" fillId="67" borderId="15" xfId="0" applyNumberFormat="1" applyFont="1" applyFill="1" applyBorder="1"/>
    <xf numFmtId="5" fontId="48" fillId="67" borderId="0" xfId="0" applyNumberFormat="1" applyFont="1" applyFill="1" applyBorder="1"/>
    <xf numFmtId="37" fontId="26" fillId="67" borderId="0" xfId="0" applyFont="1" applyFill="1" applyBorder="1"/>
    <xf numFmtId="37" fontId="0" fillId="67" borderId="0" xfId="0" applyFill="1" applyBorder="1"/>
    <xf numFmtId="37" fontId="15" fillId="67" borderId="0" xfId="0" quotePrefix="1" applyFont="1" applyFill="1" applyBorder="1" applyAlignment="1">
      <alignment horizontal="right"/>
    </xf>
    <xf numFmtId="37" fontId="15" fillId="67" borderId="14" xfId="0" quotePrefix="1" applyFont="1" applyFill="1" applyBorder="1" applyAlignment="1">
      <alignment horizontal="right"/>
    </xf>
    <xf numFmtId="37" fontId="15" fillId="68" borderId="0" xfId="0" applyFont="1" applyFill="1" applyAlignment="1">
      <alignment horizontal="right"/>
    </xf>
    <xf numFmtId="37" fontId="43" fillId="67" borderId="0" xfId="0" applyFont="1" applyFill="1"/>
    <xf numFmtId="37" fontId="0" fillId="67" borderId="14" xfId="0" applyFill="1" applyBorder="1"/>
    <xf numFmtId="37" fontId="15" fillId="68" borderId="0" xfId="0" applyFont="1" applyFill="1"/>
    <xf numFmtId="37" fontId="124" fillId="22" borderId="14" xfId="0" applyFont="1" applyFill="1" applyBorder="1" applyAlignment="1">
      <alignment horizontal="right"/>
    </xf>
    <xf numFmtId="37" fontId="0" fillId="67" borderId="0" xfId="0" applyFill="1"/>
    <xf numFmtId="37" fontId="124" fillId="22" borderId="39" xfId="0" applyFont="1" applyFill="1" applyBorder="1" applyAlignment="1">
      <alignment horizontal="right"/>
    </xf>
    <xf numFmtId="37" fontId="264" fillId="0" borderId="36" xfId="0" applyFont="1" applyFill="1" applyBorder="1" applyAlignment="1">
      <alignment horizontal="right"/>
    </xf>
    <xf numFmtId="0" fontId="124" fillId="0" borderId="0" xfId="0" applyNumberFormat="1" applyFont="1" applyFill="1" applyBorder="1" applyAlignment="1">
      <alignment horizontal="right"/>
    </xf>
    <xf numFmtId="2" fontId="127" fillId="0" borderId="59" xfId="0" applyNumberFormat="1" applyFont="1" applyFill="1" applyBorder="1" applyAlignment="1">
      <alignment horizontal="right"/>
    </xf>
    <xf numFmtId="2" fontId="127" fillId="0" borderId="15" xfId="0" applyNumberFormat="1" applyFont="1" applyFill="1" applyBorder="1" applyAlignment="1">
      <alignment horizontal="right"/>
    </xf>
    <xf numFmtId="37" fontId="43" fillId="0" borderId="0" xfId="0" applyFont="1" applyFill="1" applyBorder="1"/>
    <xf numFmtId="9" fontId="15" fillId="0" borderId="0" xfId="3377" applyFill="1" applyBorder="1"/>
    <xf numFmtId="173" fontId="0" fillId="0" borderId="0" xfId="0" applyNumberFormat="1" applyFill="1" applyBorder="1"/>
    <xf numFmtId="316" fontId="15" fillId="0" borderId="0" xfId="3377" applyNumberFormat="1" applyFill="1" applyBorder="1"/>
    <xf numFmtId="318" fontId="125" fillId="0" borderId="0" xfId="0" applyNumberFormat="1" applyFont="1" applyFill="1" applyBorder="1" applyAlignment="1">
      <alignment horizontal="right"/>
    </xf>
    <xf numFmtId="318" fontId="127" fillId="0" borderId="0" xfId="0" applyNumberFormat="1" applyFont="1" applyFill="1" applyBorder="1" applyAlignment="1">
      <alignment horizontal="right"/>
    </xf>
    <xf numFmtId="37" fontId="11" fillId="2" borderId="0" xfId="0" applyFont="1" applyFill="1" applyAlignment="1">
      <alignment horizontal="center"/>
    </xf>
    <xf numFmtId="37" fontId="11" fillId="2" borderId="0" xfId="0" applyFont="1" applyFill="1" applyBorder="1" applyAlignment="1">
      <alignment horizontal="center"/>
    </xf>
  </cellXfs>
  <cellStyles count="3419">
    <cellStyle name="—" xfId="439" xr:uid="{00000000-0005-0000-0000-000000000000}"/>
    <cellStyle name="$" xfId="440" xr:uid="{00000000-0005-0000-0000-000001000000}"/>
    <cellStyle name="$ 2" xfId="441" xr:uid="{00000000-0005-0000-0000-000002000000}"/>
    <cellStyle name="$_AG" xfId="442" xr:uid="{00000000-0005-0000-0000-000003000000}"/>
    <cellStyle name="$_CNH" xfId="443" xr:uid="{00000000-0005-0000-0000-000004000000}"/>
    <cellStyle name="$_DOV" xfId="444" xr:uid="{00000000-0005-0000-0000-000005000000}"/>
    <cellStyle name="$_ETN" xfId="445" xr:uid="{00000000-0005-0000-0000-000006000000}"/>
    <cellStyle name="$_FSS" xfId="446" xr:uid="{00000000-0005-0000-0000-000007000000}"/>
    <cellStyle name="$_Hist Summary" xfId="447" xr:uid="{00000000-0005-0000-0000-000008000000}"/>
    <cellStyle name="$_JOYG" xfId="448" xr:uid="{00000000-0005-0000-0000-000009000000}"/>
    <cellStyle name="$_Machinery group valuation" xfId="449" xr:uid="{00000000-0005-0000-0000-00000A000000}"/>
    <cellStyle name="$_MLM" xfId="450" xr:uid="{00000000-0005-0000-0000-00000B000000}"/>
    <cellStyle name="$_NAV" xfId="451" xr:uid="{00000000-0005-0000-0000-00000C000000}"/>
    <cellStyle name="$_OSK" xfId="452" xr:uid="{00000000-0005-0000-0000-00000D000000}"/>
    <cellStyle name="$_PCAR" xfId="453" xr:uid="{00000000-0005-0000-0000-00000E000000}"/>
    <cellStyle name="$_PCP" xfId="454" xr:uid="{00000000-0005-0000-0000-00000F000000}"/>
    <cellStyle name="$_PH" xfId="455" xr:uid="{00000000-0005-0000-0000-000010000000}"/>
    <cellStyle name="$0.0" xfId="456" xr:uid="{00000000-0005-0000-0000-000011000000}"/>
    <cellStyle name="$0.0 2" xfId="457" xr:uid="{00000000-0005-0000-0000-000012000000}"/>
    <cellStyle name="$0.0 3" xfId="458" xr:uid="{00000000-0005-0000-0000-000013000000}"/>
    <cellStyle name="$0.0_PNR working 21" xfId="459" xr:uid="{00000000-0005-0000-0000-000014000000}"/>
    <cellStyle name="$0.00" xfId="460" xr:uid="{00000000-0005-0000-0000-000015000000}"/>
    <cellStyle name="$0.000" xfId="461" xr:uid="{00000000-0005-0000-0000-000016000000}"/>
    <cellStyle name="$0.000 2" xfId="462" xr:uid="{00000000-0005-0000-0000-000017000000}"/>
    <cellStyle name="$3places" xfId="463" xr:uid="{00000000-0005-0000-0000-000018000000}"/>
    <cellStyle name="$3places 2" xfId="464" xr:uid="{00000000-0005-0000-0000-000019000000}"/>
    <cellStyle name="$currency" xfId="465" xr:uid="{00000000-0005-0000-0000-00001A000000}"/>
    <cellStyle name="$m" xfId="466" xr:uid="{00000000-0005-0000-0000-00001B000000}"/>
    <cellStyle name="$q" xfId="467" xr:uid="{00000000-0005-0000-0000-00001C000000}"/>
    <cellStyle name="$q*" xfId="468" xr:uid="{00000000-0005-0000-0000-00001D000000}"/>
    <cellStyle name="$qA" xfId="469" xr:uid="{00000000-0005-0000-0000-00001E000000}"/>
    <cellStyle name="$qRange" xfId="470" xr:uid="{00000000-0005-0000-0000-00001F000000}"/>
    <cellStyle name="%" xfId="471" xr:uid="{00000000-0005-0000-0000-000020000000}"/>
    <cellStyle name="% 2" xfId="472" xr:uid="{00000000-0005-0000-0000-000021000000}"/>
    <cellStyle name="% Underline" xfId="473" xr:uid="{00000000-0005-0000-0000-000022000000}"/>
    <cellStyle name="% Underline 2" xfId="474" xr:uid="{00000000-0005-0000-0000-000023000000}"/>
    <cellStyle name="%_AG" xfId="475" xr:uid="{00000000-0005-0000-0000-000024000000}"/>
    <cellStyle name="%_CNH" xfId="476" xr:uid="{00000000-0005-0000-0000-000025000000}"/>
    <cellStyle name="%_DOV" xfId="477" xr:uid="{00000000-0005-0000-0000-000026000000}"/>
    <cellStyle name="%_ETN" xfId="478" xr:uid="{00000000-0005-0000-0000-000027000000}"/>
    <cellStyle name="%_FSS" xfId="479" xr:uid="{00000000-0005-0000-0000-000028000000}"/>
    <cellStyle name="%_Hist Summary" xfId="480" xr:uid="{00000000-0005-0000-0000-000029000000}"/>
    <cellStyle name="%_JOYG" xfId="481" xr:uid="{00000000-0005-0000-0000-00002A000000}"/>
    <cellStyle name="%_Machinery group valuation" xfId="482" xr:uid="{00000000-0005-0000-0000-00002B000000}"/>
    <cellStyle name="%_MLM" xfId="483" xr:uid="{00000000-0005-0000-0000-00002C000000}"/>
    <cellStyle name="%_NAV" xfId="484" xr:uid="{00000000-0005-0000-0000-00002D000000}"/>
    <cellStyle name="%_OSK" xfId="485" xr:uid="{00000000-0005-0000-0000-00002E000000}"/>
    <cellStyle name="%_PCAR" xfId="486" xr:uid="{00000000-0005-0000-0000-00002F000000}"/>
    <cellStyle name="%_PH" xfId="487" xr:uid="{00000000-0005-0000-0000-000030000000}"/>
    <cellStyle name="%_Utility" xfId="488" xr:uid="{00000000-0005-0000-0000-000031000000}"/>
    <cellStyle name="(1,000)" xfId="489" xr:uid="{00000000-0005-0000-0000-000032000000}"/>
    <cellStyle name="(1,000)x" xfId="490" xr:uid="{00000000-0005-0000-0000-000033000000}"/>
    <cellStyle name="******************************************" xfId="359" xr:uid="{00000000-0005-0000-0000-000034000000}"/>
    <cellStyle name="****************************************** 2" xfId="360" xr:uid="{00000000-0005-0000-0000-000035000000}"/>
    <cellStyle name="****************************************** 2 2" xfId="3079" xr:uid="{00000000-0005-0000-0000-000036000000}"/>
    <cellStyle name="****************************************** 2 3" xfId="491" xr:uid="{00000000-0005-0000-0000-000037000000}"/>
    <cellStyle name="_%(SignOnly)" xfId="15" xr:uid="{00000000-0005-0000-0000-000038000000}"/>
    <cellStyle name="_%(SignOnly) 2" xfId="362" xr:uid="{00000000-0005-0000-0000-000039000000}"/>
    <cellStyle name="_%(SignOnly) 2 2" xfId="3080" xr:uid="{00000000-0005-0000-0000-00003A000000}"/>
    <cellStyle name="_%(SignOnly) 2 3" xfId="492" xr:uid="{00000000-0005-0000-0000-00003B000000}"/>
    <cellStyle name="_%(SignOnly) 3" xfId="363" xr:uid="{00000000-0005-0000-0000-00003C000000}"/>
    <cellStyle name="_%(SignOnly) 4" xfId="364" xr:uid="{00000000-0005-0000-0000-00003D000000}"/>
    <cellStyle name="_%(SignOnly) 5" xfId="3239" xr:uid="{00000000-0005-0000-0000-00003E000000}"/>
    <cellStyle name="_%(SignOnly) 6" xfId="2610" xr:uid="{00000000-0005-0000-0000-00003F000000}"/>
    <cellStyle name="_%(SignOnly) 7" xfId="361" xr:uid="{00000000-0005-0000-0000-000040000000}"/>
    <cellStyle name="_%(SignOnly)_AG" xfId="493" xr:uid="{00000000-0005-0000-0000-000041000000}"/>
    <cellStyle name="_%(SignOnly)_CNH" xfId="494" xr:uid="{00000000-0005-0000-0000-000042000000}"/>
    <cellStyle name="_%(SignOnly)_DOV" xfId="495" xr:uid="{00000000-0005-0000-0000-000043000000}"/>
    <cellStyle name="_%(SignOnly)_ETN" xfId="496" xr:uid="{00000000-0005-0000-0000-000044000000}"/>
    <cellStyle name="_%(SignOnly)_FSS" xfId="497" xr:uid="{00000000-0005-0000-0000-000045000000}"/>
    <cellStyle name="_%(SignOnly)_JOYG" xfId="498" xr:uid="{00000000-0005-0000-0000-000046000000}"/>
    <cellStyle name="_%(SignOnly)_MLM" xfId="499" xr:uid="{00000000-0005-0000-0000-000047000000}"/>
    <cellStyle name="_%(SignOnly)_NAV" xfId="500" xr:uid="{00000000-0005-0000-0000-000048000000}"/>
    <cellStyle name="_%(SignOnly)_OSK" xfId="501" xr:uid="{00000000-0005-0000-0000-000049000000}"/>
    <cellStyle name="_%(SignOnly)_PCAR" xfId="502" xr:uid="{00000000-0005-0000-0000-00004A000000}"/>
    <cellStyle name="_%(SignOnly)_PH" xfId="503" xr:uid="{00000000-0005-0000-0000-00004B000000}"/>
    <cellStyle name="_%(SignSpaceOnly)" xfId="16" xr:uid="{00000000-0005-0000-0000-00004C000000}"/>
    <cellStyle name="_%(SignSpaceOnly) 2" xfId="366" xr:uid="{00000000-0005-0000-0000-00004D000000}"/>
    <cellStyle name="_%(SignSpaceOnly) 2 2" xfId="3081" xr:uid="{00000000-0005-0000-0000-00004E000000}"/>
    <cellStyle name="_%(SignSpaceOnly) 2 3" xfId="505" xr:uid="{00000000-0005-0000-0000-00004F000000}"/>
    <cellStyle name="_%(SignSpaceOnly) 3" xfId="367" xr:uid="{00000000-0005-0000-0000-000050000000}"/>
    <cellStyle name="_%(SignSpaceOnly) 4" xfId="368" xr:uid="{00000000-0005-0000-0000-000051000000}"/>
    <cellStyle name="_%(SignSpaceOnly) 5" xfId="3240" xr:uid="{00000000-0005-0000-0000-000052000000}"/>
    <cellStyle name="_%(SignSpaceOnly) 6" xfId="3064" xr:uid="{00000000-0005-0000-0000-000053000000}"/>
    <cellStyle name="_%(SignSpaceOnly) 7" xfId="365" xr:uid="{00000000-0005-0000-0000-000054000000}"/>
    <cellStyle name="_%(SignSpaceOnly)_AG" xfId="506" xr:uid="{00000000-0005-0000-0000-000055000000}"/>
    <cellStyle name="_%(SignSpaceOnly)_CNH" xfId="507" xr:uid="{00000000-0005-0000-0000-000056000000}"/>
    <cellStyle name="_%(SignSpaceOnly)_DOV" xfId="508" xr:uid="{00000000-0005-0000-0000-000057000000}"/>
    <cellStyle name="_%(SignSpaceOnly)_ETN" xfId="509" xr:uid="{00000000-0005-0000-0000-000058000000}"/>
    <cellStyle name="_%(SignSpaceOnly)_FSS" xfId="510" xr:uid="{00000000-0005-0000-0000-000059000000}"/>
    <cellStyle name="_%(SignSpaceOnly)_JOYG" xfId="511" xr:uid="{00000000-0005-0000-0000-00005A000000}"/>
    <cellStyle name="_%(SignSpaceOnly)_MLM" xfId="512" xr:uid="{00000000-0005-0000-0000-00005B000000}"/>
    <cellStyle name="_%(SignSpaceOnly)_NAV" xfId="513" xr:uid="{00000000-0005-0000-0000-00005C000000}"/>
    <cellStyle name="_%(SignSpaceOnly)_OSK" xfId="514" xr:uid="{00000000-0005-0000-0000-00005D000000}"/>
    <cellStyle name="_%(SignSpaceOnly)_PCAR" xfId="515" xr:uid="{00000000-0005-0000-0000-00005E000000}"/>
    <cellStyle name="_%(SignSpaceOnly)_PH" xfId="516" xr:uid="{00000000-0005-0000-0000-00005F000000}"/>
    <cellStyle name="_CBS Accretion - Dilution" xfId="517" xr:uid="{00000000-0005-0000-0000-000060000000}"/>
    <cellStyle name="_Comma" xfId="17" xr:uid="{00000000-0005-0000-0000-000061000000}"/>
    <cellStyle name="_Comma 2" xfId="370" xr:uid="{00000000-0005-0000-0000-000062000000}"/>
    <cellStyle name="_Comma 2 2" xfId="3083" xr:uid="{00000000-0005-0000-0000-000063000000}"/>
    <cellStyle name="_Comma 2 3" xfId="519" xr:uid="{00000000-0005-0000-0000-000064000000}"/>
    <cellStyle name="_Comma 3" xfId="371" xr:uid="{00000000-0005-0000-0000-000065000000}"/>
    <cellStyle name="_Comma 3 2" xfId="3084" xr:uid="{00000000-0005-0000-0000-000066000000}"/>
    <cellStyle name="_Comma 3 3" xfId="520" xr:uid="{00000000-0005-0000-0000-000067000000}"/>
    <cellStyle name="_Comma 4" xfId="372" xr:uid="{00000000-0005-0000-0000-000068000000}"/>
    <cellStyle name="_Comma 5" xfId="3082" xr:uid="{00000000-0005-0000-0000-000069000000}"/>
    <cellStyle name="_Comma 6" xfId="518" xr:uid="{00000000-0005-0000-0000-00006A000000}"/>
    <cellStyle name="_Comma 7" xfId="3125" xr:uid="{00000000-0005-0000-0000-00006B000000}"/>
    <cellStyle name="_Comma 8" xfId="369" xr:uid="{00000000-0005-0000-0000-00006C000000}"/>
    <cellStyle name="_Comma_01 adj for merger plan" xfId="18" xr:uid="{00000000-0005-0000-0000-00006D000000}"/>
    <cellStyle name="_Comma_Ability to Pay Analysis" xfId="19" xr:uid="{00000000-0005-0000-0000-00006E000000}"/>
    <cellStyle name="_Comma_AFL" xfId="20" xr:uid="{00000000-0005-0000-0000-00006F000000}"/>
    <cellStyle name="_Comma_AG" xfId="521" xr:uid="{00000000-0005-0000-0000-000070000000}"/>
    <cellStyle name="_Comma_AIZ" xfId="21" xr:uid="{00000000-0005-0000-0000-000071000000}"/>
    <cellStyle name="_Comma_AIZ04-Quantum2" xfId="22" xr:uid="{00000000-0005-0000-0000-000072000000}"/>
    <cellStyle name="_Comma_AMP" xfId="23" xr:uid="{00000000-0005-0000-0000-000073000000}"/>
    <cellStyle name="_Comma_bls roic" xfId="522" xr:uid="{00000000-0005-0000-0000-000074000000}"/>
    <cellStyle name="_Comma_bls roic 2" xfId="523" xr:uid="{00000000-0005-0000-0000-000075000000}"/>
    <cellStyle name="_Comma_bls roic 3" xfId="524" xr:uid="{00000000-0005-0000-0000-000076000000}"/>
    <cellStyle name="_Comma_bls roic_AG" xfId="525" xr:uid="{00000000-0005-0000-0000-000077000000}"/>
    <cellStyle name="_Comma_bls roic_CNH" xfId="526" xr:uid="{00000000-0005-0000-0000-000078000000}"/>
    <cellStyle name="_Comma_bls roic_DOV" xfId="527" xr:uid="{00000000-0005-0000-0000-000079000000}"/>
    <cellStyle name="_Comma_bls roic_ETN" xfId="528" xr:uid="{00000000-0005-0000-0000-00007A000000}"/>
    <cellStyle name="_Comma_bls roic_FSS" xfId="529" xr:uid="{00000000-0005-0000-0000-00007B000000}"/>
    <cellStyle name="_Comma_bls roic_JOYG" xfId="530" xr:uid="{00000000-0005-0000-0000-00007C000000}"/>
    <cellStyle name="_Comma_bls roic_MLM" xfId="531" xr:uid="{00000000-0005-0000-0000-00007D000000}"/>
    <cellStyle name="_Comma_bls roic_NAV" xfId="532" xr:uid="{00000000-0005-0000-0000-00007E000000}"/>
    <cellStyle name="_Comma_bls roic_OSK" xfId="533" xr:uid="{00000000-0005-0000-0000-00007F000000}"/>
    <cellStyle name="_Comma_bls roic_PCAR" xfId="534" xr:uid="{00000000-0005-0000-0000-000080000000}"/>
    <cellStyle name="_Comma_bls roic_PH" xfId="535" xr:uid="{00000000-0005-0000-0000-000081000000}"/>
    <cellStyle name="_Comma_Book1" xfId="24" xr:uid="{00000000-0005-0000-0000-000082000000}"/>
    <cellStyle name="_Comma_Book3" xfId="25" xr:uid="{00000000-0005-0000-0000-000083000000}"/>
    <cellStyle name="_Comma_Book3 2" xfId="3260" xr:uid="{00000000-0005-0000-0000-000084000000}"/>
    <cellStyle name="_Comma_Book3 3" xfId="2239" xr:uid="{00000000-0005-0000-0000-000085000000}"/>
    <cellStyle name="_Comma_Book3 4" xfId="536" xr:uid="{00000000-0005-0000-0000-000086000000}"/>
    <cellStyle name="_Comma_Broadcasting" xfId="537" xr:uid="{00000000-0005-0000-0000-000087000000}"/>
    <cellStyle name="_Comma_capital expenditures 6-18-02" xfId="538" xr:uid="{00000000-0005-0000-0000-000088000000}"/>
    <cellStyle name="_Comma_capital expenditures 6-18-02 2" xfId="539" xr:uid="{00000000-0005-0000-0000-000089000000}"/>
    <cellStyle name="_Comma_capital expenditures 6-18-02 3" xfId="540" xr:uid="{00000000-0005-0000-0000-00008A000000}"/>
    <cellStyle name="_Comma_capital expenditures 6-18-02_AG" xfId="541" xr:uid="{00000000-0005-0000-0000-00008B000000}"/>
    <cellStyle name="_Comma_capital expenditures 6-18-02_CNH" xfId="542" xr:uid="{00000000-0005-0000-0000-00008C000000}"/>
    <cellStyle name="_Comma_capital expenditures 6-18-02_DOV" xfId="543" xr:uid="{00000000-0005-0000-0000-00008D000000}"/>
    <cellStyle name="_Comma_capital expenditures 6-18-02_ETN" xfId="544" xr:uid="{00000000-0005-0000-0000-00008E000000}"/>
    <cellStyle name="_Comma_capital expenditures 6-18-02_FSS" xfId="545" xr:uid="{00000000-0005-0000-0000-00008F000000}"/>
    <cellStyle name="_Comma_capital expenditures 6-18-02_JOYG" xfId="546" xr:uid="{00000000-0005-0000-0000-000090000000}"/>
    <cellStyle name="_Comma_capital expenditures 6-18-02_MLM" xfId="547" xr:uid="{00000000-0005-0000-0000-000091000000}"/>
    <cellStyle name="_Comma_capital expenditures 6-18-02_NAV" xfId="548" xr:uid="{00000000-0005-0000-0000-000092000000}"/>
    <cellStyle name="_Comma_capital expenditures 6-18-02_OSK" xfId="549" xr:uid="{00000000-0005-0000-0000-000093000000}"/>
    <cellStyle name="_Comma_capital expenditures 6-18-02_PCAR" xfId="550" xr:uid="{00000000-0005-0000-0000-000094000000}"/>
    <cellStyle name="_Comma_capital expenditures 6-18-02_PH" xfId="551" xr:uid="{00000000-0005-0000-0000-000095000000}"/>
    <cellStyle name="_Comma_CNH" xfId="552" xr:uid="{00000000-0005-0000-0000-000096000000}"/>
    <cellStyle name="_Comma_CNO" xfId="26" xr:uid="{00000000-0005-0000-0000-000097000000}"/>
    <cellStyle name="_Comma_CNO04" xfId="27" xr:uid="{00000000-0005-0000-0000-000098000000}"/>
    <cellStyle name="_Comma_Commtech" xfId="553" xr:uid="{00000000-0005-0000-0000-000099000000}"/>
    <cellStyle name="_Comma_CRO 3Q group metrics 12-22-03 for reports" xfId="554" xr:uid="{00000000-0005-0000-0000-00009A000000}"/>
    <cellStyle name="_Comma_CRO comp metrics 4Q03 2-18-04 send out" xfId="555" xr:uid="{00000000-0005-0000-0000-00009B000000}"/>
    <cellStyle name="_Comma_Data" xfId="556" xr:uid="{00000000-0005-0000-0000-00009C000000}"/>
    <cellStyle name="_Comma_DCF Alexander Forbes" xfId="28" xr:uid="{00000000-0005-0000-0000-00009D000000}"/>
    <cellStyle name="_Comma_dcf_1" xfId="557" xr:uid="{00000000-0005-0000-0000-00009E000000}"/>
    <cellStyle name="_Comma_DOV" xfId="558" xr:uid="{00000000-0005-0000-0000-00009F000000}"/>
    <cellStyle name="_Comma_DUK" xfId="559" xr:uid="{00000000-0005-0000-0000-0000A0000000}"/>
    <cellStyle name="_Comma_ED 2005.08.01" xfId="560" xr:uid="{00000000-0005-0000-0000-0000A1000000}"/>
    <cellStyle name="_Comma_ETN" xfId="561" xr:uid="{00000000-0005-0000-0000-0000A2000000}"/>
    <cellStyle name="_Comma_fmbi counties" xfId="29" xr:uid="{00000000-0005-0000-0000-0000A3000000}"/>
    <cellStyle name="_Comma_FMBI MBHI Graphs" xfId="30" xr:uid="{00000000-0005-0000-0000-0000A4000000}"/>
    <cellStyle name="_Comma_FMBI MBHI Graphs 07102001" xfId="31" xr:uid="{00000000-0005-0000-0000-0000A5000000}"/>
    <cellStyle name="_Comma_FMBI MBHI Graphs_7601" xfId="32" xr:uid="{00000000-0005-0000-0000-0000A6000000}"/>
    <cellStyle name="_Comma_FSS" xfId="562" xr:uid="{00000000-0005-0000-0000-0000A7000000}"/>
    <cellStyle name="_Comma_genworth model" xfId="33" xr:uid="{00000000-0005-0000-0000-0000A8000000}"/>
    <cellStyle name="_Comma_Hist Summary" xfId="563" xr:uid="{00000000-0005-0000-0000-0000A9000000}"/>
    <cellStyle name="_Comma_Insurance Brokerage CSC_1Q2002" xfId="34" xr:uid="{00000000-0005-0000-0000-0000AA000000}"/>
    <cellStyle name="_Comma_JOYG" xfId="564" xr:uid="{00000000-0005-0000-0000-0000AB000000}"/>
    <cellStyle name="_Comma_JP_LNC_spread_monitor (2)" xfId="35" xr:uid="{00000000-0005-0000-0000-0000AC000000}"/>
    <cellStyle name="_Comma_Kent" xfId="565" xr:uid="{00000000-0005-0000-0000-0000AD000000}"/>
    <cellStyle name="_Comma_Machinery group valuation" xfId="566" xr:uid="{00000000-0005-0000-0000-0000AE000000}"/>
    <cellStyle name="_Comma_MHS" xfId="567" xr:uid="{00000000-0005-0000-0000-0000AF000000}"/>
    <cellStyle name="_Comma_MLM" xfId="568" xr:uid="{00000000-0005-0000-0000-0000B0000000}"/>
    <cellStyle name="_Comma_MLP Val-Client-10_02_06" xfId="569" xr:uid="{00000000-0005-0000-0000-0000B1000000}"/>
    <cellStyle name="_Comma_NAV" xfId="570" xr:uid="{00000000-0005-0000-0000-0000B2000000}"/>
    <cellStyle name="_Comma_NFP" xfId="36" xr:uid="{00000000-0005-0000-0000-0000B3000000}"/>
    <cellStyle name="_Comma_NFS" xfId="37" xr:uid="{00000000-0005-0000-0000-0000B4000000}"/>
    <cellStyle name="_Comma_NRG 2005.07.22" xfId="571" xr:uid="{00000000-0005-0000-0000-0000B5000000}"/>
    <cellStyle name="_Comma_OSK" xfId="572" xr:uid="{00000000-0005-0000-0000-0000B6000000}"/>
    <cellStyle name="_Comma_Overview3" xfId="38" xr:uid="{00000000-0005-0000-0000-0000B7000000}"/>
    <cellStyle name="_Comma_PCAR" xfId="573" xr:uid="{00000000-0005-0000-0000-0000B8000000}"/>
    <cellStyle name="_Comma_PH" xfId="574" xr:uid="{00000000-0005-0000-0000-0000B9000000}"/>
    <cellStyle name="_Comma_phil data" xfId="39" xr:uid="{00000000-0005-0000-0000-0000BA000000}"/>
    <cellStyle name="_Comma_Price Performance Charts" xfId="40" xr:uid="{00000000-0005-0000-0000-0000BB000000}"/>
    <cellStyle name="_Comma_Quarterly Review by Company" xfId="41" xr:uid="{00000000-0005-0000-0000-0000BC000000}"/>
    <cellStyle name="_Comma_RBOC historicals" xfId="575" xr:uid="{00000000-0005-0000-0000-0000BD000000}"/>
    <cellStyle name="_Comma_RBOC historicals 2" xfId="576" xr:uid="{00000000-0005-0000-0000-0000BE000000}"/>
    <cellStyle name="_Comma_RBOC historicals 3" xfId="577" xr:uid="{00000000-0005-0000-0000-0000BF000000}"/>
    <cellStyle name="_Comma_RBOC historicals_AG" xfId="578" xr:uid="{00000000-0005-0000-0000-0000C0000000}"/>
    <cellStyle name="_Comma_RBOC historicals_CNH" xfId="579" xr:uid="{00000000-0005-0000-0000-0000C1000000}"/>
    <cellStyle name="_Comma_RBOC historicals_DOV" xfId="580" xr:uid="{00000000-0005-0000-0000-0000C2000000}"/>
    <cellStyle name="_Comma_RBOC historicals_ETN" xfId="581" xr:uid="{00000000-0005-0000-0000-0000C3000000}"/>
    <cellStyle name="_Comma_RBOC historicals_FSS" xfId="582" xr:uid="{00000000-0005-0000-0000-0000C4000000}"/>
    <cellStyle name="_Comma_RBOC historicals_JOYG" xfId="583" xr:uid="{00000000-0005-0000-0000-0000C5000000}"/>
    <cellStyle name="_Comma_RBOC historicals_MLM" xfId="584" xr:uid="{00000000-0005-0000-0000-0000C6000000}"/>
    <cellStyle name="_Comma_RBOC historicals_NAV" xfId="585" xr:uid="{00000000-0005-0000-0000-0000C7000000}"/>
    <cellStyle name="_Comma_RBOC historicals_OSK" xfId="586" xr:uid="{00000000-0005-0000-0000-0000C8000000}"/>
    <cellStyle name="_Comma_RBOC historicals_PCAR" xfId="587" xr:uid="{00000000-0005-0000-0000-0000C9000000}"/>
    <cellStyle name="_Comma_RBOC historicals_PH" xfId="588" xr:uid="{00000000-0005-0000-0000-0000CA000000}"/>
    <cellStyle name="_Comma_SFG Data File" xfId="42" xr:uid="{00000000-0005-0000-0000-0000CB000000}"/>
    <cellStyle name="_Comma_Sheet1" xfId="43" xr:uid="{00000000-0005-0000-0000-0000CC000000}"/>
    <cellStyle name="_Comma_Sheet1 2" xfId="3261" xr:uid="{00000000-0005-0000-0000-0000CD000000}"/>
    <cellStyle name="_Comma_Sheet1 3" xfId="3094" xr:uid="{00000000-0005-0000-0000-0000CE000000}"/>
    <cellStyle name="_Comma_Sheet1 4" xfId="589" xr:uid="{00000000-0005-0000-0000-0000CF000000}"/>
    <cellStyle name="_Comma_SOP" xfId="590" xr:uid="{00000000-0005-0000-0000-0000D0000000}"/>
    <cellStyle name="_Comma_SRE" xfId="591" xr:uid="{00000000-0005-0000-0000-0000D1000000}"/>
    <cellStyle name="_Comma_SRE Working" xfId="592" xr:uid="{00000000-0005-0000-0000-0000D2000000}"/>
    <cellStyle name="_Comma_Stock-QTR1 FDS" xfId="44" xr:uid="{00000000-0005-0000-0000-0000D3000000}"/>
    <cellStyle name="_Comma_T - new" xfId="593" xr:uid="{00000000-0005-0000-0000-0000D4000000}"/>
    <cellStyle name="_Comma_T - new 2" xfId="594" xr:uid="{00000000-0005-0000-0000-0000D5000000}"/>
    <cellStyle name="_Comma_T - new 3" xfId="595" xr:uid="{00000000-0005-0000-0000-0000D6000000}"/>
    <cellStyle name="_Comma_T - new_AG" xfId="596" xr:uid="{00000000-0005-0000-0000-0000D7000000}"/>
    <cellStyle name="_Comma_T - new_CNH" xfId="597" xr:uid="{00000000-0005-0000-0000-0000D8000000}"/>
    <cellStyle name="_Comma_T - new_DOV" xfId="598" xr:uid="{00000000-0005-0000-0000-0000D9000000}"/>
    <cellStyle name="_Comma_T - new_ETN" xfId="599" xr:uid="{00000000-0005-0000-0000-0000DA000000}"/>
    <cellStyle name="_Comma_T - new_FSS" xfId="600" xr:uid="{00000000-0005-0000-0000-0000DB000000}"/>
    <cellStyle name="_Comma_T - new_JOYG" xfId="601" xr:uid="{00000000-0005-0000-0000-0000DC000000}"/>
    <cellStyle name="_Comma_T - new_MLM" xfId="602" xr:uid="{00000000-0005-0000-0000-0000DD000000}"/>
    <cellStyle name="_Comma_T - new_NAV" xfId="603" xr:uid="{00000000-0005-0000-0000-0000DE000000}"/>
    <cellStyle name="_Comma_T - new_OSK" xfId="604" xr:uid="{00000000-0005-0000-0000-0000DF000000}"/>
    <cellStyle name="_Comma_T - new_PCAR" xfId="605" xr:uid="{00000000-0005-0000-0000-0000E0000000}"/>
    <cellStyle name="_Comma_T - new_PH" xfId="606" xr:uid="{00000000-0005-0000-0000-0000E1000000}"/>
    <cellStyle name="_Comma_Updated Valuation Changes" xfId="45" xr:uid="{00000000-0005-0000-0000-0000E2000000}"/>
    <cellStyle name="_Comma_Val Sheets" xfId="607" xr:uid="{00000000-0005-0000-0000-0000E3000000}"/>
    <cellStyle name="_Comma_Valuation Graphs" xfId="46" xr:uid="{00000000-0005-0000-0000-0000E4000000}"/>
    <cellStyle name="_Comma_xratio - historical mkt val" xfId="47" xr:uid="{00000000-0005-0000-0000-0000E5000000}"/>
    <cellStyle name="_Commtech" xfId="608" xr:uid="{00000000-0005-0000-0000-0000E6000000}"/>
    <cellStyle name="_Currency" xfId="48" xr:uid="{00000000-0005-0000-0000-0000E7000000}"/>
    <cellStyle name="_Currency 2" xfId="374" xr:uid="{00000000-0005-0000-0000-0000E8000000}"/>
    <cellStyle name="_Currency 2 2" xfId="3086" xr:uid="{00000000-0005-0000-0000-0000E9000000}"/>
    <cellStyle name="_Currency 2 3" xfId="610" xr:uid="{00000000-0005-0000-0000-0000EA000000}"/>
    <cellStyle name="_Currency 3" xfId="375" xr:uid="{00000000-0005-0000-0000-0000EB000000}"/>
    <cellStyle name="_Currency 3 2" xfId="3087" xr:uid="{00000000-0005-0000-0000-0000EC000000}"/>
    <cellStyle name="_Currency 3 3" xfId="611" xr:uid="{00000000-0005-0000-0000-0000ED000000}"/>
    <cellStyle name="_Currency 4" xfId="376" xr:uid="{00000000-0005-0000-0000-0000EE000000}"/>
    <cellStyle name="_Currency 5" xfId="3085" xr:uid="{00000000-0005-0000-0000-0000EF000000}"/>
    <cellStyle name="_Currency 6" xfId="609" xr:uid="{00000000-0005-0000-0000-0000F0000000}"/>
    <cellStyle name="_Currency 7" xfId="373" xr:uid="{00000000-0005-0000-0000-0000F1000000}"/>
    <cellStyle name="_Currency_01 adj for merger plan" xfId="49" xr:uid="{00000000-0005-0000-0000-0000F2000000}"/>
    <cellStyle name="_Currency_Ability to Pay Analysis" xfId="50" xr:uid="{00000000-0005-0000-0000-0000F3000000}"/>
    <cellStyle name="_Currency_AFL" xfId="51" xr:uid="{00000000-0005-0000-0000-0000F4000000}"/>
    <cellStyle name="_Currency_AG" xfId="612" xr:uid="{00000000-0005-0000-0000-0000F5000000}"/>
    <cellStyle name="_Currency_AIZ" xfId="52" xr:uid="{00000000-0005-0000-0000-0000F6000000}"/>
    <cellStyle name="_Currency_AMP" xfId="53" xr:uid="{00000000-0005-0000-0000-0000F7000000}"/>
    <cellStyle name="_Currency_AT" xfId="613" xr:uid="{00000000-0005-0000-0000-0000F8000000}"/>
    <cellStyle name="_Currency_AT 2" xfId="614" xr:uid="{00000000-0005-0000-0000-0000F9000000}"/>
    <cellStyle name="_Currency_AT 3" xfId="615" xr:uid="{00000000-0005-0000-0000-0000FA000000}"/>
    <cellStyle name="_Currency_AT_AG" xfId="616" xr:uid="{00000000-0005-0000-0000-0000FB000000}"/>
    <cellStyle name="_Currency_AT_CNH" xfId="617" xr:uid="{00000000-0005-0000-0000-0000FC000000}"/>
    <cellStyle name="_Currency_AT_DOV" xfId="618" xr:uid="{00000000-0005-0000-0000-0000FD000000}"/>
    <cellStyle name="_Currency_AT_ETN" xfId="619" xr:uid="{00000000-0005-0000-0000-0000FE000000}"/>
    <cellStyle name="_Currency_AT_FSS" xfId="620" xr:uid="{00000000-0005-0000-0000-0000FF000000}"/>
    <cellStyle name="_Currency_AT_JOYG" xfId="621" xr:uid="{00000000-0005-0000-0000-000000010000}"/>
    <cellStyle name="_Currency_AT_MLM" xfId="622" xr:uid="{00000000-0005-0000-0000-000001010000}"/>
    <cellStyle name="_Currency_AT_NAV" xfId="623" xr:uid="{00000000-0005-0000-0000-000002010000}"/>
    <cellStyle name="_Currency_AT_OSK" xfId="624" xr:uid="{00000000-0005-0000-0000-000003010000}"/>
    <cellStyle name="_Currency_AT_PCAR" xfId="625" xr:uid="{00000000-0005-0000-0000-000004010000}"/>
    <cellStyle name="_Currency_AT_PH" xfId="626" xr:uid="{00000000-0005-0000-0000-000005010000}"/>
    <cellStyle name="_Currency_AWE" xfId="627" xr:uid="{00000000-0005-0000-0000-000006010000}"/>
    <cellStyle name="_Currency_AWE 2" xfId="628" xr:uid="{00000000-0005-0000-0000-000007010000}"/>
    <cellStyle name="_Currency_AWE 3" xfId="629" xr:uid="{00000000-0005-0000-0000-000008010000}"/>
    <cellStyle name="_Currency_AWE_AG" xfId="630" xr:uid="{00000000-0005-0000-0000-000009010000}"/>
    <cellStyle name="_Currency_AWE_CNH" xfId="631" xr:uid="{00000000-0005-0000-0000-00000A010000}"/>
    <cellStyle name="_Currency_AWE_DOV" xfId="632" xr:uid="{00000000-0005-0000-0000-00000B010000}"/>
    <cellStyle name="_Currency_AWE_ETN" xfId="633" xr:uid="{00000000-0005-0000-0000-00000C010000}"/>
    <cellStyle name="_Currency_AWE_FSS" xfId="634" xr:uid="{00000000-0005-0000-0000-00000D010000}"/>
    <cellStyle name="_Currency_AWE_JOYG" xfId="635" xr:uid="{00000000-0005-0000-0000-00000E010000}"/>
    <cellStyle name="_Currency_AWE_MLM" xfId="636" xr:uid="{00000000-0005-0000-0000-00000F010000}"/>
    <cellStyle name="_Currency_AWE_NAV" xfId="637" xr:uid="{00000000-0005-0000-0000-000010010000}"/>
    <cellStyle name="_Currency_AWE_OSK" xfId="638" xr:uid="{00000000-0005-0000-0000-000011010000}"/>
    <cellStyle name="_Currency_AWE_PCAR" xfId="639" xr:uid="{00000000-0005-0000-0000-000012010000}"/>
    <cellStyle name="_Currency_AWE_PH" xfId="640" xr:uid="{00000000-0005-0000-0000-000013010000}"/>
    <cellStyle name="_Currency_Balance Sheet" xfId="54" xr:uid="{00000000-0005-0000-0000-000014010000}"/>
    <cellStyle name="_Currency_BHI" xfId="641" xr:uid="{00000000-0005-0000-0000-000015010000}"/>
    <cellStyle name="_Currency_BHI 2" xfId="642" xr:uid="{00000000-0005-0000-0000-000016010000}"/>
    <cellStyle name="_Currency_BHI 3" xfId="643" xr:uid="{00000000-0005-0000-0000-000017010000}"/>
    <cellStyle name="_Currency_BHI_AG" xfId="644" xr:uid="{00000000-0005-0000-0000-000018010000}"/>
    <cellStyle name="_Currency_BHI_CNH" xfId="645" xr:uid="{00000000-0005-0000-0000-000019010000}"/>
    <cellStyle name="_Currency_BHI_DOV" xfId="646" xr:uid="{00000000-0005-0000-0000-00001A010000}"/>
    <cellStyle name="_Currency_BHI_ETN" xfId="647" xr:uid="{00000000-0005-0000-0000-00001B010000}"/>
    <cellStyle name="_Currency_BHI_FSS" xfId="648" xr:uid="{00000000-0005-0000-0000-00001C010000}"/>
    <cellStyle name="_Currency_BHI_JOYG" xfId="649" xr:uid="{00000000-0005-0000-0000-00001D010000}"/>
    <cellStyle name="_Currency_BHI_MLM" xfId="650" xr:uid="{00000000-0005-0000-0000-00001E010000}"/>
    <cellStyle name="_Currency_BHI_NAV" xfId="651" xr:uid="{00000000-0005-0000-0000-00001F010000}"/>
    <cellStyle name="_Currency_BHI_OSK" xfId="652" xr:uid="{00000000-0005-0000-0000-000020010000}"/>
    <cellStyle name="_Currency_BHI_PCAR" xfId="653" xr:uid="{00000000-0005-0000-0000-000021010000}"/>
    <cellStyle name="_Currency_BHI_PH" xfId="654" xr:uid="{00000000-0005-0000-0000-000022010000}"/>
    <cellStyle name="_Currency_BLS" xfId="655" xr:uid="{00000000-0005-0000-0000-000023010000}"/>
    <cellStyle name="_Currency_BLS 2" xfId="656" xr:uid="{00000000-0005-0000-0000-000024010000}"/>
    <cellStyle name="_Currency_BLS 3" xfId="657" xr:uid="{00000000-0005-0000-0000-000025010000}"/>
    <cellStyle name="_Currency_bls roic" xfId="658" xr:uid="{00000000-0005-0000-0000-000026010000}"/>
    <cellStyle name="_Currency_bls roic 2" xfId="659" xr:uid="{00000000-0005-0000-0000-000027010000}"/>
    <cellStyle name="_Currency_bls roic 3" xfId="660" xr:uid="{00000000-0005-0000-0000-000028010000}"/>
    <cellStyle name="_Currency_bls roic_AG" xfId="661" xr:uid="{00000000-0005-0000-0000-000029010000}"/>
    <cellStyle name="_Currency_bls roic_CNH" xfId="662" xr:uid="{00000000-0005-0000-0000-00002A010000}"/>
    <cellStyle name="_Currency_bls roic_DOV" xfId="663" xr:uid="{00000000-0005-0000-0000-00002B010000}"/>
    <cellStyle name="_Currency_bls roic_ETN" xfId="664" xr:uid="{00000000-0005-0000-0000-00002C010000}"/>
    <cellStyle name="_Currency_bls roic_FSS" xfId="665" xr:uid="{00000000-0005-0000-0000-00002D010000}"/>
    <cellStyle name="_Currency_bls roic_JOYG" xfId="666" xr:uid="{00000000-0005-0000-0000-00002E010000}"/>
    <cellStyle name="_Currency_bls roic_MLM" xfId="667" xr:uid="{00000000-0005-0000-0000-00002F010000}"/>
    <cellStyle name="_Currency_bls roic_NAV" xfId="668" xr:uid="{00000000-0005-0000-0000-000030010000}"/>
    <cellStyle name="_Currency_bls roic_OSK" xfId="669" xr:uid="{00000000-0005-0000-0000-000031010000}"/>
    <cellStyle name="_Currency_bls roic_PCAR" xfId="670" xr:uid="{00000000-0005-0000-0000-000032010000}"/>
    <cellStyle name="_Currency_bls roic_PH" xfId="671" xr:uid="{00000000-0005-0000-0000-000033010000}"/>
    <cellStyle name="_Currency_BLS_AG" xfId="672" xr:uid="{00000000-0005-0000-0000-000034010000}"/>
    <cellStyle name="_Currency_BLS_CNH" xfId="673" xr:uid="{00000000-0005-0000-0000-000035010000}"/>
    <cellStyle name="_Currency_BLS_DOV" xfId="674" xr:uid="{00000000-0005-0000-0000-000036010000}"/>
    <cellStyle name="_Currency_BLS_ETN" xfId="675" xr:uid="{00000000-0005-0000-0000-000037010000}"/>
    <cellStyle name="_Currency_BLS_FSS" xfId="676" xr:uid="{00000000-0005-0000-0000-000038010000}"/>
    <cellStyle name="_Currency_BLS_JOYG" xfId="677" xr:uid="{00000000-0005-0000-0000-000039010000}"/>
    <cellStyle name="_Currency_BLS_MLM" xfId="678" xr:uid="{00000000-0005-0000-0000-00003A010000}"/>
    <cellStyle name="_Currency_BLS_NAV" xfId="679" xr:uid="{00000000-0005-0000-0000-00003B010000}"/>
    <cellStyle name="_Currency_BLS_OSK" xfId="680" xr:uid="{00000000-0005-0000-0000-00003C010000}"/>
    <cellStyle name="_Currency_BLS_PCAR" xfId="681" xr:uid="{00000000-0005-0000-0000-00003D010000}"/>
    <cellStyle name="_Currency_BLS_PH" xfId="682" xr:uid="{00000000-0005-0000-0000-00003E010000}"/>
    <cellStyle name="_Currency_Book1" xfId="55" xr:uid="{00000000-0005-0000-0000-00003F010000}"/>
    <cellStyle name="_Currency_Book2" xfId="683" xr:uid="{00000000-0005-0000-0000-000040010000}"/>
    <cellStyle name="_Currency_Book2 2" xfId="684" xr:uid="{00000000-0005-0000-0000-000041010000}"/>
    <cellStyle name="_Currency_Book2 3" xfId="685" xr:uid="{00000000-0005-0000-0000-000042010000}"/>
    <cellStyle name="_Currency_Book2_AG" xfId="686" xr:uid="{00000000-0005-0000-0000-000043010000}"/>
    <cellStyle name="_Currency_Book2_CNH" xfId="687" xr:uid="{00000000-0005-0000-0000-000044010000}"/>
    <cellStyle name="_Currency_Book2_DOV" xfId="688" xr:uid="{00000000-0005-0000-0000-000045010000}"/>
    <cellStyle name="_Currency_Book2_ETN" xfId="689" xr:uid="{00000000-0005-0000-0000-000046010000}"/>
    <cellStyle name="_Currency_Book2_FSS" xfId="690" xr:uid="{00000000-0005-0000-0000-000047010000}"/>
    <cellStyle name="_Currency_Book2_JOYG" xfId="691" xr:uid="{00000000-0005-0000-0000-000048010000}"/>
    <cellStyle name="_Currency_Book2_MLM" xfId="692" xr:uid="{00000000-0005-0000-0000-000049010000}"/>
    <cellStyle name="_Currency_Book2_NAV" xfId="693" xr:uid="{00000000-0005-0000-0000-00004A010000}"/>
    <cellStyle name="_Currency_Book2_OSK" xfId="694" xr:uid="{00000000-0005-0000-0000-00004B010000}"/>
    <cellStyle name="_Currency_Book2_PCAR" xfId="695" xr:uid="{00000000-0005-0000-0000-00004C010000}"/>
    <cellStyle name="_Currency_Book2_PH" xfId="696" xr:uid="{00000000-0005-0000-0000-00004D010000}"/>
    <cellStyle name="_Currency_Book29" xfId="56" xr:uid="{00000000-0005-0000-0000-00004E010000}"/>
    <cellStyle name="_Currency_Book3" xfId="57" xr:uid="{00000000-0005-0000-0000-00004F010000}"/>
    <cellStyle name="_Currency_Book3 2" xfId="3262" xr:uid="{00000000-0005-0000-0000-000050010000}"/>
    <cellStyle name="_Currency_Book3 3" xfId="504" xr:uid="{00000000-0005-0000-0000-000051010000}"/>
    <cellStyle name="_Currency_Book3 4" xfId="697" xr:uid="{00000000-0005-0000-0000-000052010000}"/>
    <cellStyle name="_Currency_Book3_1" xfId="58" xr:uid="{00000000-0005-0000-0000-000053010000}"/>
    <cellStyle name="_Currency_Book32" xfId="698" xr:uid="{00000000-0005-0000-0000-000054010000}"/>
    <cellStyle name="_Currency_Book32 2" xfId="699" xr:uid="{00000000-0005-0000-0000-000055010000}"/>
    <cellStyle name="_Currency_Book32 3" xfId="700" xr:uid="{00000000-0005-0000-0000-000056010000}"/>
    <cellStyle name="_Currency_Book32_AG" xfId="701" xr:uid="{00000000-0005-0000-0000-000057010000}"/>
    <cellStyle name="_Currency_Book32_CNH" xfId="702" xr:uid="{00000000-0005-0000-0000-000058010000}"/>
    <cellStyle name="_Currency_Book32_DOV" xfId="703" xr:uid="{00000000-0005-0000-0000-000059010000}"/>
    <cellStyle name="_Currency_Book32_ETN" xfId="704" xr:uid="{00000000-0005-0000-0000-00005A010000}"/>
    <cellStyle name="_Currency_Book32_FSS" xfId="705" xr:uid="{00000000-0005-0000-0000-00005B010000}"/>
    <cellStyle name="_Currency_Book32_JOYG" xfId="706" xr:uid="{00000000-0005-0000-0000-00005C010000}"/>
    <cellStyle name="_Currency_Book32_MLM" xfId="707" xr:uid="{00000000-0005-0000-0000-00005D010000}"/>
    <cellStyle name="_Currency_Book32_NAV" xfId="708" xr:uid="{00000000-0005-0000-0000-00005E010000}"/>
    <cellStyle name="_Currency_Book32_OSK" xfId="709" xr:uid="{00000000-0005-0000-0000-00005F010000}"/>
    <cellStyle name="_Currency_Book32_PCAR" xfId="710" xr:uid="{00000000-0005-0000-0000-000060010000}"/>
    <cellStyle name="_Currency_Book32_PH" xfId="711" xr:uid="{00000000-0005-0000-0000-000061010000}"/>
    <cellStyle name="_Currency_Broadcasting" xfId="712" xr:uid="{00000000-0005-0000-0000-000062010000}"/>
    <cellStyle name="_Currency_capital expenditures 6-18-02" xfId="713" xr:uid="{00000000-0005-0000-0000-000063010000}"/>
    <cellStyle name="_Currency_capital expenditures 6-18-02 2" xfId="714" xr:uid="{00000000-0005-0000-0000-000064010000}"/>
    <cellStyle name="_Currency_capital expenditures 6-18-02 3" xfId="715" xr:uid="{00000000-0005-0000-0000-000065010000}"/>
    <cellStyle name="_Currency_capital expenditures 6-18-02_AG" xfId="716" xr:uid="{00000000-0005-0000-0000-000066010000}"/>
    <cellStyle name="_Currency_capital expenditures 6-18-02_CNH" xfId="717" xr:uid="{00000000-0005-0000-0000-000067010000}"/>
    <cellStyle name="_Currency_capital expenditures 6-18-02_DOV" xfId="718" xr:uid="{00000000-0005-0000-0000-000068010000}"/>
    <cellStyle name="_Currency_capital expenditures 6-18-02_ETN" xfId="719" xr:uid="{00000000-0005-0000-0000-000069010000}"/>
    <cellStyle name="_Currency_capital expenditures 6-18-02_FSS" xfId="720" xr:uid="{00000000-0005-0000-0000-00006A010000}"/>
    <cellStyle name="_Currency_capital expenditures 6-18-02_JOYG" xfId="721" xr:uid="{00000000-0005-0000-0000-00006B010000}"/>
    <cellStyle name="_Currency_capital expenditures 6-18-02_MLM" xfId="722" xr:uid="{00000000-0005-0000-0000-00006C010000}"/>
    <cellStyle name="_Currency_capital expenditures 6-18-02_NAV" xfId="723" xr:uid="{00000000-0005-0000-0000-00006D010000}"/>
    <cellStyle name="_Currency_capital expenditures 6-18-02_OSK" xfId="724" xr:uid="{00000000-0005-0000-0000-00006E010000}"/>
    <cellStyle name="_Currency_capital expenditures 6-18-02_PCAR" xfId="725" xr:uid="{00000000-0005-0000-0000-00006F010000}"/>
    <cellStyle name="_Currency_capital expenditures 6-18-02_PH" xfId="726" xr:uid="{00000000-0005-0000-0000-000070010000}"/>
    <cellStyle name="_Currency_Cingular" xfId="727" xr:uid="{00000000-0005-0000-0000-000071010000}"/>
    <cellStyle name="_Currency_Cingular 2" xfId="728" xr:uid="{00000000-0005-0000-0000-000072010000}"/>
    <cellStyle name="_Currency_Cingular 3" xfId="729" xr:uid="{00000000-0005-0000-0000-000073010000}"/>
    <cellStyle name="_Currency_Cingular_AG" xfId="730" xr:uid="{00000000-0005-0000-0000-000074010000}"/>
    <cellStyle name="_Currency_Cingular_CNH" xfId="731" xr:uid="{00000000-0005-0000-0000-000075010000}"/>
    <cellStyle name="_Currency_Cingular_DOV" xfId="732" xr:uid="{00000000-0005-0000-0000-000076010000}"/>
    <cellStyle name="_Currency_Cingular_ETN" xfId="733" xr:uid="{00000000-0005-0000-0000-000077010000}"/>
    <cellStyle name="_Currency_Cingular_FSS" xfId="734" xr:uid="{00000000-0005-0000-0000-000078010000}"/>
    <cellStyle name="_Currency_Cingular_JOYG" xfId="735" xr:uid="{00000000-0005-0000-0000-000079010000}"/>
    <cellStyle name="_Currency_Cingular_MLM" xfId="736" xr:uid="{00000000-0005-0000-0000-00007A010000}"/>
    <cellStyle name="_Currency_Cingular_NAV" xfId="737" xr:uid="{00000000-0005-0000-0000-00007B010000}"/>
    <cellStyle name="_Currency_Cingular_OSK" xfId="738" xr:uid="{00000000-0005-0000-0000-00007C010000}"/>
    <cellStyle name="_Currency_Cingular_PCAR" xfId="739" xr:uid="{00000000-0005-0000-0000-00007D010000}"/>
    <cellStyle name="_Currency_Cingular_PH" xfId="740" xr:uid="{00000000-0005-0000-0000-00007E010000}"/>
    <cellStyle name="_Currency_CNH" xfId="741" xr:uid="{00000000-0005-0000-0000-00007F010000}"/>
    <cellStyle name="_Currency_CNO" xfId="59" xr:uid="{00000000-0005-0000-0000-000080010000}"/>
    <cellStyle name="_Currency_Commtech" xfId="742" xr:uid="{00000000-0005-0000-0000-000081010000}"/>
    <cellStyle name="_Currency_CRO 3Q group metrics 12-22-03 for reports" xfId="743" xr:uid="{00000000-0005-0000-0000-000082010000}"/>
    <cellStyle name="_Currency_CRO comp metrics 4Q03 2-18-04 send out" xfId="744" xr:uid="{00000000-0005-0000-0000-000083010000}"/>
    <cellStyle name="_Currency_Data" xfId="745" xr:uid="{00000000-0005-0000-0000-000084010000}"/>
    <cellStyle name="_Currency_DCF Alexander Forbes" xfId="60" xr:uid="{00000000-0005-0000-0000-000085010000}"/>
    <cellStyle name="_Currency_dcf_1" xfId="746" xr:uid="{00000000-0005-0000-0000-000086010000}"/>
    <cellStyle name="_Currency_DOV" xfId="747" xr:uid="{00000000-0005-0000-0000-000087010000}"/>
    <cellStyle name="_Currency_DUK" xfId="748" xr:uid="{00000000-0005-0000-0000-000088010000}"/>
    <cellStyle name="_Currency_ED 2005.08.01" xfId="749" xr:uid="{00000000-0005-0000-0000-000089010000}"/>
    <cellStyle name="_Currency_ETN" xfId="750" xr:uid="{00000000-0005-0000-0000-00008A010000}"/>
    <cellStyle name="_Currency_fmbi counties" xfId="61" xr:uid="{00000000-0005-0000-0000-00008B010000}"/>
    <cellStyle name="_Currency_FMBI MBHI Graphs" xfId="62" xr:uid="{00000000-0005-0000-0000-00008C010000}"/>
    <cellStyle name="_Currency_FMBI MBHI Graphs 07102001" xfId="63" xr:uid="{00000000-0005-0000-0000-00008D010000}"/>
    <cellStyle name="_Currency_FMBI MBHI Graphs_7601" xfId="64" xr:uid="{00000000-0005-0000-0000-00008E010000}"/>
    <cellStyle name="_Currency_FON" xfId="751" xr:uid="{00000000-0005-0000-0000-00008F010000}"/>
    <cellStyle name="_Currency_FON 2" xfId="752" xr:uid="{00000000-0005-0000-0000-000090010000}"/>
    <cellStyle name="_Currency_FON 3" xfId="753" xr:uid="{00000000-0005-0000-0000-000091010000}"/>
    <cellStyle name="_Currency_FON_AG" xfId="754" xr:uid="{00000000-0005-0000-0000-000092010000}"/>
    <cellStyle name="_Currency_FON_CNH" xfId="755" xr:uid="{00000000-0005-0000-0000-000093010000}"/>
    <cellStyle name="_Currency_FON_DOV" xfId="756" xr:uid="{00000000-0005-0000-0000-000094010000}"/>
    <cellStyle name="_Currency_FON_ETN" xfId="757" xr:uid="{00000000-0005-0000-0000-000095010000}"/>
    <cellStyle name="_Currency_FON_FSS" xfId="758" xr:uid="{00000000-0005-0000-0000-000096010000}"/>
    <cellStyle name="_Currency_FON_JOYG" xfId="759" xr:uid="{00000000-0005-0000-0000-000097010000}"/>
    <cellStyle name="_Currency_FON_MLM" xfId="760" xr:uid="{00000000-0005-0000-0000-000098010000}"/>
    <cellStyle name="_Currency_FON_NAV" xfId="761" xr:uid="{00000000-0005-0000-0000-000099010000}"/>
    <cellStyle name="_Currency_FON_OSK" xfId="762" xr:uid="{00000000-0005-0000-0000-00009A010000}"/>
    <cellStyle name="_Currency_FON_PCAR" xfId="763" xr:uid="{00000000-0005-0000-0000-00009B010000}"/>
    <cellStyle name="_Currency_FON_PH" xfId="764" xr:uid="{00000000-0005-0000-0000-00009C010000}"/>
    <cellStyle name="_Currency_FSS" xfId="765" xr:uid="{00000000-0005-0000-0000-00009D010000}"/>
    <cellStyle name="_Currency_GNW" xfId="65" xr:uid="{00000000-0005-0000-0000-00009E010000}"/>
    <cellStyle name="_Currency_GS_Brant_CSCO_mod (Working)" xfId="766" xr:uid="{00000000-0005-0000-0000-00009F010000}"/>
    <cellStyle name="_Currency_GS_BRANT_MOTMOD" xfId="767" xr:uid="{00000000-0005-0000-0000-0000A0010000}"/>
    <cellStyle name="_Currency_gs_scur_internal " xfId="768" xr:uid="{00000000-0005-0000-0000-0000A1010000}"/>
    <cellStyle name="_Currency_gs_scur_internal  2" xfId="769" xr:uid="{00000000-0005-0000-0000-0000A2010000}"/>
    <cellStyle name="_Currency_Hist Summary" xfId="770" xr:uid="{00000000-0005-0000-0000-0000A3010000}"/>
    <cellStyle name="_Currency_Insurance Brokerage CSC_1Q2002" xfId="66" xr:uid="{00000000-0005-0000-0000-0000A4010000}"/>
    <cellStyle name="_Currency_JOYG" xfId="771" xr:uid="{00000000-0005-0000-0000-0000A5010000}"/>
    <cellStyle name="_Currency_JP" xfId="67" xr:uid="{00000000-0005-0000-0000-0000A6010000}"/>
    <cellStyle name="_Currency_Kent" xfId="772" xr:uid="{00000000-0005-0000-0000-0000A7010000}"/>
    <cellStyle name="_Currency_LNC" xfId="68" xr:uid="{00000000-0005-0000-0000-0000A8010000}"/>
    <cellStyle name="_Currency_Machinery group valuation" xfId="773" xr:uid="{00000000-0005-0000-0000-0000A9010000}"/>
    <cellStyle name="_Currency_MET" xfId="69" xr:uid="{00000000-0005-0000-0000-0000AA010000}"/>
    <cellStyle name="_Currency_MET04" xfId="70" xr:uid="{00000000-0005-0000-0000-0000AB010000}"/>
    <cellStyle name="_Currency_MHS" xfId="774" xr:uid="{00000000-0005-0000-0000-0000AC010000}"/>
    <cellStyle name="_Currency_MLM" xfId="775" xr:uid="{00000000-0005-0000-0000-0000AD010000}"/>
    <cellStyle name="_Currency_MLP Val-Client-10_02_06" xfId="776" xr:uid="{00000000-0005-0000-0000-0000AE010000}"/>
    <cellStyle name="_Currency_NAV" xfId="777" xr:uid="{00000000-0005-0000-0000-0000AF010000}"/>
    <cellStyle name="_Currency_NFS" xfId="71" xr:uid="{00000000-0005-0000-0000-0000B0010000}"/>
    <cellStyle name="_Currency_NRG 2005.07.22" xfId="778" xr:uid="{00000000-0005-0000-0000-0000B1010000}"/>
    <cellStyle name="_Currency_NXTL" xfId="779" xr:uid="{00000000-0005-0000-0000-0000B2010000}"/>
    <cellStyle name="_Currency_NXTL 2" xfId="780" xr:uid="{00000000-0005-0000-0000-0000B3010000}"/>
    <cellStyle name="_Currency_NXTL 3" xfId="781" xr:uid="{00000000-0005-0000-0000-0000B4010000}"/>
    <cellStyle name="_Currency_NXTL_AG" xfId="782" xr:uid="{00000000-0005-0000-0000-0000B5010000}"/>
    <cellStyle name="_Currency_NXTL_CNH" xfId="783" xr:uid="{00000000-0005-0000-0000-0000B6010000}"/>
    <cellStyle name="_Currency_NXTL_DOV" xfId="784" xr:uid="{00000000-0005-0000-0000-0000B7010000}"/>
    <cellStyle name="_Currency_NXTL_ETN" xfId="785" xr:uid="{00000000-0005-0000-0000-0000B8010000}"/>
    <cellStyle name="_Currency_NXTL_FSS" xfId="786" xr:uid="{00000000-0005-0000-0000-0000B9010000}"/>
    <cellStyle name="_Currency_NXTL_JOYG" xfId="787" xr:uid="{00000000-0005-0000-0000-0000BA010000}"/>
    <cellStyle name="_Currency_NXTL_MLM" xfId="788" xr:uid="{00000000-0005-0000-0000-0000BB010000}"/>
    <cellStyle name="_Currency_NXTL_NAV" xfId="789" xr:uid="{00000000-0005-0000-0000-0000BC010000}"/>
    <cellStyle name="_Currency_NXTL_OSK" xfId="790" xr:uid="{00000000-0005-0000-0000-0000BD010000}"/>
    <cellStyle name="_Currency_NXTL_PCAR" xfId="791" xr:uid="{00000000-0005-0000-0000-0000BE010000}"/>
    <cellStyle name="_Currency_NXTL_PH" xfId="792" xr:uid="{00000000-0005-0000-0000-0000BF010000}"/>
    <cellStyle name="_Currency_OSK" xfId="793" xr:uid="{00000000-0005-0000-0000-0000C0010000}"/>
    <cellStyle name="_Currency_Overview3" xfId="72" xr:uid="{00000000-0005-0000-0000-0000C1010000}"/>
    <cellStyle name="_Currency_PCAR" xfId="794" xr:uid="{00000000-0005-0000-0000-0000C2010000}"/>
    <cellStyle name="_Currency_PCS" xfId="795" xr:uid="{00000000-0005-0000-0000-0000C3010000}"/>
    <cellStyle name="_Currency_PCS 2" xfId="796" xr:uid="{00000000-0005-0000-0000-0000C4010000}"/>
    <cellStyle name="_Currency_PCS 3" xfId="797" xr:uid="{00000000-0005-0000-0000-0000C5010000}"/>
    <cellStyle name="_Currency_PCS_AG" xfId="798" xr:uid="{00000000-0005-0000-0000-0000C6010000}"/>
    <cellStyle name="_Currency_PCS_CNH" xfId="799" xr:uid="{00000000-0005-0000-0000-0000C7010000}"/>
    <cellStyle name="_Currency_PCS_DOV" xfId="800" xr:uid="{00000000-0005-0000-0000-0000C8010000}"/>
    <cellStyle name="_Currency_PCS_ETN" xfId="801" xr:uid="{00000000-0005-0000-0000-0000C9010000}"/>
    <cellStyle name="_Currency_PCS_FSS" xfId="802" xr:uid="{00000000-0005-0000-0000-0000CA010000}"/>
    <cellStyle name="_Currency_PCS_JOYG" xfId="803" xr:uid="{00000000-0005-0000-0000-0000CB010000}"/>
    <cellStyle name="_Currency_PCS_MLM" xfId="804" xr:uid="{00000000-0005-0000-0000-0000CC010000}"/>
    <cellStyle name="_Currency_PCS_NAV" xfId="805" xr:uid="{00000000-0005-0000-0000-0000CD010000}"/>
    <cellStyle name="_Currency_PCS_OSK" xfId="806" xr:uid="{00000000-0005-0000-0000-0000CE010000}"/>
    <cellStyle name="_Currency_PCS_PCAR" xfId="807" xr:uid="{00000000-0005-0000-0000-0000CF010000}"/>
    <cellStyle name="_Currency_PCS_PH" xfId="808" xr:uid="{00000000-0005-0000-0000-0000D0010000}"/>
    <cellStyle name="_Currency_PH" xfId="809" xr:uid="{00000000-0005-0000-0000-0000D1010000}"/>
    <cellStyle name="_Currency_phil data" xfId="73" xr:uid="{00000000-0005-0000-0000-0000D2010000}"/>
    <cellStyle name="_Currency_Price Performance Charts" xfId="74" xr:uid="{00000000-0005-0000-0000-0000D3010000}"/>
    <cellStyle name="_Currency_PRU" xfId="75" xr:uid="{00000000-0005-0000-0000-0000D4010000}"/>
    <cellStyle name="_Currency_PRU04" xfId="76" xr:uid="{00000000-0005-0000-0000-0000D5010000}"/>
    <cellStyle name="_Currency_RBOC historicals" xfId="810" xr:uid="{00000000-0005-0000-0000-0000D6010000}"/>
    <cellStyle name="_Currency_RBOC historicals 2" xfId="811" xr:uid="{00000000-0005-0000-0000-0000D7010000}"/>
    <cellStyle name="_Currency_RBOC historicals 3" xfId="812" xr:uid="{00000000-0005-0000-0000-0000D8010000}"/>
    <cellStyle name="_Currency_RBOC historicals_AG" xfId="813" xr:uid="{00000000-0005-0000-0000-0000D9010000}"/>
    <cellStyle name="_Currency_RBOC historicals_CNH" xfId="814" xr:uid="{00000000-0005-0000-0000-0000DA010000}"/>
    <cellStyle name="_Currency_RBOC historicals_DOV" xfId="815" xr:uid="{00000000-0005-0000-0000-0000DB010000}"/>
    <cellStyle name="_Currency_RBOC historicals_ETN" xfId="816" xr:uid="{00000000-0005-0000-0000-0000DC010000}"/>
    <cellStyle name="_Currency_RBOC historicals_FSS" xfId="817" xr:uid="{00000000-0005-0000-0000-0000DD010000}"/>
    <cellStyle name="_Currency_RBOC historicals_JOYG" xfId="818" xr:uid="{00000000-0005-0000-0000-0000DE010000}"/>
    <cellStyle name="_Currency_RBOC historicals_MLM" xfId="819" xr:uid="{00000000-0005-0000-0000-0000DF010000}"/>
    <cellStyle name="_Currency_RBOC historicals_NAV" xfId="820" xr:uid="{00000000-0005-0000-0000-0000E0010000}"/>
    <cellStyle name="_Currency_RBOC historicals_OSK" xfId="821" xr:uid="{00000000-0005-0000-0000-0000E1010000}"/>
    <cellStyle name="_Currency_RBOC historicals_PCAR" xfId="822" xr:uid="{00000000-0005-0000-0000-0000E2010000}"/>
    <cellStyle name="_Currency_RBOC historicals_PH" xfId="823" xr:uid="{00000000-0005-0000-0000-0000E3010000}"/>
    <cellStyle name="_Currency_RiskReward" xfId="77" xr:uid="{00000000-0005-0000-0000-0000E4010000}"/>
    <cellStyle name="_Currency_SFG" xfId="78" xr:uid="{00000000-0005-0000-0000-0000E5010000}"/>
    <cellStyle name="_Currency_Sheet1" xfId="79" xr:uid="{00000000-0005-0000-0000-0000E6010000}"/>
    <cellStyle name="_Currency_Sheet1 2" xfId="3263" xr:uid="{00000000-0005-0000-0000-0000E7010000}"/>
    <cellStyle name="_Currency_Sheet1 3" xfId="3195" xr:uid="{00000000-0005-0000-0000-0000E8010000}"/>
    <cellStyle name="_Currency_Sheet1 4" xfId="824" xr:uid="{00000000-0005-0000-0000-0000E9010000}"/>
    <cellStyle name="_Currency_SOP" xfId="825" xr:uid="{00000000-0005-0000-0000-0000EA010000}"/>
    <cellStyle name="_Currency_SRE" xfId="826" xr:uid="{00000000-0005-0000-0000-0000EB010000}"/>
    <cellStyle name="_Currency_SRE Working" xfId="827" xr:uid="{00000000-0005-0000-0000-0000EC010000}"/>
    <cellStyle name="_Currency_Stock-QTR1 FDS" xfId="80" xr:uid="{00000000-0005-0000-0000-0000ED010000}"/>
    <cellStyle name="_Currency_symcqtis" xfId="828" xr:uid="{00000000-0005-0000-0000-0000EE010000}"/>
    <cellStyle name="_Currency_T - new" xfId="829" xr:uid="{00000000-0005-0000-0000-0000EF010000}"/>
    <cellStyle name="_Currency_T - new 2" xfId="830" xr:uid="{00000000-0005-0000-0000-0000F0010000}"/>
    <cellStyle name="_Currency_T - new 3" xfId="831" xr:uid="{00000000-0005-0000-0000-0000F1010000}"/>
    <cellStyle name="_Currency_T - new_AG" xfId="832" xr:uid="{00000000-0005-0000-0000-0000F2010000}"/>
    <cellStyle name="_Currency_T - new_CNH" xfId="833" xr:uid="{00000000-0005-0000-0000-0000F3010000}"/>
    <cellStyle name="_Currency_T - new_DOV" xfId="834" xr:uid="{00000000-0005-0000-0000-0000F4010000}"/>
    <cellStyle name="_Currency_T - new_ETN" xfId="835" xr:uid="{00000000-0005-0000-0000-0000F5010000}"/>
    <cellStyle name="_Currency_T - new_FSS" xfId="836" xr:uid="{00000000-0005-0000-0000-0000F6010000}"/>
    <cellStyle name="_Currency_T - new_JOYG" xfId="837" xr:uid="{00000000-0005-0000-0000-0000F7010000}"/>
    <cellStyle name="_Currency_T - new_MLM" xfId="838" xr:uid="{00000000-0005-0000-0000-0000F8010000}"/>
    <cellStyle name="_Currency_T - new_NAV" xfId="839" xr:uid="{00000000-0005-0000-0000-0000F9010000}"/>
    <cellStyle name="_Currency_T - new_OSK" xfId="840" xr:uid="{00000000-0005-0000-0000-0000FA010000}"/>
    <cellStyle name="_Currency_T - new_PCAR" xfId="841" xr:uid="{00000000-0005-0000-0000-0000FB010000}"/>
    <cellStyle name="_Currency_T - new_PH" xfId="842" xr:uid="{00000000-0005-0000-0000-0000FC010000}"/>
    <cellStyle name="_Currency_TMK" xfId="81" xr:uid="{00000000-0005-0000-0000-0000FD010000}"/>
    <cellStyle name="_Currency_Updated Valuation Changes" xfId="82" xr:uid="{00000000-0005-0000-0000-0000FE010000}"/>
    <cellStyle name="_Currency_Val Sheets" xfId="843" xr:uid="{00000000-0005-0000-0000-0000FF010000}"/>
    <cellStyle name="_Currency_Valuation Graphs" xfId="83" xr:uid="{00000000-0005-0000-0000-000000020000}"/>
    <cellStyle name="_Currency_VZ" xfId="844" xr:uid="{00000000-0005-0000-0000-000001020000}"/>
    <cellStyle name="_Currency_VZ 2" xfId="845" xr:uid="{00000000-0005-0000-0000-000002020000}"/>
    <cellStyle name="_Currency_VZ 3" xfId="846" xr:uid="{00000000-0005-0000-0000-000003020000}"/>
    <cellStyle name="_Currency_VZ_AG" xfId="847" xr:uid="{00000000-0005-0000-0000-000004020000}"/>
    <cellStyle name="_Currency_VZ_CNH" xfId="848" xr:uid="{00000000-0005-0000-0000-000005020000}"/>
    <cellStyle name="_Currency_VZ_DOV" xfId="849" xr:uid="{00000000-0005-0000-0000-000006020000}"/>
    <cellStyle name="_Currency_VZ_ETN" xfId="850" xr:uid="{00000000-0005-0000-0000-000007020000}"/>
    <cellStyle name="_Currency_VZ_FSS" xfId="851" xr:uid="{00000000-0005-0000-0000-000008020000}"/>
    <cellStyle name="_Currency_VZ_JOYG" xfId="852" xr:uid="{00000000-0005-0000-0000-000009020000}"/>
    <cellStyle name="_Currency_VZ_MLM" xfId="853" xr:uid="{00000000-0005-0000-0000-00000A020000}"/>
    <cellStyle name="_Currency_VZ_NAV" xfId="854" xr:uid="{00000000-0005-0000-0000-00000B020000}"/>
    <cellStyle name="_Currency_VZ_OSK" xfId="855" xr:uid="{00000000-0005-0000-0000-00000C020000}"/>
    <cellStyle name="_Currency_VZ_PCAR" xfId="856" xr:uid="{00000000-0005-0000-0000-00000D020000}"/>
    <cellStyle name="_Currency_VZ_PH" xfId="857" xr:uid="{00000000-0005-0000-0000-00000E020000}"/>
    <cellStyle name="_Currency_VZW" xfId="858" xr:uid="{00000000-0005-0000-0000-00000F020000}"/>
    <cellStyle name="_Currency_VZW 2" xfId="859" xr:uid="{00000000-0005-0000-0000-000010020000}"/>
    <cellStyle name="_Currency_VZW 3" xfId="860" xr:uid="{00000000-0005-0000-0000-000011020000}"/>
    <cellStyle name="_Currency_VZW_AG" xfId="861" xr:uid="{00000000-0005-0000-0000-000012020000}"/>
    <cellStyle name="_Currency_VZW_CNH" xfId="862" xr:uid="{00000000-0005-0000-0000-000013020000}"/>
    <cellStyle name="_Currency_VZW_DOV" xfId="863" xr:uid="{00000000-0005-0000-0000-000014020000}"/>
    <cellStyle name="_Currency_VZW_ETN" xfId="864" xr:uid="{00000000-0005-0000-0000-000015020000}"/>
    <cellStyle name="_Currency_VZW_FSS" xfId="865" xr:uid="{00000000-0005-0000-0000-000016020000}"/>
    <cellStyle name="_Currency_VZW_JOYG" xfId="866" xr:uid="{00000000-0005-0000-0000-000017020000}"/>
    <cellStyle name="_Currency_VZW_MLM" xfId="867" xr:uid="{00000000-0005-0000-0000-000018020000}"/>
    <cellStyle name="_Currency_VZW_NAV" xfId="868" xr:uid="{00000000-0005-0000-0000-000019020000}"/>
    <cellStyle name="_Currency_VZW_OSK" xfId="869" xr:uid="{00000000-0005-0000-0000-00001A020000}"/>
    <cellStyle name="_Currency_VZW_PCAR" xfId="870" xr:uid="{00000000-0005-0000-0000-00001B020000}"/>
    <cellStyle name="_Currency_VZW_PH" xfId="871" xr:uid="{00000000-0005-0000-0000-00001C020000}"/>
    <cellStyle name="_Currency_WFT published 1-30-07 Client version (2)" xfId="872" xr:uid="{00000000-0005-0000-0000-00001D020000}"/>
    <cellStyle name="_Currency_WFT published 1-30-07 Client version (2) 2" xfId="873" xr:uid="{00000000-0005-0000-0000-00001E020000}"/>
    <cellStyle name="_Currency_xratio - historical mkt val" xfId="84" xr:uid="{00000000-0005-0000-0000-00001F020000}"/>
    <cellStyle name="_CurrencySpace" xfId="85" xr:uid="{00000000-0005-0000-0000-000020020000}"/>
    <cellStyle name="_CurrencySpace 2" xfId="378" xr:uid="{00000000-0005-0000-0000-000021020000}"/>
    <cellStyle name="_CurrencySpace 2 2" xfId="3089" xr:uid="{00000000-0005-0000-0000-000022020000}"/>
    <cellStyle name="_CurrencySpace 2 3" xfId="875" xr:uid="{00000000-0005-0000-0000-000023020000}"/>
    <cellStyle name="_CurrencySpace 3" xfId="379" xr:uid="{00000000-0005-0000-0000-000024020000}"/>
    <cellStyle name="_CurrencySpace 4" xfId="380" xr:uid="{00000000-0005-0000-0000-000025020000}"/>
    <cellStyle name="_CurrencySpace 5" xfId="3088" xr:uid="{00000000-0005-0000-0000-000026020000}"/>
    <cellStyle name="_CurrencySpace 6" xfId="874" xr:uid="{00000000-0005-0000-0000-000027020000}"/>
    <cellStyle name="_CurrencySpace 7" xfId="377" xr:uid="{00000000-0005-0000-0000-000028020000}"/>
    <cellStyle name="_CurrencySpace_01 adj for merger plan" xfId="86" xr:uid="{00000000-0005-0000-0000-000029020000}"/>
    <cellStyle name="_CurrencySpace_Ability to Pay Analysis" xfId="87" xr:uid="{00000000-0005-0000-0000-00002A020000}"/>
    <cellStyle name="_CurrencySpace_AFL" xfId="88" xr:uid="{00000000-0005-0000-0000-00002B020000}"/>
    <cellStyle name="_CurrencySpace_AIZ" xfId="89" xr:uid="{00000000-0005-0000-0000-00002C020000}"/>
    <cellStyle name="_CurrencySpace_AMP" xfId="90" xr:uid="{00000000-0005-0000-0000-00002D020000}"/>
    <cellStyle name="_CurrencySpace_Balance Sheet" xfId="91" xr:uid="{00000000-0005-0000-0000-00002E020000}"/>
    <cellStyle name="_CurrencySpace_BHI" xfId="876" xr:uid="{00000000-0005-0000-0000-00002F020000}"/>
    <cellStyle name="_CurrencySpace_BHI 2" xfId="877" xr:uid="{00000000-0005-0000-0000-000030020000}"/>
    <cellStyle name="_CurrencySpace_BHI 3" xfId="878" xr:uid="{00000000-0005-0000-0000-000031020000}"/>
    <cellStyle name="_CurrencySpace_BHI_AG" xfId="879" xr:uid="{00000000-0005-0000-0000-000032020000}"/>
    <cellStyle name="_CurrencySpace_BHI_CNH" xfId="880" xr:uid="{00000000-0005-0000-0000-000033020000}"/>
    <cellStyle name="_CurrencySpace_BHI_DOV" xfId="881" xr:uid="{00000000-0005-0000-0000-000034020000}"/>
    <cellStyle name="_CurrencySpace_BHI_ETN" xfId="882" xr:uid="{00000000-0005-0000-0000-000035020000}"/>
    <cellStyle name="_CurrencySpace_BHI_FSS" xfId="883" xr:uid="{00000000-0005-0000-0000-000036020000}"/>
    <cellStyle name="_CurrencySpace_BHI_JOYG" xfId="884" xr:uid="{00000000-0005-0000-0000-000037020000}"/>
    <cellStyle name="_CurrencySpace_BHI_MLM" xfId="885" xr:uid="{00000000-0005-0000-0000-000038020000}"/>
    <cellStyle name="_CurrencySpace_BHI_NAV" xfId="886" xr:uid="{00000000-0005-0000-0000-000039020000}"/>
    <cellStyle name="_CurrencySpace_BHI_OSK" xfId="887" xr:uid="{00000000-0005-0000-0000-00003A020000}"/>
    <cellStyle name="_CurrencySpace_BHI_PCAR" xfId="888" xr:uid="{00000000-0005-0000-0000-00003B020000}"/>
    <cellStyle name="_CurrencySpace_BHI_PH" xfId="889" xr:uid="{00000000-0005-0000-0000-00003C020000}"/>
    <cellStyle name="_CurrencySpace_bls roic" xfId="890" xr:uid="{00000000-0005-0000-0000-00003D020000}"/>
    <cellStyle name="_CurrencySpace_bls roic 2" xfId="891" xr:uid="{00000000-0005-0000-0000-00003E020000}"/>
    <cellStyle name="_CurrencySpace_bls roic 3" xfId="892" xr:uid="{00000000-0005-0000-0000-00003F020000}"/>
    <cellStyle name="_CurrencySpace_bls roic_AG" xfId="893" xr:uid="{00000000-0005-0000-0000-000040020000}"/>
    <cellStyle name="_CurrencySpace_bls roic_CNH" xfId="894" xr:uid="{00000000-0005-0000-0000-000041020000}"/>
    <cellStyle name="_CurrencySpace_bls roic_DOV" xfId="895" xr:uid="{00000000-0005-0000-0000-000042020000}"/>
    <cellStyle name="_CurrencySpace_bls roic_ETN" xfId="896" xr:uid="{00000000-0005-0000-0000-000043020000}"/>
    <cellStyle name="_CurrencySpace_bls roic_FSS" xfId="897" xr:uid="{00000000-0005-0000-0000-000044020000}"/>
    <cellStyle name="_CurrencySpace_bls roic_JOYG" xfId="898" xr:uid="{00000000-0005-0000-0000-000045020000}"/>
    <cellStyle name="_CurrencySpace_bls roic_MLM" xfId="899" xr:uid="{00000000-0005-0000-0000-000046020000}"/>
    <cellStyle name="_CurrencySpace_bls roic_NAV" xfId="900" xr:uid="{00000000-0005-0000-0000-000047020000}"/>
    <cellStyle name="_CurrencySpace_bls roic_OSK" xfId="901" xr:uid="{00000000-0005-0000-0000-000048020000}"/>
    <cellStyle name="_CurrencySpace_bls roic_PCAR" xfId="902" xr:uid="{00000000-0005-0000-0000-000049020000}"/>
    <cellStyle name="_CurrencySpace_bls roic_PH" xfId="903" xr:uid="{00000000-0005-0000-0000-00004A020000}"/>
    <cellStyle name="_CurrencySpace_Book1" xfId="92" xr:uid="{00000000-0005-0000-0000-00004B020000}"/>
    <cellStyle name="_CurrencySpace_Book29" xfId="93" xr:uid="{00000000-0005-0000-0000-00004C020000}"/>
    <cellStyle name="_CurrencySpace_Book3" xfId="94" xr:uid="{00000000-0005-0000-0000-00004D020000}"/>
    <cellStyle name="_CurrencySpace_Book3 2" xfId="3264" xr:uid="{00000000-0005-0000-0000-00004E020000}"/>
    <cellStyle name="_CurrencySpace_Book3 3" xfId="3196" xr:uid="{00000000-0005-0000-0000-00004F020000}"/>
    <cellStyle name="_CurrencySpace_Book3 4" xfId="904" xr:uid="{00000000-0005-0000-0000-000050020000}"/>
    <cellStyle name="_CurrencySpace_Book3_1" xfId="95" xr:uid="{00000000-0005-0000-0000-000051020000}"/>
    <cellStyle name="_CurrencySpace_Broadcasting" xfId="905" xr:uid="{00000000-0005-0000-0000-000052020000}"/>
    <cellStyle name="_CurrencySpace_capital expenditures 6-18-02" xfId="906" xr:uid="{00000000-0005-0000-0000-000053020000}"/>
    <cellStyle name="_CurrencySpace_capital expenditures 6-18-02 2" xfId="907" xr:uid="{00000000-0005-0000-0000-000054020000}"/>
    <cellStyle name="_CurrencySpace_capital expenditures 6-18-02 3" xfId="908" xr:uid="{00000000-0005-0000-0000-000055020000}"/>
    <cellStyle name="_CurrencySpace_capital expenditures 6-18-02_AG" xfId="909" xr:uid="{00000000-0005-0000-0000-000056020000}"/>
    <cellStyle name="_CurrencySpace_capital expenditures 6-18-02_CNH" xfId="910" xr:uid="{00000000-0005-0000-0000-000057020000}"/>
    <cellStyle name="_CurrencySpace_capital expenditures 6-18-02_DOV" xfId="911" xr:uid="{00000000-0005-0000-0000-000058020000}"/>
    <cellStyle name="_CurrencySpace_capital expenditures 6-18-02_ETN" xfId="912" xr:uid="{00000000-0005-0000-0000-000059020000}"/>
    <cellStyle name="_CurrencySpace_capital expenditures 6-18-02_FSS" xfId="913" xr:uid="{00000000-0005-0000-0000-00005A020000}"/>
    <cellStyle name="_CurrencySpace_capital expenditures 6-18-02_JOYG" xfId="914" xr:uid="{00000000-0005-0000-0000-00005B020000}"/>
    <cellStyle name="_CurrencySpace_capital expenditures 6-18-02_MLM" xfId="915" xr:uid="{00000000-0005-0000-0000-00005C020000}"/>
    <cellStyle name="_CurrencySpace_capital expenditures 6-18-02_NAV" xfId="916" xr:uid="{00000000-0005-0000-0000-00005D020000}"/>
    <cellStyle name="_CurrencySpace_capital expenditures 6-18-02_OSK" xfId="917" xr:uid="{00000000-0005-0000-0000-00005E020000}"/>
    <cellStyle name="_CurrencySpace_capital expenditures 6-18-02_PCAR" xfId="918" xr:uid="{00000000-0005-0000-0000-00005F020000}"/>
    <cellStyle name="_CurrencySpace_capital expenditures 6-18-02_PH" xfId="919" xr:uid="{00000000-0005-0000-0000-000060020000}"/>
    <cellStyle name="_CurrencySpace_CNO" xfId="96" xr:uid="{00000000-0005-0000-0000-000061020000}"/>
    <cellStyle name="_CurrencySpace_Commtech" xfId="920" xr:uid="{00000000-0005-0000-0000-000062020000}"/>
    <cellStyle name="_CurrencySpace_CRO 3Q group metrics 12-22-03 for reports" xfId="921" xr:uid="{00000000-0005-0000-0000-000063020000}"/>
    <cellStyle name="_CurrencySpace_CRO comp metrics 4Q03 2-18-04 send out" xfId="922" xr:uid="{00000000-0005-0000-0000-000064020000}"/>
    <cellStyle name="_CurrencySpace_Data" xfId="923" xr:uid="{00000000-0005-0000-0000-000065020000}"/>
    <cellStyle name="_CurrencySpace_DCF Alexander Forbes" xfId="97" xr:uid="{00000000-0005-0000-0000-000066020000}"/>
    <cellStyle name="_CurrencySpace_dcf_1" xfId="924" xr:uid="{00000000-0005-0000-0000-000067020000}"/>
    <cellStyle name="_CurrencySpace_DUK" xfId="925" xr:uid="{00000000-0005-0000-0000-000068020000}"/>
    <cellStyle name="_CurrencySpace_ED 2005.08.01" xfId="926" xr:uid="{00000000-0005-0000-0000-000069020000}"/>
    <cellStyle name="_CurrencySpace_fmbi counties" xfId="98" xr:uid="{00000000-0005-0000-0000-00006A020000}"/>
    <cellStyle name="_CurrencySpace_FMBI MBHI Graphs" xfId="99" xr:uid="{00000000-0005-0000-0000-00006B020000}"/>
    <cellStyle name="_CurrencySpace_FMBI MBHI Graphs 07102001" xfId="100" xr:uid="{00000000-0005-0000-0000-00006C020000}"/>
    <cellStyle name="_CurrencySpace_FMBI MBHI Graphs_7601" xfId="101" xr:uid="{00000000-0005-0000-0000-00006D020000}"/>
    <cellStyle name="_CurrencySpace_GNW" xfId="102" xr:uid="{00000000-0005-0000-0000-00006E020000}"/>
    <cellStyle name="_CurrencySpace_Insurance Brokerage CSC_1Q2002" xfId="103" xr:uid="{00000000-0005-0000-0000-00006F020000}"/>
    <cellStyle name="_CurrencySpace_JP" xfId="104" xr:uid="{00000000-0005-0000-0000-000070020000}"/>
    <cellStyle name="_CurrencySpace_Kent" xfId="927" xr:uid="{00000000-0005-0000-0000-000071020000}"/>
    <cellStyle name="_CurrencySpace_LNC" xfId="105" xr:uid="{00000000-0005-0000-0000-000072020000}"/>
    <cellStyle name="_CurrencySpace_MET" xfId="106" xr:uid="{00000000-0005-0000-0000-000073020000}"/>
    <cellStyle name="_CurrencySpace_MET04" xfId="107" xr:uid="{00000000-0005-0000-0000-000074020000}"/>
    <cellStyle name="_CurrencySpace_MHS" xfId="928" xr:uid="{00000000-0005-0000-0000-000075020000}"/>
    <cellStyle name="_CurrencySpace_MLP Val-Client-10_02_06" xfId="929" xr:uid="{00000000-0005-0000-0000-000076020000}"/>
    <cellStyle name="_CurrencySpace_NFS" xfId="108" xr:uid="{00000000-0005-0000-0000-000077020000}"/>
    <cellStyle name="_CurrencySpace_NRG 2005.07.22" xfId="930" xr:uid="{00000000-0005-0000-0000-000078020000}"/>
    <cellStyle name="_CurrencySpace_Overview3" xfId="109" xr:uid="{00000000-0005-0000-0000-000079020000}"/>
    <cellStyle name="_CurrencySpace_phil data" xfId="110" xr:uid="{00000000-0005-0000-0000-00007A020000}"/>
    <cellStyle name="_CurrencySpace_Price Performance Charts" xfId="111" xr:uid="{00000000-0005-0000-0000-00007B020000}"/>
    <cellStyle name="_CurrencySpace_PRU" xfId="112" xr:uid="{00000000-0005-0000-0000-00007C020000}"/>
    <cellStyle name="_CurrencySpace_PRU04" xfId="113" xr:uid="{00000000-0005-0000-0000-00007D020000}"/>
    <cellStyle name="_CurrencySpace_RATLqtis" xfId="931" xr:uid="{00000000-0005-0000-0000-00007E020000}"/>
    <cellStyle name="_CurrencySpace_RBOC historicals" xfId="932" xr:uid="{00000000-0005-0000-0000-00007F020000}"/>
    <cellStyle name="_CurrencySpace_RBOC historicals 2" xfId="933" xr:uid="{00000000-0005-0000-0000-000080020000}"/>
    <cellStyle name="_CurrencySpace_RBOC historicals 3" xfId="934" xr:uid="{00000000-0005-0000-0000-000081020000}"/>
    <cellStyle name="_CurrencySpace_RBOC historicals_AG" xfId="935" xr:uid="{00000000-0005-0000-0000-000082020000}"/>
    <cellStyle name="_CurrencySpace_RBOC historicals_CNH" xfId="936" xr:uid="{00000000-0005-0000-0000-000083020000}"/>
    <cellStyle name="_CurrencySpace_RBOC historicals_DOV" xfId="937" xr:uid="{00000000-0005-0000-0000-000084020000}"/>
    <cellStyle name="_CurrencySpace_RBOC historicals_ETN" xfId="938" xr:uid="{00000000-0005-0000-0000-000085020000}"/>
    <cellStyle name="_CurrencySpace_RBOC historicals_FSS" xfId="939" xr:uid="{00000000-0005-0000-0000-000086020000}"/>
    <cellStyle name="_CurrencySpace_RBOC historicals_JOYG" xfId="940" xr:uid="{00000000-0005-0000-0000-000087020000}"/>
    <cellStyle name="_CurrencySpace_RBOC historicals_MLM" xfId="941" xr:uid="{00000000-0005-0000-0000-000088020000}"/>
    <cellStyle name="_CurrencySpace_RBOC historicals_NAV" xfId="942" xr:uid="{00000000-0005-0000-0000-000089020000}"/>
    <cellStyle name="_CurrencySpace_RBOC historicals_OSK" xfId="943" xr:uid="{00000000-0005-0000-0000-00008A020000}"/>
    <cellStyle name="_CurrencySpace_RBOC historicals_PCAR" xfId="944" xr:uid="{00000000-0005-0000-0000-00008B020000}"/>
    <cellStyle name="_CurrencySpace_RBOC historicals_PH" xfId="945" xr:uid="{00000000-0005-0000-0000-00008C020000}"/>
    <cellStyle name="_CurrencySpace_RiskReward" xfId="114" xr:uid="{00000000-0005-0000-0000-00008D020000}"/>
    <cellStyle name="_CurrencySpace_SFG" xfId="115" xr:uid="{00000000-0005-0000-0000-00008E020000}"/>
    <cellStyle name="_CurrencySpace_Sheet1" xfId="116" xr:uid="{00000000-0005-0000-0000-00008F020000}"/>
    <cellStyle name="_CurrencySpace_Sheet1 2" xfId="3265" xr:uid="{00000000-0005-0000-0000-000090020000}"/>
    <cellStyle name="_CurrencySpace_Sheet1 3" xfId="3197" xr:uid="{00000000-0005-0000-0000-000091020000}"/>
    <cellStyle name="_CurrencySpace_Sheet1 4" xfId="946" xr:uid="{00000000-0005-0000-0000-000092020000}"/>
    <cellStyle name="_CurrencySpace_SOP" xfId="947" xr:uid="{00000000-0005-0000-0000-000093020000}"/>
    <cellStyle name="_CurrencySpace_SRE" xfId="948" xr:uid="{00000000-0005-0000-0000-000094020000}"/>
    <cellStyle name="_CurrencySpace_SRE Working" xfId="949" xr:uid="{00000000-0005-0000-0000-000095020000}"/>
    <cellStyle name="_CurrencySpace_Stock-QTR1 FDS" xfId="117" xr:uid="{00000000-0005-0000-0000-000096020000}"/>
    <cellStyle name="_CurrencySpace_T - new" xfId="950" xr:uid="{00000000-0005-0000-0000-000097020000}"/>
    <cellStyle name="_CurrencySpace_T - new 2" xfId="951" xr:uid="{00000000-0005-0000-0000-000098020000}"/>
    <cellStyle name="_CurrencySpace_T - new 3" xfId="952" xr:uid="{00000000-0005-0000-0000-000099020000}"/>
    <cellStyle name="_CurrencySpace_T - new_AG" xfId="953" xr:uid="{00000000-0005-0000-0000-00009A020000}"/>
    <cellStyle name="_CurrencySpace_T - new_CNH" xfId="954" xr:uid="{00000000-0005-0000-0000-00009B020000}"/>
    <cellStyle name="_CurrencySpace_T - new_DOV" xfId="955" xr:uid="{00000000-0005-0000-0000-00009C020000}"/>
    <cellStyle name="_CurrencySpace_T - new_ETN" xfId="956" xr:uid="{00000000-0005-0000-0000-00009D020000}"/>
    <cellStyle name="_CurrencySpace_T - new_FSS" xfId="957" xr:uid="{00000000-0005-0000-0000-00009E020000}"/>
    <cellStyle name="_CurrencySpace_T - new_JOYG" xfId="958" xr:uid="{00000000-0005-0000-0000-00009F020000}"/>
    <cellStyle name="_CurrencySpace_T - new_MLM" xfId="959" xr:uid="{00000000-0005-0000-0000-0000A0020000}"/>
    <cellStyle name="_CurrencySpace_T - new_NAV" xfId="960" xr:uid="{00000000-0005-0000-0000-0000A1020000}"/>
    <cellStyle name="_CurrencySpace_T - new_OSK" xfId="961" xr:uid="{00000000-0005-0000-0000-0000A2020000}"/>
    <cellStyle name="_CurrencySpace_T - new_PCAR" xfId="962" xr:uid="{00000000-0005-0000-0000-0000A3020000}"/>
    <cellStyle name="_CurrencySpace_T - new_PH" xfId="963" xr:uid="{00000000-0005-0000-0000-0000A4020000}"/>
    <cellStyle name="_CurrencySpace_TMK" xfId="118" xr:uid="{00000000-0005-0000-0000-0000A5020000}"/>
    <cellStyle name="_CurrencySpace_Updated Valuation Changes" xfId="119" xr:uid="{00000000-0005-0000-0000-0000A6020000}"/>
    <cellStyle name="_CurrencySpace_Val Sheets" xfId="964" xr:uid="{00000000-0005-0000-0000-0000A7020000}"/>
    <cellStyle name="_CurrencySpace_Valuation Graphs" xfId="120" xr:uid="{00000000-0005-0000-0000-0000A8020000}"/>
    <cellStyle name="_CurrencySpace_WFT published 1-30-07 Client version (2)" xfId="965" xr:uid="{00000000-0005-0000-0000-0000A9020000}"/>
    <cellStyle name="_CurrencySpace_WFT published 1-30-07 Client version (2) 2" xfId="966" xr:uid="{00000000-0005-0000-0000-0000AA020000}"/>
    <cellStyle name="_CurrencySpace_xratio - historical mkt val" xfId="121" xr:uid="{00000000-0005-0000-0000-0000AB020000}"/>
    <cellStyle name="_DCF" xfId="967" xr:uid="{00000000-0005-0000-0000-0000AC020000}"/>
    <cellStyle name="_Dollar" xfId="122" xr:uid="{00000000-0005-0000-0000-0000AD020000}"/>
    <cellStyle name="—_EM-HTI" xfId="968" xr:uid="{00000000-0005-0000-0000-0000AE020000}"/>
    <cellStyle name="—_EM-HTI_AIS_EROCE" xfId="969" xr:uid="{00000000-0005-0000-0000-0000AF020000}"/>
    <cellStyle name="—_EM-HTI_PCCW_EROCE" xfId="970" xr:uid="{00000000-0005-0000-0000-0000B0020000}"/>
    <cellStyle name="—_EM-KT" xfId="971" xr:uid="{00000000-0005-0000-0000-0000B1020000}"/>
    <cellStyle name="—_EM-SKTelecom_old" xfId="972" xr:uid="{00000000-0005-0000-0000-0000B2020000}"/>
    <cellStyle name="—_EM-SKTelecom_old_EM-HTI" xfId="973" xr:uid="{00000000-0005-0000-0000-0000B3020000}"/>
    <cellStyle name="—_EM-SKTelecom_old_EM-HTI_AIS_EROCE" xfId="974" xr:uid="{00000000-0005-0000-0000-0000B4020000}"/>
    <cellStyle name="—_EM-SKTelecom_old_EM-HTI_PCCW_EROCE" xfId="975" xr:uid="{00000000-0005-0000-0000-0000B5020000}"/>
    <cellStyle name="_Euro" xfId="123" xr:uid="{00000000-0005-0000-0000-0000B6020000}"/>
    <cellStyle name="_Euro 2" xfId="382" xr:uid="{00000000-0005-0000-0000-0000B7020000}"/>
    <cellStyle name="_Euro 2 2" xfId="3090" xr:uid="{00000000-0005-0000-0000-0000B8020000}"/>
    <cellStyle name="_Euro 2 3" xfId="976" xr:uid="{00000000-0005-0000-0000-0000B9020000}"/>
    <cellStyle name="_Euro 3" xfId="383" xr:uid="{00000000-0005-0000-0000-0000BA020000}"/>
    <cellStyle name="_Euro 4" xfId="384" xr:uid="{00000000-0005-0000-0000-0000BB020000}"/>
    <cellStyle name="_Euro 5" xfId="3241" xr:uid="{00000000-0005-0000-0000-0000BC020000}"/>
    <cellStyle name="_Euro 6" xfId="3198" xr:uid="{00000000-0005-0000-0000-0000BD020000}"/>
    <cellStyle name="_Euro 7" xfId="381" xr:uid="{00000000-0005-0000-0000-0000BE020000}"/>
    <cellStyle name="_Euro_AG" xfId="977" xr:uid="{00000000-0005-0000-0000-0000BF020000}"/>
    <cellStyle name="_Euro_CNH" xfId="978" xr:uid="{00000000-0005-0000-0000-0000C0020000}"/>
    <cellStyle name="_Euro_Commtech" xfId="979" xr:uid="{00000000-0005-0000-0000-0000C1020000}"/>
    <cellStyle name="_Euro_DOV" xfId="980" xr:uid="{00000000-0005-0000-0000-0000C2020000}"/>
    <cellStyle name="_Euro_ETN" xfId="981" xr:uid="{00000000-0005-0000-0000-0000C3020000}"/>
    <cellStyle name="_Euro_FSS" xfId="982" xr:uid="{00000000-0005-0000-0000-0000C4020000}"/>
    <cellStyle name="_Euro_JOYG" xfId="983" xr:uid="{00000000-0005-0000-0000-0000C5020000}"/>
    <cellStyle name="_Euro_MLM" xfId="984" xr:uid="{00000000-0005-0000-0000-0000C6020000}"/>
    <cellStyle name="_Euro_NAV" xfId="985" xr:uid="{00000000-0005-0000-0000-0000C7020000}"/>
    <cellStyle name="_Euro_OSK" xfId="986" xr:uid="{00000000-0005-0000-0000-0000C8020000}"/>
    <cellStyle name="_Euro_PCAR" xfId="987" xr:uid="{00000000-0005-0000-0000-0000C9020000}"/>
    <cellStyle name="_Euro_PH" xfId="988" xr:uid="{00000000-0005-0000-0000-0000CA020000}"/>
    <cellStyle name="_Euro_Request Template" xfId="989" xr:uid="{00000000-0005-0000-0000-0000CB020000}"/>
    <cellStyle name="_Euro_Request Template 2" xfId="990" xr:uid="{00000000-0005-0000-0000-0000CC020000}"/>
    <cellStyle name="—_GS Assumptions-F" xfId="991" xr:uid="{00000000-0005-0000-0000-0000CD020000}"/>
    <cellStyle name="—_GS_Balance" xfId="992" xr:uid="{00000000-0005-0000-0000-0000CE020000}"/>
    <cellStyle name="—_GS_Cash " xfId="993" xr:uid="{00000000-0005-0000-0000-0000CF020000}"/>
    <cellStyle name="—_GS_Cash  (2)" xfId="994" xr:uid="{00000000-0005-0000-0000-0000D0020000}"/>
    <cellStyle name="—_GS_Cash _MMM nxp 33" xfId="995" xr:uid="{00000000-0005-0000-0000-0000D1020000}"/>
    <cellStyle name="—_GS_DCF" xfId="996" xr:uid="{00000000-0005-0000-0000-0000D2020000}"/>
    <cellStyle name="_gs_nscn_internal" xfId="997" xr:uid="{00000000-0005-0000-0000-0000D3020000}"/>
    <cellStyle name="—_GS_PNL" xfId="998" xr:uid="{00000000-0005-0000-0000-0000D4020000}"/>
    <cellStyle name="_Heading" xfId="124" xr:uid="{00000000-0005-0000-0000-0000D5020000}"/>
    <cellStyle name="_Heading 2" xfId="1000" xr:uid="{00000000-0005-0000-0000-0000D6020000}"/>
    <cellStyle name="_Heading 3" xfId="1001" xr:uid="{00000000-0005-0000-0000-0000D7020000}"/>
    <cellStyle name="_Heading 4" xfId="999" xr:uid="{00000000-0005-0000-0000-0000D8020000}"/>
    <cellStyle name="_Heading_AG" xfId="1002" xr:uid="{00000000-0005-0000-0000-0000D9020000}"/>
    <cellStyle name="_Heading_BLS" xfId="1003" xr:uid="{00000000-0005-0000-0000-0000DA020000}"/>
    <cellStyle name="_Heading_BLS 2" xfId="1004" xr:uid="{00000000-0005-0000-0000-0000DB020000}"/>
    <cellStyle name="_Heading_bls roic" xfId="1005" xr:uid="{00000000-0005-0000-0000-0000DC020000}"/>
    <cellStyle name="_Heading_BLS_MLP Val-Client-10_02_06" xfId="1006" xr:uid="{00000000-0005-0000-0000-0000DD020000}"/>
    <cellStyle name="_Heading_Book9" xfId="1007" xr:uid="{00000000-0005-0000-0000-0000DE020000}"/>
    <cellStyle name="_Heading_Book9 2" xfId="1008" xr:uid="{00000000-0005-0000-0000-0000DF020000}"/>
    <cellStyle name="_Heading_Book9_MLP Val-Client-10_02_06" xfId="1009" xr:uid="{00000000-0005-0000-0000-0000E0020000}"/>
    <cellStyle name="_Heading_Broadband Comps" xfId="1010" xr:uid="{00000000-0005-0000-0000-0000E1020000}"/>
    <cellStyle name="_Heading_Broadband Comps 2" xfId="1011" xr:uid="{00000000-0005-0000-0000-0000E2020000}"/>
    <cellStyle name="_Heading_Broadband Comps_MLP Val-Client-10_02_06" xfId="1012" xr:uid="{00000000-0005-0000-0000-0000E3020000}"/>
    <cellStyle name="_Heading_capital expenditures 6-18-02" xfId="1013" xr:uid="{00000000-0005-0000-0000-0000E4020000}"/>
    <cellStyle name="_Heading_CAT" xfId="1014" xr:uid="{00000000-0005-0000-0000-0000E5020000}"/>
    <cellStyle name="_Heading_CNH" xfId="1015" xr:uid="{00000000-0005-0000-0000-0000E6020000}"/>
    <cellStyle name="_Heading_Commtech" xfId="1016" xr:uid="{00000000-0005-0000-0000-0000E7020000}"/>
    <cellStyle name="_Heading_CTCO" xfId="1017" xr:uid="{00000000-0005-0000-0000-0000E8020000}"/>
    <cellStyle name="_Heading_CTCO 2" xfId="1018" xr:uid="{00000000-0005-0000-0000-0000E9020000}"/>
    <cellStyle name="_Heading_CTCO_MLP Val-Client-10_02_06" xfId="1019" xr:uid="{00000000-0005-0000-0000-0000EA020000}"/>
    <cellStyle name="_Heading_DE-working" xfId="1020" xr:uid="{00000000-0005-0000-0000-0000EB020000}"/>
    <cellStyle name="_Heading_DOV" xfId="1021" xr:uid="{00000000-0005-0000-0000-0000EC020000}"/>
    <cellStyle name="_Heading_ETN" xfId="1022" xr:uid="{00000000-0005-0000-0000-0000ED020000}"/>
    <cellStyle name="_Heading_FSS" xfId="1023" xr:uid="{00000000-0005-0000-0000-0000EE020000}"/>
    <cellStyle name="_Heading_JOYG" xfId="1024" xr:uid="{00000000-0005-0000-0000-0000EF020000}"/>
    <cellStyle name="_Heading_Kent" xfId="1025" xr:uid="{00000000-0005-0000-0000-0000F0020000}"/>
    <cellStyle name="_Heading_MLM" xfId="1026" xr:uid="{00000000-0005-0000-0000-0000F1020000}"/>
    <cellStyle name="_Heading_NAV" xfId="1027" xr:uid="{00000000-0005-0000-0000-0000F2020000}"/>
    <cellStyle name="_Heading_OSK" xfId="1028" xr:uid="{00000000-0005-0000-0000-0000F3020000}"/>
    <cellStyle name="_Heading_PCAR" xfId="1029" xr:uid="{00000000-0005-0000-0000-0000F4020000}"/>
    <cellStyle name="_Heading_PH" xfId="1030" xr:uid="{00000000-0005-0000-0000-0000F5020000}"/>
    <cellStyle name="_Heading_prestemp" xfId="125" xr:uid="{00000000-0005-0000-0000-0000F6020000}"/>
    <cellStyle name="_Heading_Q" xfId="1031" xr:uid="{00000000-0005-0000-0000-0000F7020000}"/>
    <cellStyle name="_Heading_q - new guidance" xfId="1032" xr:uid="{00000000-0005-0000-0000-0000F8020000}"/>
    <cellStyle name="_Heading_q - new guidance 2" xfId="1033" xr:uid="{00000000-0005-0000-0000-0000F9020000}"/>
    <cellStyle name="_Heading_q - new guidance_MLP Val-Client-10_02_06" xfId="1034" xr:uid="{00000000-0005-0000-0000-0000FA020000}"/>
    <cellStyle name="_Heading_q - valuation" xfId="1035" xr:uid="{00000000-0005-0000-0000-0000FB020000}"/>
    <cellStyle name="_Heading_q - valuation 2" xfId="1036" xr:uid="{00000000-0005-0000-0000-0000FC020000}"/>
    <cellStyle name="_Heading_q - valuation_MLP Val-Client-10_02_06" xfId="1037" xr:uid="{00000000-0005-0000-0000-0000FD020000}"/>
    <cellStyle name="_Heading_Q 2" xfId="1038" xr:uid="{00000000-0005-0000-0000-0000FE020000}"/>
    <cellStyle name="_Heading_Q model_041802" xfId="1039" xr:uid="{00000000-0005-0000-0000-0000FF020000}"/>
    <cellStyle name="_Heading_Q model_041802 2" xfId="1040" xr:uid="{00000000-0005-0000-0000-000000030000}"/>
    <cellStyle name="_Heading_Q model_041802_MLP Val-Client-10_02_06" xfId="1041" xr:uid="{00000000-0005-0000-0000-000001030000}"/>
    <cellStyle name="_Heading_Q_MLP Val-Client-10_02_06" xfId="1042" xr:uid="{00000000-0005-0000-0000-000002030000}"/>
    <cellStyle name="_Heading_Q_update" xfId="1043" xr:uid="{00000000-0005-0000-0000-000003030000}"/>
    <cellStyle name="_Heading_Q_update 2" xfId="1044" xr:uid="{00000000-0005-0000-0000-000004030000}"/>
    <cellStyle name="_Heading_Q_update_MLP Val-Client-10_02_06" xfId="1045" xr:uid="{00000000-0005-0000-0000-000005030000}"/>
    <cellStyle name="_Heading_Qwest Analysis" xfId="1046" xr:uid="{00000000-0005-0000-0000-000006030000}"/>
    <cellStyle name="_Heading_Qwest Analysis 2" xfId="1047" xr:uid="{00000000-0005-0000-0000-000007030000}"/>
    <cellStyle name="_Heading_Qwest Analysis_MLP Val-Client-10_02_06" xfId="1048" xr:uid="{00000000-0005-0000-0000-000008030000}"/>
    <cellStyle name="_Heading_RBOC historicals" xfId="1049" xr:uid="{00000000-0005-0000-0000-000009030000}"/>
    <cellStyle name="_Heading_Sheet1" xfId="1050" xr:uid="{00000000-0005-0000-0000-00000A030000}"/>
    <cellStyle name="_Heading_T - new" xfId="1051" xr:uid="{00000000-0005-0000-0000-00000B030000}"/>
    <cellStyle name="_Heading_Valuation vals" xfId="1052" xr:uid="{00000000-0005-0000-0000-00000C030000}"/>
    <cellStyle name="_Heading_VZ" xfId="1053" xr:uid="{00000000-0005-0000-0000-00000D030000}"/>
    <cellStyle name="_Heading_VZ 2" xfId="1054" xr:uid="{00000000-0005-0000-0000-00000E030000}"/>
    <cellStyle name="_Heading_VZ_MLP Val-Client-10_02_06" xfId="1055" xr:uid="{00000000-0005-0000-0000-00000F030000}"/>
    <cellStyle name="_Headline" xfId="1056" xr:uid="{00000000-0005-0000-0000-000010030000}"/>
    <cellStyle name="_Highlight" xfId="126" xr:uid="{00000000-0005-0000-0000-000011030000}"/>
    <cellStyle name="_Highlight 2" xfId="386" xr:uid="{00000000-0005-0000-0000-000012030000}"/>
    <cellStyle name="_Highlight 3" xfId="387" xr:uid="{00000000-0005-0000-0000-000013030000}"/>
    <cellStyle name="_Highlight 4" xfId="388" xr:uid="{00000000-0005-0000-0000-000014030000}"/>
    <cellStyle name="_Highlight 5" xfId="3242" xr:uid="{00000000-0005-0000-0000-000015030000}"/>
    <cellStyle name="_Highlight 6" xfId="3199" xr:uid="{00000000-0005-0000-0000-000016030000}"/>
    <cellStyle name="_Highlight 7" xfId="385" xr:uid="{00000000-0005-0000-0000-000017030000}"/>
    <cellStyle name="_msft-dcf" xfId="1057" xr:uid="{00000000-0005-0000-0000-000018030000}"/>
    <cellStyle name="_Multiple" xfId="127" xr:uid="{00000000-0005-0000-0000-000019030000}"/>
    <cellStyle name="_Multiple 2" xfId="390" xr:uid="{00000000-0005-0000-0000-00001A030000}"/>
    <cellStyle name="_Multiple 2 2" xfId="3092" xr:uid="{00000000-0005-0000-0000-00001B030000}"/>
    <cellStyle name="_Multiple 2 3" xfId="1059" xr:uid="{00000000-0005-0000-0000-00001C030000}"/>
    <cellStyle name="_Multiple 3" xfId="391" xr:uid="{00000000-0005-0000-0000-00001D030000}"/>
    <cellStyle name="_Multiple 3 2" xfId="3093" xr:uid="{00000000-0005-0000-0000-00001E030000}"/>
    <cellStyle name="_Multiple 3 3" xfId="1060" xr:uid="{00000000-0005-0000-0000-00001F030000}"/>
    <cellStyle name="_Multiple 4" xfId="392" xr:uid="{00000000-0005-0000-0000-000020030000}"/>
    <cellStyle name="_Multiple 5" xfId="3091" xr:uid="{00000000-0005-0000-0000-000021030000}"/>
    <cellStyle name="_Multiple 6" xfId="1058" xr:uid="{00000000-0005-0000-0000-000022030000}"/>
    <cellStyle name="_Multiple 7" xfId="389" xr:uid="{00000000-0005-0000-0000-000023030000}"/>
    <cellStyle name="_Multiple_01 adj for merger plan" xfId="128" xr:uid="{00000000-0005-0000-0000-000024030000}"/>
    <cellStyle name="_Multiple_Ability to Pay Analysis" xfId="129" xr:uid="{00000000-0005-0000-0000-000025030000}"/>
    <cellStyle name="_Multiple_AFL" xfId="130" xr:uid="{00000000-0005-0000-0000-000026030000}"/>
    <cellStyle name="_Multiple_AG" xfId="1061" xr:uid="{00000000-0005-0000-0000-000027030000}"/>
    <cellStyle name="_Multiple_AIZ" xfId="131" xr:uid="{00000000-0005-0000-0000-000028030000}"/>
    <cellStyle name="_Multiple_AMP" xfId="132" xr:uid="{00000000-0005-0000-0000-000029030000}"/>
    <cellStyle name="_Multiple_AMX1" xfId="1062" xr:uid="{00000000-0005-0000-0000-00002A030000}"/>
    <cellStyle name="_Multiple_Balance Sheet" xfId="133" xr:uid="{00000000-0005-0000-0000-00002B030000}"/>
    <cellStyle name="_Multiple_BHI" xfId="1063" xr:uid="{00000000-0005-0000-0000-00002C030000}"/>
    <cellStyle name="_Multiple_BHI 2" xfId="1064" xr:uid="{00000000-0005-0000-0000-00002D030000}"/>
    <cellStyle name="_Multiple_BHI 3" xfId="1065" xr:uid="{00000000-0005-0000-0000-00002E030000}"/>
    <cellStyle name="_Multiple_BHI_AG" xfId="1066" xr:uid="{00000000-0005-0000-0000-00002F030000}"/>
    <cellStyle name="_Multiple_BHI_CNH" xfId="1067" xr:uid="{00000000-0005-0000-0000-000030030000}"/>
    <cellStyle name="_Multiple_BHI_DOV" xfId="1068" xr:uid="{00000000-0005-0000-0000-000031030000}"/>
    <cellStyle name="_Multiple_BHI_ETN" xfId="1069" xr:uid="{00000000-0005-0000-0000-000032030000}"/>
    <cellStyle name="_Multiple_BHI_FSS" xfId="1070" xr:uid="{00000000-0005-0000-0000-000033030000}"/>
    <cellStyle name="_Multiple_BHI_JOYG" xfId="1071" xr:uid="{00000000-0005-0000-0000-000034030000}"/>
    <cellStyle name="_Multiple_BHI_MLM" xfId="1072" xr:uid="{00000000-0005-0000-0000-000035030000}"/>
    <cellStyle name="_Multiple_BHI_NAV" xfId="1073" xr:uid="{00000000-0005-0000-0000-000036030000}"/>
    <cellStyle name="_Multiple_BHI_OSK" xfId="1074" xr:uid="{00000000-0005-0000-0000-000037030000}"/>
    <cellStyle name="_Multiple_BHI_PCAR" xfId="1075" xr:uid="{00000000-0005-0000-0000-000038030000}"/>
    <cellStyle name="_Multiple_BHI_PH" xfId="1076" xr:uid="{00000000-0005-0000-0000-000039030000}"/>
    <cellStyle name="_Multiple_bls roic" xfId="1077" xr:uid="{00000000-0005-0000-0000-00003A030000}"/>
    <cellStyle name="_Multiple_bls roic 2" xfId="1078" xr:uid="{00000000-0005-0000-0000-00003B030000}"/>
    <cellStyle name="_Multiple_bls roic 3" xfId="1079" xr:uid="{00000000-0005-0000-0000-00003C030000}"/>
    <cellStyle name="_Multiple_bls roic_AG" xfId="1080" xr:uid="{00000000-0005-0000-0000-00003D030000}"/>
    <cellStyle name="_Multiple_bls roic_CNH" xfId="1081" xr:uid="{00000000-0005-0000-0000-00003E030000}"/>
    <cellStyle name="_Multiple_bls roic_DOV" xfId="1082" xr:uid="{00000000-0005-0000-0000-00003F030000}"/>
    <cellStyle name="_Multiple_bls roic_ETN" xfId="1083" xr:uid="{00000000-0005-0000-0000-000040030000}"/>
    <cellStyle name="_Multiple_bls roic_FSS" xfId="1084" xr:uid="{00000000-0005-0000-0000-000041030000}"/>
    <cellStyle name="_Multiple_bls roic_JOYG" xfId="1085" xr:uid="{00000000-0005-0000-0000-000042030000}"/>
    <cellStyle name="_Multiple_bls roic_MLM" xfId="1086" xr:uid="{00000000-0005-0000-0000-000043030000}"/>
    <cellStyle name="_Multiple_bls roic_NAV" xfId="1087" xr:uid="{00000000-0005-0000-0000-000044030000}"/>
    <cellStyle name="_Multiple_bls roic_OSK" xfId="1088" xr:uid="{00000000-0005-0000-0000-000045030000}"/>
    <cellStyle name="_Multiple_bls roic_PCAR" xfId="1089" xr:uid="{00000000-0005-0000-0000-000046030000}"/>
    <cellStyle name="_Multiple_bls roic_PH" xfId="1090" xr:uid="{00000000-0005-0000-0000-000047030000}"/>
    <cellStyle name="_Multiple_Book1" xfId="134" xr:uid="{00000000-0005-0000-0000-000048030000}"/>
    <cellStyle name="_Multiple_Book29" xfId="135" xr:uid="{00000000-0005-0000-0000-000049030000}"/>
    <cellStyle name="_Multiple_Book3" xfId="136" xr:uid="{00000000-0005-0000-0000-00004A030000}"/>
    <cellStyle name="_Multiple_Book3 2" xfId="3266" xr:uid="{00000000-0005-0000-0000-00004B030000}"/>
    <cellStyle name="_Multiple_Book3 3" xfId="3200" xr:uid="{00000000-0005-0000-0000-00004C030000}"/>
    <cellStyle name="_Multiple_Book3 4" xfId="1091" xr:uid="{00000000-0005-0000-0000-00004D030000}"/>
    <cellStyle name="_Multiple_Book3_1" xfId="137" xr:uid="{00000000-0005-0000-0000-00004E030000}"/>
    <cellStyle name="_Multiple_Broadcasting" xfId="1092" xr:uid="{00000000-0005-0000-0000-00004F030000}"/>
    <cellStyle name="_Multiple_capital expenditures 6-18-02" xfId="1093" xr:uid="{00000000-0005-0000-0000-000050030000}"/>
    <cellStyle name="_Multiple_capital expenditures 6-18-02 2" xfId="1094" xr:uid="{00000000-0005-0000-0000-000051030000}"/>
    <cellStyle name="_Multiple_capital expenditures 6-18-02 3" xfId="1095" xr:uid="{00000000-0005-0000-0000-000052030000}"/>
    <cellStyle name="_Multiple_capital expenditures 6-18-02_AG" xfId="1096" xr:uid="{00000000-0005-0000-0000-000053030000}"/>
    <cellStyle name="_Multiple_capital expenditures 6-18-02_CNH" xfId="1097" xr:uid="{00000000-0005-0000-0000-000054030000}"/>
    <cellStyle name="_Multiple_capital expenditures 6-18-02_DOV" xfId="1098" xr:uid="{00000000-0005-0000-0000-000055030000}"/>
    <cellStyle name="_Multiple_capital expenditures 6-18-02_ETN" xfId="1099" xr:uid="{00000000-0005-0000-0000-000056030000}"/>
    <cellStyle name="_Multiple_capital expenditures 6-18-02_FSS" xfId="1100" xr:uid="{00000000-0005-0000-0000-000057030000}"/>
    <cellStyle name="_Multiple_capital expenditures 6-18-02_JOYG" xfId="1101" xr:uid="{00000000-0005-0000-0000-000058030000}"/>
    <cellStyle name="_Multiple_capital expenditures 6-18-02_MLM" xfId="1102" xr:uid="{00000000-0005-0000-0000-000059030000}"/>
    <cellStyle name="_Multiple_capital expenditures 6-18-02_NAV" xfId="1103" xr:uid="{00000000-0005-0000-0000-00005A030000}"/>
    <cellStyle name="_Multiple_capital expenditures 6-18-02_OSK" xfId="1104" xr:uid="{00000000-0005-0000-0000-00005B030000}"/>
    <cellStyle name="_Multiple_capital expenditures 6-18-02_PCAR" xfId="1105" xr:uid="{00000000-0005-0000-0000-00005C030000}"/>
    <cellStyle name="_Multiple_capital expenditures 6-18-02_PH" xfId="1106" xr:uid="{00000000-0005-0000-0000-00005D030000}"/>
    <cellStyle name="_Multiple_CNH" xfId="1107" xr:uid="{00000000-0005-0000-0000-00005E030000}"/>
    <cellStyle name="_Multiple_CNO" xfId="138" xr:uid="{00000000-0005-0000-0000-00005F030000}"/>
    <cellStyle name="_Multiple_Commtech" xfId="1108" xr:uid="{00000000-0005-0000-0000-000060030000}"/>
    <cellStyle name="_Multiple_CRO 3Q group metrics 12-22-03 for reports" xfId="1109" xr:uid="{00000000-0005-0000-0000-000061030000}"/>
    <cellStyle name="_Multiple_CRO comp metrics 4Q03 2-18-04 send out" xfId="1110" xr:uid="{00000000-0005-0000-0000-000062030000}"/>
    <cellStyle name="_Multiple_csc" xfId="1111" xr:uid="{00000000-0005-0000-0000-000063030000}"/>
    <cellStyle name="_Multiple_Data" xfId="1112" xr:uid="{00000000-0005-0000-0000-000064030000}"/>
    <cellStyle name="_Multiple_DCF Alexander Forbes" xfId="139" xr:uid="{00000000-0005-0000-0000-000065030000}"/>
    <cellStyle name="_Multiple_dcf_1" xfId="1113" xr:uid="{00000000-0005-0000-0000-000066030000}"/>
    <cellStyle name="_Multiple_DOV" xfId="1114" xr:uid="{00000000-0005-0000-0000-000067030000}"/>
    <cellStyle name="_Multiple_DUK" xfId="1115" xr:uid="{00000000-0005-0000-0000-000068030000}"/>
    <cellStyle name="_Multiple_ED 2005.08.01" xfId="1116" xr:uid="{00000000-0005-0000-0000-000069030000}"/>
    <cellStyle name="_Multiple_ETN" xfId="1117" xr:uid="{00000000-0005-0000-0000-00006A030000}"/>
    <cellStyle name="_Multiple_fmbi counties" xfId="140" xr:uid="{00000000-0005-0000-0000-00006B030000}"/>
    <cellStyle name="_Multiple_FMBI MBHI Graphs" xfId="141" xr:uid="{00000000-0005-0000-0000-00006C030000}"/>
    <cellStyle name="_Multiple_FMBI MBHI Graphs 07102001" xfId="142" xr:uid="{00000000-0005-0000-0000-00006D030000}"/>
    <cellStyle name="_Multiple_FMBI MBHI Graphs_7601" xfId="143" xr:uid="{00000000-0005-0000-0000-00006E030000}"/>
    <cellStyle name="_Multiple_FSS" xfId="1118" xr:uid="{00000000-0005-0000-0000-00006F030000}"/>
    <cellStyle name="_Multiple_GNW" xfId="144" xr:uid="{00000000-0005-0000-0000-000070030000}"/>
    <cellStyle name="_Multiple_gs_scur_internal " xfId="1119" xr:uid="{00000000-0005-0000-0000-000071030000}"/>
    <cellStyle name="_Multiple_gs_scur_internal  2" xfId="1120" xr:uid="{00000000-0005-0000-0000-000072030000}"/>
    <cellStyle name="_Multiple_Hist Summary" xfId="1121" xr:uid="{00000000-0005-0000-0000-000073030000}"/>
    <cellStyle name="_Multiple_Insurance Brokerage CSC_1Q2002" xfId="145" xr:uid="{00000000-0005-0000-0000-000074030000}"/>
    <cellStyle name="_Multiple_JOYG" xfId="1122" xr:uid="{00000000-0005-0000-0000-000075030000}"/>
    <cellStyle name="_Multiple_JP" xfId="146" xr:uid="{00000000-0005-0000-0000-000076030000}"/>
    <cellStyle name="_Multiple_Kent" xfId="1123" xr:uid="{00000000-0005-0000-0000-000077030000}"/>
    <cellStyle name="_Multiple_LNC" xfId="147" xr:uid="{00000000-0005-0000-0000-000078030000}"/>
    <cellStyle name="_Multiple_Machinery group valuation" xfId="1124" xr:uid="{00000000-0005-0000-0000-000079030000}"/>
    <cellStyle name="_Multiple_MET" xfId="148" xr:uid="{00000000-0005-0000-0000-00007A030000}"/>
    <cellStyle name="_Multiple_MET04" xfId="149" xr:uid="{00000000-0005-0000-0000-00007B030000}"/>
    <cellStyle name="_Multiple_MHS" xfId="1125" xr:uid="{00000000-0005-0000-0000-00007C030000}"/>
    <cellStyle name="_Multiple_MLM" xfId="1126" xr:uid="{00000000-0005-0000-0000-00007D030000}"/>
    <cellStyle name="_Multiple_MLP Val-Client-10_02_06" xfId="1127" xr:uid="{00000000-0005-0000-0000-00007E030000}"/>
    <cellStyle name="_Multiple_NAV" xfId="1128" xr:uid="{00000000-0005-0000-0000-00007F030000}"/>
    <cellStyle name="_Multiple_NFS" xfId="150" xr:uid="{00000000-0005-0000-0000-000080030000}"/>
    <cellStyle name="_Multiple_NRG 2005.07.22" xfId="1129" xr:uid="{00000000-0005-0000-0000-000081030000}"/>
    <cellStyle name="_Multiple_OSK" xfId="1130" xr:uid="{00000000-0005-0000-0000-000082030000}"/>
    <cellStyle name="_Multiple_Overview3" xfId="151" xr:uid="{00000000-0005-0000-0000-000083030000}"/>
    <cellStyle name="_Multiple_PCAR" xfId="1131" xr:uid="{00000000-0005-0000-0000-000084030000}"/>
    <cellStyle name="_Multiple_PH" xfId="1132" xr:uid="{00000000-0005-0000-0000-000085030000}"/>
    <cellStyle name="_Multiple_phil data" xfId="152" xr:uid="{00000000-0005-0000-0000-000086030000}"/>
    <cellStyle name="_Multiple_Price Performance Charts" xfId="153" xr:uid="{00000000-0005-0000-0000-000087030000}"/>
    <cellStyle name="_Multiple_PRU" xfId="154" xr:uid="{00000000-0005-0000-0000-000088030000}"/>
    <cellStyle name="_Multiple_PRU04" xfId="155" xr:uid="{00000000-0005-0000-0000-000089030000}"/>
    <cellStyle name="_Multiple_RBOC historicals" xfId="1133" xr:uid="{00000000-0005-0000-0000-00008A030000}"/>
    <cellStyle name="_Multiple_RBOC historicals 2" xfId="1134" xr:uid="{00000000-0005-0000-0000-00008B030000}"/>
    <cellStyle name="_Multiple_RBOC historicals 3" xfId="1135" xr:uid="{00000000-0005-0000-0000-00008C030000}"/>
    <cellStyle name="_Multiple_RBOC historicals_AG" xfId="1136" xr:uid="{00000000-0005-0000-0000-00008D030000}"/>
    <cellStyle name="_Multiple_RBOC historicals_CNH" xfId="1137" xr:uid="{00000000-0005-0000-0000-00008E030000}"/>
    <cellStyle name="_Multiple_RBOC historicals_DOV" xfId="1138" xr:uid="{00000000-0005-0000-0000-00008F030000}"/>
    <cellStyle name="_Multiple_RBOC historicals_ETN" xfId="1139" xr:uid="{00000000-0005-0000-0000-000090030000}"/>
    <cellStyle name="_Multiple_RBOC historicals_FSS" xfId="1140" xr:uid="{00000000-0005-0000-0000-000091030000}"/>
    <cellStyle name="_Multiple_RBOC historicals_JOYG" xfId="1141" xr:uid="{00000000-0005-0000-0000-000092030000}"/>
    <cellStyle name="_Multiple_RBOC historicals_MLM" xfId="1142" xr:uid="{00000000-0005-0000-0000-000093030000}"/>
    <cellStyle name="_Multiple_RBOC historicals_NAV" xfId="1143" xr:uid="{00000000-0005-0000-0000-000094030000}"/>
    <cellStyle name="_Multiple_RBOC historicals_OSK" xfId="1144" xr:uid="{00000000-0005-0000-0000-000095030000}"/>
    <cellStyle name="_Multiple_RBOC historicals_PCAR" xfId="1145" xr:uid="{00000000-0005-0000-0000-000096030000}"/>
    <cellStyle name="_Multiple_RBOC historicals_PH" xfId="1146" xr:uid="{00000000-0005-0000-0000-000097030000}"/>
    <cellStyle name="_Multiple_RiskReward" xfId="156" xr:uid="{00000000-0005-0000-0000-000098030000}"/>
    <cellStyle name="_Multiple_SFG" xfId="157" xr:uid="{00000000-0005-0000-0000-000099030000}"/>
    <cellStyle name="_Multiple_Sheet1" xfId="158" xr:uid="{00000000-0005-0000-0000-00009A030000}"/>
    <cellStyle name="_Multiple_Sheet1 2" xfId="3267" xr:uid="{00000000-0005-0000-0000-00009B030000}"/>
    <cellStyle name="_Multiple_Sheet1 3" xfId="3201" xr:uid="{00000000-0005-0000-0000-00009C030000}"/>
    <cellStyle name="_Multiple_Sheet1 4" xfId="1147" xr:uid="{00000000-0005-0000-0000-00009D030000}"/>
    <cellStyle name="_Multiple_SOP" xfId="1148" xr:uid="{00000000-0005-0000-0000-00009E030000}"/>
    <cellStyle name="_Multiple_SRE" xfId="1149" xr:uid="{00000000-0005-0000-0000-00009F030000}"/>
    <cellStyle name="_Multiple_SRE Working" xfId="1150" xr:uid="{00000000-0005-0000-0000-0000A0030000}"/>
    <cellStyle name="_Multiple_Stock-QTR1 FDS" xfId="159" xr:uid="{00000000-0005-0000-0000-0000A1030000}"/>
    <cellStyle name="_Multiple_symcqtis" xfId="1151" xr:uid="{00000000-0005-0000-0000-0000A2030000}"/>
    <cellStyle name="_Multiple_T - new" xfId="1152" xr:uid="{00000000-0005-0000-0000-0000A3030000}"/>
    <cellStyle name="_Multiple_T - new 2" xfId="1153" xr:uid="{00000000-0005-0000-0000-0000A4030000}"/>
    <cellStyle name="_Multiple_T - new 3" xfId="1154" xr:uid="{00000000-0005-0000-0000-0000A5030000}"/>
    <cellStyle name="_Multiple_T - new_AG" xfId="1155" xr:uid="{00000000-0005-0000-0000-0000A6030000}"/>
    <cellStyle name="_Multiple_T - new_CNH" xfId="1156" xr:uid="{00000000-0005-0000-0000-0000A7030000}"/>
    <cellStyle name="_Multiple_T - new_DOV" xfId="1157" xr:uid="{00000000-0005-0000-0000-0000A8030000}"/>
    <cellStyle name="_Multiple_T - new_ETN" xfId="1158" xr:uid="{00000000-0005-0000-0000-0000A9030000}"/>
    <cellStyle name="_Multiple_T - new_FSS" xfId="1159" xr:uid="{00000000-0005-0000-0000-0000AA030000}"/>
    <cellStyle name="_Multiple_T - new_JOYG" xfId="1160" xr:uid="{00000000-0005-0000-0000-0000AB030000}"/>
    <cellStyle name="_Multiple_T - new_MLM" xfId="1161" xr:uid="{00000000-0005-0000-0000-0000AC030000}"/>
    <cellStyle name="_Multiple_T - new_NAV" xfId="1162" xr:uid="{00000000-0005-0000-0000-0000AD030000}"/>
    <cellStyle name="_Multiple_T - new_OSK" xfId="1163" xr:uid="{00000000-0005-0000-0000-0000AE030000}"/>
    <cellStyle name="_Multiple_T - new_PCAR" xfId="1164" xr:uid="{00000000-0005-0000-0000-0000AF030000}"/>
    <cellStyle name="_Multiple_T - new_PH" xfId="1165" xr:uid="{00000000-0005-0000-0000-0000B0030000}"/>
    <cellStyle name="_Multiple_TMK" xfId="160" xr:uid="{00000000-0005-0000-0000-0000B1030000}"/>
    <cellStyle name="_Multiple_Updated Valuation Changes" xfId="161" xr:uid="{00000000-0005-0000-0000-0000B2030000}"/>
    <cellStyle name="_Multiple_Val Sheets" xfId="1166" xr:uid="{00000000-0005-0000-0000-0000B3030000}"/>
    <cellStyle name="_Multiple_Valuation Graphs" xfId="162" xr:uid="{00000000-0005-0000-0000-0000B4030000}"/>
    <cellStyle name="_Multiple_WFT published 1-30-07 Client version (2)" xfId="1167" xr:uid="{00000000-0005-0000-0000-0000B5030000}"/>
    <cellStyle name="_Multiple_WFT published 1-30-07 Client version (2) 2" xfId="1168" xr:uid="{00000000-0005-0000-0000-0000B6030000}"/>
    <cellStyle name="_Multiple_xratio - historical mkt val" xfId="163" xr:uid="{00000000-0005-0000-0000-0000B7030000}"/>
    <cellStyle name="_MultipleSpace" xfId="164" xr:uid="{00000000-0005-0000-0000-0000B8030000}"/>
    <cellStyle name="_MultipleSpace 2" xfId="394" xr:uid="{00000000-0005-0000-0000-0000B9030000}"/>
    <cellStyle name="_MultipleSpace 2 2" xfId="3096" xr:uid="{00000000-0005-0000-0000-0000BA030000}"/>
    <cellStyle name="_MultipleSpace 2 3" xfId="1170" xr:uid="{00000000-0005-0000-0000-0000BB030000}"/>
    <cellStyle name="_MultipleSpace 3" xfId="395" xr:uid="{00000000-0005-0000-0000-0000BC030000}"/>
    <cellStyle name="_MultipleSpace 3 2" xfId="3097" xr:uid="{00000000-0005-0000-0000-0000BD030000}"/>
    <cellStyle name="_MultipleSpace 3 3" xfId="1171" xr:uid="{00000000-0005-0000-0000-0000BE030000}"/>
    <cellStyle name="_MultipleSpace 4" xfId="396" xr:uid="{00000000-0005-0000-0000-0000BF030000}"/>
    <cellStyle name="_MultipleSpace 5" xfId="3095" xr:uid="{00000000-0005-0000-0000-0000C0030000}"/>
    <cellStyle name="_MultipleSpace 6" xfId="1169" xr:uid="{00000000-0005-0000-0000-0000C1030000}"/>
    <cellStyle name="_MultipleSpace 7" xfId="393" xr:uid="{00000000-0005-0000-0000-0000C2030000}"/>
    <cellStyle name="_MultipleSpace_01 adj for merger plan" xfId="165" xr:uid="{00000000-0005-0000-0000-0000C3030000}"/>
    <cellStyle name="_MultipleSpace_Ability to Pay Analysis" xfId="166" xr:uid="{00000000-0005-0000-0000-0000C4030000}"/>
    <cellStyle name="_MultipleSpace_AFL" xfId="167" xr:uid="{00000000-0005-0000-0000-0000C5030000}"/>
    <cellStyle name="_MultipleSpace_AG" xfId="1172" xr:uid="{00000000-0005-0000-0000-0000C6030000}"/>
    <cellStyle name="_MultipleSpace_AIZ" xfId="168" xr:uid="{00000000-0005-0000-0000-0000C7030000}"/>
    <cellStyle name="_MultipleSpace_AMP" xfId="169" xr:uid="{00000000-0005-0000-0000-0000C8030000}"/>
    <cellStyle name="_MultipleSpace_Balance Sheet" xfId="170" xr:uid="{00000000-0005-0000-0000-0000C9030000}"/>
    <cellStyle name="_MultipleSpace_BHI" xfId="1173" xr:uid="{00000000-0005-0000-0000-0000CA030000}"/>
    <cellStyle name="_MultipleSpace_BHI 2" xfId="1174" xr:uid="{00000000-0005-0000-0000-0000CB030000}"/>
    <cellStyle name="_MultipleSpace_BHI 3" xfId="1175" xr:uid="{00000000-0005-0000-0000-0000CC030000}"/>
    <cellStyle name="_MultipleSpace_BHI_AG" xfId="1176" xr:uid="{00000000-0005-0000-0000-0000CD030000}"/>
    <cellStyle name="_MultipleSpace_BHI_CNH" xfId="1177" xr:uid="{00000000-0005-0000-0000-0000CE030000}"/>
    <cellStyle name="_MultipleSpace_BHI_DOV" xfId="1178" xr:uid="{00000000-0005-0000-0000-0000CF030000}"/>
    <cellStyle name="_MultipleSpace_BHI_ETN" xfId="1179" xr:uid="{00000000-0005-0000-0000-0000D0030000}"/>
    <cellStyle name="_MultipleSpace_BHI_FSS" xfId="1180" xr:uid="{00000000-0005-0000-0000-0000D1030000}"/>
    <cellStyle name="_MultipleSpace_BHI_JOYG" xfId="1181" xr:uid="{00000000-0005-0000-0000-0000D2030000}"/>
    <cellStyle name="_MultipleSpace_BHI_MLM" xfId="1182" xr:uid="{00000000-0005-0000-0000-0000D3030000}"/>
    <cellStyle name="_MultipleSpace_BHI_NAV" xfId="1183" xr:uid="{00000000-0005-0000-0000-0000D4030000}"/>
    <cellStyle name="_MultipleSpace_BHI_OSK" xfId="1184" xr:uid="{00000000-0005-0000-0000-0000D5030000}"/>
    <cellStyle name="_MultipleSpace_BHI_PCAR" xfId="1185" xr:uid="{00000000-0005-0000-0000-0000D6030000}"/>
    <cellStyle name="_MultipleSpace_BHI_PH" xfId="1186" xr:uid="{00000000-0005-0000-0000-0000D7030000}"/>
    <cellStyle name="_MultipleSpace_bls roic" xfId="1187" xr:uid="{00000000-0005-0000-0000-0000D8030000}"/>
    <cellStyle name="_MultipleSpace_bls roic 2" xfId="1188" xr:uid="{00000000-0005-0000-0000-0000D9030000}"/>
    <cellStyle name="_MultipleSpace_bls roic 3" xfId="1189" xr:uid="{00000000-0005-0000-0000-0000DA030000}"/>
    <cellStyle name="_MultipleSpace_bls roic_AG" xfId="1190" xr:uid="{00000000-0005-0000-0000-0000DB030000}"/>
    <cellStyle name="_MultipleSpace_bls roic_CNH" xfId="1191" xr:uid="{00000000-0005-0000-0000-0000DC030000}"/>
    <cellStyle name="_MultipleSpace_bls roic_DOV" xfId="1192" xr:uid="{00000000-0005-0000-0000-0000DD030000}"/>
    <cellStyle name="_MultipleSpace_bls roic_ETN" xfId="1193" xr:uid="{00000000-0005-0000-0000-0000DE030000}"/>
    <cellStyle name="_MultipleSpace_bls roic_FSS" xfId="1194" xr:uid="{00000000-0005-0000-0000-0000DF030000}"/>
    <cellStyle name="_MultipleSpace_bls roic_JOYG" xfId="1195" xr:uid="{00000000-0005-0000-0000-0000E0030000}"/>
    <cellStyle name="_MultipleSpace_bls roic_MLM" xfId="1196" xr:uid="{00000000-0005-0000-0000-0000E1030000}"/>
    <cellStyle name="_MultipleSpace_bls roic_NAV" xfId="1197" xr:uid="{00000000-0005-0000-0000-0000E2030000}"/>
    <cellStyle name="_MultipleSpace_bls roic_OSK" xfId="1198" xr:uid="{00000000-0005-0000-0000-0000E3030000}"/>
    <cellStyle name="_MultipleSpace_bls roic_PCAR" xfId="1199" xr:uid="{00000000-0005-0000-0000-0000E4030000}"/>
    <cellStyle name="_MultipleSpace_bls roic_PH" xfId="1200" xr:uid="{00000000-0005-0000-0000-0000E5030000}"/>
    <cellStyle name="_MultipleSpace_Book1" xfId="171" xr:uid="{00000000-0005-0000-0000-0000E6030000}"/>
    <cellStyle name="_MultipleSpace_Book29" xfId="172" xr:uid="{00000000-0005-0000-0000-0000E7030000}"/>
    <cellStyle name="_MultipleSpace_Book3" xfId="173" xr:uid="{00000000-0005-0000-0000-0000E8030000}"/>
    <cellStyle name="_MultipleSpace_Book3 2" xfId="3268" xr:uid="{00000000-0005-0000-0000-0000E9030000}"/>
    <cellStyle name="_MultipleSpace_Book3 3" xfId="3202" xr:uid="{00000000-0005-0000-0000-0000EA030000}"/>
    <cellStyle name="_MultipleSpace_Book3 4" xfId="1201" xr:uid="{00000000-0005-0000-0000-0000EB030000}"/>
    <cellStyle name="_MultipleSpace_Book3_1" xfId="174" xr:uid="{00000000-0005-0000-0000-0000EC030000}"/>
    <cellStyle name="_MultipleSpace_Broadcasting" xfId="1202" xr:uid="{00000000-0005-0000-0000-0000ED030000}"/>
    <cellStyle name="_MultipleSpace_capital expenditures 6-18-02" xfId="1203" xr:uid="{00000000-0005-0000-0000-0000EE030000}"/>
    <cellStyle name="_MultipleSpace_capital expenditures 6-18-02 2" xfId="1204" xr:uid="{00000000-0005-0000-0000-0000EF030000}"/>
    <cellStyle name="_MultipleSpace_capital expenditures 6-18-02 3" xfId="1205" xr:uid="{00000000-0005-0000-0000-0000F0030000}"/>
    <cellStyle name="_MultipleSpace_capital expenditures 6-18-02_AG" xfId="1206" xr:uid="{00000000-0005-0000-0000-0000F1030000}"/>
    <cellStyle name="_MultipleSpace_capital expenditures 6-18-02_CNH" xfId="1207" xr:uid="{00000000-0005-0000-0000-0000F2030000}"/>
    <cellStyle name="_MultipleSpace_capital expenditures 6-18-02_DOV" xfId="1208" xr:uid="{00000000-0005-0000-0000-0000F3030000}"/>
    <cellStyle name="_MultipleSpace_capital expenditures 6-18-02_ETN" xfId="1209" xr:uid="{00000000-0005-0000-0000-0000F4030000}"/>
    <cellStyle name="_MultipleSpace_capital expenditures 6-18-02_FSS" xfId="1210" xr:uid="{00000000-0005-0000-0000-0000F5030000}"/>
    <cellStyle name="_MultipleSpace_capital expenditures 6-18-02_JOYG" xfId="1211" xr:uid="{00000000-0005-0000-0000-0000F6030000}"/>
    <cellStyle name="_MultipleSpace_capital expenditures 6-18-02_MLM" xfId="1212" xr:uid="{00000000-0005-0000-0000-0000F7030000}"/>
    <cellStyle name="_MultipleSpace_capital expenditures 6-18-02_NAV" xfId="1213" xr:uid="{00000000-0005-0000-0000-0000F8030000}"/>
    <cellStyle name="_MultipleSpace_capital expenditures 6-18-02_OSK" xfId="1214" xr:uid="{00000000-0005-0000-0000-0000F9030000}"/>
    <cellStyle name="_MultipleSpace_capital expenditures 6-18-02_PCAR" xfId="1215" xr:uid="{00000000-0005-0000-0000-0000FA030000}"/>
    <cellStyle name="_MultipleSpace_capital expenditures 6-18-02_PH" xfId="1216" xr:uid="{00000000-0005-0000-0000-0000FB030000}"/>
    <cellStyle name="_MultipleSpace_CNH" xfId="1217" xr:uid="{00000000-0005-0000-0000-0000FC030000}"/>
    <cellStyle name="_MultipleSpace_CNO" xfId="175" xr:uid="{00000000-0005-0000-0000-0000FD030000}"/>
    <cellStyle name="_MultipleSpace_Commtech" xfId="1218" xr:uid="{00000000-0005-0000-0000-0000FE030000}"/>
    <cellStyle name="_MultipleSpace_CRO 3Q group metrics 12-22-03 for reports" xfId="1219" xr:uid="{00000000-0005-0000-0000-0000FF030000}"/>
    <cellStyle name="_MultipleSpace_CRO comp metrics 4Q03 2-18-04 send out" xfId="1220" xr:uid="{00000000-0005-0000-0000-000000040000}"/>
    <cellStyle name="_MultipleSpace_csc" xfId="1221" xr:uid="{00000000-0005-0000-0000-000001040000}"/>
    <cellStyle name="_MultipleSpace_Data" xfId="1222" xr:uid="{00000000-0005-0000-0000-000002040000}"/>
    <cellStyle name="_MultipleSpace_DCF Alexander Forbes" xfId="176" xr:uid="{00000000-0005-0000-0000-000003040000}"/>
    <cellStyle name="_MultipleSpace_DOV" xfId="1223" xr:uid="{00000000-0005-0000-0000-000004040000}"/>
    <cellStyle name="_MultipleSpace_DUK" xfId="1224" xr:uid="{00000000-0005-0000-0000-000005040000}"/>
    <cellStyle name="_MultipleSpace_ED 2005.08.01" xfId="1225" xr:uid="{00000000-0005-0000-0000-000006040000}"/>
    <cellStyle name="_MultipleSpace_ETN" xfId="1226" xr:uid="{00000000-0005-0000-0000-000007040000}"/>
    <cellStyle name="_MultipleSpace_fmbi counties" xfId="177" xr:uid="{00000000-0005-0000-0000-000008040000}"/>
    <cellStyle name="_MultipleSpace_FMBI MBHI Graphs" xfId="178" xr:uid="{00000000-0005-0000-0000-000009040000}"/>
    <cellStyle name="_MultipleSpace_FMBI MBHI Graphs 07102001" xfId="179" xr:uid="{00000000-0005-0000-0000-00000A040000}"/>
    <cellStyle name="_MultipleSpace_FMBI MBHI Graphs_7601" xfId="180" xr:uid="{00000000-0005-0000-0000-00000B040000}"/>
    <cellStyle name="_MultipleSpace_FSS" xfId="1227" xr:uid="{00000000-0005-0000-0000-00000C040000}"/>
    <cellStyle name="_MultipleSpace_GNW" xfId="181" xr:uid="{00000000-0005-0000-0000-00000D040000}"/>
    <cellStyle name="_MultipleSpace_GS_Brant_CSCO_mod (Working)" xfId="1228" xr:uid="{00000000-0005-0000-0000-00000E040000}"/>
    <cellStyle name="_MultipleSpace_GS_BRANT_MOTMOD" xfId="1229" xr:uid="{00000000-0005-0000-0000-00000F040000}"/>
    <cellStyle name="_MultipleSpace_gs_scur_internal " xfId="1230" xr:uid="{00000000-0005-0000-0000-000010040000}"/>
    <cellStyle name="_MultipleSpace_gs_scur_internal  2" xfId="1231" xr:uid="{00000000-0005-0000-0000-000011040000}"/>
    <cellStyle name="_MultipleSpace_Hist Summary" xfId="1232" xr:uid="{00000000-0005-0000-0000-000012040000}"/>
    <cellStyle name="_MultipleSpace_Insurance Brokerage CSC_1Q2002" xfId="182" xr:uid="{00000000-0005-0000-0000-000013040000}"/>
    <cellStyle name="_MultipleSpace_JOYG" xfId="1233" xr:uid="{00000000-0005-0000-0000-000014040000}"/>
    <cellStyle name="_MultipleSpace_JP" xfId="183" xr:uid="{00000000-0005-0000-0000-000015040000}"/>
    <cellStyle name="_MultipleSpace_Kent" xfId="1234" xr:uid="{00000000-0005-0000-0000-000016040000}"/>
    <cellStyle name="_MultipleSpace_LNC" xfId="184" xr:uid="{00000000-0005-0000-0000-000017040000}"/>
    <cellStyle name="_MultipleSpace_Machinery group valuation" xfId="1235" xr:uid="{00000000-0005-0000-0000-000018040000}"/>
    <cellStyle name="_MultipleSpace_MET" xfId="185" xr:uid="{00000000-0005-0000-0000-000019040000}"/>
    <cellStyle name="_MultipleSpace_MET04" xfId="186" xr:uid="{00000000-0005-0000-0000-00001A040000}"/>
    <cellStyle name="_MultipleSpace_MHS" xfId="1236" xr:uid="{00000000-0005-0000-0000-00001B040000}"/>
    <cellStyle name="_MultipleSpace_MLM" xfId="1237" xr:uid="{00000000-0005-0000-0000-00001C040000}"/>
    <cellStyle name="_MultipleSpace_MLP Val-Client-10_02_06" xfId="1238" xr:uid="{00000000-0005-0000-0000-00001D040000}"/>
    <cellStyle name="_MultipleSpace_NAV" xfId="1239" xr:uid="{00000000-0005-0000-0000-00001E040000}"/>
    <cellStyle name="_MultipleSpace_NFS" xfId="187" xr:uid="{00000000-0005-0000-0000-00001F040000}"/>
    <cellStyle name="_MultipleSpace_NRG 2005.07.22" xfId="1240" xr:uid="{00000000-0005-0000-0000-000020040000}"/>
    <cellStyle name="_MultipleSpace_OSK" xfId="1241" xr:uid="{00000000-0005-0000-0000-000021040000}"/>
    <cellStyle name="_MultipleSpace_Overview3" xfId="188" xr:uid="{00000000-0005-0000-0000-000022040000}"/>
    <cellStyle name="_MultipleSpace_PCAR" xfId="1242" xr:uid="{00000000-0005-0000-0000-000023040000}"/>
    <cellStyle name="_MultipleSpace_PH" xfId="1243" xr:uid="{00000000-0005-0000-0000-000024040000}"/>
    <cellStyle name="_MultipleSpace_phil data" xfId="189" xr:uid="{00000000-0005-0000-0000-000025040000}"/>
    <cellStyle name="_MultipleSpace_Price Performance Charts" xfId="190" xr:uid="{00000000-0005-0000-0000-000026040000}"/>
    <cellStyle name="_MultipleSpace_PRU" xfId="191" xr:uid="{00000000-0005-0000-0000-000027040000}"/>
    <cellStyle name="_MultipleSpace_PRU04" xfId="192" xr:uid="{00000000-0005-0000-0000-000028040000}"/>
    <cellStyle name="_MultipleSpace_RBOC historicals" xfId="1244" xr:uid="{00000000-0005-0000-0000-000029040000}"/>
    <cellStyle name="_MultipleSpace_RBOC historicals 2" xfId="1245" xr:uid="{00000000-0005-0000-0000-00002A040000}"/>
    <cellStyle name="_MultipleSpace_RBOC historicals 3" xfId="1246" xr:uid="{00000000-0005-0000-0000-00002B040000}"/>
    <cellStyle name="_MultipleSpace_RBOC historicals_AG" xfId="1247" xr:uid="{00000000-0005-0000-0000-00002C040000}"/>
    <cellStyle name="_MultipleSpace_RBOC historicals_CNH" xfId="1248" xr:uid="{00000000-0005-0000-0000-00002D040000}"/>
    <cellStyle name="_MultipleSpace_RBOC historicals_DOV" xfId="1249" xr:uid="{00000000-0005-0000-0000-00002E040000}"/>
    <cellStyle name="_MultipleSpace_RBOC historicals_ETN" xfId="1250" xr:uid="{00000000-0005-0000-0000-00002F040000}"/>
    <cellStyle name="_MultipleSpace_RBOC historicals_FSS" xfId="1251" xr:uid="{00000000-0005-0000-0000-000030040000}"/>
    <cellStyle name="_MultipleSpace_RBOC historicals_JOYG" xfId="1252" xr:uid="{00000000-0005-0000-0000-000031040000}"/>
    <cellStyle name="_MultipleSpace_RBOC historicals_MLM" xfId="1253" xr:uid="{00000000-0005-0000-0000-000032040000}"/>
    <cellStyle name="_MultipleSpace_RBOC historicals_NAV" xfId="1254" xr:uid="{00000000-0005-0000-0000-000033040000}"/>
    <cellStyle name="_MultipleSpace_RBOC historicals_OSK" xfId="1255" xr:uid="{00000000-0005-0000-0000-000034040000}"/>
    <cellStyle name="_MultipleSpace_RBOC historicals_PCAR" xfId="1256" xr:uid="{00000000-0005-0000-0000-000035040000}"/>
    <cellStyle name="_MultipleSpace_RBOC historicals_PH" xfId="1257" xr:uid="{00000000-0005-0000-0000-000036040000}"/>
    <cellStyle name="_MultipleSpace_RiskReward" xfId="193" xr:uid="{00000000-0005-0000-0000-000037040000}"/>
    <cellStyle name="_MultipleSpace_SFG" xfId="194" xr:uid="{00000000-0005-0000-0000-000038040000}"/>
    <cellStyle name="_MultipleSpace_Sheet1" xfId="195" xr:uid="{00000000-0005-0000-0000-000039040000}"/>
    <cellStyle name="_MultipleSpace_Sheet1 2" xfId="3269" xr:uid="{00000000-0005-0000-0000-00003A040000}"/>
    <cellStyle name="_MultipleSpace_Sheet1 3" xfId="3203" xr:uid="{00000000-0005-0000-0000-00003B040000}"/>
    <cellStyle name="_MultipleSpace_Sheet1 4" xfId="1258" xr:uid="{00000000-0005-0000-0000-00003C040000}"/>
    <cellStyle name="_MultipleSpace_SOP" xfId="1259" xr:uid="{00000000-0005-0000-0000-00003D040000}"/>
    <cellStyle name="_MultipleSpace_SRE" xfId="1260" xr:uid="{00000000-0005-0000-0000-00003E040000}"/>
    <cellStyle name="_MultipleSpace_SRE Working" xfId="1261" xr:uid="{00000000-0005-0000-0000-00003F040000}"/>
    <cellStyle name="_MultipleSpace_Stock-QTR1 FDS" xfId="196" xr:uid="{00000000-0005-0000-0000-000040040000}"/>
    <cellStyle name="_MultipleSpace_symcqtis" xfId="1262" xr:uid="{00000000-0005-0000-0000-000041040000}"/>
    <cellStyle name="_MultipleSpace_T - new" xfId="1263" xr:uid="{00000000-0005-0000-0000-000042040000}"/>
    <cellStyle name="_MultipleSpace_T - new 2" xfId="1264" xr:uid="{00000000-0005-0000-0000-000043040000}"/>
    <cellStyle name="_MultipleSpace_T - new 3" xfId="1265" xr:uid="{00000000-0005-0000-0000-000044040000}"/>
    <cellStyle name="_MultipleSpace_T - new_AG" xfId="1266" xr:uid="{00000000-0005-0000-0000-000045040000}"/>
    <cellStyle name="_MultipleSpace_T - new_CNH" xfId="1267" xr:uid="{00000000-0005-0000-0000-000046040000}"/>
    <cellStyle name="_MultipleSpace_T - new_DOV" xfId="1268" xr:uid="{00000000-0005-0000-0000-000047040000}"/>
    <cellStyle name="_MultipleSpace_T - new_ETN" xfId="1269" xr:uid="{00000000-0005-0000-0000-000048040000}"/>
    <cellStyle name="_MultipleSpace_T - new_FSS" xfId="1270" xr:uid="{00000000-0005-0000-0000-000049040000}"/>
    <cellStyle name="_MultipleSpace_T - new_JOYG" xfId="1271" xr:uid="{00000000-0005-0000-0000-00004A040000}"/>
    <cellStyle name="_MultipleSpace_T - new_MLM" xfId="1272" xr:uid="{00000000-0005-0000-0000-00004B040000}"/>
    <cellStyle name="_MultipleSpace_T - new_NAV" xfId="1273" xr:uid="{00000000-0005-0000-0000-00004C040000}"/>
    <cellStyle name="_MultipleSpace_T - new_OSK" xfId="1274" xr:uid="{00000000-0005-0000-0000-00004D040000}"/>
    <cellStyle name="_MultipleSpace_T - new_PCAR" xfId="1275" xr:uid="{00000000-0005-0000-0000-00004E040000}"/>
    <cellStyle name="_MultipleSpace_T - new_PH" xfId="1276" xr:uid="{00000000-0005-0000-0000-00004F040000}"/>
    <cellStyle name="_MultipleSpace_TMK" xfId="197" xr:uid="{00000000-0005-0000-0000-000050040000}"/>
    <cellStyle name="_MultipleSpace_Updated Valuation Changes" xfId="198" xr:uid="{00000000-0005-0000-0000-000051040000}"/>
    <cellStyle name="_MultipleSpace_Val Sheets" xfId="1277" xr:uid="{00000000-0005-0000-0000-000052040000}"/>
    <cellStyle name="_MultipleSpace_Valuation Graphs" xfId="199" xr:uid="{00000000-0005-0000-0000-000053040000}"/>
    <cellStyle name="_MultipleSpace_WFT published 1-30-07 Client version (2)" xfId="1278" xr:uid="{00000000-0005-0000-0000-000054040000}"/>
    <cellStyle name="_MultipleSpace_WFT published 1-30-07 Client version (2) 2" xfId="1279" xr:uid="{00000000-0005-0000-0000-000055040000}"/>
    <cellStyle name="_MultipleSpace_xratio - historical mkt val" xfId="200" xr:uid="{00000000-0005-0000-0000-000056040000}"/>
    <cellStyle name="_Percent" xfId="201" xr:uid="{00000000-0005-0000-0000-000057040000}"/>
    <cellStyle name="_Percent 2" xfId="1280" xr:uid="{00000000-0005-0000-0000-000058040000}"/>
    <cellStyle name="_Percent 3" xfId="1281" xr:uid="{00000000-0005-0000-0000-000059040000}"/>
    <cellStyle name="_Percent_AG" xfId="1282" xr:uid="{00000000-0005-0000-0000-00005A040000}"/>
    <cellStyle name="_Percent_BHI" xfId="1283" xr:uid="{00000000-0005-0000-0000-00005B040000}"/>
    <cellStyle name="_Percent_BHI 2" xfId="1284" xr:uid="{00000000-0005-0000-0000-00005C040000}"/>
    <cellStyle name="_Percent_BHI 3" xfId="1285" xr:uid="{00000000-0005-0000-0000-00005D040000}"/>
    <cellStyle name="_Percent_BHI_AG" xfId="1286" xr:uid="{00000000-0005-0000-0000-00005E040000}"/>
    <cellStyle name="_Percent_BHI_CNH" xfId="1287" xr:uid="{00000000-0005-0000-0000-00005F040000}"/>
    <cellStyle name="_Percent_BHI_DOV" xfId="1288" xr:uid="{00000000-0005-0000-0000-000060040000}"/>
    <cellStyle name="_Percent_BHI_ETN" xfId="1289" xr:uid="{00000000-0005-0000-0000-000061040000}"/>
    <cellStyle name="_Percent_BHI_FSS" xfId="1290" xr:uid="{00000000-0005-0000-0000-000062040000}"/>
    <cellStyle name="_Percent_BHI_JOYG" xfId="1291" xr:uid="{00000000-0005-0000-0000-000063040000}"/>
    <cellStyle name="_Percent_BHI_MLM" xfId="1292" xr:uid="{00000000-0005-0000-0000-000064040000}"/>
    <cellStyle name="_Percent_BHI_NAV" xfId="1293" xr:uid="{00000000-0005-0000-0000-000065040000}"/>
    <cellStyle name="_Percent_BHI_OSK" xfId="1294" xr:uid="{00000000-0005-0000-0000-000066040000}"/>
    <cellStyle name="_Percent_BHI_PCAR" xfId="1295" xr:uid="{00000000-0005-0000-0000-000067040000}"/>
    <cellStyle name="_Percent_BHI_PH" xfId="1296" xr:uid="{00000000-0005-0000-0000-000068040000}"/>
    <cellStyle name="_Percent_Broadcasting" xfId="1297" xr:uid="{00000000-0005-0000-0000-000069040000}"/>
    <cellStyle name="_Percent_CNH" xfId="1298" xr:uid="{00000000-0005-0000-0000-00006A040000}"/>
    <cellStyle name="_Percent_Commtech" xfId="1299" xr:uid="{00000000-0005-0000-0000-00006B040000}"/>
    <cellStyle name="_Percent_DCF Alexander Forbes" xfId="202" xr:uid="{00000000-0005-0000-0000-00006C040000}"/>
    <cellStyle name="_Percent_DOV" xfId="1300" xr:uid="{00000000-0005-0000-0000-00006D040000}"/>
    <cellStyle name="_Percent_ETN" xfId="1301" xr:uid="{00000000-0005-0000-0000-00006E040000}"/>
    <cellStyle name="_Percent_FMBI MBHI Graphs" xfId="203" xr:uid="{00000000-0005-0000-0000-00006F040000}"/>
    <cellStyle name="_Percent_FMBI MBHI Graphs 07102001" xfId="204" xr:uid="{00000000-0005-0000-0000-000070040000}"/>
    <cellStyle name="_Percent_FMBI MBHI Graphs_7601" xfId="205" xr:uid="{00000000-0005-0000-0000-000071040000}"/>
    <cellStyle name="_Percent_FSS" xfId="1302" xr:uid="{00000000-0005-0000-0000-000072040000}"/>
    <cellStyle name="_Percent_GS_Brant_CSCO_mod (Working)" xfId="1303" xr:uid="{00000000-0005-0000-0000-000073040000}"/>
    <cellStyle name="_Percent_GS_BRANT_MOTMOD" xfId="1304" xr:uid="{00000000-0005-0000-0000-000074040000}"/>
    <cellStyle name="_Percent_gs_scur_internal " xfId="1305" xr:uid="{00000000-0005-0000-0000-000075040000}"/>
    <cellStyle name="_Percent_gs_scur_internal  2" xfId="1306" xr:uid="{00000000-0005-0000-0000-000076040000}"/>
    <cellStyle name="_Percent_Hist Summary" xfId="1307" xr:uid="{00000000-0005-0000-0000-000077040000}"/>
    <cellStyle name="_Percent_JOYG" xfId="1308" xr:uid="{00000000-0005-0000-0000-000078040000}"/>
    <cellStyle name="_Percent_Kent" xfId="1309" xr:uid="{00000000-0005-0000-0000-000079040000}"/>
    <cellStyle name="_Percent_Machinery group valuation" xfId="1310" xr:uid="{00000000-0005-0000-0000-00007A040000}"/>
    <cellStyle name="_Percent_MLM" xfId="1311" xr:uid="{00000000-0005-0000-0000-00007B040000}"/>
    <cellStyle name="_Percent_MLP Val-Client-10_02_06" xfId="1312" xr:uid="{00000000-0005-0000-0000-00007C040000}"/>
    <cellStyle name="_Percent_NAV" xfId="1313" xr:uid="{00000000-0005-0000-0000-00007D040000}"/>
    <cellStyle name="_Percent_OSK" xfId="1314" xr:uid="{00000000-0005-0000-0000-00007E040000}"/>
    <cellStyle name="_Percent_PCAR" xfId="1315" xr:uid="{00000000-0005-0000-0000-00007F040000}"/>
    <cellStyle name="_Percent_PH" xfId="1316" xr:uid="{00000000-0005-0000-0000-000080040000}"/>
    <cellStyle name="_Percent_Sheet1" xfId="1317" xr:uid="{00000000-0005-0000-0000-000081040000}"/>
    <cellStyle name="_Percent_symcqtis" xfId="1318" xr:uid="{00000000-0005-0000-0000-000082040000}"/>
    <cellStyle name="_Percent_Utility" xfId="1319" xr:uid="{00000000-0005-0000-0000-000083040000}"/>
    <cellStyle name="_Percent_WFT published 1-30-07 Client version (2)" xfId="1320" xr:uid="{00000000-0005-0000-0000-000084040000}"/>
    <cellStyle name="_Percent_WFT published 1-30-07 Client version (2) 2" xfId="1321" xr:uid="{00000000-0005-0000-0000-000085040000}"/>
    <cellStyle name="_PercentSpace" xfId="206" xr:uid="{00000000-0005-0000-0000-000086040000}"/>
    <cellStyle name="_PercentSpace 2" xfId="1322" xr:uid="{00000000-0005-0000-0000-000087040000}"/>
    <cellStyle name="_PercentSpace 3" xfId="1323" xr:uid="{00000000-0005-0000-0000-000088040000}"/>
    <cellStyle name="_PercentSpace_01 adj for merger plan" xfId="207" xr:uid="{00000000-0005-0000-0000-000089040000}"/>
    <cellStyle name="_PercentSpace_AG" xfId="1324" xr:uid="{00000000-0005-0000-0000-00008A040000}"/>
    <cellStyle name="_PercentSpace_BHI" xfId="1325" xr:uid="{00000000-0005-0000-0000-00008B040000}"/>
    <cellStyle name="_PercentSpace_BHI 2" xfId="1326" xr:uid="{00000000-0005-0000-0000-00008C040000}"/>
    <cellStyle name="_PercentSpace_BHI 3" xfId="1327" xr:uid="{00000000-0005-0000-0000-00008D040000}"/>
    <cellStyle name="_PercentSpace_BHI_AG" xfId="1328" xr:uid="{00000000-0005-0000-0000-00008E040000}"/>
    <cellStyle name="_PercentSpace_BHI_CNH" xfId="1329" xr:uid="{00000000-0005-0000-0000-00008F040000}"/>
    <cellStyle name="_PercentSpace_BHI_DOV" xfId="1330" xr:uid="{00000000-0005-0000-0000-000090040000}"/>
    <cellStyle name="_PercentSpace_BHI_ETN" xfId="1331" xr:uid="{00000000-0005-0000-0000-000091040000}"/>
    <cellStyle name="_PercentSpace_BHI_FSS" xfId="1332" xr:uid="{00000000-0005-0000-0000-000092040000}"/>
    <cellStyle name="_PercentSpace_BHI_JOYG" xfId="1333" xr:uid="{00000000-0005-0000-0000-000093040000}"/>
    <cellStyle name="_PercentSpace_BHI_MLM" xfId="1334" xr:uid="{00000000-0005-0000-0000-000094040000}"/>
    <cellStyle name="_PercentSpace_BHI_NAV" xfId="1335" xr:uid="{00000000-0005-0000-0000-000095040000}"/>
    <cellStyle name="_PercentSpace_BHI_OSK" xfId="1336" xr:uid="{00000000-0005-0000-0000-000096040000}"/>
    <cellStyle name="_PercentSpace_BHI_PCAR" xfId="1337" xr:uid="{00000000-0005-0000-0000-000097040000}"/>
    <cellStyle name="_PercentSpace_BHI_PH" xfId="1338" xr:uid="{00000000-0005-0000-0000-000098040000}"/>
    <cellStyle name="_PercentSpace_Broadcasting" xfId="1339" xr:uid="{00000000-0005-0000-0000-000099040000}"/>
    <cellStyle name="_PercentSpace_CNH" xfId="1340" xr:uid="{00000000-0005-0000-0000-00009A040000}"/>
    <cellStyle name="_PercentSpace_Commtech" xfId="1341" xr:uid="{00000000-0005-0000-0000-00009B040000}"/>
    <cellStyle name="_PercentSpace_DCF Alexander Forbes" xfId="208" xr:uid="{00000000-0005-0000-0000-00009C040000}"/>
    <cellStyle name="_PercentSpace_DOV" xfId="1342" xr:uid="{00000000-0005-0000-0000-00009D040000}"/>
    <cellStyle name="_PercentSpace_ETN" xfId="1343" xr:uid="{00000000-0005-0000-0000-00009E040000}"/>
    <cellStyle name="_PercentSpace_FMBI MBHI Graphs" xfId="209" xr:uid="{00000000-0005-0000-0000-00009F040000}"/>
    <cellStyle name="_PercentSpace_FMBI MBHI Graphs 07102001" xfId="210" xr:uid="{00000000-0005-0000-0000-0000A0040000}"/>
    <cellStyle name="_PercentSpace_FMBI MBHI Graphs_7601" xfId="211" xr:uid="{00000000-0005-0000-0000-0000A1040000}"/>
    <cellStyle name="_PercentSpace_FSS" xfId="1344" xr:uid="{00000000-0005-0000-0000-0000A2040000}"/>
    <cellStyle name="_PercentSpace_GS_Brant_CSCO_mod (Working)" xfId="1345" xr:uid="{00000000-0005-0000-0000-0000A3040000}"/>
    <cellStyle name="_PercentSpace_GS_BRANT_MOTMOD" xfId="1346" xr:uid="{00000000-0005-0000-0000-0000A4040000}"/>
    <cellStyle name="_PercentSpace_gs_scur_internal " xfId="1347" xr:uid="{00000000-0005-0000-0000-0000A5040000}"/>
    <cellStyle name="_PercentSpace_gs_scur_internal  2" xfId="1348" xr:uid="{00000000-0005-0000-0000-0000A6040000}"/>
    <cellStyle name="_PercentSpace_Hist Summary" xfId="1349" xr:uid="{00000000-0005-0000-0000-0000A7040000}"/>
    <cellStyle name="_PercentSpace_JOYG" xfId="1350" xr:uid="{00000000-0005-0000-0000-0000A8040000}"/>
    <cellStyle name="_PercentSpace_Kent" xfId="1351" xr:uid="{00000000-0005-0000-0000-0000A9040000}"/>
    <cellStyle name="_PercentSpace_Machinery group valuation" xfId="1352" xr:uid="{00000000-0005-0000-0000-0000AA040000}"/>
    <cellStyle name="_PercentSpace_MLM" xfId="1353" xr:uid="{00000000-0005-0000-0000-0000AB040000}"/>
    <cellStyle name="_PercentSpace_MLP Val-Client-10_02_06" xfId="1354" xr:uid="{00000000-0005-0000-0000-0000AC040000}"/>
    <cellStyle name="_PercentSpace_NAV" xfId="1355" xr:uid="{00000000-0005-0000-0000-0000AD040000}"/>
    <cellStyle name="_PercentSpace_OSK" xfId="1356" xr:uid="{00000000-0005-0000-0000-0000AE040000}"/>
    <cellStyle name="_PercentSpace_PCAR" xfId="1357" xr:uid="{00000000-0005-0000-0000-0000AF040000}"/>
    <cellStyle name="_PercentSpace_PH" xfId="1358" xr:uid="{00000000-0005-0000-0000-0000B0040000}"/>
    <cellStyle name="_PercentSpace_Sheet1" xfId="1359" xr:uid="{00000000-0005-0000-0000-0000B1040000}"/>
    <cellStyle name="_PercentSpace_symcqtis" xfId="1360" xr:uid="{00000000-0005-0000-0000-0000B2040000}"/>
    <cellStyle name="_PercentSpace_Utility" xfId="1361" xr:uid="{00000000-0005-0000-0000-0000B3040000}"/>
    <cellStyle name="_PercentSpace_WFT published 1-30-07 Client version (2)" xfId="1362" xr:uid="{00000000-0005-0000-0000-0000B4040000}"/>
    <cellStyle name="_PercentSpace_WFT published 1-30-07 Client version (2) 2" xfId="1363" xr:uid="{00000000-0005-0000-0000-0000B5040000}"/>
    <cellStyle name="_SubHeading" xfId="212" xr:uid="{00000000-0005-0000-0000-0000B6040000}"/>
    <cellStyle name="_SubHeading 2" xfId="1365" xr:uid="{00000000-0005-0000-0000-0000B7040000}"/>
    <cellStyle name="_SubHeading 3" xfId="1366" xr:uid="{00000000-0005-0000-0000-0000B8040000}"/>
    <cellStyle name="_SubHeading 4" xfId="1364" xr:uid="{00000000-0005-0000-0000-0000B9040000}"/>
    <cellStyle name="_SubHeading_Ability to Pay Analysis" xfId="213" xr:uid="{00000000-0005-0000-0000-0000BA040000}"/>
    <cellStyle name="_SubHeading_AG" xfId="1367" xr:uid="{00000000-0005-0000-0000-0000BB040000}"/>
    <cellStyle name="_SubHeading_BankUnited Model" xfId="214" xr:uid="{00000000-0005-0000-0000-0000BC040000}"/>
    <cellStyle name="_SubHeading_BLS" xfId="1368" xr:uid="{00000000-0005-0000-0000-0000BD040000}"/>
    <cellStyle name="_SubHeading_BLS 2" xfId="1369" xr:uid="{00000000-0005-0000-0000-0000BE040000}"/>
    <cellStyle name="_SubHeading_bls roic" xfId="1370" xr:uid="{00000000-0005-0000-0000-0000BF040000}"/>
    <cellStyle name="_SubHeading_BLS_MLP Val-Client-10_02_06" xfId="1371" xr:uid="{00000000-0005-0000-0000-0000C0040000}"/>
    <cellStyle name="_SubHeading_Book9" xfId="1372" xr:uid="{00000000-0005-0000-0000-0000C1040000}"/>
    <cellStyle name="_SubHeading_Book9 2" xfId="1373" xr:uid="{00000000-0005-0000-0000-0000C2040000}"/>
    <cellStyle name="_SubHeading_Book9_MLP Val-Client-10_02_06" xfId="1374" xr:uid="{00000000-0005-0000-0000-0000C3040000}"/>
    <cellStyle name="_SubHeading_Broadband Comps" xfId="1375" xr:uid="{00000000-0005-0000-0000-0000C4040000}"/>
    <cellStyle name="_SubHeading_Broadband Comps 2" xfId="1376" xr:uid="{00000000-0005-0000-0000-0000C5040000}"/>
    <cellStyle name="_SubHeading_Broadband Comps_MLP Val-Client-10_02_06" xfId="1377" xr:uid="{00000000-0005-0000-0000-0000C6040000}"/>
    <cellStyle name="_SubHeading_capital expenditures 6-18-02" xfId="1378" xr:uid="{00000000-0005-0000-0000-0000C7040000}"/>
    <cellStyle name="_SubHeading_CAT" xfId="1379" xr:uid="{00000000-0005-0000-0000-0000C8040000}"/>
    <cellStyle name="_SubHeading_CNH" xfId="1380" xr:uid="{00000000-0005-0000-0000-0000C9040000}"/>
    <cellStyle name="_SubHeading_Commtech" xfId="1381" xr:uid="{00000000-0005-0000-0000-0000CA040000}"/>
    <cellStyle name="_SubHeading_CTCO" xfId="1382" xr:uid="{00000000-0005-0000-0000-0000CB040000}"/>
    <cellStyle name="_SubHeading_CTCO 2" xfId="1383" xr:uid="{00000000-0005-0000-0000-0000CC040000}"/>
    <cellStyle name="_SubHeading_CTCO_MLP Val-Client-10_02_06" xfId="1384" xr:uid="{00000000-0005-0000-0000-0000CD040000}"/>
    <cellStyle name="_SubHeading_DE-working" xfId="1385" xr:uid="{00000000-0005-0000-0000-0000CE040000}"/>
    <cellStyle name="_SubHeading_DOV" xfId="1386" xr:uid="{00000000-0005-0000-0000-0000CF040000}"/>
    <cellStyle name="_SubHeading_ETN" xfId="1387" xr:uid="{00000000-0005-0000-0000-0000D0040000}"/>
    <cellStyle name="_SubHeading_fmbi counties" xfId="215" xr:uid="{00000000-0005-0000-0000-0000D1040000}"/>
    <cellStyle name="_SubHeading_FMBI MBHI Graphs" xfId="216" xr:uid="{00000000-0005-0000-0000-0000D2040000}"/>
    <cellStyle name="_SubHeading_FMBI MBHI Graphs 07102001" xfId="217" xr:uid="{00000000-0005-0000-0000-0000D3040000}"/>
    <cellStyle name="_SubHeading_FMBI MBHI Graphs_7601" xfId="218" xr:uid="{00000000-0005-0000-0000-0000D4040000}"/>
    <cellStyle name="_SubHeading_FSS" xfId="1388" xr:uid="{00000000-0005-0000-0000-0000D5040000}"/>
    <cellStyle name="_SubHeading_JOYG" xfId="1389" xr:uid="{00000000-0005-0000-0000-0000D6040000}"/>
    <cellStyle name="_SubHeading_Kent" xfId="1390" xr:uid="{00000000-0005-0000-0000-0000D7040000}"/>
    <cellStyle name="_SubHeading_MLM" xfId="1391" xr:uid="{00000000-0005-0000-0000-0000D8040000}"/>
    <cellStyle name="_SubHeading_NAV" xfId="1392" xr:uid="{00000000-0005-0000-0000-0000D9040000}"/>
    <cellStyle name="_SubHeading_OSK" xfId="1393" xr:uid="{00000000-0005-0000-0000-0000DA040000}"/>
    <cellStyle name="_SubHeading_PCAR" xfId="1394" xr:uid="{00000000-0005-0000-0000-0000DB040000}"/>
    <cellStyle name="_SubHeading_PH" xfId="1395" xr:uid="{00000000-0005-0000-0000-0000DC040000}"/>
    <cellStyle name="_SubHeading_prestemp" xfId="219" xr:uid="{00000000-0005-0000-0000-0000DD040000}"/>
    <cellStyle name="_SubHeading_prestemp_Insurance Brokerage CSC_1Q2002" xfId="220" xr:uid="{00000000-0005-0000-0000-0000DE040000}"/>
    <cellStyle name="_SubHeading_prestemp_Overview3" xfId="221" xr:uid="{00000000-0005-0000-0000-0000DF040000}"/>
    <cellStyle name="_SubHeading_prestemp_Updated Valuation Changes" xfId="222" xr:uid="{00000000-0005-0000-0000-0000E0040000}"/>
    <cellStyle name="_SubHeading_Q" xfId="1396" xr:uid="{00000000-0005-0000-0000-0000E1040000}"/>
    <cellStyle name="_SubHeading_q - new guidance" xfId="1397" xr:uid="{00000000-0005-0000-0000-0000E2040000}"/>
    <cellStyle name="_SubHeading_q - new guidance 2" xfId="1398" xr:uid="{00000000-0005-0000-0000-0000E3040000}"/>
    <cellStyle name="_SubHeading_q - new guidance_MLP Val-Client-10_02_06" xfId="1399" xr:uid="{00000000-0005-0000-0000-0000E4040000}"/>
    <cellStyle name="_SubHeading_q - valuation" xfId="1400" xr:uid="{00000000-0005-0000-0000-0000E5040000}"/>
    <cellStyle name="_SubHeading_q - valuation 2" xfId="1401" xr:uid="{00000000-0005-0000-0000-0000E6040000}"/>
    <cellStyle name="_SubHeading_q - valuation_MLP Val-Client-10_02_06" xfId="1402" xr:uid="{00000000-0005-0000-0000-0000E7040000}"/>
    <cellStyle name="_SubHeading_Q 2" xfId="1403" xr:uid="{00000000-0005-0000-0000-0000E8040000}"/>
    <cellStyle name="_SubHeading_Q model_041802" xfId="1404" xr:uid="{00000000-0005-0000-0000-0000E9040000}"/>
    <cellStyle name="_SubHeading_Q model_041802 2" xfId="1405" xr:uid="{00000000-0005-0000-0000-0000EA040000}"/>
    <cellStyle name="_SubHeading_Q model_041802_MLP Val-Client-10_02_06" xfId="1406" xr:uid="{00000000-0005-0000-0000-0000EB040000}"/>
    <cellStyle name="_SubHeading_Q_MLP Val-Client-10_02_06" xfId="1407" xr:uid="{00000000-0005-0000-0000-0000EC040000}"/>
    <cellStyle name="_SubHeading_Q_update" xfId="1408" xr:uid="{00000000-0005-0000-0000-0000ED040000}"/>
    <cellStyle name="_SubHeading_Q_update 2" xfId="1409" xr:uid="{00000000-0005-0000-0000-0000EE040000}"/>
    <cellStyle name="_SubHeading_Q_update_MLP Val-Client-10_02_06" xfId="1410" xr:uid="{00000000-0005-0000-0000-0000EF040000}"/>
    <cellStyle name="_SubHeading_Qwest Analysis" xfId="1411" xr:uid="{00000000-0005-0000-0000-0000F0040000}"/>
    <cellStyle name="_SubHeading_Qwest Analysis 2" xfId="1412" xr:uid="{00000000-0005-0000-0000-0000F1040000}"/>
    <cellStyle name="_SubHeading_Qwest Analysis_MLP Val-Client-10_02_06" xfId="1413" xr:uid="{00000000-0005-0000-0000-0000F2040000}"/>
    <cellStyle name="_SubHeading_RBOC historicals" xfId="1414" xr:uid="{00000000-0005-0000-0000-0000F3040000}"/>
    <cellStyle name="_SubHeading_Sheet1" xfId="1415" xr:uid="{00000000-0005-0000-0000-0000F4040000}"/>
    <cellStyle name="_SubHeading_T - new" xfId="1416" xr:uid="{00000000-0005-0000-0000-0000F5040000}"/>
    <cellStyle name="_SubHeading_Valuation vals" xfId="1417" xr:uid="{00000000-0005-0000-0000-0000F6040000}"/>
    <cellStyle name="_SubHeading_VZ" xfId="1418" xr:uid="{00000000-0005-0000-0000-0000F7040000}"/>
    <cellStyle name="_SubHeading_VZ 2" xfId="1419" xr:uid="{00000000-0005-0000-0000-0000F8040000}"/>
    <cellStyle name="_SubHeading_VZ_MLP Val-Client-10_02_06" xfId="1420" xr:uid="{00000000-0005-0000-0000-0000F9040000}"/>
    <cellStyle name="_SubHeading_xratio - historical mkt val" xfId="223" xr:uid="{00000000-0005-0000-0000-0000FA040000}"/>
    <cellStyle name="_Table" xfId="224" xr:uid="{00000000-0005-0000-0000-0000FB040000}"/>
    <cellStyle name="_Table 2" xfId="1422" xr:uid="{00000000-0005-0000-0000-0000FC040000}"/>
    <cellStyle name="_Table 3" xfId="1423" xr:uid="{00000000-0005-0000-0000-0000FD040000}"/>
    <cellStyle name="_Table 4" xfId="1421" xr:uid="{00000000-0005-0000-0000-0000FE040000}"/>
    <cellStyle name="_Table_Ability to Pay Analysis" xfId="225" xr:uid="{00000000-0005-0000-0000-0000FF040000}"/>
    <cellStyle name="_Table_AG" xfId="1424" xr:uid="{00000000-0005-0000-0000-000000050000}"/>
    <cellStyle name="_Table_BankUnited Model" xfId="226" xr:uid="{00000000-0005-0000-0000-000001050000}"/>
    <cellStyle name="_Table_BankUnited Model 2" xfId="3204" xr:uid="{00000000-0005-0000-0000-000002050000}"/>
    <cellStyle name="_Table_BLS" xfId="1425" xr:uid="{00000000-0005-0000-0000-000003050000}"/>
    <cellStyle name="_Table_BLS 2" xfId="1426" xr:uid="{00000000-0005-0000-0000-000004050000}"/>
    <cellStyle name="_Table_bls roic" xfId="1427" xr:uid="{00000000-0005-0000-0000-000005050000}"/>
    <cellStyle name="_Table_BLS_MLP Val-Client-10_02_06" xfId="1428" xr:uid="{00000000-0005-0000-0000-000006050000}"/>
    <cellStyle name="_Table_Book9" xfId="1429" xr:uid="{00000000-0005-0000-0000-000007050000}"/>
    <cellStyle name="_Table_Book9 2" xfId="1430" xr:uid="{00000000-0005-0000-0000-000008050000}"/>
    <cellStyle name="_Table_Book9_MLP Val-Client-10_02_06" xfId="1431" xr:uid="{00000000-0005-0000-0000-000009050000}"/>
    <cellStyle name="_Table_Broadband Comps" xfId="1432" xr:uid="{00000000-0005-0000-0000-00000A050000}"/>
    <cellStyle name="_Table_Broadband Comps 2" xfId="1433" xr:uid="{00000000-0005-0000-0000-00000B050000}"/>
    <cellStyle name="_Table_Broadband Comps_MLP Val-Client-10_02_06" xfId="1434" xr:uid="{00000000-0005-0000-0000-00000C050000}"/>
    <cellStyle name="_Table_capital expenditures 6-18-02" xfId="1435" xr:uid="{00000000-0005-0000-0000-00000D050000}"/>
    <cellStyle name="_Table_CAT" xfId="1436" xr:uid="{00000000-0005-0000-0000-00000E050000}"/>
    <cellStyle name="_Table_CNH" xfId="1437" xr:uid="{00000000-0005-0000-0000-00000F050000}"/>
    <cellStyle name="_Table_Commtech" xfId="1438" xr:uid="{00000000-0005-0000-0000-000010050000}"/>
    <cellStyle name="_Table_CTCO" xfId="1439" xr:uid="{00000000-0005-0000-0000-000011050000}"/>
    <cellStyle name="_Table_CTCO 2" xfId="1440" xr:uid="{00000000-0005-0000-0000-000012050000}"/>
    <cellStyle name="_Table_CTCO_MLP Val-Client-10_02_06" xfId="1441" xr:uid="{00000000-0005-0000-0000-000013050000}"/>
    <cellStyle name="_Table_DE-working" xfId="1442" xr:uid="{00000000-0005-0000-0000-000014050000}"/>
    <cellStyle name="_Table_DOV" xfId="1443" xr:uid="{00000000-0005-0000-0000-000015050000}"/>
    <cellStyle name="_Table_ETN" xfId="1444" xr:uid="{00000000-0005-0000-0000-000016050000}"/>
    <cellStyle name="_Table_fmbi counties" xfId="227" xr:uid="{00000000-0005-0000-0000-000017050000}"/>
    <cellStyle name="_Table_FSS" xfId="1445" xr:uid="{00000000-0005-0000-0000-000018050000}"/>
    <cellStyle name="_Table_JOYG" xfId="1446" xr:uid="{00000000-0005-0000-0000-000019050000}"/>
    <cellStyle name="_Table_Kent" xfId="1447" xr:uid="{00000000-0005-0000-0000-00001A050000}"/>
    <cellStyle name="_Table_MLM" xfId="1448" xr:uid="{00000000-0005-0000-0000-00001B050000}"/>
    <cellStyle name="_Table_NAV" xfId="1449" xr:uid="{00000000-0005-0000-0000-00001C050000}"/>
    <cellStyle name="_Table_OSK" xfId="1450" xr:uid="{00000000-0005-0000-0000-00001D050000}"/>
    <cellStyle name="_Table_PCAR" xfId="1451" xr:uid="{00000000-0005-0000-0000-00001E050000}"/>
    <cellStyle name="_Table_PH" xfId="1452" xr:uid="{00000000-0005-0000-0000-00001F050000}"/>
    <cellStyle name="_Table_Q" xfId="1453" xr:uid="{00000000-0005-0000-0000-000020050000}"/>
    <cellStyle name="_Table_q - new guidance" xfId="1454" xr:uid="{00000000-0005-0000-0000-000021050000}"/>
    <cellStyle name="_Table_q - new guidance 2" xfId="1455" xr:uid="{00000000-0005-0000-0000-000022050000}"/>
    <cellStyle name="_Table_q - new guidance_MLP Val-Client-10_02_06" xfId="1456" xr:uid="{00000000-0005-0000-0000-000023050000}"/>
    <cellStyle name="_Table_q - valuation" xfId="1457" xr:uid="{00000000-0005-0000-0000-000024050000}"/>
    <cellStyle name="_Table_q - valuation 2" xfId="1458" xr:uid="{00000000-0005-0000-0000-000025050000}"/>
    <cellStyle name="_Table_q - valuation_MLP Val-Client-10_02_06" xfId="1459" xr:uid="{00000000-0005-0000-0000-000026050000}"/>
    <cellStyle name="_Table_Q 2" xfId="1460" xr:uid="{00000000-0005-0000-0000-000027050000}"/>
    <cellStyle name="_Table_Q model_041802" xfId="1461" xr:uid="{00000000-0005-0000-0000-000028050000}"/>
    <cellStyle name="_Table_Q model_041802 2" xfId="1462" xr:uid="{00000000-0005-0000-0000-000029050000}"/>
    <cellStyle name="_Table_Q model_041802_MLP Val-Client-10_02_06" xfId="1463" xr:uid="{00000000-0005-0000-0000-00002A050000}"/>
    <cellStyle name="_Table_Q_MLP Val-Client-10_02_06" xfId="1464" xr:uid="{00000000-0005-0000-0000-00002B050000}"/>
    <cellStyle name="_Table_Q_update" xfId="1465" xr:uid="{00000000-0005-0000-0000-00002C050000}"/>
    <cellStyle name="_Table_Q_update 2" xfId="1466" xr:uid="{00000000-0005-0000-0000-00002D050000}"/>
    <cellStyle name="_Table_Q_update_MLP Val-Client-10_02_06" xfId="1467" xr:uid="{00000000-0005-0000-0000-00002E050000}"/>
    <cellStyle name="_Table_Qwest Analysis" xfId="1468" xr:uid="{00000000-0005-0000-0000-00002F050000}"/>
    <cellStyle name="_Table_Qwest Analysis 2" xfId="1469" xr:uid="{00000000-0005-0000-0000-000030050000}"/>
    <cellStyle name="_Table_Qwest Analysis_MLP Val-Client-10_02_06" xfId="1470" xr:uid="{00000000-0005-0000-0000-000031050000}"/>
    <cellStyle name="_Table_RBOC historicals" xfId="1471" xr:uid="{00000000-0005-0000-0000-000032050000}"/>
    <cellStyle name="_Table_Sheet1" xfId="1472" xr:uid="{00000000-0005-0000-0000-000033050000}"/>
    <cellStyle name="_Table_T - new" xfId="1473" xr:uid="{00000000-0005-0000-0000-000034050000}"/>
    <cellStyle name="_Table_Valuation vals" xfId="1474" xr:uid="{00000000-0005-0000-0000-000035050000}"/>
    <cellStyle name="_Table_VZ" xfId="1475" xr:uid="{00000000-0005-0000-0000-000036050000}"/>
    <cellStyle name="_Table_VZ 2" xfId="1476" xr:uid="{00000000-0005-0000-0000-000037050000}"/>
    <cellStyle name="_Table_VZ_MLP Val-Client-10_02_06" xfId="1477" xr:uid="{00000000-0005-0000-0000-000038050000}"/>
    <cellStyle name="_Table_xratio - historical mkt val" xfId="228" xr:uid="{00000000-0005-0000-0000-000039050000}"/>
    <cellStyle name="_TableHead" xfId="229" xr:uid="{00000000-0005-0000-0000-00003A050000}"/>
    <cellStyle name="_TableHead 2" xfId="1479" xr:uid="{00000000-0005-0000-0000-00003B050000}"/>
    <cellStyle name="_TableHead 3" xfId="1480" xr:uid="{00000000-0005-0000-0000-00003C050000}"/>
    <cellStyle name="_TableHead 4" xfId="1478" xr:uid="{00000000-0005-0000-0000-00003D050000}"/>
    <cellStyle name="_TableHead_AG" xfId="1481" xr:uid="{00000000-0005-0000-0000-00003E050000}"/>
    <cellStyle name="_TableHead_BLS" xfId="1482" xr:uid="{00000000-0005-0000-0000-00003F050000}"/>
    <cellStyle name="_TableHead_BLS 2" xfId="1483" xr:uid="{00000000-0005-0000-0000-000040050000}"/>
    <cellStyle name="_TableHead_bls roic" xfId="1484" xr:uid="{00000000-0005-0000-0000-000041050000}"/>
    <cellStyle name="_TableHead_BLS_MLP Val-Client-10_02_06" xfId="1485" xr:uid="{00000000-0005-0000-0000-000042050000}"/>
    <cellStyle name="_TableHead_Book9" xfId="1486" xr:uid="{00000000-0005-0000-0000-000043050000}"/>
    <cellStyle name="_TableHead_Book9 2" xfId="1487" xr:uid="{00000000-0005-0000-0000-000044050000}"/>
    <cellStyle name="_TableHead_Book9_MLP Val-Client-10_02_06" xfId="1488" xr:uid="{00000000-0005-0000-0000-000045050000}"/>
    <cellStyle name="_TableHead_Broadband Comps" xfId="1489" xr:uid="{00000000-0005-0000-0000-000046050000}"/>
    <cellStyle name="_TableHead_Broadband Comps 2" xfId="1490" xr:uid="{00000000-0005-0000-0000-000047050000}"/>
    <cellStyle name="_TableHead_Broadband Comps_MLP Val-Client-10_02_06" xfId="1491" xr:uid="{00000000-0005-0000-0000-000048050000}"/>
    <cellStyle name="_TableHead_capital expenditures 6-18-02" xfId="1492" xr:uid="{00000000-0005-0000-0000-000049050000}"/>
    <cellStyle name="_TableHead_CAT" xfId="1493" xr:uid="{00000000-0005-0000-0000-00004A050000}"/>
    <cellStyle name="_TableHead_CNH" xfId="1494" xr:uid="{00000000-0005-0000-0000-00004B050000}"/>
    <cellStyle name="_TableHead_Commtech" xfId="1495" xr:uid="{00000000-0005-0000-0000-00004C050000}"/>
    <cellStyle name="_TableHead_CTCO" xfId="1496" xr:uid="{00000000-0005-0000-0000-00004D050000}"/>
    <cellStyle name="_TableHead_CTCO 2" xfId="1497" xr:uid="{00000000-0005-0000-0000-00004E050000}"/>
    <cellStyle name="_TableHead_CTCO_MLP Val-Client-10_02_06" xfId="1498" xr:uid="{00000000-0005-0000-0000-00004F050000}"/>
    <cellStyle name="_TableHead_DE-working" xfId="1499" xr:uid="{00000000-0005-0000-0000-000050050000}"/>
    <cellStyle name="_TableHead_DOV" xfId="1500" xr:uid="{00000000-0005-0000-0000-000051050000}"/>
    <cellStyle name="_TableHead_ETN" xfId="1501" xr:uid="{00000000-0005-0000-0000-000052050000}"/>
    <cellStyle name="_TableHead_FSS" xfId="1502" xr:uid="{00000000-0005-0000-0000-000053050000}"/>
    <cellStyle name="_TableHead_JOYG" xfId="1503" xr:uid="{00000000-0005-0000-0000-000054050000}"/>
    <cellStyle name="_TableHead_Kent" xfId="1504" xr:uid="{00000000-0005-0000-0000-000055050000}"/>
    <cellStyle name="_TableHead_MLM" xfId="1505" xr:uid="{00000000-0005-0000-0000-000056050000}"/>
    <cellStyle name="_TableHead_NAV" xfId="1506" xr:uid="{00000000-0005-0000-0000-000057050000}"/>
    <cellStyle name="_TableHead_OSK" xfId="1507" xr:uid="{00000000-0005-0000-0000-000058050000}"/>
    <cellStyle name="_TableHead_PCAR" xfId="1508" xr:uid="{00000000-0005-0000-0000-000059050000}"/>
    <cellStyle name="_TableHead_PH" xfId="1509" xr:uid="{00000000-0005-0000-0000-00005A050000}"/>
    <cellStyle name="_TableHead_Q" xfId="1510" xr:uid="{00000000-0005-0000-0000-00005B050000}"/>
    <cellStyle name="_TableHead_q - new guidance" xfId="1511" xr:uid="{00000000-0005-0000-0000-00005C050000}"/>
    <cellStyle name="_TableHead_q - new guidance 2" xfId="1512" xr:uid="{00000000-0005-0000-0000-00005D050000}"/>
    <cellStyle name="_TableHead_q - new guidance_MLP Val-Client-10_02_06" xfId="1513" xr:uid="{00000000-0005-0000-0000-00005E050000}"/>
    <cellStyle name="_TableHead_q - valuation" xfId="1514" xr:uid="{00000000-0005-0000-0000-00005F050000}"/>
    <cellStyle name="_TableHead_q - valuation 2" xfId="1515" xr:uid="{00000000-0005-0000-0000-000060050000}"/>
    <cellStyle name="_TableHead_q - valuation_MLP Val-Client-10_02_06" xfId="1516" xr:uid="{00000000-0005-0000-0000-000061050000}"/>
    <cellStyle name="_TableHead_Q 2" xfId="1517" xr:uid="{00000000-0005-0000-0000-000062050000}"/>
    <cellStyle name="_TableHead_Q model_041802" xfId="1518" xr:uid="{00000000-0005-0000-0000-000063050000}"/>
    <cellStyle name="_TableHead_Q model_041802 2" xfId="1519" xr:uid="{00000000-0005-0000-0000-000064050000}"/>
    <cellStyle name="_TableHead_Q model_041802_MLP Val-Client-10_02_06" xfId="1520" xr:uid="{00000000-0005-0000-0000-000065050000}"/>
    <cellStyle name="_TableHead_Q_MLP Val-Client-10_02_06" xfId="1521" xr:uid="{00000000-0005-0000-0000-000066050000}"/>
    <cellStyle name="_TableHead_Q_update" xfId="1522" xr:uid="{00000000-0005-0000-0000-000067050000}"/>
    <cellStyle name="_TableHead_Q_update 2" xfId="1523" xr:uid="{00000000-0005-0000-0000-000068050000}"/>
    <cellStyle name="_TableHead_Q_update_MLP Val-Client-10_02_06" xfId="1524" xr:uid="{00000000-0005-0000-0000-000069050000}"/>
    <cellStyle name="_TableHead_QP_XXX" xfId="1525" xr:uid="{00000000-0005-0000-0000-00006A050000}"/>
    <cellStyle name="_TableHead_Qwest Analysis" xfId="1526" xr:uid="{00000000-0005-0000-0000-00006B050000}"/>
    <cellStyle name="_TableHead_Qwest Analysis 2" xfId="1527" xr:uid="{00000000-0005-0000-0000-00006C050000}"/>
    <cellStyle name="_TableHead_Qwest Analysis_MLP Val-Client-10_02_06" xfId="1528" xr:uid="{00000000-0005-0000-0000-00006D050000}"/>
    <cellStyle name="_TableHead_RBOC historicals" xfId="1529" xr:uid="{00000000-0005-0000-0000-00006E050000}"/>
    <cellStyle name="_TableHead_Sheet1" xfId="1530" xr:uid="{00000000-0005-0000-0000-00006F050000}"/>
    <cellStyle name="_TableHead_T - new" xfId="1531" xr:uid="{00000000-0005-0000-0000-000070050000}"/>
    <cellStyle name="_TableHead_Valuation vals" xfId="1532" xr:uid="{00000000-0005-0000-0000-000071050000}"/>
    <cellStyle name="_TableHead_VZ" xfId="1533" xr:uid="{00000000-0005-0000-0000-000072050000}"/>
    <cellStyle name="_TableHead_VZ 2" xfId="1534" xr:uid="{00000000-0005-0000-0000-000073050000}"/>
    <cellStyle name="_TableHead_VZ_MLP Val-Client-10_02_06" xfId="1535" xr:uid="{00000000-0005-0000-0000-000074050000}"/>
    <cellStyle name="_TableHeading" xfId="1536" xr:uid="{00000000-0005-0000-0000-000075050000}"/>
    <cellStyle name="_TableRowBorder" xfId="1537" xr:uid="{00000000-0005-0000-0000-000076050000}"/>
    <cellStyle name="_TableRowBorder 2" xfId="1538" xr:uid="{00000000-0005-0000-0000-000077050000}"/>
    <cellStyle name="_TableRowHead" xfId="230" xr:uid="{00000000-0005-0000-0000-000078050000}"/>
    <cellStyle name="_TableRowHead 2" xfId="1540" xr:uid="{00000000-0005-0000-0000-000079050000}"/>
    <cellStyle name="_TableRowHead 3" xfId="1541" xr:uid="{00000000-0005-0000-0000-00007A050000}"/>
    <cellStyle name="_TableRowHead 4" xfId="1539" xr:uid="{00000000-0005-0000-0000-00007B050000}"/>
    <cellStyle name="_TableRowHead_AG" xfId="1542" xr:uid="{00000000-0005-0000-0000-00007C050000}"/>
    <cellStyle name="_TableRowHead_BLS" xfId="1543" xr:uid="{00000000-0005-0000-0000-00007D050000}"/>
    <cellStyle name="_TableRowHead_BLS 2" xfId="1544" xr:uid="{00000000-0005-0000-0000-00007E050000}"/>
    <cellStyle name="_TableRowHead_bls roic" xfId="1545" xr:uid="{00000000-0005-0000-0000-00007F050000}"/>
    <cellStyle name="_TableRowHead_BLS_MLP Val-Client-10_02_06" xfId="1546" xr:uid="{00000000-0005-0000-0000-000080050000}"/>
    <cellStyle name="_TableRowHead_Book9" xfId="1547" xr:uid="{00000000-0005-0000-0000-000081050000}"/>
    <cellStyle name="_TableRowHead_Book9 2" xfId="1548" xr:uid="{00000000-0005-0000-0000-000082050000}"/>
    <cellStyle name="_TableRowHead_Book9_MLP Val-Client-10_02_06" xfId="1549" xr:uid="{00000000-0005-0000-0000-000083050000}"/>
    <cellStyle name="_TableRowHead_Broadband Comps" xfId="1550" xr:uid="{00000000-0005-0000-0000-000084050000}"/>
    <cellStyle name="_TableRowHead_Broadband Comps 2" xfId="1551" xr:uid="{00000000-0005-0000-0000-000085050000}"/>
    <cellStyle name="_TableRowHead_Broadband Comps_MLP Val-Client-10_02_06" xfId="1552" xr:uid="{00000000-0005-0000-0000-000086050000}"/>
    <cellStyle name="_TableRowHead_capital expenditures 6-18-02" xfId="1553" xr:uid="{00000000-0005-0000-0000-000087050000}"/>
    <cellStyle name="_TableRowHead_CAT" xfId="1554" xr:uid="{00000000-0005-0000-0000-000088050000}"/>
    <cellStyle name="_TableRowHead_CNH" xfId="1555" xr:uid="{00000000-0005-0000-0000-000089050000}"/>
    <cellStyle name="_TableRowHead_Commtech" xfId="1556" xr:uid="{00000000-0005-0000-0000-00008A050000}"/>
    <cellStyle name="_TableRowHead_CTCO" xfId="1557" xr:uid="{00000000-0005-0000-0000-00008B050000}"/>
    <cellStyle name="_TableRowHead_CTCO 2" xfId="1558" xr:uid="{00000000-0005-0000-0000-00008C050000}"/>
    <cellStyle name="_TableRowHead_CTCO_MLP Val-Client-10_02_06" xfId="1559" xr:uid="{00000000-0005-0000-0000-00008D050000}"/>
    <cellStyle name="_TableRowHead_DE-working" xfId="1560" xr:uid="{00000000-0005-0000-0000-00008E050000}"/>
    <cellStyle name="_TableRowHead_DOV" xfId="1561" xr:uid="{00000000-0005-0000-0000-00008F050000}"/>
    <cellStyle name="_TableRowHead_ETN" xfId="1562" xr:uid="{00000000-0005-0000-0000-000090050000}"/>
    <cellStyle name="_TableRowHead_JOYG" xfId="1563" xr:uid="{00000000-0005-0000-0000-000091050000}"/>
    <cellStyle name="_TableRowHead_Kent" xfId="1564" xr:uid="{00000000-0005-0000-0000-000092050000}"/>
    <cellStyle name="_TableRowHead_MLM" xfId="1565" xr:uid="{00000000-0005-0000-0000-000093050000}"/>
    <cellStyle name="_TableRowHead_NAV" xfId="1566" xr:uid="{00000000-0005-0000-0000-000094050000}"/>
    <cellStyle name="_TableRowHead_OSK" xfId="1567" xr:uid="{00000000-0005-0000-0000-000095050000}"/>
    <cellStyle name="_TableRowHead_PCAR" xfId="1568" xr:uid="{00000000-0005-0000-0000-000096050000}"/>
    <cellStyle name="_TableRowHead_PH" xfId="1569" xr:uid="{00000000-0005-0000-0000-000097050000}"/>
    <cellStyle name="_TableRowHead_Q" xfId="1570" xr:uid="{00000000-0005-0000-0000-000098050000}"/>
    <cellStyle name="_TableRowHead_q - new guidance" xfId="1571" xr:uid="{00000000-0005-0000-0000-000099050000}"/>
    <cellStyle name="_TableRowHead_q - new guidance 2" xfId="1572" xr:uid="{00000000-0005-0000-0000-00009A050000}"/>
    <cellStyle name="_TableRowHead_q - new guidance_MLP Val-Client-10_02_06" xfId="1573" xr:uid="{00000000-0005-0000-0000-00009B050000}"/>
    <cellStyle name="_TableRowHead_q - valuation" xfId="1574" xr:uid="{00000000-0005-0000-0000-00009C050000}"/>
    <cellStyle name="_TableRowHead_q - valuation 2" xfId="1575" xr:uid="{00000000-0005-0000-0000-00009D050000}"/>
    <cellStyle name="_TableRowHead_q - valuation_MLP Val-Client-10_02_06" xfId="1576" xr:uid="{00000000-0005-0000-0000-00009E050000}"/>
    <cellStyle name="_TableRowHead_Q 2" xfId="1577" xr:uid="{00000000-0005-0000-0000-00009F050000}"/>
    <cellStyle name="_TableRowHead_Q model_041802" xfId="1578" xr:uid="{00000000-0005-0000-0000-0000A0050000}"/>
    <cellStyle name="_TableRowHead_Q model_041802 2" xfId="1579" xr:uid="{00000000-0005-0000-0000-0000A1050000}"/>
    <cellStyle name="_TableRowHead_Q model_041802_MLP Val-Client-10_02_06" xfId="1580" xr:uid="{00000000-0005-0000-0000-0000A2050000}"/>
    <cellStyle name="_TableRowHead_Q_MLP Val-Client-10_02_06" xfId="1581" xr:uid="{00000000-0005-0000-0000-0000A3050000}"/>
    <cellStyle name="_TableRowHead_Q_update" xfId="1582" xr:uid="{00000000-0005-0000-0000-0000A4050000}"/>
    <cellStyle name="_TableRowHead_Q_update 2" xfId="1583" xr:uid="{00000000-0005-0000-0000-0000A5050000}"/>
    <cellStyle name="_TableRowHead_Q_update_MLP Val-Client-10_02_06" xfId="1584" xr:uid="{00000000-0005-0000-0000-0000A6050000}"/>
    <cellStyle name="_TableRowHead_QP_XXX" xfId="1585" xr:uid="{00000000-0005-0000-0000-0000A7050000}"/>
    <cellStyle name="_TableRowHead_Qwest Analysis" xfId="1586" xr:uid="{00000000-0005-0000-0000-0000A8050000}"/>
    <cellStyle name="_TableRowHead_Qwest Analysis 2" xfId="1587" xr:uid="{00000000-0005-0000-0000-0000A9050000}"/>
    <cellStyle name="_TableRowHead_Qwest Analysis_MLP Val-Client-10_02_06" xfId="1588" xr:uid="{00000000-0005-0000-0000-0000AA050000}"/>
    <cellStyle name="_TableRowHead_RBOC historicals" xfId="1589" xr:uid="{00000000-0005-0000-0000-0000AB050000}"/>
    <cellStyle name="_TableRowHead_Sheet1" xfId="1590" xr:uid="{00000000-0005-0000-0000-0000AC050000}"/>
    <cellStyle name="_TableRowHead_T - new" xfId="1591" xr:uid="{00000000-0005-0000-0000-0000AD050000}"/>
    <cellStyle name="_TableRowHead_Valuation vals" xfId="1592" xr:uid="{00000000-0005-0000-0000-0000AE050000}"/>
    <cellStyle name="_TableRowHead_VZ" xfId="1593" xr:uid="{00000000-0005-0000-0000-0000AF050000}"/>
    <cellStyle name="_TableRowHead_VZ 2" xfId="1594" xr:uid="{00000000-0005-0000-0000-0000B0050000}"/>
    <cellStyle name="_TableRowHead_VZ_MLP Val-Client-10_02_06" xfId="1595" xr:uid="{00000000-0005-0000-0000-0000B1050000}"/>
    <cellStyle name="_TableRowHeading" xfId="1596" xr:uid="{00000000-0005-0000-0000-0000B2050000}"/>
    <cellStyle name="_TableSuperHead" xfId="231" xr:uid="{00000000-0005-0000-0000-0000B3050000}"/>
    <cellStyle name="_TableSuperHead 2" xfId="1598" xr:uid="{00000000-0005-0000-0000-0000B4050000}"/>
    <cellStyle name="_TableSuperHead 3" xfId="1599" xr:uid="{00000000-0005-0000-0000-0000B5050000}"/>
    <cellStyle name="_TableSuperHead 4" xfId="1597" xr:uid="{00000000-0005-0000-0000-0000B6050000}"/>
    <cellStyle name="_TableSuperHead_Ability to Pay Analysis" xfId="232" xr:uid="{00000000-0005-0000-0000-0000B7050000}"/>
    <cellStyle name="_TableSuperHead_AG" xfId="1600" xr:uid="{00000000-0005-0000-0000-0000B8050000}"/>
    <cellStyle name="_TableSuperHead_BankUnited Model" xfId="233" xr:uid="{00000000-0005-0000-0000-0000B9050000}"/>
    <cellStyle name="_TableSuperHead_BLS" xfId="1601" xr:uid="{00000000-0005-0000-0000-0000BA050000}"/>
    <cellStyle name="_TableSuperHead_BLS 2" xfId="1602" xr:uid="{00000000-0005-0000-0000-0000BB050000}"/>
    <cellStyle name="_TableSuperHead_bls roic" xfId="1603" xr:uid="{00000000-0005-0000-0000-0000BC050000}"/>
    <cellStyle name="_TableSuperHead_BLS_MLP Val-Client-10_02_06" xfId="1604" xr:uid="{00000000-0005-0000-0000-0000BD050000}"/>
    <cellStyle name="_TableSuperHead_Book9" xfId="1605" xr:uid="{00000000-0005-0000-0000-0000BE050000}"/>
    <cellStyle name="_TableSuperHead_Book9 2" xfId="1606" xr:uid="{00000000-0005-0000-0000-0000BF050000}"/>
    <cellStyle name="_TableSuperHead_Book9_MLP Val-Client-10_02_06" xfId="1607" xr:uid="{00000000-0005-0000-0000-0000C0050000}"/>
    <cellStyle name="_TableSuperHead_Broadband Comps" xfId="1608" xr:uid="{00000000-0005-0000-0000-0000C1050000}"/>
    <cellStyle name="_TableSuperHead_Broadband Comps 2" xfId="1609" xr:uid="{00000000-0005-0000-0000-0000C2050000}"/>
    <cellStyle name="_TableSuperHead_Broadband Comps_MLP Val-Client-10_02_06" xfId="1610" xr:uid="{00000000-0005-0000-0000-0000C3050000}"/>
    <cellStyle name="_TableSuperHead_capital expenditures 6-18-02" xfId="1611" xr:uid="{00000000-0005-0000-0000-0000C4050000}"/>
    <cellStyle name="_TableSuperHead_CAT" xfId="1612" xr:uid="{00000000-0005-0000-0000-0000C5050000}"/>
    <cellStyle name="_TableSuperHead_CNH" xfId="1613" xr:uid="{00000000-0005-0000-0000-0000C6050000}"/>
    <cellStyle name="_TableSuperHead_Commtech" xfId="1614" xr:uid="{00000000-0005-0000-0000-0000C7050000}"/>
    <cellStyle name="_TableSuperHead_CTCO" xfId="1615" xr:uid="{00000000-0005-0000-0000-0000C8050000}"/>
    <cellStyle name="_TableSuperHead_CTCO 2" xfId="1616" xr:uid="{00000000-0005-0000-0000-0000C9050000}"/>
    <cellStyle name="_TableSuperHead_CTCO_MLP Val-Client-10_02_06" xfId="1617" xr:uid="{00000000-0005-0000-0000-0000CA050000}"/>
    <cellStyle name="_TableSuperHead_DE-working" xfId="1618" xr:uid="{00000000-0005-0000-0000-0000CB050000}"/>
    <cellStyle name="_TableSuperHead_DOV" xfId="1619" xr:uid="{00000000-0005-0000-0000-0000CC050000}"/>
    <cellStyle name="_TableSuperHead_ETN" xfId="1620" xr:uid="{00000000-0005-0000-0000-0000CD050000}"/>
    <cellStyle name="_TableSuperHead_fmbi counties" xfId="234" xr:uid="{00000000-0005-0000-0000-0000CE050000}"/>
    <cellStyle name="_TableSuperHead_JOYG" xfId="1621" xr:uid="{00000000-0005-0000-0000-0000CF050000}"/>
    <cellStyle name="_TableSuperHead_Kent" xfId="1622" xr:uid="{00000000-0005-0000-0000-0000D0050000}"/>
    <cellStyle name="_TableSuperHead_MLM" xfId="1623" xr:uid="{00000000-0005-0000-0000-0000D1050000}"/>
    <cellStyle name="_TableSuperHead_NAV" xfId="1624" xr:uid="{00000000-0005-0000-0000-0000D2050000}"/>
    <cellStyle name="_TableSuperHead_OSK" xfId="1625" xr:uid="{00000000-0005-0000-0000-0000D3050000}"/>
    <cellStyle name="_TableSuperHead_PCAR" xfId="1626" xr:uid="{00000000-0005-0000-0000-0000D4050000}"/>
    <cellStyle name="_TableSuperHead_PH" xfId="1627" xr:uid="{00000000-0005-0000-0000-0000D5050000}"/>
    <cellStyle name="_TableSuperHead_Q" xfId="1628" xr:uid="{00000000-0005-0000-0000-0000D6050000}"/>
    <cellStyle name="_TableSuperHead_q - new guidance" xfId="1629" xr:uid="{00000000-0005-0000-0000-0000D7050000}"/>
    <cellStyle name="_TableSuperHead_q - new guidance 2" xfId="1630" xr:uid="{00000000-0005-0000-0000-0000D8050000}"/>
    <cellStyle name="_TableSuperHead_q - new guidance_MLP Val-Client-10_02_06" xfId="1631" xr:uid="{00000000-0005-0000-0000-0000D9050000}"/>
    <cellStyle name="_TableSuperHead_q - valuation" xfId="1632" xr:uid="{00000000-0005-0000-0000-0000DA050000}"/>
    <cellStyle name="_TableSuperHead_q - valuation 2" xfId="1633" xr:uid="{00000000-0005-0000-0000-0000DB050000}"/>
    <cellStyle name="_TableSuperHead_q - valuation_MLP Val-Client-10_02_06" xfId="1634" xr:uid="{00000000-0005-0000-0000-0000DC050000}"/>
    <cellStyle name="_TableSuperHead_Q 2" xfId="1635" xr:uid="{00000000-0005-0000-0000-0000DD050000}"/>
    <cellStyle name="_TableSuperHead_Q model_041802" xfId="1636" xr:uid="{00000000-0005-0000-0000-0000DE050000}"/>
    <cellStyle name="_TableSuperHead_Q model_041802 2" xfId="1637" xr:uid="{00000000-0005-0000-0000-0000DF050000}"/>
    <cellStyle name="_TableSuperHead_Q model_041802_MLP Val-Client-10_02_06" xfId="1638" xr:uid="{00000000-0005-0000-0000-0000E0050000}"/>
    <cellStyle name="_TableSuperHead_Q_MLP Val-Client-10_02_06" xfId="1639" xr:uid="{00000000-0005-0000-0000-0000E1050000}"/>
    <cellStyle name="_TableSuperHead_Q_update" xfId="1640" xr:uid="{00000000-0005-0000-0000-0000E2050000}"/>
    <cellStyle name="_TableSuperHead_Q_update 2" xfId="1641" xr:uid="{00000000-0005-0000-0000-0000E3050000}"/>
    <cellStyle name="_TableSuperHead_Q_update_MLP Val-Client-10_02_06" xfId="1642" xr:uid="{00000000-0005-0000-0000-0000E4050000}"/>
    <cellStyle name="_TableSuperHead_Qwest Analysis" xfId="1643" xr:uid="{00000000-0005-0000-0000-0000E5050000}"/>
    <cellStyle name="_TableSuperHead_Qwest Analysis 2" xfId="1644" xr:uid="{00000000-0005-0000-0000-0000E6050000}"/>
    <cellStyle name="_TableSuperHead_Qwest Analysis_MLP Val-Client-10_02_06" xfId="1645" xr:uid="{00000000-0005-0000-0000-0000E7050000}"/>
    <cellStyle name="_TableSuperHead_RBOC historicals" xfId="1646" xr:uid="{00000000-0005-0000-0000-0000E8050000}"/>
    <cellStyle name="_TableSuperHead_Sheet1" xfId="1647" xr:uid="{00000000-0005-0000-0000-0000E9050000}"/>
    <cellStyle name="_TableSuperHead_T - new" xfId="1648" xr:uid="{00000000-0005-0000-0000-0000EA050000}"/>
    <cellStyle name="_TableSuperHead_Valuation vals" xfId="1649" xr:uid="{00000000-0005-0000-0000-0000EB050000}"/>
    <cellStyle name="_TableSuperHead_VZ" xfId="1650" xr:uid="{00000000-0005-0000-0000-0000EC050000}"/>
    <cellStyle name="_TableSuperHead_VZ 2" xfId="1651" xr:uid="{00000000-0005-0000-0000-0000ED050000}"/>
    <cellStyle name="_TableSuperHead_VZ_MLP Val-Client-10_02_06" xfId="1652" xr:uid="{00000000-0005-0000-0000-0000EE050000}"/>
    <cellStyle name="_TableSuperHead_xratio - historical mkt val" xfId="235" xr:uid="{00000000-0005-0000-0000-0000EF050000}"/>
    <cellStyle name="_TableSuperHeading" xfId="1653" xr:uid="{00000000-0005-0000-0000-0000F0050000}"/>
    <cellStyle name="_TableText" xfId="1654" xr:uid="{00000000-0005-0000-0000-0000F1050000}"/>
    <cellStyle name="£3places" xfId="1655" xr:uid="{00000000-0005-0000-0000-0000F2050000}"/>
    <cellStyle name="£3places 2" xfId="1656" xr:uid="{00000000-0005-0000-0000-0000F3050000}"/>
    <cellStyle name="£3places 3" xfId="1657" xr:uid="{00000000-0005-0000-0000-0000F4050000}"/>
    <cellStyle name="£3places_PNR working 21" xfId="1658" xr:uid="{00000000-0005-0000-0000-0000F5050000}"/>
    <cellStyle name="0%" xfId="1659" xr:uid="{00000000-0005-0000-0000-0000F6050000}"/>
    <cellStyle name="0.0" xfId="1660" xr:uid="{00000000-0005-0000-0000-0000F7050000}"/>
    <cellStyle name="0.0 2" xfId="1661" xr:uid="{00000000-0005-0000-0000-0000F8050000}"/>
    <cellStyle name="0.0%" xfId="1662" xr:uid="{00000000-0005-0000-0000-0000F9050000}"/>
    <cellStyle name="0.0_AG" xfId="1663" xr:uid="{00000000-0005-0000-0000-0000FA050000}"/>
    <cellStyle name="0.00" xfId="1664" xr:uid="{00000000-0005-0000-0000-0000FB050000}"/>
    <cellStyle name="0.00%" xfId="1665" xr:uid="{00000000-0005-0000-0000-0000FC050000}"/>
    <cellStyle name="0.000" xfId="1666" xr:uid="{00000000-0005-0000-0000-0000FD050000}"/>
    <cellStyle name="0.000 2" xfId="1667" xr:uid="{00000000-0005-0000-0000-0000FE050000}"/>
    <cellStyle name="0.000 3" xfId="1668" xr:uid="{00000000-0005-0000-0000-0000FF050000}"/>
    <cellStyle name="0.000_PNR working 21" xfId="1669" xr:uid="{00000000-0005-0000-0000-000000060000}"/>
    <cellStyle name="1 Decimal" xfId="1670" xr:uid="{00000000-0005-0000-0000-000001060000}"/>
    <cellStyle name="1,000" xfId="1671" xr:uid="{00000000-0005-0000-0000-000002060000}"/>
    <cellStyle name="1,000x" xfId="1672" xr:uid="{00000000-0005-0000-0000-000003060000}"/>
    <cellStyle name="2 Decimals" xfId="1673" xr:uid="{00000000-0005-0000-0000-000004060000}"/>
    <cellStyle name="20% - Accent1 2" xfId="1674" xr:uid="{00000000-0005-0000-0000-000005060000}"/>
    <cellStyle name="20% - Accent1 2 2" xfId="1675" xr:uid="{00000000-0005-0000-0000-000006060000}"/>
    <cellStyle name="20% - Accent2 2" xfId="1676" xr:uid="{00000000-0005-0000-0000-000007060000}"/>
    <cellStyle name="20% - Accent2 2 2" xfId="1677" xr:uid="{00000000-0005-0000-0000-000008060000}"/>
    <cellStyle name="20% - Accent3 2" xfId="1678" xr:uid="{00000000-0005-0000-0000-000009060000}"/>
    <cellStyle name="20% - Accent3 2 2" xfId="1679" xr:uid="{00000000-0005-0000-0000-00000A060000}"/>
    <cellStyle name="20% - Accent4 2" xfId="1680" xr:uid="{00000000-0005-0000-0000-00000B060000}"/>
    <cellStyle name="20% - Accent4 2 2" xfId="1681" xr:uid="{00000000-0005-0000-0000-00000C060000}"/>
    <cellStyle name="20% - Accent5 2" xfId="1682" xr:uid="{00000000-0005-0000-0000-00000D060000}"/>
    <cellStyle name="20% - Accent5 2 2" xfId="1683" xr:uid="{00000000-0005-0000-0000-00000E060000}"/>
    <cellStyle name="20% - Accent6 2" xfId="1684" xr:uid="{00000000-0005-0000-0000-00000F060000}"/>
    <cellStyle name="20% - Accent6 2 2" xfId="1685" xr:uid="{00000000-0005-0000-0000-000010060000}"/>
    <cellStyle name="3 Decimals" xfId="1686" xr:uid="{00000000-0005-0000-0000-000011060000}"/>
    <cellStyle name="40% - Accent1 2" xfId="1687" xr:uid="{00000000-0005-0000-0000-000012060000}"/>
    <cellStyle name="40% - Accent1 2 2" xfId="1688" xr:uid="{00000000-0005-0000-0000-000013060000}"/>
    <cellStyle name="40% - Accent2 2" xfId="1689" xr:uid="{00000000-0005-0000-0000-000014060000}"/>
    <cellStyle name="40% - Accent2 2 2" xfId="1690" xr:uid="{00000000-0005-0000-0000-000015060000}"/>
    <cellStyle name="40% - Accent3 2" xfId="1691" xr:uid="{00000000-0005-0000-0000-000016060000}"/>
    <cellStyle name="40% - Accent3 2 2" xfId="1692" xr:uid="{00000000-0005-0000-0000-000017060000}"/>
    <cellStyle name="40% - Accent4 2" xfId="1693" xr:uid="{00000000-0005-0000-0000-000018060000}"/>
    <cellStyle name="40% - Accent4 2 2" xfId="1694" xr:uid="{00000000-0005-0000-0000-000019060000}"/>
    <cellStyle name="40% - Accent5 2" xfId="1695" xr:uid="{00000000-0005-0000-0000-00001A060000}"/>
    <cellStyle name="40% - Accent5 2 2" xfId="1696" xr:uid="{00000000-0005-0000-0000-00001B060000}"/>
    <cellStyle name="40% - Accent6 2" xfId="1697" xr:uid="{00000000-0005-0000-0000-00001C060000}"/>
    <cellStyle name="40% - Accent6 2 2" xfId="1698" xr:uid="{00000000-0005-0000-0000-00001D060000}"/>
    <cellStyle name="60% - Accent1 2" xfId="1699" xr:uid="{00000000-0005-0000-0000-00001E060000}"/>
    <cellStyle name="60% - Accent1 2 2" xfId="1700" xr:uid="{00000000-0005-0000-0000-00001F060000}"/>
    <cellStyle name="60% - Accent2 2" xfId="1701" xr:uid="{00000000-0005-0000-0000-000020060000}"/>
    <cellStyle name="60% - Accent2 2 2" xfId="1702" xr:uid="{00000000-0005-0000-0000-000021060000}"/>
    <cellStyle name="60% - Accent3 2" xfId="1703" xr:uid="{00000000-0005-0000-0000-000022060000}"/>
    <cellStyle name="60% - Accent3 2 2" xfId="1704" xr:uid="{00000000-0005-0000-0000-000023060000}"/>
    <cellStyle name="60% - Accent4 2" xfId="1705" xr:uid="{00000000-0005-0000-0000-000024060000}"/>
    <cellStyle name="60% - Accent4 2 2" xfId="1706" xr:uid="{00000000-0005-0000-0000-000025060000}"/>
    <cellStyle name="60% - Accent5 2" xfId="1707" xr:uid="{00000000-0005-0000-0000-000026060000}"/>
    <cellStyle name="60% - Accent5 2 2" xfId="1708" xr:uid="{00000000-0005-0000-0000-000027060000}"/>
    <cellStyle name="60% - Accent6 2" xfId="1709" xr:uid="{00000000-0005-0000-0000-000028060000}"/>
    <cellStyle name="60% - Accent6 2 2" xfId="1710" xr:uid="{00000000-0005-0000-0000-000029060000}"/>
    <cellStyle name="A$2places" xfId="1711" xr:uid="{00000000-0005-0000-0000-00002A060000}"/>
    <cellStyle name="A$2places 2" xfId="1712" xr:uid="{00000000-0005-0000-0000-00002B060000}"/>
    <cellStyle name="A$3places" xfId="1713" xr:uid="{00000000-0005-0000-0000-00002C060000}"/>
    <cellStyle name="A$3places 2" xfId="1714" xr:uid="{00000000-0005-0000-0000-00002D060000}"/>
    <cellStyle name="A$3places 3" xfId="1715" xr:uid="{00000000-0005-0000-0000-00002E060000}"/>
    <cellStyle name="A$3places_PNR working 21" xfId="1716" xr:uid="{00000000-0005-0000-0000-00002F060000}"/>
    <cellStyle name="Acc" xfId="1" xr:uid="{00000000-0005-0000-0000-000030060000}"/>
    <cellStyle name="Acc 2" xfId="3343" xr:uid="{00000000-0005-0000-0000-000031060000}"/>
    <cellStyle name="Accent1 2" xfId="1717" xr:uid="{00000000-0005-0000-0000-000032060000}"/>
    <cellStyle name="Accent1 2 2" xfId="1718" xr:uid="{00000000-0005-0000-0000-000033060000}"/>
    <cellStyle name="Accent2 2" xfId="1719" xr:uid="{00000000-0005-0000-0000-000034060000}"/>
    <cellStyle name="Accent2 2 2" xfId="1720" xr:uid="{00000000-0005-0000-0000-000035060000}"/>
    <cellStyle name="Accent3 2" xfId="1721" xr:uid="{00000000-0005-0000-0000-000036060000}"/>
    <cellStyle name="Accent3 2 2" xfId="1722" xr:uid="{00000000-0005-0000-0000-000037060000}"/>
    <cellStyle name="Accent4 2" xfId="1723" xr:uid="{00000000-0005-0000-0000-000038060000}"/>
    <cellStyle name="Accent4 2 2" xfId="1724" xr:uid="{00000000-0005-0000-0000-000039060000}"/>
    <cellStyle name="Accent5 2" xfId="1725" xr:uid="{00000000-0005-0000-0000-00003A060000}"/>
    <cellStyle name="Accent5 2 2" xfId="1726" xr:uid="{00000000-0005-0000-0000-00003B060000}"/>
    <cellStyle name="Accent6 2" xfId="1727" xr:uid="{00000000-0005-0000-0000-00003C060000}"/>
    <cellStyle name="Accent6 2 2" xfId="1728" xr:uid="{00000000-0005-0000-0000-00003D060000}"/>
    <cellStyle name="Actual data" xfId="236" xr:uid="{00000000-0005-0000-0000-00003E060000}"/>
    <cellStyle name="Actual data 2" xfId="1729" xr:uid="{00000000-0005-0000-0000-00003F060000}"/>
    <cellStyle name="Actual year" xfId="237" xr:uid="{00000000-0005-0000-0000-000040060000}"/>
    <cellStyle name="Actual year 2" xfId="398" xr:uid="{00000000-0005-0000-0000-000041060000}"/>
    <cellStyle name="Actual year 2 2" xfId="3100" xr:uid="{00000000-0005-0000-0000-000042060000}"/>
    <cellStyle name="Actual year 2 3" xfId="1731" xr:uid="{00000000-0005-0000-0000-000043060000}"/>
    <cellStyle name="Actual year 3" xfId="399" xr:uid="{00000000-0005-0000-0000-000044060000}"/>
    <cellStyle name="Actual year 4" xfId="400" xr:uid="{00000000-0005-0000-0000-000045060000}"/>
    <cellStyle name="Actual year 5" xfId="3099" xr:uid="{00000000-0005-0000-0000-000046060000}"/>
    <cellStyle name="Actual year 6" xfId="1730" xr:uid="{00000000-0005-0000-0000-000047060000}"/>
    <cellStyle name="Actual year 7" xfId="397" xr:uid="{00000000-0005-0000-0000-000048060000}"/>
    <cellStyle name="Actuals Cells" xfId="238" xr:uid="{00000000-0005-0000-0000-000049060000}"/>
    <cellStyle name="Adj L1" xfId="1732" xr:uid="{00000000-0005-0000-0000-00004A060000}"/>
    <cellStyle name="Adj L2" xfId="1733" xr:uid="{00000000-0005-0000-0000-00004B060000}"/>
    <cellStyle name="Adj L3" xfId="1734" xr:uid="{00000000-0005-0000-0000-00004C060000}"/>
    <cellStyle name="Adj Space" xfId="1735" xr:uid="{00000000-0005-0000-0000-00004D060000}"/>
    <cellStyle name="AFE" xfId="239" xr:uid="{00000000-0005-0000-0000-00004E060000}"/>
    <cellStyle name="AFE 2" xfId="1737" xr:uid="{00000000-0005-0000-0000-00004F060000}"/>
    <cellStyle name="AFE 3" xfId="3270" xr:uid="{00000000-0005-0000-0000-000050060000}"/>
    <cellStyle name="AFE 4" xfId="3205" xr:uid="{00000000-0005-0000-0000-000051060000}"/>
    <cellStyle name="AFE 5" xfId="1736" xr:uid="{00000000-0005-0000-0000-000052060000}"/>
    <cellStyle name="afl" xfId="240" xr:uid="{00000000-0005-0000-0000-000053060000}"/>
    <cellStyle name="Andre's Title" xfId="241" xr:uid="{00000000-0005-0000-0000-000054060000}"/>
    <cellStyle name="Arial" xfId="1738" xr:uid="{00000000-0005-0000-0000-000055060000}"/>
    <cellStyle name="Bad 2" xfId="1739" xr:uid="{00000000-0005-0000-0000-000056060000}"/>
    <cellStyle name="Bad 2 2" xfId="1740" xr:uid="{00000000-0005-0000-0000-000057060000}"/>
    <cellStyle name="Balance" xfId="1741" xr:uid="{00000000-0005-0000-0000-000058060000}"/>
    <cellStyle name="BalanceSheet" xfId="1742" xr:uid="{00000000-0005-0000-0000-000059060000}"/>
    <cellStyle name="BalanceSheet 2" xfId="1743" xr:uid="{00000000-0005-0000-0000-00005A060000}"/>
    <cellStyle name="BalanceSheet 3" xfId="1744" xr:uid="{00000000-0005-0000-0000-00005B060000}"/>
    <cellStyle name="BalanceSheet_PNR working 21" xfId="1745" xr:uid="{00000000-0005-0000-0000-00005C060000}"/>
    <cellStyle name="Bank1" xfId="1746" xr:uid="{00000000-0005-0000-0000-00005D060000}"/>
    <cellStyle name="Blank" xfId="242" xr:uid="{00000000-0005-0000-0000-00005E060000}"/>
    <cellStyle name="Blue" xfId="243" xr:uid="{00000000-0005-0000-0000-00005F060000}"/>
    <cellStyle name="Blue Title" xfId="244" xr:uid="{00000000-0005-0000-0000-000060060000}"/>
    <cellStyle name="Bold" xfId="1747" xr:uid="{00000000-0005-0000-0000-000061060000}"/>
    <cellStyle name="Border Heavy" xfId="1748" xr:uid="{00000000-0005-0000-0000-000062060000}"/>
    <cellStyle name="Border Thin" xfId="1749" xr:uid="{00000000-0005-0000-0000-000063060000}"/>
    <cellStyle name="bps" xfId="3009" xr:uid="{00000000-0005-0000-0000-000064060000}"/>
    <cellStyle name="c" xfId="1750" xr:uid="{00000000-0005-0000-0000-000065060000}"/>
    <cellStyle name="Calc Cells" xfId="245" xr:uid="{00000000-0005-0000-0000-000066060000}"/>
    <cellStyle name="Calc Currency (0)" xfId="1751" xr:uid="{00000000-0005-0000-0000-000067060000}"/>
    <cellStyle name="Calc Currency (0) 2" xfId="1752" xr:uid="{00000000-0005-0000-0000-000068060000}"/>
    <cellStyle name="Calc Currency (2)" xfId="1753" xr:uid="{00000000-0005-0000-0000-000069060000}"/>
    <cellStyle name="Calc Percent (0)" xfId="1754" xr:uid="{00000000-0005-0000-0000-00006A060000}"/>
    <cellStyle name="Calc Percent (1)" xfId="1755" xr:uid="{00000000-0005-0000-0000-00006B060000}"/>
    <cellStyle name="Calc Percent (2)" xfId="1756" xr:uid="{00000000-0005-0000-0000-00006C060000}"/>
    <cellStyle name="Calc Units (0)" xfId="1757" xr:uid="{00000000-0005-0000-0000-00006D060000}"/>
    <cellStyle name="Calc Units (1)" xfId="1758" xr:uid="{00000000-0005-0000-0000-00006E060000}"/>
    <cellStyle name="Calc Units (2)" xfId="1759" xr:uid="{00000000-0005-0000-0000-00006F060000}"/>
    <cellStyle name="Calculation 2" xfId="1760" xr:uid="{00000000-0005-0000-0000-000070060000}"/>
    <cellStyle name="Calculation 2 2" xfId="1761" xr:uid="{00000000-0005-0000-0000-000071060000}"/>
    <cellStyle name="Calculation 2 2 2" xfId="3272" xr:uid="{00000000-0005-0000-0000-000072060000}"/>
    <cellStyle name="Calculation 2 3" xfId="3271" xr:uid="{00000000-0005-0000-0000-000073060000}"/>
    <cellStyle name="Case" xfId="246" xr:uid="{00000000-0005-0000-0000-000074060000}"/>
    <cellStyle name="CashFlow" xfId="1762" xr:uid="{00000000-0005-0000-0000-000075060000}"/>
    <cellStyle name="CashFlow 2" xfId="1763" xr:uid="{00000000-0005-0000-0000-000076060000}"/>
    <cellStyle name="CashFlow 3" xfId="1764" xr:uid="{00000000-0005-0000-0000-000077060000}"/>
    <cellStyle name="Check" xfId="1765" xr:uid="{00000000-0005-0000-0000-000078060000}"/>
    <cellStyle name="Check Cell 2" xfId="1766" xr:uid="{00000000-0005-0000-0000-000079060000}"/>
    <cellStyle name="Check Cell 2 2" xfId="1767" xr:uid="{00000000-0005-0000-0000-00007A060000}"/>
    <cellStyle name="Co. Names" xfId="247" xr:uid="{00000000-0005-0000-0000-00007B060000}"/>
    <cellStyle name="Co. Names - Bold" xfId="248" xr:uid="{00000000-0005-0000-0000-00007C060000}"/>
    <cellStyle name="Co. Names_Blend" xfId="249" xr:uid="{00000000-0005-0000-0000-00007D060000}"/>
    <cellStyle name="Code" xfId="1768" xr:uid="{00000000-0005-0000-0000-00007E060000}"/>
    <cellStyle name="Code Section" xfId="1769" xr:uid="{00000000-0005-0000-0000-00007F060000}"/>
    <cellStyle name="Col Head" xfId="250" xr:uid="{00000000-0005-0000-0000-000080060000}"/>
    <cellStyle name="Comma" xfId="327" builtinId="3"/>
    <cellStyle name="Comma  - Style1" xfId="1770" xr:uid="{00000000-0005-0000-0000-000082060000}"/>
    <cellStyle name="Comma  - Style2" xfId="1771" xr:uid="{00000000-0005-0000-0000-000083060000}"/>
    <cellStyle name="Comma  - Style3" xfId="1772" xr:uid="{00000000-0005-0000-0000-000084060000}"/>
    <cellStyle name="Comma  - Style4" xfId="1773" xr:uid="{00000000-0005-0000-0000-000085060000}"/>
    <cellStyle name="Comma  - Style5" xfId="1774" xr:uid="{00000000-0005-0000-0000-000086060000}"/>
    <cellStyle name="Comma  - Style6" xfId="1775" xr:uid="{00000000-0005-0000-0000-000087060000}"/>
    <cellStyle name="Comma  - Style7" xfId="1776" xr:uid="{00000000-0005-0000-0000-000088060000}"/>
    <cellStyle name="Comma  - Style8" xfId="1777" xr:uid="{00000000-0005-0000-0000-000089060000}"/>
    <cellStyle name="comma (1)" xfId="1778" xr:uid="{00000000-0005-0000-0000-00008A060000}"/>
    <cellStyle name="comma (1) 2" xfId="1779" xr:uid="{00000000-0005-0000-0000-00008B060000}"/>
    <cellStyle name="comma (1) 3" xfId="1780" xr:uid="{00000000-0005-0000-0000-00008C060000}"/>
    <cellStyle name="comma (1)_PNR working 21" xfId="1781" xr:uid="{00000000-0005-0000-0000-00008D060000}"/>
    <cellStyle name="Comma [_x0001_]_SHEET" xfId="1782" xr:uid="{00000000-0005-0000-0000-00008E060000}"/>
    <cellStyle name="Comma [00]" xfId="1783" xr:uid="{00000000-0005-0000-0000-00008F060000}"/>
    <cellStyle name="Comma [1]" xfId="1784" xr:uid="{00000000-0005-0000-0000-000090060000}"/>
    <cellStyle name="Comma 0" xfId="1785" xr:uid="{00000000-0005-0000-0000-000091060000}"/>
    <cellStyle name="Comma 0 2" xfId="1786" xr:uid="{00000000-0005-0000-0000-000092060000}"/>
    <cellStyle name="Comma 0 3" xfId="1787" xr:uid="{00000000-0005-0000-0000-000093060000}"/>
    <cellStyle name="Comma 0*" xfId="1788" xr:uid="{00000000-0005-0000-0000-000094060000}"/>
    <cellStyle name="Comma 0* 2" xfId="1789" xr:uid="{00000000-0005-0000-0000-000095060000}"/>
    <cellStyle name="Comma 0_ACCC" xfId="1790" xr:uid="{00000000-0005-0000-0000-000096060000}"/>
    <cellStyle name="Comma 1" xfId="1791" xr:uid="{00000000-0005-0000-0000-000097060000}"/>
    <cellStyle name="Comma 1 2" xfId="1792" xr:uid="{00000000-0005-0000-0000-000098060000}"/>
    <cellStyle name="Comma 10" xfId="1793" xr:uid="{00000000-0005-0000-0000-000099060000}"/>
    <cellStyle name="Comma 11" xfId="1794" xr:uid="{00000000-0005-0000-0000-00009A060000}"/>
    <cellStyle name="Comma 12" xfId="1795" xr:uid="{00000000-0005-0000-0000-00009B060000}"/>
    <cellStyle name="Comma 13" xfId="1796" xr:uid="{00000000-0005-0000-0000-00009C060000}"/>
    <cellStyle name="Comma 14" xfId="1797" xr:uid="{00000000-0005-0000-0000-00009D060000}"/>
    <cellStyle name="Comma 15" xfId="1798" xr:uid="{00000000-0005-0000-0000-00009E060000}"/>
    <cellStyle name="Comma 16" xfId="1799" xr:uid="{00000000-0005-0000-0000-00009F060000}"/>
    <cellStyle name="Comma 17" xfId="1800" xr:uid="{00000000-0005-0000-0000-0000A0060000}"/>
    <cellStyle name="Comma 18" xfId="1801" xr:uid="{00000000-0005-0000-0000-0000A1060000}"/>
    <cellStyle name="Comma 19" xfId="3228" xr:uid="{00000000-0005-0000-0000-0000A2060000}"/>
    <cellStyle name="Comma 19 2" xfId="3417" xr:uid="{2AEEEA6C-9C99-4E19-B4D6-D37877713879}"/>
    <cellStyle name="Comma 2" xfId="346" xr:uid="{00000000-0005-0000-0000-0000A3060000}"/>
    <cellStyle name="Comma 2 2" xfId="1803" xr:uid="{00000000-0005-0000-0000-0000A4060000}"/>
    <cellStyle name="Comma 2 2 2" xfId="3273" xr:uid="{00000000-0005-0000-0000-0000A5060000}"/>
    <cellStyle name="Comma 2 2 3" xfId="3243" xr:uid="{00000000-0005-0000-0000-0000A6060000}"/>
    <cellStyle name="Comma 2 3" xfId="1804" xr:uid="{00000000-0005-0000-0000-0000A7060000}"/>
    <cellStyle name="Comma 2 4" xfId="3103" xr:uid="{00000000-0005-0000-0000-0000A8060000}"/>
    <cellStyle name="Comma 2 5" xfId="1802" xr:uid="{00000000-0005-0000-0000-0000A9060000}"/>
    <cellStyle name="Comma 2 6" xfId="3235" xr:uid="{00000000-0005-0000-0000-0000AA060000}"/>
    <cellStyle name="Comma 2 7" xfId="401" xr:uid="{00000000-0005-0000-0000-0000AB060000}"/>
    <cellStyle name="Comma 20" xfId="3344" xr:uid="{00000000-0005-0000-0000-0000AC060000}"/>
    <cellStyle name="Comma 3" xfId="402" xr:uid="{00000000-0005-0000-0000-0000AD060000}"/>
    <cellStyle name="Comma 3 2" xfId="1806" xr:uid="{00000000-0005-0000-0000-0000AE060000}"/>
    <cellStyle name="Comma 3 3" xfId="3104" xr:uid="{00000000-0005-0000-0000-0000AF060000}"/>
    <cellStyle name="Comma 3 4" xfId="1805" xr:uid="{00000000-0005-0000-0000-0000B0060000}"/>
    <cellStyle name="Comma 4" xfId="403" xr:uid="{00000000-0005-0000-0000-0000B1060000}"/>
    <cellStyle name="Comma 4 2" xfId="1807" xr:uid="{00000000-0005-0000-0000-0000B2060000}"/>
    <cellStyle name="Comma 5" xfId="404" xr:uid="{00000000-0005-0000-0000-0000B3060000}"/>
    <cellStyle name="Comma 5 2" xfId="3106" xr:uid="{00000000-0005-0000-0000-0000B4060000}"/>
    <cellStyle name="Comma 5 3" xfId="1808" xr:uid="{00000000-0005-0000-0000-0000B5060000}"/>
    <cellStyle name="Comma 6" xfId="1809" xr:uid="{00000000-0005-0000-0000-0000B6060000}"/>
    <cellStyle name="Comma 7" xfId="1810" xr:uid="{00000000-0005-0000-0000-0000B7060000}"/>
    <cellStyle name="Comma 8" xfId="1811" xr:uid="{00000000-0005-0000-0000-0000B8060000}"/>
    <cellStyle name="Comma 9" xfId="1812" xr:uid="{00000000-0005-0000-0000-0000B9060000}"/>
    <cellStyle name="Comma(0)" xfId="1813" xr:uid="{00000000-0005-0000-0000-0000BA060000}"/>
    <cellStyle name="Comma(0) 2" xfId="1814" xr:uid="{00000000-0005-0000-0000-0000BB060000}"/>
    <cellStyle name="Comma(1)" xfId="1815" xr:uid="{00000000-0005-0000-0000-0000BC060000}"/>
    <cellStyle name="Comma(1) 2" xfId="1816" xr:uid="{00000000-0005-0000-0000-0000BD060000}"/>
    <cellStyle name="comma(2)" xfId="1817" xr:uid="{00000000-0005-0000-0000-0000BE060000}"/>
    <cellStyle name="comma(2) 2" xfId="1818" xr:uid="{00000000-0005-0000-0000-0000BF060000}"/>
    <cellStyle name="Comma(3)" xfId="1819" xr:uid="{00000000-0005-0000-0000-0000C0060000}"/>
    <cellStyle name="Comma(3) 2" xfId="1820" xr:uid="{00000000-0005-0000-0000-0000C1060000}"/>
    <cellStyle name="Comma(3) 2 2" xfId="1821" xr:uid="{00000000-0005-0000-0000-0000C2060000}"/>
    <cellStyle name="Comma(3) 2 2 2" xfId="3276" xr:uid="{00000000-0005-0000-0000-0000C3060000}"/>
    <cellStyle name="Comma(3) 2 3" xfId="3275" xr:uid="{00000000-0005-0000-0000-0000C4060000}"/>
    <cellStyle name="Comma(3) 3" xfId="1822" xr:uid="{00000000-0005-0000-0000-0000C5060000}"/>
    <cellStyle name="Comma(3) 3 2" xfId="3277" xr:uid="{00000000-0005-0000-0000-0000C6060000}"/>
    <cellStyle name="Comma(3) 4" xfId="3274" xr:uid="{00000000-0005-0000-0000-0000C7060000}"/>
    <cellStyle name="Comma0" xfId="251" xr:uid="{00000000-0005-0000-0000-0000C8060000}"/>
    <cellStyle name="Comma0 2" xfId="3278" xr:uid="{00000000-0005-0000-0000-0000C9060000}"/>
    <cellStyle name="Comma0 3" xfId="3206" xr:uid="{00000000-0005-0000-0000-0000CA060000}"/>
    <cellStyle name="Comma0 4" xfId="1823" xr:uid="{00000000-0005-0000-0000-0000CB060000}"/>
    <cellStyle name="Company name" xfId="252" xr:uid="{00000000-0005-0000-0000-0000CC060000}"/>
    <cellStyle name="CompanyTitle" xfId="253" xr:uid="{00000000-0005-0000-0000-0000CD060000}"/>
    <cellStyle name="Copied" xfId="1824" xr:uid="{00000000-0005-0000-0000-0000CE060000}"/>
    <cellStyle name="Copied 2" xfId="1825" xr:uid="{00000000-0005-0000-0000-0000CF060000}"/>
    <cellStyle name="Cover Date" xfId="1826" xr:uid="{00000000-0005-0000-0000-0000D0060000}"/>
    <cellStyle name="Cover Subtitle" xfId="1827" xr:uid="{00000000-0005-0000-0000-0000D1060000}"/>
    <cellStyle name="Cover Title" xfId="1828" xr:uid="{00000000-0005-0000-0000-0000D2060000}"/>
    <cellStyle name="Currency" xfId="353" builtinId="4"/>
    <cellStyle name="Currency (3)" xfId="1829" xr:uid="{00000000-0005-0000-0000-0000D4060000}"/>
    <cellStyle name="Currency (3) 2" xfId="1830" xr:uid="{00000000-0005-0000-0000-0000D5060000}"/>
    <cellStyle name="Currency [00]" xfId="1831" xr:uid="{00000000-0005-0000-0000-0000D6060000}"/>
    <cellStyle name="Currency [2]" xfId="254" xr:uid="{00000000-0005-0000-0000-0000D7060000}"/>
    <cellStyle name="Currency [2] 2" xfId="3207" xr:uid="{00000000-0005-0000-0000-0000D8060000}"/>
    <cellStyle name="Currency 0" xfId="1832" xr:uid="{00000000-0005-0000-0000-0000D9060000}"/>
    <cellStyle name="Currency 0 2" xfId="1833" xr:uid="{00000000-0005-0000-0000-0000DA060000}"/>
    <cellStyle name="Currency 0 3" xfId="1834" xr:uid="{00000000-0005-0000-0000-0000DB060000}"/>
    <cellStyle name="Currency 1" xfId="1835" xr:uid="{00000000-0005-0000-0000-0000DC060000}"/>
    <cellStyle name="Currency 1 2" xfId="1836" xr:uid="{00000000-0005-0000-0000-0000DD060000}"/>
    <cellStyle name="Currency 10" xfId="1837" xr:uid="{00000000-0005-0000-0000-0000DE060000}"/>
    <cellStyle name="Currency 11" xfId="1838" xr:uid="{00000000-0005-0000-0000-0000DF060000}"/>
    <cellStyle name="Currency 12" xfId="1839" xr:uid="{00000000-0005-0000-0000-0000E0060000}"/>
    <cellStyle name="Currency 13" xfId="1840" xr:uid="{00000000-0005-0000-0000-0000E1060000}"/>
    <cellStyle name="Currency 14" xfId="1841" xr:uid="{00000000-0005-0000-0000-0000E2060000}"/>
    <cellStyle name="Currency 15" xfId="1842" xr:uid="{00000000-0005-0000-0000-0000E3060000}"/>
    <cellStyle name="Currency 16" xfId="1843" xr:uid="{00000000-0005-0000-0000-0000E4060000}"/>
    <cellStyle name="Currency 17" xfId="1844" xr:uid="{00000000-0005-0000-0000-0000E5060000}"/>
    <cellStyle name="Currency 18" xfId="1845" xr:uid="{00000000-0005-0000-0000-0000E6060000}"/>
    <cellStyle name="Currency 19" xfId="1846" xr:uid="{00000000-0005-0000-0000-0000E7060000}"/>
    <cellStyle name="Currency 2" xfId="1847" xr:uid="{00000000-0005-0000-0000-0000E8060000}"/>
    <cellStyle name="Currency 2 2" xfId="1848" xr:uid="{00000000-0005-0000-0000-0000E9060000}"/>
    <cellStyle name="Currency 2 3" xfId="3279" xr:uid="{00000000-0005-0000-0000-0000EA060000}"/>
    <cellStyle name="Currency 2 4" xfId="3231" xr:uid="{00000000-0005-0000-0000-0000EB060000}"/>
    <cellStyle name="Currency 20" xfId="1849" xr:uid="{00000000-0005-0000-0000-0000EC060000}"/>
    <cellStyle name="Currency 21" xfId="1850" xr:uid="{00000000-0005-0000-0000-0000ED060000}"/>
    <cellStyle name="Currency 22" xfId="1851" xr:uid="{00000000-0005-0000-0000-0000EE060000}"/>
    <cellStyle name="Currency 23" xfId="1852" xr:uid="{00000000-0005-0000-0000-0000EF060000}"/>
    <cellStyle name="Currency 24" xfId="1853" xr:uid="{00000000-0005-0000-0000-0000F0060000}"/>
    <cellStyle name="Currency 25" xfId="1854" xr:uid="{00000000-0005-0000-0000-0000F1060000}"/>
    <cellStyle name="Currency 26" xfId="1855" xr:uid="{00000000-0005-0000-0000-0000F2060000}"/>
    <cellStyle name="Currency 27" xfId="1856" xr:uid="{00000000-0005-0000-0000-0000F3060000}"/>
    <cellStyle name="Currency 28" xfId="1857" xr:uid="{00000000-0005-0000-0000-0000F4060000}"/>
    <cellStyle name="Currency 29" xfId="1858" xr:uid="{00000000-0005-0000-0000-0000F5060000}"/>
    <cellStyle name="Currency 3" xfId="1859" xr:uid="{00000000-0005-0000-0000-0000F6060000}"/>
    <cellStyle name="Currency 3 2" xfId="1860" xr:uid="{00000000-0005-0000-0000-0000F7060000}"/>
    <cellStyle name="Currency 3 3" xfId="3280" xr:uid="{00000000-0005-0000-0000-0000F8060000}"/>
    <cellStyle name="Currency 3 4" xfId="3234" xr:uid="{00000000-0005-0000-0000-0000F9060000}"/>
    <cellStyle name="Currency 30" xfId="1861" xr:uid="{00000000-0005-0000-0000-0000FA060000}"/>
    <cellStyle name="Currency 31" xfId="1862" xr:uid="{00000000-0005-0000-0000-0000FB060000}"/>
    <cellStyle name="Currency 32" xfId="1863" xr:uid="{00000000-0005-0000-0000-0000FC060000}"/>
    <cellStyle name="Currency 33" xfId="1864" xr:uid="{00000000-0005-0000-0000-0000FD060000}"/>
    <cellStyle name="Currency 34" xfId="1865" xr:uid="{00000000-0005-0000-0000-0000FE060000}"/>
    <cellStyle name="Currency 35" xfId="1866" xr:uid="{00000000-0005-0000-0000-0000FF060000}"/>
    <cellStyle name="Currency 36" xfId="1867" xr:uid="{00000000-0005-0000-0000-000000070000}"/>
    <cellStyle name="Currency 37" xfId="1868" xr:uid="{00000000-0005-0000-0000-000001070000}"/>
    <cellStyle name="Currency 38" xfId="1869" xr:uid="{00000000-0005-0000-0000-000002070000}"/>
    <cellStyle name="Currency 39" xfId="1870" xr:uid="{00000000-0005-0000-0000-000003070000}"/>
    <cellStyle name="Currency 4" xfId="1871" xr:uid="{00000000-0005-0000-0000-000004070000}"/>
    <cellStyle name="Currency 4 2" xfId="1872" xr:uid="{00000000-0005-0000-0000-000005070000}"/>
    <cellStyle name="Currency 40" xfId="1873" xr:uid="{00000000-0005-0000-0000-000006070000}"/>
    <cellStyle name="Currency 41" xfId="1874" xr:uid="{00000000-0005-0000-0000-000007070000}"/>
    <cellStyle name="Currency 42" xfId="1875" xr:uid="{00000000-0005-0000-0000-000008070000}"/>
    <cellStyle name="Currency 43" xfId="1876" xr:uid="{00000000-0005-0000-0000-000009070000}"/>
    <cellStyle name="Currency 44" xfId="1877" xr:uid="{00000000-0005-0000-0000-00000A070000}"/>
    <cellStyle name="Currency 45" xfId="1878" xr:uid="{00000000-0005-0000-0000-00000B070000}"/>
    <cellStyle name="Currency 46" xfId="1879" xr:uid="{00000000-0005-0000-0000-00000C070000}"/>
    <cellStyle name="Currency 47" xfId="3227" xr:uid="{00000000-0005-0000-0000-00000D070000}"/>
    <cellStyle name="Currency 5" xfId="1880" xr:uid="{00000000-0005-0000-0000-00000E070000}"/>
    <cellStyle name="Currency 6" xfId="1881" xr:uid="{00000000-0005-0000-0000-00000F070000}"/>
    <cellStyle name="Currency 7" xfId="1882" xr:uid="{00000000-0005-0000-0000-000010070000}"/>
    <cellStyle name="Currency 8" xfId="1883" xr:uid="{00000000-0005-0000-0000-000011070000}"/>
    <cellStyle name="Currency 9" xfId="1884" xr:uid="{00000000-0005-0000-0000-000012070000}"/>
    <cellStyle name="currency(0)" xfId="1885" xr:uid="{00000000-0005-0000-0000-000013070000}"/>
    <cellStyle name="currency(0) 2" xfId="1886" xr:uid="{00000000-0005-0000-0000-000014070000}"/>
    <cellStyle name="Currency(1)" xfId="1887" xr:uid="{00000000-0005-0000-0000-000015070000}"/>
    <cellStyle name="Currency(1) 2" xfId="1888" xr:uid="{00000000-0005-0000-0000-000016070000}"/>
    <cellStyle name="Currency(2)" xfId="1889" xr:uid="{00000000-0005-0000-0000-000017070000}"/>
    <cellStyle name="Currency(2) 2" xfId="1890" xr:uid="{00000000-0005-0000-0000-000018070000}"/>
    <cellStyle name="Currency(2) 2 2" xfId="1891" xr:uid="{00000000-0005-0000-0000-000019070000}"/>
    <cellStyle name="Currency(2) 3" xfId="1892" xr:uid="{00000000-0005-0000-0000-00001A070000}"/>
    <cellStyle name="Currency0" xfId="255" xr:uid="{00000000-0005-0000-0000-00001B070000}"/>
    <cellStyle name="Currency0 2" xfId="1894" xr:uid="{00000000-0005-0000-0000-00001C070000}"/>
    <cellStyle name="Currency0 3" xfId="3281" xr:uid="{00000000-0005-0000-0000-00001D070000}"/>
    <cellStyle name="Currency0 4" xfId="3208" xr:uid="{00000000-0005-0000-0000-00001E070000}"/>
    <cellStyle name="Currency0 5" xfId="1893" xr:uid="{00000000-0005-0000-0000-00001F070000}"/>
    <cellStyle name="Currency2" xfId="1895" xr:uid="{00000000-0005-0000-0000-000020070000}"/>
    <cellStyle name="Currency2 2" xfId="1896" xr:uid="{00000000-0005-0000-0000-000021070000}"/>
    <cellStyle name="custom" xfId="1897" xr:uid="{00000000-0005-0000-0000-000022070000}"/>
    <cellStyle name="custom 2" xfId="1898" xr:uid="{00000000-0005-0000-0000-000023070000}"/>
    <cellStyle name="d_yield" xfId="1899" xr:uid="{00000000-0005-0000-0000-000024070000}"/>
    <cellStyle name="data" xfId="1900" xr:uid="{00000000-0005-0000-0000-000025070000}"/>
    <cellStyle name="date" xfId="256" xr:uid="{00000000-0005-0000-0000-000026070000}"/>
    <cellStyle name="Date [mmm-yy]" xfId="1902" xr:uid="{00000000-0005-0000-0000-000027070000}"/>
    <cellStyle name="Date [mmm-yy] 2" xfId="1903" xr:uid="{00000000-0005-0000-0000-000028070000}"/>
    <cellStyle name="Date [mmm-yy]_PNR working 21" xfId="1904" xr:uid="{00000000-0005-0000-0000-000029070000}"/>
    <cellStyle name="Date 10" xfId="1905" xr:uid="{00000000-0005-0000-0000-00002A070000}"/>
    <cellStyle name="Date 11" xfId="1906" xr:uid="{00000000-0005-0000-0000-00002B070000}"/>
    <cellStyle name="Date 12" xfId="1907" xr:uid="{00000000-0005-0000-0000-00002C070000}"/>
    <cellStyle name="Date 13" xfId="3107" xr:uid="{00000000-0005-0000-0000-00002D070000}"/>
    <cellStyle name="Date 14" xfId="3138" xr:uid="{00000000-0005-0000-0000-00002E070000}"/>
    <cellStyle name="Date 15" xfId="3137" xr:uid="{00000000-0005-0000-0000-00002F070000}"/>
    <cellStyle name="Date 16" xfId="3167" xr:uid="{00000000-0005-0000-0000-000030070000}"/>
    <cellStyle name="Date 17" xfId="3165" xr:uid="{00000000-0005-0000-0000-000031070000}"/>
    <cellStyle name="Date 18" xfId="3166" xr:uid="{00000000-0005-0000-0000-000032070000}"/>
    <cellStyle name="Date 19" xfId="3164" xr:uid="{00000000-0005-0000-0000-000033070000}"/>
    <cellStyle name="Date 2" xfId="1908" xr:uid="{00000000-0005-0000-0000-000034070000}"/>
    <cellStyle name="Date 2 2" xfId="3282" xr:uid="{00000000-0005-0000-0000-000035070000}"/>
    <cellStyle name="Date 2 3" xfId="3244" xr:uid="{00000000-0005-0000-0000-000036070000}"/>
    <cellStyle name="Date 20" xfId="1901" xr:uid="{00000000-0005-0000-0000-000037070000}"/>
    <cellStyle name="date 21" xfId="3209" xr:uid="{00000000-0005-0000-0000-000038070000}"/>
    <cellStyle name="Date 22" xfId="405" xr:uid="{00000000-0005-0000-0000-000039070000}"/>
    <cellStyle name="Date 23" xfId="3072" xr:uid="{00000000-0005-0000-0000-00003A070000}"/>
    <cellStyle name="Date 3" xfId="1909" xr:uid="{00000000-0005-0000-0000-00003B070000}"/>
    <cellStyle name="Date 4" xfId="1910" xr:uid="{00000000-0005-0000-0000-00003C070000}"/>
    <cellStyle name="Date 5" xfId="1911" xr:uid="{00000000-0005-0000-0000-00003D070000}"/>
    <cellStyle name="Date 6" xfId="1912" xr:uid="{00000000-0005-0000-0000-00003E070000}"/>
    <cellStyle name="Date 7" xfId="1913" xr:uid="{00000000-0005-0000-0000-00003F070000}"/>
    <cellStyle name="Date 8" xfId="1914" xr:uid="{00000000-0005-0000-0000-000040070000}"/>
    <cellStyle name="Date 9" xfId="1915" xr:uid="{00000000-0005-0000-0000-000041070000}"/>
    <cellStyle name="Date Aligned" xfId="1916" xr:uid="{00000000-0005-0000-0000-000042070000}"/>
    <cellStyle name="Date Aligned 2" xfId="1917" xr:uid="{00000000-0005-0000-0000-000043070000}"/>
    <cellStyle name="Date Aligned 3" xfId="1918" xr:uid="{00000000-0005-0000-0000-000044070000}"/>
    <cellStyle name="Date Short" xfId="1919" xr:uid="{00000000-0005-0000-0000-000045070000}"/>
    <cellStyle name="Date_AG-working 107" xfId="1920" xr:uid="{00000000-0005-0000-0000-000046070000}"/>
    <cellStyle name="Dates" xfId="1921" xr:uid="{00000000-0005-0000-0000-000047070000}"/>
    <cellStyle name="Dates 2" xfId="1922" xr:uid="{00000000-0005-0000-0000-000048070000}"/>
    <cellStyle name="DateYear" xfId="1923" xr:uid="{00000000-0005-0000-0000-000049070000}"/>
    <cellStyle name="DateYear 2" xfId="1924" xr:uid="{00000000-0005-0000-0000-00004A070000}"/>
    <cellStyle name="DateYear 3" xfId="1925" xr:uid="{00000000-0005-0000-0000-00004B070000}"/>
    <cellStyle name="days" xfId="1926" xr:uid="{00000000-0005-0000-0000-00004C070000}"/>
    <cellStyle name="days 2" xfId="1927" xr:uid="{00000000-0005-0000-0000-00004D070000}"/>
    <cellStyle name="Dec_0" xfId="1928" xr:uid="{00000000-0005-0000-0000-00004E070000}"/>
    <cellStyle name="default" xfId="257" xr:uid="{00000000-0005-0000-0000-00004F070000}"/>
    <cellStyle name="Derive" xfId="1929" xr:uid="{00000000-0005-0000-0000-000050070000}"/>
    <cellStyle name="Detail ligne" xfId="1930" xr:uid="{00000000-0005-0000-0000-000051070000}"/>
    <cellStyle name="Dollar" xfId="258" xr:uid="{00000000-0005-0000-0000-000052070000}"/>
    <cellStyle name="Dollar 2" xfId="407" xr:uid="{00000000-0005-0000-0000-000053070000}"/>
    <cellStyle name="Dollar 2 2" xfId="3109" xr:uid="{00000000-0005-0000-0000-000054070000}"/>
    <cellStyle name="Dollar 2 3" xfId="1932" xr:uid="{00000000-0005-0000-0000-000055070000}"/>
    <cellStyle name="Dollar 3" xfId="408" xr:uid="{00000000-0005-0000-0000-000056070000}"/>
    <cellStyle name="Dollar 3 2" xfId="3110" xr:uid="{00000000-0005-0000-0000-000057070000}"/>
    <cellStyle name="Dollar 3 3" xfId="1933" xr:uid="{00000000-0005-0000-0000-000058070000}"/>
    <cellStyle name="Dollar 4" xfId="409" xr:uid="{00000000-0005-0000-0000-000059070000}"/>
    <cellStyle name="Dollar 5" xfId="3108" xr:uid="{00000000-0005-0000-0000-00005A070000}"/>
    <cellStyle name="Dollar 6" xfId="1931" xr:uid="{00000000-0005-0000-0000-00005B070000}"/>
    <cellStyle name="Dollar 7" xfId="406" xr:uid="{00000000-0005-0000-0000-00005C070000}"/>
    <cellStyle name="Dollars" xfId="1934" xr:uid="{00000000-0005-0000-0000-00005D070000}"/>
    <cellStyle name="Dollars 2" xfId="1935" xr:uid="{00000000-0005-0000-0000-00005E070000}"/>
    <cellStyle name="DollarWhole" xfId="1936" xr:uid="{00000000-0005-0000-0000-00005F070000}"/>
    <cellStyle name="DollarWhole 2" xfId="1937" xr:uid="{00000000-0005-0000-0000-000060070000}"/>
    <cellStyle name="Dotted Line" xfId="1938" xr:uid="{00000000-0005-0000-0000-000061070000}"/>
    <cellStyle name="Dotted Line 2" xfId="1939" xr:uid="{00000000-0005-0000-0000-000062070000}"/>
    <cellStyle name="Dotted Line 3" xfId="1940" xr:uid="{00000000-0005-0000-0000-000063070000}"/>
    <cellStyle name="Duizenden" xfId="1941" xr:uid="{00000000-0005-0000-0000-000064070000}"/>
    <cellStyle name="Duizenden 2" xfId="1942" xr:uid="{00000000-0005-0000-0000-000065070000}"/>
    <cellStyle name="Duizenden_PNR working 21" xfId="1943" xr:uid="{00000000-0005-0000-0000-000066070000}"/>
    <cellStyle name="E" xfId="1944" xr:uid="{00000000-0005-0000-0000-000067070000}"/>
    <cellStyle name="E 2" xfId="1945" xr:uid="{00000000-0005-0000-0000-000068070000}"/>
    <cellStyle name="E 2 2" xfId="1946" xr:uid="{00000000-0005-0000-0000-000069070000}"/>
    <cellStyle name="E 3" xfId="1947" xr:uid="{00000000-0005-0000-0000-00006A070000}"/>
    <cellStyle name="E_AG" xfId="1948" xr:uid="{00000000-0005-0000-0000-00006B070000}"/>
    <cellStyle name="E_AG 2" xfId="1949" xr:uid="{00000000-0005-0000-0000-00006C070000}"/>
    <cellStyle name="E_CNH" xfId="1950" xr:uid="{00000000-0005-0000-0000-00006D070000}"/>
    <cellStyle name="E_CNH 2" xfId="1951" xr:uid="{00000000-0005-0000-0000-00006E070000}"/>
    <cellStyle name="E_DOV" xfId="1952" xr:uid="{00000000-0005-0000-0000-00006F070000}"/>
    <cellStyle name="E_DOV 2" xfId="1953" xr:uid="{00000000-0005-0000-0000-000070070000}"/>
    <cellStyle name="E_ETN" xfId="1954" xr:uid="{00000000-0005-0000-0000-000071070000}"/>
    <cellStyle name="E_ETN 2" xfId="1955" xr:uid="{00000000-0005-0000-0000-000072070000}"/>
    <cellStyle name="E_Hist Summary" xfId="1956" xr:uid="{00000000-0005-0000-0000-000073070000}"/>
    <cellStyle name="E_Hist Summary 2" xfId="1957" xr:uid="{00000000-0005-0000-0000-000074070000}"/>
    <cellStyle name="E_JOYG" xfId="1958" xr:uid="{00000000-0005-0000-0000-000075070000}"/>
    <cellStyle name="E_JOYG 2" xfId="1959" xr:uid="{00000000-0005-0000-0000-000076070000}"/>
    <cellStyle name="E_Machinery group valuation" xfId="1960" xr:uid="{00000000-0005-0000-0000-000077070000}"/>
    <cellStyle name="E_Machinery group valuation 2" xfId="1961" xr:uid="{00000000-0005-0000-0000-000078070000}"/>
    <cellStyle name="E_MLM" xfId="1962" xr:uid="{00000000-0005-0000-0000-000079070000}"/>
    <cellStyle name="E_MLM 2" xfId="1963" xr:uid="{00000000-0005-0000-0000-00007A070000}"/>
    <cellStyle name="E_NAV" xfId="1964" xr:uid="{00000000-0005-0000-0000-00007B070000}"/>
    <cellStyle name="E_NAV 2" xfId="1965" xr:uid="{00000000-0005-0000-0000-00007C070000}"/>
    <cellStyle name="E_OSK" xfId="1966" xr:uid="{00000000-0005-0000-0000-00007D070000}"/>
    <cellStyle name="E_OSK 2" xfId="1967" xr:uid="{00000000-0005-0000-0000-00007E070000}"/>
    <cellStyle name="E_PCAR" xfId="1968" xr:uid="{00000000-0005-0000-0000-00007F070000}"/>
    <cellStyle name="E_PCAR 2" xfId="1969" xr:uid="{00000000-0005-0000-0000-000080070000}"/>
    <cellStyle name="E_PH" xfId="1970" xr:uid="{00000000-0005-0000-0000-000081070000}"/>
    <cellStyle name="E_PH 2" xfId="1971" xr:uid="{00000000-0005-0000-0000-000082070000}"/>
    <cellStyle name="emp" xfId="259" xr:uid="{00000000-0005-0000-0000-000083070000}"/>
    <cellStyle name="Enter Currency (0)" xfId="1972" xr:uid="{00000000-0005-0000-0000-000084070000}"/>
    <cellStyle name="Enter Currency (2)" xfId="1973" xr:uid="{00000000-0005-0000-0000-000085070000}"/>
    <cellStyle name="Enter Units (0)" xfId="1974" xr:uid="{00000000-0005-0000-0000-000086070000}"/>
    <cellStyle name="Enter Units (1)" xfId="1975" xr:uid="{00000000-0005-0000-0000-000087070000}"/>
    <cellStyle name="Enter Units (2)" xfId="1976" xr:uid="{00000000-0005-0000-0000-000088070000}"/>
    <cellStyle name="Entered" xfId="1977" xr:uid="{00000000-0005-0000-0000-000089070000}"/>
    <cellStyle name="Entered 2" xfId="1978" xr:uid="{00000000-0005-0000-0000-00008A070000}"/>
    <cellStyle name="Entries" xfId="1979" xr:uid="{00000000-0005-0000-0000-00008B070000}"/>
    <cellStyle name="Entry" xfId="1980" xr:uid="{00000000-0005-0000-0000-00008C070000}"/>
    <cellStyle name="EPS" xfId="2" xr:uid="{00000000-0005-0000-0000-00008D070000}"/>
    <cellStyle name="EPS 2" xfId="3" xr:uid="{00000000-0005-0000-0000-00008E070000}"/>
    <cellStyle name="EPS 2 2" xfId="3284" xr:uid="{00000000-0005-0000-0000-00008F070000}"/>
    <cellStyle name="EPS 2 3" xfId="2904" xr:uid="{00000000-0005-0000-0000-000090070000}"/>
    <cellStyle name="EPS 2 4" xfId="1982" xr:uid="{00000000-0005-0000-0000-000091070000}"/>
    <cellStyle name="EPS 2 5" xfId="3345" xr:uid="{00000000-0005-0000-0000-000092070000}"/>
    <cellStyle name="EPS 3" xfId="1983" xr:uid="{00000000-0005-0000-0000-000093070000}"/>
    <cellStyle name="EPS 4" xfId="1984" xr:uid="{00000000-0005-0000-0000-000094070000}"/>
    <cellStyle name="EPS 5" xfId="1985" xr:uid="{00000000-0005-0000-0000-000095070000}"/>
    <cellStyle name="EPS 6" xfId="3283" xr:uid="{00000000-0005-0000-0000-000096070000}"/>
    <cellStyle name="EPS 7" xfId="2908" xr:uid="{00000000-0005-0000-0000-000097070000}"/>
    <cellStyle name="EPS 8" xfId="1981" xr:uid="{00000000-0005-0000-0000-000098070000}"/>
    <cellStyle name="EPS Input" xfId="1986" xr:uid="{00000000-0005-0000-0000-000099070000}"/>
    <cellStyle name="eps$" xfId="1987" xr:uid="{00000000-0005-0000-0000-00009A070000}"/>
    <cellStyle name="eps$A" xfId="1988" xr:uid="{00000000-0005-0000-0000-00009B070000}"/>
    <cellStyle name="eps$E" xfId="1989" xr:uid="{00000000-0005-0000-0000-00009C070000}"/>
    <cellStyle name="eps_AOL Model Master" xfId="1990" xr:uid="{00000000-0005-0000-0000-00009D070000}"/>
    <cellStyle name="epsA" xfId="1991" xr:uid="{00000000-0005-0000-0000-00009E070000}"/>
    <cellStyle name="EPSActual" xfId="1992" xr:uid="{00000000-0005-0000-0000-00009F070000}"/>
    <cellStyle name="EPSActual 2" xfId="1993" xr:uid="{00000000-0005-0000-0000-0000A0070000}"/>
    <cellStyle name="epsE" xfId="1994" xr:uid="{00000000-0005-0000-0000-0000A1070000}"/>
    <cellStyle name="EPSEstimate" xfId="1995" xr:uid="{00000000-0005-0000-0000-0000A2070000}"/>
    <cellStyle name="EPSEstimate 2" xfId="1996" xr:uid="{00000000-0005-0000-0000-0000A3070000}"/>
    <cellStyle name="Euro" xfId="1997" xr:uid="{00000000-0005-0000-0000-0000A4070000}"/>
    <cellStyle name="Euro 2" xfId="1998" xr:uid="{00000000-0005-0000-0000-0000A5070000}"/>
    <cellStyle name="Euro 3" xfId="1999" xr:uid="{00000000-0005-0000-0000-0000A6070000}"/>
    <cellStyle name="ExchRate" xfId="2000" xr:uid="{00000000-0005-0000-0000-0000A7070000}"/>
    <cellStyle name="ExchRate 2" xfId="2001" xr:uid="{00000000-0005-0000-0000-0000A8070000}"/>
    <cellStyle name="ExchRate 3" xfId="2002" xr:uid="{00000000-0005-0000-0000-0000A9070000}"/>
    <cellStyle name="Explanatory Text 2" xfId="2003" xr:uid="{00000000-0005-0000-0000-0000AA070000}"/>
    <cellStyle name="Explanatory Text 2 2" xfId="2004" xr:uid="{00000000-0005-0000-0000-0000AB070000}"/>
    <cellStyle name="External File Cells" xfId="260" xr:uid="{00000000-0005-0000-0000-0000AC070000}"/>
    <cellStyle name="External File Cells 2" xfId="411" xr:uid="{00000000-0005-0000-0000-0000AD070000}"/>
    <cellStyle name="External File Cells 2 2" xfId="2007" xr:uid="{00000000-0005-0000-0000-0000AE070000}"/>
    <cellStyle name="External File Cells 2 2 2" xfId="3287" xr:uid="{00000000-0005-0000-0000-0000AF070000}"/>
    <cellStyle name="External File Cells 2 3" xfId="3112" xr:uid="{00000000-0005-0000-0000-0000B0070000}"/>
    <cellStyle name="External File Cells 2 4" xfId="2006" xr:uid="{00000000-0005-0000-0000-0000B1070000}"/>
    <cellStyle name="External File Cells 2 4 2" xfId="3286" xr:uid="{00000000-0005-0000-0000-0000B2070000}"/>
    <cellStyle name="External File Cells 3" xfId="412" xr:uid="{00000000-0005-0000-0000-0000B3070000}"/>
    <cellStyle name="External File Cells 3 2" xfId="3113" xr:uid="{00000000-0005-0000-0000-0000B4070000}"/>
    <cellStyle name="External File Cells 3 3" xfId="2008" xr:uid="{00000000-0005-0000-0000-0000B5070000}"/>
    <cellStyle name="External File Cells 3 3 2" xfId="3288" xr:uid="{00000000-0005-0000-0000-0000B6070000}"/>
    <cellStyle name="External File Cells 4" xfId="413" xr:uid="{00000000-0005-0000-0000-0000B7070000}"/>
    <cellStyle name="External File Cells 4 2" xfId="3114" xr:uid="{00000000-0005-0000-0000-0000B8070000}"/>
    <cellStyle name="External File Cells 5" xfId="3111" xr:uid="{00000000-0005-0000-0000-0000B9070000}"/>
    <cellStyle name="External File Cells 5 2" xfId="3318" xr:uid="{00000000-0005-0000-0000-0000BA070000}"/>
    <cellStyle name="External File Cells 6" xfId="2005" xr:uid="{00000000-0005-0000-0000-0000BB070000}"/>
    <cellStyle name="External File Cells 6 2" xfId="3285" xr:uid="{00000000-0005-0000-0000-0000BC070000}"/>
    <cellStyle name="External File Cells 7" xfId="3210" xr:uid="{00000000-0005-0000-0000-0000BD070000}"/>
    <cellStyle name="External File Cells 8" xfId="410" xr:uid="{00000000-0005-0000-0000-0000BE070000}"/>
    <cellStyle name="FF" xfId="2009" xr:uid="{00000000-0005-0000-0000-0000BF070000}"/>
    <cellStyle name="FF 2" xfId="2010" xr:uid="{00000000-0005-0000-0000-0000C0070000}"/>
    <cellStyle name="Financial" xfId="2011" xr:uid="{00000000-0005-0000-0000-0000C1070000}"/>
    <cellStyle name="Financial 2" xfId="2012" xr:uid="{00000000-0005-0000-0000-0000C2070000}"/>
    <cellStyle name="Financial 3" xfId="2013" xr:uid="{00000000-0005-0000-0000-0000C3070000}"/>
    <cellStyle name="Fit" xfId="261" xr:uid="{00000000-0005-0000-0000-0000C4070000}"/>
    <cellStyle name="Fixed" xfId="262" xr:uid="{00000000-0005-0000-0000-0000C5070000}"/>
    <cellStyle name="Fixed 2" xfId="2015" xr:uid="{00000000-0005-0000-0000-0000C6070000}"/>
    <cellStyle name="Fixed 3" xfId="3289" xr:uid="{00000000-0005-0000-0000-0000C7070000}"/>
    <cellStyle name="Fixed 4" xfId="3211" xr:uid="{00000000-0005-0000-0000-0000C8070000}"/>
    <cellStyle name="Fixed 5" xfId="2014" xr:uid="{00000000-0005-0000-0000-0000C9070000}"/>
    <cellStyle name="Footer SBILogo1" xfId="2016" xr:uid="{00000000-0005-0000-0000-0000CA070000}"/>
    <cellStyle name="Footer SBILogo2" xfId="2017" xr:uid="{00000000-0005-0000-0000-0000CB070000}"/>
    <cellStyle name="Footnote" xfId="2018" xr:uid="{00000000-0005-0000-0000-0000CC070000}"/>
    <cellStyle name="Footnote Reference" xfId="2019" xr:uid="{00000000-0005-0000-0000-0000CD070000}"/>
    <cellStyle name="Footnote_ACCC" xfId="2020" xr:uid="{00000000-0005-0000-0000-0000CE070000}"/>
    <cellStyle name="Footnotes" xfId="263" xr:uid="{00000000-0005-0000-0000-0000CF070000}"/>
    <cellStyle name="Forecast Cells" xfId="264" xr:uid="{00000000-0005-0000-0000-0000D0070000}"/>
    <cellStyle name="fy_eps$" xfId="2021" xr:uid="{00000000-0005-0000-0000-0000D1070000}"/>
    <cellStyle name="g_rate" xfId="2022" xr:uid="{00000000-0005-0000-0000-0000D2070000}"/>
    <cellStyle name="g_rate_AOL_Model_Master" xfId="2023" xr:uid="{00000000-0005-0000-0000-0000D3070000}"/>
    <cellStyle name="G1_1999 figures" xfId="265" xr:uid="{00000000-0005-0000-0000-0000D4070000}"/>
    <cellStyle name="General" xfId="2024" xr:uid="{00000000-0005-0000-0000-0000D5070000}"/>
    <cellStyle name="General 2" xfId="2025" xr:uid="{00000000-0005-0000-0000-0000D6070000}"/>
    <cellStyle name="General 3" xfId="2026" xr:uid="{00000000-0005-0000-0000-0000D7070000}"/>
    <cellStyle name="General_PNR working 21" xfId="2027" xr:uid="{00000000-0005-0000-0000-0000D8070000}"/>
    <cellStyle name="GIRExhibit-Bold" xfId="414" xr:uid="{00000000-0005-0000-0000-0000D9070000}"/>
    <cellStyle name="Good 2" xfId="2028" xr:uid="{00000000-0005-0000-0000-0000DA070000}"/>
    <cellStyle name="Good 2 2" xfId="2029" xr:uid="{00000000-0005-0000-0000-0000DB070000}"/>
    <cellStyle name="Grey" xfId="2030" xr:uid="{00000000-0005-0000-0000-0000DC070000}"/>
    <cellStyle name="Grey 2" xfId="2031" xr:uid="{00000000-0005-0000-0000-0000DD070000}"/>
    <cellStyle name="Grey_PNR working 21" xfId="2032" xr:uid="{00000000-0005-0000-0000-0000DE070000}"/>
    <cellStyle name="GrowthRate" xfId="2033" xr:uid="{00000000-0005-0000-0000-0000DF070000}"/>
    <cellStyle name="GrowthRate 2" xfId="2034" xr:uid="{00000000-0005-0000-0000-0000E0070000}"/>
    <cellStyle name="GrowthSeq" xfId="2035" xr:uid="{00000000-0005-0000-0000-0000E1070000}"/>
    <cellStyle name="GrowthSeq 2" xfId="2036" xr:uid="{00000000-0005-0000-0000-0000E2070000}"/>
    <cellStyle name="H_1998_col_head" xfId="266" xr:uid="{00000000-0005-0000-0000-0000E3070000}"/>
    <cellStyle name="H_1998_col_head_BHI" xfId="2037" xr:uid="{00000000-0005-0000-0000-0000E4070000}"/>
    <cellStyle name="H_1998_col_head_BHI 2" xfId="2038" xr:uid="{00000000-0005-0000-0000-0000E5070000}"/>
    <cellStyle name="H_1998_col_head_BHI_IR-working 238" xfId="2039" xr:uid="{00000000-0005-0000-0000-0000E6070000}"/>
    <cellStyle name="H_1998_col_head_BHI_MMM working 31" xfId="2040" xr:uid="{00000000-0005-0000-0000-0000E7070000}"/>
    <cellStyle name="H_1998_col_head_BHI_MMM working 32" xfId="2041" xr:uid="{00000000-0005-0000-0000-0000E8070000}"/>
    <cellStyle name="H_1998_col_head_BHI_PNR working 21" xfId="2042" xr:uid="{00000000-0005-0000-0000-0000E9070000}"/>
    <cellStyle name="H_1998_col_head_BHI_UTX working 32" xfId="2043" xr:uid="{00000000-0005-0000-0000-0000EA070000}"/>
    <cellStyle name="H_1998_col_head_BHI_working7" xfId="2044" xr:uid="{00000000-0005-0000-0000-0000EB070000}"/>
    <cellStyle name="H_1998_col_head_BHI_working7_IR nxp 238" xfId="2045" xr:uid="{00000000-0005-0000-0000-0000EC070000}"/>
    <cellStyle name="H_1998_col_head_BHI_working7_MMM nxp 33" xfId="2046" xr:uid="{00000000-0005-0000-0000-0000ED070000}"/>
    <cellStyle name="H_1998_col_head_BHI-M-07132004-IH" xfId="2047" xr:uid="{00000000-0005-0000-0000-0000EE070000}"/>
    <cellStyle name="H_1998_col_head_BHI-M-07132004-IH_IR nxp 238" xfId="2048" xr:uid="{00000000-0005-0000-0000-0000EF070000}"/>
    <cellStyle name="H_1998_col_head_BHI-M-07132004-IH_MMM nxp 33" xfId="2049" xr:uid="{00000000-0005-0000-0000-0000F0070000}"/>
    <cellStyle name="H_1998_col_head_BJS" xfId="2050" xr:uid="{00000000-0005-0000-0000-0000F1070000}"/>
    <cellStyle name="H_1998_col_head_BJS 2" xfId="2051" xr:uid="{00000000-0005-0000-0000-0000F2070000}"/>
    <cellStyle name="H_1998_col_head_BJS_IR-working 238" xfId="2052" xr:uid="{00000000-0005-0000-0000-0000F3070000}"/>
    <cellStyle name="H_1998_col_head_BJS_MMM working 31" xfId="2053" xr:uid="{00000000-0005-0000-0000-0000F4070000}"/>
    <cellStyle name="H_1998_col_head_BJS_MMM working 32" xfId="2054" xr:uid="{00000000-0005-0000-0000-0000F5070000}"/>
    <cellStyle name="H_1998_col_head_BJS_PNR working 21" xfId="2055" xr:uid="{00000000-0005-0000-0000-0000F6070000}"/>
    <cellStyle name="H_1998_col_head_BJS_UTX working 32" xfId="2056" xr:uid="{00000000-0005-0000-0000-0000F7070000}"/>
    <cellStyle name="H_1998_col_head_bjs-working9" xfId="2057" xr:uid="{00000000-0005-0000-0000-0000F8070000}"/>
    <cellStyle name="H_1998_col_head_bjs-working9_IR nxp 238" xfId="2058" xr:uid="{00000000-0005-0000-0000-0000F9070000}"/>
    <cellStyle name="H_1998_col_head_bjs-working9_MMM nxp 33" xfId="2059" xr:uid="{00000000-0005-0000-0000-0000FA070000}"/>
    <cellStyle name="H_1998_col_head_CAM-M-07282004-JS" xfId="2060" xr:uid="{00000000-0005-0000-0000-0000FB070000}"/>
    <cellStyle name="H_1998_col_head_CAM-M-07282004-JS_IR nxp 238" xfId="2061" xr:uid="{00000000-0005-0000-0000-0000FC070000}"/>
    <cellStyle name="H_1998_col_head_CAM-M-07282004-JS_MMM nxp 33" xfId="2062" xr:uid="{00000000-0005-0000-0000-0000FD070000}"/>
    <cellStyle name="H_1998_col_head_Completion&amp;Production Systems" xfId="2063" xr:uid="{00000000-0005-0000-0000-0000FE070000}"/>
    <cellStyle name="H_1998_col_head_Completion&amp;Production Systems_IR nxp 238" xfId="2064" xr:uid="{00000000-0005-0000-0000-0000FF070000}"/>
    <cellStyle name="H_1998_col_head_Completion&amp;Production Systems_MMM nxp 33" xfId="2065" xr:uid="{00000000-0005-0000-0000-000000080000}"/>
    <cellStyle name="H_1998_col_head_Cooper Cameron Valves" xfId="2066" xr:uid="{00000000-0005-0000-0000-000001080000}"/>
    <cellStyle name="H_1998_col_head_Cooper Cameron Valves_IR nxp 238" xfId="2067" xr:uid="{00000000-0005-0000-0000-000002080000}"/>
    <cellStyle name="H_1998_col_head_Cooper Cameron Valves_MMM nxp 33" xfId="2068" xr:uid="{00000000-0005-0000-0000-000003080000}"/>
    <cellStyle name="H_1998_col_head_DIAMND-PUBLISHED57.2 (b)" xfId="2069" xr:uid="{00000000-0005-0000-0000-000004080000}"/>
    <cellStyle name="H_1998_col_head_DIAMND-PUBLISHED57.2 (b)_IR nxp 238" xfId="2070" xr:uid="{00000000-0005-0000-0000-000005080000}"/>
    <cellStyle name="H_1998_col_head_DIAMND-PUBLISHED57.2 (b)_MMM nxp 33" xfId="2071" xr:uid="{00000000-0005-0000-0000-000006080000}"/>
    <cellStyle name="H_1998_col_head_EVA" xfId="2072" xr:uid="{00000000-0005-0000-0000-000007080000}"/>
    <cellStyle name="H_1998_col_head_EVA_IR nxp 238" xfId="2073" xr:uid="{00000000-0005-0000-0000-000008080000}"/>
    <cellStyle name="H_1998_col_head_EVA_MMM nxp 33" xfId="2074" xr:uid="{00000000-0005-0000-0000-000009080000}"/>
    <cellStyle name="H_1998_col_head_HAL" xfId="2075" xr:uid="{00000000-0005-0000-0000-00000A080000}"/>
    <cellStyle name="H_1998_col_head_HAL - 7" xfId="2076" xr:uid="{00000000-0005-0000-0000-00000B080000}"/>
    <cellStyle name="H_1998_col_head_HAL - 7 2" xfId="2077" xr:uid="{00000000-0005-0000-0000-00000C080000}"/>
    <cellStyle name="H_1998_col_head_HAL - 7_IR-working 238" xfId="2078" xr:uid="{00000000-0005-0000-0000-00000D080000}"/>
    <cellStyle name="H_1998_col_head_HAL - 7_MMM working 31" xfId="2079" xr:uid="{00000000-0005-0000-0000-00000E080000}"/>
    <cellStyle name="H_1998_col_head_HAL - 7_MMM working 32" xfId="2080" xr:uid="{00000000-0005-0000-0000-00000F080000}"/>
    <cellStyle name="H_1998_col_head_HAL - 7_PNR working 21" xfId="2081" xr:uid="{00000000-0005-0000-0000-000010080000}"/>
    <cellStyle name="H_1998_col_head_HAL - 7_UTX working 32" xfId="2082" xr:uid="{00000000-0005-0000-0000-000011080000}"/>
    <cellStyle name="H_1998_col_head_HAL 10" xfId="2083" xr:uid="{00000000-0005-0000-0000-000012080000}"/>
    <cellStyle name="H_1998_col_head_HAL 11" xfId="2084" xr:uid="{00000000-0005-0000-0000-000013080000}"/>
    <cellStyle name="H_1998_col_head_HAL 12" xfId="2085" xr:uid="{00000000-0005-0000-0000-000014080000}"/>
    <cellStyle name="H_1998_col_head_HAL 2" xfId="2086" xr:uid="{00000000-0005-0000-0000-000015080000}"/>
    <cellStyle name="H_1998_col_head_HAL 3" xfId="2087" xr:uid="{00000000-0005-0000-0000-000016080000}"/>
    <cellStyle name="H_1998_col_head_HAL 4" xfId="2088" xr:uid="{00000000-0005-0000-0000-000017080000}"/>
    <cellStyle name="H_1998_col_head_HAL 5" xfId="2089" xr:uid="{00000000-0005-0000-0000-000018080000}"/>
    <cellStyle name="H_1998_col_head_HAL 6" xfId="2090" xr:uid="{00000000-0005-0000-0000-000019080000}"/>
    <cellStyle name="H_1998_col_head_HAL 7" xfId="2091" xr:uid="{00000000-0005-0000-0000-00001A080000}"/>
    <cellStyle name="H_1998_col_head_HAL 8" xfId="2092" xr:uid="{00000000-0005-0000-0000-00001B080000}"/>
    <cellStyle name="H_1998_col_head_HAL 9" xfId="2093" xr:uid="{00000000-0005-0000-0000-00001C080000}"/>
    <cellStyle name="H_1998_col_head_HAL_IR-working 238" xfId="2094" xr:uid="{00000000-0005-0000-0000-00001D080000}"/>
    <cellStyle name="H_1998_col_head_HAL_MMM working 31" xfId="2095" xr:uid="{00000000-0005-0000-0000-00001E080000}"/>
    <cellStyle name="H_1998_col_head_HAL_MMM working 32" xfId="2096" xr:uid="{00000000-0005-0000-0000-00001F080000}"/>
    <cellStyle name="H_1998_col_head_HAL_PNR working 21" xfId="2097" xr:uid="{00000000-0005-0000-0000-000020080000}"/>
    <cellStyle name="H_1998_col_head_HAL_UTX working 32" xfId="2098" xr:uid="{00000000-0005-0000-0000-000021080000}"/>
    <cellStyle name="H_1998_col_head_HAL-M-07282004-IH" xfId="2099" xr:uid="{00000000-0005-0000-0000-000022080000}"/>
    <cellStyle name="H_1998_col_head_HAL-M-07282004-IH_IR nxp 238" xfId="2100" xr:uid="{00000000-0005-0000-0000-000023080000}"/>
    <cellStyle name="H_1998_col_head_HAL-M-07282004-IH_MMM nxp 33" xfId="2101" xr:uid="{00000000-0005-0000-0000-000024080000}"/>
    <cellStyle name="H_1998_col_head_HALY_working13" xfId="2102" xr:uid="{00000000-0005-0000-0000-000025080000}"/>
    <cellStyle name="H_1998_col_head_HALY_working13_IR nxp 238" xfId="2103" xr:uid="{00000000-0005-0000-0000-000026080000}"/>
    <cellStyle name="H_1998_col_head_HALY_working13_MMM nxp 33" xfId="2104" xr:uid="{00000000-0005-0000-0000-000027080000}"/>
    <cellStyle name="H_1998_col_head_HALY_working15" xfId="2105" xr:uid="{00000000-0005-0000-0000-000028080000}"/>
    <cellStyle name="H_1998_col_head_HALY_working15_IR nxp 238" xfId="2106" xr:uid="{00000000-0005-0000-0000-000029080000}"/>
    <cellStyle name="H_1998_col_head_HALY_working15_MMM nxp 33" xfId="2107" xr:uid="{00000000-0005-0000-0000-00002A080000}"/>
    <cellStyle name="H_1998_col_head_IR nxp 238" xfId="2108" xr:uid="{00000000-0005-0000-0000-00002B080000}"/>
    <cellStyle name="H_1998_col_head_IS" xfId="2109" xr:uid="{00000000-0005-0000-0000-00002C080000}"/>
    <cellStyle name="H_1998_col_head_IS - Driver" xfId="2110" xr:uid="{00000000-0005-0000-0000-00002D080000}"/>
    <cellStyle name="H_1998_col_head_IS - Driver_IR nxp 238" xfId="2111" xr:uid="{00000000-0005-0000-0000-00002E080000}"/>
    <cellStyle name="H_1998_col_head_IS - Driver_MMM nxp 33" xfId="2112" xr:uid="{00000000-0005-0000-0000-00002F080000}"/>
    <cellStyle name="H_1998_col_head_IS - Rptd" xfId="2113" xr:uid="{00000000-0005-0000-0000-000030080000}"/>
    <cellStyle name="H_1998_col_head_IS - Rptd_1" xfId="2114" xr:uid="{00000000-0005-0000-0000-000031080000}"/>
    <cellStyle name="H_1998_col_head_IS - Rptd_1 2" xfId="2115" xr:uid="{00000000-0005-0000-0000-000032080000}"/>
    <cellStyle name="H_1998_col_head_IS - Rptd_1_IR-working 238" xfId="2116" xr:uid="{00000000-0005-0000-0000-000033080000}"/>
    <cellStyle name="H_1998_col_head_IS - Rptd_1_MMM working 31" xfId="2117" xr:uid="{00000000-0005-0000-0000-000034080000}"/>
    <cellStyle name="H_1998_col_head_IS - Rptd_1_MMM working 32" xfId="2118" xr:uid="{00000000-0005-0000-0000-000035080000}"/>
    <cellStyle name="H_1998_col_head_IS - Rptd_1_PNR working 21" xfId="2119" xr:uid="{00000000-0005-0000-0000-000036080000}"/>
    <cellStyle name="H_1998_col_head_IS - Rptd_1_UTX working 32" xfId="2120" xr:uid="{00000000-0005-0000-0000-000037080000}"/>
    <cellStyle name="H_1998_col_head_IS - Rptd_IR nxp 238" xfId="2121" xr:uid="{00000000-0005-0000-0000-000038080000}"/>
    <cellStyle name="H_1998_col_head_IS - Rptd_MMM nxp 33" xfId="2122" xr:uid="{00000000-0005-0000-0000-000039080000}"/>
    <cellStyle name="H_1998_col_head_IS 10" xfId="2123" xr:uid="{00000000-0005-0000-0000-00003A080000}"/>
    <cellStyle name="H_1998_col_head_IS 11" xfId="2124" xr:uid="{00000000-0005-0000-0000-00003B080000}"/>
    <cellStyle name="H_1998_col_head_IS 12" xfId="2125" xr:uid="{00000000-0005-0000-0000-00003C080000}"/>
    <cellStyle name="H_1998_col_head_IS 2" xfId="2126" xr:uid="{00000000-0005-0000-0000-00003D080000}"/>
    <cellStyle name="H_1998_col_head_IS 3" xfId="2127" xr:uid="{00000000-0005-0000-0000-00003E080000}"/>
    <cellStyle name="H_1998_col_head_IS 4" xfId="2128" xr:uid="{00000000-0005-0000-0000-00003F080000}"/>
    <cellStyle name="H_1998_col_head_IS 5" xfId="2129" xr:uid="{00000000-0005-0000-0000-000040080000}"/>
    <cellStyle name="H_1998_col_head_IS 6" xfId="2130" xr:uid="{00000000-0005-0000-0000-000041080000}"/>
    <cellStyle name="H_1998_col_head_IS 7" xfId="2131" xr:uid="{00000000-0005-0000-0000-000042080000}"/>
    <cellStyle name="H_1998_col_head_IS 8" xfId="2132" xr:uid="{00000000-0005-0000-0000-000043080000}"/>
    <cellStyle name="H_1998_col_head_IS 9" xfId="2133" xr:uid="{00000000-0005-0000-0000-000044080000}"/>
    <cellStyle name="H_1998_col_head_IS_IR-working 238" xfId="2134" xr:uid="{00000000-0005-0000-0000-000045080000}"/>
    <cellStyle name="H_1998_col_head_IS_MMM working 31" xfId="2135" xr:uid="{00000000-0005-0000-0000-000046080000}"/>
    <cellStyle name="H_1998_col_head_IS_MMM working 32" xfId="2136" xr:uid="{00000000-0005-0000-0000-000047080000}"/>
    <cellStyle name="H_1998_col_head_IS_PNR working 21" xfId="2137" xr:uid="{00000000-0005-0000-0000-000048080000}"/>
    <cellStyle name="H_1998_col_head_IS_UTX working 32" xfId="2138" xr:uid="{00000000-0005-0000-0000-000049080000}"/>
    <cellStyle name="H_1998_col_head_LoneStar-working" xfId="2139" xr:uid="{00000000-0005-0000-0000-00004A080000}"/>
    <cellStyle name="H_1998_col_head_LoneStar-working 4" xfId="2140" xr:uid="{00000000-0005-0000-0000-00004B080000}"/>
    <cellStyle name="H_1998_col_head_LoneStar-working 4_IR nxp 238" xfId="2141" xr:uid="{00000000-0005-0000-0000-00004C080000}"/>
    <cellStyle name="H_1998_col_head_LoneStar-working 4_MMM nxp 33" xfId="2142" xr:uid="{00000000-0005-0000-0000-00004D080000}"/>
    <cellStyle name="H_1998_col_head_LoneStar-working_IR nxp 238" xfId="2143" xr:uid="{00000000-0005-0000-0000-00004E080000}"/>
    <cellStyle name="H_1998_col_head_LoneStar-working_MMM nxp 33" xfId="2144" xr:uid="{00000000-0005-0000-0000-00004F080000}"/>
    <cellStyle name="H_1998_col_head_LSS" xfId="2145" xr:uid="{00000000-0005-0000-0000-000050080000}"/>
    <cellStyle name="H_1998_col_head_LSS 2" xfId="2146" xr:uid="{00000000-0005-0000-0000-000051080000}"/>
    <cellStyle name="H_1998_col_head_LSS_IR-working 238" xfId="2147" xr:uid="{00000000-0005-0000-0000-000052080000}"/>
    <cellStyle name="H_1998_col_head_LSS_MMM working 31" xfId="2148" xr:uid="{00000000-0005-0000-0000-000053080000}"/>
    <cellStyle name="H_1998_col_head_LSS_MMM working 32" xfId="2149" xr:uid="{00000000-0005-0000-0000-000054080000}"/>
    <cellStyle name="H_1998_col_head_LSS_PNR working 21" xfId="2150" xr:uid="{00000000-0005-0000-0000-000055080000}"/>
    <cellStyle name="H_1998_col_head_LSS_UTX working 32" xfId="2151" xr:uid="{00000000-0005-0000-0000-000056080000}"/>
    <cellStyle name="H_1998_col_head_MMM nxp 33" xfId="2152" xr:uid="{00000000-0005-0000-0000-000057080000}"/>
    <cellStyle name="H_1998_col_head_Multiples Tab" xfId="2153" xr:uid="{00000000-0005-0000-0000-000058080000}"/>
    <cellStyle name="H_1998_col_head_Multiples Tab 2" xfId="2154" xr:uid="{00000000-0005-0000-0000-000059080000}"/>
    <cellStyle name="H_1998_col_head_Multiples Tab_IR-working 238" xfId="2155" xr:uid="{00000000-0005-0000-0000-00005A080000}"/>
    <cellStyle name="H_1998_col_head_Multiples Tab_MMM working 31" xfId="2156" xr:uid="{00000000-0005-0000-0000-00005B080000}"/>
    <cellStyle name="H_1998_col_head_Multiples Tab_MMM working 32" xfId="2157" xr:uid="{00000000-0005-0000-0000-00005C080000}"/>
    <cellStyle name="H_1998_col_head_Multiples Tab_PNR working 21" xfId="2158" xr:uid="{00000000-0005-0000-0000-00005D080000}"/>
    <cellStyle name="H_1998_col_head_Multiples Tab_UTX working 32" xfId="2159" xr:uid="{00000000-0005-0000-0000-00005E080000}"/>
    <cellStyle name="H_1998_col_head_Offshore Products" xfId="2160" xr:uid="{00000000-0005-0000-0000-00005F080000}"/>
    <cellStyle name="H_1998_col_head_Offshore Products_IR nxp 238" xfId="2161" xr:uid="{00000000-0005-0000-0000-000060080000}"/>
    <cellStyle name="H_1998_col_head_Offshore Products_MMM nxp 33" xfId="2162" xr:uid="{00000000-0005-0000-0000-000061080000}"/>
    <cellStyle name="H_1998_col_head_Oilfield" xfId="2163" xr:uid="{00000000-0005-0000-0000-000062080000}"/>
    <cellStyle name="H_1998_col_head_Oilfield_IR nxp 238" xfId="2164" xr:uid="{00000000-0005-0000-0000-000063080000}"/>
    <cellStyle name="H_1998_col_head_Oilfield_MMM nxp 33" xfId="2165" xr:uid="{00000000-0005-0000-0000-000064080000}"/>
    <cellStyle name="H_1998_col_head_RONq-working13" xfId="2166" xr:uid="{00000000-0005-0000-0000-000065080000}"/>
    <cellStyle name="H_1998_col_head_RONq-working13_IR nxp 238" xfId="2167" xr:uid="{00000000-0005-0000-0000-000066080000}"/>
    <cellStyle name="H_1998_col_head_RONq-working13_MMM nxp 33" xfId="2168" xr:uid="{00000000-0005-0000-0000-000067080000}"/>
    <cellStyle name="H_1998_col_head_RONq-working14" xfId="2169" xr:uid="{00000000-0005-0000-0000-000068080000}"/>
    <cellStyle name="H_1998_col_head_RONq-working14_IR nxp 238" xfId="2170" xr:uid="{00000000-0005-0000-0000-000069080000}"/>
    <cellStyle name="H_1998_col_head_RONq-working14_MMM nxp 33" xfId="2171" xr:uid="{00000000-0005-0000-0000-00006A080000}"/>
    <cellStyle name="H_1998_col_head_Sheet1" xfId="2172" xr:uid="{00000000-0005-0000-0000-00006B080000}"/>
    <cellStyle name="H_1998_col_head_Sheet1_IR nxp 238" xfId="2173" xr:uid="{00000000-0005-0000-0000-00006C080000}"/>
    <cellStyle name="H_1998_col_head_Sheet1_MMM nxp 33" xfId="2174" xr:uid="{00000000-0005-0000-0000-00006D080000}"/>
    <cellStyle name="H_1998_col_head_SII" xfId="2175" xr:uid="{00000000-0005-0000-0000-00006E080000}"/>
    <cellStyle name="H_1998_col_head_SII_IR nxp 238" xfId="2176" xr:uid="{00000000-0005-0000-0000-00006F080000}"/>
    <cellStyle name="H_1998_col_head_SII_MMM nxp 33" xfId="2177" xr:uid="{00000000-0005-0000-0000-000070080000}"/>
    <cellStyle name="H_1998_col_head_SII-Post 3Q05 v4" xfId="2178" xr:uid="{00000000-0005-0000-0000-000071080000}"/>
    <cellStyle name="H_1998_col_head_SII-Post 3Q05 v4_IR nxp 238" xfId="2179" xr:uid="{00000000-0005-0000-0000-000072080000}"/>
    <cellStyle name="H_1998_col_head_SII-Post 3Q05 v4_MMM nxp 33" xfId="2180" xr:uid="{00000000-0005-0000-0000-000073080000}"/>
    <cellStyle name="H_1998_col_head_SLB" xfId="2181" xr:uid="{00000000-0005-0000-0000-000074080000}"/>
    <cellStyle name="H_1998_col_head_SLB 2" xfId="2182" xr:uid="{00000000-0005-0000-0000-000075080000}"/>
    <cellStyle name="H_1998_col_head_SLB_IR-working 238" xfId="2183" xr:uid="{00000000-0005-0000-0000-000076080000}"/>
    <cellStyle name="H_1998_col_head_SLB_MMM working 31" xfId="2184" xr:uid="{00000000-0005-0000-0000-000077080000}"/>
    <cellStyle name="H_1998_col_head_SLB_MMM working 32" xfId="2185" xr:uid="{00000000-0005-0000-0000-000078080000}"/>
    <cellStyle name="H_1998_col_head_SLB_PNR working 21" xfId="2186" xr:uid="{00000000-0005-0000-0000-000079080000}"/>
    <cellStyle name="H_1998_col_head_SLB_UTX working 32" xfId="2187" xr:uid="{00000000-0005-0000-0000-00007A080000}"/>
    <cellStyle name="H_1998_col_head_SLB-M-07302004-LM" xfId="2188" xr:uid="{00000000-0005-0000-0000-00007B080000}"/>
    <cellStyle name="H_1998_col_head_SLB-M-07302004-LM_IR nxp 238" xfId="2189" xr:uid="{00000000-0005-0000-0000-00007C080000}"/>
    <cellStyle name="H_1998_col_head_SLB-M-07302004-LM_MMM nxp 33" xfId="2190" xr:uid="{00000000-0005-0000-0000-00007D080000}"/>
    <cellStyle name="H_1998_col_head_SLB-working7" xfId="2191" xr:uid="{00000000-0005-0000-0000-00007E080000}"/>
    <cellStyle name="H_1998_col_head_SLB-working7_IR nxp 238" xfId="2192" xr:uid="{00000000-0005-0000-0000-00007F080000}"/>
    <cellStyle name="H_1998_col_head_SLB-working7_MMM nxp 33" xfId="2193" xr:uid="{00000000-0005-0000-0000-000080080000}"/>
    <cellStyle name="H_1998_col_head_SLB-working9" xfId="2194" xr:uid="{00000000-0005-0000-0000-000081080000}"/>
    <cellStyle name="H_1998_col_head_SLB-working9_IR nxp 238" xfId="2195" xr:uid="{00000000-0005-0000-0000-000082080000}"/>
    <cellStyle name="H_1998_col_head_SLB-working9_MMM nxp 33" xfId="2196" xr:uid="{00000000-0005-0000-0000-000083080000}"/>
    <cellStyle name="H_1998_col_head_Tubulars" xfId="2197" xr:uid="{00000000-0005-0000-0000-000084080000}"/>
    <cellStyle name="H_1998_col_head_Tubulars_IR nxp 238" xfId="2198" xr:uid="{00000000-0005-0000-0000-000085080000}"/>
    <cellStyle name="H_1998_col_head_Tubulars_MMM nxp 33" xfId="2199" xr:uid="{00000000-0005-0000-0000-000086080000}"/>
    <cellStyle name="H_1998_col_head_Well Site Srvs" xfId="2200" xr:uid="{00000000-0005-0000-0000-000087080000}"/>
    <cellStyle name="H_1998_col_head_Well Site Srvs_IR nxp 238" xfId="2201" xr:uid="{00000000-0005-0000-0000-000088080000}"/>
    <cellStyle name="H_1998_col_head_Well Site Srvs_MMM nxp 33" xfId="2202" xr:uid="{00000000-0005-0000-0000-000089080000}"/>
    <cellStyle name="H_1998_col_head_WFT published 1-30-07 Client version (2)" xfId="2203" xr:uid="{00000000-0005-0000-0000-00008A080000}"/>
    <cellStyle name="H_1998_col_head_WFT published 1-30-07 Client version (2) 2" xfId="2204" xr:uid="{00000000-0005-0000-0000-00008B080000}"/>
    <cellStyle name="H_1998_col_head_WFT published 1-30-07 Client version (2)_IR-working 238" xfId="2205" xr:uid="{00000000-0005-0000-0000-00008C080000}"/>
    <cellStyle name="H_1998_col_head_WFT published 1-30-07 Client version (2)_MMM working 31" xfId="2206" xr:uid="{00000000-0005-0000-0000-00008D080000}"/>
    <cellStyle name="H_1998_col_head_WFT published 1-30-07 Client version (2)_MMM working 32" xfId="2207" xr:uid="{00000000-0005-0000-0000-00008E080000}"/>
    <cellStyle name="H_1998_col_head_WFT published 1-30-07 Client version (2)_PNR working 21" xfId="2208" xr:uid="{00000000-0005-0000-0000-00008F080000}"/>
    <cellStyle name="H_1998_col_head_WFT published 1-30-07 Client version (2)_UTX working 32" xfId="2209" xr:uid="{00000000-0005-0000-0000-000090080000}"/>
    <cellStyle name="H_1998_col_head_WFT-M-08102004-AG" xfId="2210" xr:uid="{00000000-0005-0000-0000-000091080000}"/>
    <cellStyle name="H_1998_col_head_WFT-M-08102004-AG_IR nxp 238" xfId="2211" xr:uid="{00000000-0005-0000-0000-000092080000}"/>
    <cellStyle name="H_1998_col_head_WFT-M-08102004-AG_MMM nxp 33" xfId="2212" xr:uid="{00000000-0005-0000-0000-000093080000}"/>
    <cellStyle name="H_1998_col_head_WFTworking9" xfId="2213" xr:uid="{00000000-0005-0000-0000-000094080000}"/>
    <cellStyle name="H_1998_col_head_WFTworking9_IR nxp 238" xfId="2214" xr:uid="{00000000-0005-0000-0000-000095080000}"/>
    <cellStyle name="H_1998_col_head_WFTworking9_MMM nxp 33" xfId="2215" xr:uid="{00000000-0005-0000-0000-000096080000}"/>
    <cellStyle name="H_1999_col_head" xfId="267" xr:uid="{00000000-0005-0000-0000-000097080000}"/>
    <cellStyle name="H1_1998 figures" xfId="268" xr:uid="{00000000-0005-0000-0000-000098080000}"/>
    <cellStyle name="hard no." xfId="2216" xr:uid="{00000000-0005-0000-0000-000099080000}"/>
    <cellStyle name="hard no. 2" xfId="2217" xr:uid="{00000000-0005-0000-0000-00009A080000}"/>
    <cellStyle name="Hard Percent" xfId="2218" xr:uid="{00000000-0005-0000-0000-00009B080000}"/>
    <cellStyle name="Hard Percent 2" xfId="2219" xr:uid="{00000000-0005-0000-0000-00009C080000}"/>
    <cellStyle name="Hard Percent 3" xfId="2220" xr:uid="{00000000-0005-0000-0000-00009D080000}"/>
    <cellStyle name="header" xfId="2221" xr:uid="{00000000-0005-0000-0000-00009E080000}"/>
    <cellStyle name="header 2" xfId="2222" xr:uid="{00000000-0005-0000-0000-00009F080000}"/>
    <cellStyle name="Header Draft Stamp" xfId="2223" xr:uid="{00000000-0005-0000-0000-0000A0080000}"/>
    <cellStyle name="header_1124 ETNlink September 20" xfId="2224" xr:uid="{00000000-0005-0000-0000-0000A1080000}"/>
    <cellStyle name="Header1" xfId="2225" xr:uid="{00000000-0005-0000-0000-0000A2080000}"/>
    <cellStyle name="Header2" xfId="2226" xr:uid="{00000000-0005-0000-0000-0000A3080000}"/>
    <cellStyle name="headers" xfId="2227" xr:uid="{00000000-0005-0000-0000-0000A4080000}"/>
    <cellStyle name="Heading" xfId="269" xr:uid="{00000000-0005-0000-0000-0000A5080000}"/>
    <cellStyle name="Heading 1 2" xfId="2229" xr:uid="{00000000-0005-0000-0000-0000A6080000}"/>
    <cellStyle name="Heading 1 Above" xfId="2230" xr:uid="{00000000-0005-0000-0000-0000A7080000}"/>
    <cellStyle name="Heading 1+" xfId="2231" xr:uid="{00000000-0005-0000-0000-0000A8080000}"/>
    <cellStyle name="Heading 2 2" xfId="2232" xr:uid="{00000000-0005-0000-0000-0000A9080000}"/>
    <cellStyle name="Heading 2 Below" xfId="2233" xr:uid="{00000000-0005-0000-0000-0000AA080000}"/>
    <cellStyle name="Heading 2+" xfId="2234" xr:uid="{00000000-0005-0000-0000-0000AB080000}"/>
    <cellStyle name="Heading 3 2" xfId="2235" xr:uid="{00000000-0005-0000-0000-0000AC080000}"/>
    <cellStyle name="Heading 3+" xfId="2236" xr:uid="{00000000-0005-0000-0000-0000AD080000}"/>
    <cellStyle name="Heading 4 2" xfId="2237" xr:uid="{00000000-0005-0000-0000-0000AE080000}"/>
    <cellStyle name="Heading 4 2 2" xfId="2238" xr:uid="{00000000-0005-0000-0000-0000AF080000}"/>
    <cellStyle name="Heading 5" xfId="3290" xr:uid="{00000000-0005-0000-0000-0000B0080000}"/>
    <cellStyle name="Heading 6" xfId="3212" xr:uid="{00000000-0005-0000-0000-0000B1080000}"/>
    <cellStyle name="Heading 7" xfId="2228" xr:uid="{00000000-0005-0000-0000-0000B2080000}"/>
    <cellStyle name="Heading 8" xfId="3324" xr:uid="{00000000-0005-0000-0000-0000B3080000}"/>
    <cellStyle name="Heading1" xfId="270" xr:uid="{00000000-0005-0000-0000-0000B4080000}"/>
    <cellStyle name="Helv" xfId="2240" xr:uid="{00000000-0005-0000-0000-0000B5080000}"/>
    <cellStyle name="Hyperlink" xfId="3418" builtinId="8"/>
    <cellStyle name="Hyperlink 2" xfId="415" xr:uid="{00000000-0005-0000-0000-0000B7080000}"/>
    <cellStyle name="Hyperlink 2 2" xfId="3117" xr:uid="{00000000-0005-0000-0000-0000B8080000}"/>
    <cellStyle name="Hyperlink 2 3" xfId="2242" xr:uid="{00000000-0005-0000-0000-0000B9080000}"/>
    <cellStyle name="Hyperlink 3" xfId="2241" xr:uid="{00000000-0005-0000-0000-0000BA080000}"/>
    <cellStyle name="Hyperlink 4" xfId="3226" xr:uid="{00000000-0005-0000-0000-0000BB080000}"/>
    <cellStyle name="Identification requete" xfId="2243" xr:uid="{00000000-0005-0000-0000-0000BC080000}"/>
    <cellStyle name="Income" xfId="2244" xr:uid="{00000000-0005-0000-0000-0000BD080000}"/>
    <cellStyle name="IncomeStatement" xfId="2245" xr:uid="{00000000-0005-0000-0000-0000BE080000}"/>
    <cellStyle name="IncomeStatement 2" xfId="2246" xr:uid="{00000000-0005-0000-0000-0000BF080000}"/>
    <cellStyle name="IncomeStatement 3" xfId="2247" xr:uid="{00000000-0005-0000-0000-0000C0080000}"/>
    <cellStyle name="IncomeStatement_PNR working 21" xfId="2248" xr:uid="{00000000-0005-0000-0000-0000C1080000}"/>
    <cellStyle name="Index" xfId="2249" xr:uid="{00000000-0005-0000-0000-0000C2080000}"/>
    <cellStyle name="Info_Main" xfId="2250" xr:uid="{00000000-0005-0000-0000-0000C3080000}"/>
    <cellStyle name="Input [yellow]" xfId="2251" xr:uid="{00000000-0005-0000-0000-0000C4080000}"/>
    <cellStyle name="Input [yellow] 2" xfId="2252" xr:uid="{00000000-0005-0000-0000-0000C5080000}"/>
    <cellStyle name="Input [yellow]_PNR working 21" xfId="2253" xr:uid="{00000000-0005-0000-0000-0000C6080000}"/>
    <cellStyle name="Input 10" xfId="2254" xr:uid="{00000000-0005-0000-0000-0000C7080000}"/>
    <cellStyle name="Input 11" xfId="2255" xr:uid="{00000000-0005-0000-0000-0000C8080000}"/>
    <cellStyle name="Input 12" xfId="2256" xr:uid="{00000000-0005-0000-0000-0000C9080000}"/>
    <cellStyle name="Input 13" xfId="2257" xr:uid="{00000000-0005-0000-0000-0000CA080000}"/>
    <cellStyle name="Input 14" xfId="2258" xr:uid="{00000000-0005-0000-0000-0000CB080000}"/>
    <cellStyle name="Input 2" xfId="2259" xr:uid="{00000000-0005-0000-0000-0000CC080000}"/>
    <cellStyle name="Input 3" xfId="2260" xr:uid="{00000000-0005-0000-0000-0000CD080000}"/>
    <cellStyle name="Input 4" xfId="2261" xr:uid="{00000000-0005-0000-0000-0000CE080000}"/>
    <cellStyle name="Input 5" xfId="2262" xr:uid="{00000000-0005-0000-0000-0000CF080000}"/>
    <cellStyle name="Input 6" xfId="2263" xr:uid="{00000000-0005-0000-0000-0000D0080000}"/>
    <cellStyle name="Input 7" xfId="2264" xr:uid="{00000000-0005-0000-0000-0000D1080000}"/>
    <cellStyle name="Input 8" xfId="2265" xr:uid="{00000000-0005-0000-0000-0000D2080000}"/>
    <cellStyle name="Input 9" xfId="2266" xr:uid="{00000000-0005-0000-0000-0000D3080000}"/>
    <cellStyle name="Input Cells" xfId="271" xr:uid="{00000000-0005-0000-0000-0000D4080000}"/>
    <cellStyle name="Input Currency" xfId="2267" xr:uid="{00000000-0005-0000-0000-0000D5080000}"/>
    <cellStyle name="Input Currency 2" xfId="2268" xr:uid="{00000000-0005-0000-0000-0000D6080000}"/>
    <cellStyle name="Input Currency 2 2" xfId="2269" xr:uid="{00000000-0005-0000-0000-0000D7080000}"/>
    <cellStyle name="Input Currency 3" xfId="2270" xr:uid="{00000000-0005-0000-0000-0000D8080000}"/>
    <cellStyle name="Input Currency_AG" xfId="2271" xr:uid="{00000000-0005-0000-0000-0000D9080000}"/>
    <cellStyle name="Input Multiple" xfId="2272" xr:uid="{00000000-0005-0000-0000-0000DA080000}"/>
    <cellStyle name="Input Multiple 2" xfId="2273" xr:uid="{00000000-0005-0000-0000-0000DB080000}"/>
    <cellStyle name="Input Percent" xfId="2274" xr:uid="{00000000-0005-0000-0000-0000DC080000}"/>
    <cellStyle name="Input Percent 2" xfId="2275" xr:uid="{00000000-0005-0000-0000-0000DD080000}"/>
    <cellStyle name="InputCurrency" xfId="2276" xr:uid="{00000000-0005-0000-0000-0000DE080000}"/>
    <cellStyle name="InputCurrency 2" xfId="2277" xr:uid="{00000000-0005-0000-0000-0000DF080000}"/>
    <cellStyle name="InputCurrency2" xfId="2278" xr:uid="{00000000-0005-0000-0000-0000E0080000}"/>
    <cellStyle name="InputCurrency2 2" xfId="2279" xr:uid="{00000000-0005-0000-0000-0000E1080000}"/>
    <cellStyle name="InputDateDMth" xfId="2280" xr:uid="{00000000-0005-0000-0000-0000E2080000}"/>
    <cellStyle name="InputDateDMth 2" xfId="2281" xr:uid="{00000000-0005-0000-0000-0000E3080000}"/>
    <cellStyle name="InputDateNorm" xfId="2282" xr:uid="{00000000-0005-0000-0000-0000E4080000}"/>
    <cellStyle name="InputDateNorm 2" xfId="2283" xr:uid="{00000000-0005-0000-0000-0000E5080000}"/>
    <cellStyle name="InputMultiple1" xfId="2284" xr:uid="{00000000-0005-0000-0000-0000E6080000}"/>
    <cellStyle name="InputMultiple1 2" xfId="2285" xr:uid="{00000000-0005-0000-0000-0000E7080000}"/>
    <cellStyle name="InputPercent1" xfId="2286" xr:uid="{00000000-0005-0000-0000-0000E8080000}"/>
    <cellStyle name="InputPercent1 2" xfId="2287" xr:uid="{00000000-0005-0000-0000-0000E9080000}"/>
    <cellStyle name="InputUlineNumeric" xfId="2288" xr:uid="{00000000-0005-0000-0000-0000EA080000}"/>
    <cellStyle name="InputUlineNumeric 2" xfId="2289" xr:uid="{00000000-0005-0000-0000-0000EB080000}"/>
    <cellStyle name="InputUlineNumeric 2 2" xfId="2290" xr:uid="{00000000-0005-0000-0000-0000EC080000}"/>
    <cellStyle name="InputUlineNumeric 3" xfId="2291" xr:uid="{00000000-0005-0000-0000-0000ED080000}"/>
    <cellStyle name="Italics" xfId="2292" xr:uid="{00000000-0005-0000-0000-0000EE080000}"/>
    <cellStyle name="Item Descriptions" xfId="272" xr:uid="{00000000-0005-0000-0000-0000EF080000}"/>
    <cellStyle name="Jason" xfId="2293" xr:uid="{00000000-0005-0000-0000-0000F0080000}"/>
    <cellStyle name="Jason 2" xfId="2294" xr:uid="{00000000-0005-0000-0000-0000F1080000}"/>
    <cellStyle name="Jason 3" xfId="2295" xr:uid="{00000000-0005-0000-0000-0000F2080000}"/>
    <cellStyle name="lead" xfId="2296" xr:uid="{00000000-0005-0000-0000-0000F3080000}"/>
    <cellStyle name="lead 2" xfId="2297" xr:uid="{00000000-0005-0000-0000-0000F4080000}"/>
    <cellStyle name="Ligne détail" xfId="2298" xr:uid="{00000000-0005-0000-0000-0000F5080000}"/>
    <cellStyle name="Line" xfId="273" xr:uid="{00000000-0005-0000-0000-0000F6080000}"/>
    <cellStyle name="Link Currency (0)" xfId="2299" xr:uid="{00000000-0005-0000-0000-0000F7080000}"/>
    <cellStyle name="Link Currency (2)" xfId="2300" xr:uid="{00000000-0005-0000-0000-0000F8080000}"/>
    <cellStyle name="Link Units (0)" xfId="2301" xr:uid="{00000000-0005-0000-0000-0000F9080000}"/>
    <cellStyle name="Link Units (1)" xfId="2302" xr:uid="{00000000-0005-0000-0000-0000FA080000}"/>
    <cellStyle name="Link Units (2)" xfId="2303" xr:uid="{00000000-0005-0000-0000-0000FB080000}"/>
    <cellStyle name="Linked Cell 2" xfId="2304" xr:uid="{00000000-0005-0000-0000-0000FC080000}"/>
    <cellStyle name="Linked Cell 2 2" xfId="2305" xr:uid="{00000000-0005-0000-0000-0000FD080000}"/>
    <cellStyle name="LTGR" xfId="2306" xr:uid="{00000000-0005-0000-0000-0000FE080000}"/>
    <cellStyle name="LTGR 2" xfId="2307" xr:uid="{00000000-0005-0000-0000-0000FF080000}"/>
    <cellStyle name="LTGR 3" xfId="2308" xr:uid="{00000000-0005-0000-0000-000000090000}"/>
    <cellStyle name="m" xfId="2309" xr:uid="{00000000-0005-0000-0000-000001090000}"/>
    <cellStyle name="m$" xfId="2310" xr:uid="{00000000-0005-0000-0000-000002090000}"/>
    <cellStyle name="m_AOL_Model_Master" xfId="2311" xr:uid="{00000000-0005-0000-0000-000003090000}"/>
    <cellStyle name="mag" xfId="2312" xr:uid="{00000000-0005-0000-0000-000004090000}"/>
    <cellStyle name="Mainhead" xfId="274" xr:uid="{00000000-0005-0000-0000-000005090000}"/>
    <cellStyle name="Major item" xfId="2313" xr:uid="{00000000-0005-0000-0000-000006090000}"/>
    <cellStyle name="Major item 2" xfId="2314" xr:uid="{00000000-0005-0000-0000-000007090000}"/>
    <cellStyle name="Major item_PNR working 21" xfId="2315" xr:uid="{00000000-0005-0000-0000-000008090000}"/>
    <cellStyle name="margin" xfId="416" xr:uid="{00000000-0005-0000-0000-000009090000}"/>
    <cellStyle name="Margin 10" xfId="2316" xr:uid="{00000000-0005-0000-0000-00000A090000}"/>
    <cellStyle name="Margin 2" xfId="2317" xr:uid="{00000000-0005-0000-0000-00000B090000}"/>
    <cellStyle name="margin 3" xfId="3118" xr:uid="{00000000-0005-0000-0000-00000C090000}"/>
    <cellStyle name="margin 4" xfId="3139" xr:uid="{00000000-0005-0000-0000-00000D090000}"/>
    <cellStyle name="margin 5" xfId="3098" xr:uid="{00000000-0005-0000-0000-00000E090000}"/>
    <cellStyle name="margin 6" xfId="3169" xr:uid="{00000000-0005-0000-0000-00000F090000}"/>
    <cellStyle name="margin 7" xfId="3163" xr:uid="{00000000-0005-0000-0000-000010090000}"/>
    <cellStyle name="margin 8" xfId="3168" xr:uid="{00000000-0005-0000-0000-000011090000}"/>
    <cellStyle name="margin 9" xfId="3162" xr:uid="{00000000-0005-0000-0000-000012090000}"/>
    <cellStyle name="Margins" xfId="2318" xr:uid="{00000000-0005-0000-0000-000013090000}"/>
    <cellStyle name="Margins 2" xfId="2319" xr:uid="{00000000-0005-0000-0000-000014090000}"/>
    <cellStyle name="Merrill" xfId="275" xr:uid="{00000000-0005-0000-0000-000015090000}"/>
    <cellStyle name="MEV1" xfId="2320" xr:uid="{00000000-0005-0000-0000-000016090000}"/>
    <cellStyle name="MEV2" xfId="2321" xr:uid="{00000000-0005-0000-0000-000017090000}"/>
    <cellStyle name="Migliaia (0)_Bourse" xfId="2322" xr:uid="{00000000-0005-0000-0000-000018090000}"/>
    <cellStyle name="Migliaia_Bourse" xfId="2323" xr:uid="{00000000-0005-0000-0000-000019090000}"/>
    <cellStyle name="Mix" xfId="276" xr:uid="{00000000-0005-0000-0000-00001A090000}"/>
    <cellStyle name="mm" xfId="2324" xr:uid="{00000000-0005-0000-0000-00001B090000}"/>
    <cellStyle name="Monitor" xfId="277" xr:uid="{00000000-0005-0000-0000-00001C090000}"/>
    <cellStyle name="muiltiple" xfId="2325" xr:uid="{00000000-0005-0000-0000-00001D090000}"/>
    <cellStyle name="muiltiple 2" xfId="2326" xr:uid="{00000000-0005-0000-0000-00001E090000}"/>
    <cellStyle name="Multiple" xfId="4" xr:uid="{00000000-0005-0000-0000-00001F090000}"/>
    <cellStyle name="Multiple 2" xfId="5" xr:uid="{00000000-0005-0000-0000-000020090000}"/>
    <cellStyle name="Multiple 2 2" xfId="2327" xr:uid="{00000000-0005-0000-0000-000021090000}"/>
    <cellStyle name="Multiple 2 2 2" xfId="3379" xr:uid="{00000000-0005-0000-0000-000022090000}"/>
    <cellStyle name="Multiple 2 3" xfId="3347" xr:uid="{00000000-0005-0000-0000-000023090000}"/>
    <cellStyle name="Multiple 3" xfId="2328" xr:uid="{00000000-0005-0000-0000-000024090000}"/>
    <cellStyle name="Multiple 4" xfId="2329" xr:uid="{00000000-0005-0000-0000-000025090000}"/>
    <cellStyle name="Multiple 5" xfId="2330" xr:uid="{00000000-0005-0000-0000-000026090000}"/>
    <cellStyle name="Multiple 6" xfId="2331" xr:uid="{00000000-0005-0000-0000-000027090000}"/>
    <cellStyle name="Multiple 7" xfId="3291" xr:uid="{00000000-0005-0000-0000-000028090000}"/>
    <cellStyle name="Multiple 8" xfId="3213" xr:uid="{00000000-0005-0000-0000-000029090000}"/>
    <cellStyle name="Multiple 9" xfId="3346" xr:uid="{00000000-0005-0000-0000-00002A090000}"/>
    <cellStyle name="Multiple1" xfId="2332" xr:uid="{00000000-0005-0000-0000-00002B090000}"/>
    <cellStyle name="Multiple1 2" xfId="2333" xr:uid="{00000000-0005-0000-0000-00002C090000}"/>
    <cellStyle name="Multiple2" xfId="6" xr:uid="{00000000-0005-0000-0000-00002D090000}"/>
    <cellStyle name="MultipleBelow" xfId="2334" xr:uid="{00000000-0005-0000-0000-00002E090000}"/>
    <cellStyle name="MultipleBelow 2" xfId="2335" xr:uid="{00000000-0005-0000-0000-00002F090000}"/>
    <cellStyle name="Neutral 2" xfId="2336" xr:uid="{00000000-0005-0000-0000-000030090000}"/>
    <cellStyle name="Neutral 2 2" xfId="2337" xr:uid="{00000000-0005-0000-0000-000031090000}"/>
    <cellStyle name="no dec" xfId="2338" xr:uid="{00000000-0005-0000-0000-000032090000}"/>
    <cellStyle name="no dec 2" xfId="2339" xr:uid="{00000000-0005-0000-0000-000033090000}"/>
    <cellStyle name="No Decimal" xfId="2340" xr:uid="{00000000-0005-0000-0000-000034090000}"/>
    <cellStyle name="Normal" xfId="0" builtinId="0"/>
    <cellStyle name="Normal-" xfId="7" xr:uid="{00000000-0005-0000-0000-000036090000}"/>
    <cellStyle name="Normal - Style1" xfId="278" xr:uid="{00000000-0005-0000-0000-000037090000}"/>
    <cellStyle name="Normal - Style1 2" xfId="2343" xr:uid="{00000000-0005-0000-0000-000038090000}"/>
    <cellStyle name="Normal - Style1 3" xfId="3293" xr:uid="{00000000-0005-0000-0000-000039090000}"/>
    <cellStyle name="Normal - Style1 4" xfId="3214" xr:uid="{00000000-0005-0000-0000-00003A090000}"/>
    <cellStyle name="Normal - Style1 5" xfId="2342" xr:uid="{00000000-0005-0000-0000-00003B090000}"/>
    <cellStyle name="Normal 10" xfId="350" xr:uid="{00000000-0005-0000-0000-00003C090000}"/>
    <cellStyle name="Normal- 10" xfId="336" xr:uid="{00000000-0005-0000-0000-00003D090000}"/>
    <cellStyle name="Normal 10 10" xfId="3249" xr:uid="{00000000-0005-0000-0000-00003E090000}"/>
    <cellStyle name="Normal 10 11" xfId="356" xr:uid="{00000000-0005-0000-0000-00003F090000}"/>
    <cellStyle name="Normal 10 12" xfId="2964" xr:uid="{00000000-0005-0000-0000-000040090000}"/>
    <cellStyle name="Normal 10 13" xfId="3349" xr:uid="{00000000-0005-0000-0000-000041090000}"/>
    <cellStyle name="Normal 10 2" xfId="3076" xr:uid="{00000000-0005-0000-0000-000042090000}"/>
    <cellStyle name="Normal- 10 2" xfId="2345" xr:uid="{00000000-0005-0000-0000-000043090000}"/>
    <cellStyle name="Normal 10 2 2" xfId="3316" xr:uid="{00000000-0005-0000-0000-000044090000}"/>
    <cellStyle name="Normal 10 2 3" xfId="3381" xr:uid="{00000000-0005-0000-0000-000045090000}"/>
    <cellStyle name="Normal 10 3" xfId="3133" xr:uid="{00000000-0005-0000-0000-000046090000}"/>
    <cellStyle name="Normal- 10 3" xfId="3326" xr:uid="{00000000-0005-0000-0000-000047090000}"/>
    <cellStyle name="Normal 10 4" xfId="3146" xr:uid="{00000000-0005-0000-0000-000048090000}"/>
    <cellStyle name="Normal 10 5" xfId="3151" xr:uid="{00000000-0005-0000-0000-000049090000}"/>
    <cellStyle name="Normal 10 5 2" xfId="3416" xr:uid="{00000000-0005-0000-0000-00004A090000}"/>
    <cellStyle name="Normal 10 6" xfId="3184" xr:uid="{00000000-0005-0000-0000-00004B090000}"/>
    <cellStyle name="Normal 10 7" xfId="3188" xr:uid="{00000000-0005-0000-0000-00004C090000}"/>
    <cellStyle name="Normal 10 8" xfId="3192" xr:uid="{00000000-0005-0000-0000-00004D090000}"/>
    <cellStyle name="Normal 10 9" xfId="2344" xr:uid="{00000000-0005-0000-0000-00004E090000}"/>
    <cellStyle name="Normal 100" xfId="2346" xr:uid="{00000000-0005-0000-0000-00004F090000}"/>
    <cellStyle name="Normal 101" xfId="2347" xr:uid="{00000000-0005-0000-0000-000050090000}"/>
    <cellStyle name="Normal 102" xfId="2348" xr:uid="{00000000-0005-0000-0000-000051090000}"/>
    <cellStyle name="Normal 103" xfId="2349" xr:uid="{00000000-0005-0000-0000-000052090000}"/>
    <cellStyle name="Normal 104" xfId="2350" xr:uid="{00000000-0005-0000-0000-000053090000}"/>
    <cellStyle name="Normal 105" xfId="2351" xr:uid="{00000000-0005-0000-0000-000054090000}"/>
    <cellStyle name="Normal 106" xfId="2352" xr:uid="{00000000-0005-0000-0000-000055090000}"/>
    <cellStyle name="Normal 107" xfId="2353" xr:uid="{00000000-0005-0000-0000-000056090000}"/>
    <cellStyle name="Normal 108" xfId="2354" xr:uid="{00000000-0005-0000-0000-000057090000}"/>
    <cellStyle name="Normal 109" xfId="2355" xr:uid="{00000000-0005-0000-0000-000058090000}"/>
    <cellStyle name="Normal 11" xfId="351" xr:uid="{00000000-0005-0000-0000-000059090000}"/>
    <cellStyle name="Normal- 11" xfId="338" xr:uid="{00000000-0005-0000-0000-00005A090000}"/>
    <cellStyle name="Normal 11 2" xfId="2356" xr:uid="{00000000-0005-0000-0000-00005B090000}"/>
    <cellStyle name="Normal- 11 2" xfId="2357" xr:uid="{00000000-0005-0000-0000-00005C090000}"/>
    <cellStyle name="Normal 11 2 2" xfId="3382" xr:uid="{00000000-0005-0000-0000-00005D090000}"/>
    <cellStyle name="Normal 11 3" xfId="3327" xr:uid="{00000000-0005-0000-0000-00005E090000}"/>
    <cellStyle name="Normal- 11 3" xfId="3328" xr:uid="{00000000-0005-0000-0000-00005F090000}"/>
    <cellStyle name="Normal 11 4" xfId="3350" xr:uid="{00000000-0005-0000-0000-000060090000}"/>
    <cellStyle name="Normal 110" xfId="2358" xr:uid="{00000000-0005-0000-0000-000061090000}"/>
    <cellStyle name="Normal 111" xfId="2359" xr:uid="{00000000-0005-0000-0000-000062090000}"/>
    <cellStyle name="Normal 112" xfId="2360" xr:uid="{00000000-0005-0000-0000-000063090000}"/>
    <cellStyle name="Normal 113" xfId="2361" xr:uid="{00000000-0005-0000-0000-000064090000}"/>
    <cellStyle name="Normal 114" xfId="2362" xr:uid="{00000000-0005-0000-0000-000065090000}"/>
    <cellStyle name="Normal 115" xfId="2363" xr:uid="{00000000-0005-0000-0000-000066090000}"/>
    <cellStyle name="Normal 116" xfId="2364" xr:uid="{00000000-0005-0000-0000-000067090000}"/>
    <cellStyle name="Normal 117" xfId="2365" xr:uid="{00000000-0005-0000-0000-000068090000}"/>
    <cellStyle name="Normal 118" xfId="2366" xr:uid="{00000000-0005-0000-0000-000069090000}"/>
    <cellStyle name="Normal 119" xfId="2367" xr:uid="{00000000-0005-0000-0000-00006A090000}"/>
    <cellStyle name="Normal 12" xfId="352" xr:uid="{00000000-0005-0000-0000-00006B090000}"/>
    <cellStyle name="Normal- 12" xfId="2369" xr:uid="{00000000-0005-0000-0000-00006C090000}"/>
    <cellStyle name="Normal 12 2" xfId="2368" xr:uid="{00000000-0005-0000-0000-00006D090000}"/>
    <cellStyle name="Normal 12 2 2" xfId="3383" xr:uid="{00000000-0005-0000-0000-00006E090000}"/>
    <cellStyle name="Normal 12 3" xfId="3329" xr:uid="{00000000-0005-0000-0000-00006F090000}"/>
    <cellStyle name="Normal 12 4" xfId="3351" xr:uid="{00000000-0005-0000-0000-000070090000}"/>
    <cellStyle name="Normal 120" xfId="2370" xr:uid="{00000000-0005-0000-0000-000071090000}"/>
    <cellStyle name="Normal 121" xfId="2371" xr:uid="{00000000-0005-0000-0000-000072090000}"/>
    <cellStyle name="Normal 122" xfId="2372" xr:uid="{00000000-0005-0000-0000-000073090000}"/>
    <cellStyle name="Normal 123" xfId="2373" xr:uid="{00000000-0005-0000-0000-000074090000}"/>
    <cellStyle name="Normal 124" xfId="2374" xr:uid="{00000000-0005-0000-0000-000075090000}"/>
    <cellStyle name="Normal 125" xfId="2375" xr:uid="{00000000-0005-0000-0000-000076090000}"/>
    <cellStyle name="Normal 126" xfId="2376" xr:uid="{00000000-0005-0000-0000-000077090000}"/>
    <cellStyle name="Normal 127" xfId="2377" xr:uid="{00000000-0005-0000-0000-000078090000}"/>
    <cellStyle name="Normal 128" xfId="2378" xr:uid="{00000000-0005-0000-0000-000079090000}"/>
    <cellStyle name="Normal 129" xfId="2379" xr:uid="{00000000-0005-0000-0000-00007A090000}"/>
    <cellStyle name="Normal 13" xfId="2380" xr:uid="{00000000-0005-0000-0000-00007B090000}"/>
    <cellStyle name="Normal- 13" xfId="2381" xr:uid="{00000000-0005-0000-0000-00007C090000}"/>
    <cellStyle name="Normal 13 2" xfId="3384" xr:uid="{00000000-0005-0000-0000-00007D090000}"/>
    <cellStyle name="Normal 13 3" xfId="3352" xr:uid="{00000000-0005-0000-0000-00007E090000}"/>
    <cellStyle name="Normal 130" xfId="2382" xr:uid="{00000000-0005-0000-0000-00007F090000}"/>
    <cellStyle name="Normal 131" xfId="2383" xr:uid="{00000000-0005-0000-0000-000080090000}"/>
    <cellStyle name="Normal 132" xfId="2384" xr:uid="{00000000-0005-0000-0000-000081090000}"/>
    <cellStyle name="Normal 133" xfId="2385" xr:uid="{00000000-0005-0000-0000-000082090000}"/>
    <cellStyle name="Normal 134" xfId="2386" xr:uid="{00000000-0005-0000-0000-000083090000}"/>
    <cellStyle name="Normal 135" xfId="2387" xr:uid="{00000000-0005-0000-0000-000084090000}"/>
    <cellStyle name="Normal 136" xfId="2388" xr:uid="{00000000-0005-0000-0000-000085090000}"/>
    <cellStyle name="Normal 137" xfId="2389" xr:uid="{00000000-0005-0000-0000-000086090000}"/>
    <cellStyle name="Normal 138" xfId="2390" xr:uid="{00000000-0005-0000-0000-000087090000}"/>
    <cellStyle name="Normal 139" xfId="2391" xr:uid="{00000000-0005-0000-0000-000088090000}"/>
    <cellStyle name="Normal 14" xfId="2392" xr:uid="{00000000-0005-0000-0000-000089090000}"/>
    <cellStyle name="Normal- 14" xfId="2393" xr:uid="{00000000-0005-0000-0000-00008A090000}"/>
    <cellStyle name="Normal 14 2" xfId="3385" xr:uid="{00000000-0005-0000-0000-00008B090000}"/>
    <cellStyle name="Normal 14 3" xfId="3353" xr:uid="{00000000-0005-0000-0000-00008C090000}"/>
    <cellStyle name="Normal 140" xfId="2394" xr:uid="{00000000-0005-0000-0000-00008D090000}"/>
    <cellStyle name="Normal 141" xfId="2395" xr:uid="{00000000-0005-0000-0000-00008E090000}"/>
    <cellStyle name="Normal 142" xfId="2396" xr:uid="{00000000-0005-0000-0000-00008F090000}"/>
    <cellStyle name="Normal 143" xfId="2397" xr:uid="{00000000-0005-0000-0000-000090090000}"/>
    <cellStyle name="Normal 144" xfId="2398" xr:uid="{00000000-0005-0000-0000-000091090000}"/>
    <cellStyle name="Normal 145" xfId="2399" xr:uid="{00000000-0005-0000-0000-000092090000}"/>
    <cellStyle name="Normal 146" xfId="2400" xr:uid="{00000000-0005-0000-0000-000093090000}"/>
    <cellStyle name="Normal 147" xfId="2401" xr:uid="{00000000-0005-0000-0000-000094090000}"/>
    <cellStyle name="Normal 148" xfId="2402" xr:uid="{00000000-0005-0000-0000-000095090000}"/>
    <cellStyle name="Normal 149" xfId="3065" xr:uid="{00000000-0005-0000-0000-000096090000}"/>
    <cellStyle name="Normal 15" xfId="2403" xr:uid="{00000000-0005-0000-0000-000097090000}"/>
    <cellStyle name="Normal- 15" xfId="2404" xr:uid="{00000000-0005-0000-0000-000098090000}"/>
    <cellStyle name="Normal 15 2" xfId="3386" xr:uid="{00000000-0005-0000-0000-000099090000}"/>
    <cellStyle name="Normal 15 3" xfId="3354" xr:uid="{00000000-0005-0000-0000-00009A090000}"/>
    <cellStyle name="Normal 150" xfId="3074" xr:uid="{00000000-0005-0000-0000-00009B090000}"/>
    <cellStyle name="Normal 151" xfId="3135" xr:uid="{00000000-0005-0000-0000-00009C090000}"/>
    <cellStyle name="Normal 152" xfId="3148" xr:uid="{00000000-0005-0000-0000-00009D090000}"/>
    <cellStyle name="Normal 153" xfId="3149" xr:uid="{00000000-0005-0000-0000-00009E090000}"/>
    <cellStyle name="Normal 154" xfId="3186" xr:uid="{00000000-0005-0000-0000-00009F090000}"/>
    <cellStyle name="Normal 155" xfId="3190" xr:uid="{00000000-0005-0000-0000-0000A0090000}"/>
    <cellStyle name="Normal 156" xfId="3194" xr:uid="{00000000-0005-0000-0000-0000A1090000}"/>
    <cellStyle name="Normal 157" xfId="438" xr:uid="{00000000-0005-0000-0000-0000A2090000}"/>
    <cellStyle name="Normal 157 2" xfId="3259" xr:uid="{00000000-0005-0000-0000-0000A3090000}"/>
    <cellStyle name="Normal 158" xfId="3247" xr:uid="{00000000-0005-0000-0000-0000A4090000}"/>
    <cellStyle name="Normal 159" xfId="3043" xr:uid="{00000000-0005-0000-0000-0000A5090000}"/>
    <cellStyle name="Normal 16" xfId="2405" xr:uid="{00000000-0005-0000-0000-0000A6090000}"/>
    <cellStyle name="Normal- 16" xfId="2406" xr:uid="{00000000-0005-0000-0000-0000A7090000}"/>
    <cellStyle name="Normal 16 2" xfId="3387" xr:uid="{00000000-0005-0000-0000-0000A8090000}"/>
    <cellStyle name="Normal 16 3" xfId="3355" xr:uid="{00000000-0005-0000-0000-0000A9090000}"/>
    <cellStyle name="Normal 160" xfId="354" xr:uid="{00000000-0005-0000-0000-0000AA090000}"/>
    <cellStyle name="Normal 161" xfId="437" xr:uid="{00000000-0005-0000-0000-0000AB090000}"/>
    <cellStyle name="Normal 162" xfId="3342" xr:uid="{00000000-0005-0000-0000-0000AC090000}"/>
    <cellStyle name="Normal 17" xfId="2407" xr:uid="{00000000-0005-0000-0000-0000AD090000}"/>
    <cellStyle name="Normal- 17" xfId="2408" xr:uid="{00000000-0005-0000-0000-0000AE090000}"/>
    <cellStyle name="Normal 17 2" xfId="3388" xr:uid="{00000000-0005-0000-0000-0000AF090000}"/>
    <cellStyle name="Normal 17 3" xfId="3356" xr:uid="{00000000-0005-0000-0000-0000B0090000}"/>
    <cellStyle name="Normal 18" xfId="2409" xr:uid="{00000000-0005-0000-0000-0000B1090000}"/>
    <cellStyle name="Normal- 18" xfId="2410" xr:uid="{00000000-0005-0000-0000-0000B2090000}"/>
    <cellStyle name="Normal 18 2" xfId="3389" xr:uid="{00000000-0005-0000-0000-0000B3090000}"/>
    <cellStyle name="Normal 18 3" xfId="3357" xr:uid="{00000000-0005-0000-0000-0000B4090000}"/>
    <cellStyle name="Normal 19" xfId="2411" xr:uid="{00000000-0005-0000-0000-0000B5090000}"/>
    <cellStyle name="Normal- 19" xfId="2412" xr:uid="{00000000-0005-0000-0000-0000B6090000}"/>
    <cellStyle name="Normal 19 2" xfId="3390" xr:uid="{00000000-0005-0000-0000-0000B7090000}"/>
    <cellStyle name="Normal 19 3" xfId="3358" xr:uid="{00000000-0005-0000-0000-0000B8090000}"/>
    <cellStyle name="Normal 2" xfId="8" xr:uid="{00000000-0005-0000-0000-0000B9090000}"/>
    <cellStyle name="Normal- 2" xfId="9" xr:uid="{00000000-0005-0000-0000-0000BA090000}"/>
    <cellStyle name="Normal 2 10" xfId="2415" xr:uid="{00000000-0005-0000-0000-0000BB090000}"/>
    <cellStyle name="Normal 2 11" xfId="2416" xr:uid="{00000000-0005-0000-0000-0000BC090000}"/>
    <cellStyle name="Normal 2 12" xfId="2417" xr:uid="{00000000-0005-0000-0000-0000BD090000}"/>
    <cellStyle name="Normal 2 13" xfId="2418" xr:uid="{00000000-0005-0000-0000-0000BE090000}"/>
    <cellStyle name="Normal 2 14" xfId="2419" xr:uid="{00000000-0005-0000-0000-0000BF090000}"/>
    <cellStyle name="Normal 2 15" xfId="2420" xr:uid="{00000000-0005-0000-0000-0000C0090000}"/>
    <cellStyle name="Normal 2 16" xfId="2421" xr:uid="{00000000-0005-0000-0000-0000C1090000}"/>
    <cellStyle name="Normal 2 17" xfId="2422" xr:uid="{00000000-0005-0000-0000-0000C2090000}"/>
    <cellStyle name="Normal 2 18" xfId="2423" xr:uid="{00000000-0005-0000-0000-0000C3090000}"/>
    <cellStyle name="Normal 2 19" xfId="2424" xr:uid="{00000000-0005-0000-0000-0000C4090000}"/>
    <cellStyle name="Normal 2 2" xfId="417" xr:uid="{00000000-0005-0000-0000-0000C5090000}"/>
    <cellStyle name="Normal- 2 2" xfId="3294" xr:uid="{00000000-0005-0000-0000-0000C6090000}"/>
    <cellStyle name="Normal 2 20" xfId="2425" xr:uid="{00000000-0005-0000-0000-0000C7090000}"/>
    <cellStyle name="Normal 2 21" xfId="2426" xr:uid="{00000000-0005-0000-0000-0000C8090000}"/>
    <cellStyle name="Normal 2 22" xfId="2427" xr:uid="{00000000-0005-0000-0000-0000C9090000}"/>
    <cellStyle name="Normal 2 23" xfId="2428" xr:uid="{00000000-0005-0000-0000-0000CA090000}"/>
    <cellStyle name="Normal 2 24" xfId="2429" xr:uid="{00000000-0005-0000-0000-0000CB090000}"/>
    <cellStyle name="Normal 2 25" xfId="2430" xr:uid="{00000000-0005-0000-0000-0000CC090000}"/>
    <cellStyle name="Normal 2 26" xfId="2431" xr:uid="{00000000-0005-0000-0000-0000CD090000}"/>
    <cellStyle name="Normal 2 27" xfId="2432" xr:uid="{00000000-0005-0000-0000-0000CE090000}"/>
    <cellStyle name="Normal 2 28" xfId="2433" xr:uid="{00000000-0005-0000-0000-0000CF090000}"/>
    <cellStyle name="Normal 2 29" xfId="2434" xr:uid="{00000000-0005-0000-0000-0000D0090000}"/>
    <cellStyle name="Normal 2 3" xfId="418" xr:uid="{00000000-0005-0000-0000-0000D1090000}"/>
    <cellStyle name="Normal- 2 3" xfId="2886" xr:uid="{00000000-0005-0000-0000-0000D2090000}"/>
    <cellStyle name="Normal 2 3 2" xfId="3119" xr:uid="{00000000-0005-0000-0000-0000D3090000}"/>
    <cellStyle name="Normal 2 3 3" xfId="3170" xr:uid="{00000000-0005-0000-0000-0000D4090000}"/>
    <cellStyle name="Normal 2 3 4" xfId="2435" xr:uid="{00000000-0005-0000-0000-0000D5090000}"/>
    <cellStyle name="Normal 2 3 5" xfId="3251" xr:uid="{00000000-0005-0000-0000-0000D6090000}"/>
    <cellStyle name="Normal 2 30" xfId="2436" xr:uid="{00000000-0005-0000-0000-0000D7090000}"/>
    <cellStyle name="Normal 2 31" xfId="2437" xr:uid="{00000000-0005-0000-0000-0000D8090000}"/>
    <cellStyle name="Normal 2 32" xfId="2438" xr:uid="{00000000-0005-0000-0000-0000D9090000}"/>
    <cellStyle name="Normal 2 33" xfId="2439" xr:uid="{00000000-0005-0000-0000-0000DA090000}"/>
    <cellStyle name="Normal 2 34" xfId="2440" xr:uid="{00000000-0005-0000-0000-0000DB090000}"/>
    <cellStyle name="Normal 2 35" xfId="2441" xr:uid="{00000000-0005-0000-0000-0000DC090000}"/>
    <cellStyle name="Normal 2 35 2" xfId="2442" xr:uid="{00000000-0005-0000-0000-0000DD090000}"/>
    <cellStyle name="Normal 2 36" xfId="2443" xr:uid="{00000000-0005-0000-0000-0000DE090000}"/>
    <cellStyle name="Normal 2 37" xfId="2444" xr:uid="{00000000-0005-0000-0000-0000DF090000}"/>
    <cellStyle name="Normal 2 38" xfId="2445" xr:uid="{00000000-0005-0000-0000-0000E0090000}"/>
    <cellStyle name="Normal 2 39" xfId="2446" xr:uid="{00000000-0005-0000-0000-0000E1090000}"/>
    <cellStyle name="Normal 2 4" xfId="2447" xr:uid="{00000000-0005-0000-0000-0000E2090000}"/>
    <cellStyle name="Normal- 2 4" xfId="2414" xr:uid="{00000000-0005-0000-0000-0000E3090000}"/>
    <cellStyle name="Normal 2 4 2" xfId="3295" xr:uid="{00000000-0005-0000-0000-0000E4090000}"/>
    <cellStyle name="Normal 2 4 3" xfId="3238" xr:uid="{00000000-0005-0000-0000-0000E5090000}"/>
    <cellStyle name="Normal 2 40" xfId="2448" xr:uid="{00000000-0005-0000-0000-0000E6090000}"/>
    <cellStyle name="Normal 2 41" xfId="2449" xr:uid="{00000000-0005-0000-0000-0000E7090000}"/>
    <cellStyle name="Normal 2 42" xfId="2450" xr:uid="{00000000-0005-0000-0000-0000E8090000}"/>
    <cellStyle name="Normal 2 43" xfId="2451" xr:uid="{00000000-0005-0000-0000-0000E9090000}"/>
    <cellStyle name="Normal 2 44" xfId="2452" xr:uid="{00000000-0005-0000-0000-0000EA090000}"/>
    <cellStyle name="Normal 2 45" xfId="2453" xr:uid="{00000000-0005-0000-0000-0000EB090000}"/>
    <cellStyle name="Normal 2 46" xfId="2454" xr:uid="{00000000-0005-0000-0000-0000EC090000}"/>
    <cellStyle name="Normal 2 47" xfId="3077" xr:uid="{00000000-0005-0000-0000-0000ED090000}"/>
    <cellStyle name="Normal 2 48" xfId="3131" xr:uid="{00000000-0005-0000-0000-0000EE090000}"/>
    <cellStyle name="Normal 2 49" xfId="3145" xr:uid="{00000000-0005-0000-0000-0000EF090000}"/>
    <cellStyle name="Normal 2 5" xfId="2455" xr:uid="{00000000-0005-0000-0000-0000F0090000}"/>
    <cellStyle name="Normal- 2 5" xfId="3330" xr:uid="{00000000-0005-0000-0000-0000F1090000}"/>
    <cellStyle name="Normal 2 50" xfId="3152" xr:uid="{00000000-0005-0000-0000-0000F2090000}"/>
    <cellStyle name="Normal 2 51" xfId="3183" xr:uid="{00000000-0005-0000-0000-0000F3090000}"/>
    <cellStyle name="Normal 2 52" xfId="3187" xr:uid="{00000000-0005-0000-0000-0000F4090000}"/>
    <cellStyle name="Normal 2 53" xfId="3191" xr:uid="{00000000-0005-0000-0000-0000F5090000}"/>
    <cellStyle name="Normal 2 54" xfId="2413" xr:uid="{00000000-0005-0000-0000-0000F6090000}"/>
    <cellStyle name="Normal 2 55" xfId="3250" xr:uid="{00000000-0005-0000-0000-0000F7090000}"/>
    <cellStyle name="Normal 2 56" xfId="2887" xr:uid="{00000000-0005-0000-0000-0000F8090000}"/>
    <cellStyle name="Normal 2 57" xfId="357" xr:uid="{00000000-0005-0000-0000-0000F9090000}"/>
    <cellStyle name="Normal 2 58" xfId="2963" xr:uid="{00000000-0005-0000-0000-0000FA090000}"/>
    <cellStyle name="Normal 2 6" xfId="2456" xr:uid="{00000000-0005-0000-0000-0000FB090000}"/>
    <cellStyle name="Normal- 2 6" xfId="3359" xr:uid="{00000000-0005-0000-0000-0000FC090000}"/>
    <cellStyle name="Normal 2 7" xfId="2457" xr:uid="{00000000-0005-0000-0000-0000FD090000}"/>
    <cellStyle name="Normal 2 8" xfId="2458" xr:uid="{00000000-0005-0000-0000-0000FE090000}"/>
    <cellStyle name="Normal 2 9" xfId="2459" xr:uid="{00000000-0005-0000-0000-0000FF090000}"/>
    <cellStyle name="Normal 20" xfId="2460" xr:uid="{00000000-0005-0000-0000-0000000A0000}"/>
    <cellStyle name="Normal- 20" xfId="2461" xr:uid="{00000000-0005-0000-0000-0000010A0000}"/>
    <cellStyle name="Normal 20 2" xfId="3391" xr:uid="{00000000-0005-0000-0000-0000020A0000}"/>
    <cellStyle name="Normal 20 3" xfId="3360" xr:uid="{00000000-0005-0000-0000-0000030A0000}"/>
    <cellStyle name="Normal 21" xfId="2462" xr:uid="{00000000-0005-0000-0000-0000040A0000}"/>
    <cellStyle name="Normal- 21" xfId="2463" xr:uid="{00000000-0005-0000-0000-0000050A0000}"/>
    <cellStyle name="Normal 21 2" xfId="3392" xr:uid="{00000000-0005-0000-0000-0000060A0000}"/>
    <cellStyle name="Normal 21 3" xfId="3361" xr:uid="{00000000-0005-0000-0000-0000070A0000}"/>
    <cellStyle name="Normal 22" xfId="2464" xr:uid="{00000000-0005-0000-0000-0000080A0000}"/>
    <cellStyle name="Normal- 22" xfId="2465" xr:uid="{00000000-0005-0000-0000-0000090A0000}"/>
    <cellStyle name="Normal 22 2" xfId="3393" xr:uid="{00000000-0005-0000-0000-00000A0A0000}"/>
    <cellStyle name="Normal 22 3" xfId="3362" xr:uid="{00000000-0005-0000-0000-00000B0A0000}"/>
    <cellStyle name="Normal 23" xfId="2466" xr:uid="{00000000-0005-0000-0000-00000C0A0000}"/>
    <cellStyle name="Normal- 23" xfId="2467" xr:uid="{00000000-0005-0000-0000-00000D0A0000}"/>
    <cellStyle name="Normal 23 2" xfId="3394" xr:uid="{00000000-0005-0000-0000-00000E0A0000}"/>
    <cellStyle name="Normal 23 3" xfId="3363" xr:uid="{00000000-0005-0000-0000-00000F0A0000}"/>
    <cellStyle name="Normal 24" xfId="2468" xr:uid="{00000000-0005-0000-0000-0000100A0000}"/>
    <cellStyle name="Normal- 24" xfId="2469" xr:uid="{00000000-0005-0000-0000-0000110A0000}"/>
    <cellStyle name="Normal 24 2" xfId="3395" xr:uid="{00000000-0005-0000-0000-0000120A0000}"/>
    <cellStyle name="Normal 24 3" xfId="3364" xr:uid="{00000000-0005-0000-0000-0000130A0000}"/>
    <cellStyle name="Normal 25" xfId="2470" xr:uid="{00000000-0005-0000-0000-0000140A0000}"/>
    <cellStyle name="Normal- 25" xfId="2471" xr:uid="{00000000-0005-0000-0000-0000150A0000}"/>
    <cellStyle name="Normal 25 2" xfId="3396" xr:uid="{00000000-0005-0000-0000-0000160A0000}"/>
    <cellStyle name="Normal 25 3" xfId="3365" xr:uid="{00000000-0005-0000-0000-0000170A0000}"/>
    <cellStyle name="Normal 26" xfId="2472" xr:uid="{00000000-0005-0000-0000-0000180A0000}"/>
    <cellStyle name="Normal- 26" xfId="2473" xr:uid="{00000000-0005-0000-0000-0000190A0000}"/>
    <cellStyle name="Normal 26 2" xfId="3397" xr:uid="{00000000-0005-0000-0000-00001A0A0000}"/>
    <cellStyle name="Normal 26 3" xfId="3366" xr:uid="{00000000-0005-0000-0000-00001B0A0000}"/>
    <cellStyle name="Normal 27" xfId="2474" xr:uid="{00000000-0005-0000-0000-00001C0A0000}"/>
    <cellStyle name="Normal- 27" xfId="2475" xr:uid="{00000000-0005-0000-0000-00001D0A0000}"/>
    <cellStyle name="Normal 27 2" xfId="3403" xr:uid="{00000000-0005-0000-0000-00001E0A0000}"/>
    <cellStyle name="Normal 27 3" xfId="3378" xr:uid="{00000000-0005-0000-0000-00001F0A0000}"/>
    <cellStyle name="Normal 28" xfId="2476" xr:uid="{00000000-0005-0000-0000-0000200A0000}"/>
    <cellStyle name="Normal- 28" xfId="2477" xr:uid="{00000000-0005-0000-0000-0000210A0000}"/>
    <cellStyle name="Normal 29" xfId="2478" xr:uid="{00000000-0005-0000-0000-0000220A0000}"/>
    <cellStyle name="Normal- 29" xfId="2479" xr:uid="{00000000-0005-0000-0000-0000230A0000}"/>
    <cellStyle name="Normal 3" xfId="10" xr:uid="{00000000-0005-0000-0000-0000240A0000}"/>
    <cellStyle name="Normal- 3" xfId="11" xr:uid="{00000000-0005-0000-0000-0000250A0000}"/>
    <cellStyle name="Normal 3 10" xfId="2480" xr:uid="{00000000-0005-0000-0000-0000260A0000}"/>
    <cellStyle name="Normal 3 11" xfId="3252" xr:uid="{00000000-0005-0000-0000-0000270A0000}"/>
    <cellStyle name="Normal 3 12" xfId="2871" xr:uid="{00000000-0005-0000-0000-0000280A0000}"/>
    <cellStyle name="Normal 3 13" xfId="419" xr:uid="{00000000-0005-0000-0000-0000290A0000}"/>
    <cellStyle name="Normal 3 14" xfId="3071" xr:uid="{00000000-0005-0000-0000-00002A0A0000}"/>
    <cellStyle name="Normal 3 2" xfId="420" xr:uid="{00000000-0005-0000-0000-00002B0A0000}"/>
    <cellStyle name="Normal- 3 2" xfId="3296" xr:uid="{00000000-0005-0000-0000-00002C0A0000}"/>
    <cellStyle name="Normal 3 2 2" xfId="3172" xr:uid="{00000000-0005-0000-0000-00002D0A0000}"/>
    <cellStyle name="Normal 3 2 3" xfId="3253" xr:uid="{00000000-0005-0000-0000-00002E0A0000}"/>
    <cellStyle name="Normal 3 3" xfId="3120" xr:uid="{00000000-0005-0000-0000-00002F0A0000}"/>
    <cellStyle name="Normal- 3 3" xfId="2870" xr:uid="{00000000-0005-0000-0000-0000300A0000}"/>
    <cellStyle name="Normal 3 4" xfId="3140" xr:uid="{00000000-0005-0000-0000-0000310A0000}"/>
    <cellStyle name="Normal- 3 4" xfId="2481" xr:uid="{00000000-0005-0000-0000-0000320A0000}"/>
    <cellStyle name="Normal 3 5" xfId="3101" xr:uid="{00000000-0005-0000-0000-0000330A0000}"/>
    <cellStyle name="Normal- 3 5" xfId="3331" xr:uid="{00000000-0005-0000-0000-0000340A0000}"/>
    <cellStyle name="Normal 3 6" xfId="3171" xr:uid="{00000000-0005-0000-0000-0000350A0000}"/>
    <cellStyle name="Normal- 3 6" xfId="3367" xr:uid="{00000000-0005-0000-0000-0000360A0000}"/>
    <cellStyle name="Normal 3 7" xfId="3161" xr:uid="{00000000-0005-0000-0000-0000370A0000}"/>
    <cellStyle name="Normal 3 8" xfId="3175" xr:uid="{00000000-0005-0000-0000-0000380A0000}"/>
    <cellStyle name="Normal 3 9" xfId="3156" xr:uid="{00000000-0005-0000-0000-0000390A0000}"/>
    <cellStyle name="Normal 30" xfId="2482" xr:uid="{00000000-0005-0000-0000-00003A0A0000}"/>
    <cellStyle name="Normal- 30" xfId="2483" xr:uid="{00000000-0005-0000-0000-00003B0A0000}"/>
    <cellStyle name="Normal 31" xfId="2484" xr:uid="{00000000-0005-0000-0000-00003C0A0000}"/>
    <cellStyle name="Normal- 31" xfId="2485" xr:uid="{00000000-0005-0000-0000-00003D0A0000}"/>
    <cellStyle name="Normal 32" xfId="2486" xr:uid="{00000000-0005-0000-0000-00003E0A0000}"/>
    <cellStyle name="Normal- 32" xfId="2487" xr:uid="{00000000-0005-0000-0000-00003F0A0000}"/>
    <cellStyle name="Normal 33" xfId="2488" xr:uid="{00000000-0005-0000-0000-0000400A0000}"/>
    <cellStyle name="Normal- 33" xfId="2489" xr:uid="{00000000-0005-0000-0000-0000410A0000}"/>
    <cellStyle name="Normal 34" xfId="2490" xr:uid="{00000000-0005-0000-0000-0000420A0000}"/>
    <cellStyle name="Normal- 34" xfId="2491" xr:uid="{00000000-0005-0000-0000-0000430A0000}"/>
    <cellStyle name="Normal 35" xfId="2492" xr:uid="{00000000-0005-0000-0000-0000440A0000}"/>
    <cellStyle name="Normal- 35" xfId="2493" xr:uid="{00000000-0005-0000-0000-0000450A0000}"/>
    <cellStyle name="Normal 36" xfId="2494" xr:uid="{00000000-0005-0000-0000-0000460A0000}"/>
    <cellStyle name="Normal- 36" xfId="2495" xr:uid="{00000000-0005-0000-0000-0000470A0000}"/>
    <cellStyle name="Normal 37" xfId="2496" xr:uid="{00000000-0005-0000-0000-0000480A0000}"/>
    <cellStyle name="Normal- 37" xfId="2497" xr:uid="{00000000-0005-0000-0000-0000490A0000}"/>
    <cellStyle name="Normal 38" xfId="2498" xr:uid="{00000000-0005-0000-0000-00004A0A0000}"/>
    <cellStyle name="Normal- 38" xfId="2499" xr:uid="{00000000-0005-0000-0000-00004B0A0000}"/>
    <cellStyle name="Normal 39" xfId="2500" xr:uid="{00000000-0005-0000-0000-00004C0A0000}"/>
    <cellStyle name="Normal- 39" xfId="2501" xr:uid="{00000000-0005-0000-0000-00004D0A0000}"/>
    <cellStyle name="Normal 4" xfId="14" xr:uid="{00000000-0005-0000-0000-00004E0A0000}"/>
    <cellStyle name="Normal- 4" xfId="329" xr:uid="{00000000-0005-0000-0000-00004F0A0000}"/>
    <cellStyle name="Normal 4 10" xfId="3254" xr:uid="{00000000-0005-0000-0000-0000500A0000}"/>
    <cellStyle name="Normal 4 11" xfId="2869" xr:uid="{00000000-0005-0000-0000-0000510A0000}"/>
    <cellStyle name="Normal 4 12" xfId="421" xr:uid="{00000000-0005-0000-0000-0000520A0000}"/>
    <cellStyle name="Normal 4 13" xfId="3070" xr:uid="{00000000-0005-0000-0000-0000530A0000}"/>
    <cellStyle name="Normal 4 14" xfId="3368" xr:uid="{00000000-0005-0000-0000-0000540A0000}"/>
    <cellStyle name="Normal 4 2" xfId="331" xr:uid="{00000000-0005-0000-0000-0000550A0000}"/>
    <cellStyle name="Normal- 4 2" xfId="3297" xr:uid="{00000000-0005-0000-0000-0000560A0000}"/>
    <cellStyle name="Normal 4 2 2" xfId="3319" xr:uid="{00000000-0005-0000-0000-0000570A0000}"/>
    <cellStyle name="Normal 4 2 3" xfId="3121" xr:uid="{00000000-0005-0000-0000-0000580A0000}"/>
    <cellStyle name="Normal 4 2 4" xfId="3340" xr:uid="{00000000-0005-0000-0000-0000590A0000}"/>
    <cellStyle name="Normal 4 3" xfId="343" xr:uid="{00000000-0005-0000-0000-00005A0A0000}"/>
    <cellStyle name="Normal- 4 3" xfId="3130" xr:uid="{00000000-0005-0000-0000-00005B0A0000}"/>
    <cellStyle name="Normal 4 3 2" xfId="3141" xr:uid="{00000000-0005-0000-0000-00005C0A0000}"/>
    <cellStyle name="Normal 4 3 3" xfId="3341" xr:uid="{00000000-0005-0000-0000-00005D0A0000}"/>
    <cellStyle name="Normal 4 4" xfId="333" xr:uid="{00000000-0005-0000-0000-00005E0A0000}"/>
    <cellStyle name="Normal- 4 4" xfId="2503" xr:uid="{00000000-0005-0000-0000-00005F0A0000}"/>
    <cellStyle name="Normal 4 4 2" xfId="3102" xr:uid="{00000000-0005-0000-0000-0000600A0000}"/>
    <cellStyle name="Normal 4 4 3" xfId="3339" xr:uid="{00000000-0005-0000-0000-0000610A0000}"/>
    <cellStyle name="Normal 4 5" xfId="341" xr:uid="{00000000-0005-0000-0000-0000620A0000}"/>
    <cellStyle name="Normal- 4 5" xfId="3332" xr:uid="{00000000-0005-0000-0000-0000630A0000}"/>
    <cellStyle name="Normal 4 5 2" xfId="3173" xr:uid="{00000000-0005-0000-0000-0000640A0000}"/>
    <cellStyle name="Normal 4 6" xfId="335" xr:uid="{00000000-0005-0000-0000-0000650A0000}"/>
    <cellStyle name="Normal- 4 6" xfId="3369" xr:uid="{00000000-0005-0000-0000-0000660A0000}"/>
    <cellStyle name="Normal 4 6 2" xfId="3160" xr:uid="{00000000-0005-0000-0000-0000670A0000}"/>
    <cellStyle name="Normal 4 7" xfId="339" xr:uid="{00000000-0005-0000-0000-0000680A0000}"/>
    <cellStyle name="Normal 4 7 2" xfId="3178" xr:uid="{00000000-0005-0000-0000-0000690A0000}"/>
    <cellStyle name="Normal 4 8" xfId="337" xr:uid="{00000000-0005-0000-0000-00006A0A0000}"/>
    <cellStyle name="Normal 4 8 2" xfId="3155" xr:uid="{00000000-0005-0000-0000-00006B0A0000}"/>
    <cellStyle name="Normal 4 9" xfId="330" xr:uid="{00000000-0005-0000-0000-00006C0A0000}"/>
    <cellStyle name="Normal 4 9 2" xfId="2502" xr:uid="{00000000-0005-0000-0000-00006D0A0000}"/>
    <cellStyle name="Normal 40" xfId="2504" xr:uid="{00000000-0005-0000-0000-00006E0A0000}"/>
    <cellStyle name="Normal- 40" xfId="2505" xr:uid="{00000000-0005-0000-0000-00006F0A0000}"/>
    <cellStyle name="Normal 41" xfId="2506" xr:uid="{00000000-0005-0000-0000-0000700A0000}"/>
    <cellStyle name="Normal- 41" xfId="2507" xr:uid="{00000000-0005-0000-0000-0000710A0000}"/>
    <cellStyle name="Normal 42" xfId="2508" xr:uid="{00000000-0005-0000-0000-0000720A0000}"/>
    <cellStyle name="Normal- 42" xfId="2509" xr:uid="{00000000-0005-0000-0000-0000730A0000}"/>
    <cellStyle name="Normal 43" xfId="2510" xr:uid="{00000000-0005-0000-0000-0000740A0000}"/>
    <cellStyle name="Normal- 43" xfId="2511" xr:uid="{00000000-0005-0000-0000-0000750A0000}"/>
    <cellStyle name="Normal 44" xfId="2512" xr:uid="{00000000-0005-0000-0000-0000760A0000}"/>
    <cellStyle name="Normal- 44" xfId="2513" xr:uid="{00000000-0005-0000-0000-0000770A0000}"/>
    <cellStyle name="Normal 45" xfId="2514" xr:uid="{00000000-0005-0000-0000-0000780A0000}"/>
    <cellStyle name="Normal- 45" xfId="2515" xr:uid="{00000000-0005-0000-0000-0000790A0000}"/>
    <cellStyle name="Normal 46" xfId="2516" xr:uid="{00000000-0005-0000-0000-00007A0A0000}"/>
    <cellStyle name="Normal- 46" xfId="2517" xr:uid="{00000000-0005-0000-0000-00007B0A0000}"/>
    <cellStyle name="Normal 47" xfId="2518" xr:uid="{00000000-0005-0000-0000-00007C0A0000}"/>
    <cellStyle name="Normal- 47" xfId="2519" xr:uid="{00000000-0005-0000-0000-00007D0A0000}"/>
    <cellStyle name="Normal 48" xfId="2520" xr:uid="{00000000-0005-0000-0000-00007E0A0000}"/>
    <cellStyle name="Normal- 48" xfId="2521" xr:uid="{00000000-0005-0000-0000-00007F0A0000}"/>
    <cellStyle name="Normal 49" xfId="2522" xr:uid="{00000000-0005-0000-0000-0000800A0000}"/>
    <cellStyle name="Normal- 49" xfId="2523" xr:uid="{00000000-0005-0000-0000-0000810A0000}"/>
    <cellStyle name="Normal 5" xfId="328" xr:uid="{00000000-0005-0000-0000-0000820A0000}"/>
    <cellStyle name="Normal- 5" xfId="344" xr:uid="{00000000-0005-0000-0000-0000830A0000}"/>
    <cellStyle name="Normal 5 10" xfId="3255" xr:uid="{00000000-0005-0000-0000-0000840A0000}"/>
    <cellStyle name="Normal 5 11" xfId="422" xr:uid="{00000000-0005-0000-0000-0000850A0000}"/>
    <cellStyle name="Normal 5 12" xfId="3069" xr:uid="{00000000-0005-0000-0000-0000860A0000}"/>
    <cellStyle name="Normal 5 13" xfId="3370" xr:uid="{00000000-0005-0000-0000-0000870A0000}"/>
    <cellStyle name="Normal 5 2" xfId="3122" xr:uid="{00000000-0005-0000-0000-0000880A0000}"/>
    <cellStyle name="Normal- 5 2" xfId="3298" xr:uid="{00000000-0005-0000-0000-0000890A0000}"/>
    <cellStyle name="Normal 5 2 2" xfId="3236" xr:uid="{00000000-0005-0000-0000-00008A0A0000}"/>
    <cellStyle name="Normal 5 2 3" xfId="3320" xr:uid="{00000000-0005-0000-0000-00008B0A0000}"/>
    <cellStyle name="Normal 5 2 4" xfId="3398" xr:uid="{00000000-0005-0000-0000-00008C0A0000}"/>
    <cellStyle name="Normal 5 3" xfId="3142" xr:uid="{00000000-0005-0000-0000-00008D0A0000}"/>
    <cellStyle name="Normal- 5 3" xfId="3230" xr:uid="{00000000-0005-0000-0000-00008E0A0000}"/>
    <cellStyle name="Normal 5 3 2" xfId="3322" xr:uid="{00000000-0005-0000-0000-00008F0A0000}"/>
    <cellStyle name="Normal 5 3 3" xfId="3413" xr:uid="{00000000-0005-0000-0000-0000900A0000}"/>
    <cellStyle name="Normal 5 4" xfId="3105" xr:uid="{00000000-0005-0000-0000-0000910A0000}"/>
    <cellStyle name="Normal- 5 4" xfId="2525" xr:uid="{00000000-0005-0000-0000-0000920A0000}"/>
    <cellStyle name="Normal 5 4 2" xfId="3317" xr:uid="{00000000-0005-0000-0000-0000930A0000}"/>
    <cellStyle name="Normal 5 4 3" xfId="3404" xr:uid="{00000000-0005-0000-0000-0000940A0000}"/>
    <cellStyle name="Normal 5 5" xfId="3174" xr:uid="{00000000-0005-0000-0000-0000950A0000}"/>
    <cellStyle name="Normal- 5 5" xfId="3333" xr:uid="{00000000-0005-0000-0000-0000960A0000}"/>
    <cellStyle name="Normal 5 5 2" xfId="3410" xr:uid="{00000000-0005-0000-0000-0000970A0000}"/>
    <cellStyle name="Normal 5 6" xfId="3159" xr:uid="{00000000-0005-0000-0000-0000980A0000}"/>
    <cellStyle name="Normal- 5 6" xfId="3371" xr:uid="{00000000-0005-0000-0000-0000990A0000}"/>
    <cellStyle name="Normal 5 7" xfId="3179" xr:uid="{00000000-0005-0000-0000-00009A0A0000}"/>
    <cellStyle name="Normal 5 8" xfId="3182" xr:uid="{00000000-0005-0000-0000-00009B0A0000}"/>
    <cellStyle name="Normal 5 9" xfId="2524" xr:uid="{00000000-0005-0000-0000-00009C0A0000}"/>
    <cellStyle name="Normal 50" xfId="2526" xr:uid="{00000000-0005-0000-0000-00009D0A0000}"/>
    <cellStyle name="Normal- 50" xfId="2527" xr:uid="{00000000-0005-0000-0000-00009E0A0000}"/>
    <cellStyle name="Normal 51" xfId="2528" xr:uid="{00000000-0005-0000-0000-00009F0A0000}"/>
    <cellStyle name="Normal- 51" xfId="2529" xr:uid="{00000000-0005-0000-0000-0000A00A0000}"/>
    <cellStyle name="Normal 52" xfId="2530" xr:uid="{00000000-0005-0000-0000-0000A10A0000}"/>
    <cellStyle name="Normal- 52" xfId="2531" xr:uid="{00000000-0005-0000-0000-0000A20A0000}"/>
    <cellStyle name="Normal 53" xfId="2532" xr:uid="{00000000-0005-0000-0000-0000A30A0000}"/>
    <cellStyle name="Normal- 53" xfId="2533" xr:uid="{00000000-0005-0000-0000-0000A40A0000}"/>
    <cellStyle name="Normal 54" xfId="2534" xr:uid="{00000000-0005-0000-0000-0000A50A0000}"/>
    <cellStyle name="Normal- 54" xfId="2535" xr:uid="{00000000-0005-0000-0000-0000A60A0000}"/>
    <cellStyle name="Normal 55" xfId="2536" xr:uid="{00000000-0005-0000-0000-0000A70A0000}"/>
    <cellStyle name="Normal- 55" xfId="2537" xr:uid="{00000000-0005-0000-0000-0000A80A0000}"/>
    <cellStyle name="Normal 56" xfId="2538" xr:uid="{00000000-0005-0000-0000-0000A90A0000}"/>
    <cellStyle name="Normal- 56" xfId="3292" xr:uid="{00000000-0005-0000-0000-0000AA0A0000}"/>
    <cellStyle name="Normal 57" xfId="2539" xr:uid="{00000000-0005-0000-0000-0000AB0A0000}"/>
    <cellStyle name="Normal- 57" xfId="2903" xr:uid="{00000000-0005-0000-0000-0000AC0A0000}"/>
    <cellStyle name="Normal 58" xfId="2540" xr:uid="{00000000-0005-0000-0000-0000AD0A0000}"/>
    <cellStyle name="Normal- 58" xfId="2341" xr:uid="{00000000-0005-0000-0000-0000AE0A0000}"/>
    <cellStyle name="Normal 59" xfId="2541" xr:uid="{00000000-0005-0000-0000-0000AF0A0000}"/>
    <cellStyle name="Normal- 59" xfId="3325" xr:uid="{00000000-0005-0000-0000-0000B00A0000}"/>
    <cellStyle name="Normal 6" xfId="345" xr:uid="{00000000-0005-0000-0000-0000B10A0000}"/>
    <cellStyle name="Normal- 6" xfId="332" xr:uid="{00000000-0005-0000-0000-0000B20A0000}"/>
    <cellStyle name="Normal 6 2" xfId="3245" xr:uid="{00000000-0005-0000-0000-0000B30A0000}"/>
    <cellStyle name="Normal- 6 2" xfId="3299" xr:uid="{00000000-0005-0000-0000-0000B40A0000}"/>
    <cellStyle name="Normal 6 2 2" xfId="3399" xr:uid="{00000000-0005-0000-0000-0000B50A0000}"/>
    <cellStyle name="Normal 6 3" xfId="3256" xr:uid="{00000000-0005-0000-0000-0000B60A0000}"/>
    <cellStyle name="Normal- 6 3" xfId="3233" xr:uid="{00000000-0005-0000-0000-0000B70A0000}"/>
    <cellStyle name="Normal 6 3 2" xfId="3412" xr:uid="{00000000-0005-0000-0000-0000B80A0000}"/>
    <cellStyle name="Normal 6 4" xfId="3229" xr:uid="{00000000-0005-0000-0000-0000B90A0000}"/>
    <cellStyle name="Normal- 6 4" xfId="2542" xr:uid="{00000000-0005-0000-0000-0000BA0A0000}"/>
    <cellStyle name="Normal 6 4 2" xfId="3405" xr:uid="{00000000-0005-0000-0000-0000BB0A0000}"/>
    <cellStyle name="Normal 6 5" xfId="423" xr:uid="{00000000-0005-0000-0000-0000BC0A0000}"/>
    <cellStyle name="Normal- 6 5" xfId="3334" xr:uid="{00000000-0005-0000-0000-0000BD0A0000}"/>
    <cellStyle name="Normal 6 5 2" xfId="3409" xr:uid="{00000000-0005-0000-0000-0000BE0A0000}"/>
    <cellStyle name="Normal 6 6" xfId="3068" xr:uid="{00000000-0005-0000-0000-0000BF0A0000}"/>
    <cellStyle name="Normal- 6 6" xfId="3380" xr:uid="{00000000-0005-0000-0000-0000C00A0000}"/>
    <cellStyle name="Normal 6 7" xfId="3372" xr:uid="{00000000-0005-0000-0000-0000C10A0000}"/>
    <cellStyle name="Normal 60" xfId="2543" xr:uid="{00000000-0005-0000-0000-0000C20A0000}"/>
    <cellStyle name="Normal- 60" xfId="3348" xr:uid="{00000000-0005-0000-0000-0000C30A0000}"/>
    <cellStyle name="Normal 61" xfId="2544" xr:uid="{00000000-0005-0000-0000-0000C40A0000}"/>
    <cellStyle name="Normal 62" xfId="2545" xr:uid="{00000000-0005-0000-0000-0000C50A0000}"/>
    <cellStyle name="Normal 63" xfId="2546" xr:uid="{00000000-0005-0000-0000-0000C60A0000}"/>
    <cellStyle name="Normal 64" xfId="2547" xr:uid="{00000000-0005-0000-0000-0000C70A0000}"/>
    <cellStyle name="Normal 65" xfId="2548" xr:uid="{00000000-0005-0000-0000-0000C80A0000}"/>
    <cellStyle name="Normal 66" xfId="2549" xr:uid="{00000000-0005-0000-0000-0000C90A0000}"/>
    <cellStyle name="Normal 67" xfId="2550" xr:uid="{00000000-0005-0000-0000-0000CA0A0000}"/>
    <cellStyle name="Normal 68" xfId="2551" xr:uid="{00000000-0005-0000-0000-0000CB0A0000}"/>
    <cellStyle name="Normal 69" xfId="2552" xr:uid="{00000000-0005-0000-0000-0000CC0A0000}"/>
    <cellStyle name="Normal 7" xfId="347" xr:uid="{00000000-0005-0000-0000-0000CD0A0000}"/>
    <cellStyle name="Normal- 7" xfId="342" xr:uid="{00000000-0005-0000-0000-0000CE0A0000}"/>
    <cellStyle name="Normal 7 10" xfId="3257" xr:uid="{00000000-0005-0000-0000-0000CF0A0000}"/>
    <cellStyle name="Normal 7 11" xfId="3232" xr:uid="{00000000-0005-0000-0000-0000D00A0000}"/>
    <cellStyle name="Normal 7 12" xfId="424" xr:uid="{00000000-0005-0000-0000-0000D10A0000}"/>
    <cellStyle name="Normal 7 13" xfId="3067" xr:uid="{00000000-0005-0000-0000-0000D20A0000}"/>
    <cellStyle name="Normal 7 14" xfId="3373" xr:uid="{00000000-0005-0000-0000-0000D30A0000}"/>
    <cellStyle name="Normal 7 2" xfId="3123" xr:uid="{00000000-0005-0000-0000-0000D40A0000}"/>
    <cellStyle name="Normal- 7 2" xfId="2554" xr:uid="{00000000-0005-0000-0000-0000D50A0000}"/>
    <cellStyle name="Normal 7 2 2" xfId="3321" xr:uid="{00000000-0005-0000-0000-0000D60A0000}"/>
    <cellStyle name="Normal 7 2 3" xfId="3400" xr:uid="{00000000-0005-0000-0000-0000D70A0000}"/>
    <cellStyle name="Normal 7 3" xfId="3143" xr:uid="{00000000-0005-0000-0000-0000D80A0000}"/>
    <cellStyle name="Normal- 7 3" xfId="3335" xr:uid="{00000000-0005-0000-0000-0000D90A0000}"/>
    <cellStyle name="Normal 7 3 2" xfId="3406" xr:uid="{00000000-0005-0000-0000-0000DA0A0000}"/>
    <cellStyle name="Normal 7 4" xfId="3115" xr:uid="{00000000-0005-0000-0000-0000DB0A0000}"/>
    <cellStyle name="Normal- 7 4" xfId="3414" xr:uid="{00000000-0005-0000-0000-0000DC0A0000}"/>
    <cellStyle name="Normal 7 4 2" xfId="3408" xr:uid="{00000000-0005-0000-0000-0000DD0A0000}"/>
    <cellStyle name="Normal 7 5" xfId="3176" xr:uid="{00000000-0005-0000-0000-0000DE0A0000}"/>
    <cellStyle name="Normal 7 6" xfId="3158" xr:uid="{00000000-0005-0000-0000-0000DF0A0000}"/>
    <cellStyle name="Normal 7 7" xfId="3180" xr:uid="{00000000-0005-0000-0000-0000E00A0000}"/>
    <cellStyle name="Normal 7 8" xfId="3154" xr:uid="{00000000-0005-0000-0000-0000E10A0000}"/>
    <cellStyle name="Normal 7 9" xfId="2553" xr:uid="{00000000-0005-0000-0000-0000E20A0000}"/>
    <cellStyle name="Normal 70" xfId="2555" xr:uid="{00000000-0005-0000-0000-0000E30A0000}"/>
    <cellStyle name="Normal 71" xfId="2556" xr:uid="{00000000-0005-0000-0000-0000E40A0000}"/>
    <cellStyle name="Normal 72" xfId="2557" xr:uid="{00000000-0005-0000-0000-0000E50A0000}"/>
    <cellStyle name="Normal 73" xfId="2558" xr:uid="{00000000-0005-0000-0000-0000E60A0000}"/>
    <cellStyle name="Normal 74" xfId="2559" xr:uid="{00000000-0005-0000-0000-0000E70A0000}"/>
    <cellStyle name="Normal 75" xfId="2560" xr:uid="{00000000-0005-0000-0000-0000E80A0000}"/>
    <cellStyle name="Normal 76" xfId="2561" xr:uid="{00000000-0005-0000-0000-0000E90A0000}"/>
    <cellStyle name="Normal 77" xfId="2562" xr:uid="{00000000-0005-0000-0000-0000EA0A0000}"/>
    <cellStyle name="Normal 78" xfId="2563" xr:uid="{00000000-0005-0000-0000-0000EB0A0000}"/>
    <cellStyle name="Normal 79" xfId="2564" xr:uid="{00000000-0005-0000-0000-0000EC0A0000}"/>
    <cellStyle name="Normal 8" xfId="348" xr:uid="{00000000-0005-0000-0000-0000ED0A0000}"/>
    <cellStyle name="Normal- 8" xfId="334" xr:uid="{00000000-0005-0000-0000-0000EE0A0000}"/>
    <cellStyle name="Normal 8 10" xfId="3258" xr:uid="{00000000-0005-0000-0000-0000EF0A0000}"/>
    <cellStyle name="Normal 8 11" xfId="425" xr:uid="{00000000-0005-0000-0000-0000F00A0000}"/>
    <cellStyle name="Normal 8 12" xfId="3066" xr:uid="{00000000-0005-0000-0000-0000F10A0000}"/>
    <cellStyle name="Normal 8 13" xfId="3374" xr:uid="{00000000-0005-0000-0000-0000F20A0000}"/>
    <cellStyle name="Normal 8 2" xfId="3124" xr:uid="{00000000-0005-0000-0000-0000F30A0000}"/>
    <cellStyle name="Normal- 8 2" xfId="2566" xr:uid="{00000000-0005-0000-0000-0000F40A0000}"/>
    <cellStyle name="Normal 8 2 2" xfId="3401" xr:uid="{00000000-0005-0000-0000-0000F50A0000}"/>
    <cellStyle name="Normal 8 3" xfId="3144" xr:uid="{00000000-0005-0000-0000-0000F60A0000}"/>
    <cellStyle name="Normal- 8 3" xfId="3336" xr:uid="{00000000-0005-0000-0000-0000F70A0000}"/>
    <cellStyle name="Normal 8 3 2" xfId="3407" xr:uid="{00000000-0005-0000-0000-0000F80A0000}"/>
    <cellStyle name="Normal 8 4" xfId="3116" xr:uid="{00000000-0005-0000-0000-0000F90A0000}"/>
    <cellStyle name="Normal- 8 4" xfId="3415" xr:uid="{00000000-0005-0000-0000-0000FA0A0000}"/>
    <cellStyle name="Normal 8 5" xfId="3177" xr:uid="{00000000-0005-0000-0000-0000FB0A0000}"/>
    <cellStyle name="Normal 8 6" xfId="3157" xr:uid="{00000000-0005-0000-0000-0000FC0A0000}"/>
    <cellStyle name="Normal 8 7" xfId="3181" xr:uid="{00000000-0005-0000-0000-0000FD0A0000}"/>
    <cellStyle name="Normal 8 8" xfId="3153" xr:uid="{00000000-0005-0000-0000-0000FE0A0000}"/>
    <cellStyle name="Normal 8 9" xfId="2565" xr:uid="{00000000-0005-0000-0000-0000FF0A0000}"/>
    <cellStyle name="Normal 80" xfId="2567" xr:uid="{00000000-0005-0000-0000-0000000B0000}"/>
    <cellStyle name="Normal 81" xfId="2568" xr:uid="{00000000-0005-0000-0000-0000010B0000}"/>
    <cellStyle name="Normal 82" xfId="2569" xr:uid="{00000000-0005-0000-0000-0000020B0000}"/>
    <cellStyle name="Normal 83" xfId="2570" xr:uid="{00000000-0005-0000-0000-0000030B0000}"/>
    <cellStyle name="Normal 84" xfId="2571" xr:uid="{00000000-0005-0000-0000-0000040B0000}"/>
    <cellStyle name="Normal 85" xfId="2572" xr:uid="{00000000-0005-0000-0000-0000050B0000}"/>
    <cellStyle name="Normal 86" xfId="2573" xr:uid="{00000000-0005-0000-0000-0000060B0000}"/>
    <cellStyle name="Normal 87" xfId="2574" xr:uid="{00000000-0005-0000-0000-0000070B0000}"/>
    <cellStyle name="Normal 87 2" xfId="2575" xr:uid="{00000000-0005-0000-0000-0000080B0000}"/>
    <cellStyle name="Normal 88" xfId="2576" xr:uid="{00000000-0005-0000-0000-0000090B0000}"/>
    <cellStyle name="Normal 89" xfId="2577" xr:uid="{00000000-0005-0000-0000-00000A0B0000}"/>
    <cellStyle name="Normal 9" xfId="349" xr:uid="{00000000-0005-0000-0000-00000B0B0000}"/>
    <cellStyle name="Normal- 9" xfId="340" xr:uid="{00000000-0005-0000-0000-00000C0B0000}"/>
    <cellStyle name="Normal 9 2" xfId="3300" xr:uid="{00000000-0005-0000-0000-00000D0B0000}"/>
    <cellStyle name="Normal- 9 2" xfId="2579" xr:uid="{00000000-0005-0000-0000-00000E0B0000}"/>
    <cellStyle name="Normal 9 2 2" xfId="3402" xr:uid="{00000000-0005-0000-0000-00000F0B0000}"/>
    <cellStyle name="Normal 9 3" xfId="3237" xr:uid="{00000000-0005-0000-0000-0000100B0000}"/>
    <cellStyle name="Normal- 9 3" xfId="3338" xr:uid="{00000000-0005-0000-0000-0000110B0000}"/>
    <cellStyle name="Normal 9 4" xfId="2578" xr:uid="{00000000-0005-0000-0000-0000120B0000}"/>
    <cellStyle name="Normal- 9 4" xfId="3411" xr:uid="{00000000-0005-0000-0000-0000130B0000}"/>
    <cellStyle name="Normal 9 5" xfId="3337" xr:uid="{00000000-0005-0000-0000-0000140B0000}"/>
    <cellStyle name="Normal 9 6" xfId="3375" xr:uid="{00000000-0005-0000-0000-0000150B0000}"/>
    <cellStyle name="Normal 90" xfId="2580" xr:uid="{00000000-0005-0000-0000-0000160B0000}"/>
    <cellStyle name="Normal 91" xfId="2581" xr:uid="{00000000-0005-0000-0000-0000170B0000}"/>
    <cellStyle name="Normal 92" xfId="2582" xr:uid="{00000000-0005-0000-0000-0000180B0000}"/>
    <cellStyle name="Normal 93" xfId="2583" xr:uid="{00000000-0005-0000-0000-0000190B0000}"/>
    <cellStyle name="Normal 94" xfId="2584" xr:uid="{00000000-0005-0000-0000-00001A0B0000}"/>
    <cellStyle name="Normal 95" xfId="2585" xr:uid="{00000000-0005-0000-0000-00001B0B0000}"/>
    <cellStyle name="Normal 96" xfId="2586" xr:uid="{00000000-0005-0000-0000-00001C0B0000}"/>
    <cellStyle name="Normal 97" xfId="2587" xr:uid="{00000000-0005-0000-0000-00001D0B0000}"/>
    <cellStyle name="Normal 98" xfId="2588" xr:uid="{00000000-0005-0000-0000-00001E0B0000}"/>
    <cellStyle name="Normal 99" xfId="2589" xr:uid="{00000000-0005-0000-0000-00001F0B0000}"/>
    <cellStyle name="Normal Cells" xfId="279" xr:uid="{00000000-0005-0000-0000-0000200B0000}"/>
    <cellStyle name="Normal+1" xfId="3376" xr:uid="{00000000-0005-0000-0000-0000210B0000}"/>
    <cellStyle name="Normal2" xfId="2590" xr:uid="{00000000-0005-0000-0000-0000220B0000}"/>
    <cellStyle name="Normal2 2" xfId="2591" xr:uid="{00000000-0005-0000-0000-0000230B0000}"/>
    <cellStyle name="Normale_Bourse" xfId="2592" xr:uid="{00000000-0005-0000-0000-0000240B0000}"/>
    <cellStyle name="NormalGB" xfId="2593" xr:uid="{00000000-0005-0000-0000-0000250B0000}"/>
    <cellStyle name="NormalGB 2" xfId="2594" xr:uid="{00000000-0005-0000-0000-0000260B0000}"/>
    <cellStyle name="NormalGB_PNR working 21" xfId="2595" xr:uid="{00000000-0005-0000-0000-0000270B0000}"/>
    <cellStyle name="Note 2" xfId="2596" xr:uid="{00000000-0005-0000-0000-0000280B0000}"/>
    <cellStyle name="Note 2 2" xfId="2597" xr:uid="{00000000-0005-0000-0000-0000290B0000}"/>
    <cellStyle name="Note 2 2 2" xfId="3302" xr:uid="{00000000-0005-0000-0000-00002A0B0000}"/>
    <cellStyle name="Note 2 3" xfId="3301" xr:uid="{00000000-0005-0000-0000-00002B0B0000}"/>
    <cellStyle name="Notes" xfId="426" xr:uid="{00000000-0005-0000-0000-00002C0B0000}"/>
    <cellStyle name="Number" xfId="280" xr:uid="{00000000-0005-0000-0000-00002D0B0000}"/>
    <cellStyle name="number 2" xfId="3303" xr:uid="{00000000-0005-0000-0000-00002E0B0000}"/>
    <cellStyle name="Number 3" xfId="3215" xr:uid="{00000000-0005-0000-0000-00002F0B0000}"/>
    <cellStyle name="number 4" xfId="2598" xr:uid="{00000000-0005-0000-0000-0000300B0000}"/>
    <cellStyle name="number2" xfId="2599" xr:uid="{00000000-0005-0000-0000-0000310B0000}"/>
    <cellStyle name="Numbers" xfId="281" xr:uid="{00000000-0005-0000-0000-0000320B0000}"/>
    <cellStyle name="Numbers - Bold" xfId="282" xr:uid="{00000000-0005-0000-0000-0000330B0000}"/>
    <cellStyle name="Numbers - Bold - Italic" xfId="283" xr:uid="{00000000-0005-0000-0000-0000340B0000}"/>
    <cellStyle name="Numbers - Bold - Italic 2" xfId="3304" xr:uid="{00000000-0005-0000-0000-0000350B0000}"/>
    <cellStyle name="Numbers - Bold - Italic 3" xfId="3216" xr:uid="{00000000-0005-0000-0000-0000360B0000}"/>
    <cellStyle name="Numbers - Bold - Italic 4" xfId="2600" xr:uid="{00000000-0005-0000-0000-0000370B0000}"/>
    <cellStyle name="Numbers - Bold_Blend" xfId="284" xr:uid="{00000000-0005-0000-0000-0000380B0000}"/>
    <cellStyle name="Numbers - Large" xfId="285" xr:uid="{00000000-0005-0000-0000-0000390B0000}"/>
    <cellStyle name="Numbers_Comps" xfId="286" xr:uid="{00000000-0005-0000-0000-00003A0B0000}"/>
    <cellStyle name="Original L1" xfId="2601" xr:uid="{00000000-0005-0000-0000-00003B0B0000}"/>
    <cellStyle name="Original L2" xfId="2602" xr:uid="{00000000-0005-0000-0000-00003C0B0000}"/>
    <cellStyle name="Original L3" xfId="2603" xr:uid="{00000000-0005-0000-0000-00003D0B0000}"/>
    <cellStyle name="Original Space" xfId="2604" xr:uid="{00000000-0005-0000-0000-00003E0B0000}"/>
    <cellStyle name="OSW_ColumnLabels" xfId="287" xr:uid="{00000000-0005-0000-0000-00003F0B0000}"/>
    <cellStyle name="Output 2" xfId="2605" xr:uid="{00000000-0005-0000-0000-0000400B0000}"/>
    <cellStyle name="Output 2 2" xfId="2606" xr:uid="{00000000-0005-0000-0000-0000410B0000}"/>
    <cellStyle name="Output 2 2 2" xfId="3306" xr:uid="{00000000-0005-0000-0000-0000420B0000}"/>
    <cellStyle name="Output 2 3" xfId="3305" xr:uid="{00000000-0005-0000-0000-0000430B0000}"/>
    <cellStyle name="P/E" xfId="2607" xr:uid="{00000000-0005-0000-0000-0000440B0000}"/>
    <cellStyle name="P/E 2" xfId="2608" xr:uid="{00000000-0005-0000-0000-0000450B0000}"/>
    <cellStyle name="P/E 3" xfId="2609" xr:uid="{00000000-0005-0000-0000-0000460B0000}"/>
    <cellStyle name="Page" xfId="288" xr:uid="{00000000-0005-0000-0000-0000470B0000}"/>
    <cellStyle name="Page header" xfId="289" xr:uid="{00000000-0005-0000-0000-0000480B0000}"/>
    <cellStyle name="Page Heading Large" xfId="2611" xr:uid="{00000000-0005-0000-0000-0000490B0000}"/>
    <cellStyle name="Page Heading Small" xfId="2612" xr:uid="{00000000-0005-0000-0000-00004A0B0000}"/>
    <cellStyle name="Page Number" xfId="2613" xr:uid="{00000000-0005-0000-0000-00004B0B0000}"/>
    <cellStyle name="Palatino" xfId="2614" xr:uid="{00000000-0005-0000-0000-00004C0B0000}"/>
    <cellStyle name="pe" xfId="2615" xr:uid="{00000000-0005-0000-0000-00004D0B0000}"/>
    <cellStyle name="PE Multiple" xfId="2616" xr:uid="{00000000-0005-0000-0000-00004E0B0000}"/>
    <cellStyle name="PE Multiple 2" xfId="2617" xr:uid="{00000000-0005-0000-0000-00004F0B0000}"/>
    <cellStyle name="PE Multiple 3" xfId="2618" xr:uid="{00000000-0005-0000-0000-0000500B0000}"/>
    <cellStyle name="PE/LTGR" xfId="2619" xr:uid="{00000000-0005-0000-0000-0000510B0000}"/>
    <cellStyle name="PE/LTGR 2" xfId="2620" xr:uid="{00000000-0005-0000-0000-0000520B0000}"/>
    <cellStyle name="PEG" xfId="2621" xr:uid="{00000000-0005-0000-0000-0000530B0000}"/>
    <cellStyle name="Per aandeel" xfId="2622" xr:uid="{00000000-0005-0000-0000-0000540B0000}"/>
    <cellStyle name="Per aandeel 2" xfId="2623" xr:uid="{00000000-0005-0000-0000-0000550B0000}"/>
    <cellStyle name="Per aandeel_PNR working 21" xfId="2624" xr:uid="{00000000-0005-0000-0000-0000560B0000}"/>
    <cellStyle name="Percent" xfId="12" builtinId="5"/>
    <cellStyle name="Percent [0]" xfId="2626" xr:uid="{00000000-0005-0000-0000-0000580B0000}"/>
    <cellStyle name="Percent [00]" xfId="2627" xr:uid="{00000000-0005-0000-0000-0000590B0000}"/>
    <cellStyle name="Percent [1]" xfId="2628" xr:uid="{00000000-0005-0000-0000-00005A0B0000}"/>
    <cellStyle name="Percent [1] 2" xfId="2629" xr:uid="{00000000-0005-0000-0000-00005B0B0000}"/>
    <cellStyle name="Percent [1] 3" xfId="2630" xr:uid="{00000000-0005-0000-0000-00005C0B0000}"/>
    <cellStyle name="Percent [2]" xfId="2631" xr:uid="{00000000-0005-0000-0000-00005D0B0000}"/>
    <cellStyle name="Percent [2] 2" xfId="2632" xr:uid="{00000000-0005-0000-0000-00005E0B0000}"/>
    <cellStyle name="Percent 10" xfId="2633" xr:uid="{00000000-0005-0000-0000-00005F0B0000}"/>
    <cellStyle name="Percent 100" xfId="2634" xr:uid="{00000000-0005-0000-0000-0000600B0000}"/>
    <cellStyle name="Percent 101" xfId="2635" xr:uid="{00000000-0005-0000-0000-0000610B0000}"/>
    <cellStyle name="Percent 102" xfId="2636" xr:uid="{00000000-0005-0000-0000-0000620B0000}"/>
    <cellStyle name="Percent 103" xfId="2637" xr:uid="{00000000-0005-0000-0000-0000630B0000}"/>
    <cellStyle name="Percent 104" xfId="2638" xr:uid="{00000000-0005-0000-0000-0000640B0000}"/>
    <cellStyle name="Percent 105" xfId="2639" xr:uid="{00000000-0005-0000-0000-0000650B0000}"/>
    <cellStyle name="Percent 106" xfId="2640" xr:uid="{00000000-0005-0000-0000-0000660B0000}"/>
    <cellStyle name="Percent 107" xfId="2641" xr:uid="{00000000-0005-0000-0000-0000670B0000}"/>
    <cellStyle name="Percent 108" xfId="2642" xr:uid="{00000000-0005-0000-0000-0000680B0000}"/>
    <cellStyle name="Percent 109" xfId="3075" xr:uid="{00000000-0005-0000-0000-0000690B0000}"/>
    <cellStyle name="Percent 11" xfId="2643" xr:uid="{00000000-0005-0000-0000-00006A0B0000}"/>
    <cellStyle name="Percent 110" xfId="3134" xr:uid="{00000000-0005-0000-0000-00006B0B0000}"/>
    <cellStyle name="Percent 111" xfId="3147" xr:uid="{00000000-0005-0000-0000-00006C0B0000}"/>
    <cellStyle name="Percent 111 2" xfId="3323" xr:uid="{00000000-0005-0000-0000-00006D0B0000}"/>
    <cellStyle name="Percent 112" xfId="3150" xr:uid="{00000000-0005-0000-0000-00006E0B0000}"/>
    <cellStyle name="Percent 113" xfId="3185" xr:uid="{00000000-0005-0000-0000-00006F0B0000}"/>
    <cellStyle name="Percent 114" xfId="3189" xr:uid="{00000000-0005-0000-0000-0000700B0000}"/>
    <cellStyle name="Percent 115" xfId="3193" xr:uid="{00000000-0005-0000-0000-0000710B0000}"/>
    <cellStyle name="Percent 116" xfId="2625" xr:uid="{00000000-0005-0000-0000-0000720B0000}"/>
    <cellStyle name="Percent 117" xfId="3248" xr:uid="{00000000-0005-0000-0000-0000730B0000}"/>
    <cellStyle name="Percent 118" xfId="3129" xr:uid="{00000000-0005-0000-0000-0000740B0000}"/>
    <cellStyle name="Percent 119" xfId="355" xr:uid="{00000000-0005-0000-0000-0000750B0000}"/>
    <cellStyle name="Percent 12" xfId="2644" xr:uid="{00000000-0005-0000-0000-0000760B0000}"/>
    <cellStyle name="Percent 120" xfId="3073" xr:uid="{00000000-0005-0000-0000-0000770B0000}"/>
    <cellStyle name="Percent 121" xfId="3377" xr:uid="{00000000-0005-0000-0000-0000780B0000}"/>
    <cellStyle name="Percent 13" xfId="2645" xr:uid="{00000000-0005-0000-0000-0000790B0000}"/>
    <cellStyle name="Percent 14" xfId="2646" xr:uid="{00000000-0005-0000-0000-00007A0B0000}"/>
    <cellStyle name="Percent 15" xfId="2647" xr:uid="{00000000-0005-0000-0000-00007B0B0000}"/>
    <cellStyle name="Percent 16" xfId="2648" xr:uid="{00000000-0005-0000-0000-00007C0B0000}"/>
    <cellStyle name="Percent 17" xfId="2649" xr:uid="{00000000-0005-0000-0000-00007D0B0000}"/>
    <cellStyle name="Percent 18" xfId="2650" xr:uid="{00000000-0005-0000-0000-00007E0B0000}"/>
    <cellStyle name="Percent 19" xfId="2651" xr:uid="{00000000-0005-0000-0000-00007F0B0000}"/>
    <cellStyle name="Percent 2" xfId="13" xr:uid="{00000000-0005-0000-0000-0000800B0000}"/>
    <cellStyle name="Percent 2 2" xfId="427" xr:uid="{00000000-0005-0000-0000-0000810B0000}"/>
    <cellStyle name="Percent 2 3" xfId="3078" xr:uid="{00000000-0005-0000-0000-0000820B0000}"/>
    <cellStyle name="Percent 2 4" xfId="2814" xr:uid="{00000000-0005-0000-0000-0000830B0000}"/>
    <cellStyle name="Percent 2 5" xfId="358" xr:uid="{00000000-0005-0000-0000-0000840B0000}"/>
    <cellStyle name="Percent 20" xfId="2652" xr:uid="{00000000-0005-0000-0000-0000850B0000}"/>
    <cellStyle name="Percent 21" xfId="2653" xr:uid="{00000000-0005-0000-0000-0000860B0000}"/>
    <cellStyle name="Percent 22" xfId="2654" xr:uid="{00000000-0005-0000-0000-0000870B0000}"/>
    <cellStyle name="Percent 23" xfId="2655" xr:uid="{00000000-0005-0000-0000-0000880B0000}"/>
    <cellStyle name="Percent 24" xfId="2656" xr:uid="{00000000-0005-0000-0000-0000890B0000}"/>
    <cellStyle name="Percent 25" xfId="2657" xr:uid="{00000000-0005-0000-0000-00008A0B0000}"/>
    <cellStyle name="Percent 26" xfId="2658" xr:uid="{00000000-0005-0000-0000-00008B0B0000}"/>
    <cellStyle name="Percent 27" xfId="2659" xr:uid="{00000000-0005-0000-0000-00008C0B0000}"/>
    <cellStyle name="Percent 28" xfId="2660" xr:uid="{00000000-0005-0000-0000-00008D0B0000}"/>
    <cellStyle name="Percent 29" xfId="2661" xr:uid="{00000000-0005-0000-0000-00008E0B0000}"/>
    <cellStyle name="Percent 3" xfId="428" xr:uid="{00000000-0005-0000-0000-00008F0B0000}"/>
    <cellStyle name="Percent 3 2" xfId="2663" xr:uid="{00000000-0005-0000-0000-0000900B0000}"/>
    <cellStyle name="Percent 3 3" xfId="3126" xr:uid="{00000000-0005-0000-0000-0000910B0000}"/>
    <cellStyle name="Percent 3 4" xfId="2662" xr:uid="{00000000-0005-0000-0000-0000920B0000}"/>
    <cellStyle name="Percent 30" xfId="2664" xr:uid="{00000000-0005-0000-0000-0000930B0000}"/>
    <cellStyle name="Percent 31" xfId="2665" xr:uid="{00000000-0005-0000-0000-0000940B0000}"/>
    <cellStyle name="Percent 32" xfId="2666" xr:uid="{00000000-0005-0000-0000-0000950B0000}"/>
    <cellStyle name="Percent 33" xfId="2667" xr:uid="{00000000-0005-0000-0000-0000960B0000}"/>
    <cellStyle name="Percent 34" xfId="2668" xr:uid="{00000000-0005-0000-0000-0000970B0000}"/>
    <cellStyle name="Percent 35" xfId="2669" xr:uid="{00000000-0005-0000-0000-0000980B0000}"/>
    <cellStyle name="Percent 36" xfId="2670" xr:uid="{00000000-0005-0000-0000-0000990B0000}"/>
    <cellStyle name="Percent 37" xfId="2671" xr:uid="{00000000-0005-0000-0000-00009A0B0000}"/>
    <cellStyle name="Percent 38" xfId="2672" xr:uid="{00000000-0005-0000-0000-00009B0B0000}"/>
    <cellStyle name="Percent 39" xfId="2673" xr:uid="{00000000-0005-0000-0000-00009C0B0000}"/>
    <cellStyle name="Percent 4" xfId="429" xr:uid="{00000000-0005-0000-0000-00009D0B0000}"/>
    <cellStyle name="Percent 40" xfId="2674" xr:uid="{00000000-0005-0000-0000-00009E0B0000}"/>
    <cellStyle name="Percent 41" xfId="2675" xr:uid="{00000000-0005-0000-0000-00009F0B0000}"/>
    <cellStyle name="Percent 42" xfId="2676" xr:uid="{00000000-0005-0000-0000-0000A00B0000}"/>
    <cellStyle name="Percent 43" xfId="2677" xr:uid="{00000000-0005-0000-0000-0000A10B0000}"/>
    <cellStyle name="Percent 44" xfId="2678" xr:uid="{00000000-0005-0000-0000-0000A20B0000}"/>
    <cellStyle name="Percent 45" xfId="2679" xr:uid="{00000000-0005-0000-0000-0000A30B0000}"/>
    <cellStyle name="Percent 46" xfId="2680" xr:uid="{00000000-0005-0000-0000-0000A40B0000}"/>
    <cellStyle name="Percent 47" xfId="2681" xr:uid="{00000000-0005-0000-0000-0000A50B0000}"/>
    <cellStyle name="Percent 47 2" xfId="2682" xr:uid="{00000000-0005-0000-0000-0000A60B0000}"/>
    <cellStyle name="Percent 48" xfId="2683" xr:uid="{00000000-0005-0000-0000-0000A70B0000}"/>
    <cellStyle name="Percent 49" xfId="2684" xr:uid="{00000000-0005-0000-0000-0000A80B0000}"/>
    <cellStyle name="Percent 5" xfId="2685" xr:uid="{00000000-0005-0000-0000-0000A90B0000}"/>
    <cellStyle name="Percent 50" xfId="2686" xr:uid="{00000000-0005-0000-0000-0000AA0B0000}"/>
    <cellStyle name="Percent 51" xfId="2687" xr:uid="{00000000-0005-0000-0000-0000AB0B0000}"/>
    <cellStyle name="Percent 52" xfId="2688" xr:uid="{00000000-0005-0000-0000-0000AC0B0000}"/>
    <cellStyle name="Percent 53" xfId="2689" xr:uid="{00000000-0005-0000-0000-0000AD0B0000}"/>
    <cellStyle name="Percent 54" xfId="2690" xr:uid="{00000000-0005-0000-0000-0000AE0B0000}"/>
    <cellStyle name="Percent 55" xfId="2691" xr:uid="{00000000-0005-0000-0000-0000AF0B0000}"/>
    <cellStyle name="Percent 56" xfId="2692" xr:uid="{00000000-0005-0000-0000-0000B00B0000}"/>
    <cellStyle name="Percent 57" xfId="2693" xr:uid="{00000000-0005-0000-0000-0000B10B0000}"/>
    <cellStyle name="Percent 58" xfId="2694" xr:uid="{00000000-0005-0000-0000-0000B20B0000}"/>
    <cellStyle name="Percent 59" xfId="2695" xr:uid="{00000000-0005-0000-0000-0000B30B0000}"/>
    <cellStyle name="Percent 6" xfId="2696" xr:uid="{00000000-0005-0000-0000-0000B40B0000}"/>
    <cellStyle name="Percent 60" xfId="2697" xr:uid="{00000000-0005-0000-0000-0000B50B0000}"/>
    <cellStyle name="Percent 61" xfId="2698" xr:uid="{00000000-0005-0000-0000-0000B60B0000}"/>
    <cellStyle name="Percent 62" xfId="2699" xr:uid="{00000000-0005-0000-0000-0000B70B0000}"/>
    <cellStyle name="Percent 63" xfId="2700" xr:uid="{00000000-0005-0000-0000-0000B80B0000}"/>
    <cellStyle name="Percent 64" xfId="2701" xr:uid="{00000000-0005-0000-0000-0000B90B0000}"/>
    <cellStyle name="Percent 65" xfId="2702" xr:uid="{00000000-0005-0000-0000-0000BA0B0000}"/>
    <cellStyle name="Percent 66" xfId="2703" xr:uid="{00000000-0005-0000-0000-0000BB0B0000}"/>
    <cellStyle name="Percent 67" xfId="2704" xr:uid="{00000000-0005-0000-0000-0000BC0B0000}"/>
    <cellStyle name="Percent 68" xfId="2705" xr:uid="{00000000-0005-0000-0000-0000BD0B0000}"/>
    <cellStyle name="Percent 69" xfId="2706" xr:uid="{00000000-0005-0000-0000-0000BE0B0000}"/>
    <cellStyle name="Percent 7" xfId="2707" xr:uid="{00000000-0005-0000-0000-0000BF0B0000}"/>
    <cellStyle name="Percent 70" xfId="2708" xr:uid="{00000000-0005-0000-0000-0000C00B0000}"/>
    <cellStyle name="Percent 71" xfId="2709" xr:uid="{00000000-0005-0000-0000-0000C10B0000}"/>
    <cellStyle name="Percent 72" xfId="2710" xr:uid="{00000000-0005-0000-0000-0000C20B0000}"/>
    <cellStyle name="Percent 73" xfId="2711" xr:uid="{00000000-0005-0000-0000-0000C30B0000}"/>
    <cellStyle name="Percent 74" xfId="2712" xr:uid="{00000000-0005-0000-0000-0000C40B0000}"/>
    <cellStyle name="Percent 75" xfId="2713" xr:uid="{00000000-0005-0000-0000-0000C50B0000}"/>
    <cellStyle name="Percent 76" xfId="2714" xr:uid="{00000000-0005-0000-0000-0000C60B0000}"/>
    <cellStyle name="Percent 77" xfId="2715" xr:uid="{00000000-0005-0000-0000-0000C70B0000}"/>
    <cellStyle name="Percent 78" xfId="2716" xr:uid="{00000000-0005-0000-0000-0000C80B0000}"/>
    <cellStyle name="Percent 79" xfId="2717" xr:uid="{00000000-0005-0000-0000-0000C90B0000}"/>
    <cellStyle name="Percent 8" xfId="2718" xr:uid="{00000000-0005-0000-0000-0000CA0B0000}"/>
    <cellStyle name="Percent 80" xfId="2719" xr:uid="{00000000-0005-0000-0000-0000CB0B0000}"/>
    <cellStyle name="Percent 81" xfId="2720" xr:uid="{00000000-0005-0000-0000-0000CC0B0000}"/>
    <cellStyle name="Percent 82" xfId="2721" xr:uid="{00000000-0005-0000-0000-0000CD0B0000}"/>
    <cellStyle name="Percent 83" xfId="2722" xr:uid="{00000000-0005-0000-0000-0000CE0B0000}"/>
    <cellStyle name="Percent 84" xfId="2723" xr:uid="{00000000-0005-0000-0000-0000CF0B0000}"/>
    <cellStyle name="Percent 85" xfId="2724" xr:uid="{00000000-0005-0000-0000-0000D00B0000}"/>
    <cellStyle name="Percent 86" xfId="2725" xr:uid="{00000000-0005-0000-0000-0000D10B0000}"/>
    <cellStyle name="Percent 87" xfId="2726" xr:uid="{00000000-0005-0000-0000-0000D20B0000}"/>
    <cellStyle name="Percent 88" xfId="2727" xr:uid="{00000000-0005-0000-0000-0000D30B0000}"/>
    <cellStyle name="Percent 89" xfId="2728" xr:uid="{00000000-0005-0000-0000-0000D40B0000}"/>
    <cellStyle name="Percent 9" xfId="2729" xr:uid="{00000000-0005-0000-0000-0000D50B0000}"/>
    <cellStyle name="Percent 90" xfId="2730" xr:uid="{00000000-0005-0000-0000-0000D60B0000}"/>
    <cellStyle name="Percent 91" xfId="2731" xr:uid="{00000000-0005-0000-0000-0000D70B0000}"/>
    <cellStyle name="Percent 92" xfId="2732" xr:uid="{00000000-0005-0000-0000-0000D80B0000}"/>
    <cellStyle name="Percent 93" xfId="2733" xr:uid="{00000000-0005-0000-0000-0000D90B0000}"/>
    <cellStyle name="Percent 94" xfId="2734" xr:uid="{00000000-0005-0000-0000-0000DA0B0000}"/>
    <cellStyle name="Percent 95" xfId="2735" xr:uid="{00000000-0005-0000-0000-0000DB0B0000}"/>
    <cellStyle name="Percent 96" xfId="2736" xr:uid="{00000000-0005-0000-0000-0000DC0B0000}"/>
    <cellStyle name="Percent 97" xfId="2737" xr:uid="{00000000-0005-0000-0000-0000DD0B0000}"/>
    <cellStyle name="Percent 98" xfId="2738" xr:uid="{00000000-0005-0000-0000-0000DE0B0000}"/>
    <cellStyle name="Percent 99" xfId="2739" xr:uid="{00000000-0005-0000-0000-0000DF0B0000}"/>
    <cellStyle name="Percent Hard" xfId="2740" xr:uid="{00000000-0005-0000-0000-0000E00B0000}"/>
    <cellStyle name="Percent Hard 2" xfId="2741" xr:uid="{00000000-0005-0000-0000-0000E10B0000}"/>
    <cellStyle name="Percent(1)" xfId="2742" xr:uid="{00000000-0005-0000-0000-0000E20B0000}"/>
    <cellStyle name="Percent(1) 2" xfId="2743" xr:uid="{00000000-0005-0000-0000-0000E30B0000}"/>
    <cellStyle name="Percent(1) 2 2" xfId="2744" xr:uid="{00000000-0005-0000-0000-0000E40B0000}"/>
    <cellStyle name="Percent(1) 3" xfId="2745" xr:uid="{00000000-0005-0000-0000-0000E50B0000}"/>
    <cellStyle name="Percent(3)" xfId="2746" xr:uid="{00000000-0005-0000-0000-0000E60B0000}"/>
    <cellStyle name="Percent(3) 2" xfId="2747" xr:uid="{00000000-0005-0000-0000-0000E70B0000}"/>
    <cellStyle name="Percent1" xfId="2748" xr:uid="{00000000-0005-0000-0000-0000E80B0000}"/>
    <cellStyle name="Percent1 2" xfId="2749" xr:uid="{00000000-0005-0000-0000-0000E90B0000}"/>
    <cellStyle name="percent3" xfId="2750" xr:uid="{00000000-0005-0000-0000-0000EA0B0000}"/>
    <cellStyle name="percent3 2" xfId="2751" xr:uid="{00000000-0005-0000-0000-0000EB0B0000}"/>
    <cellStyle name="Percentage" xfId="290" xr:uid="{00000000-0005-0000-0000-0000EC0B0000}"/>
    <cellStyle name="Percentage 2" xfId="3307" xr:uid="{00000000-0005-0000-0000-0000ED0B0000}"/>
    <cellStyle name="Percentage 3" xfId="3217" xr:uid="{00000000-0005-0000-0000-0000EE0B0000}"/>
    <cellStyle name="Percentage 4" xfId="2752" xr:uid="{00000000-0005-0000-0000-0000EF0B0000}"/>
    <cellStyle name="PercentPresentation" xfId="2753" xr:uid="{00000000-0005-0000-0000-0000F00B0000}"/>
    <cellStyle name="PercentPresentation 2" xfId="2754" xr:uid="{00000000-0005-0000-0000-0000F10B0000}"/>
    <cellStyle name="PercentPresentation 3" xfId="2755" xr:uid="{00000000-0005-0000-0000-0000F20B0000}"/>
    <cellStyle name="PerShare" xfId="2756" xr:uid="{00000000-0005-0000-0000-0000F30B0000}"/>
    <cellStyle name="PerShare 2" xfId="2757" xr:uid="{00000000-0005-0000-0000-0000F40B0000}"/>
    <cellStyle name="POPS" xfId="2758" xr:uid="{00000000-0005-0000-0000-0000F50B0000}"/>
    <cellStyle name="POPS 2" xfId="2759" xr:uid="{00000000-0005-0000-0000-0000F60B0000}"/>
    <cellStyle name="POPS 3" xfId="2760" xr:uid="{00000000-0005-0000-0000-0000F70B0000}"/>
    <cellStyle name="pound" xfId="2761" xr:uid="{00000000-0005-0000-0000-0000F80B0000}"/>
    <cellStyle name="pound 2" xfId="2762" xr:uid="{00000000-0005-0000-0000-0000F90B0000}"/>
    <cellStyle name="pound 3" xfId="2763" xr:uid="{00000000-0005-0000-0000-0000FA0B0000}"/>
    <cellStyle name="pound_PNR working 21" xfId="2764" xr:uid="{00000000-0005-0000-0000-0000FB0B0000}"/>
    <cellStyle name="Ppefce" xfId="2765" xr:uid="{00000000-0005-0000-0000-0000FC0B0000}"/>
    <cellStyle name="PrePop Currency (0)" xfId="2766" xr:uid="{00000000-0005-0000-0000-0000FD0B0000}"/>
    <cellStyle name="PrePop Currency (2)" xfId="2767" xr:uid="{00000000-0005-0000-0000-0000FE0B0000}"/>
    <cellStyle name="PrePop Units (0)" xfId="2768" xr:uid="{00000000-0005-0000-0000-0000FF0B0000}"/>
    <cellStyle name="PrePop Units (1)" xfId="2769" xr:uid="{00000000-0005-0000-0000-0000000C0000}"/>
    <cellStyle name="PrePop Units (2)" xfId="2770" xr:uid="{00000000-0005-0000-0000-0000010C0000}"/>
    <cellStyle name="Presentation" xfId="2771" xr:uid="{00000000-0005-0000-0000-0000020C0000}"/>
    <cellStyle name="Presentation 2" xfId="2772" xr:uid="{00000000-0005-0000-0000-0000030C0000}"/>
    <cellStyle name="Presentation 3" xfId="2773" xr:uid="{00000000-0005-0000-0000-0000040C0000}"/>
    <cellStyle name="Presentation_PNR working 21" xfId="2774" xr:uid="{00000000-0005-0000-0000-0000050C0000}"/>
    <cellStyle name="PresentationZero" xfId="2775" xr:uid="{00000000-0005-0000-0000-0000060C0000}"/>
    <cellStyle name="PresentationZero 2" xfId="2776" xr:uid="{00000000-0005-0000-0000-0000070C0000}"/>
    <cellStyle name="Price" xfId="291" xr:uid="{00000000-0005-0000-0000-0000080C0000}"/>
    <cellStyle name="Price 2" xfId="3246" xr:uid="{00000000-0005-0000-0000-0000090C0000}"/>
    <cellStyle name="Price 3" xfId="3218" xr:uid="{00000000-0005-0000-0000-00000A0C0000}"/>
    <cellStyle name="Price 4" xfId="430" xr:uid="{00000000-0005-0000-0000-00000B0C0000}"/>
    <cellStyle name="PriceDecimal" xfId="2777" xr:uid="{00000000-0005-0000-0000-00000C0C0000}"/>
    <cellStyle name="Procenten" xfId="2778" xr:uid="{00000000-0005-0000-0000-00000D0C0000}"/>
    <cellStyle name="Procenten 2" xfId="2779" xr:uid="{00000000-0005-0000-0000-00000E0C0000}"/>
    <cellStyle name="Procenten estimate" xfId="2780" xr:uid="{00000000-0005-0000-0000-00000F0C0000}"/>
    <cellStyle name="Procenten estimate 2" xfId="2781" xr:uid="{00000000-0005-0000-0000-0000100C0000}"/>
    <cellStyle name="Procenten estimate_PNR working 21" xfId="2782" xr:uid="{00000000-0005-0000-0000-0000110C0000}"/>
    <cellStyle name="Procenten_EMI" xfId="2783" xr:uid="{00000000-0005-0000-0000-0000120C0000}"/>
    <cellStyle name="prot" xfId="292" xr:uid="{00000000-0005-0000-0000-0000130C0000}"/>
    <cellStyle name="PSChar" xfId="2784" xr:uid="{00000000-0005-0000-0000-0000140C0000}"/>
    <cellStyle name="PSDate" xfId="2785" xr:uid="{00000000-0005-0000-0000-0000150C0000}"/>
    <cellStyle name="PSDec" xfId="2786" xr:uid="{00000000-0005-0000-0000-0000160C0000}"/>
    <cellStyle name="PSHeading" xfId="2787" xr:uid="{00000000-0005-0000-0000-0000170C0000}"/>
    <cellStyle name="PSInt" xfId="2788" xr:uid="{00000000-0005-0000-0000-0000180C0000}"/>
    <cellStyle name="PSSpacer" xfId="2789" xr:uid="{00000000-0005-0000-0000-0000190C0000}"/>
    <cellStyle name="Public Market Value of Selected Real Estate Companies" xfId="2790" xr:uid="{00000000-0005-0000-0000-00001A0C0000}"/>
    <cellStyle name="Punto" xfId="293" xr:uid="{00000000-0005-0000-0000-00001B0C0000}"/>
    <cellStyle name="q" xfId="2791" xr:uid="{00000000-0005-0000-0000-00001C0C0000}"/>
    <cellStyle name="QEPS-h" xfId="2792" xr:uid="{00000000-0005-0000-0000-00001D0C0000}"/>
    <cellStyle name="QEPS-H1" xfId="2793" xr:uid="{00000000-0005-0000-0000-00001E0C0000}"/>
    <cellStyle name="QEPS-H1 2" xfId="2794" xr:uid="{00000000-0005-0000-0000-00001F0C0000}"/>
    <cellStyle name="qRange" xfId="2795" xr:uid="{00000000-0005-0000-0000-0000200C0000}"/>
    <cellStyle name="r" xfId="294" xr:uid="{00000000-0005-0000-0000-0000210C0000}"/>
    <cellStyle name="r 2" xfId="3308" xr:uid="{00000000-0005-0000-0000-0000220C0000}"/>
    <cellStyle name="r 3" xfId="3219" xr:uid="{00000000-0005-0000-0000-0000230C0000}"/>
    <cellStyle name="r 4" xfId="2796" xr:uid="{00000000-0005-0000-0000-0000240C0000}"/>
    <cellStyle name="r_newmrgr" xfId="2797" xr:uid="{00000000-0005-0000-0000-0000250C0000}"/>
    <cellStyle name="r_pldt" xfId="2798" xr:uid="{00000000-0005-0000-0000-0000260C0000}"/>
    <cellStyle name="range" xfId="2799" xr:uid="{00000000-0005-0000-0000-0000270C0000}"/>
    <cellStyle name="red" xfId="2800" xr:uid="{00000000-0005-0000-0000-0000280C0000}"/>
    <cellStyle name="Report" xfId="2801" xr:uid="{00000000-0005-0000-0000-0000290C0000}"/>
    <cellStyle name="Report 2" xfId="2802" xr:uid="{00000000-0005-0000-0000-00002A0C0000}"/>
    <cellStyle name="Report 3" xfId="2803" xr:uid="{00000000-0005-0000-0000-00002B0C0000}"/>
    <cellStyle name="results" xfId="2804" xr:uid="{00000000-0005-0000-0000-00002C0C0000}"/>
    <cellStyle name="results 2" xfId="2805" xr:uid="{00000000-0005-0000-0000-00002D0C0000}"/>
    <cellStyle name="results_PNR working 21" xfId="2806" xr:uid="{00000000-0005-0000-0000-00002E0C0000}"/>
    <cellStyle name="Reuters Cells" xfId="295" xr:uid="{00000000-0005-0000-0000-00002F0C0000}"/>
    <cellStyle name="Reuters Cells 2" xfId="2807" xr:uid="{00000000-0005-0000-0000-0000300C0000}"/>
    <cellStyle name="RevList" xfId="2808" xr:uid="{00000000-0005-0000-0000-0000310C0000}"/>
    <cellStyle name="Right" xfId="2809" xr:uid="{00000000-0005-0000-0000-0000320C0000}"/>
    <cellStyle name="s" xfId="296" xr:uid="{00000000-0005-0000-0000-0000330C0000}"/>
    <cellStyle name="Salomon Logo" xfId="2810" xr:uid="{00000000-0005-0000-0000-0000340C0000}"/>
    <cellStyle name="Shade" xfId="2811" xr:uid="{00000000-0005-0000-0000-0000350C0000}"/>
    <cellStyle name="Shade 2" xfId="2812" xr:uid="{00000000-0005-0000-0000-0000360C0000}"/>
    <cellStyle name="Shaded" xfId="2813" xr:uid="{00000000-0005-0000-0000-0000370C0000}"/>
    <cellStyle name="ShadedCells_Database" xfId="297" xr:uid="{00000000-0005-0000-0000-0000380C0000}"/>
    <cellStyle name="Share" xfId="2815" xr:uid="{00000000-0005-0000-0000-0000390C0000}"/>
    <cellStyle name="Share 2" xfId="2816" xr:uid="{00000000-0005-0000-0000-00003A0C0000}"/>
    <cellStyle name="Share 2 2" xfId="2817" xr:uid="{00000000-0005-0000-0000-00003B0C0000}"/>
    <cellStyle name="Share 3" xfId="2818" xr:uid="{00000000-0005-0000-0000-00003C0C0000}"/>
    <cellStyle name="Share 3 2" xfId="2819" xr:uid="{00000000-0005-0000-0000-00003D0C0000}"/>
    <cellStyle name="Share 4" xfId="2820" xr:uid="{00000000-0005-0000-0000-00003E0C0000}"/>
    <cellStyle name="Shares" xfId="2821" xr:uid="{00000000-0005-0000-0000-00003F0C0000}"/>
    <cellStyle name="Shares 2" xfId="2822" xr:uid="{00000000-0005-0000-0000-0000400C0000}"/>
    <cellStyle name="Shares 3" xfId="2823" xr:uid="{00000000-0005-0000-0000-0000410C0000}"/>
    <cellStyle name="Shares_PNR working 21" xfId="2824" xr:uid="{00000000-0005-0000-0000-0000420C0000}"/>
    <cellStyle name="Sheet Title" xfId="298" xr:uid="{00000000-0005-0000-0000-0000430C0000}"/>
    <cellStyle name="ShOut" xfId="299" xr:uid="{00000000-0005-0000-0000-0000440C0000}"/>
    <cellStyle name="Source" xfId="2825" xr:uid="{00000000-0005-0000-0000-0000450C0000}"/>
    <cellStyle name="Space" xfId="2826" xr:uid="{00000000-0005-0000-0000-0000460C0000}"/>
    <cellStyle name="SS1000" xfId="2827" xr:uid="{00000000-0005-0000-0000-0000470C0000}"/>
    <cellStyle name="SS1000 2" xfId="2828" xr:uid="{00000000-0005-0000-0000-0000480C0000}"/>
    <cellStyle name="Standard" xfId="2829" xr:uid="{00000000-0005-0000-0000-0000490C0000}"/>
    <cellStyle name="Stock price" xfId="2830" xr:uid="{00000000-0005-0000-0000-00004A0C0000}"/>
    <cellStyle name="Stock price 2" xfId="2831" xr:uid="{00000000-0005-0000-0000-00004B0C0000}"/>
    <cellStyle name="Stock price 3" xfId="2832" xr:uid="{00000000-0005-0000-0000-00004C0C0000}"/>
    <cellStyle name="Stock price_PNR working 21" xfId="2833" xr:uid="{00000000-0005-0000-0000-00004D0C0000}"/>
    <cellStyle name="StockPrice" xfId="2834" xr:uid="{00000000-0005-0000-0000-00004E0C0000}"/>
    <cellStyle name="Style 1" xfId="300" xr:uid="{00000000-0005-0000-0000-00004F0C0000}"/>
    <cellStyle name="Style 1 2" xfId="2835" xr:uid="{00000000-0005-0000-0000-0000500C0000}"/>
    <cellStyle name="Style 2" xfId="301" xr:uid="{00000000-0005-0000-0000-0000510C0000}"/>
    <cellStyle name="Style 2 2" xfId="2836" xr:uid="{00000000-0005-0000-0000-0000520C0000}"/>
    <cellStyle name="Style 21" xfId="2837" xr:uid="{00000000-0005-0000-0000-0000530C0000}"/>
    <cellStyle name="Style 22" xfId="2838" xr:uid="{00000000-0005-0000-0000-0000540C0000}"/>
    <cellStyle name="Style 23" xfId="2839" xr:uid="{00000000-0005-0000-0000-0000550C0000}"/>
    <cellStyle name="Style 24" xfId="2840" xr:uid="{00000000-0005-0000-0000-0000560C0000}"/>
    <cellStyle name="Style 25" xfId="2841" xr:uid="{00000000-0005-0000-0000-0000570C0000}"/>
    <cellStyle name="Style 26" xfId="2842" xr:uid="{00000000-0005-0000-0000-0000580C0000}"/>
    <cellStyle name="Style 27" xfId="2843" xr:uid="{00000000-0005-0000-0000-0000590C0000}"/>
    <cellStyle name="Style 28" xfId="2844" xr:uid="{00000000-0005-0000-0000-00005A0C0000}"/>
    <cellStyle name="Style 29" xfId="2845" xr:uid="{00000000-0005-0000-0000-00005B0C0000}"/>
    <cellStyle name="Style 3" xfId="302" xr:uid="{00000000-0005-0000-0000-00005C0C0000}"/>
    <cellStyle name="Style 3 2" xfId="2846" xr:uid="{00000000-0005-0000-0000-00005D0C0000}"/>
    <cellStyle name="Style 30" xfId="2847" xr:uid="{00000000-0005-0000-0000-00005E0C0000}"/>
    <cellStyle name="Style 31" xfId="2848" xr:uid="{00000000-0005-0000-0000-00005F0C0000}"/>
    <cellStyle name="Style 32" xfId="2849" xr:uid="{00000000-0005-0000-0000-0000600C0000}"/>
    <cellStyle name="Style 33" xfId="2850" xr:uid="{00000000-0005-0000-0000-0000610C0000}"/>
    <cellStyle name="Style 34" xfId="2851" xr:uid="{00000000-0005-0000-0000-0000620C0000}"/>
    <cellStyle name="Style 35" xfId="2852" xr:uid="{00000000-0005-0000-0000-0000630C0000}"/>
    <cellStyle name="Style 36" xfId="2853" xr:uid="{00000000-0005-0000-0000-0000640C0000}"/>
    <cellStyle name="Style 37" xfId="2854" xr:uid="{00000000-0005-0000-0000-0000650C0000}"/>
    <cellStyle name="Style 4" xfId="2855" xr:uid="{00000000-0005-0000-0000-0000660C0000}"/>
    <cellStyle name="Style 4 2" xfId="2856" xr:uid="{00000000-0005-0000-0000-0000670C0000}"/>
    <cellStyle name="Style 5" xfId="2857" xr:uid="{00000000-0005-0000-0000-0000680C0000}"/>
    <cellStyle name="Style 5 2" xfId="2858" xr:uid="{00000000-0005-0000-0000-0000690C0000}"/>
    <cellStyle name="Style 6" xfId="2859" xr:uid="{00000000-0005-0000-0000-00006A0C0000}"/>
    <cellStyle name="Style 6 2" xfId="2860" xr:uid="{00000000-0005-0000-0000-00006B0C0000}"/>
    <cellStyle name="Style 7" xfId="2861" xr:uid="{00000000-0005-0000-0000-00006C0C0000}"/>
    <cellStyle name="Style 7 2" xfId="2862" xr:uid="{00000000-0005-0000-0000-00006D0C0000}"/>
    <cellStyle name="Style 8" xfId="2863" xr:uid="{00000000-0005-0000-0000-00006E0C0000}"/>
    <cellStyle name="Style 8 2" xfId="2864" xr:uid="{00000000-0005-0000-0000-00006F0C0000}"/>
    <cellStyle name="Style 9" xfId="2865" xr:uid="{00000000-0005-0000-0000-0000700C0000}"/>
    <cellStyle name="Style 9 2" xfId="2866" xr:uid="{00000000-0005-0000-0000-0000710C0000}"/>
    <cellStyle name="Style D green" xfId="303" xr:uid="{00000000-0005-0000-0000-0000720C0000}"/>
    <cellStyle name="Style D green 2" xfId="432" xr:uid="{00000000-0005-0000-0000-0000730C0000}"/>
    <cellStyle name="Style D green 2 2" xfId="3128" xr:uid="{00000000-0005-0000-0000-0000740C0000}"/>
    <cellStyle name="Style D green 2 3" xfId="2868" xr:uid="{00000000-0005-0000-0000-0000750C0000}"/>
    <cellStyle name="Style D green 3" xfId="433" xr:uid="{00000000-0005-0000-0000-0000760C0000}"/>
    <cellStyle name="Style D green 4" xfId="434" xr:uid="{00000000-0005-0000-0000-0000770C0000}"/>
    <cellStyle name="Style D green 5" xfId="3127" xr:uid="{00000000-0005-0000-0000-0000780C0000}"/>
    <cellStyle name="Style D green 6" xfId="2867" xr:uid="{00000000-0005-0000-0000-0000790C0000}"/>
    <cellStyle name="Style D green 7" xfId="431" xr:uid="{00000000-0005-0000-0000-00007A0C0000}"/>
    <cellStyle name="Style E" xfId="304" xr:uid="{00000000-0005-0000-0000-00007B0C0000}"/>
    <cellStyle name="Style H" xfId="305" xr:uid="{00000000-0005-0000-0000-00007C0C0000}"/>
    <cellStyle name="Sub total" xfId="306" xr:uid="{00000000-0005-0000-0000-00007D0C0000}"/>
    <cellStyle name="Sub total 2" xfId="2872" xr:uid="{00000000-0005-0000-0000-00007E0C0000}"/>
    <cellStyle name="Sub total 2 2" xfId="3309" xr:uid="{00000000-0005-0000-0000-00007F0C0000}"/>
    <cellStyle name="Sub total 3" xfId="3132" xr:uid="{00000000-0005-0000-0000-0000800C0000}"/>
    <cellStyle name="SubDollar" xfId="2873" xr:uid="{00000000-0005-0000-0000-0000810C0000}"/>
    <cellStyle name="SubGrowth" xfId="2874" xr:uid="{00000000-0005-0000-0000-0000820C0000}"/>
    <cellStyle name="SubGrowthRate" xfId="2875" xr:uid="{00000000-0005-0000-0000-0000830C0000}"/>
    <cellStyle name="SubMargins" xfId="2876" xr:uid="{00000000-0005-0000-0000-0000840C0000}"/>
    <cellStyle name="SubPenetration" xfId="2877" xr:uid="{00000000-0005-0000-0000-0000850C0000}"/>
    <cellStyle name="Subscribers" xfId="2878" xr:uid="{00000000-0005-0000-0000-0000860C0000}"/>
    <cellStyle name="Subtotal" xfId="2879" xr:uid="{00000000-0005-0000-0000-0000870C0000}"/>
    <cellStyle name="Subtotal 2" xfId="2880" xr:uid="{00000000-0005-0000-0000-0000880C0000}"/>
    <cellStyle name="SubVariable" xfId="2881" xr:uid="{00000000-0005-0000-0000-0000890C0000}"/>
    <cellStyle name="Sum" xfId="307" xr:uid="{00000000-0005-0000-0000-00008A0C0000}"/>
    <cellStyle name="Swiss" xfId="308" xr:uid="{00000000-0005-0000-0000-00008B0C0000}"/>
    <cellStyle name="Synopsis" xfId="2882" xr:uid="{00000000-0005-0000-0000-00008C0C0000}"/>
    <cellStyle name="Synopsis 2" xfId="2883" xr:uid="{00000000-0005-0000-0000-00008D0C0000}"/>
    <cellStyle name="t" xfId="309" xr:uid="{00000000-0005-0000-0000-00008E0C0000}"/>
    <cellStyle name="t 2" xfId="3310" xr:uid="{00000000-0005-0000-0000-00008F0C0000}"/>
    <cellStyle name="t 3" xfId="3220" xr:uid="{00000000-0005-0000-0000-0000900C0000}"/>
    <cellStyle name="t 4" xfId="2884" xr:uid="{00000000-0005-0000-0000-0000910C0000}"/>
    <cellStyle name="Table Col Head" xfId="2885" xr:uid="{00000000-0005-0000-0000-0000920C0000}"/>
    <cellStyle name="Table end" xfId="310" xr:uid="{00000000-0005-0000-0000-0000930C0000}"/>
    <cellStyle name="Table head" xfId="311" xr:uid="{00000000-0005-0000-0000-0000940C0000}"/>
    <cellStyle name="Table head 2" xfId="2888" xr:uid="{00000000-0005-0000-0000-0000950C0000}"/>
    <cellStyle name="Table Head Aligned" xfId="2889" xr:uid="{00000000-0005-0000-0000-0000960C0000}"/>
    <cellStyle name="Table Head Aligned 2" xfId="2890" xr:uid="{00000000-0005-0000-0000-0000970C0000}"/>
    <cellStyle name="Table Head Aligned 2 2" xfId="2891" xr:uid="{00000000-0005-0000-0000-0000980C0000}"/>
    <cellStyle name="Table Head Aligned 3" xfId="2892" xr:uid="{00000000-0005-0000-0000-0000990C0000}"/>
    <cellStyle name="Table Head Aligned 3 2" xfId="2893" xr:uid="{00000000-0005-0000-0000-00009A0C0000}"/>
    <cellStyle name="Table Head Aligned 4" xfId="2894" xr:uid="{00000000-0005-0000-0000-00009B0C0000}"/>
    <cellStyle name="Table Head Aligned_PNR working 21" xfId="2895" xr:uid="{00000000-0005-0000-0000-00009C0C0000}"/>
    <cellStyle name="Table Head Blue" xfId="2896" xr:uid="{00000000-0005-0000-0000-00009D0C0000}"/>
    <cellStyle name="Table Head Green" xfId="2897" xr:uid="{00000000-0005-0000-0000-00009E0C0000}"/>
    <cellStyle name="Table Head Green 2" xfId="2898" xr:uid="{00000000-0005-0000-0000-00009F0C0000}"/>
    <cellStyle name="Table Head_4. Debt Schedule" xfId="2899" xr:uid="{00000000-0005-0000-0000-0000A00C0000}"/>
    <cellStyle name="Table Source" xfId="2900" xr:uid="{00000000-0005-0000-0000-0000A10C0000}"/>
    <cellStyle name="Table Sub Head" xfId="2901" xr:uid="{00000000-0005-0000-0000-0000A20C0000}"/>
    <cellStyle name="Table Text" xfId="2902" xr:uid="{00000000-0005-0000-0000-0000A30C0000}"/>
    <cellStyle name="table text bold" xfId="312" xr:uid="{00000000-0005-0000-0000-0000A40C0000}"/>
    <cellStyle name="table text bold green" xfId="313" xr:uid="{00000000-0005-0000-0000-0000A50C0000}"/>
    <cellStyle name="table text bold green 2" xfId="2905" xr:uid="{00000000-0005-0000-0000-0000A60C0000}"/>
    <cellStyle name="table text bold green_PNR working 21" xfId="2906" xr:uid="{00000000-0005-0000-0000-0000A70C0000}"/>
    <cellStyle name="table text bold_BHI" xfId="2907" xr:uid="{00000000-0005-0000-0000-0000A80C0000}"/>
    <cellStyle name="table text light" xfId="314" xr:uid="{00000000-0005-0000-0000-0000A90C0000}"/>
    <cellStyle name="Table Title" xfId="315" xr:uid="{00000000-0005-0000-0000-0000AA0C0000}"/>
    <cellStyle name="Table Title 2" xfId="3311" xr:uid="{00000000-0005-0000-0000-0000AB0C0000}"/>
    <cellStyle name="Table Title 3" xfId="3221" xr:uid="{00000000-0005-0000-0000-0000AC0C0000}"/>
    <cellStyle name="Table Title 4" xfId="2909" xr:uid="{00000000-0005-0000-0000-0000AD0C0000}"/>
    <cellStyle name="Table Units" xfId="316" xr:uid="{00000000-0005-0000-0000-0000AE0C0000}"/>
    <cellStyle name="Table Units 2" xfId="3312" xr:uid="{00000000-0005-0000-0000-0000AF0C0000}"/>
    <cellStyle name="Table Units 3" xfId="3222" xr:uid="{00000000-0005-0000-0000-0000B00C0000}"/>
    <cellStyle name="Table Units 4" xfId="2910" xr:uid="{00000000-0005-0000-0000-0000B10C0000}"/>
    <cellStyle name="Table_Title" xfId="2911" xr:uid="{00000000-0005-0000-0000-0000B20C0000}"/>
    <cellStyle name="TableBody" xfId="2912" xr:uid="{00000000-0005-0000-0000-0000B30C0000}"/>
    <cellStyle name="TableBody 2" xfId="2913" xr:uid="{00000000-0005-0000-0000-0000B40C0000}"/>
    <cellStyle name="TableBodyR" xfId="2914" xr:uid="{00000000-0005-0000-0000-0000B50C0000}"/>
    <cellStyle name="TableBodyR 2" xfId="2915" xr:uid="{00000000-0005-0000-0000-0000B60C0000}"/>
    <cellStyle name="TableColHeads" xfId="2916" xr:uid="{00000000-0005-0000-0000-0000B70C0000}"/>
    <cellStyle name="TableColHeads 2" xfId="2917" xr:uid="{00000000-0005-0000-0000-0000B80C0000}"/>
    <cellStyle name="tcn" xfId="2918" xr:uid="{00000000-0005-0000-0000-0000B90C0000}"/>
    <cellStyle name="Text" xfId="2919" xr:uid="{00000000-0005-0000-0000-0000BA0C0000}"/>
    <cellStyle name="Text 1" xfId="2920" xr:uid="{00000000-0005-0000-0000-0000BB0C0000}"/>
    <cellStyle name="Text 2" xfId="2921" xr:uid="{00000000-0005-0000-0000-0000BC0C0000}"/>
    <cellStyle name="Text Head" xfId="2922" xr:uid="{00000000-0005-0000-0000-0000BD0C0000}"/>
    <cellStyle name="Text Head 1" xfId="2923" xr:uid="{00000000-0005-0000-0000-0000BE0C0000}"/>
    <cellStyle name="Text Head 2" xfId="2924" xr:uid="{00000000-0005-0000-0000-0000BF0C0000}"/>
    <cellStyle name="Text Head_BHI" xfId="2925" xr:uid="{00000000-0005-0000-0000-0000C00C0000}"/>
    <cellStyle name="Text Indent 1" xfId="2926" xr:uid="{00000000-0005-0000-0000-0000C10C0000}"/>
    <cellStyle name="Text Indent 2" xfId="2927" xr:uid="{00000000-0005-0000-0000-0000C20C0000}"/>
    <cellStyle name="Text Indent A" xfId="2928" xr:uid="{00000000-0005-0000-0000-0000C30C0000}"/>
    <cellStyle name="Text Indent B" xfId="2929" xr:uid="{00000000-0005-0000-0000-0000C40C0000}"/>
    <cellStyle name="Text Indent C" xfId="2930" xr:uid="{00000000-0005-0000-0000-0000C50C0000}"/>
    <cellStyle name="Text_CBS Accretion - Dilution" xfId="2931" xr:uid="{00000000-0005-0000-0000-0000C60C0000}"/>
    <cellStyle name="Ticker" xfId="2932" xr:uid="{00000000-0005-0000-0000-0000C70C0000}"/>
    <cellStyle name="Time" xfId="317" xr:uid="{00000000-0005-0000-0000-0000C80C0000}"/>
    <cellStyle name="Title - PROJECT" xfId="318" xr:uid="{00000000-0005-0000-0000-0000C90C0000}"/>
    <cellStyle name="Title - Underline" xfId="319" xr:uid="{00000000-0005-0000-0000-0000CA0C0000}"/>
    <cellStyle name="Title 10" xfId="2933" xr:uid="{00000000-0005-0000-0000-0000CB0C0000}"/>
    <cellStyle name="Title 11" xfId="2934" xr:uid="{00000000-0005-0000-0000-0000CC0C0000}"/>
    <cellStyle name="Title 12" xfId="2935" xr:uid="{00000000-0005-0000-0000-0000CD0C0000}"/>
    <cellStyle name="Title 13" xfId="2936" xr:uid="{00000000-0005-0000-0000-0000CE0C0000}"/>
    <cellStyle name="Title 14" xfId="2937" xr:uid="{00000000-0005-0000-0000-0000CF0C0000}"/>
    <cellStyle name="Title 15" xfId="2938" xr:uid="{00000000-0005-0000-0000-0000D00C0000}"/>
    <cellStyle name="Title 16" xfId="2939" xr:uid="{00000000-0005-0000-0000-0000D10C0000}"/>
    <cellStyle name="Title 17" xfId="2940" xr:uid="{00000000-0005-0000-0000-0000D20C0000}"/>
    <cellStyle name="Title 18" xfId="2941" xr:uid="{00000000-0005-0000-0000-0000D30C0000}"/>
    <cellStyle name="Title 19" xfId="2942" xr:uid="{00000000-0005-0000-0000-0000D40C0000}"/>
    <cellStyle name="Title 2" xfId="2943" xr:uid="{00000000-0005-0000-0000-0000D50C0000}"/>
    <cellStyle name="Title 2 2" xfId="2944" xr:uid="{00000000-0005-0000-0000-0000D60C0000}"/>
    <cellStyle name="Title 20" xfId="2945" xr:uid="{00000000-0005-0000-0000-0000D70C0000}"/>
    <cellStyle name="Title 21" xfId="2946" xr:uid="{00000000-0005-0000-0000-0000D80C0000}"/>
    <cellStyle name="Title 22" xfId="2947" xr:uid="{00000000-0005-0000-0000-0000D90C0000}"/>
    <cellStyle name="Title 23" xfId="2948" xr:uid="{00000000-0005-0000-0000-0000DA0C0000}"/>
    <cellStyle name="Title 24" xfId="2949" xr:uid="{00000000-0005-0000-0000-0000DB0C0000}"/>
    <cellStyle name="Title 3" xfId="2950" xr:uid="{00000000-0005-0000-0000-0000DC0C0000}"/>
    <cellStyle name="Title 4" xfId="2951" xr:uid="{00000000-0005-0000-0000-0000DD0C0000}"/>
    <cellStyle name="Title 5" xfId="2952" xr:uid="{00000000-0005-0000-0000-0000DE0C0000}"/>
    <cellStyle name="Title 6" xfId="2953" xr:uid="{00000000-0005-0000-0000-0000DF0C0000}"/>
    <cellStyle name="Title 7" xfId="2954" xr:uid="{00000000-0005-0000-0000-0000E00C0000}"/>
    <cellStyle name="Title 8" xfId="2955" xr:uid="{00000000-0005-0000-0000-0000E10C0000}"/>
    <cellStyle name="Title 9" xfId="2956" xr:uid="{00000000-0005-0000-0000-0000E20C0000}"/>
    <cellStyle name="Title1" xfId="320" xr:uid="{00000000-0005-0000-0000-0000E30C0000}"/>
    <cellStyle name="title1 2" xfId="3313" xr:uid="{00000000-0005-0000-0000-0000E40C0000}"/>
    <cellStyle name="Title1 3" xfId="3223" xr:uid="{00000000-0005-0000-0000-0000E50C0000}"/>
    <cellStyle name="title1 4" xfId="2957" xr:uid="{00000000-0005-0000-0000-0000E60C0000}"/>
    <cellStyle name="Title2" xfId="321" xr:uid="{00000000-0005-0000-0000-0000E70C0000}"/>
    <cellStyle name="Title2 2" xfId="2959" xr:uid="{00000000-0005-0000-0000-0000E80C0000}"/>
    <cellStyle name="Title2 3" xfId="3314" xr:uid="{00000000-0005-0000-0000-0000E90C0000}"/>
    <cellStyle name="Title2 4" xfId="3224" xr:uid="{00000000-0005-0000-0000-0000EA0C0000}"/>
    <cellStyle name="Title2 5" xfId="2958" xr:uid="{00000000-0005-0000-0000-0000EB0C0000}"/>
    <cellStyle name="TitleII" xfId="2960" xr:uid="{00000000-0005-0000-0000-0000EC0C0000}"/>
    <cellStyle name="TitleII 2" xfId="2961" xr:uid="{00000000-0005-0000-0000-0000ED0C0000}"/>
    <cellStyle name="Titles" xfId="2962" xr:uid="{00000000-0005-0000-0000-0000EE0C0000}"/>
    <cellStyle name="Titles - Col. Headings" xfId="322" xr:uid="{00000000-0005-0000-0000-0000EF0C0000}"/>
    <cellStyle name="Titles - Other" xfId="323" xr:uid="{00000000-0005-0000-0000-0000F00C0000}"/>
    <cellStyle name="Titles 10" xfId="2965" xr:uid="{00000000-0005-0000-0000-0000F10C0000}"/>
    <cellStyle name="Titles 11" xfId="2966" xr:uid="{00000000-0005-0000-0000-0000F20C0000}"/>
    <cellStyle name="Titles 12" xfId="2967" xr:uid="{00000000-0005-0000-0000-0000F30C0000}"/>
    <cellStyle name="Titles 2" xfId="2968" xr:uid="{00000000-0005-0000-0000-0000F40C0000}"/>
    <cellStyle name="Titles 3" xfId="2969" xr:uid="{00000000-0005-0000-0000-0000F50C0000}"/>
    <cellStyle name="Titles 4" xfId="2970" xr:uid="{00000000-0005-0000-0000-0000F60C0000}"/>
    <cellStyle name="Titles 5" xfId="2971" xr:uid="{00000000-0005-0000-0000-0000F70C0000}"/>
    <cellStyle name="Titles 6" xfId="2972" xr:uid="{00000000-0005-0000-0000-0000F80C0000}"/>
    <cellStyle name="Titles 7" xfId="2973" xr:uid="{00000000-0005-0000-0000-0000F90C0000}"/>
    <cellStyle name="Titles 8" xfId="2974" xr:uid="{00000000-0005-0000-0000-0000FA0C0000}"/>
    <cellStyle name="Titles 9" xfId="2975" xr:uid="{00000000-0005-0000-0000-0000FB0C0000}"/>
    <cellStyle name="Titles_PNR working 21" xfId="2976" xr:uid="{00000000-0005-0000-0000-0000FC0C0000}"/>
    <cellStyle name="TitleSub" xfId="2977" xr:uid="{00000000-0005-0000-0000-0000FD0C0000}"/>
    <cellStyle name="Titre colonne" xfId="2978" xr:uid="{00000000-0005-0000-0000-0000FE0C0000}"/>
    <cellStyle name="Titre colonnes" xfId="2979" xr:uid="{00000000-0005-0000-0000-0000FF0C0000}"/>
    <cellStyle name="Titre general" xfId="2980" xr:uid="{00000000-0005-0000-0000-0000000D0000}"/>
    <cellStyle name="Titre général" xfId="2981" xr:uid="{00000000-0005-0000-0000-0000010D0000}"/>
    <cellStyle name="Titre ligne" xfId="2982" xr:uid="{00000000-0005-0000-0000-0000020D0000}"/>
    <cellStyle name="Titre lignes" xfId="2983" xr:uid="{00000000-0005-0000-0000-0000030D0000}"/>
    <cellStyle name="Titre tableau" xfId="2984" xr:uid="{00000000-0005-0000-0000-0000040D0000}"/>
    <cellStyle name="tn" xfId="2985" xr:uid="{00000000-0005-0000-0000-0000050D0000}"/>
    <cellStyle name="TOC 1" xfId="2986" xr:uid="{00000000-0005-0000-0000-0000060D0000}"/>
    <cellStyle name="TOC 2" xfId="2987" xr:uid="{00000000-0005-0000-0000-0000070D0000}"/>
    <cellStyle name="Total 2" xfId="2988" xr:uid="{00000000-0005-0000-0000-0000080D0000}"/>
    <cellStyle name="Total 2 2" xfId="2989" xr:uid="{00000000-0005-0000-0000-0000090D0000}"/>
    <cellStyle name="Total 3" xfId="2990" xr:uid="{00000000-0005-0000-0000-00000A0D0000}"/>
    <cellStyle name="Total Currency" xfId="2991" xr:uid="{00000000-0005-0000-0000-00000B0D0000}"/>
    <cellStyle name="Total Currency 2" xfId="2992" xr:uid="{00000000-0005-0000-0000-00000C0D0000}"/>
    <cellStyle name="Total intermediaire" xfId="2993" xr:uid="{00000000-0005-0000-0000-00000D0D0000}"/>
    <cellStyle name="Total intermediaire 0" xfId="2994" xr:uid="{00000000-0005-0000-0000-00000E0D0000}"/>
    <cellStyle name="Total intermediaire 1" xfId="2995" xr:uid="{00000000-0005-0000-0000-00000F0D0000}"/>
    <cellStyle name="Total intermediaire 2" xfId="2996" xr:uid="{00000000-0005-0000-0000-0000100D0000}"/>
    <cellStyle name="Total intermediaire 3" xfId="2997" xr:uid="{00000000-0005-0000-0000-0000110D0000}"/>
    <cellStyle name="Total intermediaire 4" xfId="2998" xr:uid="{00000000-0005-0000-0000-0000120D0000}"/>
    <cellStyle name="Total Normal" xfId="2999" xr:uid="{00000000-0005-0000-0000-0000130D0000}"/>
    <cellStyle name="Total Normal 2" xfId="3000" xr:uid="{00000000-0005-0000-0000-0000140D0000}"/>
    <cellStyle name="Total tableau" xfId="3001" xr:uid="{00000000-0005-0000-0000-0000150D0000}"/>
    <cellStyle name="TotalCurrency" xfId="3002" xr:uid="{00000000-0005-0000-0000-0000160D0000}"/>
    <cellStyle name="TotalCurrency 2" xfId="3003" xr:uid="{00000000-0005-0000-0000-0000170D0000}"/>
    <cellStyle name="TR 8" xfId="3004" xr:uid="{00000000-0005-0000-0000-0000180D0000}"/>
    <cellStyle name="TR 8 2" xfId="3005" xr:uid="{00000000-0005-0000-0000-0000190D0000}"/>
    <cellStyle name="TR 8B" xfId="3006" xr:uid="{00000000-0005-0000-0000-00001A0D0000}"/>
    <cellStyle name="TR 8B 2" xfId="3007" xr:uid="{00000000-0005-0000-0000-00001B0D0000}"/>
    <cellStyle name="TR 8B 3" xfId="3008" xr:uid="{00000000-0005-0000-0000-00001C0D0000}"/>
    <cellStyle name="Twodig" xfId="435" xr:uid="{00000000-0005-0000-0000-00001D0D0000}"/>
    <cellStyle name="u" xfId="3010" xr:uid="{00000000-0005-0000-0000-00001E0D0000}"/>
    <cellStyle name="Underline" xfId="436" xr:uid="{00000000-0005-0000-0000-00001F0D0000}"/>
    <cellStyle name="Underline 2" xfId="3136" xr:uid="{00000000-0005-0000-0000-0000200D0000}"/>
    <cellStyle name="Underline 3" xfId="3011" xr:uid="{00000000-0005-0000-0000-0000210D0000}"/>
    <cellStyle name="Underline(0)" xfId="3012" xr:uid="{00000000-0005-0000-0000-0000220D0000}"/>
    <cellStyle name="Underline_Double" xfId="3013" xr:uid="{00000000-0005-0000-0000-0000230D0000}"/>
    <cellStyle name="undernum" xfId="3014" xr:uid="{00000000-0005-0000-0000-0000240D0000}"/>
    <cellStyle name="unm" xfId="324" xr:uid="{00000000-0005-0000-0000-0000250D0000}"/>
    <cellStyle name="Use_1dp" xfId="3015" xr:uid="{00000000-0005-0000-0000-0000260D0000}"/>
    <cellStyle name="UseB_1dp" xfId="3016" xr:uid="{00000000-0005-0000-0000-0000270D0000}"/>
    <cellStyle name="Validation" xfId="3017" xr:uid="{00000000-0005-0000-0000-0000280D0000}"/>
    <cellStyle name="Validation 2" xfId="3018" xr:uid="{00000000-0005-0000-0000-0000290D0000}"/>
    <cellStyle name="Validation_PNR working 21" xfId="3019" xr:uid="{00000000-0005-0000-0000-00002A0D0000}"/>
    <cellStyle name="Valuta (0)_Bourse" xfId="3020" xr:uid="{00000000-0005-0000-0000-00002B0D0000}"/>
    <cellStyle name="Valuta_Bourse" xfId="3021" xr:uid="{00000000-0005-0000-0000-00002C0D0000}"/>
    <cellStyle name="Warning Text 2" xfId="3022" xr:uid="{00000000-0005-0000-0000-00002D0D0000}"/>
    <cellStyle name="Warning Text 2 2" xfId="3023" xr:uid="{00000000-0005-0000-0000-00002E0D0000}"/>
    <cellStyle name="WhiteCells" xfId="3024" xr:uid="{00000000-0005-0000-0000-00002F0D0000}"/>
    <cellStyle name="WhiteCells 2" xfId="3025" xr:uid="{00000000-0005-0000-0000-0000300D0000}"/>
    <cellStyle name="WholeNumber" xfId="3026" xr:uid="{00000000-0005-0000-0000-0000310D0000}"/>
    <cellStyle name="WholeNumber 2" xfId="3027" xr:uid="{00000000-0005-0000-0000-0000320D0000}"/>
    <cellStyle name="wild guess" xfId="3028" xr:uid="{00000000-0005-0000-0000-0000330D0000}"/>
    <cellStyle name="Wildguess" xfId="3029" xr:uid="{00000000-0005-0000-0000-0000340D0000}"/>
    <cellStyle name="x" xfId="3030" xr:uid="{00000000-0005-0000-0000-0000350D0000}"/>
    <cellStyle name="x 2" xfId="3031" xr:uid="{00000000-0005-0000-0000-0000360D0000}"/>
    <cellStyle name="x_AG" xfId="3032" xr:uid="{00000000-0005-0000-0000-0000370D0000}"/>
    <cellStyle name="x_CNH" xfId="3033" xr:uid="{00000000-0005-0000-0000-0000380D0000}"/>
    <cellStyle name="x_ETN" xfId="3034" xr:uid="{00000000-0005-0000-0000-0000390D0000}"/>
    <cellStyle name="x_Hist Summary" xfId="3035" xr:uid="{00000000-0005-0000-0000-00003A0D0000}"/>
    <cellStyle name="x_JOYG" xfId="3036" xr:uid="{00000000-0005-0000-0000-00003B0D0000}"/>
    <cellStyle name="x_Machinery group valuation" xfId="3037" xr:uid="{00000000-0005-0000-0000-00003C0D0000}"/>
    <cellStyle name="x_MLM" xfId="3038" xr:uid="{00000000-0005-0000-0000-00003D0D0000}"/>
    <cellStyle name="x_NAV" xfId="3039" xr:uid="{00000000-0005-0000-0000-00003E0D0000}"/>
    <cellStyle name="x_OSK" xfId="3040" xr:uid="{00000000-0005-0000-0000-00003F0D0000}"/>
    <cellStyle name="x_PCAR" xfId="3041" xr:uid="{00000000-0005-0000-0000-0000400D0000}"/>
    <cellStyle name="x_PH" xfId="3042" xr:uid="{00000000-0005-0000-0000-0000410D0000}"/>
    <cellStyle name="Year" xfId="325" xr:uid="{00000000-0005-0000-0000-0000420D0000}"/>
    <cellStyle name="Year 2" xfId="3044" xr:uid="{00000000-0005-0000-0000-0000430D0000}"/>
    <cellStyle name="Year Estimate" xfId="3045" xr:uid="{00000000-0005-0000-0000-0000440D0000}"/>
    <cellStyle name="Year Estimate 2" xfId="3046" xr:uid="{00000000-0005-0000-0000-0000450D0000}"/>
    <cellStyle name="Year Estimate 3" xfId="3047" xr:uid="{00000000-0005-0000-0000-0000460D0000}"/>
    <cellStyle name="Year_Backup of IND_Val2" xfId="3048" xr:uid="{00000000-0005-0000-0000-0000470D0000}"/>
    <cellStyle name="Years" xfId="326" xr:uid="{00000000-0005-0000-0000-0000480D0000}"/>
    <cellStyle name="years 2" xfId="3050" xr:uid="{00000000-0005-0000-0000-0000490D0000}"/>
    <cellStyle name="years 3" xfId="3315" xr:uid="{00000000-0005-0000-0000-00004A0D0000}"/>
    <cellStyle name="Years 4" xfId="3225" xr:uid="{00000000-0005-0000-0000-00004B0D0000}"/>
    <cellStyle name="years 5" xfId="3049" xr:uid="{00000000-0005-0000-0000-00004C0D0000}"/>
    <cellStyle name="yellow" xfId="3051" xr:uid="{00000000-0005-0000-0000-00004D0D0000}"/>
    <cellStyle name="yen" xfId="3052" xr:uid="{00000000-0005-0000-0000-00004E0D0000}"/>
    <cellStyle name="yen 2" xfId="3053" xr:uid="{00000000-0005-0000-0000-00004F0D0000}"/>
    <cellStyle name="yen 3" xfId="3054" xr:uid="{00000000-0005-0000-0000-0000500D0000}"/>
    <cellStyle name="yen_PNR working 21" xfId="3055" xr:uid="{00000000-0005-0000-0000-0000510D0000}"/>
    <cellStyle name="백분율_95" xfId="3056" xr:uid="{00000000-0005-0000-0000-0000520D0000}"/>
    <cellStyle name="콤마 [0]_0120결과(이론)" xfId="3057" xr:uid="{00000000-0005-0000-0000-0000530D0000}"/>
    <cellStyle name="콤마_0120결과(이론)" xfId="3058" xr:uid="{00000000-0005-0000-0000-0000540D0000}"/>
    <cellStyle name="통화 [0]_0120결과(이론)" xfId="3059" xr:uid="{00000000-0005-0000-0000-0000550D0000}"/>
    <cellStyle name="통화_0120결과(이론)" xfId="3060" xr:uid="{00000000-0005-0000-0000-0000560D0000}"/>
    <cellStyle name="표준_0120결과(이론)" xfId="3061" xr:uid="{00000000-0005-0000-0000-0000570D0000}"/>
    <cellStyle name="常规_全进度数据" xfId="3062" xr:uid="{00000000-0005-0000-0000-0000580D0000}"/>
    <cellStyle name="標準_GQ Industrial Contribution Sheet_format" xfId="3063" xr:uid="{00000000-0005-0000-0000-0000590D0000}"/>
  </cellStyles>
  <dxfs count="0"/>
  <tableStyles count="1" defaultTableStyle="TableStyleMedium9" defaultPivotStyle="PivotStyleLight16">
    <tableStyle name="Invisible" pivot="0" table="0" count="0" xr9:uid="{F1E902E5-E572-4E83-8C8C-7E64D39E1698}"/>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E76AA"/>
      <rgbColor rgb="00CFD6E6"/>
      <rgbColor rgb="009EADCC"/>
      <rgbColor rgb="00EFF1F6"/>
      <rgbColor rgb="00BFC8DD"/>
      <rgbColor rgb="008E9FC4"/>
      <rgbColor rgb="00DFE4EE"/>
      <rgbColor rgb="00AEBAD5"/>
      <rgbColor rgb="00000000"/>
      <rgbColor rgb="00AAAAAA"/>
      <rgbColor rgb="00444444"/>
      <rgbColor rgb="00CCCCCC"/>
      <rgbColor rgb="00888888"/>
      <rgbColor rgb="00666666"/>
      <rgbColor rgb="00EEEEEE"/>
      <rgbColor rgb="0022222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7C00"/>
      <color rgb="FF0931FB"/>
      <color rgb="FFFFFFCC"/>
      <color rgb="FFACD4F1"/>
      <color rgb="FF00355F"/>
      <color rgb="FF5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'FCF build'!$AN$66</c:f>
              <c:strCache>
                <c:ptCount val="1"/>
                <c:pt idx="0">
                  <c:v>Underlying Monthly Production Rate</c:v>
                </c:pt>
              </c:strCache>
            </c:strRef>
          </c:tx>
          <c:spPr>
            <a:solidFill>
              <a:srgbClr val="0035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'FCF build'!$AO$64:$AX$64</c:f>
              <c:strCache>
                <c:ptCount val="10"/>
                <c:pt idx="0">
                  <c:v>1Q24</c:v>
                </c:pt>
                <c:pt idx="1">
                  <c:v>2Q24</c:v>
                </c:pt>
                <c:pt idx="2">
                  <c:v>3Q24E</c:v>
                </c:pt>
                <c:pt idx="3">
                  <c:v>4Q24E</c:v>
                </c:pt>
                <c:pt idx="4">
                  <c:v>1Q25E</c:v>
                </c:pt>
                <c:pt idx="5">
                  <c:v>2Q25E</c:v>
                </c:pt>
                <c:pt idx="6">
                  <c:v>3Q25E</c:v>
                </c:pt>
                <c:pt idx="7">
                  <c:v>4Q25E</c:v>
                </c:pt>
                <c:pt idx="8">
                  <c:v>FY26E</c:v>
                </c:pt>
                <c:pt idx="9">
                  <c:v>FY27E</c:v>
                </c:pt>
              </c:strCache>
            </c:strRef>
          </c:cat>
          <c:val>
            <c:numRef>
              <c:f>'FCF build'!$AO$66:$AX$66</c:f>
              <c:numCache>
                <c:formatCode>#,##0_);\(#,##0\)</c:formatCode>
                <c:ptCount val="10"/>
                <c:pt idx="0">
                  <c:v>12.88793103448276</c:v>
                </c:pt>
                <c:pt idx="1">
                  <c:v>16.853448275862071</c:v>
                </c:pt>
                <c:pt idx="2">
                  <c:v>17.844827586206897</c:v>
                </c:pt>
                <c:pt idx="3">
                  <c:v>9.9137931034482758</c:v>
                </c:pt>
                <c:pt idx="4">
                  <c:v>27.758620689655174</c:v>
                </c:pt>
                <c:pt idx="5">
                  <c:v>27.758620689655174</c:v>
                </c:pt>
                <c:pt idx="6">
                  <c:v>33.706896551724142</c:v>
                </c:pt>
                <c:pt idx="7">
                  <c:v>37.672413793103452</c:v>
                </c:pt>
                <c:pt idx="8">
                  <c:v>45.391304347826086</c:v>
                </c:pt>
                <c:pt idx="9">
                  <c:v>53.391304347826086</c:v>
                </c:pt>
              </c:numCache>
            </c:numRef>
          </c:val>
          <c:extLst>
            <c:ext xmlns:c16="http://schemas.microsoft.com/office/drawing/2014/chart" uri="{C3380CC4-5D6E-409C-BE32-E72D297353CC}">
              <c16:uniqueId val="{00000000-7CAA-4F25-824E-BBC03F9C52E8}"/>
            </c:ext>
          </c:extLst>
        </c:ser>
        <c:ser>
          <c:idx val="1"/>
          <c:order val="1"/>
          <c:tx>
            <c:strRef>
              <c:f>'FCF build'!$AN$67</c:f>
              <c:strCache>
                <c:ptCount val="1"/>
                <c:pt idx="0">
                  <c:v>Monthly Inventory Unwind</c:v>
                </c:pt>
              </c:strCache>
            </c:strRef>
          </c:tx>
          <c:spPr>
            <a:solidFill>
              <a:srgbClr val="ACD4F1"/>
            </a:solidFill>
            <a:ln>
              <a:noFill/>
            </a:ln>
            <a:effectLst/>
          </c:spPr>
          <c:invertIfNegative val="0"/>
          <c:dLbls>
            <c:dLbl>
              <c:idx val="7"/>
              <c:delete val="1"/>
              <c:extLst>
                <c:ext xmlns:c15="http://schemas.microsoft.com/office/drawing/2012/chart" uri="{CE6537A1-D6FC-4f65-9D91-7224C49458BB}"/>
                <c:ext xmlns:c16="http://schemas.microsoft.com/office/drawing/2014/chart" uri="{C3380CC4-5D6E-409C-BE32-E72D297353CC}">
                  <c16:uniqueId val="{00000000-4930-49A2-98D5-8D1DD42283E0}"/>
                </c:ext>
              </c:extLst>
            </c:dLbl>
            <c:dLbl>
              <c:idx val="8"/>
              <c:delete val="1"/>
              <c:extLst>
                <c:ext xmlns:c15="http://schemas.microsoft.com/office/drawing/2012/chart" uri="{CE6537A1-D6FC-4f65-9D91-7224C49458BB}"/>
                <c:ext xmlns:c16="http://schemas.microsoft.com/office/drawing/2014/chart" uri="{C3380CC4-5D6E-409C-BE32-E72D297353CC}">
                  <c16:uniqueId val="{00000003-7CAA-4F25-824E-BBC03F9C52E8}"/>
                </c:ext>
              </c:extLst>
            </c:dLbl>
            <c:dLbl>
              <c:idx val="9"/>
              <c:delete val="1"/>
              <c:extLst>
                <c:ext xmlns:c15="http://schemas.microsoft.com/office/drawing/2012/chart" uri="{CE6537A1-D6FC-4f65-9D91-7224C49458BB}"/>
                <c:ext xmlns:c16="http://schemas.microsoft.com/office/drawing/2014/chart" uri="{C3380CC4-5D6E-409C-BE32-E72D297353CC}">
                  <c16:uniqueId val="{00000004-7CAA-4F25-824E-BBC03F9C52E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'FCF build'!$AO$64:$AX$64</c:f>
              <c:strCache>
                <c:ptCount val="10"/>
                <c:pt idx="0">
                  <c:v>1Q24</c:v>
                </c:pt>
                <c:pt idx="1">
                  <c:v>2Q24</c:v>
                </c:pt>
                <c:pt idx="2">
                  <c:v>3Q24E</c:v>
                </c:pt>
                <c:pt idx="3">
                  <c:v>4Q24E</c:v>
                </c:pt>
                <c:pt idx="4">
                  <c:v>1Q25E</c:v>
                </c:pt>
                <c:pt idx="5">
                  <c:v>2Q25E</c:v>
                </c:pt>
                <c:pt idx="6">
                  <c:v>3Q25E</c:v>
                </c:pt>
                <c:pt idx="7">
                  <c:v>4Q25E</c:v>
                </c:pt>
                <c:pt idx="8">
                  <c:v>FY26E</c:v>
                </c:pt>
                <c:pt idx="9">
                  <c:v>FY27E</c:v>
                </c:pt>
              </c:strCache>
            </c:strRef>
          </c:cat>
          <c:val>
            <c:numRef>
              <c:f>'FCF build'!$AO$67:$AX$67</c:f>
              <c:numCache>
                <c:formatCode>#,##0_);\(#,##0\)</c:formatCode>
                <c:ptCount val="10"/>
                <c:pt idx="0">
                  <c:v>10.215517241379311</c:v>
                </c:pt>
                <c:pt idx="1">
                  <c:v>7.2844827586206895</c:v>
                </c:pt>
                <c:pt idx="2">
                  <c:v>13.879310344827587</c:v>
                </c:pt>
                <c:pt idx="3">
                  <c:v>2.5</c:v>
                </c:pt>
                <c:pt idx="4">
                  <c:v>8.4482758620689662</c:v>
                </c:pt>
                <c:pt idx="5">
                  <c:v>8.1034482758620694</c:v>
                </c:pt>
                <c:pt idx="6">
                  <c:v>6.2931034482758621</c:v>
                </c:pt>
                <c:pt idx="7">
                  <c:v>3.8275862068965498</c:v>
                </c:pt>
                <c:pt idx="8">
                  <c:v>0</c:v>
                </c:pt>
                <c:pt idx="9">
                  <c:v>0</c:v>
                </c:pt>
              </c:numCache>
            </c:numRef>
          </c:val>
          <c:extLst>
            <c:ext xmlns:c16="http://schemas.microsoft.com/office/drawing/2014/chart" uri="{C3380CC4-5D6E-409C-BE32-E72D297353CC}">
              <c16:uniqueId val="{00000001-7CAA-4F25-824E-BBC03F9C52E8}"/>
            </c:ext>
          </c:extLst>
        </c:ser>
        <c:ser>
          <c:idx val="2"/>
          <c:order val="2"/>
          <c:tx>
            <c:strRef>
              <c:f>'FCF build'!$AN$68</c:f>
              <c:strCache>
                <c:ptCount val="1"/>
                <c:pt idx="0">
                  <c:v>Monthly Delivery Rate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'FCF build'!$AO$64:$AX$64</c:f>
              <c:strCache>
                <c:ptCount val="10"/>
                <c:pt idx="0">
                  <c:v>1Q24</c:v>
                </c:pt>
                <c:pt idx="1">
                  <c:v>2Q24</c:v>
                </c:pt>
                <c:pt idx="2">
                  <c:v>3Q24E</c:v>
                </c:pt>
                <c:pt idx="3">
                  <c:v>4Q24E</c:v>
                </c:pt>
                <c:pt idx="4">
                  <c:v>1Q25E</c:v>
                </c:pt>
                <c:pt idx="5">
                  <c:v>2Q25E</c:v>
                </c:pt>
                <c:pt idx="6">
                  <c:v>3Q25E</c:v>
                </c:pt>
                <c:pt idx="7">
                  <c:v>4Q25E</c:v>
                </c:pt>
                <c:pt idx="8">
                  <c:v>FY26E</c:v>
                </c:pt>
                <c:pt idx="9">
                  <c:v>FY27E</c:v>
                </c:pt>
              </c:strCache>
            </c:strRef>
          </c:cat>
          <c:val>
            <c:numRef>
              <c:f>'FCF build'!$AO$68:$AX$68</c:f>
              <c:numCache>
                <c:formatCode>#,##0_);\(#,##0\)</c:formatCode>
                <c:ptCount val="10"/>
                <c:pt idx="0">
                  <c:v>23.103448275862071</c:v>
                </c:pt>
                <c:pt idx="1">
                  <c:v>24.137931034482762</c:v>
                </c:pt>
                <c:pt idx="2">
                  <c:v>31.724137931034484</c:v>
                </c:pt>
                <c:pt idx="3">
                  <c:v>12.413793103448276</c:v>
                </c:pt>
                <c:pt idx="4">
                  <c:v>36.206896551724142</c:v>
                </c:pt>
                <c:pt idx="5">
                  <c:v>35.862068965517246</c:v>
                </c:pt>
                <c:pt idx="6">
                  <c:v>40.000000000000007</c:v>
                </c:pt>
                <c:pt idx="7">
                  <c:v>41.5</c:v>
                </c:pt>
                <c:pt idx="8">
                  <c:v>45.391304347826086</c:v>
                </c:pt>
                <c:pt idx="9">
                  <c:v>53.391304347826086</c:v>
                </c:pt>
              </c:numCache>
            </c:numRef>
          </c:val>
          <c:extLst>
            <c:ext xmlns:c16="http://schemas.microsoft.com/office/drawing/2014/chart" uri="{C3380CC4-5D6E-409C-BE32-E72D297353CC}">
              <c16:uniqueId val="{00000002-7CAA-4F25-824E-BBC03F9C52E8}"/>
            </c:ext>
          </c:extLst>
        </c:ser>
        <c:dLbls>
          <c:showLegendKey val="0"/>
          <c:showVal val="0"/>
          <c:showCatName val="0"/>
          <c:showSerName val="0"/>
          <c:showPercent val="0"/>
          <c:showBubbleSize val="0"/>
        </c:dLbls>
        <c:gapWidth val="150"/>
        <c:overlap val="100"/>
        <c:axId val="2065984192"/>
        <c:axId val="2065980832"/>
      </c:barChart>
      <c:catAx>
        <c:axId val="206598419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lgn="ctr">
              <a:defRPr lang="en-US"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65980832"/>
        <c:crosses val="autoZero"/>
        <c:auto val="1"/>
        <c:lblAlgn val="ctr"/>
        <c:lblOffset val="100"/>
        <c:noMultiLvlLbl val="0"/>
      </c:catAx>
      <c:valAx>
        <c:axId val="2065980832"/>
        <c:scaling>
          <c:orientation val="minMax"/>
          <c:max val="55"/>
          <c:min val="0"/>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65984192"/>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'FCF build'!$AN$72</c:f>
              <c:strCache>
                <c:ptCount val="1"/>
                <c:pt idx="0">
                  <c:v>Underlying Monthly Production Rate</c:v>
                </c:pt>
              </c:strCache>
            </c:strRef>
          </c:tx>
          <c:spPr>
            <a:solidFill>
              <a:srgbClr val="0035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'FCF build'!$AO$64:$AX$64</c:f>
              <c:strCache>
                <c:ptCount val="10"/>
                <c:pt idx="0">
                  <c:v>1Q24</c:v>
                </c:pt>
                <c:pt idx="1">
                  <c:v>2Q24</c:v>
                </c:pt>
                <c:pt idx="2">
                  <c:v>3Q24E</c:v>
                </c:pt>
                <c:pt idx="3">
                  <c:v>4Q24E</c:v>
                </c:pt>
                <c:pt idx="4">
                  <c:v>1Q25E</c:v>
                </c:pt>
                <c:pt idx="5">
                  <c:v>2Q25E</c:v>
                </c:pt>
                <c:pt idx="6">
                  <c:v>3Q25E</c:v>
                </c:pt>
                <c:pt idx="7">
                  <c:v>4Q25E</c:v>
                </c:pt>
                <c:pt idx="8">
                  <c:v>FY26E</c:v>
                </c:pt>
                <c:pt idx="9">
                  <c:v>FY27E</c:v>
                </c:pt>
              </c:strCache>
            </c:strRef>
          </c:cat>
          <c:val>
            <c:numRef>
              <c:f>'FCF build'!$AO$72:$AX$72</c:f>
              <c:numCache>
                <c:formatCode>#,##0_);\(#,##0\)</c:formatCode>
                <c:ptCount val="10"/>
                <c:pt idx="0">
                  <c:v>0.96666666666666667</c:v>
                </c:pt>
                <c:pt idx="1">
                  <c:v>1.9333333333333333</c:v>
                </c:pt>
                <c:pt idx="2">
                  <c:v>2.9</c:v>
                </c:pt>
                <c:pt idx="3">
                  <c:v>3.8666666666666667</c:v>
                </c:pt>
                <c:pt idx="4">
                  <c:v>3.8666666666666667</c:v>
                </c:pt>
                <c:pt idx="5">
                  <c:v>3.8666666666666667</c:v>
                </c:pt>
                <c:pt idx="6">
                  <c:v>4.833333333333333</c:v>
                </c:pt>
                <c:pt idx="7">
                  <c:v>6.7666666666666666</c:v>
                </c:pt>
                <c:pt idx="8">
                  <c:v>8.5217391304347831</c:v>
                </c:pt>
                <c:pt idx="9">
                  <c:v>11.043478260869565</c:v>
                </c:pt>
              </c:numCache>
            </c:numRef>
          </c:val>
          <c:extLst>
            <c:ext xmlns:c16="http://schemas.microsoft.com/office/drawing/2014/chart" uri="{C3380CC4-5D6E-409C-BE32-E72D297353CC}">
              <c16:uniqueId val="{00000000-BB27-4892-B229-03FC14F1E1A4}"/>
            </c:ext>
          </c:extLst>
        </c:ser>
        <c:ser>
          <c:idx val="1"/>
          <c:order val="1"/>
          <c:tx>
            <c:strRef>
              <c:f>'FCF build'!$AN$73</c:f>
              <c:strCache>
                <c:ptCount val="1"/>
                <c:pt idx="0">
                  <c:v>Monthly Inventory Unwind</c:v>
                </c:pt>
              </c:strCache>
            </c:strRef>
          </c:tx>
          <c:spPr>
            <a:solidFill>
              <a:srgbClr val="ACD4F1"/>
            </a:solidFill>
            <a:ln>
              <a:noFill/>
            </a:ln>
            <a:effectLst/>
          </c:spPr>
          <c:invertIfNegative val="0"/>
          <c:dLbls>
            <c:dLbl>
              <c:idx val="8"/>
              <c:delete val="1"/>
              <c:extLst>
                <c:ext xmlns:c15="http://schemas.microsoft.com/office/drawing/2012/chart" uri="{CE6537A1-D6FC-4f65-9D91-7224C49458BB}"/>
                <c:ext xmlns:c16="http://schemas.microsoft.com/office/drawing/2014/chart" uri="{C3380CC4-5D6E-409C-BE32-E72D297353CC}">
                  <c16:uniqueId val="{00000000-80E2-446E-B053-125568E05716}"/>
                </c:ext>
              </c:extLst>
            </c:dLbl>
            <c:dLbl>
              <c:idx val="9"/>
              <c:delete val="1"/>
              <c:extLst>
                <c:ext xmlns:c15="http://schemas.microsoft.com/office/drawing/2012/chart" uri="{CE6537A1-D6FC-4f65-9D91-7224C49458BB}"/>
                <c:ext xmlns:c16="http://schemas.microsoft.com/office/drawing/2014/chart" uri="{C3380CC4-5D6E-409C-BE32-E72D297353CC}">
                  <c16:uniqueId val="{00000001-80E2-446E-B053-125568E05716}"/>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'FCF build'!$AO$64:$AX$64</c:f>
              <c:strCache>
                <c:ptCount val="10"/>
                <c:pt idx="0">
                  <c:v>1Q24</c:v>
                </c:pt>
                <c:pt idx="1">
                  <c:v>2Q24</c:v>
                </c:pt>
                <c:pt idx="2">
                  <c:v>3Q24E</c:v>
                </c:pt>
                <c:pt idx="3">
                  <c:v>4Q24E</c:v>
                </c:pt>
                <c:pt idx="4">
                  <c:v>1Q25E</c:v>
                </c:pt>
                <c:pt idx="5">
                  <c:v>2Q25E</c:v>
                </c:pt>
                <c:pt idx="6">
                  <c:v>3Q25E</c:v>
                </c:pt>
                <c:pt idx="7">
                  <c:v>4Q25E</c:v>
                </c:pt>
                <c:pt idx="8">
                  <c:v>FY26E</c:v>
                </c:pt>
                <c:pt idx="9">
                  <c:v>FY27E</c:v>
                </c:pt>
              </c:strCache>
            </c:strRef>
          </c:cat>
          <c:val>
            <c:numRef>
              <c:f>'FCF build'!$AO$73:$AX$73</c:f>
              <c:numCache>
                <c:formatCode>#,##0_);\(#,##0\)</c:formatCode>
                <c:ptCount val="10"/>
                <c:pt idx="0">
                  <c:v>3.3666666666666663</c:v>
                </c:pt>
                <c:pt idx="1">
                  <c:v>1.0666666666666667</c:v>
                </c:pt>
                <c:pt idx="2">
                  <c:v>1.7666666666666671</c:v>
                </c:pt>
                <c:pt idx="3">
                  <c:v>1.1333333333333333</c:v>
                </c:pt>
                <c:pt idx="4">
                  <c:v>0.46666666666666634</c:v>
                </c:pt>
                <c:pt idx="5">
                  <c:v>4.1333333333333329</c:v>
                </c:pt>
                <c:pt idx="6">
                  <c:v>2.166666666666667</c:v>
                </c:pt>
                <c:pt idx="7">
                  <c:v>1.8999999999999995</c:v>
                </c:pt>
                <c:pt idx="8">
                  <c:v>0</c:v>
                </c:pt>
                <c:pt idx="9">
                  <c:v>0</c:v>
                </c:pt>
              </c:numCache>
            </c:numRef>
          </c:val>
          <c:extLst>
            <c:ext xmlns:c16="http://schemas.microsoft.com/office/drawing/2014/chart" uri="{C3380CC4-5D6E-409C-BE32-E72D297353CC}">
              <c16:uniqueId val="{00000001-BB27-4892-B229-03FC14F1E1A4}"/>
            </c:ext>
          </c:extLst>
        </c:ser>
        <c:ser>
          <c:idx val="2"/>
          <c:order val="2"/>
          <c:tx>
            <c:strRef>
              <c:f>'FCF build'!$AN$74</c:f>
              <c:strCache>
                <c:ptCount val="1"/>
                <c:pt idx="0">
                  <c:v>Monthly Delivery Rate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'FCF build'!$AO$64:$AX$64</c:f>
              <c:strCache>
                <c:ptCount val="10"/>
                <c:pt idx="0">
                  <c:v>1Q24</c:v>
                </c:pt>
                <c:pt idx="1">
                  <c:v>2Q24</c:v>
                </c:pt>
                <c:pt idx="2">
                  <c:v>3Q24E</c:v>
                </c:pt>
                <c:pt idx="3">
                  <c:v>4Q24E</c:v>
                </c:pt>
                <c:pt idx="4">
                  <c:v>1Q25E</c:v>
                </c:pt>
                <c:pt idx="5">
                  <c:v>2Q25E</c:v>
                </c:pt>
                <c:pt idx="6">
                  <c:v>3Q25E</c:v>
                </c:pt>
                <c:pt idx="7">
                  <c:v>4Q25E</c:v>
                </c:pt>
                <c:pt idx="8">
                  <c:v>FY26E</c:v>
                </c:pt>
                <c:pt idx="9">
                  <c:v>FY27E</c:v>
                </c:pt>
              </c:strCache>
            </c:strRef>
          </c:cat>
          <c:val>
            <c:numRef>
              <c:f>'FCF build'!$AO$74:$AX$74</c:f>
              <c:numCache>
                <c:formatCode>#,##0_);\(#,##0\)</c:formatCode>
                <c:ptCount val="10"/>
                <c:pt idx="0">
                  <c:v>4.333333333333333</c:v>
                </c:pt>
                <c:pt idx="1">
                  <c:v>3</c:v>
                </c:pt>
                <c:pt idx="2">
                  <c:v>4.666666666666667</c:v>
                </c:pt>
                <c:pt idx="3">
                  <c:v>5</c:v>
                </c:pt>
                <c:pt idx="4">
                  <c:v>4.333333333333333</c:v>
                </c:pt>
                <c:pt idx="5">
                  <c:v>8</c:v>
                </c:pt>
                <c:pt idx="6">
                  <c:v>7</c:v>
                </c:pt>
                <c:pt idx="7">
                  <c:v>8.6666666666666661</c:v>
                </c:pt>
                <c:pt idx="8">
                  <c:v>8.5217391304347831</c:v>
                </c:pt>
                <c:pt idx="9">
                  <c:v>11.043478260869565</c:v>
                </c:pt>
              </c:numCache>
            </c:numRef>
          </c:val>
          <c:extLst>
            <c:ext xmlns:c16="http://schemas.microsoft.com/office/drawing/2014/chart" uri="{C3380CC4-5D6E-409C-BE32-E72D297353CC}">
              <c16:uniqueId val="{00000002-BB27-4892-B229-03FC14F1E1A4}"/>
            </c:ext>
          </c:extLst>
        </c:ser>
        <c:dLbls>
          <c:showLegendKey val="0"/>
          <c:showVal val="0"/>
          <c:showCatName val="0"/>
          <c:showSerName val="0"/>
          <c:showPercent val="0"/>
          <c:showBubbleSize val="0"/>
        </c:dLbls>
        <c:gapWidth val="150"/>
        <c:overlap val="100"/>
        <c:axId val="2065984192"/>
        <c:axId val="2065980832"/>
      </c:barChart>
      <c:catAx>
        <c:axId val="206598419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lgn="ctr">
              <a:defRPr lang="en-US"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65980832"/>
        <c:crosses val="autoZero"/>
        <c:auto val="1"/>
        <c:lblAlgn val="ctr"/>
        <c:lblOffset val="100"/>
        <c:noMultiLvlLbl val="0"/>
      </c:catAx>
      <c:valAx>
        <c:axId val="2065980832"/>
        <c:scaling>
          <c:orientation val="minMax"/>
          <c:max val="11"/>
          <c:min val="0"/>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65984192"/>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2</xdr:col>
      <xdr:colOff>95162</xdr:colOff>
      <xdr:row>10</xdr:row>
      <xdr:rowOff>76112</xdr:rowOff>
    </xdr:to>
    <xdr:pic>
      <xdr:nvPicPr>
        <xdr:cNvPr id="5" name="Picture 4">
          <a:extLst>
            <a:ext uri="{FF2B5EF4-FFF2-40B4-BE49-F238E27FC236}">
              <a16:creationId xmlns:a16="http://schemas.microsoft.com/office/drawing/2014/main" id="{426E046D-88EF-4FE4-9C8E-04F9924C1FAD}"/>
            </a:ext>
          </a:extLst>
        </xdr:cNvPr>
        <xdr:cNvPicPr>
          <a:picLocks noChangeAspect="1"/>
        </xdr:cNvPicPr>
      </xdr:nvPicPr>
      <xdr:blipFill>
        <a:blip xmlns:r="http://schemas.openxmlformats.org/officeDocument/2006/relationships" r:embed="rId1"/>
        <a:stretch>
          <a:fillRect/>
        </a:stretch>
      </xdr:blipFill>
      <xdr:spPr>
        <a:xfrm>
          <a:off x="609600" y="914400"/>
          <a:ext cx="704762" cy="704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52</xdr:col>
      <xdr:colOff>0</xdr:colOff>
      <xdr:row>63</xdr:row>
      <xdr:rowOff>0</xdr:rowOff>
    </xdr:from>
    <xdr:to>
      <xdr:col>59</xdr:col>
      <xdr:colOff>476250</xdr:colOff>
      <xdr:row>82</xdr:row>
      <xdr:rowOff>111125</xdr:rowOff>
    </xdr:to>
    <xdr:graphicFrame macro="">
      <xdr:nvGraphicFramePr>
        <xdr:cNvPr id="7" name="Chart 6">
          <a:extLst>
            <a:ext uri="{FF2B5EF4-FFF2-40B4-BE49-F238E27FC236}">
              <a16:creationId xmlns:a16="http://schemas.microsoft.com/office/drawing/2014/main" id="{3A074F47-63C9-44CC-A7E0-F55D01B93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53</xdr:col>
      <xdr:colOff>0</xdr:colOff>
      <xdr:row>86</xdr:row>
      <xdr:rowOff>0</xdr:rowOff>
    </xdr:from>
    <xdr:to>
      <xdr:col>60</xdr:col>
      <xdr:colOff>476250</xdr:colOff>
      <xdr:row>87</xdr:row>
      <xdr:rowOff>0</xdr:rowOff>
    </xdr:to>
    <xdr:graphicFrame macro="">
      <xdr:nvGraphicFramePr>
        <xdr:cNvPr id="11" name="Chart 10">
          <a:extLst>
            <a:ext uri="{FF2B5EF4-FFF2-40B4-BE49-F238E27FC236}">
              <a16:creationId xmlns:a16="http://schemas.microsoft.com/office/drawing/2014/main" id="{5AB360FB-2D52-4D94-A1D1-821FEBC60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A.xlsx" TargetMode="External"/><Relationship Id="rId2" Type="http://schemas.openxmlformats.org/officeDocument/2006/relationships/externalLinkPath" Target="file:///M:\ADmodels\BA.xlsx" TargetMode="External"/><Relationship Id="rId1" Type="http://schemas.openxmlformats.org/officeDocument/2006/relationships/externalLinkPath" Target="/ADmodels/B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__FDSCACHE__"/>
      <sheetName val="Cover"/>
      <sheetName val="Data"/>
      <sheetName val="BCA margin"/>
      <sheetName val="Commercial"/>
      <sheetName val="SEG"/>
      <sheetName val="IS"/>
      <sheetName val="BS"/>
      <sheetName val="CFLO"/>
      <sheetName val="FCF build"/>
      <sheetName val="Variance"/>
      <sheetName val="Adj variance"/>
      <sheetName val="SPR acq (2)"/>
      <sheetName val="Liquidity"/>
      <sheetName val="SPR acq"/>
      <sheetName val="BA_Exchange_Sheet"/>
      <sheetName val="_QP_BA"/>
      <sheetName val="DCF"/>
      <sheetName val="Guidance"/>
      <sheetName val="Deals"/>
      <sheetName val="Advances"/>
      <sheetName val="destination basis"/>
      <sheetName val="DBT charts"/>
      <sheetName val="KLXI"/>
    </sheetNames>
    <sheetDataSet>
      <sheetData sheetId="0"/>
      <sheetData sheetId="1"/>
      <sheetData sheetId="2"/>
      <sheetData sheetId="3"/>
      <sheetData sheetId="4">
        <row r="34">
          <cell r="CU34">
            <v>58.053302168517106</v>
          </cell>
          <cell r="DE34">
            <v>57.417148376379238</v>
          </cell>
        </row>
        <row r="35">
          <cell r="CF35">
            <v>30720.525000000001</v>
          </cell>
          <cell r="CP35">
            <v>2422.9573799999998</v>
          </cell>
        </row>
        <row r="80">
          <cell r="CK80">
            <v>141.6119503164557</v>
          </cell>
          <cell r="DE80">
            <v>148.29788834731107</v>
          </cell>
        </row>
        <row r="81">
          <cell r="CK81">
            <v>22374.688150000002</v>
          </cell>
          <cell r="CU81">
            <v>1931.9965696000004</v>
          </cell>
        </row>
      </sheetData>
      <sheetData sheetId="5">
        <row r="187">
          <cell r="EA187">
            <v>500</v>
          </cell>
          <cell r="EB187">
            <v>500</v>
          </cell>
        </row>
      </sheetData>
      <sheetData sheetId="6">
        <row r="40">
          <cell r="EA40">
            <v>740.35</v>
          </cell>
          <cell r="EB40">
            <v>710.35</v>
          </cell>
        </row>
      </sheetData>
      <sheetData sheetId="7"/>
      <sheetData sheetId="8">
        <row r="7">
          <cell r="EA7">
            <v>11190.507404873064</v>
          </cell>
          <cell r="EB7">
            <v>15007.379554937488</v>
          </cell>
        </row>
        <row r="9">
          <cell r="EA9">
            <v>2550</v>
          </cell>
          <cell r="EB9">
            <v>2600</v>
          </cell>
        </row>
        <row r="33">
          <cell r="EA33">
            <v>-2800</v>
          </cell>
          <cell r="EB33">
            <v>-3000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GIR Product">
  <a:themeElements>
    <a:clrScheme name="Equity">
      <a:dk1>
        <a:sysClr val="windowText" lastClr="000000"/>
      </a:dk1>
      <a:lt1>
        <a:sysClr val="window" lastClr="FFFFFF"/>
      </a:lt1>
      <a:dk2>
        <a:srgbClr val="AEBAD5"/>
      </a:dk2>
      <a:lt2>
        <a:srgbClr val="DFE4EE"/>
      </a:lt2>
      <a:accent1>
        <a:srgbClr val="5E76AA"/>
      </a:accent1>
      <a:accent2>
        <a:srgbClr val="CFD6E6"/>
      </a:accent2>
      <a:accent3>
        <a:srgbClr val="9EADCC"/>
      </a:accent3>
      <a:accent4>
        <a:srgbClr val="EFF1F6"/>
      </a:accent4>
      <a:accent5>
        <a:srgbClr val="BFC8DD"/>
      </a:accent5>
      <a:accent6>
        <a:srgbClr val="8E9FC4"/>
      </a:accent6>
      <a:hlink>
        <a:srgbClr val="0000FF"/>
      </a:hlink>
      <a:folHlink>
        <a:srgbClr val="800080"/>
      </a:folHlink>
    </a:clrScheme>
    <a:fontScheme name="GIR Product">
      <a:majorFont>
        <a:latin typeface="Univers LT Std 65 Bold"/>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Jpan" typeface="MS Gothic"/>
      </a:majorFont>
      <a:minorFont>
        <a:latin typeface="Univers LT Std 55"/>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IR Produc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B2B51E-8833-4501-AE63-9D75C10EE3FA}">
  <we:reference id="49825c50-e8d8-4c4a-9a2c-e6f24181e018"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mailto:tomas.russo@gs.com" TargetMode="External"/><Relationship Id="rId7" Type="http://schemas.openxmlformats.org/officeDocument/2006/relationships/drawing" Target="../drawings/drawing1.xml"/><Relationship Id="rId2" Type="http://schemas.openxmlformats.org/officeDocument/2006/relationships/hyperlink" Target="mailto:connor.dessert@gs.com" TargetMode="External"/><Relationship Id="rId1" Type="http://schemas.openxmlformats.org/officeDocument/2006/relationships/hyperlink" Target="mailto:noah.poponak@gs.com" TargetMode="External"/><Relationship Id="rId6" Type="http://schemas.openxmlformats.org/officeDocument/2006/relationships/customProperty" Target="../customProperty1.bin"/><Relationship Id="rId5" Type="http://schemas.openxmlformats.org/officeDocument/2006/relationships/printerSettings" Target="../printerSettings/printerSettings1.bin"/><Relationship Id="rId4" Type="http://schemas.openxmlformats.org/officeDocument/2006/relationships/hyperlink" Target="mailto:nizar.mesani@gs.c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2.bin"/><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3.bin"/><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4.bin"/><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5.bin"/><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customProperty" Target="../customProperty6.bin"/><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customProperty" Target="../customProperty7.bin"/><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customProperty" Target="../customProperty8.bin"/><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9.bin"/><Relationship Id="rId1" Type="http://schemas.openxmlformats.org/officeDocument/2006/relationships/printerSettings" Target="../printerSettings/printerSettings9.bin"/><Relationship Id="rId5" Type="http://schemas.openxmlformats.org/officeDocument/2006/relationships/comments" Target="../comments8.xml"/><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pageSetUpPr autoPageBreaks="0"/>
  </sheetPr>
  <dimension ref="B7:D34"/>
  <sheetViews>
    <sheetView showGridLines="0" tabSelected="1" zoomScaleNormal="100" workbookViewId="0"/>
  </sheetViews>
  <sheetFormatPr defaultColWidth="9.140625" defaultRowHeight="12"/>
  <cols>
    <col min="1" max="2" width="9.140625" style="975"/>
    <col min="3" max="3" width="3.42578125" style="975" customWidth="1"/>
    <col min="4" max="4" width="10.140625" style="975" bestFit="1" customWidth="1"/>
    <col min="5" max="16384" width="9.140625" style="975"/>
  </cols>
  <sheetData>
    <row r="7" spans="2:4" ht="12.75">
      <c r="D7" s="1037" t="s">
        <v>690</v>
      </c>
    </row>
    <row r="8" spans="2:4" ht="12.75">
      <c r="D8" s="1036">
        <v>46231</v>
      </c>
    </row>
    <row r="16" spans="2:4">
      <c r="B16" s="74" t="s">
        <v>636</v>
      </c>
    </row>
    <row r="17" spans="2:2">
      <c r="B17" s="121" t="s">
        <v>637</v>
      </c>
    </row>
    <row r="18" spans="2:2">
      <c r="B18" s="981" t="s">
        <v>638</v>
      </c>
    </row>
    <row r="19" spans="2:2">
      <c r="B19" s="686"/>
    </row>
    <row r="20" spans="2:2">
      <c r="B20" s="1040" t="s">
        <v>700</v>
      </c>
    </row>
    <row r="21" spans="2:2">
      <c r="B21" s="1039" t="s">
        <v>701</v>
      </c>
    </row>
    <row r="22" spans="2:2">
      <c r="B22" s="981" t="s">
        <v>702</v>
      </c>
    </row>
    <row r="24" spans="2:2">
      <c r="B24" s="1105" t="s">
        <v>725</v>
      </c>
    </row>
    <row r="25" spans="2:2">
      <c r="B25" s="686" t="s">
        <v>726</v>
      </c>
    </row>
    <row r="26" spans="2:2">
      <c r="B26" s="1106" t="s">
        <v>727</v>
      </c>
    </row>
    <row r="27" spans="2:2">
      <c r="B27" s="686"/>
    </row>
    <row r="28" spans="2:2">
      <c r="B28" s="1105" t="s">
        <v>739</v>
      </c>
    </row>
    <row r="29" spans="2:2">
      <c r="B29" s="686" t="s">
        <v>740</v>
      </c>
    </row>
    <row r="30" spans="2:2">
      <c r="B30" s="1106" t="s">
        <v>741</v>
      </c>
    </row>
    <row r="31" spans="2:2">
      <c r="B31" s="686"/>
    </row>
    <row r="32" spans="2:2">
      <c r="B32" s="1105" t="s">
        <v>728</v>
      </c>
    </row>
    <row r="33" spans="2:2">
      <c r="B33" s="686" t="s">
        <v>729</v>
      </c>
    </row>
    <row r="34" spans="2:2">
      <c r="B34" s="1106" t="s">
        <v>730</v>
      </c>
    </row>
  </sheetData>
  <hyperlinks>
    <hyperlink ref="B18" r:id="rId1" xr:uid="{78B25071-F2BA-493E-B8A5-6FD9B2FDE68E}"/>
    <hyperlink ref="B22" r:id="rId2" xr:uid="{17D725E6-652E-43B6-B2C4-4F8CC2EF8E31}"/>
    <hyperlink ref="B34" r:id="rId3" xr:uid="{F85A451A-36D0-4F0B-81F6-706BE434FB31}"/>
    <hyperlink ref="B26" r:id="rId4" xr:uid="{82C2CE59-8F28-42FB-B3FC-A2928AC64A3F}"/>
  </hyperlinks>
  <pageMargins left="0.7" right="0.7" top="0.75" bottom="0.75" header="0.3" footer="0.3"/>
  <pageSetup paperSize="0" orientation="portrait" r:id="rId5"/>
  <customProperties>
    <customPr name="Qube.Worksheet.Visibility" r:id="rId6"/>
  </customProperties>
  <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autoPageBreaks="0" fitToPage="1"/>
  </sheetPr>
  <dimension ref="A1:EB434"/>
  <sheetViews>
    <sheetView showGridLines="0" zoomScaleNormal="100" zoomScaleSheetLayoutView="70" workbookViewId="0">
      <pane xSplit="2" ySplit="4" topLeftCell="C5" activePane="bottomRight" state="frozen"/>
      <selection pane="topRight" activeCell="C1" sqref="C1"/>
      <selection pane="bottomLeft" activeCell="A5" sqref="A5"/>
      <selection pane="bottomRight"/>
    </sheetView>
  </sheetViews>
  <sheetFormatPr defaultColWidth="10.7109375" defaultRowHeight="12" outlineLevelRow="1" outlineLevelCol="1"/>
  <cols>
    <col min="1" max="1" width="1.7109375" customWidth="1"/>
    <col min="2" max="2" width="41.7109375" customWidth="1"/>
    <col min="3" max="9" width="9.7109375" style="60" hidden="1" customWidth="1"/>
    <col min="10" max="13" width="9.7109375" style="60" hidden="1" customWidth="1" outlineLevel="1"/>
    <col min="14" max="14" width="9.7109375" style="60" hidden="1" customWidth="1" collapsed="1"/>
    <col min="15" max="18" width="9.7109375" style="60" hidden="1" customWidth="1" outlineLevel="1"/>
    <col min="19" max="19" width="9.7109375" style="60" hidden="1" customWidth="1" collapsed="1"/>
    <col min="20" max="23" width="9.7109375" style="60" hidden="1" customWidth="1" outlineLevel="1"/>
    <col min="24" max="24" width="9.7109375" style="60" hidden="1" customWidth="1" collapsed="1"/>
    <col min="25" max="28" width="9.7109375" style="60" hidden="1" customWidth="1" outlineLevel="1"/>
    <col min="29" max="29" width="9.7109375" style="60" hidden="1" customWidth="1" collapsed="1"/>
    <col min="30" max="33" width="9.7109375" style="60" hidden="1" customWidth="1" outlineLevel="1"/>
    <col min="34" max="34" width="9.7109375" style="60" hidden="1" customWidth="1" collapsed="1"/>
    <col min="35" max="38" width="9.7109375" style="60" hidden="1" customWidth="1" outlineLevel="1"/>
    <col min="39" max="39" width="9.7109375" style="60" hidden="1" customWidth="1" collapsed="1"/>
    <col min="40" max="43" width="9.7109375" style="60" hidden="1" customWidth="1" outlineLevel="1"/>
    <col min="44" max="44" width="9.7109375" style="60" hidden="1" customWidth="1" collapsed="1"/>
    <col min="45" max="48" width="9.7109375" style="60" hidden="1" customWidth="1" outlineLevel="1"/>
    <col min="49" max="49" width="9.7109375" style="60" hidden="1" customWidth="1" collapsed="1"/>
    <col min="50" max="53" width="9.7109375" style="60" hidden="1" customWidth="1" outlineLevel="1"/>
    <col min="54" max="54" width="9.7109375" style="60" customWidth="1" collapsed="1"/>
    <col min="55" max="58" width="9.7109375" style="60" hidden="1" customWidth="1" outlineLevel="1"/>
    <col min="59" max="59" width="9.7109375" style="60" customWidth="1" collapsed="1"/>
    <col min="60" max="63" width="9.7109375" style="60" hidden="1" customWidth="1" outlineLevel="1"/>
    <col min="64" max="64" width="9.7109375" style="60" customWidth="1" collapsed="1"/>
    <col min="65" max="68" width="9.7109375" style="60" hidden="1" customWidth="1" outlineLevel="1"/>
    <col min="69" max="69" width="9.7109375" style="60" customWidth="1" collapsed="1"/>
    <col min="70" max="73" width="9.7109375" style="60" hidden="1" customWidth="1" outlineLevel="1"/>
    <col min="74" max="74" width="9.7109375" style="60" customWidth="1" collapsed="1"/>
    <col min="75" max="78" width="9.7109375" style="60" hidden="1" customWidth="1" outlineLevel="1"/>
    <col min="79" max="79" width="9.7109375" style="60" customWidth="1" collapsed="1"/>
    <col min="80" max="83" width="9.7109375" style="60" hidden="1" customWidth="1" outlineLevel="1"/>
    <col min="84" max="84" width="9.7109375" style="60" customWidth="1" collapsed="1"/>
    <col min="85" max="88" width="9.7109375" style="60" hidden="1" customWidth="1" outlineLevel="1"/>
    <col min="89" max="89" width="9.7109375" style="60" customWidth="1" collapsed="1"/>
    <col min="90" max="93" width="9.7109375" style="60" hidden="1" customWidth="1" outlineLevel="1"/>
    <col min="94" max="94" width="9.7109375" style="60" customWidth="1" collapsed="1"/>
    <col min="95" max="98" width="9.7109375" style="60" hidden="1" customWidth="1" outlineLevel="1"/>
    <col min="99" max="99" width="9.7109375" style="60" customWidth="1" collapsed="1"/>
    <col min="100" max="103" width="9.7109375" style="60" hidden="1" customWidth="1" outlineLevel="1"/>
    <col min="104" max="104" width="9.7109375" style="60" customWidth="1" collapsed="1"/>
    <col min="105" max="108" width="9.7109375" style="60" hidden="1" customWidth="1" outlineLevel="1"/>
    <col min="109" max="109" width="9.7109375" style="60" customWidth="1" collapsed="1"/>
    <col min="110" max="110" width="9.7109375" style="60" hidden="1" customWidth="1" outlineLevel="1"/>
    <col min="111" max="112" width="9.7109375" style="16" hidden="1" customWidth="1" outlineLevel="1"/>
    <col min="113" max="113" width="9.7109375" style="60" hidden="1" customWidth="1" outlineLevel="1"/>
    <col min="114" max="114" width="9.7109375" style="60" customWidth="1" collapsed="1"/>
    <col min="115" max="118" width="9.7109375" style="60" hidden="1" customWidth="1" outlineLevel="1"/>
    <col min="119" max="119" width="9.7109375" style="60" customWidth="1" collapsed="1"/>
    <col min="120" max="123" width="9.7109375" style="60" customWidth="1" outlineLevel="1"/>
    <col min="124" max="124" width="9.7109375" style="60" customWidth="1"/>
    <col min="125" max="128" width="9.7109375" style="60" hidden="1" customWidth="1" outlineLevel="1"/>
    <col min="129" max="129" width="9.7109375" style="60" customWidth="1" collapsed="1"/>
    <col min="130" max="132" width="9.7109375" style="60" customWidth="1"/>
    <col min="133" max="16384" width="10.7109375" style="225"/>
  </cols>
  <sheetData>
    <row r="1" spans="1:132" s="66" customFormat="1" ht="12" customHeight="1" thickBot="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s="121"/>
      <c r="DH1" s="121"/>
      <c r="DI1"/>
      <c r="DJ1"/>
      <c r="DK1"/>
      <c r="DL1"/>
      <c r="DM1"/>
      <c r="DN1"/>
      <c r="DO1"/>
      <c r="DP1"/>
      <c r="DQ1"/>
      <c r="DR1"/>
      <c r="DS1"/>
      <c r="DT1"/>
      <c r="DU1"/>
      <c r="DV1"/>
      <c r="DW1"/>
      <c r="DX1"/>
      <c r="DY1"/>
      <c r="DZ1"/>
      <c r="EA1"/>
      <c r="EB1"/>
    </row>
    <row r="2" spans="1:132" s="66" customFormat="1" ht="6" customHeight="1">
      <c r="A2" s="1167"/>
      <c r="B2" s="1168"/>
      <c r="C2" s="58"/>
      <c r="D2" s="58"/>
      <c r="E2" s="58"/>
      <c r="F2" s="58"/>
      <c r="G2" s="58"/>
      <c r="H2" s="58"/>
      <c r="I2" s="58"/>
      <c r="J2"/>
      <c r="K2"/>
      <c r="L2"/>
      <c r="M2"/>
      <c r="N2" s="58"/>
      <c r="O2"/>
      <c r="P2"/>
      <c r="Q2"/>
      <c r="R2"/>
      <c r="S2" s="58"/>
      <c r="T2"/>
      <c r="U2"/>
      <c r="V2"/>
      <c r="W2"/>
      <c r="X2" s="58"/>
      <c r="Y2"/>
      <c r="Z2"/>
      <c r="AA2"/>
      <c r="AB2"/>
      <c r="AC2" s="58"/>
      <c r="AD2"/>
      <c r="AE2"/>
      <c r="AF2"/>
      <c r="AG2"/>
      <c r="AH2" s="58"/>
      <c r="AI2"/>
      <c r="AJ2"/>
      <c r="AK2"/>
      <c r="AL2"/>
      <c r="AM2" s="58"/>
      <c r="AN2"/>
      <c r="AO2"/>
      <c r="AP2"/>
      <c r="AQ2"/>
      <c r="AR2" s="58"/>
      <c r="AS2"/>
      <c r="AT2"/>
      <c r="AU2"/>
      <c r="AV2"/>
      <c r="AW2" s="58"/>
      <c r="AX2"/>
      <c r="AY2"/>
      <c r="AZ2"/>
      <c r="BA2"/>
      <c r="BB2" s="58"/>
      <c r="BC2"/>
      <c r="BD2"/>
      <c r="BE2"/>
      <c r="BF2"/>
      <c r="BG2" s="58"/>
      <c r="BH2"/>
      <c r="BI2"/>
      <c r="BJ2"/>
      <c r="BK2"/>
      <c r="BL2" s="58"/>
      <c r="BM2"/>
      <c r="BN2"/>
      <c r="BO2"/>
      <c r="BP2"/>
      <c r="BQ2" s="58"/>
      <c r="BR2"/>
      <c r="BS2"/>
      <c r="BT2"/>
      <c r="BU2"/>
      <c r="BV2" s="58"/>
      <c r="BW2"/>
      <c r="BX2"/>
      <c r="BY2"/>
      <c r="BZ2"/>
      <c r="CA2" s="58"/>
      <c r="CB2"/>
      <c r="CC2"/>
      <c r="CD2"/>
      <c r="CE2"/>
      <c r="CF2" s="58"/>
      <c r="CG2"/>
      <c r="CH2"/>
      <c r="CI2"/>
      <c r="CJ2"/>
      <c r="CK2" s="58"/>
      <c r="CL2"/>
      <c r="CM2"/>
      <c r="CN2"/>
      <c r="CO2"/>
      <c r="CP2" s="58"/>
      <c r="CQ2"/>
      <c r="CR2"/>
      <c r="CS2"/>
      <c r="CT2"/>
      <c r="CU2" s="58"/>
      <c r="CV2"/>
      <c r="CW2"/>
      <c r="CX2"/>
      <c r="CY2"/>
      <c r="CZ2" s="58"/>
      <c r="DA2"/>
      <c r="DB2"/>
      <c r="DC2"/>
      <c r="DD2"/>
      <c r="DE2" s="58"/>
      <c r="DG2" s="437"/>
      <c r="DH2" s="437"/>
      <c r="DI2"/>
      <c r="DJ2" s="58"/>
      <c r="DN2"/>
      <c r="DO2" s="58"/>
      <c r="DS2"/>
      <c r="DT2" s="58"/>
      <c r="DX2"/>
      <c r="DY2" s="58"/>
      <c r="DZ2" s="58"/>
      <c r="EA2" s="58"/>
      <c r="EB2" s="58"/>
    </row>
    <row r="3" spans="1:132" s="66" customFormat="1" ht="15.75">
      <c r="A3"/>
      <c r="B3" s="61" t="s">
        <v>353</v>
      </c>
      <c r="C3" s="603">
        <v>1997</v>
      </c>
      <c r="D3" s="603">
        <v>1998</v>
      </c>
      <c r="E3" s="603">
        <v>1999</v>
      </c>
      <c r="F3" s="603">
        <v>2000</v>
      </c>
      <c r="G3" s="603">
        <v>2001</v>
      </c>
      <c r="H3" s="603">
        <v>2002</v>
      </c>
      <c r="I3" s="603">
        <v>2003</v>
      </c>
      <c r="J3" s="55" t="s">
        <v>0</v>
      </c>
      <c r="K3" s="55" t="s">
        <v>1</v>
      </c>
      <c r="L3" s="55" t="s">
        <v>2</v>
      </c>
      <c r="M3" s="55" t="s">
        <v>3</v>
      </c>
      <c r="N3" s="603">
        <v>2004</v>
      </c>
      <c r="O3" s="55" t="s">
        <v>4</v>
      </c>
      <c r="P3" s="55" t="s">
        <v>5</v>
      </c>
      <c r="Q3" s="55" t="s">
        <v>6</v>
      </c>
      <c r="R3" s="55" t="s">
        <v>7</v>
      </c>
      <c r="S3" s="603">
        <v>2005</v>
      </c>
      <c r="T3" s="55" t="s">
        <v>8</v>
      </c>
      <c r="U3" s="55" t="s">
        <v>9</v>
      </c>
      <c r="V3" s="55" t="s">
        <v>10</v>
      </c>
      <c r="W3" s="55" t="s">
        <v>11</v>
      </c>
      <c r="X3" s="603">
        <v>2006</v>
      </c>
      <c r="Y3" s="55" t="s">
        <v>12</v>
      </c>
      <c r="Z3" s="55" t="s">
        <v>13</v>
      </c>
      <c r="AA3" s="55" t="s">
        <v>14</v>
      </c>
      <c r="AB3" s="55" t="s">
        <v>15</v>
      </c>
      <c r="AC3" s="603">
        <v>2007</v>
      </c>
      <c r="AD3" s="55" t="s">
        <v>16</v>
      </c>
      <c r="AE3" s="55" t="s">
        <v>17</v>
      </c>
      <c r="AF3" s="55" t="s">
        <v>18</v>
      </c>
      <c r="AG3" s="55" t="s">
        <v>19</v>
      </c>
      <c r="AH3" s="603">
        <v>2008</v>
      </c>
      <c r="AI3" s="55" t="s">
        <v>20</v>
      </c>
      <c r="AJ3" s="55" t="s">
        <v>21</v>
      </c>
      <c r="AK3" s="55" t="s">
        <v>22</v>
      </c>
      <c r="AL3" s="55" t="s">
        <v>23</v>
      </c>
      <c r="AM3" s="603">
        <v>2009</v>
      </c>
      <c r="AN3" s="55" t="s">
        <v>312</v>
      </c>
      <c r="AO3" s="55" t="s">
        <v>309</v>
      </c>
      <c r="AP3" s="55" t="s">
        <v>310</v>
      </c>
      <c r="AQ3" s="55" t="s">
        <v>311</v>
      </c>
      <c r="AR3" s="603">
        <v>2010</v>
      </c>
      <c r="AS3" s="55" t="s">
        <v>316</v>
      </c>
      <c r="AT3" s="55" t="s">
        <v>313</v>
      </c>
      <c r="AU3" s="55" t="s">
        <v>314</v>
      </c>
      <c r="AV3" s="55" t="s">
        <v>315</v>
      </c>
      <c r="AW3" s="603">
        <v>2011</v>
      </c>
      <c r="AX3" s="55" t="s">
        <v>395</v>
      </c>
      <c r="AY3" s="55" t="s">
        <v>396</v>
      </c>
      <c r="AZ3" s="55" t="s">
        <v>397</v>
      </c>
      <c r="BA3" s="55" t="s">
        <v>398</v>
      </c>
      <c r="BB3" s="603">
        <v>2012</v>
      </c>
      <c r="BC3" s="55" t="s">
        <v>411</v>
      </c>
      <c r="BD3" s="55" t="s">
        <v>412</v>
      </c>
      <c r="BE3" s="55" t="s">
        <v>413</v>
      </c>
      <c r="BF3" s="55" t="s">
        <v>414</v>
      </c>
      <c r="BG3" s="603">
        <v>2013</v>
      </c>
      <c r="BH3" s="55" t="s">
        <v>464</v>
      </c>
      <c r="BI3" s="55" t="s">
        <v>465</v>
      </c>
      <c r="BJ3" s="55" t="s">
        <v>466</v>
      </c>
      <c r="BK3" s="55" t="s">
        <v>467</v>
      </c>
      <c r="BL3" s="603">
        <v>2014</v>
      </c>
      <c r="BM3" s="55" t="s">
        <v>468</v>
      </c>
      <c r="BN3" s="55" t="s">
        <v>469</v>
      </c>
      <c r="BO3" s="55" t="s">
        <v>470</v>
      </c>
      <c r="BP3" s="55" t="s">
        <v>471</v>
      </c>
      <c r="BQ3" s="603">
        <v>2015</v>
      </c>
      <c r="BR3" s="55" t="s">
        <v>472</v>
      </c>
      <c r="BS3" s="55" t="s">
        <v>473</v>
      </c>
      <c r="BT3" s="55" t="s">
        <v>474</v>
      </c>
      <c r="BU3" s="55" t="s">
        <v>475</v>
      </c>
      <c r="BV3" s="603">
        <v>2016</v>
      </c>
      <c r="BW3" s="55" t="s">
        <v>476</v>
      </c>
      <c r="BX3" s="55" t="s">
        <v>477</v>
      </c>
      <c r="BY3" s="55" t="s">
        <v>478</v>
      </c>
      <c r="BZ3" s="55" t="s">
        <v>479</v>
      </c>
      <c r="CA3" s="603">
        <v>2017</v>
      </c>
      <c r="CB3" s="55" t="s">
        <v>549</v>
      </c>
      <c r="CC3" s="55" t="s">
        <v>550</v>
      </c>
      <c r="CD3" s="55" t="s">
        <v>551</v>
      </c>
      <c r="CE3" s="55" t="s">
        <v>552</v>
      </c>
      <c r="CF3" s="603">
        <v>2018</v>
      </c>
      <c r="CG3" s="55" t="s">
        <v>597</v>
      </c>
      <c r="CH3" s="55" t="s">
        <v>598</v>
      </c>
      <c r="CI3" s="55" t="s">
        <v>599</v>
      </c>
      <c r="CJ3" s="55" t="s">
        <v>600</v>
      </c>
      <c r="CK3" s="603">
        <v>2019</v>
      </c>
      <c r="CL3" s="55" t="s">
        <v>605</v>
      </c>
      <c r="CM3" s="55" t="s">
        <v>606</v>
      </c>
      <c r="CN3" s="55" t="s">
        <v>607</v>
      </c>
      <c r="CO3" s="55" t="s">
        <v>608</v>
      </c>
      <c r="CP3" s="603">
        <v>2020</v>
      </c>
      <c r="CQ3" s="55" t="s">
        <v>649</v>
      </c>
      <c r="CR3" s="55" t="s">
        <v>650</v>
      </c>
      <c r="CS3" s="55" t="s">
        <v>651</v>
      </c>
      <c r="CT3" s="55" t="s">
        <v>652</v>
      </c>
      <c r="CU3" s="603">
        <v>2021</v>
      </c>
      <c r="CV3" s="55" t="s">
        <v>667</v>
      </c>
      <c r="CW3" s="55" t="s">
        <v>668</v>
      </c>
      <c r="CX3" s="55" t="s">
        <v>669</v>
      </c>
      <c r="CY3" s="55" t="s">
        <v>670</v>
      </c>
      <c r="CZ3" s="603">
        <v>2022</v>
      </c>
      <c r="DA3" s="55" t="s">
        <v>674</v>
      </c>
      <c r="DB3" s="55" t="s">
        <v>675</v>
      </c>
      <c r="DC3" s="55" t="s">
        <v>676</v>
      </c>
      <c r="DD3" s="55" t="s">
        <v>677</v>
      </c>
      <c r="DE3" s="603">
        <v>2023</v>
      </c>
      <c r="DF3" s="55" t="s">
        <v>684</v>
      </c>
      <c r="DG3" s="55" t="s">
        <v>685</v>
      </c>
      <c r="DH3" s="55" t="s">
        <v>686</v>
      </c>
      <c r="DI3" s="55" t="s">
        <v>687</v>
      </c>
      <c r="DJ3" s="603">
        <v>2024</v>
      </c>
      <c r="DK3" s="55" t="s">
        <v>695</v>
      </c>
      <c r="DL3" s="55" t="s">
        <v>696</v>
      </c>
      <c r="DM3" s="55" t="s">
        <v>697</v>
      </c>
      <c r="DN3" s="55" t="s">
        <v>698</v>
      </c>
      <c r="DO3" s="603">
        <v>2025</v>
      </c>
      <c r="DP3" s="55" t="s">
        <v>715</v>
      </c>
      <c r="DQ3" s="55" t="s">
        <v>716</v>
      </c>
      <c r="DR3" s="55" t="s">
        <v>717</v>
      </c>
      <c r="DS3" s="55" t="s">
        <v>718</v>
      </c>
      <c r="DT3" s="603">
        <v>2026</v>
      </c>
      <c r="DU3" s="55" t="s">
        <v>731</v>
      </c>
      <c r="DV3" s="55" t="s">
        <v>732</v>
      </c>
      <c r="DW3" s="55" t="s">
        <v>733</v>
      </c>
      <c r="DX3" s="55" t="s">
        <v>734</v>
      </c>
      <c r="DY3" s="603">
        <v>2027</v>
      </c>
      <c r="DZ3" s="603">
        <v>2028</v>
      </c>
      <c r="EA3" s="603">
        <v>2029</v>
      </c>
      <c r="EB3" s="603">
        <v>2030</v>
      </c>
    </row>
    <row r="4" spans="1:132" s="66" customFormat="1" ht="12.75">
      <c r="A4"/>
      <c r="B4" s="63" t="s">
        <v>148</v>
      </c>
      <c r="C4" s="56">
        <v>35795</v>
      </c>
      <c r="D4" s="56">
        <v>36160</v>
      </c>
      <c r="E4" s="56">
        <v>36525</v>
      </c>
      <c r="F4" s="56">
        <v>36891</v>
      </c>
      <c r="G4" s="56">
        <v>37256</v>
      </c>
      <c r="H4" s="56">
        <v>37621</v>
      </c>
      <c r="I4" s="56">
        <v>37986</v>
      </c>
      <c r="J4" s="57">
        <v>38077</v>
      </c>
      <c r="K4" s="57">
        <v>38168</v>
      </c>
      <c r="L4" s="57">
        <v>38260</v>
      </c>
      <c r="M4" s="57">
        <v>38352</v>
      </c>
      <c r="N4" s="56">
        <v>38352</v>
      </c>
      <c r="O4" s="57">
        <v>38442</v>
      </c>
      <c r="P4" s="57">
        <v>38533</v>
      </c>
      <c r="Q4" s="57">
        <v>38625</v>
      </c>
      <c r="R4" s="57">
        <v>38717</v>
      </c>
      <c r="S4" s="56">
        <v>38717</v>
      </c>
      <c r="T4" s="57">
        <v>38807</v>
      </c>
      <c r="U4" s="57">
        <v>38898</v>
      </c>
      <c r="V4" s="57">
        <v>38990</v>
      </c>
      <c r="W4" s="57">
        <v>39082</v>
      </c>
      <c r="X4" s="56">
        <v>39082</v>
      </c>
      <c r="Y4" s="57">
        <v>39172</v>
      </c>
      <c r="Z4" s="57">
        <v>39263</v>
      </c>
      <c r="AA4" s="57">
        <v>39355</v>
      </c>
      <c r="AB4" s="57">
        <v>39447</v>
      </c>
      <c r="AC4" s="56">
        <v>39447</v>
      </c>
      <c r="AD4" s="57">
        <v>39538</v>
      </c>
      <c r="AE4" s="57">
        <v>39629</v>
      </c>
      <c r="AF4" s="57">
        <v>39721</v>
      </c>
      <c r="AG4" s="57">
        <v>39813</v>
      </c>
      <c r="AH4" s="56">
        <v>39813</v>
      </c>
      <c r="AI4" s="57">
        <v>39903</v>
      </c>
      <c r="AJ4" s="57">
        <v>39994</v>
      </c>
      <c r="AK4" s="57">
        <v>40086</v>
      </c>
      <c r="AL4" s="219">
        <v>40178</v>
      </c>
      <c r="AM4" s="220">
        <v>40178</v>
      </c>
      <c r="AN4" s="57">
        <v>40268</v>
      </c>
      <c r="AO4" s="57">
        <v>40359</v>
      </c>
      <c r="AP4" s="57">
        <v>40451</v>
      </c>
      <c r="AQ4" s="219">
        <v>40543</v>
      </c>
      <c r="AR4" s="220">
        <v>40543</v>
      </c>
      <c r="AS4" s="57">
        <v>40633</v>
      </c>
      <c r="AT4" s="57">
        <v>40724</v>
      </c>
      <c r="AU4" s="57">
        <v>40816</v>
      </c>
      <c r="AV4" s="219">
        <v>40908</v>
      </c>
      <c r="AW4" s="220">
        <v>40908</v>
      </c>
      <c r="AX4" s="57">
        <v>40999</v>
      </c>
      <c r="AY4" s="57">
        <v>41090</v>
      </c>
      <c r="AZ4" s="57">
        <v>41182</v>
      </c>
      <c r="BA4" s="219">
        <v>41274</v>
      </c>
      <c r="BB4" s="220">
        <v>41274</v>
      </c>
      <c r="BC4" s="57">
        <v>41364</v>
      </c>
      <c r="BD4" s="57">
        <v>41455</v>
      </c>
      <c r="BE4" s="57">
        <v>41547</v>
      </c>
      <c r="BF4" s="219">
        <v>41639</v>
      </c>
      <c r="BG4" s="220">
        <v>41639</v>
      </c>
      <c r="BH4" s="57">
        <v>41729</v>
      </c>
      <c r="BI4" s="57">
        <v>41820</v>
      </c>
      <c r="BJ4" s="57">
        <v>41912</v>
      </c>
      <c r="BK4" s="219">
        <v>42004</v>
      </c>
      <c r="BL4" s="220">
        <v>42004</v>
      </c>
      <c r="BM4" s="57">
        <v>42094</v>
      </c>
      <c r="BN4" s="57">
        <v>42185</v>
      </c>
      <c r="BO4" s="57">
        <v>42277</v>
      </c>
      <c r="BP4" s="219">
        <v>42369</v>
      </c>
      <c r="BQ4" s="220">
        <v>42369</v>
      </c>
      <c r="BR4" s="57">
        <v>42460</v>
      </c>
      <c r="BS4" s="57">
        <v>42551</v>
      </c>
      <c r="BT4" s="57">
        <v>42643</v>
      </c>
      <c r="BU4" s="219">
        <v>42735</v>
      </c>
      <c r="BV4" s="220">
        <v>42735</v>
      </c>
      <c r="BW4" s="57">
        <v>42825</v>
      </c>
      <c r="BX4" s="57">
        <v>42916</v>
      </c>
      <c r="BY4" s="57">
        <v>43008</v>
      </c>
      <c r="BZ4" s="219">
        <v>43100</v>
      </c>
      <c r="CA4" s="220">
        <v>43100</v>
      </c>
      <c r="CB4" s="57">
        <v>43190</v>
      </c>
      <c r="CC4" s="57">
        <v>43281</v>
      </c>
      <c r="CD4" s="57">
        <v>43373</v>
      </c>
      <c r="CE4" s="219">
        <v>43465</v>
      </c>
      <c r="CF4" s="220">
        <v>43465</v>
      </c>
      <c r="CG4" s="57">
        <v>43555</v>
      </c>
      <c r="CH4" s="57">
        <v>43646</v>
      </c>
      <c r="CI4" s="57">
        <v>43738</v>
      </c>
      <c r="CJ4" s="219">
        <v>43830</v>
      </c>
      <c r="CK4" s="220">
        <v>43830</v>
      </c>
      <c r="CL4" s="57">
        <v>43921</v>
      </c>
      <c r="CM4" s="57">
        <v>44012</v>
      </c>
      <c r="CN4" s="57">
        <v>44104</v>
      </c>
      <c r="CO4" s="219">
        <v>44196</v>
      </c>
      <c r="CP4" s="220">
        <v>44196</v>
      </c>
      <c r="CQ4" s="57">
        <v>44286</v>
      </c>
      <c r="CR4" s="57">
        <v>44377</v>
      </c>
      <c r="CS4" s="57">
        <v>44469</v>
      </c>
      <c r="CT4" s="219">
        <v>44561</v>
      </c>
      <c r="CU4" s="220">
        <v>44561</v>
      </c>
      <c r="CV4" s="57">
        <v>44651</v>
      </c>
      <c r="CW4" s="57">
        <v>44742</v>
      </c>
      <c r="CX4" s="57">
        <v>44834</v>
      </c>
      <c r="CY4" s="219">
        <v>44926</v>
      </c>
      <c r="CZ4" s="220">
        <v>44926</v>
      </c>
      <c r="DA4" s="57">
        <v>45016</v>
      </c>
      <c r="DB4" s="57">
        <v>45107</v>
      </c>
      <c r="DC4" s="57">
        <v>45199</v>
      </c>
      <c r="DD4" s="219">
        <v>45291</v>
      </c>
      <c r="DE4" s="220">
        <v>45291</v>
      </c>
      <c r="DF4" s="57">
        <v>45382</v>
      </c>
      <c r="DG4" s="57">
        <v>45473</v>
      </c>
      <c r="DH4" s="57">
        <v>45565</v>
      </c>
      <c r="DI4" s="219">
        <v>45657</v>
      </c>
      <c r="DJ4" s="220">
        <v>45657</v>
      </c>
      <c r="DK4" s="57">
        <v>45747</v>
      </c>
      <c r="DL4" s="57">
        <v>45838</v>
      </c>
      <c r="DM4" s="57">
        <v>45930</v>
      </c>
      <c r="DN4" s="219">
        <v>46022</v>
      </c>
      <c r="DO4" s="220">
        <v>46022</v>
      </c>
      <c r="DP4" s="57">
        <v>46112</v>
      </c>
      <c r="DQ4" s="57">
        <v>46203</v>
      </c>
      <c r="DR4" s="57">
        <v>46295</v>
      </c>
      <c r="DS4" s="219">
        <v>46387</v>
      </c>
      <c r="DT4" s="220">
        <v>46387</v>
      </c>
      <c r="DU4" s="57">
        <v>46477</v>
      </c>
      <c r="DV4" s="57">
        <v>46568</v>
      </c>
      <c r="DW4" s="57">
        <v>46660</v>
      </c>
      <c r="DX4" s="219">
        <v>46752</v>
      </c>
      <c r="DY4" s="220">
        <v>46752</v>
      </c>
      <c r="DZ4" s="220">
        <v>47118</v>
      </c>
      <c r="EA4" s="220">
        <v>47483</v>
      </c>
      <c r="EB4" s="220">
        <v>47848</v>
      </c>
    </row>
    <row r="5" spans="1:132" s="200" customFormat="1">
      <c r="A5" s="170"/>
      <c r="B5" s="54"/>
      <c r="C5" s="53"/>
      <c r="D5" s="53"/>
      <c r="E5" s="53"/>
      <c r="F5" s="53"/>
      <c r="G5" s="53"/>
      <c r="H5" s="53"/>
      <c r="I5" s="53"/>
      <c r="J5" s="52"/>
      <c r="K5" s="52"/>
      <c r="L5" s="52"/>
      <c r="M5" s="52"/>
      <c r="N5" s="53"/>
      <c r="O5" s="52"/>
      <c r="P5" s="52"/>
      <c r="Q5" s="52"/>
      <c r="R5" s="52"/>
      <c r="S5" s="53"/>
      <c r="T5" s="52"/>
      <c r="U5" s="52"/>
      <c r="V5" s="52"/>
      <c r="W5" s="52"/>
      <c r="X5" s="53"/>
      <c r="Y5" s="52"/>
      <c r="Z5" s="52"/>
      <c r="AA5" s="52"/>
      <c r="AB5" s="52"/>
      <c r="AC5" s="53"/>
      <c r="AD5" s="52"/>
      <c r="AE5" s="52"/>
      <c r="AF5" s="52"/>
      <c r="AG5" s="52"/>
      <c r="AH5" s="53"/>
      <c r="AI5" s="52"/>
      <c r="AJ5" s="52"/>
      <c r="AK5" s="52"/>
      <c r="AL5" s="51"/>
      <c r="AM5" s="50"/>
      <c r="AN5" s="52"/>
      <c r="AO5" s="52"/>
      <c r="AP5" s="52"/>
      <c r="AQ5" s="51"/>
      <c r="AR5" s="50"/>
      <c r="AS5" s="52"/>
      <c r="AT5" s="52"/>
      <c r="AU5" s="52"/>
      <c r="AV5" s="51"/>
      <c r="AW5" s="50"/>
      <c r="AX5" s="52"/>
      <c r="AY5" s="52"/>
      <c r="AZ5" s="52"/>
      <c r="BA5" s="51"/>
      <c r="BB5" s="50"/>
      <c r="BC5" s="52"/>
      <c r="BD5" s="52"/>
      <c r="BE5" s="52"/>
      <c r="BF5" s="51"/>
      <c r="BG5" s="50"/>
      <c r="BH5" s="52"/>
      <c r="BI5" s="52"/>
      <c r="BJ5" s="52"/>
      <c r="BK5" s="51"/>
      <c r="BL5" s="50"/>
      <c r="BM5" s="52"/>
      <c r="BN5" s="52"/>
      <c r="BO5" s="52"/>
      <c r="BP5" s="51"/>
      <c r="BQ5" s="50"/>
      <c r="BR5" s="52"/>
      <c r="BS5" s="52"/>
      <c r="BT5" s="52"/>
      <c r="BU5" s="51"/>
      <c r="BV5" s="50"/>
      <c r="BW5" s="52"/>
      <c r="BX5" s="52"/>
      <c r="BY5" s="52"/>
      <c r="BZ5" s="51"/>
      <c r="CA5" s="50"/>
      <c r="CB5" s="52"/>
      <c r="CC5" s="52"/>
      <c r="CD5" s="52"/>
      <c r="CE5" s="51"/>
      <c r="CF5" s="50"/>
      <c r="CG5" s="52"/>
      <c r="CH5" s="52"/>
      <c r="CI5" s="52"/>
      <c r="CJ5" s="52"/>
      <c r="CK5" s="50"/>
      <c r="CL5" s="51"/>
      <c r="CM5" s="51"/>
      <c r="CN5" s="51"/>
      <c r="CO5" s="51"/>
      <c r="CP5" s="50"/>
      <c r="CQ5" s="51"/>
      <c r="CR5" s="51"/>
      <c r="CS5" s="51"/>
      <c r="CT5" s="51"/>
      <c r="CU5" s="50"/>
      <c r="CV5" s="51"/>
      <c r="CW5" s="51"/>
      <c r="CX5" s="51"/>
      <c r="CY5" s="51"/>
      <c r="CZ5" s="50"/>
      <c r="DA5" s="51"/>
      <c r="DB5" s="51"/>
      <c r="DC5" s="51"/>
      <c r="DD5" s="51"/>
      <c r="DE5" s="50"/>
      <c r="DF5" s="1015"/>
      <c r="DG5" s="1015"/>
      <c r="DH5" s="1015"/>
      <c r="DI5" s="51"/>
      <c r="DJ5" s="50"/>
      <c r="DK5" s="1015"/>
      <c r="DL5" s="1015"/>
      <c r="DM5" s="1015"/>
      <c r="DN5" s="51"/>
      <c r="DO5" s="50"/>
      <c r="DP5" s="1015"/>
      <c r="DQ5" s="1015"/>
      <c r="DR5" s="1015"/>
      <c r="DS5" s="51"/>
      <c r="DT5" s="50"/>
      <c r="DU5" s="1015"/>
      <c r="DV5" s="1015"/>
      <c r="DW5" s="1015"/>
      <c r="DX5" s="51"/>
      <c r="DY5" s="50"/>
      <c r="DZ5" s="50"/>
      <c r="EA5" s="50"/>
      <c r="EB5" s="50"/>
    </row>
    <row r="6" spans="1:132" s="98" customFormat="1" ht="12" customHeight="1">
      <c r="A6" s="68"/>
      <c r="B6" s="164" t="s">
        <v>24</v>
      </c>
      <c r="C6" s="67"/>
      <c r="D6" s="67"/>
      <c r="E6" s="67"/>
      <c r="F6" s="67"/>
      <c r="G6" s="67"/>
      <c r="H6" s="67"/>
      <c r="I6" s="67"/>
      <c r="J6" s="68"/>
      <c r="K6" s="68"/>
      <c r="L6" s="68"/>
      <c r="M6" s="68"/>
      <c r="N6" s="67"/>
      <c r="O6" s="68"/>
      <c r="P6" s="68"/>
      <c r="Q6" s="68"/>
      <c r="R6" s="68"/>
      <c r="S6" s="67"/>
      <c r="T6" s="68"/>
      <c r="U6" s="68"/>
      <c r="V6" s="68"/>
      <c r="W6" s="68"/>
      <c r="X6" s="67"/>
      <c r="Y6" s="68"/>
      <c r="Z6" s="68"/>
      <c r="AA6" s="68"/>
      <c r="AB6" s="68"/>
      <c r="AC6" s="67"/>
      <c r="AD6" s="68"/>
      <c r="AE6" s="68"/>
      <c r="AF6" s="68"/>
      <c r="AG6" s="68"/>
      <c r="AH6" s="67"/>
      <c r="AI6" s="68"/>
      <c r="AJ6" s="68"/>
      <c r="AK6" s="68"/>
      <c r="AL6" s="68"/>
      <c r="AM6" s="67"/>
      <c r="AN6" s="68"/>
      <c r="AO6" s="68"/>
      <c r="AP6" s="68"/>
      <c r="AQ6" s="68"/>
      <c r="AR6" s="67"/>
      <c r="AS6" s="68"/>
      <c r="AT6" s="68"/>
      <c r="AU6" s="68"/>
      <c r="AV6" s="68"/>
      <c r="AW6" s="67"/>
      <c r="AX6" s="68"/>
      <c r="AY6" s="68"/>
      <c r="AZ6" s="68"/>
      <c r="BA6" s="68"/>
      <c r="BB6" s="67"/>
      <c r="BC6" s="68"/>
      <c r="BD6" s="68"/>
      <c r="BE6" s="68"/>
      <c r="BF6" s="68"/>
      <c r="BG6" s="67"/>
      <c r="BH6" s="68"/>
      <c r="BI6" s="121"/>
      <c r="BJ6" s="68"/>
      <c r="BK6" s="68"/>
      <c r="BL6" s="67"/>
      <c r="BM6" s="68"/>
      <c r="BN6" s="121"/>
      <c r="BO6" s="68"/>
      <c r="BP6" s="68"/>
      <c r="BQ6" s="67"/>
      <c r="BR6" s="68"/>
      <c r="BS6" s="121"/>
      <c r="BT6" s="68"/>
      <c r="BU6" s="68"/>
      <c r="BV6" s="67"/>
      <c r="BW6" s="68"/>
      <c r="BX6" s="121"/>
      <c r="BY6" s="68"/>
      <c r="BZ6" s="68"/>
      <c r="CA6" s="67"/>
      <c r="CB6" s="68"/>
      <c r="CC6" s="121"/>
      <c r="CD6" s="68"/>
      <c r="CE6" s="68"/>
      <c r="CF6" s="67"/>
      <c r="CG6" s="121"/>
      <c r="CH6" s="121"/>
      <c r="CI6" s="121"/>
      <c r="CJ6" s="121"/>
      <c r="CK6" s="67"/>
      <c r="CL6" s="68"/>
      <c r="CM6" s="68"/>
      <c r="CN6" s="68"/>
      <c r="CO6" s="68"/>
      <c r="CP6" s="67"/>
      <c r="CQ6" s="68"/>
      <c r="CR6" s="68"/>
      <c r="CS6" s="68"/>
      <c r="CT6" s="68"/>
      <c r="CU6" s="67"/>
      <c r="CV6" s="68"/>
      <c r="CW6" s="68"/>
      <c r="CX6" s="68"/>
      <c r="CY6" s="68"/>
      <c r="CZ6" s="67"/>
      <c r="DA6" s="68"/>
      <c r="DB6" s="68"/>
      <c r="DC6" s="68"/>
      <c r="DD6" s="68"/>
      <c r="DE6" s="67"/>
      <c r="DG6" s="437"/>
      <c r="DH6" s="437"/>
      <c r="DI6" s="68"/>
      <c r="DJ6" s="67"/>
      <c r="DN6" s="68"/>
      <c r="DO6" s="67"/>
      <c r="DS6" s="68"/>
      <c r="DT6" s="67"/>
      <c r="DX6" s="68"/>
      <c r="DY6" s="67"/>
      <c r="DZ6" s="67"/>
      <c r="EA6" s="67"/>
      <c r="EB6" s="67"/>
    </row>
    <row r="7" spans="1:132" s="108" customFormat="1" ht="12" customHeight="1">
      <c r="A7" s="68"/>
      <c r="B7" s="68" t="s">
        <v>25</v>
      </c>
      <c r="C7" s="67"/>
      <c r="D7" s="67"/>
      <c r="E7" s="67"/>
      <c r="F7" s="67"/>
      <c r="G7" s="67"/>
      <c r="H7" s="67"/>
      <c r="I7" s="67"/>
      <c r="J7" s="68"/>
      <c r="K7" s="68"/>
      <c r="L7" s="68"/>
      <c r="M7" s="68"/>
      <c r="N7" s="67">
        <v>43960</v>
      </c>
      <c r="O7" s="68">
        <v>10791</v>
      </c>
      <c r="P7" s="68">
        <v>12394</v>
      </c>
      <c r="Q7" s="68">
        <v>10334</v>
      </c>
      <c r="R7" s="68">
        <f>S7-O7-P7-Q7</f>
        <v>11879</v>
      </c>
      <c r="S7" s="67">
        <v>45398</v>
      </c>
      <c r="T7" s="68">
        <v>12202</v>
      </c>
      <c r="U7" s="68">
        <v>12848</v>
      </c>
      <c r="V7" s="68">
        <v>12388</v>
      </c>
      <c r="W7" s="68">
        <f>X7-T7-U7-V7</f>
        <v>15206</v>
      </c>
      <c r="X7" s="67">
        <v>52644</v>
      </c>
      <c r="Y7" s="68">
        <v>13229</v>
      </c>
      <c r="Z7" s="68">
        <v>14787</v>
      </c>
      <c r="AA7" s="68">
        <v>14177</v>
      </c>
      <c r="AB7" s="68">
        <f>AC7-Y7-Z7-AA7</f>
        <v>14856</v>
      </c>
      <c r="AC7" s="67">
        <v>57049</v>
      </c>
      <c r="AD7" s="68">
        <v>13688</v>
      </c>
      <c r="AE7" s="68">
        <v>14298</v>
      </c>
      <c r="AF7" s="68">
        <v>12407</v>
      </c>
      <c r="AG7" s="68">
        <f>AH7-AD7-AE7-AF7</f>
        <v>9787</v>
      </c>
      <c r="AH7" s="67">
        <v>50180</v>
      </c>
      <c r="AI7" s="68">
        <v>13835</v>
      </c>
      <c r="AJ7" s="68">
        <v>14296</v>
      </c>
      <c r="AK7" s="68">
        <v>13967</v>
      </c>
      <c r="AL7" s="68">
        <v>14934</v>
      </c>
      <c r="AM7" s="67">
        <f>SUM(AI7:AL7)</f>
        <v>57032</v>
      </c>
      <c r="AN7" s="68">
        <v>12316</v>
      </c>
      <c r="AO7" s="68">
        <v>12624</v>
      </c>
      <c r="AP7" s="68">
        <v>14077</v>
      </c>
      <c r="AQ7" s="68">
        <v>13569</v>
      </c>
      <c r="AR7" s="67">
        <f>SUM(AN7:AQ7)</f>
        <v>52586</v>
      </c>
      <c r="AS7" s="68">
        <v>11894</v>
      </c>
      <c r="AT7" s="68">
        <v>13640</v>
      </c>
      <c r="AU7" s="166">
        <v>14907</v>
      </c>
      <c r="AV7" s="68">
        <f>AW7-SUM(AS7:AU7)</f>
        <v>16960</v>
      </c>
      <c r="AW7" s="67">
        <v>57401</v>
      </c>
      <c r="AX7" s="68">
        <v>16685</v>
      </c>
      <c r="AY7" s="68">
        <v>17341</v>
      </c>
      <c r="AZ7" s="68">
        <v>17415</v>
      </c>
      <c r="BA7" s="68">
        <v>19793</v>
      </c>
      <c r="BB7" s="67">
        <f>SUM(AX7:BA7)</f>
        <v>71234</v>
      </c>
      <c r="BC7" s="68">
        <v>16318</v>
      </c>
      <c r="BD7" s="68">
        <v>19238</v>
      </c>
      <c r="BE7" s="68">
        <v>19754</v>
      </c>
      <c r="BF7" s="68">
        <v>21482.400000000001</v>
      </c>
      <c r="BG7" s="67">
        <f>SUM(BC7:BF7)</f>
        <v>76792.399999999994</v>
      </c>
      <c r="BH7" s="68">
        <v>18015</v>
      </c>
      <c r="BI7" s="695">
        <v>19527</v>
      </c>
      <c r="BJ7" s="68">
        <v>21378</v>
      </c>
      <c r="BK7" s="68">
        <v>21768</v>
      </c>
      <c r="BL7" s="67">
        <f>SUM(BH7:BK7)</f>
        <v>80688</v>
      </c>
      <c r="BM7" s="68">
        <v>19485</v>
      </c>
      <c r="BN7" s="695">
        <v>21923</v>
      </c>
      <c r="BO7" s="68">
        <v>23000</v>
      </c>
      <c r="BP7" s="68">
        <v>20847</v>
      </c>
      <c r="BQ7" s="67">
        <f>SUM(BM7:BP7)</f>
        <v>85255</v>
      </c>
      <c r="BR7" s="68">
        <v>19885</v>
      </c>
      <c r="BS7" s="695">
        <v>22184</v>
      </c>
      <c r="BT7" s="68">
        <v>21494</v>
      </c>
      <c r="BU7" s="68">
        <v>20836</v>
      </c>
      <c r="BV7" s="120">
        <f>SUM(BR7:BU7)</f>
        <v>84399</v>
      </c>
      <c r="BW7" s="547">
        <v>19367</v>
      </c>
      <c r="BX7" s="880">
        <v>20147</v>
      </c>
      <c r="BY7" s="880">
        <v>21825</v>
      </c>
      <c r="BZ7" s="880">
        <v>22720</v>
      </c>
      <c r="CA7" s="897">
        <f>SUM(BW7:BZ7)</f>
        <v>84059</v>
      </c>
      <c r="CB7" s="68">
        <v>20820</v>
      </c>
      <c r="CC7" s="695">
        <v>21565</v>
      </c>
      <c r="CD7" s="68">
        <v>22463</v>
      </c>
      <c r="CE7" s="68">
        <v>25381</v>
      </c>
      <c r="CF7" s="120">
        <f>+SUM(CB7:CE7)</f>
        <v>90229</v>
      </c>
      <c r="CG7" s="695">
        <v>20225</v>
      </c>
      <c r="CH7" s="695">
        <v>13094</v>
      </c>
      <c r="CI7" s="695">
        <v>17195</v>
      </c>
      <c r="CJ7" s="695">
        <v>15580</v>
      </c>
      <c r="CK7" s="120">
        <f>+SUM(CG7:CJ7)</f>
        <v>66094</v>
      </c>
      <c r="CL7" s="68">
        <v>14191</v>
      </c>
      <c r="CM7" s="68">
        <v>9063</v>
      </c>
      <c r="CN7" s="68">
        <v>11402</v>
      </c>
      <c r="CO7" s="68">
        <f>CP7-SUM(CL7:CN7)</f>
        <v>12486</v>
      </c>
      <c r="CP7" s="120">
        <v>47142</v>
      </c>
      <c r="CQ7" s="68">
        <v>12518</v>
      </c>
      <c r="CR7" s="68">
        <v>14154</v>
      </c>
      <c r="CS7" s="68">
        <v>12552</v>
      </c>
      <c r="CT7" s="68">
        <v>12162</v>
      </c>
      <c r="CU7" s="120">
        <f>+SUM(CQ7:CT7)</f>
        <v>51386</v>
      </c>
      <c r="CV7" s="68">
        <v>11427</v>
      </c>
      <c r="CW7" s="68">
        <v>14009</v>
      </c>
      <c r="CX7" s="68">
        <v>13331</v>
      </c>
      <c r="CY7" s="68">
        <v>17126</v>
      </c>
      <c r="CZ7" s="120">
        <f>+SUM(CV7:CY7)</f>
        <v>55893</v>
      </c>
      <c r="DA7" s="68">
        <v>14914</v>
      </c>
      <c r="DB7" s="68">
        <v>16687</v>
      </c>
      <c r="DC7" s="68">
        <v>15060</v>
      </c>
      <c r="DD7" s="68">
        <v>18920</v>
      </c>
      <c r="DE7" s="120">
        <f>+SUM(DA7:DD7)</f>
        <v>65581</v>
      </c>
      <c r="DF7" s="68">
        <v>13268</v>
      </c>
      <c r="DG7" s="121">
        <v>13524</v>
      </c>
      <c r="DH7" s="437">
        <v>14534</v>
      </c>
      <c r="DI7" s="534">
        <v>11901</v>
      </c>
      <c r="DJ7" s="120">
        <f>+SUM(DF7:DI7)</f>
        <v>53227</v>
      </c>
      <c r="DK7" s="534">
        <v>16147</v>
      </c>
      <c r="DL7" s="534">
        <v>19122</v>
      </c>
      <c r="DM7" s="534">
        <v>19642</v>
      </c>
      <c r="DN7" s="534">
        <v>20445</v>
      </c>
      <c r="DO7" s="120">
        <f>+SUM(DK7:DN7)</f>
        <v>75356</v>
      </c>
      <c r="DP7" s="534">
        <v>18998</v>
      </c>
      <c r="DQ7" s="1118">
        <v>21366</v>
      </c>
      <c r="DS7" s="68"/>
      <c r="DT7" s="216"/>
      <c r="DU7" s="534"/>
      <c r="DX7" s="68"/>
      <c r="DY7" s="216"/>
      <c r="DZ7" s="216"/>
      <c r="EA7" s="216"/>
      <c r="EB7" s="216"/>
    </row>
    <row r="8" spans="1:132" s="108" customFormat="1" ht="12" customHeight="1">
      <c r="A8" s="68"/>
      <c r="B8" s="68" t="s">
        <v>26</v>
      </c>
      <c r="C8" s="69"/>
      <c r="D8" s="69"/>
      <c r="E8" s="69"/>
      <c r="F8" s="69"/>
      <c r="G8" s="69"/>
      <c r="H8" s="69"/>
      <c r="I8" s="69"/>
      <c r="J8" s="70"/>
      <c r="K8" s="70"/>
      <c r="L8" s="70"/>
      <c r="M8" s="70"/>
      <c r="N8" s="69">
        <v>8497</v>
      </c>
      <c r="O8" s="70">
        <v>2196</v>
      </c>
      <c r="P8" s="70">
        <v>2634</v>
      </c>
      <c r="Q8" s="70">
        <v>2295</v>
      </c>
      <c r="R8" s="70">
        <f t="shared" ref="R8:R13" si="0">S8-O8-P8-Q8</f>
        <v>2322</v>
      </c>
      <c r="S8" s="69">
        <v>9447</v>
      </c>
      <c r="T8" s="70">
        <v>2062</v>
      </c>
      <c r="U8" s="70">
        <v>2138</v>
      </c>
      <c r="V8" s="70">
        <v>2351</v>
      </c>
      <c r="W8" s="70">
        <f t="shared" ref="W8:W13" si="1">X8-T8-U8-V8</f>
        <v>2335</v>
      </c>
      <c r="X8" s="69">
        <v>8886</v>
      </c>
      <c r="Y8" s="70">
        <v>2136</v>
      </c>
      <c r="Z8" s="70">
        <v>2241</v>
      </c>
      <c r="AA8" s="70">
        <v>2340</v>
      </c>
      <c r="AB8" s="70">
        <f t="shared" ref="AB8:AB13" si="2">AC8-Y8-Z8-AA8</f>
        <v>2621</v>
      </c>
      <c r="AC8" s="69">
        <v>9338</v>
      </c>
      <c r="AD8" s="70">
        <v>2302</v>
      </c>
      <c r="AE8" s="70">
        <v>2664</v>
      </c>
      <c r="AF8" s="70">
        <v>2886</v>
      </c>
      <c r="AG8" s="70">
        <f t="shared" ref="AG8:AG13" si="3">AH8-AD8-AE8-AF8</f>
        <v>2877</v>
      </c>
      <c r="AH8" s="69">
        <v>10729</v>
      </c>
      <c r="AI8" s="70">
        <v>2667</v>
      </c>
      <c r="AJ8" s="70">
        <v>2858</v>
      </c>
      <c r="AK8" s="70">
        <v>2721</v>
      </c>
      <c r="AL8" s="70">
        <v>3003</v>
      </c>
      <c r="AM8" s="69">
        <f>SUM(AI8:AL8)</f>
        <v>11249</v>
      </c>
      <c r="AN8" s="70">
        <v>2900</v>
      </c>
      <c r="AO8" s="70">
        <v>2949</v>
      </c>
      <c r="AP8" s="70">
        <v>2890</v>
      </c>
      <c r="AQ8" s="70">
        <v>2981</v>
      </c>
      <c r="AR8" s="69">
        <f>SUM(AN8:AQ8)</f>
        <v>11720</v>
      </c>
      <c r="AS8" s="70">
        <v>3016</v>
      </c>
      <c r="AT8" s="70">
        <v>2903</v>
      </c>
      <c r="AU8" s="511">
        <v>2820</v>
      </c>
      <c r="AV8" s="70">
        <f>AW8-SUM(AS8:AU8)</f>
        <v>2595</v>
      </c>
      <c r="AW8" s="69">
        <v>11334</v>
      </c>
      <c r="AX8" s="70">
        <v>2698</v>
      </c>
      <c r="AY8" s="70">
        <v>2664</v>
      </c>
      <c r="AZ8" s="70">
        <v>2593</v>
      </c>
      <c r="BA8" s="70">
        <v>2509</v>
      </c>
      <c r="BB8" s="67">
        <f>SUM(AX8:BA8)</f>
        <v>10464</v>
      </c>
      <c r="BC8" s="70">
        <v>2575</v>
      </c>
      <c r="BD8" s="70">
        <v>2577</v>
      </c>
      <c r="BE8" s="70">
        <v>2376</v>
      </c>
      <c r="BF8" s="70">
        <v>2303</v>
      </c>
      <c r="BG8" s="67">
        <f>SUM(BC8:BF8)</f>
        <v>9831</v>
      </c>
      <c r="BH8" s="70">
        <v>2450</v>
      </c>
      <c r="BI8" s="696">
        <v>2518</v>
      </c>
      <c r="BJ8" s="70">
        <v>2406</v>
      </c>
      <c r="BK8" s="70">
        <v>2700</v>
      </c>
      <c r="BL8" s="67">
        <f>SUM(BH8:BK8)</f>
        <v>10074</v>
      </c>
      <c r="BM8" s="70">
        <v>2664</v>
      </c>
      <c r="BN8" s="696">
        <v>2620</v>
      </c>
      <c r="BO8" s="70">
        <v>2849</v>
      </c>
      <c r="BP8" s="70">
        <v>2726</v>
      </c>
      <c r="BQ8" s="67">
        <f>SUM(BM8:BP8)</f>
        <v>10859</v>
      </c>
      <c r="BR8" s="70">
        <v>2747</v>
      </c>
      <c r="BS8" s="696">
        <v>2571</v>
      </c>
      <c r="BT8" s="70">
        <v>2404</v>
      </c>
      <c r="BU8" s="70">
        <v>2450</v>
      </c>
      <c r="BV8" s="120">
        <f>SUM(BR8:BU8)</f>
        <v>10172</v>
      </c>
      <c r="BW8" s="511">
        <v>2594</v>
      </c>
      <c r="BX8" s="881">
        <v>2592</v>
      </c>
      <c r="BY8" s="881">
        <v>2484</v>
      </c>
      <c r="BZ8" s="881">
        <v>2648</v>
      </c>
      <c r="CA8" s="897">
        <f>SUM(BW8:BZ8)</f>
        <v>10318</v>
      </c>
      <c r="CB8" s="70">
        <v>2562</v>
      </c>
      <c r="CC8" s="696">
        <v>2693</v>
      </c>
      <c r="CD8" s="70">
        <v>2683</v>
      </c>
      <c r="CE8" s="70">
        <v>2960</v>
      </c>
      <c r="CF8" s="120">
        <f>+SUM(CB8:CE8)</f>
        <v>10898</v>
      </c>
      <c r="CG8" s="696">
        <v>2692</v>
      </c>
      <c r="CH8" s="696">
        <v>2657</v>
      </c>
      <c r="CI8" s="696">
        <v>2785</v>
      </c>
      <c r="CJ8" s="696">
        <v>2331</v>
      </c>
      <c r="CK8" s="120">
        <f>+SUM(CG8:CJ8)</f>
        <v>10465</v>
      </c>
      <c r="CL8" s="70">
        <v>2717</v>
      </c>
      <c r="CM8" s="70">
        <v>2744</v>
      </c>
      <c r="CN8" s="70">
        <v>2737</v>
      </c>
      <c r="CO8" s="70">
        <f>CP8-SUM(CL8:CN8)</f>
        <v>2818</v>
      </c>
      <c r="CP8" s="120">
        <v>11016</v>
      </c>
      <c r="CQ8" s="70">
        <v>2699</v>
      </c>
      <c r="CR8" s="70">
        <v>2844</v>
      </c>
      <c r="CS8" s="70">
        <v>2726</v>
      </c>
      <c r="CT8" s="70">
        <v>2631</v>
      </c>
      <c r="CU8" s="120">
        <f>+SUM(CQ8:CT8)</f>
        <v>10900</v>
      </c>
      <c r="CV8" s="70">
        <v>2564</v>
      </c>
      <c r="CW8" s="70">
        <v>2672</v>
      </c>
      <c r="CX8" s="70">
        <v>2625</v>
      </c>
      <c r="CY8" s="70">
        <v>2854</v>
      </c>
      <c r="CZ8" s="120">
        <f>+SUM(CV8:CY8)</f>
        <v>10715</v>
      </c>
      <c r="DA8" s="70">
        <v>3007</v>
      </c>
      <c r="DB8" s="70">
        <v>3064</v>
      </c>
      <c r="DC8" s="70">
        <v>3044</v>
      </c>
      <c r="DD8" s="70">
        <v>3098</v>
      </c>
      <c r="DE8" s="120">
        <f>+SUM(DA8:DD8)</f>
        <v>12213</v>
      </c>
      <c r="DF8" s="70">
        <v>3301</v>
      </c>
      <c r="DG8" s="70">
        <v>3342</v>
      </c>
      <c r="DH8" s="271">
        <v>3306</v>
      </c>
      <c r="DI8" s="1073">
        <v>3341</v>
      </c>
      <c r="DJ8" s="120">
        <f>+SUM(DF8:DI8)</f>
        <v>13290</v>
      </c>
      <c r="DK8" s="1073">
        <v>3349</v>
      </c>
      <c r="DL8" s="1073">
        <v>3627</v>
      </c>
      <c r="DM8" s="1073">
        <v>3628</v>
      </c>
      <c r="DN8" s="1073">
        <v>3503</v>
      </c>
      <c r="DO8" s="120">
        <f>+SUM(DK8:DN8)</f>
        <v>14107</v>
      </c>
      <c r="DP8" s="1073">
        <v>3219</v>
      </c>
      <c r="DQ8" s="1107">
        <v>3194</v>
      </c>
      <c r="DS8" s="70"/>
      <c r="DT8" s="216"/>
      <c r="DU8" s="1073"/>
      <c r="DX8" s="70"/>
      <c r="DY8" s="216"/>
      <c r="DZ8" s="216"/>
      <c r="EA8" s="216"/>
      <c r="EB8" s="216"/>
    </row>
    <row r="9" spans="1:132" s="105" customFormat="1" ht="12" customHeight="1">
      <c r="A9" s="68"/>
      <c r="B9" s="74" t="s">
        <v>27</v>
      </c>
      <c r="C9" s="71">
        <v>45800</v>
      </c>
      <c r="D9" s="71">
        <v>56154</v>
      </c>
      <c r="E9" s="71">
        <v>57993</v>
      </c>
      <c r="F9" s="71">
        <v>51321</v>
      </c>
      <c r="G9" s="71">
        <v>58198</v>
      </c>
      <c r="H9" s="71">
        <v>54069</v>
      </c>
      <c r="I9" s="71">
        <v>50485</v>
      </c>
      <c r="J9" s="72">
        <v>12959</v>
      </c>
      <c r="K9" s="72">
        <v>13088</v>
      </c>
      <c r="L9" s="72">
        <v>13152</v>
      </c>
      <c r="M9" s="73">
        <f>N9-SUM(J9:L9)</f>
        <v>13258</v>
      </c>
      <c r="N9" s="71">
        <f>SUM(N7:N8)</f>
        <v>52457</v>
      </c>
      <c r="O9" s="72">
        <f>SUM(O7:O8)</f>
        <v>12987</v>
      </c>
      <c r="P9" s="72">
        <f>SUM(P7:P8)</f>
        <v>15028</v>
      </c>
      <c r="Q9" s="72">
        <f>SUM(Q7:Q8)</f>
        <v>12629</v>
      </c>
      <c r="R9" s="74">
        <f t="shared" si="0"/>
        <v>14201</v>
      </c>
      <c r="S9" s="71">
        <f>SUM(S7:S8)</f>
        <v>54845</v>
      </c>
      <c r="T9" s="72">
        <f>SUM(T7:T8)</f>
        <v>14264</v>
      </c>
      <c r="U9" s="72">
        <f>SUM(U7:U8)</f>
        <v>14986</v>
      </c>
      <c r="V9" s="72">
        <f>SUM(V7:V8)</f>
        <v>14739</v>
      </c>
      <c r="W9" s="72">
        <f t="shared" si="1"/>
        <v>17541</v>
      </c>
      <c r="X9" s="71">
        <f>SUM(X7:X8)</f>
        <v>61530</v>
      </c>
      <c r="Y9" s="72">
        <f>SUM(Y7:Y8)</f>
        <v>15365</v>
      </c>
      <c r="Z9" s="72">
        <f>SUM(Z7:Z8)</f>
        <v>17028</v>
      </c>
      <c r="AA9" s="72">
        <f>SUM(AA7:AA8)</f>
        <v>16517</v>
      </c>
      <c r="AB9" s="72">
        <f t="shared" si="2"/>
        <v>17477</v>
      </c>
      <c r="AC9" s="71">
        <f>SUM(AC7:AC8)</f>
        <v>66387</v>
      </c>
      <c r="AD9" s="72">
        <f>SUM(AD7:AD8)</f>
        <v>15990</v>
      </c>
      <c r="AE9" s="72">
        <f>SUM(AE7:AE8)</f>
        <v>16962</v>
      </c>
      <c r="AF9" s="72">
        <f>SUM(AF7:AF8)</f>
        <v>15293</v>
      </c>
      <c r="AG9" s="72">
        <f t="shared" si="3"/>
        <v>12664</v>
      </c>
      <c r="AH9" s="71">
        <f t="shared" ref="AH9:AQ9" si="4">SUM(AH7:AH8)</f>
        <v>60909</v>
      </c>
      <c r="AI9" s="72">
        <f t="shared" si="4"/>
        <v>16502</v>
      </c>
      <c r="AJ9" s="72">
        <f t="shared" si="4"/>
        <v>17154</v>
      </c>
      <c r="AK9" s="72">
        <f t="shared" si="4"/>
        <v>16688</v>
      </c>
      <c r="AL9" s="72">
        <f t="shared" si="4"/>
        <v>17937</v>
      </c>
      <c r="AM9" s="71">
        <f t="shared" si="4"/>
        <v>68281</v>
      </c>
      <c r="AN9" s="72">
        <f t="shared" si="4"/>
        <v>15216</v>
      </c>
      <c r="AO9" s="72">
        <f t="shared" si="4"/>
        <v>15573</v>
      </c>
      <c r="AP9" s="72">
        <f t="shared" si="4"/>
        <v>16967</v>
      </c>
      <c r="AQ9" s="72">
        <f t="shared" si="4"/>
        <v>16550</v>
      </c>
      <c r="AR9" s="71">
        <f t="shared" ref="AR9:BV9" si="5">SUM(AR7:AR8)</f>
        <v>64306</v>
      </c>
      <c r="AS9" s="72">
        <f t="shared" si="5"/>
        <v>14910</v>
      </c>
      <c r="AT9" s="72">
        <f t="shared" si="5"/>
        <v>16543</v>
      </c>
      <c r="AU9" s="72">
        <f t="shared" si="5"/>
        <v>17727</v>
      </c>
      <c r="AV9" s="72">
        <f t="shared" si="5"/>
        <v>19555</v>
      </c>
      <c r="AW9" s="71">
        <f t="shared" si="5"/>
        <v>68735</v>
      </c>
      <c r="AX9" s="72">
        <f t="shared" si="5"/>
        <v>19383</v>
      </c>
      <c r="AY9" s="72">
        <f t="shared" si="5"/>
        <v>20005</v>
      </c>
      <c r="AZ9" s="72">
        <f t="shared" si="5"/>
        <v>20008</v>
      </c>
      <c r="BA9" s="72">
        <f t="shared" si="5"/>
        <v>22302</v>
      </c>
      <c r="BB9" s="71">
        <f t="shared" si="5"/>
        <v>81698</v>
      </c>
      <c r="BC9" s="72">
        <f t="shared" si="5"/>
        <v>18893</v>
      </c>
      <c r="BD9" s="72">
        <f t="shared" si="5"/>
        <v>21815</v>
      </c>
      <c r="BE9" s="72">
        <f t="shared" si="5"/>
        <v>22130</v>
      </c>
      <c r="BF9" s="72">
        <f t="shared" si="5"/>
        <v>23785.4</v>
      </c>
      <c r="BG9" s="71">
        <f t="shared" ref="BG9" si="6">SUM(BG7:BG8)</f>
        <v>86623.4</v>
      </c>
      <c r="BH9" s="72">
        <f t="shared" si="5"/>
        <v>20465</v>
      </c>
      <c r="BI9" s="597">
        <f t="shared" si="5"/>
        <v>22045</v>
      </c>
      <c r="BJ9" s="597">
        <f t="shared" si="5"/>
        <v>23784</v>
      </c>
      <c r="BK9" s="597">
        <f t="shared" si="5"/>
        <v>24468</v>
      </c>
      <c r="BL9" s="71">
        <f t="shared" si="5"/>
        <v>90762</v>
      </c>
      <c r="BM9" s="597">
        <f t="shared" si="5"/>
        <v>22149</v>
      </c>
      <c r="BN9" s="597">
        <f t="shared" si="5"/>
        <v>24543</v>
      </c>
      <c r="BO9" s="597">
        <f t="shared" si="5"/>
        <v>25849</v>
      </c>
      <c r="BP9" s="597">
        <f t="shared" si="5"/>
        <v>23573</v>
      </c>
      <c r="BQ9" s="71">
        <f t="shared" ref="BQ9" si="7">SUM(BQ7:BQ8)</f>
        <v>96114</v>
      </c>
      <c r="BR9" s="597">
        <f t="shared" si="5"/>
        <v>22632</v>
      </c>
      <c r="BS9" s="597">
        <f t="shared" si="5"/>
        <v>24755</v>
      </c>
      <c r="BT9" s="597">
        <f t="shared" si="5"/>
        <v>23898</v>
      </c>
      <c r="BU9" s="597">
        <f t="shared" si="5"/>
        <v>23286</v>
      </c>
      <c r="BV9" s="71">
        <f t="shared" si="5"/>
        <v>94571</v>
      </c>
      <c r="BW9" s="597">
        <f>SUM(BW7:BW8)</f>
        <v>21961</v>
      </c>
      <c r="BX9" s="90">
        <v>23051</v>
      </c>
      <c r="BY9" s="90">
        <v>24223</v>
      </c>
      <c r="BZ9" s="90">
        <v>24770</v>
      </c>
      <c r="CA9" s="874">
        <v>94005</v>
      </c>
      <c r="CB9" s="597">
        <f>SUM(CB7:CB8)</f>
        <v>23382</v>
      </c>
      <c r="CC9" s="597">
        <f>SUM(CC7:CC8)</f>
        <v>24258</v>
      </c>
      <c r="CD9" s="597">
        <f>SUM(CD7:CD8)</f>
        <v>25146</v>
      </c>
      <c r="CE9" s="597">
        <f>SUM(CE7:CE8)</f>
        <v>28341</v>
      </c>
      <c r="CF9" s="874">
        <f>+SUM(CF7:CF8)</f>
        <v>101127</v>
      </c>
      <c r="CG9" s="597">
        <f>SUM(CG7:CG8)</f>
        <v>22917</v>
      </c>
      <c r="CH9" s="597">
        <f>SUM(CH7:CH8)</f>
        <v>15751</v>
      </c>
      <c r="CI9" s="597">
        <f>SUM(CI7:CI8)</f>
        <v>19980</v>
      </c>
      <c r="CJ9" s="597">
        <f>SUM(CJ7:CJ8)</f>
        <v>17911</v>
      </c>
      <c r="CK9" s="874">
        <f>+SUM(CK7:CK8)</f>
        <v>76559</v>
      </c>
      <c r="CL9" s="597">
        <f>SUM(CL7:CL8)</f>
        <v>16908</v>
      </c>
      <c r="CM9" s="597">
        <f>SUM(CM7:CM8)</f>
        <v>11807</v>
      </c>
      <c r="CN9" s="597">
        <f>SUM(CN7:CN8)</f>
        <v>14139</v>
      </c>
      <c r="CO9" s="597">
        <f>SUM(CO7:CO8)</f>
        <v>15304</v>
      </c>
      <c r="CP9" s="874">
        <f>+SUM(CP7:CP8)</f>
        <v>58158</v>
      </c>
      <c r="CQ9" s="597">
        <f>SUM(CQ7:CQ8)</f>
        <v>15217</v>
      </c>
      <c r="CR9" s="597">
        <f>SUM(CR7:CR8)</f>
        <v>16998</v>
      </c>
      <c r="CS9" s="597">
        <f>SUM(CS7:CS8)</f>
        <v>15278</v>
      </c>
      <c r="CT9" s="597">
        <f>SUM(CT7:CT8)</f>
        <v>14793</v>
      </c>
      <c r="CU9" s="874">
        <f>+SUM(CU7:CU8)</f>
        <v>62286</v>
      </c>
      <c r="CV9" s="597">
        <f>SUM(CV7:CV8)</f>
        <v>13991</v>
      </c>
      <c r="CW9" s="597">
        <f>SUM(CW7:CW8)</f>
        <v>16681</v>
      </c>
      <c r="CX9" s="597">
        <f>SUM(CX7:CX8)</f>
        <v>15956</v>
      </c>
      <c r="CY9" s="597">
        <f>SUM(CY7:CY8)</f>
        <v>19980</v>
      </c>
      <c r="CZ9" s="874">
        <f>+SUM(CZ7:CZ8)</f>
        <v>66608</v>
      </c>
      <c r="DA9" s="597">
        <f>SUM(DA7:DA8)</f>
        <v>17921</v>
      </c>
      <c r="DB9" s="597">
        <f>SUM(DB7:DB8)</f>
        <v>19751</v>
      </c>
      <c r="DC9" s="597">
        <f>SUM(DC7:DC8)</f>
        <v>18104</v>
      </c>
      <c r="DD9" s="597">
        <f>SUM(DD7:DD8)</f>
        <v>22018</v>
      </c>
      <c r="DE9" s="874">
        <f>+SUM(DE7:DE8)</f>
        <v>77794</v>
      </c>
      <c r="DF9" s="597">
        <f>SUM(DF7:DF8)</f>
        <v>16569</v>
      </c>
      <c r="DG9" s="597">
        <f>SUM(DG7:DG8)</f>
        <v>16866</v>
      </c>
      <c r="DH9" s="1065">
        <f>SUM(DH7:DH8)</f>
        <v>17840</v>
      </c>
      <c r="DI9" s="597">
        <f>SUM(DI7:DI8)</f>
        <v>15242</v>
      </c>
      <c r="DJ9" s="874">
        <f>+SUM(DJ7:DJ8)</f>
        <v>66517</v>
      </c>
      <c r="DK9" s="597">
        <f>SUM(DK7:DK8)</f>
        <v>19496</v>
      </c>
      <c r="DL9" s="597">
        <f>SUM(DL7:DL8)</f>
        <v>22749</v>
      </c>
      <c r="DM9" s="597">
        <f>SUM(DM7:DM8)</f>
        <v>23270</v>
      </c>
      <c r="DN9" s="597">
        <f>SUM(DN7:DN8)</f>
        <v>23948</v>
      </c>
      <c r="DO9" s="874">
        <f>+SUM(DO7:DO8)</f>
        <v>89463</v>
      </c>
      <c r="DP9" s="597">
        <f>SUM(DP7:DP8)</f>
        <v>22217</v>
      </c>
      <c r="DQ9" s="1065">
        <f>SUM(DQ7:DQ8)</f>
        <v>24560</v>
      </c>
      <c r="DS9" s="597"/>
      <c r="DT9" s="93"/>
      <c r="DU9" s="597"/>
      <c r="DX9" s="597"/>
      <c r="DY9" s="93"/>
      <c r="DZ9" s="93"/>
      <c r="EA9" s="93"/>
      <c r="EB9" s="93"/>
    </row>
    <row r="10" spans="1:132" s="105" customFormat="1" ht="12" customHeight="1">
      <c r="A10" s="68"/>
      <c r="B10" s="68" t="s">
        <v>28</v>
      </c>
      <c r="C10" s="76"/>
      <c r="D10" s="76"/>
      <c r="E10" s="76"/>
      <c r="F10" s="76"/>
      <c r="G10" s="76"/>
      <c r="H10" s="76"/>
      <c r="I10" s="76"/>
      <c r="J10" s="77">
        <v>-9360.75</v>
      </c>
      <c r="K10" s="77">
        <v>-9360.75</v>
      </c>
      <c r="L10" s="77">
        <v>-9360.75</v>
      </c>
      <c r="M10" s="78">
        <v>-9360.75</v>
      </c>
      <c r="N10" s="76">
        <v>-37443</v>
      </c>
      <c r="O10" s="77">
        <v>-8830</v>
      </c>
      <c r="P10" s="77">
        <v>-10187</v>
      </c>
      <c r="Q10" s="77">
        <v>-8706</v>
      </c>
      <c r="R10" s="68">
        <f t="shared" si="0"/>
        <v>-10359</v>
      </c>
      <c r="S10" s="76">
        <v>-38082</v>
      </c>
      <c r="T10" s="77">
        <v>-9618</v>
      </c>
      <c r="U10" s="77">
        <v>-10821</v>
      </c>
      <c r="V10" s="77">
        <v>-9789</v>
      </c>
      <c r="W10" s="77">
        <f t="shared" si="1"/>
        <v>-12262</v>
      </c>
      <c r="X10" s="76">
        <v>-42490</v>
      </c>
      <c r="Y10" s="77">
        <v>-10431</v>
      </c>
      <c r="Z10" s="77">
        <v>-11709</v>
      </c>
      <c r="AA10" s="77">
        <v>-11331</v>
      </c>
      <c r="AB10" s="77">
        <f t="shared" si="2"/>
        <v>-11904</v>
      </c>
      <c r="AC10" s="76">
        <v>-45375</v>
      </c>
      <c r="AD10" s="77">
        <v>-10788</v>
      </c>
      <c r="AE10" s="77">
        <v>-11637</v>
      </c>
      <c r="AF10" s="77">
        <v>-10311</v>
      </c>
      <c r="AG10" s="77">
        <f t="shared" si="3"/>
        <v>-8926</v>
      </c>
      <c r="AH10" s="76">
        <v>-41662</v>
      </c>
      <c r="AI10" s="77">
        <v>-11579</v>
      </c>
      <c r="AJ10" s="77">
        <v>-11580</v>
      </c>
      <c r="AK10" s="77">
        <v>-12273</v>
      </c>
      <c r="AL10" s="77">
        <v>-12207</v>
      </c>
      <c r="AM10" s="76">
        <f>SUM(AI10:AL10)</f>
        <v>-47639</v>
      </c>
      <c r="AN10" s="77">
        <v>-9822</v>
      </c>
      <c r="AO10" s="77">
        <v>-10115</v>
      </c>
      <c r="AP10" s="77">
        <v>-11232</v>
      </c>
      <c r="AQ10" s="77">
        <v>-11025</v>
      </c>
      <c r="AR10" s="76">
        <f>SUM(AN10:AQ10)</f>
        <v>-42194</v>
      </c>
      <c r="AS10" s="77">
        <v>-9506</v>
      </c>
      <c r="AT10" s="77">
        <v>-10823</v>
      </c>
      <c r="AU10" s="86">
        <v>-12006</v>
      </c>
      <c r="AV10" s="77">
        <f>AW10-SUM(AS10:AU10)</f>
        <v>-14307</v>
      </c>
      <c r="AW10" s="76">
        <v>-46642</v>
      </c>
      <c r="AX10" s="77">
        <v>-13661</v>
      </c>
      <c r="AY10" s="77">
        <v>-14759</v>
      </c>
      <c r="AZ10" s="77">
        <v>-14683</v>
      </c>
      <c r="BA10" s="77">
        <v>-17206</v>
      </c>
      <c r="BB10" s="76">
        <f>SUM(AX10:BA10)</f>
        <v>-60309</v>
      </c>
      <c r="BC10" s="77">
        <v>-13728</v>
      </c>
      <c r="BD10" s="77">
        <v>-16437</v>
      </c>
      <c r="BE10" s="77">
        <v>-16865</v>
      </c>
      <c r="BF10" s="77">
        <v>-18610</v>
      </c>
      <c r="BG10" s="76">
        <f>SUM(BC10:BF10)</f>
        <v>-65640</v>
      </c>
      <c r="BH10" s="77">
        <v>-15258</v>
      </c>
      <c r="BI10" s="693">
        <v>-16674</v>
      </c>
      <c r="BJ10" s="77">
        <v>-18091</v>
      </c>
      <c r="BK10" s="77">
        <v>-18528</v>
      </c>
      <c r="BL10" s="76">
        <f>SUM(BH10:BK10)</f>
        <v>-68551</v>
      </c>
      <c r="BM10" s="77">
        <v>-16380</v>
      </c>
      <c r="BN10" s="693">
        <v>-19247</v>
      </c>
      <c r="BO10" s="77">
        <v>-19393</v>
      </c>
      <c r="BP10" s="77">
        <v>-18426</v>
      </c>
      <c r="BQ10" s="76">
        <f>SUM(BM10:BP10)</f>
        <v>-73446</v>
      </c>
      <c r="BR10" s="77">
        <v>-16945</v>
      </c>
      <c r="BS10" s="693">
        <v>-20265</v>
      </c>
      <c r="BT10" s="77">
        <v>-17907</v>
      </c>
      <c r="BU10" s="77">
        <v>-17596</v>
      </c>
      <c r="BV10" s="17">
        <f>SUM(BR10:BU10)</f>
        <v>-72713</v>
      </c>
      <c r="BW10" s="554">
        <v>-16062</v>
      </c>
      <c r="BX10" s="882">
        <v>-16443</v>
      </c>
      <c r="BY10" s="882">
        <v>-18050</v>
      </c>
      <c r="BZ10" s="882">
        <v>-18509</v>
      </c>
      <c r="CA10" s="898">
        <f>SUM(BW10:BZ10)</f>
        <v>-69064</v>
      </c>
      <c r="CB10" s="77">
        <v>-16816</v>
      </c>
      <c r="CC10" s="693">
        <v>-17436</v>
      </c>
      <c r="CD10" s="77">
        <v>-18882</v>
      </c>
      <c r="CE10" s="77">
        <v>-19788</v>
      </c>
      <c r="CF10" s="17">
        <f t="shared" ref="CF10:CF17" si="8">+SUM(CB10:CE10)</f>
        <v>-72922</v>
      </c>
      <c r="CG10" s="693">
        <v>-16238</v>
      </c>
      <c r="CH10" s="693">
        <v>-15672</v>
      </c>
      <c r="CI10" s="693">
        <v>-14674</v>
      </c>
      <c r="CJ10" s="693">
        <v>-16293</v>
      </c>
      <c r="CK10" s="17">
        <f t="shared" ref="CK10:CK17" si="9">+SUM(CG10:CJ10)</f>
        <v>-62877</v>
      </c>
      <c r="CL10" s="77">
        <v>-14713</v>
      </c>
      <c r="CM10" s="77">
        <v>-10378</v>
      </c>
      <c r="CN10" s="77">
        <v>-10910</v>
      </c>
      <c r="CO10" s="68">
        <f>CP10-SUM(CL10:CN10)</f>
        <v>-18567</v>
      </c>
      <c r="CP10" s="17">
        <v>-54568</v>
      </c>
      <c r="CQ10" s="77">
        <v>-11632</v>
      </c>
      <c r="CR10" s="77">
        <v>-12263</v>
      </c>
      <c r="CS10" s="77">
        <v>-11271</v>
      </c>
      <c r="CT10" s="77">
        <v>-14788</v>
      </c>
      <c r="CU10" s="17">
        <f t="shared" ref="CU10:CU17" si="10">+SUM(CQ10:CT10)</f>
        <v>-49954</v>
      </c>
      <c r="CV10" s="77">
        <v>-11412</v>
      </c>
      <c r="CW10" s="77">
        <v>-12284</v>
      </c>
      <c r="CX10" s="77">
        <v>-14541</v>
      </c>
      <c r="CY10" s="77">
        <v>-15732</v>
      </c>
      <c r="CZ10" s="17">
        <f t="shared" ref="CZ10:CZ17" si="11">+SUM(CV10:CY10)</f>
        <v>-53969</v>
      </c>
      <c r="DA10" s="77">
        <v>-13553</v>
      </c>
      <c r="DB10" s="77">
        <v>-15123</v>
      </c>
      <c r="DC10" s="77">
        <v>-14464</v>
      </c>
      <c r="DD10" s="77">
        <v>-16724</v>
      </c>
      <c r="DE10" s="17">
        <f t="shared" ref="DE10:DE17" si="12">+SUM(DA10:DD10)</f>
        <v>-59864</v>
      </c>
      <c r="DF10" s="77">
        <v>-12064</v>
      </c>
      <c r="DG10" s="16">
        <v>-12907</v>
      </c>
      <c r="DH10" s="593">
        <v>-18413</v>
      </c>
      <c r="DI10" s="1074">
        <v>-14010</v>
      </c>
      <c r="DJ10" s="17">
        <f t="shared" ref="DJ10:DJ17" si="13">+SUM(DF10:DI10)</f>
        <v>-57394</v>
      </c>
      <c r="DK10" s="1074">
        <v>-14379</v>
      </c>
      <c r="DL10" s="1074">
        <v>-17406</v>
      </c>
      <c r="DM10" s="1074">
        <v>-22737</v>
      </c>
      <c r="DN10" s="1074">
        <v>-19239</v>
      </c>
      <c r="DO10" s="17">
        <f t="shared" ref="DO10:DO17" si="14">+SUM(DK10:DN10)</f>
        <v>-73761</v>
      </c>
      <c r="DP10" s="1074">
        <v>-17031</v>
      </c>
      <c r="DQ10" s="1086">
        <v>-19487</v>
      </c>
      <c r="DS10" s="77"/>
      <c r="DT10" s="93"/>
      <c r="DU10" s="1074"/>
      <c r="DX10" s="77"/>
      <c r="DY10" s="93"/>
      <c r="DZ10" s="93"/>
      <c r="EA10" s="93"/>
      <c r="EB10" s="93"/>
    </row>
    <row r="11" spans="1:132" s="105" customFormat="1" ht="12" customHeight="1">
      <c r="A11" s="68"/>
      <c r="B11" s="68" t="s">
        <v>29</v>
      </c>
      <c r="C11" s="76">
        <v>-40644</v>
      </c>
      <c r="D11" s="76">
        <v>-50546</v>
      </c>
      <c r="E11" s="76">
        <v>-51320</v>
      </c>
      <c r="F11" s="76">
        <v>-43712</v>
      </c>
      <c r="G11" s="76">
        <v>-48778</v>
      </c>
      <c r="H11" s="76">
        <v>-45499</v>
      </c>
      <c r="I11" s="76">
        <v>-43862</v>
      </c>
      <c r="J11" s="77">
        <f>-10728-J10</f>
        <v>-1367.25</v>
      </c>
      <c r="K11" s="77">
        <f>-10875-K10</f>
        <v>-1514.25</v>
      </c>
      <c r="L11" s="77">
        <f>-11164-L10</f>
        <v>-1803.25</v>
      </c>
      <c r="M11" s="78">
        <f>N11-SUM(J11:L11)</f>
        <v>-2547.25</v>
      </c>
      <c r="N11" s="76">
        <v>-7232</v>
      </c>
      <c r="O11" s="77">
        <v>-1859</v>
      </c>
      <c r="P11" s="77">
        <v>-2204</v>
      </c>
      <c r="Q11" s="77">
        <v>-1987</v>
      </c>
      <c r="R11" s="68">
        <f t="shared" si="0"/>
        <v>-1717</v>
      </c>
      <c r="S11" s="76">
        <v>-7767</v>
      </c>
      <c r="T11" s="77">
        <v>-1786</v>
      </c>
      <c r="U11" s="77">
        <v>-1691</v>
      </c>
      <c r="V11" s="77">
        <v>-2014</v>
      </c>
      <c r="W11" s="77">
        <f t="shared" si="1"/>
        <v>-2103</v>
      </c>
      <c r="X11" s="76">
        <v>-7594</v>
      </c>
      <c r="Y11" s="77">
        <v>-1756</v>
      </c>
      <c r="Z11" s="77">
        <v>-1827</v>
      </c>
      <c r="AA11" s="77">
        <v>-1803</v>
      </c>
      <c r="AB11" s="77">
        <f t="shared" si="2"/>
        <v>-2346</v>
      </c>
      <c r="AC11" s="76">
        <v>-7732</v>
      </c>
      <c r="AD11" s="77">
        <v>-1755</v>
      </c>
      <c r="AE11" s="77">
        <v>-2248</v>
      </c>
      <c r="AF11" s="77">
        <v>-2176</v>
      </c>
      <c r="AG11" s="77">
        <f t="shared" si="3"/>
        <v>-2288</v>
      </c>
      <c r="AH11" s="76">
        <v>-8467</v>
      </c>
      <c r="AI11" s="77">
        <v>-2119</v>
      </c>
      <c r="AJ11" s="77">
        <v>-2184</v>
      </c>
      <c r="AK11" s="77">
        <v>-2165</v>
      </c>
      <c r="AL11" s="77">
        <v>-2258</v>
      </c>
      <c r="AM11" s="76">
        <f>SUM(AI11:AL11)</f>
        <v>-8726</v>
      </c>
      <c r="AN11" s="77">
        <v>-2281</v>
      </c>
      <c r="AO11" s="77">
        <v>-2384</v>
      </c>
      <c r="AP11" s="77">
        <v>-2472</v>
      </c>
      <c r="AQ11" s="77">
        <v>-2352</v>
      </c>
      <c r="AR11" s="76">
        <f>SUM(AN11:AQ11)</f>
        <v>-9489</v>
      </c>
      <c r="AS11" s="77">
        <v>-2510</v>
      </c>
      <c r="AT11" s="77">
        <v>-2348</v>
      </c>
      <c r="AU11" s="86">
        <v>-2319</v>
      </c>
      <c r="AV11" s="77">
        <f>AW11-SUM(AS11:AU11)</f>
        <v>-1920</v>
      </c>
      <c r="AW11" s="76">
        <v>-9097</v>
      </c>
      <c r="AX11" s="77">
        <v>-2380</v>
      </c>
      <c r="AY11" s="77">
        <v>-1962</v>
      </c>
      <c r="AZ11" s="77">
        <v>-2089</v>
      </c>
      <c r="BA11" s="77">
        <v>-1816</v>
      </c>
      <c r="BB11" s="76">
        <f>SUM(AX11:BA11)</f>
        <v>-8247</v>
      </c>
      <c r="BC11" s="77">
        <v>-2009</v>
      </c>
      <c r="BD11" s="77">
        <v>-1995</v>
      </c>
      <c r="BE11" s="77">
        <v>-1791</v>
      </c>
      <c r="BF11" s="77">
        <v>-1758</v>
      </c>
      <c r="BG11" s="76">
        <f>SUM(BC11:BF11)</f>
        <v>-7553</v>
      </c>
      <c r="BH11" s="77">
        <v>-2020</v>
      </c>
      <c r="BI11" s="693">
        <v>-1979</v>
      </c>
      <c r="BJ11" s="77">
        <v>-1966</v>
      </c>
      <c r="BK11" s="77">
        <v>-2167</v>
      </c>
      <c r="BL11" s="76">
        <f>SUM(BH11:BK11)</f>
        <v>-8132</v>
      </c>
      <c r="BM11" s="77">
        <v>-2100</v>
      </c>
      <c r="BN11" s="693">
        <v>-2086</v>
      </c>
      <c r="BO11" s="77">
        <v>-2191</v>
      </c>
      <c r="BP11" s="77">
        <v>-2201</v>
      </c>
      <c r="BQ11" s="76">
        <f>SUM(BM11:BP11)</f>
        <v>-8578</v>
      </c>
      <c r="BR11" s="77">
        <v>-2136</v>
      </c>
      <c r="BS11" s="693">
        <v>-2044</v>
      </c>
      <c r="BT11" s="77">
        <v>-1983</v>
      </c>
      <c r="BU11" s="77">
        <v>-1855</v>
      </c>
      <c r="BV11" s="17">
        <f>SUM(BR11:BU11)</f>
        <v>-8018</v>
      </c>
      <c r="BW11" s="554">
        <v>-1998</v>
      </c>
      <c r="BX11" s="882">
        <v>-1932</v>
      </c>
      <c r="BY11" s="882">
        <v>-1910</v>
      </c>
      <c r="BZ11" s="882">
        <v>-1901</v>
      </c>
      <c r="CA11" s="898">
        <f>SUM(BW11:BZ11)</f>
        <v>-7741</v>
      </c>
      <c r="CB11" s="77">
        <v>-1992</v>
      </c>
      <c r="CC11" s="693">
        <v>-2083</v>
      </c>
      <c r="CD11" s="77">
        <v>-2140</v>
      </c>
      <c r="CE11" s="77">
        <v>-2284</v>
      </c>
      <c r="CF11" s="17">
        <f t="shared" si="8"/>
        <v>-8499</v>
      </c>
      <c r="CG11" s="693">
        <v>-2389</v>
      </c>
      <c r="CH11" s="693">
        <v>-2122</v>
      </c>
      <c r="CI11" s="693">
        <v>-2241</v>
      </c>
      <c r="CJ11" s="693">
        <v>-2402</v>
      </c>
      <c r="CK11" s="17">
        <f t="shared" si="9"/>
        <v>-9154</v>
      </c>
      <c r="CL11" s="77">
        <v>-2043</v>
      </c>
      <c r="CM11" s="77">
        <v>-2589</v>
      </c>
      <c r="CN11" s="77">
        <v>-2185</v>
      </c>
      <c r="CO11" s="68">
        <f>CP11-SUM(CL11:CN11)</f>
        <v>-2415</v>
      </c>
      <c r="CP11" s="17">
        <v>-9232</v>
      </c>
      <c r="CQ11" s="77">
        <v>-2167</v>
      </c>
      <c r="CR11" s="77">
        <v>-2316</v>
      </c>
      <c r="CS11" s="77">
        <v>-2288</v>
      </c>
      <c r="CT11" s="77">
        <v>-2512</v>
      </c>
      <c r="CU11" s="17">
        <f t="shared" si="10"/>
        <v>-9283</v>
      </c>
      <c r="CV11" s="77">
        <v>-2226</v>
      </c>
      <c r="CW11" s="77">
        <v>-2269</v>
      </c>
      <c r="CX11" s="77">
        <v>-2230</v>
      </c>
      <c r="CY11" s="77">
        <v>-2384</v>
      </c>
      <c r="CZ11" s="17">
        <f t="shared" si="11"/>
        <v>-9109</v>
      </c>
      <c r="DA11" s="77">
        <v>-2445</v>
      </c>
      <c r="DB11" s="77">
        <v>-2689</v>
      </c>
      <c r="DC11" s="77">
        <v>-2475</v>
      </c>
      <c r="DD11" s="77">
        <v>-2597</v>
      </c>
      <c r="DE11" s="17">
        <f t="shared" si="12"/>
        <v>-10206</v>
      </c>
      <c r="DF11" s="77">
        <v>-2629</v>
      </c>
      <c r="DG11" s="16">
        <v>-2730</v>
      </c>
      <c r="DH11" s="593">
        <v>-2934</v>
      </c>
      <c r="DI11" s="1074">
        <v>-2821</v>
      </c>
      <c r="DJ11" s="17">
        <f t="shared" si="13"/>
        <v>-11114</v>
      </c>
      <c r="DK11" s="1074">
        <v>-2700</v>
      </c>
      <c r="DL11" s="1074">
        <v>-2908</v>
      </c>
      <c r="DM11" s="1074">
        <v>-2908</v>
      </c>
      <c r="DN11" s="1074">
        <v>-2897</v>
      </c>
      <c r="DO11" s="17">
        <f t="shared" si="14"/>
        <v>-11413</v>
      </c>
      <c r="DP11" s="1074">
        <v>-2640</v>
      </c>
      <c r="DQ11" s="1086">
        <v>-2659</v>
      </c>
      <c r="DS11" s="77"/>
      <c r="DT11" s="93"/>
      <c r="DU11" s="1074"/>
      <c r="DX11" s="77"/>
      <c r="DY11" s="93"/>
      <c r="DZ11" s="93"/>
      <c r="EA11" s="93"/>
      <c r="EB11" s="93"/>
    </row>
    <row r="12" spans="1:132" s="105" customFormat="1" ht="12" customHeight="1">
      <c r="A12" s="68"/>
      <c r="B12" s="68" t="s">
        <v>30</v>
      </c>
      <c r="C12" s="79">
        <v>0</v>
      </c>
      <c r="D12" s="79">
        <v>0</v>
      </c>
      <c r="E12" s="79">
        <v>0</v>
      </c>
      <c r="F12" s="79">
        <v>0</v>
      </c>
      <c r="G12" s="79">
        <v>0</v>
      </c>
      <c r="H12" s="79">
        <v>0</v>
      </c>
      <c r="I12" s="79">
        <v>-442</v>
      </c>
      <c r="J12" s="80">
        <v>-103</v>
      </c>
      <c r="K12" s="80">
        <v>-89</v>
      </c>
      <c r="L12" s="80">
        <v>-89</v>
      </c>
      <c r="M12" s="81">
        <f>N12-SUM(J12:L12)</f>
        <v>-69</v>
      </c>
      <c r="N12" s="79">
        <v>-350</v>
      </c>
      <c r="O12" s="80">
        <v>-89</v>
      </c>
      <c r="P12" s="80">
        <v>-90</v>
      </c>
      <c r="Q12" s="80">
        <v>-87</v>
      </c>
      <c r="R12" s="70">
        <f t="shared" si="0"/>
        <v>-93</v>
      </c>
      <c r="S12" s="79">
        <v>-359</v>
      </c>
      <c r="T12" s="80">
        <v>-90</v>
      </c>
      <c r="U12" s="80">
        <v>-89</v>
      </c>
      <c r="V12" s="80">
        <v>-88</v>
      </c>
      <c r="W12" s="80">
        <f t="shared" si="1"/>
        <v>-86</v>
      </c>
      <c r="X12" s="79">
        <v>-353</v>
      </c>
      <c r="Y12" s="80">
        <v>-79</v>
      </c>
      <c r="Z12" s="80">
        <v>-73</v>
      </c>
      <c r="AA12" s="80">
        <v>-73</v>
      </c>
      <c r="AB12" s="80">
        <f t="shared" si="2"/>
        <v>-70</v>
      </c>
      <c r="AC12" s="79">
        <v>-295</v>
      </c>
      <c r="AD12" s="80">
        <v>-62</v>
      </c>
      <c r="AE12" s="80">
        <v>-57</v>
      </c>
      <c r="AF12" s="80">
        <v>-54</v>
      </c>
      <c r="AG12" s="80">
        <f t="shared" si="3"/>
        <v>-50</v>
      </c>
      <c r="AH12" s="79">
        <v>-223</v>
      </c>
      <c r="AI12" s="80">
        <v>-47</v>
      </c>
      <c r="AJ12" s="80">
        <v>-43</v>
      </c>
      <c r="AK12" s="80">
        <v>-42</v>
      </c>
      <c r="AL12" s="80">
        <v>-43</v>
      </c>
      <c r="AM12" s="79">
        <f>SUM(AI12:AL12)</f>
        <v>-175</v>
      </c>
      <c r="AN12" s="80">
        <v>-41</v>
      </c>
      <c r="AO12" s="80">
        <v>-41</v>
      </c>
      <c r="AP12" s="80">
        <v>-42</v>
      </c>
      <c r="AQ12" s="80">
        <v>-36</v>
      </c>
      <c r="AR12" s="79">
        <f>SUM(AN12:AQ12)</f>
        <v>-160</v>
      </c>
      <c r="AS12" s="80">
        <v>-33</v>
      </c>
      <c r="AT12" s="80">
        <v>-29</v>
      </c>
      <c r="AU12" s="97">
        <v>-32</v>
      </c>
      <c r="AV12" s="80">
        <f>AW12-SUM(AS12:AU12)</f>
        <v>-34</v>
      </c>
      <c r="AW12" s="79">
        <v>-128</v>
      </c>
      <c r="AX12" s="80">
        <v>-28</v>
      </c>
      <c r="AY12" s="80">
        <v>-19</v>
      </c>
      <c r="AZ12" s="80">
        <v>-22</v>
      </c>
      <c r="BA12" s="80">
        <v>-19</v>
      </c>
      <c r="BB12" s="79">
        <f>SUM(AX12:BA12)</f>
        <v>-88</v>
      </c>
      <c r="BC12" s="80">
        <v>-19</v>
      </c>
      <c r="BD12" s="80">
        <v>-18</v>
      </c>
      <c r="BE12" s="80">
        <v>-18</v>
      </c>
      <c r="BF12" s="80">
        <v>-20</v>
      </c>
      <c r="BG12" s="79">
        <f>SUM(BC12:BF12)</f>
        <v>-75</v>
      </c>
      <c r="BH12" s="80">
        <v>-18</v>
      </c>
      <c r="BI12" s="568">
        <v>-17</v>
      </c>
      <c r="BJ12" s="80">
        <v>-18</v>
      </c>
      <c r="BK12" s="80">
        <v>-16</v>
      </c>
      <c r="BL12" s="79">
        <f>SUM(BH12:BK12)</f>
        <v>-69</v>
      </c>
      <c r="BM12" s="80">
        <v>-16</v>
      </c>
      <c r="BN12" s="568">
        <v>-17</v>
      </c>
      <c r="BO12" s="80">
        <v>-16</v>
      </c>
      <c r="BP12" s="80">
        <v>-15</v>
      </c>
      <c r="BQ12" s="79">
        <f>SUM(BM12:BP12)</f>
        <v>-64</v>
      </c>
      <c r="BR12" s="80">
        <v>-16</v>
      </c>
      <c r="BS12" s="568">
        <v>-16</v>
      </c>
      <c r="BT12" s="80">
        <v>-14</v>
      </c>
      <c r="BU12" s="80">
        <v>-13</v>
      </c>
      <c r="BV12" s="79">
        <f>SUM(BR12:BU12)</f>
        <v>-59</v>
      </c>
      <c r="BW12" s="97">
        <v>-13</v>
      </c>
      <c r="BX12" s="883">
        <v>-13</v>
      </c>
      <c r="BY12" s="883">
        <v>-27</v>
      </c>
      <c r="BZ12" s="883">
        <v>-17</v>
      </c>
      <c r="CA12" s="899">
        <f>SUM(BW12:BZ12)</f>
        <v>-70</v>
      </c>
      <c r="CB12" s="80">
        <v>-16</v>
      </c>
      <c r="CC12" s="568">
        <v>-17</v>
      </c>
      <c r="CD12" s="80">
        <v>-18</v>
      </c>
      <c r="CE12" s="80">
        <v>-18</v>
      </c>
      <c r="CF12" s="79">
        <f t="shared" si="8"/>
        <v>-69</v>
      </c>
      <c r="CG12" s="568">
        <v>-18</v>
      </c>
      <c r="CH12" s="568">
        <v>-16</v>
      </c>
      <c r="CI12" s="568">
        <v>-15</v>
      </c>
      <c r="CJ12" s="568">
        <v>-13</v>
      </c>
      <c r="CK12" s="79">
        <f t="shared" si="9"/>
        <v>-62</v>
      </c>
      <c r="CL12" s="80">
        <v>-12</v>
      </c>
      <c r="CM12" s="80">
        <v>-11</v>
      </c>
      <c r="CN12" s="80">
        <v>-10</v>
      </c>
      <c r="CO12" s="70">
        <f>CP12-SUM(CL12:CN12)</f>
        <v>-10</v>
      </c>
      <c r="CP12" s="79">
        <v>-43</v>
      </c>
      <c r="CQ12" s="80">
        <v>-9</v>
      </c>
      <c r="CR12" s="80">
        <v>-9</v>
      </c>
      <c r="CS12" s="80">
        <v>-7</v>
      </c>
      <c r="CT12" s="80">
        <v>-7</v>
      </c>
      <c r="CU12" s="79">
        <f t="shared" si="10"/>
        <v>-32</v>
      </c>
      <c r="CV12" s="80">
        <v>-7</v>
      </c>
      <c r="CW12" s="80">
        <v>-6</v>
      </c>
      <c r="CX12" s="80">
        <v>-7</v>
      </c>
      <c r="CY12" s="80">
        <v>-8</v>
      </c>
      <c r="CZ12" s="79">
        <f t="shared" si="11"/>
        <v>-28</v>
      </c>
      <c r="DA12" s="80"/>
      <c r="DB12" s="80"/>
      <c r="DC12" s="80"/>
      <c r="DD12" s="80"/>
      <c r="DE12" s="79">
        <f t="shared" si="12"/>
        <v>0</v>
      </c>
      <c r="DF12" s="80"/>
      <c r="DG12" s="80"/>
      <c r="DH12" s="272"/>
      <c r="DI12" s="80"/>
      <c r="DJ12" s="79">
        <f t="shared" si="13"/>
        <v>0</v>
      </c>
      <c r="DK12" s="80"/>
      <c r="DL12" s="80"/>
      <c r="DM12" s="80"/>
      <c r="DN12" s="80"/>
      <c r="DO12" s="79">
        <f t="shared" si="14"/>
        <v>0</v>
      </c>
      <c r="DP12" s="80"/>
      <c r="DQ12" s="272"/>
      <c r="DS12" s="80"/>
      <c r="DT12" s="93"/>
      <c r="DU12" s="80"/>
      <c r="DX12" s="80"/>
      <c r="DY12" s="93"/>
      <c r="DZ12" s="93"/>
      <c r="EA12" s="93"/>
      <c r="EB12" s="93"/>
    </row>
    <row r="13" spans="1:132" s="105" customFormat="1" ht="12" customHeight="1">
      <c r="A13" s="68"/>
      <c r="B13" s="74" t="s">
        <v>31</v>
      </c>
      <c r="C13" s="71">
        <f>SUM(C10:C12)</f>
        <v>-40644</v>
      </c>
      <c r="D13" s="71">
        <f>SUM(D10:D12)</f>
        <v>-50546</v>
      </c>
      <c r="E13" s="71">
        <f t="shared" ref="E13:AF13" si="15">SUM(E10:E12)</f>
        <v>-51320</v>
      </c>
      <c r="F13" s="71">
        <f t="shared" si="15"/>
        <v>-43712</v>
      </c>
      <c r="G13" s="71">
        <f t="shared" si="15"/>
        <v>-48778</v>
      </c>
      <c r="H13" s="71">
        <f t="shared" si="15"/>
        <v>-45499</v>
      </c>
      <c r="I13" s="71">
        <f t="shared" si="15"/>
        <v>-44304</v>
      </c>
      <c r="J13" s="72">
        <f t="shared" si="15"/>
        <v>-10831</v>
      </c>
      <c r="K13" s="72">
        <f t="shared" si="15"/>
        <v>-10964</v>
      </c>
      <c r="L13" s="72">
        <f t="shared" si="15"/>
        <v>-11253</v>
      </c>
      <c r="M13" s="73">
        <f>N13-SUM(J13:L13)</f>
        <v>-11977</v>
      </c>
      <c r="N13" s="71">
        <f t="shared" si="15"/>
        <v>-45025</v>
      </c>
      <c r="O13" s="72">
        <f t="shared" si="15"/>
        <v>-10778</v>
      </c>
      <c r="P13" s="72">
        <f t="shared" si="15"/>
        <v>-12481</v>
      </c>
      <c r="Q13" s="72">
        <f t="shared" si="15"/>
        <v>-10780</v>
      </c>
      <c r="R13" s="74">
        <f t="shared" si="0"/>
        <v>-12169</v>
      </c>
      <c r="S13" s="71">
        <f t="shared" si="15"/>
        <v>-46208</v>
      </c>
      <c r="T13" s="72">
        <f t="shared" si="15"/>
        <v>-11494</v>
      </c>
      <c r="U13" s="72">
        <f t="shared" si="15"/>
        <v>-12601</v>
      </c>
      <c r="V13" s="72">
        <f t="shared" si="15"/>
        <v>-11891</v>
      </c>
      <c r="W13" s="72">
        <f t="shared" si="1"/>
        <v>-14451</v>
      </c>
      <c r="X13" s="71">
        <f t="shared" si="15"/>
        <v>-50437</v>
      </c>
      <c r="Y13" s="72">
        <f t="shared" si="15"/>
        <v>-12266</v>
      </c>
      <c r="Z13" s="72">
        <f t="shared" si="15"/>
        <v>-13609</v>
      </c>
      <c r="AA13" s="72">
        <f t="shared" si="15"/>
        <v>-13207</v>
      </c>
      <c r="AB13" s="72">
        <f t="shared" si="2"/>
        <v>-14320</v>
      </c>
      <c r="AC13" s="71">
        <f t="shared" si="15"/>
        <v>-53402</v>
      </c>
      <c r="AD13" s="72">
        <f t="shared" si="15"/>
        <v>-12605</v>
      </c>
      <c r="AE13" s="72">
        <f t="shared" si="15"/>
        <v>-13942</v>
      </c>
      <c r="AF13" s="72">
        <f t="shared" si="15"/>
        <v>-12541</v>
      </c>
      <c r="AG13" s="72">
        <f t="shared" si="3"/>
        <v>-11264</v>
      </c>
      <c r="AH13" s="71">
        <f t="shared" ref="AH13:AU13" si="16">SUM(AH10:AH12)</f>
        <v>-50352</v>
      </c>
      <c r="AI13" s="72">
        <f t="shared" si="16"/>
        <v>-13745</v>
      </c>
      <c r="AJ13" s="72">
        <f t="shared" si="16"/>
        <v>-13807</v>
      </c>
      <c r="AK13" s="72">
        <f t="shared" si="16"/>
        <v>-14480</v>
      </c>
      <c r="AL13" s="72">
        <f t="shared" si="16"/>
        <v>-14508</v>
      </c>
      <c r="AM13" s="71">
        <f t="shared" si="16"/>
        <v>-56540</v>
      </c>
      <c r="AN13" s="72">
        <f t="shared" si="16"/>
        <v>-12144</v>
      </c>
      <c r="AO13" s="72">
        <f t="shared" si="16"/>
        <v>-12540</v>
      </c>
      <c r="AP13" s="72">
        <f t="shared" si="16"/>
        <v>-13746</v>
      </c>
      <c r="AQ13" s="72">
        <f t="shared" si="16"/>
        <v>-13413</v>
      </c>
      <c r="AR13" s="71">
        <f>SUM(AR10:AR12)</f>
        <v>-51843</v>
      </c>
      <c r="AS13" s="72">
        <f t="shared" si="16"/>
        <v>-12049</v>
      </c>
      <c r="AT13" s="72">
        <f t="shared" si="16"/>
        <v>-13200</v>
      </c>
      <c r="AU13" s="72">
        <f t="shared" si="16"/>
        <v>-14357</v>
      </c>
      <c r="AV13" s="72">
        <f t="shared" ref="AV13:BV13" si="17">SUM(AV10:AV12)</f>
        <v>-16261</v>
      </c>
      <c r="AW13" s="71">
        <f t="shared" si="17"/>
        <v>-55867</v>
      </c>
      <c r="AX13" s="72">
        <f t="shared" si="17"/>
        <v>-16069</v>
      </c>
      <c r="AY13" s="72">
        <f t="shared" si="17"/>
        <v>-16740</v>
      </c>
      <c r="AZ13" s="72">
        <f t="shared" si="17"/>
        <v>-16794</v>
      </c>
      <c r="BA13" s="72">
        <f t="shared" si="17"/>
        <v>-19041</v>
      </c>
      <c r="BB13" s="71">
        <f t="shared" si="17"/>
        <v>-68644</v>
      </c>
      <c r="BC13" s="72">
        <f t="shared" si="17"/>
        <v>-15756</v>
      </c>
      <c r="BD13" s="72">
        <f t="shared" si="17"/>
        <v>-18450</v>
      </c>
      <c r="BE13" s="72">
        <f t="shared" si="17"/>
        <v>-18674</v>
      </c>
      <c r="BF13" s="72">
        <f t="shared" si="17"/>
        <v>-20388</v>
      </c>
      <c r="BG13" s="71">
        <f t="shared" ref="BG13" si="18">SUM(BG10:BG12)</f>
        <v>-73268</v>
      </c>
      <c r="BH13" s="72">
        <f t="shared" si="17"/>
        <v>-17296</v>
      </c>
      <c r="BI13" s="597">
        <f t="shared" si="17"/>
        <v>-18670</v>
      </c>
      <c r="BJ13" s="597">
        <f t="shared" si="17"/>
        <v>-20075</v>
      </c>
      <c r="BK13" s="597">
        <f t="shared" si="17"/>
        <v>-20711</v>
      </c>
      <c r="BL13" s="71">
        <f t="shared" si="17"/>
        <v>-76752</v>
      </c>
      <c r="BM13" s="597">
        <f t="shared" si="17"/>
        <v>-18496</v>
      </c>
      <c r="BN13" s="597">
        <f t="shared" si="17"/>
        <v>-21350</v>
      </c>
      <c r="BO13" s="597">
        <f t="shared" si="17"/>
        <v>-21600</v>
      </c>
      <c r="BP13" s="597">
        <f t="shared" si="17"/>
        <v>-20642</v>
      </c>
      <c r="BQ13" s="71">
        <f t="shared" ref="BQ13" si="19">SUM(BQ10:BQ12)</f>
        <v>-82088</v>
      </c>
      <c r="BR13" s="597">
        <f t="shared" si="17"/>
        <v>-19097</v>
      </c>
      <c r="BS13" s="597">
        <f t="shared" si="17"/>
        <v>-22325</v>
      </c>
      <c r="BT13" s="597">
        <f t="shared" si="17"/>
        <v>-19904</v>
      </c>
      <c r="BU13" s="597">
        <f t="shared" si="17"/>
        <v>-19464</v>
      </c>
      <c r="BV13" s="71">
        <f t="shared" si="17"/>
        <v>-80790</v>
      </c>
      <c r="BW13" s="597">
        <f>SUM(BW10:BW12)</f>
        <v>-18073</v>
      </c>
      <c r="BX13" s="90">
        <v>-18702</v>
      </c>
      <c r="BY13" s="90">
        <v>-19956</v>
      </c>
      <c r="BZ13" s="90">
        <v>-19881</v>
      </c>
      <c r="CA13" s="874">
        <v>-76612</v>
      </c>
      <c r="CB13" s="597">
        <f>SUM(CB10:CB12)</f>
        <v>-18824</v>
      </c>
      <c r="CC13" s="597">
        <f>SUM(CC10:CC12)</f>
        <v>-19536</v>
      </c>
      <c r="CD13" s="597">
        <f>SUM(CD10:CD12)</f>
        <v>-21040</v>
      </c>
      <c r="CE13" s="597">
        <f>SUM(CE10:CE12)</f>
        <v>-22090</v>
      </c>
      <c r="CF13" s="71">
        <f t="shared" si="8"/>
        <v>-81490</v>
      </c>
      <c r="CG13" s="597">
        <f>SUM(CG10:CG12)</f>
        <v>-18645</v>
      </c>
      <c r="CH13" s="597">
        <f>SUM(CH10:CH12)</f>
        <v>-17810</v>
      </c>
      <c r="CI13" s="597">
        <f>SUM(CI10:CI12)</f>
        <v>-16930</v>
      </c>
      <c r="CJ13" s="597">
        <f>SUM(CJ10:CJ12)</f>
        <v>-18708</v>
      </c>
      <c r="CK13" s="71">
        <f t="shared" si="9"/>
        <v>-72093</v>
      </c>
      <c r="CL13" s="597">
        <f>SUM(CL10:CL12)</f>
        <v>-16768</v>
      </c>
      <c r="CM13" s="597">
        <f>SUM(CM10:CM12)</f>
        <v>-12978</v>
      </c>
      <c r="CN13" s="597">
        <f>SUM(CN10:CN12)</f>
        <v>-13105</v>
      </c>
      <c r="CO13" s="597">
        <f>SUM(CO10:CO12)</f>
        <v>-20992</v>
      </c>
      <c r="CP13" s="71">
        <f t="shared" ref="CP13:CP17" si="20">+SUM(CL13:CO13)</f>
        <v>-63843</v>
      </c>
      <c r="CQ13" s="597">
        <f>SUM(CQ10:CQ12)</f>
        <v>-13808</v>
      </c>
      <c r="CR13" s="597">
        <f>SUM(CR10:CR12)</f>
        <v>-14588</v>
      </c>
      <c r="CS13" s="597">
        <f>SUM(CS10:CS12)</f>
        <v>-13566</v>
      </c>
      <c r="CT13" s="597">
        <f>SUM(CT10:CT12)</f>
        <v>-17307</v>
      </c>
      <c r="CU13" s="71">
        <f t="shared" si="10"/>
        <v>-59269</v>
      </c>
      <c r="CV13" s="597">
        <f>SUM(CV10:CV12)</f>
        <v>-13645</v>
      </c>
      <c r="CW13" s="597">
        <f>SUM(CW10:CW12)</f>
        <v>-14559</v>
      </c>
      <c r="CX13" s="597">
        <f>SUM(CX10:CX12)</f>
        <v>-16778</v>
      </c>
      <c r="CY13" s="597">
        <f>SUM(CY10:CY12)</f>
        <v>-18124</v>
      </c>
      <c r="CZ13" s="71">
        <f t="shared" si="11"/>
        <v>-63106</v>
      </c>
      <c r="DA13" s="597">
        <f>SUM(DA10:DA12)</f>
        <v>-15998</v>
      </c>
      <c r="DB13" s="597">
        <f>SUM(DB10:DB12)</f>
        <v>-17812</v>
      </c>
      <c r="DC13" s="597">
        <f>SUM(DC10:DC12)</f>
        <v>-16939</v>
      </c>
      <c r="DD13" s="597">
        <f>SUM(DD10:DD12)</f>
        <v>-19321</v>
      </c>
      <c r="DE13" s="71">
        <f t="shared" si="12"/>
        <v>-70070</v>
      </c>
      <c r="DF13" s="597">
        <f>SUM(DF10:DF12)</f>
        <v>-14693</v>
      </c>
      <c r="DG13" s="597">
        <f>SUM(DG10:DG12)</f>
        <v>-15637</v>
      </c>
      <c r="DH13" s="1065">
        <f>SUM(DH10:DH12)</f>
        <v>-21347</v>
      </c>
      <c r="DI13" s="597">
        <f>SUM(DI10:DI12)</f>
        <v>-16831</v>
      </c>
      <c r="DJ13" s="71">
        <f t="shared" si="13"/>
        <v>-68508</v>
      </c>
      <c r="DK13" s="597">
        <f>SUM(DK10:DK12)</f>
        <v>-17079</v>
      </c>
      <c r="DL13" s="597">
        <f>SUM(DL10:DL12)</f>
        <v>-20314</v>
      </c>
      <c r="DM13" s="597">
        <f>SUM(DM10:DM12)</f>
        <v>-25645</v>
      </c>
      <c r="DN13" s="597">
        <f>SUM(DN10:DN12)</f>
        <v>-22136</v>
      </c>
      <c r="DO13" s="71">
        <f t="shared" si="14"/>
        <v>-85174</v>
      </c>
      <c r="DP13" s="597">
        <f>SUM(DP10:DP12)</f>
        <v>-19671</v>
      </c>
      <c r="DQ13" s="1065">
        <f>SUM(DQ10:DQ12)</f>
        <v>-22146</v>
      </c>
      <c r="DS13" s="597"/>
      <c r="DT13" s="93"/>
      <c r="DU13" s="597"/>
      <c r="DX13" s="597"/>
      <c r="DY13" s="93"/>
      <c r="DZ13" s="93"/>
      <c r="EA13" s="93"/>
      <c r="EB13" s="93"/>
    </row>
    <row r="14" spans="1:132" s="105" customFormat="1" ht="12" customHeight="1">
      <c r="A14" s="68"/>
      <c r="B14" s="68" t="s">
        <v>32</v>
      </c>
      <c r="C14" s="76">
        <v>0</v>
      </c>
      <c r="D14" s="76">
        <v>0</v>
      </c>
      <c r="E14" s="76">
        <v>4</v>
      </c>
      <c r="F14" s="76">
        <v>64</v>
      </c>
      <c r="G14" s="76">
        <v>93</v>
      </c>
      <c r="H14" s="76">
        <v>-128</v>
      </c>
      <c r="I14" s="76">
        <v>28</v>
      </c>
      <c r="J14" s="77">
        <v>13</v>
      </c>
      <c r="K14" s="77">
        <v>27</v>
      </c>
      <c r="L14" s="77">
        <v>27</v>
      </c>
      <c r="M14" s="78">
        <f t="shared" ref="M14:M29" si="21">N14-SUM(J14:L14)</f>
        <v>24</v>
      </c>
      <c r="N14" s="76">
        <v>91</v>
      </c>
      <c r="O14" s="77">
        <v>16</v>
      </c>
      <c r="P14" s="77">
        <v>28</v>
      </c>
      <c r="Q14" s="77">
        <v>24</v>
      </c>
      <c r="R14" s="77">
        <f t="shared" ref="R14:R29" si="22">S14-O14-P14-Q14</f>
        <v>20</v>
      </c>
      <c r="S14" s="76">
        <v>88</v>
      </c>
      <c r="T14" s="77">
        <v>20</v>
      </c>
      <c r="U14" s="77">
        <v>33</v>
      </c>
      <c r="V14" s="77">
        <v>42</v>
      </c>
      <c r="W14" s="77">
        <f t="shared" ref="W14:W29" si="23">X14-T14-U14-V14</f>
        <v>51</v>
      </c>
      <c r="X14" s="76">
        <v>146</v>
      </c>
      <c r="Y14" s="77">
        <v>39</v>
      </c>
      <c r="Z14" s="77">
        <v>50</v>
      </c>
      <c r="AA14" s="77">
        <v>11</v>
      </c>
      <c r="AB14" s="77">
        <f t="shared" ref="AB14:AB29" si="24">AC14-Y14-Z14-AA14</f>
        <v>88</v>
      </c>
      <c r="AC14" s="76">
        <v>188</v>
      </c>
      <c r="AD14" s="77">
        <v>58</v>
      </c>
      <c r="AE14" s="77">
        <v>65</v>
      </c>
      <c r="AF14" s="77">
        <v>72</v>
      </c>
      <c r="AG14" s="77">
        <f t="shared" ref="AG14:AG29" si="25">AH14-AD14-AE14-AF14</f>
        <v>46</v>
      </c>
      <c r="AH14" s="76">
        <v>241</v>
      </c>
      <c r="AI14" s="77">
        <v>32</v>
      </c>
      <c r="AJ14" s="77">
        <v>70</v>
      </c>
      <c r="AK14" s="77">
        <v>84</v>
      </c>
      <c r="AL14" s="77">
        <v>63</v>
      </c>
      <c r="AM14" s="76">
        <f t="shared" ref="AM14:AM28" si="26">SUM(AI14:AL14)</f>
        <v>249</v>
      </c>
      <c r="AN14" s="77">
        <v>59</v>
      </c>
      <c r="AO14" s="77">
        <v>54</v>
      </c>
      <c r="AP14" s="77">
        <v>74</v>
      </c>
      <c r="AQ14" s="77">
        <v>80</v>
      </c>
      <c r="AR14" s="76">
        <f t="shared" ref="AR14:AR28" si="27">SUM(AN14:AQ14)</f>
        <v>267</v>
      </c>
      <c r="AS14" s="77">
        <v>62</v>
      </c>
      <c r="AT14" s="77">
        <v>88</v>
      </c>
      <c r="AU14" s="86">
        <v>52</v>
      </c>
      <c r="AV14" s="77">
        <f>AW14-SUM(AS14:AU14)</f>
        <v>76</v>
      </c>
      <c r="AW14" s="76">
        <v>278</v>
      </c>
      <c r="AX14" s="77">
        <v>46</v>
      </c>
      <c r="AY14" s="77">
        <v>45</v>
      </c>
      <c r="AZ14" s="77">
        <v>120</v>
      </c>
      <c r="BA14" s="77">
        <v>57</v>
      </c>
      <c r="BB14" s="76">
        <f>SUM(AX14:BA14)</f>
        <v>268</v>
      </c>
      <c r="BC14" s="77">
        <v>45</v>
      </c>
      <c r="BD14" s="77">
        <v>43</v>
      </c>
      <c r="BE14" s="77">
        <v>59</v>
      </c>
      <c r="BF14" s="77">
        <v>67</v>
      </c>
      <c r="BG14" s="76">
        <f>SUM(BC14:BF14)</f>
        <v>214</v>
      </c>
      <c r="BH14" s="77">
        <v>59</v>
      </c>
      <c r="BI14" s="693">
        <v>61</v>
      </c>
      <c r="BJ14" s="77">
        <v>92</v>
      </c>
      <c r="BK14" s="77">
        <v>75</v>
      </c>
      <c r="BL14" s="76">
        <f>SUM(BH14:BK14)</f>
        <v>287</v>
      </c>
      <c r="BM14" s="77">
        <v>79</v>
      </c>
      <c r="BN14" s="693">
        <v>50</v>
      </c>
      <c r="BO14" s="77">
        <v>78</v>
      </c>
      <c r="BP14" s="77">
        <v>67</v>
      </c>
      <c r="BQ14" s="76">
        <f>SUM(BM14:BP14)</f>
        <v>274</v>
      </c>
      <c r="BR14" s="77">
        <v>54</v>
      </c>
      <c r="BS14" s="693">
        <v>97</v>
      </c>
      <c r="BT14" s="77">
        <v>69</v>
      </c>
      <c r="BU14" s="77">
        <v>83</v>
      </c>
      <c r="BV14" s="17">
        <f>SUM(BR14:BU14)</f>
        <v>303</v>
      </c>
      <c r="BW14" s="86">
        <v>81</v>
      </c>
      <c r="BX14" s="554">
        <v>39</v>
      </c>
      <c r="BY14" s="86">
        <v>49</v>
      </c>
      <c r="BZ14" s="86">
        <v>35</v>
      </c>
      <c r="CA14" s="871">
        <f>SUM(BW14:BZ14)</f>
        <v>204</v>
      </c>
      <c r="CB14" s="77">
        <v>74</v>
      </c>
      <c r="CC14" s="693">
        <v>6</v>
      </c>
      <c r="CD14" s="77">
        <v>32</v>
      </c>
      <c r="CE14" s="77">
        <v>-1</v>
      </c>
      <c r="CF14" s="17">
        <f t="shared" si="8"/>
        <v>111</v>
      </c>
      <c r="CG14" s="693">
        <v>20</v>
      </c>
      <c r="CH14" s="693">
        <v>-15</v>
      </c>
      <c r="CI14" s="693">
        <v>-8</v>
      </c>
      <c r="CJ14" s="693">
        <v>-1</v>
      </c>
      <c r="CK14" s="17">
        <f t="shared" si="9"/>
        <v>-4</v>
      </c>
      <c r="CL14" s="77">
        <v>-2</v>
      </c>
      <c r="CM14" s="77">
        <v>-45</v>
      </c>
      <c r="CN14" s="77">
        <v>-14</v>
      </c>
      <c r="CO14" s="77">
        <v>70</v>
      </c>
      <c r="CP14" s="17">
        <f t="shared" si="20"/>
        <v>9</v>
      </c>
      <c r="CQ14" s="77">
        <v>37</v>
      </c>
      <c r="CR14" s="77">
        <v>38</v>
      </c>
      <c r="CS14" s="77">
        <v>120</v>
      </c>
      <c r="CT14" s="77">
        <v>15</v>
      </c>
      <c r="CU14" s="17">
        <f t="shared" si="10"/>
        <v>210</v>
      </c>
      <c r="CV14" s="77">
        <v>-20</v>
      </c>
      <c r="CW14" s="77">
        <v>17</v>
      </c>
      <c r="CX14" s="77">
        <v>-24</v>
      </c>
      <c r="CY14" s="77">
        <v>11</v>
      </c>
      <c r="CZ14" s="17">
        <f t="shared" si="11"/>
        <v>-16</v>
      </c>
      <c r="DA14" s="77">
        <v>-27</v>
      </c>
      <c r="DB14" s="77">
        <v>44</v>
      </c>
      <c r="DC14" s="77">
        <v>28</v>
      </c>
      <c r="DD14" s="77">
        <v>1</v>
      </c>
      <c r="DE14" s="17">
        <f t="shared" si="12"/>
        <v>46</v>
      </c>
      <c r="DF14" s="77">
        <v>67</v>
      </c>
      <c r="DG14" s="16">
        <v>7</v>
      </c>
      <c r="DH14" s="593">
        <v>-15</v>
      </c>
      <c r="DI14" s="1074">
        <v>12</v>
      </c>
      <c r="DJ14" s="17">
        <f t="shared" si="13"/>
        <v>71</v>
      </c>
      <c r="DK14" s="1074">
        <v>3</v>
      </c>
      <c r="DL14" s="1074">
        <v>25</v>
      </c>
      <c r="DM14" s="1074">
        <v>14</v>
      </c>
      <c r="DN14" s="1074">
        <v>-17</v>
      </c>
      <c r="DO14" s="17">
        <f t="shared" si="14"/>
        <v>25</v>
      </c>
      <c r="DP14" s="1074">
        <v>-10</v>
      </c>
      <c r="DQ14" s="1086">
        <v>24</v>
      </c>
      <c r="DS14" s="77"/>
      <c r="DT14" s="93"/>
      <c r="DU14" s="1074"/>
      <c r="DX14" s="77"/>
      <c r="DY14" s="93"/>
      <c r="DZ14" s="93"/>
      <c r="EA14" s="93"/>
      <c r="EB14" s="93"/>
    </row>
    <row r="15" spans="1:132" s="105" customFormat="1" ht="12" customHeight="1">
      <c r="A15" s="68"/>
      <c r="B15" s="68" t="s">
        <v>33</v>
      </c>
      <c r="C15" s="76">
        <v>-2187</v>
      </c>
      <c r="D15" s="76">
        <v>-1993</v>
      </c>
      <c r="E15" s="76">
        <v>-2044</v>
      </c>
      <c r="F15" s="76">
        <v>-2335</v>
      </c>
      <c r="G15" s="76">
        <v>-2389</v>
      </c>
      <c r="H15" s="76">
        <v>-2534</v>
      </c>
      <c r="I15" s="76">
        <v>-2768</v>
      </c>
      <c r="J15" s="77">
        <v>-710</v>
      </c>
      <c r="K15" s="77">
        <v>-824</v>
      </c>
      <c r="L15" s="77">
        <v>-781</v>
      </c>
      <c r="M15" s="78">
        <f t="shared" si="21"/>
        <v>-766</v>
      </c>
      <c r="N15" s="76">
        <v>-3081</v>
      </c>
      <c r="O15" s="77">
        <v>-1071</v>
      </c>
      <c r="P15" s="77">
        <v>-1057</v>
      </c>
      <c r="Q15" s="77">
        <v>-1172</v>
      </c>
      <c r="R15" s="77">
        <f t="shared" si="22"/>
        <v>-928</v>
      </c>
      <c r="S15" s="76">
        <v>-4228</v>
      </c>
      <c r="T15" s="77">
        <v>-1081</v>
      </c>
      <c r="U15" s="77">
        <v>-1162</v>
      </c>
      <c r="V15" s="77">
        <v>-834</v>
      </c>
      <c r="W15" s="77">
        <f t="shared" si="23"/>
        <v>-1094</v>
      </c>
      <c r="X15" s="76">
        <v>-4171</v>
      </c>
      <c r="Y15" s="77">
        <v>-828</v>
      </c>
      <c r="Z15" s="77">
        <v>-976</v>
      </c>
      <c r="AA15" s="77">
        <v>-931</v>
      </c>
      <c r="AB15" s="77">
        <f t="shared" si="24"/>
        <v>-796</v>
      </c>
      <c r="AC15" s="76">
        <v>-3531</v>
      </c>
      <c r="AD15" s="77">
        <v>-775</v>
      </c>
      <c r="AE15" s="77">
        <v>-835</v>
      </c>
      <c r="AF15" s="77">
        <v>-740</v>
      </c>
      <c r="AG15" s="77">
        <f t="shared" si="25"/>
        <v>-734</v>
      </c>
      <c r="AH15" s="76">
        <v>-3084</v>
      </c>
      <c r="AI15" s="77">
        <v>-791</v>
      </c>
      <c r="AJ15" s="77">
        <v>-925</v>
      </c>
      <c r="AK15" s="77">
        <v>-868</v>
      </c>
      <c r="AL15" s="77">
        <v>-780</v>
      </c>
      <c r="AM15" s="76">
        <f t="shared" si="26"/>
        <v>-3364</v>
      </c>
      <c r="AN15" s="77">
        <v>-953</v>
      </c>
      <c r="AO15" s="77">
        <v>-778</v>
      </c>
      <c r="AP15" s="77">
        <v>-936</v>
      </c>
      <c r="AQ15" s="77">
        <v>-977</v>
      </c>
      <c r="AR15" s="76">
        <f t="shared" si="27"/>
        <v>-3644</v>
      </c>
      <c r="AS15" s="77">
        <v>-866</v>
      </c>
      <c r="AT15" s="77">
        <v>-870</v>
      </c>
      <c r="AU15" s="86">
        <v>-807</v>
      </c>
      <c r="AV15" s="77">
        <f>AW15-SUM(AS15:AU15)</f>
        <v>-865</v>
      </c>
      <c r="AW15" s="76">
        <v>-3408</v>
      </c>
      <c r="AX15" s="77">
        <v>-955</v>
      </c>
      <c r="AY15" s="77">
        <v>-903</v>
      </c>
      <c r="AZ15" s="77">
        <v>-916.4</v>
      </c>
      <c r="BA15" s="77">
        <v>-943</v>
      </c>
      <c r="BB15" s="76">
        <f>SUM(AX15:BA15)</f>
        <v>-3717.4</v>
      </c>
      <c r="BC15" s="77">
        <v>-971</v>
      </c>
      <c r="BD15" s="77">
        <v>-929</v>
      </c>
      <c r="BE15" s="77">
        <v>-956</v>
      </c>
      <c r="BF15" s="77">
        <v>-1100</v>
      </c>
      <c r="BG15" s="76">
        <f>SUM(BC15:BF15)</f>
        <v>-3956</v>
      </c>
      <c r="BH15" s="77">
        <v>-877</v>
      </c>
      <c r="BI15" s="693">
        <v>-918</v>
      </c>
      <c r="BJ15" s="77">
        <v>-932</v>
      </c>
      <c r="BK15" s="77">
        <v>-1040</v>
      </c>
      <c r="BL15" s="76">
        <f>SUM(BH15:BK15)</f>
        <v>-3767</v>
      </c>
      <c r="BM15" s="77">
        <v>-945</v>
      </c>
      <c r="BN15" s="693">
        <v>-760</v>
      </c>
      <c r="BO15" s="77">
        <v>-889</v>
      </c>
      <c r="BP15" s="77">
        <v>-931</v>
      </c>
      <c r="BQ15" s="76">
        <f>SUM(BM15:BP15)</f>
        <v>-3525</v>
      </c>
      <c r="BR15" s="77">
        <v>-888</v>
      </c>
      <c r="BS15" s="693">
        <v>-806</v>
      </c>
      <c r="BT15" s="77">
        <v>-923</v>
      </c>
      <c r="BU15" s="77">
        <v>-999</v>
      </c>
      <c r="BV15" s="17">
        <f>SUM(BR15:BU15)</f>
        <v>-3616</v>
      </c>
      <c r="BW15" s="86">
        <v>-929</v>
      </c>
      <c r="BX15" s="554">
        <v>-1043</v>
      </c>
      <c r="BY15" s="86">
        <v>-918</v>
      </c>
      <c r="BZ15" s="86">
        <v>-1205</v>
      </c>
      <c r="CA15" s="871">
        <f>SUM(BW15:BZ15)</f>
        <v>-4095</v>
      </c>
      <c r="CB15" s="77">
        <v>-997</v>
      </c>
      <c r="CC15" s="693">
        <v>-1194</v>
      </c>
      <c r="CD15" s="77">
        <v>-1154</v>
      </c>
      <c r="CE15" s="77">
        <v>-1222</v>
      </c>
      <c r="CF15" s="17">
        <f t="shared" si="8"/>
        <v>-4567</v>
      </c>
      <c r="CG15" s="693">
        <v>-1184</v>
      </c>
      <c r="CH15" s="693">
        <v>-672</v>
      </c>
      <c r="CI15" s="693">
        <v>-1001</v>
      </c>
      <c r="CJ15" s="693">
        <v>-1052</v>
      </c>
      <c r="CK15" s="17">
        <f t="shared" si="9"/>
        <v>-3909</v>
      </c>
      <c r="CL15" s="77">
        <v>-873</v>
      </c>
      <c r="CM15" s="77">
        <v>-1161</v>
      </c>
      <c r="CN15" s="77">
        <v>-955</v>
      </c>
      <c r="CO15" s="77">
        <v>-1828</v>
      </c>
      <c r="CP15" s="17">
        <f t="shared" si="20"/>
        <v>-4817</v>
      </c>
      <c r="CQ15" s="77">
        <v>-1032</v>
      </c>
      <c r="CR15" s="77">
        <v>-1040</v>
      </c>
      <c r="CS15" s="77">
        <v>-1097</v>
      </c>
      <c r="CT15" s="77">
        <v>-988</v>
      </c>
      <c r="CU15" s="17">
        <f t="shared" si="10"/>
        <v>-4157</v>
      </c>
      <c r="CV15" s="77">
        <v>-863</v>
      </c>
      <c r="CW15" s="77">
        <v>-668</v>
      </c>
      <c r="CX15" s="77">
        <v>-1226</v>
      </c>
      <c r="CY15" s="77">
        <v>-1430</v>
      </c>
      <c r="CZ15" s="17">
        <f t="shared" si="11"/>
        <v>-4187</v>
      </c>
      <c r="DA15" s="77">
        <v>-1304</v>
      </c>
      <c r="DB15" s="77">
        <v>-1286</v>
      </c>
      <c r="DC15" s="77">
        <v>-1043</v>
      </c>
      <c r="DD15" s="77">
        <v>-1535</v>
      </c>
      <c r="DE15" s="17">
        <f t="shared" si="12"/>
        <v>-5168</v>
      </c>
      <c r="DF15" s="77">
        <v>-1161</v>
      </c>
      <c r="DG15" s="16">
        <v>-1377</v>
      </c>
      <c r="DH15" s="593">
        <v>-1085</v>
      </c>
      <c r="DI15" s="1074">
        <v>-1398</v>
      </c>
      <c r="DJ15" s="17">
        <f t="shared" si="13"/>
        <v>-5021</v>
      </c>
      <c r="DK15" s="1074">
        <v>-1112</v>
      </c>
      <c r="DL15" s="1074">
        <v>-1793</v>
      </c>
      <c r="DM15" s="1074">
        <v>-1522</v>
      </c>
      <c r="DN15" s="1074">
        <v>-1663</v>
      </c>
      <c r="DO15" s="17">
        <f t="shared" si="14"/>
        <v>-6090</v>
      </c>
      <c r="DP15" s="1074">
        <v>-1197</v>
      </c>
      <c r="DQ15" s="1086">
        <v>-1428</v>
      </c>
      <c r="DS15" s="77"/>
      <c r="DT15" s="93"/>
      <c r="DU15" s="1074"/>
      <c r="DX15" s="77"/>
      <c r="DY15" s="93"/>
      <c r="DZ15" s="93"/>
      <c r="EA15" s="93"/>
      <c r="EB15" s="93"/>
    </row>
    <row r="16" spans="1:132" s="105" customFormat="1" ht="12" customHeight="1">
      <c r="A16" s="68"/>
      <c r="B16" s="68" t="s">
        <v>34</v>
      </c>
      <c r="C16" s="76">
        <v>-1924</v>
      </c>
      <c r="D16" s="76">
        <v>-1895</v>
      </c>
      <c r="E16" s="76">
        <v>-1341</v>
      </c>
      <c r="F16" s="76">
        <v>-1441</v>
      </c>
      <c r="G16" s="76">
        <v>-1936</v>
      </c>
      <c r="H16" s="76">
        <v>-1639</v>
      </c>
      <c r="I16" s="76">
        <v>-1651</v>
      </c>
      <c r="J16" s="77">
        <v>-474</v>
      </c>
      <c r="K16" s="77">
        <v>-522</v>
      </c>
      <c r="L16" s="77">
        <v>-469</v>
      </c>
      <c r="M16" s="78">
        <f t="shared" si="21"/>
        <v>-414</v>
      </c>
      <c r="N16" s="76">
        <v>-1879</v>
      </c>
      <c r="O16" s="77">
        <v>-492</v>
      </c>
      <c r="P16" s="77">
        <v>-591</v>
      </c>
      <c r="Q16" s="77">
        <v>-521</v>
      </c>
      <c r="R16" s="77">
        <f t="shared" si="22"/>
        <v>-601</v>
      </c>
      <c r="S16" s="76">
        <v>-2205</v>
      </c>
      <c r="T16" s="77">
        <v>-748</v>
      </c>
      <c r="U16" s="77">
        <v>-739</v>
      </c>
      <c r="V16" s="77">
        <v>-833</v>
      </c>
      <c r="W16" s="77">
        <f t="shared" si="23"/>
        <v>-937</v>
      </c>
      <c r="X16" s="76">
        <v>-3257</v>
      </c>
      <c r="Y16" s="77">
        <v>-999</v>
      </c>
      <c r="Z16" s="77">
        <v>-989</v>
      </c>
      <c r="AA16" s="77">
        <v>-869</v>
      </c>
      <c r="AB16" s="77">
        <f t="shared" si="24"/>
        <v>-993</v>
      </c>
      <c r="AC16" s="76">
        <v>-3850</v>
      </c>
      <c r="AD16" s="77">
        <v>-869</v>
      </c>
      <c r="AE16" s="77">
        <v>-1005</v>
      </c>
      <c r="AF16" s="77">
        <v>-937</v>
      </c>
      <c r="AG16" s="77">
        <f t="shared" si="25"/>
        <v>-957</v>
      </c>
      <c r="AH16" s="76">
        <v>-3768</v>
      </c>
      <c r="AI16" s="77">
        <v>-970</v>
      </c>
      <c r="AJ16" s="77">
        <v>-960</v>
      </c>
      <c r="AK16" s="77">
        <v>-3574</v>
      </c>
      <c r="AL16" s="77">
        <v>-1002</v>
      </c>
      <c r="AM16" s="76">
        <f t="shared" si="26"/>
        <v>-6506</v>
      </c>
      <c r="AN16" s="77">
        <v>-1000</v>
      </c>
      <c r="AO16" s="77">
        <v>-1001</v>
      </c>
      <c r="AP16" s="77">
        <v>-986</v>
      </c>
      <c r="AQ16" s="77">
        <v>-1134</v>
      </c>
      <c r="AR16" s="76">
        <f t="shared" si="27"/>
        <v>-4121</v>
      </c>
      <c r="AS16" s="77">
        <v>-1057</v>
      </c>
      <c r="AT16" s="77">
        <v>-1047</v>
      </c>
      <c r="AU16" s="86">
        <v>-901</v>
      </c>
      <c r="AV16" s="77">
        <f>AW16-SUM(AS16:AU16)</f>
        <v>-913</v>
      </c>
      <c r="AW16" s="76">
        <v>-3918</v>
      </c>
      <c r="AX16" s="77">
        <v>-835</v>
      </c>
      <c r="AY16" s="77">
        <v>-857</v>
      </c>
      <c r="AZ16" s="77">
        <v>-853.4</v>
      </c>
      <c r="BA16" s="77">
        <v>-753</v>
      </c>
      <c r="BB16" s="76">
        <f>SUM(AX16:BA16)</f>
        <v>-3298.4</v>
      </c>
      <c r="BC16" s="77">
        <v>-705</v>
      </c>
      <c r="BD16" s="77">
        <v>-763</v>
      </c>
      <c r="BE16" s="77">
        <v>-755</v>
      </c>
      <c r="BF16" s="77">
        <v>-848</v>
      </c>
      <c r="BG16" s="76">
        <f>SUM(BC16:BF16)</f>
        <v>-3071</v>
      </c>
      <c r="BH16" s="77">
        <v>-809</v>
      </c>
      <c r="BI16" s="693">
        <v>-733</v>
      </c>
      <c r="BJ16" s="77">
        <v>-750</v>
      </c>
      <c r="BK16" s="77">
        <v>-755</v>
      </c>
      <c r="BL16" s="76">
        <f>SUM(BH16:BK16)</f>
        <v>-3047</v>
      </c>
      <c r="BM16" s="77">
        <v>-769</v>
      </c>
      <c r="BN16" s="693">
        <v>-800</v>
      </c>
      <c r="BO16" s="77">
        <v>-857</v>
      </c>
      <c r="BP16" s="77">
        <v>-905</v>
      </c>
      <c r="BQ16" s="76">
        <f>SUM(BM16:BP16)</f>
        <v>-3331</v>
      </c>
      <c r="BR16" s="77">
        <v>-917</v>
      </c>
      <c r="BS16" s="693">
        <v>-2127</v>
      </c>
      <c r="BT16" s="77">
        <v>-857</v>
      </c>
      <c r="BU16" s="77">
        <v>-726</v>
      </c>
      <c r="BV16" s="17">
        <f>SUM(BR16:BU16)</f>
        <v>-4627</v>
      </c>
      <c r="BW16" s="86">
        <v>-836</v>
      </c>
      <c r="BX16" s="554">
        <v>-813</v>
      </c>
      <c r="BY16" s="86">
        <v>-768</v>
      </c>
      <c r="BZ16" s="86">
        <v>-762</v>
      </c>
      <c r="CA16" s="871">
        <f>SUM(BW16:BZ16)</f>
        <v>-3179</v>
      </c>
      <c r="CB16" s="77">
        <v>-764</v>
      </c>
      <c r="CC16" s="693">
        <v>-827</v>
      </c>
      <c r="CD16" s="77">
        <v>-826</v>
      </c>
      <c r="CE16" s="77">
        <v>-852</v>
      </c>
      <c r="CF16" s="17">
        <f t="shared" si="8"/>
        <v>-3269</v>
      </c>
      <c r="CG16" s="693">
        <v>-866</v>
      </c>
      <c r="CH16" s="693">
        <v>-826</v>
      </c>
      <c r="CI16" s="693">
        <v>-778</v>
      </c>
      <c r="CJ16" s="693">
        <v>-749</v>
      </c>
      <c r="CK16" s="17">
        <f t="shared" si="9"/>
        <v>-3219</v>
      </c>
      <c r="CL16" s="77">
        <v>-672</v>
      </c>
      <c r="CM16" s="77">
        <v>-625</v>
      </c>
      <c r="CN16" s="77">
        <v>-574</v>
      </c>
      <c r="CO16" s="77">
        <v>-605</v>
      </c>
      <c r="CP16" s="17">
        <f t="shared" si="20"/>
        <v>-2476</v>
      </c>
      <c r="CQ16" s="77">
        <v>-499</v>
      </c>
      <c r="CR16" s="77">
        <v>-497</v>
      </c>
      <c r="CS16" s="77">
        <v>-575</v>
      </c>
      <c r="CT16" s="77">
        <v>-678</v>
      </c>
      <c r="CU16" s="17">
        <f t="shared" si="10"/>
        <v>-2249</v>
      </c>
      <c r="CV16" s="77">
        <v>-633</v>
      </c>
      <c r="CW16" s="77">
        <v>-698</v>
      </c>
      <c r="CX16" s="77">
        <v>-727</v>
      </c>
      <c r="CY16" s="77">
        <v>-794</v>
      </c>
      <c r="CZ16" s="17">
        <f t="shared" si="11"/>
        <v>-2852</v>
      </c>
      <c r="DA16" s="77">
        <v>-741</v>
      </c>
      <c r="DB16" s="77">
        <v>-797</v>
      </c>
      <c r="DC16" s="77">
        <v>-958</v>
      </c>
      <c r="DD16" s="77">
        <v>-881</v>
      </c>
      <c r="DE16" s="17">
        <f t="shared" si="12"/>
        <v>-3377</v>
      </c>
      <c r="DF16" s="77">
        <v>-868</v>
      </c>
      <c r="DG16" s="16">
        <v>-954</v>
      </c>
      <c r="DH16" s="593">
        <v>-1154</v>
      </c>
      <c r="DI16" s="1074">
        <v>-836</v>
      </c>
      <c r="DJ16" s="17">
        <f t="shared" si="13"/>
        <v>-3812</v>
      </c>
      <c r="DK16" s="1074">
        <v>-844</v>
      </c>
      <c r="DL16" s="1074">
        <v>-910</v>
      </c>
      <c r="DM16" s="1074">
        <v>-897</v>
      </c>
      <c r="DN16" s="1074">
        <v>-964</v>
      </c>
      <c r="DO16" s="17">
        <f t="shared" si="14"/>
        <v>-3615</v>
      </c>
      <c r="DP16" s="1074">
        <v>-903</v>
      </c>
      <c r="DQ16" s="1086">
        <v>-921</v>
      </c>
      <c r="DS16" s="77"/>
      <c r="DT16" s="93"/>
      <c r="DU16" s="1074"/>
      <c r="DX16" s="77"/>
      <c r="DY16" s="93"/>
      <c r="DZ16" s="93"/>
      <c r="EA16" s="93"/>
      <c r="EB16" s="93"/>
    </row>
    <row r="17" spans="1:132" s="105" customFormat="1" ht="12" customHeight="1">
      <c r="A17" s="68"/>
      <c r="B17" s="68" t="s">
        <v>35</v>
      </c>
      <c r="C17" s="79">
        <v>-1400</v>
      </c>
      <c r="D17" s="79">
        <v>-153</v>
      </c>
      <c r="E17" s="79">
        <f>87-209</f>
        <v>-122</v>
      </c>
      <c r="F17" s="79">
        <f>-557+34-316</f>
        <v>-839</v>
      </c>
      <c r="G17" s="79">
        <f>21-378-935</f>
        <v>-1292</v>
      </c>
      <c r="H17" s="79">
        <f>44-447+2</f>
        <v>-401</v>
      </c>
      <c r="I17" s="79">
        <f>7-456-913+21</f>
        <v>-1341</v>
      </c>
      <c r="J17" s="80">
        <v>-119</v>
      </c>
      <c r="K17" s="80">
        <f>6-164-3</f>
        <v>-161</v>
      </c>
      <c r="L17" s="80">
        <f>1-166</f>
        <v>-165</v>
      </c>
      <c r="M17" s="81">
        <f t="shared" si="21"/>
        <v>-111</v>
      </c>
      <c r="N17" s="79">
        <f>23+-576-3</f>
        <v>-556</v>
      </c>
      <c r="O17" s="80">
        <v>25</v>
      </c>
      <c r="P17" s="80">
        <v>-117</v>
      </c>
      <c r="Q17" s="80">
        <v>583</v>
      </c>
      <c r="R17" s="80">
        <f t="shared" si="22"/>
        <v>29</v>
      </c>
      <c r="S17" s="79">
        <v>520</v>
      </c>
      <c r="T17" s="80">
        <v>-2</v>
      </c>
      <c r="U17" s="80">
        <v>6</v>
      </c>
      <c r="V17" s="80">
        <v>-272</v>
      </c>
      <c r="W17" s="80">
        <f t="shared" si="23"/>
        <v>42</v>
      </c>
      <c r="X17" s="79">
        <v>-226</v>
      </c>
      <c r="Y17" s="80">
        <v>-2</v>
      </c>
      <c r="Z17" s="80">
        <v>2</v>
      </c>
      <c r="AA17" s="80">
        <v>-22</v>
      </c>
      <c r="AB17" s="80">
        <f t="shared" si="24"/>
        <v>60</v>
      </c>
      <c r="AC17" s="79">
        <v>38</v>
      </c>
      <c r="AD17" s="80"/>
      <c r="AE17" s="80">
        <v>2</v>
      </c>
      <c r="AF17" s="80"/>
      <c r="AG17" s="80">
        <f t="shared" si="25"/>
        <v>2</v>
      </c>
      <c r="AH17" s="79">
        <v>4</v>
      </c>
      <c r="AI17" s="80">
        <v>-3</v>
      </c>
      <c r="AJ17" s="80">
        <v>-3</v>
      </c>
      <c r="AK17" s="80">
        <v>-1</v>
      </c>
      <c r="AL17" s="80">
        <v>-17</v>
      </c>
      <c r="AM17" s="79">
        <f t="shared" si="26"/>
        <v>-24</v>
      </c>
      <c r="AN17" s="80">
        <v>-4</v>
      </c>
      <c r="AO17" s="80">
        <v>-1</v>
      </c>
      <c r="AP17" s="80">
        <v>14</v>
      </c>
      <c r="AQ17" s="80">
        <v>-3</v>
      </c>
      <c r="AR17" s="79">
        <f t="shared" si="27"/>
        <v>6</v>
      </c>
      <c r="AS17" s="80">
        <v>0</v>
      </c>
      <c r="AT17" s="80">
        <v>20</v>
      </c>
      <c r="AU17" s="97">
        <v>0</v>
      </c>
      <c r="AV17" s="80">
        <f>AW17-SUM(AS17:AU17)</f>
        <v>4</v>
      </c>
      <c r="AW17" s="79">
        <v>24</v>
      </c>
      <c r="AX17" s="80">
        <v>0</v>
      </c>
      <c r="AY17" s="80">
        <v>-2</v>
      </c>
      <c r="AZ17" s="80">
        <v>-1</v>
      </c>
      <c r="BA17" s="80">
        <v>7</v>
      </c>
      <c r="BB17" s="79">
        <f>SUM(AX17:BA17)</f>
        <v>4</v>
      </c>
      <c r="BC17" s="80">
        <v>22</v>
      </c>
      <c r="BD17" s="80">
        <v>0</v>
      </c>
      <c r="BE17" s="80">
        <v>-1</v>
      </c>
      <c r="BF17" s="80">
        <v>-1</v>
      </c>
      <c r="BG17" s="79">
        <f>SUM(BC17:BF17)</f>
        <v>20</v>
      </c>
      <c r="BH17" s="80">
        <v>0</v>
      </c>
      <c r="BI17" s="568">
        <v>2</v>
      </c>
      <c r="BJ17" s="80">
        <v>0</v>
      </c>
      <c r="BK17" s="80">
        <v>-12</v>
      </c>
      <c r="BL17" s="79">
        <f>SUM(BH17:BK17)</f>
        <v>-10</v>
      </c>
      <c r="BM17" s="80">
        <v>1</v>
      </c>
      <c r="BN17" s="568">
        <v>0</v>
      </c>
      <c r="BO17" s="80">
        <v>-1</v>
      </c>
      <c r="BP17" s="80">
        <v>-1</v>
      </c>
      <c r="BQ17" s="79">
        <f>SUM(BM17:BP17)</f>
        <v>-1</v>
      </c>
      <c r="BR17" s="80">
        <v>4</v>
      </c>
      <c r="BS17" s="568">
        <v>-13</v>
      </c>
      <c r="BT17" s="80">
        <v>-1</v>
      </c>
      <c r="BU17" s="80">
        <v>3</v>
      </c>
      <c r="BV17" s="79">
        <f>SUM(BR17:BU17)</f>
        <v>-7</v>
      </c>
      <c r="BW17" s="97">
        <v>2</v>
      </c>
      <c r="BX17" s="97">
        <v>-2</v>
      </c>
      <c r="BY17" s="97">
        <v>0</v>
      </c>
      <c r="BZ17" s="97">
        <v>21</v>
      </c>
      <c r="CA17" s="872">
        <f>SUM(BW17:BZ17)</f>
        <v>21</v>
      </c>
      <c r="CB17" s="80">
        <v>4</v>
      </c>
      <c r="CC17" s="568">
        <v>3</v>
      </c>
      <c r="CD17" s="80">
        <v>69</v>
      </c>
      <c r="CE17" s="80">
        <v>-1</v>
      </c>
      <c r="CF17" s="17">
        <f t="shared" si="8"/>
        <v>75</v>
      </c>
      <c r="CG17" s="568">
        <v>108</v>
      </c>
      <c r="CH17" s="568">
        <v>192</v>
      </c>
      <c r="CI17" s="568">
        <v>-4</v>
      </c>
      <c r="CJ17" s="568">
        <v>395</v>
      </c>
      <c r="CK17" s="17">
        <f t="shared" si="9"/>
        <v>691</v>
      </c>
      <c r="CL17" s="80">
        <v>54</v>
      </c>
      <c r="CM17" s="80">
        <v>38</v>
      </c>
      <c r="CN17" s="80">
        <v>108</v>
      </c>
      <c r="CO17" s="80">
        <v>2</v>
      </c>
      <c r="CP17" s="17">
        <f t="shared" si="20"/>
        <v>202</v>
      </c>
      <c r="CQ17" s="80">
        <v>2</v>
      </c>
      <c r="CR17" s="80">
        <v>112</v>
      </c>
      <c r="CS17" s="80">
        <v>169</v>
      </c>
      <c r="CT17" s="80">
        <v>-6</v>
      </c>
      <c r="CU17" s="17">
        <f t="shared" si="10"/>
        <v>277</v>
      </c>
      <c r="CV17" s="80">
        <v>1</v>
      </c>
      <c r="CW17" s="80">
        <v>1</v>
      </c>
      <c r="CX17" s="80">
        <v>0</v>
      </c>
      <c r="CY17" s="80">
        <v>4</v>
      </c>
      <c r="CZ17" s="17">
        <f t="shared" si="11"/>
        <v>6</v>
      </c>
      <c r="DA17" s="80">
        <v>0</v>
      </c>
      <c r="DB17" s="80">
        <v>1</v>
      </c>
      <c r="DC17" s="80">
        <v>0</v>
      </c>
      <c r="DD17" s="80">
        <v>1</v>
      </c>
      <c r="DE17" s="17">
        <f t="shared" si="12"/>
        <v>2</v>
      </c>
      <c r="DF17" s="80"/>
      <c r="DG17" s="80">
        <v>5</v>
      </c>
      <c r="DH17" s="272">
        <v>0</v>
      </c>
      <c r="DI17" s="1075">
        <v>41</v>
      </c>
      <c r="DJ17" s="17">
        <f t="shared" si="13"/>
        <v>46</v>
      </c>
      <c r="DK17" s="1075">
        <v>-3</v>
      </c>
      <c r="DL17" s="1075">
        <v>67</v>
      </c>
      <c r="DM17" s="1075">
        <v>-1</v>
      </c>
      <c r="DN17" s="1075">
        <v>9609</v>
      </c>
      <c r="DO17" s="17">
        <f t="shared" si="14"/>
        <v>9672</v>
      </c>
      <c r="DP17" s="1075">
        <v>12</v>
      </c>
      <c r="DQ17" s="1108">
        <v>67</v>
      </c>
      <c r="DS17" s="80"/>
      <c r="DT17" s="93"/>
      <c r="DU17" s="1075"/>
      <c r="DX17" s="80"/>
      <c r="DY17" s="93"/>
      <c r="DZ17" s="93"/>
      <c r="EA17" s="93"/>
      <c r="EB17" s="93"/>
    </row>
    <row r="18" spans="1:132" s="277" customFormat="1" ht="12" customHeight="1">
      <c r="A18" s="74"/>
      <c r="B18" s="74" t="s">
        <v>135</v>
      </c>
      <c r="C18" s="71">
        <f t="shared" ref="C18:L18" si="28">SUM(C14:C17)+C9+C13</f>
        <v>-355</v>
      </c>
      <c r="D18" s="71">
        <f t="shared" si="28"/>
        <v>1567</v>
      </c>
      <c r="E18" s="71">
        <f t="shared" si="28"/>
        <v>3170</v>
      </c>
      <c r="F18" s="71">
        <f t="shared" si="28"/>
        <v>3058</v>
      </c>
      <c r="G18" s="71">
        <f t="shared" si="28"/>
        <v>3896</v>
      </c>
      <c r="H18" s="71">
        <f t="shared" si="28"/>
        <v>3868</v>
      </c>
      <c r="I18" s="71">
        <f t="shared" si="28"/>
        <v>449</v>
      </c>
      <c r="J18" s="72">
        <f t="shared" si="28"/>
        <v>838</v>
      </c>
      <c r="K18" s="72">
        <f t="shared" si="28"/>
        <v>644</v>
      </c>
      <c r="L18" s="72">
        <f t="shared" si="28"/>
        <v>511</v>
      </c>
      <c r="M18" s="73">
        <f t="shared" si="21"/>
        <v>14</v>
      </c>
      <c r="N18" s="71">
        <f>SUM(N14:N17)+N9+N13</f>
        <v>2007</v>
      </c>
      <c r="O18" s="72">
        <f>SUM(O14:O17)+O9+O13</f>
        <v>687</v>
      </c>
      <c r="P18" s="72">
        <f>SUM(P14:P17)+P9+P13</f>
        <v>810</v>
      </c>
      <c r="Q18" s="72">
        <f>SUM(Q14:Q17)+Q9+Q13</f>
        <v>763</v>
      </c>
      <c r="R18" s="72">
        <f t="shared" si="22"/>
        <v>552</v>
      </c>
      <c r="S18" s="71">
        <f>SUM(S14:S17)+S9+S13</f>
        <v>2812</v>
      </c>
      <c r="T18" s="72">
        <f>SUM(T14:T17)+T9+T13</f>
        <v>959</v>
      </c>
      <c r="U18" s="72">
        <f>SUM(U14:U17)+U9+U13</f>
        <v>523</v>
      </c>
      <c r="V18" s="72">
        <f>SUM(V14:V17)+V9+V13</f>
        <v>951</v>
      </c>
      <c r="W18" s="72">
        <f t="shared" si="23"/>
        <v>1152</v>
      </c>
      <c r="X18" s="71">
        <f>SUM(X14:X17)+X9+X13</f>
        <v>3585</v>
      </c>
      <c r="Y18" s="72">
        <f>SUM(Y14:Y17)+Y9+Y13</f>
        <v>1309</v>
      </c>
      <c r="Z18" s="72">
        <f>SUM(Z14:Z17)+Z9+Z13</f>
        <v>1506</v>
      </c>
      <c r="AA18" s="72">
        <f>SUM(AA14:AA17)+AA9+AA13</f>
        <v>1499</v>
      </c>
      <c r="AB18" s="72">
        <f t="shared" si="24"/>
        <v>1516</v>
      </c>
      <c r="AC18" s="71">
        <f>SUM(AC14:AC17)+AC9+AC13</f>
        <v>5830</v>
      </c>
      <c r="AD18" s="72">
        <f>SUM(AD14:AD17)+AD9+AD13</f>
        <v>1799</v>
      </c>
      <c r="AE18" s="72">
        <f>SUM(AE14:AE17)+AE9+AE13</f>
        <v>1247</v>
      </c>
      <c r="AF18" s="72">
        <f>SUM(AF14:AF17)+AF9+AF13</f>
        <v>1147</v>
      </c>
      <c r="AG18" s="72">
        <f t="shared" si="25"/>
        <v>-243</v>
      </c>
      <c r="AH18" s="71">
        <f t="shared" ref="AH18:AU18" si="29">SUM(AH14:AH17)+AH9+AH13</f>
        <v>3950</v>
      </c>
      <c r="AI18" s="72">
        <f t="shared" si="29"/>
        <v>1025</v>
      </c>
      <c r="AJ18" s="72">
        <f t="shared" si="29"/>
        <v>1529</v>
      </c>
      <c r="AK18" s="72">
        <f t="shared" si="29"/>
        <v>-2151</v>
      </c>
      <c r="AL18" s="72">
        <f t="shared" si="29"/>
        <v>1693</v>
      </c>
      <c r="AM18" s="71">
        <f t="shared" si="29"/>
        <v>2096</v>
      </c>
      <c r="AN18" s="72">
        <f t="shared" si="29"/>
        <v>1174</v>
      </c>
      <c r="AO18" s="72">
        <f t="shared" si="29"/>
        <v>1307</v>
      </c>
      <c r="AP18" s="72">
        <f t="shared" si="29"/>
        <v>1387</v>
      </c>
      <c r="AQ18" s="72">
        <f t="shared" si="29"/>
        <v>1103</v>
      </c>
      <c r="AR18" s="71">
        <f>SUM(AR14:AR17)+AR9+AR13</f>
        <v>4971</v>
      </c>
      <c r="AS18" s="72">
        <f t="shared" si="29"/>
        <v>1000</v>
      </c>
      <c r="AT18" s="72">
        <f t="shared" si="29"/>
        <v>1534</v>
      </c>
      <c r="AU18" s="72">
        <f t="shared" si="29"/>
        <v>1714</v>
      </c>
      <c r="AV18" s="72">
        <f t="shared" ref="AV18:DF18" si="30">SUM(AV14:AV17)+AV9+AV13</f>
        <v>1596</v>
      </c>
      <c r="AW18" s="71">
        <f t="shared" si="30"/>
        <v>5844</v>
      </c>
      <c r="AX18" s="72">
        <f t="shared" si="30"/>
        <v>1570</v>
      </c>
      <c r="AY18" s="72">
        <f t="shared" si="30"/>
        <v>1548</v>
      </c>
      <c r="AZ18" s="72">
        <f t="shared" si="30"/>
        <v>1563.2000000000007</v>
      </c>
      <c r="BA18" s="72">
        <f t="shared" si="30"/>
        <v>1629</v>
      </c>
      <c r="BB18" s="71">
        <f t="shared" si="30"/>
        <v>6310.1999999999971</v>
      </c>
      <c r="BC18" s="72">
        <f t="shared" si="30"/>
        <v>1528</v>
      </c>
      <c r="BD18" s="72">
        <f t="shared" si="30"/>
        <v>1716</v>
      </c>
      <c r="BE18" s="72">
        <f t="shared" si="30"/>
        <v>1803</v>
      </c>
      <c r="BF18" s="72">
        <f t="shared" si="30"/>
        <v>1515.4000000000015</v>
      </c>
      <c r="BG18" s="71">
        <f t="shared" ref="BG18" si="31">SUM(BG14:BG17)+BG9+BG13</f>
        <v>6562.3999999999942</v>
      </c>
      <c r="BH18" s="72">
        <f t="shared" si="30"/>
        <v>1542</v>
      </c>
      <c r="BI18" s="597">
        <f t="shared" si="30"/>
        <v>1787</v>
      </c>
      <c r="BJ18" s="597">
        <f t="shared" si="30"/>
        <v>2119</v>
      </c>
      <c r="BK18" s="597">
        <f t="shared" si="30"/>
        <v>2025</v>
      </c>
      <c r="BL18" s="71">
        <f t="shared" ref="BL18" si="32">SUM(BL14:BL17)+BL9+BL13</f>
        <v>7473</v>
      </c>
      <c r="BM18" s="597">
        <f t="shared" si="30"/>
        <v>2019</v>
      </c>
      <c r="BN18" s="597">
        <f t="shared" si="30"/>
        <v>1683</v>
      </c>
      <c r="BO18" s="597">
        <f t="shared" si="30"/>
        <v>2580</v>
      </c>
      <c r="BP18" s="597">
        <f t="shared" si="30"/>
        <v>1161</v>
      </c>
      <c r="BQ18" s="71">
        <f t="shared" ref="BQ18" si="33">SUM(BQ14:BQ17)+BQ9+BQ13</f>
        <v>7443</v>
      </c>
      <c r="BR18" s="597">
        <f t="shared" si="30"/>
        <v>1788</v>
      </c>
      <c r="BS18" s="597">
        <f t="shared" si="30"/>
        <v>-419</v>
      </c>
      <c r="BT18" s="597">
        <f t="shared" si="30"/>
        <v>2282</v>
      </c>
      <c r="BU18" s="597">
        <f t="shared" si="30"/>
        <v>2183</v>
      </c>
      <c r="BV18" s="71">
        <f t="shared" ref="BV18" si="34">SUM(BV14:BV17)+BV9+BV13</f>
        <v>5834</v>
      </c>
      <c r="BW18" s="90">
        <f t="shared" si="30"/>
        <v>2206</v>
      </c>
      <c r="BX18" s="90">
        <f t="shared" si="30"/>
        <v>2530</v>
      </c>
      <c r="BY18" s="90">
        <f t="shared" si="30"/>
        <v>2630</v>
      </c>
      <c r="BZ18" s="90">
        <f t="shared" si="30"/>
        <v>2978</v>
      </c>
      <c r="CA18" s="874">
        <f>SUM(CA14:CA17)+CA9+CA13</f>
        <v>10344</v>
      </c>
      <c r="CB18" s="90">
        <f t="shared" si="30"/>
        <v>2875</v>
      </c>
      <c r="CC18" s="90">
        <f t="shared" si="30"/>
        <v>2710</v>
      </c>
      <c r="CD18" s="597">
        <v>2227</v>
      </c>
      <c r="CE18" s="90">
        <f t="shared" si="30"/>
        <v>4175</v>
      </c>
      <c r="CF18" s="874">
        <f>SUM(CF14:CF17)+CF9+CF13</f>
        <v>11987</v>
      </c>
      <c r="CG18" s="90">
        <f t="shared" si="30"/>
        <v>2350</v>
      </c>
      <c r="CH18" s="90">
        <f t="shared" si="30"/>
        <v>-3380</v>
      </c>
      <c r="CI18" s="90">
        <f t="shared" si="30"/>
        <v>1259</v>
      </c>
      <c r="CJ18" s="90">
        <f t="shared" si="30"/>
        <v>-2204</v>
      </c>
      <c r="CK18" s="874">
        <f>SUM(CK14:CK17)+CK9+CK13</f>
        <v>-1975</v>
      </c>
      <c r="CL18" s="90">
        <f t="shared" si="30"/>
        <v>-1353</v>
      </c>
      <c r="CM18" s="90">
        <f t="shared" si="30"/>
        <v>-2964</v>
      </c>
      <c r="CN18" s="90">
        <f t="shared" si="30"/>
        <v>-401</v>
      </c>
      <c r="CO18" s="90">
        <f t="shared" si="30"/>
        <v>-8049</v>
      </c>
      <c r="CP18" s="874">
        <f>SUM(CP14:CP17)+CP9+CP13</f>
        <v>-12767</v>
      </c>
      <c r="CQ18" s="90">
        <f t="shared" si="30"/>
        <v>-83</v>
      </c>
      <c r="CR18" s="90">
        <f t="shared" si="30"/>
        <v>1023</v>
      </c>
      <c r="CS18" s="90">
        <f t="shared" si="30"/>
        <v>329</v>
      </c>
      <c r="CT18" s="90">
        <f t="shared" si="30"/>
        <v>-4171</v>
      </c>
      <c r="CU18" s="874">
        <f>SUM(CU14:CU17)+CU9+CU13</f>
        <v>-2902</v>
      </c>
      <c r="CV18" s="90">
        <f t="shared" si="30"/>
        <v>-1169</v>
      </c>
      <c r="CW18" s="90">
        <f t="shared" si="30"/>
        <v>774</v>
      </c>
      <c r="CX18" s="90">
        <f t="shared" si="30"/>
        <v>-2799</v>
      </c>
      <c r="CY18" s="90">
        <f t="shared" si="30"/>
        <v>-353</v>
      </c>
      <c r="CZ18" s="874">
        <f>SUM(CZ14:CZ17)+CZ9+CZ13</f>
        <v>-3547</v>
      </c>
      <c r="DA18" s="90">
        <f t="shared" si="30"/>
        <v>-149</v>
      </c>
      <c r="DB18" s="90">
        <f t="shared" si="30"/>
        <v>-99</v>
      </c>
      <c r="DC18" s="90">
        <f t="shared" si="30"/>
        <v>-808</v>
      </c>
      <c r="DD18" s="90">
        <f t="shared" si="30"/>
        <v>283</v>
      </c>
      <c r="DE18" s="874">
        <f>SUM(DE14:DE17)+DE9+DE13</f>
        <v>-773</v>
      </c>
      <c r="DF18" s="90">
        <f t="shared" si="30"/>
        <v>-86</v>
      </c>
      <c r="DG18" s="90">
        <f t="shared" ref="DG18" si="35">SUM(DG14:DG17)+DG9+DG13</f>
        <v>-1090</v>
      </c>
      <c r="DH18" s="1066">
        <f t="shared" ref="DH18" si="36">SUM(DH14:DH17)+DH9+DH13</f>
        <v>-5761</v>
      </c>
      <c r="DI18" s="90">
        <f t="shared" ref="DI18" si="37">SUM(DI14:DI17)+DI9+DI13</f>
        <v>-3770</v>
      </c>
      <c r="DJ18" s="874">
        <f>SUM(DJ14:DJ17)+DJ9+DJ13</f>
        <v>-10707</v>
      </c>
      <c r="DK18" s="90">
        <f t="shared" ref="DK18" si="38">SUM(DK14:DK17)+DK9+DK13</f>
        <v>461</v>
      </c>
      <c r="DL18" s="90">
        <f t="shared" ref="DL18:DM18" si="39">SUM(DL14:DL17)+DL9+DL13</f>
        <v>-176</v>
      </c>
      <c r="DM18" s="90">
        <f t="shared" si="39"/>
        <v>-4781</v>
      </c>
      <c r="DN18" s="90">
        <f t="shared" ref="DN18:DQ18" si="40">SUM(DN14:DN17)+DN9+DN13</f>
        <v>8777</v>
      </c>
      <c r="DO18" s="874">
        <f>SUM(DO14:DO17)+DO9+DO13</f>
        <v>4281</v>
      </c>
      <c r="DP18" s="90">
        <f t="shared" si="40"/>
        <v>448</v>
      </c>
      <c r="DQ18" s="1066">
        <f t="shared" si="40"/>
        <v>156</v>
      </c>
      <c r="DS18" s="597"/>
      <c r="DT18" s="85"/>
      <c r="DU18" s="90"/>
      <c r="DX18" s="597"/>
      <c r="DY18" s="85"/>
      <c r="DZ18" s="85"/>
      <c r="EA18" s="85"/>
      <c r="EB18" s="85"/>
    </row>
    <row r="19" spans="1:132" s="277" customFormat="1" ht="12" customHeight="1">
      <c r="A19" s="74"/>
      <c r="B19" s="121" t="s">
        <v>590</v>
      </c>
      <c r="C19" s="71"/>
      <c r="D19" s="71"/>
      <c r="E19" s="71"/>
      <c r="F19" s="71"/>
      <c r="G19" s="71"/>
      <c r="H19" s="71"/>
      <c r="I19" s="71"/>
      <c r="J19" s="72"/>
      <c r="K19" s="72"/>
      <c r="L19" s="72"/>
      <c r="M19" s="73"/>
      <c r="N19" s="71"/>
      <c r="O19" s="72"/>
      <c r="P19" s="72"/>
      <c r="Q19" s="72"/>
      <c r="R19" s="72"/>
      <c r="S19" s="71"/>
      <c r="T19" s="72"/>
      <c r="U19" s="72"/>
      <c r="V19" s="72"/>
      <c r="W19" s="72"/>
      <c r="X19" s="71"/>
      <c r="Y19" s="72"/>
      <c r="Z19" s="72"/>
      <c r="AA19" s="72"/>
      <c r="AB19" s="72"/>
      <c r="AC19" s="71"/>
      <c r="AD19" s="72"/>
      <c r="AE19" s="72"/>
      <c r="AF19" s="72"/>
      <c r="AG19" s="72"/>
      <c r="AH19" s="71"/>
      <c r="AI19" s="72"/>
      <c r="AJ19" s="72"/>
      <c r="AK19" s="72"/>
      <c r="AL19" s="72"/>
      <c r="AM19" s="71"/>
      <c r="AN19" s="72"/>
      <c r="AO19" s="72"/>
      <c r="AP19" s="72"/>
      <c r="AQ19" s="72"/>
      <c r="AR19" s="71"/>
      <c r="AS19" s="72"/>
      <c r="AT19" s="72"/>
      <c r="AU19" s="72"/>
      <c r="AV19" s="72"/>
      <c r="AW19" s="71"/>
      <c r="AX19" s="72"/>
      <c r="AY19" s="72"/>
      <c r="AZ19" s="72"/>
      <c r="BA19" s="72"/>
      <c r="BB19" s="71"/>
      <c r="BC19" s="72"/>
      <c r="BD19" s="72"/>
      <c r="BE19" s="72"/>
      <c r="BF19" s="72"/>
      <c r="BG19" s="71"/>
      <c r="BH19" s="72"/>
      <c r="BI19" s="597"/>
      <c r="BJ19" s="597"/>
      <c r="BK19" s="597"/>
      <c r="BL19" s="71"/>
      <c r="BM19" s="597"/>
      <c r="BN19" s="597"/>
      <c r="BO19" s="597"/>
      <c r="BP19" s="597"/>
      <c r="BQ19" s="71"/>
      <c r="BR19" s="597"/>
      <c r="BS19" s="597"/>
      <c r="BT19" s="597"/>
      <c r="BU19" s="597"/>
      <c r="BV19" s="71"/>
      <c r="BW19" s="554">
        <v>22</v>
      </c>
      <c r="BX19" s="554">
        <v>27</v>
      </c>
      <c r="BY19" s="554">
        <v>45</v>
      </c>
      <c r="BZ19" s="554">
        <v>35</v>
      </c>
      <c r="CA19" s="874">
        <f>SUM(BW19:BZ19)</f>
        <v>129</v>
      </c>
      <c r="CB19" s="597"/>
      <c r="CC19" s="693"/>
      <c r="CD19" s="597"/>
      <c r="CE19" s="597"/>
      <c r="CF19" s="71"/>
      <c r="CG19" s="597"/>
      <c r="CH19" s="597"/>
      <c r="CI19" s="597"/>
      <c r="CJ19" s="597"/>
      <c r="CK19" s="71"/>
      <c r="CL19" s="597"/>
      <c r="CM19" s="597"/>
      <c r="CN19" s="597"/>
      <c r="CO19" s="597"/>
      <c r="CP19" s="71"/>
      <c r="CQ19" s="597"/>
      <c r="CR19" s="597"/>
      <c r="CS19" s="597"/>
      <c r="CT19" s="597"/>
      <c r="CU19" s="71"/>
      <c r="CV19" s="597"/>
      <c r="CW19" s="597"/>
      <c r="CX19" s="597"/>
      <c r="CY19" s="597"/>
      <c r="CZ19" s="71"/>
      <c r="DA19" s="597"/>
      <c r="DB19" s="597"/>
      <c r="DC19" s="597"/>
      <c r="DD19" s="597"/>
      <c r="DE19" s="71"/>
      <c r="DF19" s="597"/>
      <c r="DG19" s="597"/>
      <c r="DH19" s="1065"/>
      <c r="DI19" s="597"/>
      <c r="DJ19" s="71"/>
      <c r="DK19" s="597"/>
      <c r="DL19" s="597"/>
      <c r="DM19" s="597"/>
      <c r="DN19" s="597"/>
      <c r="DO19" s="71"/>
      <c r="DP19" s="597"/>
      <c r="DQ19" s="1065"/>
      <c r="DS19" s="597"/>
      <c r="DT19" s="85"/>
      <c r="DU19" s="597"/>
      <c r="DX19" s="597"/>
      <c r="DY19" s="85"/>
      <c r="DZ19" s="85"/>
      <c r="EA19" s="85"/>
      <c r="EB19" s="85"/>
    </row>
    <row r="20" spans="1:132" s="277" customFormat="1" ht="12" customHeight="1">
      <c r="A20" s="74"/>
      <c r="B20" s="121" t="s">
        <v>588</v>
      </c>
      <c r="C20" s="71"/>
      <c r="D20" s="71"/>
      <c r="E20" s="71"/>
      <c r="F20" s="71"/>
      <c r="G20" s="71"/>
      <c r="H20" s="71"/>
      <c r="I20" s="71"/>
      <c r="J20" s="72"/>
      <c r="K20" s="72"/>
      <c r="L20" s="72"/>
      <c r="M20" s="73"/>
      <c r="N20" s="71"/>
      <c r="O20" s="72"/>
      <c r="P20" s="72"/>
      <c r="Q20" s="72"/>
      <c r="R20" s="72"/>
      <c r="S20" s="71"/>
      <c r="T20" s="72"/>
      <c r="U20" s="72"/>
      <c r="V20" s="72"/>
      <c r="W20" s="72"/>
      <c r="X20" s="71"/>
      <c r="Y20" s="72"/>
      <c r="Z20" s="72"/>
      <c r="AA20" s="72"/>
      <c r="AB20" s="72"/>
      <c r="AC20" s="71"/>
      <c r="AD20" s="72"/>
      <c r="AE20" s="72"/>
      <c r="AF20" s="72"/>
      <c r="AG20" s="72"/>
      <c r="AH20" s="71"/>
      <c r="AI20" s="72"/>
      <c r="AJ20" s="72"/>
      <c r="AK20" s="72"/>
      <c r="AL20" s="72"/>
      <c r="AM20" s="71"/>
      <c r="AN20" s="72"/>
      <c r="AO20" s="72"/>
      <c r="AP20" s="72"/>
      <c r="AQ20" s="72"/>
      <c r="AR20" s="71"/>
      <c r="AS20" s="72"/>
      <c r="AT20" s="72"/>
      <c r="AU20" s="72"/>
      <c r="AV20" s="72"/>
      <c r="AW20" s="71"/>
      <c r="AX20" s="72"/>
      <c r="AY20" s="72"/>
      <c r="AZ20" s="72"/>
      <c r="BA20" s="72"/>
      <c r="BB20" s="71"/>
      <c r="BC20" s="72"/>
      <c r="BD20" s="72"/>
      <c r="BE20" s="72"/>
      <c r="BF20" s="72"/>
      <c r="BG20" s="71"/>
      <c r="BH20" s="72"/>
      <c r="BI20" s="597"/>
      <c r="BJ20" s="597"/>
      <c r="BK20" s="597"/>
      <c r="BL20" s="71"/>
      <c r="BM20" s="597"/>
      <c r="BN20" s="597"/>
      <c r="BO20" s="597"/>
      <c r="BP20" s="597"/>
      <c r="BQ20" s="71"/>
      <c r="BR20" s="597"/>
      <c r="BS20" s="597"/>
      <c r="BT20" s="597"/>
      <c r="BU20" s="597"/>
      <c r="BV20" s="71"/>
      <c r="BW20" s="554">
        <v>34</v>
      </c>
      <c r="BX20" s="554">
        <v>28</v>
      </c>
      <c r="BY20" s="554">
        <v>26</v>
      </c>
      <c r="BZ20" s="554">
        <v>29</v>
      </c>
      <c r="CA20" s="874">
        <f t="shared" ref="CA20:CA21" si="41">SUM(BW20:BZ20)</f>
        <v>117</v>
      </c>
      <c r="CB20" s="597"/>
      <c r="CC20" s="597"/>
      <c r="CD20" s="597"/>
      <c r="CE20" s="597"/>
      <c r="CF20" s="71"/>
      <c r="CG20" s="597"/>
      <c r="CH20" s="597"/>
      <c r="CI20" s="597"/>
      <c r="CJ20" s="597"/>
      <c r="CK20" s="71"/>
      <c r="CL20" s="597"/>
      <c r="CM20" s="597"/>
      <c r="CN20" s="597"/>
      <c r="CO20" s="597"/>
      <c r="CP20" s="71"/>
      <c r="CQ20" s="597"/>
      <c r="CR20" s="597"/>
      <c r="CS20" s="597"/>
      <c r="CT20" s="597"/>
      <c r="CU20" s="71"/>
      <c r="CV20" s="597"/>
      <c r="CW20" s="597"/>
      <c r="CX20" s="597"/>
      <c r="CY20" s="597"/>
      <c r="CZ20" s="71"/>
      <c r="DA20" s="597"/>
      <c r="DB20" s="597"/>
      <c r="DC20" s="597"/>
      <c r="DD20" s="597"/>
      <c r="DE20" s="71"/>
      <c r="DF20" s="597"/>
      <c r="DG20" s="597"/>
      <c r="DH20" s="1065"/>
      <c r="DI20" s="597"/>
      <c r="DJ20" s="71"/>
      <c r="DK20" s="597"/>
      <c r="DL20" s="597"/>
      <c r="DM20" s="597"/>
      <c r="DN20" s="597"/>
      <c r="DO20" s="71"/>
      <c r="DP20" s="597"/>
      <c r="DQ20" s="1065"/>
      <c r="DS20" s="597"/>
      <c r="DT20" s="85"/>
      <c r="DU20" s="597"/>
      <c r="DX20" s="597"/>
      <c r="DY20" s="85"/>
      <c r="DZ20" s="85"/>
      <c r="EA20" s="85"/>
      <c r="EB20" s="85"/>
    </row>
    <row r="21" spans="1:132" s="277" customFormat="1" ht="12" customHeight="1">
      <c r="A21" s="74"/>
      <c r="B21" s="121" t="s">
        <v>589</v>
      </c>
      <c r="C21" s="71"/>
      <c r="D21" s="71"/>
      <c r="E21" s="71"/>
      <c r="F21" s="71"/>
      <c r="G21" s="71"/>
      <c r="H21" s="71"/>
      <c r="I21" s="71"/>
      <c r="J21" s="72"/>
      <c r="K21" s="72"/>
      <c r="L21" s="72"/>
      <c r="M21" s="73"/>
      <c r="N21" s="71"/>
      <c r="O21" s="72"/>
      <c r="P21" s="72"/>
      <c r="Q21" s="72"/>
      <c r="R21" s="72"/>
      <c r="S21" s="71"/>
      <c r="T21" s="72"/>
      <c r="U21" s="72"/>
      <c r="V21" s="72"/>
      <c r="W21" s="72"/>
      <c r="X21" s="71"/>
      <c r="Y21" s="72"/>
      <c r="Z21" s="72"/>
      <c r="AA21" s="72"/>
      <c r="AB21" s="72"/>
      <c r="AC21" s="71"/>
      <c r="AD21" s="72"/>
      <c r="AE21" s="72"/>
      <c r="AF21" s="72"/>
      <c r="AG21" s="72"/>
      <c r="AH21" s="71"/>
      <c r="AI21" s="72"/>
      <c r="AJ21" s="72"/>
      <c r="AK21" s="72"/>
      <c r="AL21" s="72"/>
      <c r="AM21" s="71"/>
      <c r="AN21" s="72"/>
      <c r="AO21" s="72"/>
      <c r="AP21" s="72"/>
      <c r="AQ21" s="72"/>
      <c r="AR21" s="71"/>
      <c r="AS21" s="72"/>
      <c r="AT21" s="72"/>
      <c r="AU21" s="72"/>
      <c r="AV21" s="72"/>
      <c r="AW21" s="71"/>
      <c r="AX21" s="72"/>
      <c r="AY21" s="72"/>
      <c r="AZ21" s="72"/>
      <c r="BA21" s="72"/>
      <c r="BB21" s="71"/>
      <c r="BC21" s="72"/>
      <c r="BD21" s="72"/>
      <c r="BE21" s="72"/>
      <c r="BF21" s="72"/>
      <c r="BG21" s="71"/>
      <c r="BH21" s="72"/>
      <c r="BI21" s="597"/>
      <c r="BJ21" s="597"/>
      <c r="BK21" s="597"/>
      <c r="BL21" s="71"/>
      <c r="BM21" s="597"/>
      <c r="BN21" s="597"/>
      <c r="BO21" s="597"/>
      <c r="BP21" s="597"/>
      <c r="BQ21" s="71"/>
      <c r="BR21" s="597"/>
      <c r="BS21" s="597"/>
      <c r="BT21" s="597"/>
      <c r="BU21" s="597"/>
      <c r="BV21" s="71"/>
      <c r="BW21" s="554">
        <v>-30</v>
      </c>
      <c r="BX21" s="554">
        <v>-30</v>
      </c>
      <c r="BY21" s="554">
        <v>-31</v>
      </c>
      <c r="BZ21" s="554">
        <v>-32</v>
      </c>
      <c r="CA21" s="874">
        <f t="shared" si="41"/>
        <v>-123</v>
      </c>
      <c r="CB21" s="597"/>
      <c r="CC21" s="597"/>
      <c r="CD21" s="597"/>
      <c r="CE21" s="597"/>
      <c r="CF21" s="71"/>
      <c r="CG21" s="597"/>
      <c r="CH21" s="597"/>
      <c r="CI21" s="597"/>
      <c r="CJ21" s="597"/>
      <c r="CK21" s="71"/>
      <c r="CL21" s="597"/>
      <c r="CM21" s="597"/>
      <c r="CN21" s="597"/>
      <c r="CO21" s="597"/>
      <c r="CP21" s="71"/>
      <c r="CQ21" s="597"/>
      <c r="CR21" s="597"/>
      <c r="CS21" s="597"/>
      <c r="CT21" s="597"/>
      <c r="CU21" s="71"/>
      <c r="CV21" s="597"/>
      <c r="CW21" s="597"/>
      <c r="CX21" s="597"/>
      <c r="CY21" s="597"/>
      <c r="CZ21" s="71"/>
      <c r="DA21" s="597"/>
      <c r="DB21" s="597"/>
      <c r="DC21" s="597"/>
      <c r="DD21" s="597"/>
      <c r="DE21" s="71"/>
      <c r="DF21" s="597"/>
      <c r="DG21" s="597"/>
      <c r="DH21" s="1065"/>
      <c r="DI21" s="597"/>
      <c r="DJ21" s="71"/>
      <c r="DK21" s="597"/>
      <c r="DL21" s="597"/>
      <c r="DM21" s="597"/>
      <c r="DN21" s="597"/>
      <c r="DO21" s="71"/>
      <c r="DP21" s="597"/>
      <c r="DQ21" s="1065"/>
      <c r="DS21" s="597"/>
      <c r="DT21" s="85"/>
      <c r="DU21" s="597"/>
      <c r="DX21" s="597"/>
      <c r="DY21" s="85"/>
      <c r="DZ21" s="85"/>
      <c r="EA21" s="85"/>
      <c r="EB21" s="85"/>
    </row>
    <row r="22" spans="1:132" s="105" customFormat="1" ht="12" customHeight="1">
      <c r="A22" s="68"/>
      <c r="B22" s="121" t="s">
        <v>591</v>
      </c>
      <c r="C22" s="71">
        <v>428</v>
      </c>
      <c r="D22" s="71">
        <v>283</v>
      </c>
      <c r="E22" s="71">
        <v>585</v>
      </c>
      <c r="F22" s="71">
        <v>386</v>
      </c>
      <c r="G22" s="71">
        <v>318</v>
      </c>
      <c r="H22" s="71">
        <v>42</v>
      </c>
      <c r="I22" s="71">
        <v>459</v>
      </c>
      <c r="J22" s="72">
        <v>159</v>
      </c>
      <c r="K22" s="72">
        <v>66</v>
      </c>
      <c r="L22" s="72">
        <v>17</v>
      </c>
      <c r="M22" s="73">
        <f t="shared" si="21"/>
        <v>46</v>
      </c>
      <c r="N22" s="71">
        <v>288</v>
      </c>
      <c r="O22" s="72">
        <v>-16</v>
      </c>
      <c r="P22" s="72">
        <v>81</v>
      </c>
      <c r="Q22" s="72">
        <v>119</v>
      </c>
      <c r="R22" s="72">
        <f t="shared" si="22"/>
        <v>117</v>
      </c>
      <c r="S22" s="71">
        <v>301</v>
      </c>
      <c r="T22" s="72">
        <v>86</v>
      </c>
      <c r="U22" s="72">
        <f>106-571</f>
        <v>-465</v>
      </c>
      <c r="V22" s="72">
        <v>104</v>
      </c>
      <c r="W22" s="72">
        <f t="shared" si="23"/>
        <v>124</v>
      </c>
      <c r="X22" s="71">
        <f>420-571</f>
        <v>-151</v>
      </c>
      <c r="Y22" s="72">
        <v>91</v>
      </c>
      <c r="Z22" s="72">
        <v>125</v>
      </c>
      <c r="AA22" s="72">
        <v>139</v>
      </c>
      <c r="AB22" s="72">
        <f t="shared" si="24"/>
        <v>129</v>
      </c>
      <c r="AC22" s="71">
        <v>484</v>
      </c>
      <c r="AD22" s="72">
        <v>100</v>
      </c>
      <c r="AE22" s="72">
        <v>102</v>
      </c>
      <c r="AF22" s="72">
        <v>55</v>
      </c>
      <c r="AG22" s="72">
        <f t="shared" si="25"/>
        <v>-10</v>
      </c>
      <c r="AH22" s="71">
        <v>247</v>
      </c>
      <c r="AI22" s="72">
        <v>-36</v>
      </c>
      <c r="AJ22" s="72">
        <v>47</v>
      </c>
      <c r="AK22" s="72">
        <v>-4</v>
      </c>
      <c r="AL22" s="72">
        <v>-33</v>
      </c>
      <c r="AM22" s="71">
        <f t="shared" si="26"/>
        <v>-26</v>
      </c>
      <c r="AN22" s="72">
        <v>-2</v>
      </c>
      <c r="AO22" s="72">
        <v>35</v>
      </c>
      <c r="AP22" s="72">
        <v>-13</v>
      </c>
      <c r="AQ22" s="72">
        <v>32</v>
      </c>
      <c r="AR22" s="71">
        <f t="shared" si="27"/>
        <v>52</v>
      </c>
      <c r="AS22" s="72">
        <v>13</v>
      </c>
      <c r="AT22" s="72">
        <v>14</v>
      </c>
      <c r="AU22" s="90">
        <v>49</v>
      </c>
      <c r="AV22" s="72">
        <f>AW22-SUM(AS22:AU22)</f>
        <v>-29</v>
      </c>
      <c r="AW22" s="71">
        <v>47</v>
      </c>
      <c r="AX22" s="72">
        <v>12</v>
      </c>
      <c r="AY22" s="72">
        <v>10</v>
      </c>
      <c r="AZ22" s="72">
        <v>17</v>
      </c>
      <c r="BA22" s="72">
        <v>23</v>
      </c>
      <c r="BB22" s="71">
        <f>SUM(AX22:BA22)</f>
        <v>62</v>
      </c>
      <c r="BC22" s="72">
        <v>9</v>
      </c>
      <c r="BD22" s="72">
        <v>13</v>
      </c>
      <c r="BE22" s="72">
        <v>19</v>
      </c>
      <c r="BF22" s="72">
        <v>15</v>
      </c>
      <c r="BG22" s="71">
        <f>SUM(BC22:BF22)</f>
        <v>56</v>
      </c>
      <c r="BH22" s="72">
        <v>9</v>
      </c>
      <c r="BI22" s="597">
        <v>11</v>
      </c>
      <c r="BJ22" s="72">
        <v>-9</v>
      </c>
      <c r="BK22" s="72">
        <v>-14</v>
      </c>
      <c r="BL22" s="71">
        <f>SUM(BH22:BK22)</f>
        <v>-3</v>
      </c>
      <c r="BM22" s="72">
        <v>-12</v>
      </c>
      <c r="BN22" s="597">
        <v>15</v>
      </c>
      <c r="BO22" s="72">
        <v>-26</v>
      </c>
      <c r="BP22" s="72">
        <v>10</v>
      </c>
      <c r="BQ22" s="71">
        <f>SUM(BM22:BP22)</f>
        <v>-13</v>
      </c>
      <c r="BR22" s="72">
        <v>26</v>
      </c>
      <c r="BS22" s="90">
        <v>13</v>
      </c>
      <c r="BT22" s="72">
        <v>2</v>
      </c>
      <c r="BU22" s="72">
        <v>-1</v>
      </c>
      <c r="BV22" s="71">
        <f>SUM(BR22:BU22)</f>
        <v>40</v>
      </c>
      <c r="BW22" s="90">
        <f>SUM(BW19:BW21)</f>
        <v>26</v>
      </c>
      <c r="BX22" s="90">
        <f t="shared" ref="BX22:BZ22" si="42">SUM(BX19:BX21)</f>
        <v>25</v>
      </c>
      <c r="BY22" s="90">
        <f t="shared" si="42"/>
        <v>40</v>
      </c>
      <c r="BZ22" s="90">
        <f t="shared" si="42"/>
        <v>32</v>
      </c>
      <c r="CA22" s="874">
        <v>123</v>
      </c>
      <c r="CB22" s="77">
        <v>66</v>
      </c>
      <c r="CC22" s="693">
        <v>-15</v>
      </c>
      <c r="CD22" s="77">
        <v>12</v>
      </c>
      <c r="CE22" s="77">
        <v>29</v>
      </c>
      <c r="CF22" s="17">
        <f>+SUM(CB22:CE22)</f>
        <v>92</v>
      </c>
      <c r="CG22" s="693">
        <v>106</v>
      </c>
      <c r="CH22" s="693">
        <v>107</v>
      </c>
      <c r="CI22" s="693">
        <v>121</v>
      </c>
      <c r="CJ22" s="693">
        <v>104</v>
      </c>
      <c r="CK22" s="17">
        <f>+SUM(CG22:CJ22)</f>
        <v>438</v>
      </c>
      <c r="CL22" s="77">
        <v>112</v>
      </c>
      <c r="CM22" s="77">
        <v>94</v>
      </c>
      <c r="CN22" s="77">
        <v>119</v>
      </c>
      <c r="CO22" s="77">
        <v>122</v>
      </c>
      <c r="CP22" s="17">
        <f>+SUM(CL22:CO22)</f>
        <v>447</v>
      </c>
      <c r="CQ22" s="77">
        <v>190</v>
      </c>
      <c r="CR22" s="77">
        <v>199</v>
      </c>
      <c r="CS22" s="77">
        <v>30</v>
      </c>
      <c r="CT22" s="77">
        <v>132</v>
      </c>
      <c r="CU22" s="17">
        <f>+SUM(CQ22:CT22)</f>
        <v>551</v>
      </c>
      <c r="CV22" s="77">
        <v>181</v>
      </c>
      <c r="CW22" s="77">
        <v>253</v>
      </c>
      <c r="CX22" s="77">
        <v>288</v>
      </c>
      <c r="CY22" s="77">
        <v>336</v>
      </c>
      <c r="CZ22" s="17">
        <f>+SUM(CV22:CY22)</f>
        <v>1058</v>
      </c>
      <c r="DA22" s="77">
        <v>302</v>
      </c>
      <c r="DB22" s="77">
        <v>320</v>
      </c>
      <c r="DC22" s="77">
        <v>297</v>
      </c>
      <c r="DD22" s="77">
        <v>308</v>
      </c>
      <c r="DE22" s="17">
        <f>+SUM(DA22:DD22)</f>
        <v>1227</v>
      </c>
      <c r="DF22" s="77">
        <v>277</v>
      </c>
      <c r="DG22" s="16">
        <v>248</v>
      </c>
      <c r="DH22" s="593">
        <v>265</v>
      </c>
      <c r="DI22" s="1074">
        <v>432</v>
      </c>
      <c r="DJ22" s="17">
        <f>+SUM(DF22:DI22)</f>
        <v>1222</v>
      </c>
      <c r="DK22" s="1074">
        <v>323</v>
      </c>
      <c r="DL22" s="1074">
        <v>325</v>
      </c>
      <c r="DM22" s="1074">
        <v>276</v>
      </c>
      <c r="DN22" s="1074">
        <v>201</v>
      </c>
      <c r="DO22" s="17">
        <f>+SUM(DK22:DN22)</f>
        <v>1125</v>
      </c>
      <c r="DP22" s="1074">
        <v>194</v>
      </c>
      <c r="DQ22" s="1086">
        <v>79</v>
      </c>
      <c r="DS22" s="77"/>
      <c r="DT22" s="93"/>
      <c r="DU22" s="1074"/>
      <c r="DX22" s="77"/>
      <c r="DY22" s="93"/>
      <c r="DZ22" s="93"/>
      <c r="EA22" s="93"/>
      <c r="EB22" s="93"/>
    </row>
    <row r="23" spans="1:132" s="105" customFormat="1" ht="12" customHeight="1">
      <c r="A23" s="68"/>
      <c r="B23" s="68" t="s">
        <v>36</v>
      </c>
      <c r="C23" s="79">
        <f>-513+99</f>
        <v>-414</v>
      </c>
      <c r="D23" s="79">
        <v>-453</v>
      </c>
      <c r="E23" s="79">
        <v>-431</v>
      </c>
      <c r="F23" s="79">
        <v>-445</v>
      </c>
      <c r="G23" s="79">
        <v>-650</v>
      </c>
      <c r="H23" s="79">
        <v>-730</v>
      </c>
      <c r="I23" s="79">
        <v>-358</v>
      </c>
      <c r="J23" s="80">
        <v>-84</v>
      </c>
      <c r="K23" s="80">
        <v>-85</v>
      </c>
      <c r="L23" s="80">
        <v>-83</v>
      </c>
      <c r="M23" s="81">
        <f t="shared" si="21"/>
        <v>-83</v>
      </c>
      <c r="N23" s="79">
        <v>-335</v>
      </c>
      <c r="O23" s="80">
        <v>-87</v>
      </c>
      <c r="P23" s="80">
        <v>-84</v>
      </c>
      <c r="Q23" s="80">
        <v>-70</v>
      </c>
      <c r="R23" s="80">
        <f t="shared" si="22"/>
        <v>-53</v>
      </c>
      <c r="S23" s="79">
        <v>-294</v>
      </c>
      <c r="T23" s="80">
        <v>-69</v>
      </c>
      <c r="U23" s="80">
        <v>-67</v>
      </c>
      <c r="V23" s="80">
        <v>-67</v>
      </c>
      <c r="W23" s="80">
        <f t="shared" si="23"/>
        <v>-37</v>
      </c>
      <c r="X23" s="79">
        <v>-240</v>
      </c>
      <c r="Y23" s="80">
        <v>-46</v>
      </c>
      <c r="Z23" s="80">
        <v>-46</v>
      </c>
      <c r="AA23" s="80">
        <v>-47</v>
      </c>
      <c r="AB23" s="80">
        <f t="shared" si="24"/>
        <v>-57</v>
      </c>
      <c r="AC23" s="79">
        <v>-196</v>
      </c>
      <c r="AD23" s="80">
        <v>-46</v>
      </c>
      <c r="AE23" s="80">
        <v>-50</v>
      </c>
      <c r="AF23" s="80">
        <v>-49</v>
      </c>
      <c r="AG23" s="80">
        <f t="shared" si="25"/>
        <v>-57</v>
      </c>
      <c r="AH23" s="79">
        <v>-202</v>
      </c>
      <c r="AI23" s="80">
        <v>-57</v>
      </c>
      <c r="AJ23" s="80">
        <v>-80</v>
      </c>
      <c r="AK23" s="80">
        <v>-92</v>
      </c>
      <c r="AL23" s="80">
        <v>-110</v>
      </c>
      <c r="AM23" s="79">
        <f t="shared" si="26"/>
        <v>-339</v>
      </c>
      <c r="AN23" s="80">
        <v>-122</v>
      </c>
      <c r="AO23" s="80">
        <v>-132</v>
      </c>
      <c r="AP23" s="80">
        <v>-130</v>
      </c>
      <c r="AQ23" s="80">
        <v>-132</v>
      </c>
      <c r="AR23" s="79">
        <f t="shared" si="27"/>
        <v>-516</v>
      </c>
      <c r="AS23" s="80">
        <v>-130.19999999999999</v>
      </c>
      <c r="AT23" s="80">
        <v>-123</v>
      </c>
      <c r="AU23" s="97">
        <v>-121</v>
      </c>
      <c r="AV23" s="80">
        <f>AW23-SUM(AS23:AU23)</f>
        <v>-123.80000000000001</v>
      </c>
      <c r="AW23" s="79">
        <v>-498</v>
      </c>
      <c r="AX23" s="80">
        <v>-119</v>
      </c>
      <c r="AY23" s="80">
        <v>-112</v>
      </c>
      <c r="AZ23" s="80">
        <v>-115.4</v>
      </c>
      <c r="BA23" s="80">
        <v>-117</v>
      </c>
      <c r="BB23" s="79">
        <f>SUM(AX23:BA23)</f>
        <v>-463.4</v>
      </c>
      <c r="BC23" s="80">
        <v>-99</v>
      </c>
      <c r="BD23" s="80">
        <v>-96</v>
      </c>
      <c r="BE23" s="80">
        <v>-95</v>
      </c>
      <c r="BF23" s="80">
        <v>-96</v>
      </c>
      <c r="BG23" s="79">
        <f>SUM(BC23:BF23)</f>
        <v>-386</v>
      </c>
      <c r="BH23" s="80">
        <v>-92</v>
      </c>
      <c r="BI23" s="568">
        <v>-81</v>
      </c>
      <c r="BJ23" s="80">
        <v>-79</v>
      </c>
      <c r="BK23" s="80">
        <v>-81</v>
      </c>
      <c r="BL23" s="79">
        <f>SUM(BH23:BK23)</f>
        <v>-333</v>
      </c>
      <c r="BM23" s="80">
        <v>-61</v>
      </c>
      <c r="BN23" s="568">
        <v>-75</v>
      </c>
      <c r="BO23" s="80">
        <v>-67</v>
      </c>
      <c r="BP23" s="80">
        <v>-72</v>
      </c>
      <c r="BQ23" s="79">
        <f>SUM(BM23:BP23)</f>
        <v>-275</v>
      </c>
      <c r="BR23" s="80">
        <v>-73</v>
      </c>
      <c r="BS23" s="97">
        <v>-73</v>
      </c>
      <c r="BT23" s="80">
        <v>-81</v>
      </c>
      <c r="BU23" s="80">
        <v>-79</v>
      </c>
      <c r="BV23" s="79">
        <f>SUM(BR23:BU23)</f>
        <v>-306</v>
      </c>
      <c r="BW23" s="97">
        <v>-87</v>
      </c>
      <c r="BX23" s="97">
        <v>-93</v>
      </c>
      <c r="BY23" s="97">
        <v>-87</v>
      </c>
      <c r="BZ23" s="97">
        <v>-93</v>
      </c>
      <c r="CA23" s="872">
        <f>SUM(BW23:BZ23)</f>
        <v>-360</v>
      </c>
      <c r="CB23" s="80">
        <v>-102</v>
      </c>
      <c r="CC23" s="568">
        <v>-109</v>
      </c>
      <c r="CD23" s="80">
        <v>-106</v>
      </c>
      <c r="CE23" s="80">
        <v>-158</v>
      </c>
      <c r="CF23" s="79">
        <f>+SUM(CB23:CE23)</f>
        <v>-475</v>
      </c>
      <c r="CG23" s="568">
        <v>-123</v>
      </c>
      <c r="CH23" s="568">
        <v>-154</v>
      </c>
      <c r="CI23" s="568">
        <v>-203</v>
      </c>
      <c r="CJ23" s="568">
        <v>-242</v>
      </c>
      <c r="CK23" s="79">
        <f>+SUM(CG23:CJ23)</f>
        <v>-722</v>
      </c>
      <c r="CL23" s="80">
        <v>-262</v>
      </c>
      <c r="CM23" s="80">
        <v>-553</v>
      </c>
      <c r="CN23" s="80">
        <v>-643</v>
      </c>
      <c r="CO23" s="80">
        <v>-698</v>
      </c>
      <c r="CP23" s="79">
        <f>+SUM(CL23:CO23)</f>
        <v>-2156</v>
      </c>
      <c r="CQ23" s="80">
        <v>-679</v>
      </c>
      <c r="CR23" s="80">
        <v>-673</v>
      </c>
      <c r="CS23" s="80">
        <v>-669</v>
      </c>
      <c r="CT23" s="80">
        <v>-661</v>
      </c>
      <c r="CU23" s="79">
        <f>+SUM(CQ23:CT23)</f>
        <v>-2682</v>
      </c>
      <c r="CV23" s="80">
        <v>-630</v>
      </c>
      <c r="CW23" s="80">
        <v>-650</v>
      </c>
      <c r="CX23" s="80">
        <v>-621</v>
      </c>
      <c r="CY23" s="80">
        <v>-632</v>
      </c>
      <c r="CZ23" s="79">
        <f>+SUM(CV23:CY23)</f>
        <v>-2533</v>
      </c>
      <c r="DA23" s="80">
        <v>-649</v>
      </c>
      <c r="DB23" s="80">
        <v>-621</v>
      </c>
      <c r="DC23" s="80">
        <v>-589</v>
      </c>
      <c r="DD23" s="80">
        <v>-600</v>
      </c>
      <c r="DE23" s="79">
        <f>+SUM(DA23:DD23)</f>
        <v>-2459</v>
      </c>
      <c r="DF23" s="80">
        <v>-569</v>
      </c>
      <c r="DG23" s="80">
        <v>-673</v>
      </c>
      <c r="DH23" s="272">
        <v>-728</v>
      </c>
      <c r="DI23" s="1075">
        <v>-755</v>
      </c>
      <c r="DJ23" s="79">
        <f>+SUM(DF23:DI23)</f>
        <v>-2725</v>
      </c>
      <c r="DK23" s="1075">
        <v>-708</v>
      </c>
      <c r="DL23" s="1075">
        <v>-710</v>
      </c>
      <c r="DM23" s="1075">
        <v>-694</v>
      </c>
      <c r="DN23" s="1075">
        <v>-659</v>
      </c>
      <c r="DO23" s="79">
        <f>+SUM(DK23:DN23)</f>
        <v>-2771</v>
      </c>
      <c r="DP23" s="1075">
        <v>-616</v>
      </c>
      <c r="DQ23" s="1108">
        <v>-600</v>
      </c>
      <c r="DS23" s="80"/>
      <c r="DT23" s="93"/>
      <c r="DU23" s="1075"/>
      <c r="DX23" s="80"/>
      <c r="DY23" s="93"/>
      <c r="DZ23" s="93"/>
      <c r="EA23" s="93"/>
      <c r="EB23" s="93"/>
    </row>
    <row r="24" spans="1:132" s="277" customFormat="1" ht="12" customHeight="1">
      <c r="A24" s="74"/>
      <c r="B24" s="74" t="s">
        <v>37</v>
      </c>
      <c r="C24" s="71">
        <f t="shared" ref="C24:L24" si="43">C23+C22+C18</f>
        <v>-341</v>
      </c>
      <c r="D24" s="71">
        <f t="shared" si="43"/>
        <v>1397</v>
      </c>
      <c r="E24" s="71">
        <f t="shared" si="43"/>
        <v>3324</v>
      </c>
      <c r="F24" s="71">
        <f t="shared" si="43"/>
        <v>2999</v>
      </c>
      <c r="G24" s="71">
        <f t="shared" si="43"/>
        <v>3564</v>
      </c>
      <c r="H24" s="71">
        <f t="shared" si="43"/>
        <v>3180</v>
      </c>
      <c r="I24" s="71">
        <f t="shared" si="43"/>
        <v>550</v>
      </c>
      <c r="J24" s="72">
        <f t="shared" si="43"/>
        <v>913</v>
      </c>
      <c r="K24" s="72">
        <f t="shared" si="43"/>
        <v>625</v>
      </c>
      <c r="L24" s="72">
        <f t="shared" si="43"/>
        <v>445</v>
      </c>
      <c r="M24" s="73">
        <f t="shared" si="21"/>
        <v>-23</v>
      </c>
      <c r="N24" s="71">
        <f>N23+N22+N18</f>
        <v>1960</v>
      </c>
      <c r="O24" s="72">
        <f>O23+O22+O18</f>
        <v>584</v>
      </c>
      <c r="P24" s="72">
        <f>P23+P22+P18</f>
        <v>807</v>
      </c>
      <c r="Q24" s="72">
        <f>Q23+Q22+Q18</f>
        <v>812</v>
      </c>
      <c r="R24" s="72">
        <f t="shared" si="22"/>
        <v>616</v>
      </c>
      <c r="S24" s="71">
        <f>S23+S22+S18</f>
        <v>2819</v>
      </c>
      <c r="T24" s="72">
        <f>T23+T22+T18</f>
        <v>976</v>
      </c>
      <c r="U24" s="72">
        <f>U23+U22+U18</f>
        <v>-9</v>
      </c>
      <c r="V24" s="72">
        <f>V23+V22+V18</f>
        <v>988</v>
      </c>
      <c r="W24" s="72">
        <f t="shared" si="23"/>
        <v>1239</v>
      </c>
      <c r="X24" s="71">
        <f>X23+X22+X18</f>
        <v>3194</v>
      </c>
      <c r="Y24" s="72">
        <f>Y23+Y22+Y18</f>
        <v>1354</v>
      </c>
      <c r="Z24" s="72">
        <f>Z23+Z22+Z18</f>
        <v>1585</v>
      </c>
      <c r="AA24" s="72">
        <f>AA23+AA22+AA18</f>
        <v>1591</v>
      </c>
      <c r="AB24" s="72">
        <f t="shared" si="24"/>
        <v>1588</v>
      </c>
      <c r="AC24" s="71">
        <f>AC23+AC22+AC18</f>
        <v>6118</v>
      </c>
      <c r="AD24" s="72">
        <f>AD23+AD22+AD18</f>
        <v>1853</v>
      </c>
      <c r="AE24" s="72">
        <f>AE23+AE22+AE18</f>
        <v>1299</v>
      </c>
      <c r="AF24" s="72">
        <f>AF23+AF22+AF18</f>
        <v>1153</v>
      </c>
      <c r="AG24" s="72">
        <f t="shared" si="25"/>
        <v>-310</v>
      </c>
      <c r="AH24" s="71">
        <f t="shared" ref="AH24:AU24" si="44">AH18+AH22+AH23</f>
        <v>3995</v>
      </c>
      <c r="AI24" s="72">
        <f t="shared" si="44"/>
        <v>932</v>
      </c>
      <c r="AJ24" s="72">
        <f t="shared" si="44"/>
        <v>1496</v>
      </c>
      <c r="AK24" s="72">
        <f t="shared" si="44"/>
        <v>-2247</v>
      </c>
      <c r="AL24" s="72">
        <f t="shared" si="44"/>
        <v>1550</v>
      </c>
      <c r="AM24" s="71">
        <f t="shared" si="44"/>
        <v>1731</v>
      </c>
      <c r="AN24" s="72">
        <f t="shared" si="44"/>
        <v>1050</v>
      </c>
      <c r="AO24" s="72">
        <f t="shared" si="44"/>
        <v>1210</v>
      </c>
      <c r="AP24" s="72">
        <f t="shared" si="44"/>
        <v>1244</v>
      </c>
      <c r="AQ24" s="72">
        <f t="shared" si="44"/>
        <v>1003</v>
      </c>
      <c r="AR24" s="71">
        <f>AR18+AR22+AR23</f>
        <v>4507</v>
      </c>
      <c r="AS24" s="72">
        <f t="shared" si="44"/>
        <v>882.8</v>
      </c>
      <c r="AT24" s="72">
        <f t="shared" si="44"/>
        <v>1425</v>
      </c>
      <c r="AU24" s="72">
        <f t="shared" si="44"/>
        <v>1642</v>
      </c>
      <c r="AV24" s="72">
        <f t="shared" ref="AV24:DF24" si="45">AV18+AV22+AV23</f>
        <v>1443.2</v>
      </c>
      <c r="AW24" s="71">
        <f t="shared" si="45"/>
        <v>5393</v>
      </c>
      <c r="AX24" s="72">
        <f t="shared" si="45"/>
        <v>1463</v>
      </c>
      <c r="AY24" s="72">
        <f t="shared" si="45"/>
        <v>1446</v>
      </c>
      <c r="AZ24" s="72">
        <f t="shared" si="45"/>
        <v>1464.8000000000006</v>
      </c>
      <c r="BA24" s="72">
        <f t="shared" si="45"/>
        <v>1535</v>
      </c>
      <c r="BB24" s="71">
        <f t="shared" si="45"/>
        <v>5908.7999999999975</v>
      </c>
      <c r="BC24" s="72">
        <f t="shared" si="45"/>
        <v>1438</v>
      </c>
      <c r="BD24" s="72">
        <f t="shared" si="45"/>
        <v>1633</v>
      </c>
      <c r="BE24" s="72">
        <f t="shared" si="45"/>
        <v>1727</v>
      </c>
      <c r="BF24" s="72">
        <f t="shared" si="45"/>
        <v>1434.4000000000015</v>
      </c>
      <c r="BG24" s="71">
        <f t="shared" ref="BG24" si="46">BG18+BG22+BG23</f>
        <v>6232.3999999999942</v>
      </c>
      <c r="BH24" s="72">
        <f t="shared" si="45"/>
        <v>1459</v>
      </c>
      <c r="BI24" s="597">
        <f t="shared" si="45"/>
        <v>1717</v>
      </c>
      <c r="BJ24" s="597">
        <f t="shared" si="45"/>
        <v>2031</v>
      </c>
      <c r="BK24" s="597">
        <f t="shared" si="45"/>
        <v>1930</v>
      </c>
      <c r="BL24" s="71">
        <f t="shared" si="45"/>
        <v>7137</v>
      </c>
      <c r="BM24" s="597">
        <f t="shared" si="45"/>
        <v>1946</v>
      </c>
      <c r="BN24" s="597">
        <f t="shared" si="45"/>
        <v>1623</v>
      </c>
      <c r="BO24" s="597">
        <f t="shared" si="45"/>
        <v>2487</v>
      </c>
      <c r="BP24" s="597">
        <f t="shared" si="45"/>
        <v>1099</v>
      </c>
      <c r="BQ24" s="71">
        <f t="shared" ref="BQ24" si="47">BQ18+BQ22+BQ23</f>
        <v>7155</v>
      </c>
      <c r="BR24" s="597">
        <f t="shared" si="45"/>
        <v>1741</v>
      </c>
      <c r="BS24" s="597">
        <f t="shared" si="45"/>
        <v>-479</v>
      </c>
      <c r="BT24" s="597">
        <f t="shared" si="45"/>
        <v>2203</v>
      </c>
      <c r="BU24" s="597">
        <f t="shared" si="45"/>
        <v>2103</v>
      </c>
      <c r="BV24" s="71">
        <f t="shared" si="45"/>
        <v>5568</v>
      </c>
      <c r="BW24" s="90">
        <f t="shared" si="45"/>
        <v>2145</v>
      </c>
      <c r="BX24" s="90">
        <f t="shared" si="45"/>
        <v>2462</v>
      </c>
      <c r="BY24" s="90">
        <f t="shared" si="45"/>
        <v>2583</v>
      </c>
      <c r="BZ24" s="90">
        <f t="shared" si="45"/>
        <v>2917</v>
      </c>
      <c r="CA24" s="874">
        <f t="shared" ref="CA24" si="48">CA18+CA22+CA23</f>
        <v>10107</v>
      </c>
      <c r="CB24" s="90">
        <f t="shared" si="45"/>
        <v>2839</v>
      </c>
      <c r="CC24" s="90">
        <f t="shared" si="45"/>
        <v>2586</v>
      </c>
      <c r="CD24" s="90">
        <f t="shared" si="45"/>
        <v>2133</v>
      </c>
      <c r="CE24" s="90">
        <f t="shared" si="45"/>
        <v>4046</v>
      </c>
      <c r="CF24" s="874">
        <f t="shared" si="45"/>
        <v>11604</v>
      </c>
      <c r="CG24" s="90">
        <f t="shared" si="45"/>
        <v>2333</v>
      </c>
      <c r="CH24" s="90">
        <f t="shared" si="45"/>
        <v>-3427</v>
      </c>
      <c r="CI24" s="90">
        <f t="shared" si="45"/>
        <v>1177</v>
      </c>
      <c r="CJ24" s="90">
        <f t="shared" si="45"/>
        <v>-2342</v>
      </c>
      <c r="CK24" s="874">
        <f t="shared" ref="CK24" si="49">CK18+CK22+CK23</f>
        <v>-2259</v>
      </c>
      <c r="CL24" s="90">
        <f t="shared" si="45"/>
        <v>-1503</v>
      </c>
      <c r="CM24" s="90">
        <f t="shared" si="45"/>
        <v>-3423</v>
      </c>
      <c r="CN24" s="90">
        <f t="shared" si="45"/>
        <v>-925</v>
      </c>
      <c r="CO24" s="90">
        <f t="shared" si="45"/>
        <v>-8625</v>
      </c>
      <c r="CP24" s="874">
        <f t="shared" si="45"/>
        <v>-14476</v>
      </c>
      <c r="CQ24" s="90">
        <f t="shared" si="45"/>
        <v>-572</v>
      </c>
      <c r="CR24" s="90">
        <f t="shared" si="45"/>
        <v>549</v>
      </c>
      <c r="CS24" s="90">
        <f t="shared" si="45"/>
        <v>-310</v>
      </c>
      <c r="CT24" s="90">
        <f t="shared" si="45"/>
        <v>-4700</v>
      </c>
      <c r="CU24" s="874">
        <f t="shared" si="45"/>
        <v>-5033</v>
      </c>
      <c r="CV24" s="90">
        <f t="shared" si="45"/>
        <v>-1618</v>
      </c>
      <c r="CW24" s="90">
        <f t="shared" si="45"/>
        <v>377</v>
      </c>
      <c r="CX24" s="90">
        <f t="shared" si="45"/>
        <v>-3132</v>
      </c>
      <c r="CY24" s="90">
        <f t="shared" si="45"/>
        <v>-649</v>
      </c>
      <c r="CZ24" s="874">
        <f t="shared" ref="CZ24" si="50">CZ18+CZ22+CZ23</f>
        <v>-5022</v>
      </c>
      <c r="DA24" s="90">
        <f t="shared" si="45"/>
        <v>-496</v>
      </c>
      <c r="DB24" s="90">
        <f t="shared" si="45"/>
        <v>-400</v>
      </c>
      <c r="DC24" s="90">
        <f t="shared" si="45"/>
        <v>-1100</v>
      </c>
      <c r="DD24" s="90">
        <f t="shared" si="45"/>
        <v>-9</v>
      </c>
      <c r="DE24" s="874">
        <f t="shared" ref="DE24" si="51">DE18+DE22+DE23</f>
        <v>-2005</v>
      </c>
      <c r="DF24" s="90">
        <f t="shared" si="45"/>
        <v>-378</v>
      </c>
      <c r="DG24" s="90">
        <f t="shared" ref="DG24:DK24" si="52">DG18+DG22+DG23</f>
        <v>-1515</v>
      </c>
      <c r="DH24" s="1066">
        <f t="shared" si="52"/>
        <v>-6224</v>
      </c>
      <c r="DI24" s="90">
        <f t="shared" si="52"/>
        <v>-4093</v>
      </c>
      <c r="DJ24" s="874">
        <f t="shared" si="52"/>
        <v>-12210</v>
      </c>
      <c r="DK24" s="90">
        <f t="shared" si="52"/>
        <v>76</v>
      </c>
      <c r="DL24" s="90">
        <f t="shared" ref="DL24:DO24" si="53">DL18+DL22+DL23</f>
        <v>-561</v>
      </c>
      <c r="DM24" s="90">
        <f t="shared" si="53"/>
        <v>-5199</v>
      </c>
      <c r="DN24" s="90">
        <f t="shared" si="53"/>
        <v>8319</v>
      </c>
      <c r="DO24" s="874">
        <f t="shared" si="53"/>
        <v>2635</v>
      </c>
      <c r="DP24" s="90">
        <f t="shared" ref="DP24:DQ24" si="54">DP18+DP22+DP23</f>
        <v>26</v>
      </c>
      <c r="DQ24" s="1066">
        <f t="shared" si="54"/>
        <v>-365</v>
      </c>
      <c r="DS24" s="597"/>
      <c r="DT24" s="85"/>
      <c r="DU24" s="90"/>
      <c r="DX24" s="597"/>
      <c r="DY24" s="85"/>
      <c r="DZ24" s="85"/>
      <c r="EA24" s="85"/>
      <c r="EB24" s="85"/>
    </row>
    <row r="25" spans="1:132" s="105" customFormat="1" ht="12" customHeight="1">
      <c r="A25" s="68"/>
      <c r="B25" s="68" t="s">
        <v>38</v>
      </c>
      <c r="C25" s="79">
        <v>163</v>
      </c>
      <c r="D25" s="79">
        <v>-277</v>
      </c>
      <c r="E25" s="79">
        <v>-1015</v>
      </c>
      <c r="F25" s="79">
        <v>-871</v>
      </c>
      <c r="G25" s="79">
        <v>-738</v>
      </c>
      <c r="H25" s="79">
        <v>-861</v>
      </c>
      <c r="I25" s="79">
        <v>168</v>
      </c>
      <c r="J25" s="80">
        <v>-290</v>
      </c>
      <c r="K25" s="80">
        <v>-39</v>
      </c>
      <c r="L25" s="80">
        <v>-7</v>
      </c>
      <c r="M25" s="81">
        <f t="shared" si="21"/>
        <v>196</v>
      </c>
      <c r="N25" s="79">
        <v>-140</v>
      </c>
      <c r="O25" s="80">
        <v>-70</v>
      </c>
      <c r="P25" s="80">
        <v>-241</v>
      </c>
      <c r="Q25" s="80">
        <v>201</v>
      </c>
      <c r="R25" s="80">
        <f t="shared" si="22"/>
        <v>-147</v>
      </c>
      <c r="S25" s="79">
        <v>-257</v>
      </c>
      <c r="T25" s="80">
        <v>-284</v>
      </c>
      <c r="U25" s="80">
        <v>-151</v>
      </c>
      <c r="V25" s="80">
        <v>-294</v>
      </c>
      <c r="W25" s="80">
        <f t="shared" si="23"/>
        <v>-259</v>
      </c>
      <c r="X25" s="79">
        <v>-988</v>
      </c>
      <c r="Y25" s="80">
        <v>-481</v>
      </c>
      <c r="Z25" s="80">
        <v>-536</v>
      </c>
      <c r="AA25" s="80">
        <v>-482</v>
      </c>
      <c r="AB25" s="80">
        <f t="shared" si="24"/>
        <v>-561</v>
      </c>
      <c r="AC25" s="79">
        <v>-2060</v>
      </c>
      <c r="AD25" s="80">
        <v>-647</v>
      </c>
      <c r="AE25" s="80">
        <v>-448</v>
      </c>
      <c r="AF25" s="80">
        <v>-470</v>
      </c>
      <c r="AG25" s="80">
        <f t="shared" si="25"/>
        <v>224</v>
      </c>
      <c r="AH25" s="79">
        <v>-1341</v>
      </c>
      <c r="AI25" s="80">
        <v>-317</v>
      </c>
      <c r="AJ25" s="80">
        <v>-499</v>
      </c>
      <c r="AK25" s="80">
        <v>687</v>
      </c>
      <c r="AL25" s="80">
        <v>-267</v>
      </c>
      <c r="AM25" s="79">
        <f t="shared" si="26"/>
        <v>-396</v>
      </c>
      <c r="AN25" s="80">
        <v>-531</v>
      </c>
      <c r="AO25" s="80">
        <v>-421</v>
      </c>
      <c r="AP25" s="80">
        <v>-407</v>
      </c>
      <c r="AQ25" s="80">
        <v>163</v>
      </c>
      <c r="AR25" s="79">
        <f t="shared" si="27"/>
        <v>-1196</v>
      </c>
      <c r="AS25" s="80">
        <v>-295</v>
      </c>
      <c r="AT25" s="80">
        <v>-483</v>
      </c>
      <c r="AU25" s="97">
        <v>-548</v>
      </c>
      <c r="AV25" s="80">
        <f>AW25-SUM(AS25:AU25)</f>
        <v>-56</v>
      </c>
      <c r="AW25" s="79">
        <v>-1382</v>
      </c>
      <c r="AX25" s="80">
        <v>-539</v>
      </c>
      <c r="AY25" s="80">
        <v>-479</v>
      </c>
      <c r="AZ25" s="80">
        <v>-432.4</v>
      </c>
      <c r="BA25" s="80">
        <v>-557</v>
      </c>
      <c r="BB25" s="79">
        <f>SUM(AX25:BA25)</f>
        <v>-2007.4</v>
      </c>
      <c r="BC25" s="80">
        <v>-332</v>
      </c>
      <c r="BD25" s="80">
        <v>-546</v>
      </c>
      <c r="BE25" s="80">
        <v>-567</v>
      </c>
      <c r="BF25" s="80">
        <v>-201</v>
      </c>
      <c r="BG25" s="79">
        <f>SUM(BC25:BF25)</f>
        <v>-1646</v>
      </c>
      <c r="BH25" s="80">
        <v>-494</v>
      </c>
      <c r="BI25" s="568">
        <v>-64</v>
      </c>
      <c r="BJ25" s="80">
        <v>-669</v>
      </c>
      <c r="BK25" s="80">
        <v>-464</v>
      </c>
      <c r="BL25" s="79">
        <f>SUM(BH25:BK25)</f>
        <v>-1691</v>
      </c>
      <c r="BM25" s="80">
        <v>-610</v>
      </c>
      <c r="BN25" s="568">
        <v>-513</v>
      </c>
      <c r="BO25" s="80">
        <v>-783</v>
      </c>
      <c r="BP25" s="80">
        <v>-73</v>
      </c>
      <c r="BQ25" s="79">
        <f>SUM(BM25:BP25)</f>
        <v>-1979</v>
      </c>
      <c r="BR25" s="80">
        <v>-522</v>
      </c>
      <c r="BS25" s="97">
        <v>245</v>
      </c>
      <c r="BT25" s="80">
        <v>76</v>
      </c>
      <c r="BU25" s="80">
        <v>-472</v>
      </c>
      <c r="BV25" s="79">
        <f>SUM(BR25:BU25)</f>
        <v>-673</v>
      </c>
      <c r="BW25" s="97">
        <v>-566</v>
      </c>
      <c r="BX25" s="97">
        <v>-713</v>
      </c>
      <c r="BY25" s="97">
        <v>-773</v>
      </c>
      <c r="BZ25" s="97">
        <v>403</v>
      </c>
      <c r="CA25" s="872">
        <v>-1649</v>
      </c>
      <c r="CB25" s="80">
        <v>-362</v>
      </c>
      <c r="CC25" s="568">
        <v>-390</v>
      </c>
      <c r="CD25" s="80">
        <v>230</v>
      </c>
      <c r="CE25" s="80">
        <v>-622</v>
      </c>
      <c r="CF25" s="872">
        <f>+SUM(CB25:CE25)</f>
        <v>-1144</v>
      </c>
      <c r="CG25" s="568">
        <v>-184</v>
      </c>
      <c r="CH25" s="568">
        <v>485</v>
      </c>
      <c r="CI25" s="568">
        <v>-10</v>
      </c>
      <c r="CJ25" s="568">
        <v>1332</v>
      </c>
      <c r="CK25" s="872">
        <f>+SUM(CG25:CJ25)</f>
        <v>1623</v>
      </c>
      <c r="CL25" s="16">
        <v>862</v>
      </c>
      <c r="CM25" s="16">
        <v>1028</v>
      </c>
      <c r="CN25" s="16">
        <v>459</v>
      </c>
      <c r="CO25" s="16">
        <v>186</v>
      </c>
      <c r="CP25" s="875">
        <f>+SUM(CL25:CO25)</f>
        <v>2535</v>
      </c>
      <c r="CQ25" s="16">
        <v>11</v>
      </c>
      <c r="CR25" s="80">
        <v>18</v>
      </c>
      <c r="CS25" s="80">
        <v>178</v>
      </c>
      <c r="CT25" s="80">
        <v>536</v>
      </c>
      <c r="CU25" s="872">
        <f>+SUM(CQ25:CT25)</f>
        <v>743</v>
      </c>
      <c r="CV25" s="16">
        <v>376</v>
      </c>
      <c r="CW25" s="80">
        <v>-217</v>
      </c>
      <c r="CX25" s="80">
        <v>-176</v>
      </c>
      <c r="CY25" s="80">
        <v>-14</v>
      </c>
      <c r="CZ25" s="872">
        <f>+SUM(CV25:CY25)</f>
        <v>-31</v>
      </c>
      <c r="DA25" s="80">
        <v>71</v>
      </c>
      <c r="DB25" s="80">
        <v>251</v>
      </c>
      <c r="DC25" s="80">
        <v>-538</v>
      </c>
      <c r="DD25" s="80">
        <v>-21</v>
      </c>
      <c r="DE25" s="872">
        <f>+SUM(DA25:DD25)</f>
        <v>-237</v>
      </c>
      <c r="DF25" s="80">
        <v>23</v>
      </c>
      <c r="DG25" s="80">
        <v>76</v>
      </c>
      <c r="DH25" s="272">
        <v>50</v>
      </c>
      <c r="DI25" s="1075">
        <v>232</v>
      </c>
      <c r="DJ25" s="872">
        <f>+SUM(DF25:DI25)</f>
        <v>381</v>
      </c>
      <c r="DK25" s="1075">
        <v>-107</v>
      </c>
      <c r="DL25" s="1075">
        <v>-51</v>
      </c>
      <c r="DM25" s="1075">
        <v>-140</v>
      </c>
      <c r="DN25" s="1075">
        <v>-99</v>
      </c>
      <c r="DO25" s="872">
        <f>+SUM(DK25:DN25)</f>
        <v>-397</v>
      </c>
      <c r="DP25" s="1075">
        <v>-33</v>
      </c>
      <c r="DQ25" s="1108">
        <v>-63</v>
      </c>
      <c r="DS25" s="80"/>
      <c r="DT25" s="93"/>
      <c r="DU25" s="1075"/>
      <c r="DX25" s="80"/>
      <c r="DY25" s="93"/>
      <c r="DZ25" s="93"/>
      <c r="EA25" s="93"/>
      <c r="EB25" s="93"/>
    </row>
    <row r="26" spans="1:132" s="105" customFormat="1" ht="12" customHeight="1">
      <c r="A26" s="68"/>
      <c r="B26" s="121" t="s">
        <v>646</v>
      </c>
      <c r="C26" s="79"/>
      <c r="D26" s="79"/>
      <c r="E26" s="79"/>
      <c r="F26" s="79"/>
      <c r="G26" s="79"/>
      <c r="H26" s="79"/>
      <c r="I26" s="79"/>
      <c r="J26" s="80"/>
      <c r="K26" s="80"/>
      <c r="L26" s="80"/>
      <c r="M26" s="81"/>
      <c r="N26" s="79"/>
      <c r="O26" s="80"/>
      <c r="P26" s="80"/>
      <c r="Q26" s="80"/>
      <c r="R26" s="80"/>
      <c r="S26" s="79"/>
      <c r="T26" s="80"/>
      <c r="U26" s="80"/>
      <c r="V26" s="80"/>
      <c r="W26" s="80"/>
      <c r="X26" s="79"/>
      <c r="Y26" s="80"/>
      <c r="Z26" s="80"/>
      <c r="AA26" s="80"/>
      <c r="AB26" s="80"/>
      <c r="AC26" s="79"/>
      <c r="AD26" s="80"/>
      <c r="AE26" s="80"/>
      <c r="AF26" s="80"/>
      <c r="AG26" s="80"/>
      <c r="AH26" s="79"/>
      <c r="AI26" s="80"/>
      <c r="AJ26" s="80"/>
      <c r="AK26" s="80"/>
      <c r="AL26" s="80"/>
      <c r="AM26" s="79"/>
      <c r="AN26" s="80"/>
      <c r="AO26" s="80"/>
      <c r="AP26" s="80"/>
      <c r="AQ26" s="80"/>
      <c r="AR26" s="79"/>
      <c r="AS26" s="80"/>
      <c r="AT26" s="80"/>
      <c r="AU26" s="97"/>
      <c r="AV26" s="80"/>
      <c r="AW26" s="79"/>
      <c r="AX26" s="80"/>
      <c r="AY26" s="80"/>
      <c r="AZ26" s="80"/>
      <c r="BA26" s="80"/>
      <c r="BB26" s="79"/>
      <c r="BC26" s="80"/>
      <c r="BD26" s="80"/>
      <c r="BE26" s="80"/>
      <c r="BF26" s="80"/>
      <c r="BG26" s="79"/>
      <c r="BH26" s="80"/>
      <c r="BI26" s="568"/>
      <c r="BJ26" s="80"/>
      <c r="BK26" s="80"/>
      <c r="BL26" s="79"/>
      <c r="BM26" s="80"/>
      <c r="BN26" s="568"/>
      <c r="BO26" s="80"/>
      <c r="BP26" s="80"/>
      <c r="BQ26" s="79"/>
      <c r="BR26" s="80"/>
      <c r="BS26" s="97"/>
      <c r="BT26" s="80"/>
      <c r="BU26" s="80"/>
      <c r="BV26" s="79"/>
      <c r="BW26" s="97"/>
      <c r="BX26" s="97"/>
      <c r="BY26" s="97"/>
      <c r="BZ26" s="97"/>
      <c r="CA26" s="872"/>
      <c r="CB26" s="80"/>
      <c r="CC26" s="568"/>
      <c r="CD26" s="80"/>
      <c r="CE26" s="80"/>
      <c r="CF26" s="872"/>
      <c r="CG26" s="568"/>
      <c r="CH26" s="568"/>
      <c r="CI26" s="568"/>
      <c r="CJ26" s="568"/>
      <c r="CK26" s="872"/>
      <c r="CL26" s="80">
        <v>13</v>
      </c>
      <c r="CM26" s="80">
        <v>19</v>
      </c>
      <c r="CN26" s="80">
        <v>17</v>
      </c>
      <c r="CO26" s="80">
        <v>19</v>
      </c>
      <c r="CP26" s="872">
        <f>+SUM(CL26:CO26)</f>
        <v>68</v>
      </c>
      <c r="CQ26" s="80">
        <v>24</v>
      </c>
      <c r="CR26" s="80">
        <v>20</v>
      </c>
      <c r="CS26" s="80">
        <v>23</v>
      </c>
      <c r="CT26" s="80">
        <v>21</v>
      </c>
      <c r="CU26" s="872"/>
      <c r="CV26" s="80">
        <v>23</v>
      </c>
      <c r="CW26" s="80">
        <v>33</v>
      </c>
      <c r="CX26" s="80">
        <v>33</v>
      </c>
      <c r="CY26" s="80">
        <v>29</v>
      </c>
      <c r="CZ26" s="872"/>
      <c r="DA26" s="80">
        <v>11</v>
      </c>
      <c r="DB26" s="80">
        <v>0</v>
      </c>
      <c r="DC26" s="80">
        <v>2</v>
      </c>
      <c r="DD26" s="80">
        <v>7</v>
      </c>
      <c r="DE26" s="872"/>
      <c r="DF26" s="80">
        <v>12</v>
      </c>
      <c r="DG26" s="80">
        <v>0</v>
      </c>
      <c r="DH26" s="272">
        <v>4</v>
      </c>
      <c r="DI26" s="1075">
        <v>4</v>
      </c>
      <c r="DJ26" s="872"/>
      <c r="DK26" s="1075">
        <v>-6</v>
      </c>
      <c r="DL26" s="1075">
        <v>1</v>
      </c>
      <c r="DM26" s="1075">
        <v>2</v>
      </c>
      <c r="DN26" s="1075">
        <v>0</v>
      </c>
      <c r="DO26" s="872"/>
      <c r="DP26" s="1075">
        <v>3</v>
      </c>
      <c r="DQ26" s="1108">
        <v>-16</v>
      </c>
      <c r="DS26" s="80"/>
      <c r="DT26" s="93"/>
      <c r="DU26" s="1075"/>
      <c r="DX26" s="80"/>
      <c r="DY26" s="93"/>
      <c r="DZ26" s="93"/>
      <c r="EA26" s="93"/>
      <c r="EB26" s="93"/>
    </row>
    <row r="27" spans="1:132" s="277" customFormat="1" ht="12" customHeight="1">
      <c r="A27" s="74"/>
      <c r="B27" s="74" t="s">
        <v>40</v>
      </c>
      <c r="C27" s="71">
        <f t="shared" ref="C27:L27" si="55">C24+C25</f>
        <v>-178</v>
      </c>
      <c r="D27" s="71">
        <f t="shared" si="55"/>
        <v>1120</v>
      </c>
      <c r="E27" s="71">
        <f t="shared" si="55"/>
        <v>2309</v>
      </c>
      <c r="F27" s="71">
        <f t="shared" si="55"/>
        <v>2128</v>
      </c>
      <c r="G27" s="71">
        <f t="shared" si="55"/>
        <v>2826</v>
      </c>
      <c r="H27" s="71">
        <f t="shared" si="55"/>
        <v>2319</v>
      </c>
      <c r="I27" s="71">
        <f t="shared" si="55"/>
        <v>718</v>
      </c>
      <c r="J27" s="72">
        <f t="shared" si="55"/>
        <v>623</v>
      </c>
      <c r="K27" s="72">
        <f t="shared" si="55"/>
        <v>586</v>
      </c>
      <c r="L27" s="72">
        <f t="shared" si="55"/>
        <v>438</v>
      </c>
      <c r="M27" s="73">
        <f t="shared" si="21"/>
        <v>173</v>
      </c>
      <c r="N27" s="71">
        <f>N24+N25</f>
        <v>1820</v>
      </c>
      <c r="O27" s="72">
        <f>O24+O25</f>
        <v>514</v>
      </c>
      <c r="P27" s="72">
        <f>P24+P25</f>
        <v>566</v>
      </c>
      <c r="Q27" s="72">
        <f>Q24+Q25</f>
        <v>1013</v>
      </c>
      <c r="R27" s="72">
        <f t="shared" si="22"/>
        <v>469</v>
      </c>
      <c r="S27" s="71">
        <f>S24+S25</f>
        <v>2562</v>
      </c>
      <c r="T27" s="72">
        <f>T24+T25</f>
        <v>692</v>
      </c>
      <c r="U27" s="72">
        <f>U24+U25</f>
        <v>-160</v>
      </c>
      <c r="V27" s="72">
        <f>V24+V25</f>
        <v>694</v>
      </c>
      <c r="W27" s="72">
        <f t="shared" si="23"/>
        <v>980</v>
      </c>
      <c r="X27" s="71">
        <f>X24+X25</f>
        <v>2206</v>
      </c>
      <c r="Y27" s="72">
        <f>Y24+Y25</f>
        <v>873</v>
      </c>
      <c r="Z27" s="72">
        <f>Z24+Z25</f>
        <v>1049</v>
      </c>
      <c r="AA27" s="72">
        <f>AA24+AA25</f>
        <v>1109</v>
      </c>
      <c r="AB27" s="72">
        <f t="shared" si="24"/>
        <v>1027</v>
      </c>
      <c r="AC27" s="71">
        <f>AC24+AC25</f>
        <v>4058</v>
      </c>
      <c r="AD27" s="72">
        <f>AD24+AD25</f>
        <v>1206</v>
      </c>
      <c r="AE27" s="72">
        <f>AE24+AE25</f>
        <v>851</v>
      </c>
      <c r="AF27" s="72">
        <f>AF24+AF25</f>
        <v>683</v>
      </c>
      <c r="AG27" s="72">
        <f t="shared" si="25"/>
        <v>-86</v>
      </c>
      <c r="AH27" s="71">
        <f t="shared" ref="AH27:AU27" si="56">AH24+AH25</f>
        <v>2654</v>
      </c>
      <c r="AI27" s="72">
        <f t="shared" si="56"/>
        <v>615</v>
      </c>
      <c r="AJ27" s="72">
        <f t="shared" si="56"/>
        <v>997</v>
      </c>
      <c r="AK27" s="72">
        <f t="shared" si="56"/>
        <v>-1560</v>
      </c>
      <c r="AL27" s="72">
        <f t="shared" si="56"/>
        <v>1283</v>
      </c>
      <c r="AM27" s="71">
        <f t="shared" si="56"/>
        <v>1335</v>
      </c>
      <c r="AN27" s="72">
        <f t="shared" si="56"/>
        <v>519</v>
      </c>
      <c r="AO27" s="72">
        <f t="shared" si="56"/>
        <v>789</v>
      </c>
      <c r="AP27" s="72">
        <f t="shared" si="56"/>
        <v>837</v>
      </c>
      <c r="AQ27" s="72">
        <f t="shared" si="56"/>
        <v>1166</v>
      </c>
      <c r="AR27" s="71">
        <f>AR24+AR25</f>
        <v>3311</v>
      </c>
      <c r="AS27" s="72">
        <f t="shared" si="56"/>
        <v>587.79999999999995</v>
      </c>
      <c r="AT27" s="72">
        <f t="shared" si="56"/>
        <v>942</v>
      </c>
      <c r="AU27" s="72">
        <f t="shared" si="56"/>
        <v>1094</v>
      </c>
      <c r="AV27" s="72">
        <f t="shared" ref="AV27:BH27" si="57">AV24+AV25</f>
        <v>1387.2</v>
      </c>
      <c r="AW27" s="71">
        <f t="shared" si="57"/>
        <v>4011</v>
      </c>
      <c r="AX27" s="72">
        <f t="shared" si="57"/>
        <v>924</v>
      </c>
      <c r="AY27" s="72">
        <f t="shared" si="57"/>
        <v>967</v>
      </c>
      <c r="AZ27" s="72">
        <f t="shared" si="57"/>
        <v>1032.4000000000005</v>
      </c>
      <c r="BA27" s="72">
        <f t="shared" si="57"/>
        <v>978</v>
      </c>
      <c r="BB27" s="71">
        <f t="shared" si="57"/>
        <v>3901.3999999999974</v>
      </c>
      <c r="BC27" s="72">
        <f t="shared" si="57"/>
        <v>1106</v>
      </c>
      <c r="BD27" s="72">
        <f t="shared" si="57"/>
        <v>1087</v>
      </c>
      <c r="BE27" s="72">
        <f t="shared" si="57"/>
        <v>1160</v>
      </c>
      <c r="BF27" s="72">
        <f t="shared" si="57"/>
        <v>1233.4000000000015</v>
      </c>
      <c r="BG27" s="71">
        <f t="shared" ref="BG27" si="58">BG24+BG25</f>
        <v>4586.3999999999942</v>
      </c>
      <c r="BH27" s="72">
        <f t="shared" si="57"/>
        <v>965</v>
      </c>
      <c r="BI27" s="597">
        <f t="shared" ref="BI27:BJ27" si="59">BI24+BI25</f>
        <v>1653</v>
      </c>
      <c r="BJ27" s="597">
        <f t="shared" si="59"/>
        <v>1362</v>
      </c>
      <c r="BK27" s="597">
        <f t="shared" ref="BK27:BV27" si="60">BK24+BK25</f>
        <v>1466</v>
      </c>
      <c r="BL27" s="71">
        <f t="shared" si="60"/>
        <v>5446</v>
      </c>
      <c r="BM27" s="597">
        <f t="shared" si="60"/>
        <v>1336</v>
      </c>
      <c r="BN27" s="597">
        <f t="shared" si="60"/>
        <v>1110</v>
      </c>
      <c r="BO27" s="597">
        <f t="shared" si="60"/>
        <v>1704</v>
      </c>
      <c r="BP27" s="597">
        <f t="shared" si="60"/>
        <v>1026</v>
      </c>
      <c r="BQ27" s="71">
        <f t="shared" ref="BQ27" si="61">BQ24+BQ25</f>
        <v>5176</v>
      </c>
      <c r="BR27" s="597">
        <f t="shared" si="60"/>
        <v>1219</v>
      </c>
      <c r="BS27" s="597">
        <f t="shared" si="60"/>
        <v>-234</v>
      </c>
      <c r="BT27" s="597">
        <f t="shared" si="60"/>
        <v>2279</v>
      </c>
      <c r="BU27" s="597">
        <f t="shared" si="60"/>
        <v>1631</v>
      </c>
      <c r="BV27" s="874">
        <f t="shared" si="60"/>
        <v>4895</v>
      </c>
      <c r="BW27" s="90">
        <f t="shared" ref="BW27:CA27" si="62">BW24+BW25</f>
        <v>1579</v>
      </c>
      <c r="BX27" s="90">
        <f t="shared" si="62"/>
        <v>1749</v>
      </c>
      <c r="BY27" s="90">
        <f t="shared" si="62"/>
        <v>1810</v>
      </c>
      <c r="BZ27" s="90">
        <f t="shared" si="62"/>
        <v>3320</v>
      </c>
      <c r="CA27" s="874">
        <f t="shared" si="62"/>
        <v>8458</v>
      </c>
      <c r="CB27" s="90">
        <f t="shared" ref="CB27:CJ27" si="63">CB24+CB25</f>
        <v>2477</v>
      </c>
      <c r="CC27" s="90">
        <f t="shared" si="63"/>
        <v>2196</v>
      </c>
      <c r="CD27" s="90">
        <f t="shared" si="63"/>
        <v>2363</v>
      </c>
      <c r="CE27" s="90">
        <f t="shared" si="63"/>
        <v>3424</v>
      </c>
      <c r="CF27" s="874">
        <f t="shared" si="63"/>
        <v>10460</v>
      </c>
      <c r="CG27" s="90">
        <f t="shared" si="63"/>
        <v>2149</v>
      </c>
      <c r="CH27" s="90">
        <f t="shared" si="63"/>
        <v>-2942</v>
      </c>
      <c r="CI27" s="90">
        <f t="shared" si="63"/>
        <v>1167</v>
      </c>
      <c r="CJ27" s="90">
        <f t="shared" si="63"/>
        <v>-1010</v>
      </c>
      <c r="CK27" s="874">
        <f t="shared" ref="CK27" si="64">CK24+CK25</f>
        <v>-636</v>
      </c>
      <c r="CL27" s="90">
        <f t="shared" ref="CL27:DF27" si="65">CL24+CL25+CL26</f>
        <v>-628</v>
      </c>
      <c r="CM27" s="90">
        <f t="shared" si="65"/>
        <v>-2376</v>
      </c>
      <c r="CN27" s="90">
        <f t="shared" si="65"/>
        <v>-449</v>
      </c>
      <c r="CO27" s="90">
        <f t="shared" si="65"/>
        <v>-8420</v>
      </c>
      <c r="CP27" s="874">
        <f t="shared" si="65"/>
        <v>-11873</v>
      </c>
      <c r="CQ27" s="90">
        <f t="shared" si="65"/>
        <v>-537</v>
      </c>
      <c r="CR27" s="90">
        <f t="shared" si="65"/>
        <v>587</v>
      </c>
      <c r="CS27" s="90">
        <f t="shared" si="65"/>
        <v>-109</v>
      </c>
      <c r="CT27" s="90">
        <f t="shared" si="65"/>
        <v>-4143</v>
      </c>
      <c r="CU27" s="874">
        <f t="shared" ref="CU27" si="66">CU24+CU25</f>
        <v>-4290</v>
      </c>
      <c r="CV27" s="90">
        <f t="shared" si="65"/>
        <v>-1219</v>
      </c>
      <c r="CW27" s="90">
        <f t="shared" si="65"/>
        <v>193</v>
      </c>
      <c r="CX27" s="90">
        <f t="shared" si="65"/>
        <v>-3275</v>
      </c>
      <c r="CY27" s="90">
        <f t="shared" si="65"/>
        <v>-634</v>
      </c>
      <c r="CZ27" s="874">
        <f t="shared" ref="CZ27" si="67">CZ24+CZ25</f>
        <v>-5053</v>
      </c>
      <c r="DA27" s="90">
        <f t="shared" si="65"/>
        <v>-414</v>
      </c>
      <c r="DB27" s="90">
        <f t="shared" si="65"/>
        <v>-149</v>
      </c>
      <c r="DC27" s="90">
        <f t="shared" si="65"/>
        <v>-1636</v>
      </c>
      <c r="DD27" s="90">
        <f t="shared" si="65"/>
        <v>-23</v>
      </c>
      <c r="DE27" s="874">
        <f t="shared" ref="DE27" si="68">DE24+DE25</f>
        <v>-2242</v>
      </c>
      <c r="DF27" s="90">
        <f t="shared" si="65"/>
        <v>-343</v>
      </c>
      <c r="DG27" s="90">
        <f t="shared" ref="DG27:DI27" si="69">DG24+DG25+DG26</f>
        <v>-1439</v>
      </c>
      <c r="DH27" s="1066">
        <f t="shared" si="69"/>
        <v>-6170</v>
      </c>
      <c r="DI27" s="90">
        <f t="shared" si="69"/>
        <v>-3857</v>
      </c>
      <c r="DJ27" s="874">
        <f t="shared" ref="DJ27" si="70">DJ24+DJ25</f>
        <v>-11829</v>
      </c>
      <c r="DK27" s="90">
        <f t="shared" ref="DK27:DN27" si="71">DK24+DK25+DK26</f>
        <v>-37</v>
      </c>
      <c r="DL27" s="90">
        <f t="shared" si="71"/>
        <v>-611</v>
      </c>
      <c r="DM27" s="90">
        <f t="shared" si="71"/>
        <v>-5337</v>
      </c>
      <c r="DN27" s="90">
        <f t="shared" si="71"/>
        <v>8220</v>
      </c>
      <c r="DO27" s="874">
        <f t="shared" ref="DO27" si="72">DO24+DO25</f>
        <v>2238</v>
      </c>
      <c r="DP27" s="90">
        <f t="shared" ref="DP27:DQ27" si="73">DP24+DP25+DP26</f>
        <v>-4</v>
      </c>
      <c r="DQ27" s="1066">
        <f t="shared" si="73"/>
        <v>-444</v>
      </c>
      <c r="DS27" s="597"/>
      <c r="DT27" s="85"/>
      <c r="DU27" s="90"/>
      <c r="DX27" s="597"/>
      <c r="DY27" s="85"/>
      <c r="DZ27" s="85"/>
      <c r="EA27" s="85"/>
      <c r="EB27" s="85"/>
    </row>
    <row r="28" spans="1:132" s="278" customFormat="1" ht="12" customHeight="1">
      <c r="A28" s="121"/>
      <c r="B28" s="121" t="s">
        <v>39</v>
      </c>
      <c r="C28" s="17">
        <v>0</v>
      </c>
      <c r="D28" s="17">
        <v>0</v>
      </c>
      <c r="E28" s="17">
        <v>0</v>
      </c>
      <c r="F28" s="17">
        <v>0</v>
      </c>
      <c r="G28" s="17">
        <v>1</v>
      </c>
      <c r="H28" s="17">
        <v>-1827</v>
      </c>
      <c r="I28" s="17">
        <v>0</v>
      </c>
      <c r="J28" s="16">
        <v>0</v>
      </c>
      <c r="K28" s="16">
        <f>7+14</f>
        <v>21</v>
      </c>
      <c r="L28" s="16">
        <f>-1+19</f>
        <v>18</v>
      </c>
      <c r="M28" s="15">
        <f t="shared" si="21"/>
        <v>13</v>
      </c>
      <c r="N28" s="17">
        <f>52</f>
        <v>52</v>
      </c>
      <c r="O28" s="16">
        <v>21</v>
      </c>
      <c r="P28" s="16"/>
      <c r="Q28" s="16">
        <v>-2</v>
      </c>
      <c r="R28" s="16">
        <f t="shared" si="22"/>
        <v>-9</v>
      </c>
      <c r="S28" s="17">
        <f>-7+17</f>
        <v>10</v>
      </c>
      <c r="T28" s="16"/>
      <c r="U28" s="16"/>
      <c r="V28" s="16"/>
      <c r="W28" s="16">
        <f t="shared" si="23"/>
        <v>9</v>
      </c>
      <c r="X28" s="17">
        <v>9</v>
      </c>
      <c r="Y28" s="16">
        <v>4</v>
      </c>
      <c r="Z28" s="16">
        <v>1</v>
      </c>
      <c r="AA28" s="16">
        <v>5</v>
      </c>
      <c r="AB28" s="16">
        <f t="shared" si="24"/>
        <v>6</v>
      </c>
      <c r="AC28" s="17">
        <v>16</v>
      </c>
      <c r="AD28" s="16">
        <v>5</v>
      </c>
      <c r="AE28" s="16">
        <v>1</v>
      </c>
      <c r="AF28" s="16">
        <v>12</v>
      </c>
      <c r="AG28" s="16">
        <f t="shared" si="25"/>
        <v>0</v>
      </c>
      <c r="AH28" s="17">
        <v>18</v>
      </c>
      <c r="AI28" s="16">
        <v>-5</v>
      </c>
      <c r="AJ28" s="16">
        <v>1</v>
      </c>
      <c r="AK28" s="16">
        <v>-4</v>
      </c>
      <c r="AL28" s="16">
        <v>-15</v>
      </c>
      <c r="AM28" s="17">
        <f t="shared" si="26"/>
        <v>-23</v>
      </c>
      <c r="AN28" s="16">
        <v>0</v>
      </c>
      <c r="AO28" s="16">
        <v>-2</v>
      </c>
      <c r="AP28" s="16">
        <v>0</v>
      </c>
      <c r="AQ28" s="16">
        <v>-2</v>
      </c>
      <c r="AR28" s="17">
        <f t="shared" si="27"/>
        <v>-4</v>
      </c>
      <c r="AS28" s="16">
        <v>-2</v>
      </c>
      <c r="AT28" s="16">
        <v>-1</v>
      </c>
      <c r="AU28" s="554">
        <v>4</v>
      </c>
      <c r="AV28" s="16">
        <f>AW28-SUM(AS28:AU28)</f>
        <v>6</v>
      </c>
      <c r="AW28" s="17">
        <v>7</v>
      </c>
      <c r="AX28" s="16">
        <v>-1</v>
      </c>
      <c r="AY28" s="16">
        <v>0</v>
      </c>
      <c r="AZ28" s="16"/>
      <c r="BA28" s="16"/>
      <c r="BB28" s="17">
        <f>SUM(AX28:BA28)</f>
        <v>-1</v>
      </c>
      <c r="BC28" s="16">
        <v>0</v>
      </c>
      <c r="BD28" s="16">
        <v>1</v>
      </c>
      <c r="BE28" s="16">
        <v>-2</v>
      </c>
      <c r="BF28" s="16">
        <v>0</v>
      </c>
      <c r="BG28" s="17">
        <f>SUM(BC28:BF28)</f>
        <v>-1</v>
      </c>
      <c r="BH28" s="16">
        <v>0</v>
      </c>
      <c r="BI28" s="693">
        <v>0</v>
      </c>
      <c r="BJ28" s="16">
        <v>0</v>
      </c>
      <c r="BK28" s="16">
        <v>0</v>
      </c>
      <c r="BL28" s="17">
        <f>SUM(BH28:BK28)</f>
        <v>0</v>
      </c>
      <c r="BM28" s="16">
        <v>0</v>
      </c>
      <c r="BN28" s="693">
        <v>0</v>
      </c>
      <c r="BO28" s="693">
        <v>0</v>
      </c>
      <c r="BP28" s="693">
        <v>0</v>
      </c>
      <c r="BQ28" s="17">
        <f>SUM(BM28:BP28)</f>
        <v>0</v>
      </c>
      <c r="BR28" s="693">
        <v>0</v>
      </c>
      <c r="BS28" s="693">
        <v>0</v>
      </c>
      <c r="BT28" s="693">
        <v>0</v>
      </c>
      <c r="BU28" s="693">
        <v>0</v>
      </c>
      <c r="BV28" s="875">
        <f>SUM(BR28:BU28)</f>
        <v>0</v>
      </c>
      <c r="BW28" s="554">
        <v>0</v>
      </c>
      <c r="BX28" s="554">
        <v>0</v>
      </c>
      <c r="BY28" s="554">
        <v>0</v>
      </c>
      <c r="BZ28" s="554">
        <v>0</v>
      </c>
      <c r="CA28" s="875">
        <f>SUM(BW28:BZ28)</f>
        <v>0</v>
      </c>
      <c r="CB28" s="554">
        <v>0</v>
      </c>
      <c r="CC28" s="554">
        <v>0</v>
      </c>
      <c r="CD28" s="554">
        <v>0</v>
      </c>
      <c r="CE28" s="16">
        <v>0</v>
      </c>
      <c r="CF28" s="969">
        <f>SUM(CB28:CE28)</f>
        <v>0</v>
      </c>
      <c r="CG28" s="554">
        <v>0</v>
      </c>
      <c r="CH28" s="693"/>
      <c r="CI28" s="693"/>
      <c r="CJ28" s="693"/>
      <c r="CK28" s="969">
        <f>SUM(CG28:CJ28)</f>
        <v>0</v>
      </c>
      <c r="CL28" s="16"/>
      <c r="CM28" s="16"/>
      <c r="CN28" s="16"/>
      <c r="CO28" s="16"/>
      <c r="CP28" s="969">
        <f>SUM(CL28:CO28)</f>
        <v>0</v>
      </c>
      <c r="CQ28" s="16"/>
      <c r="CR28" s="16"/>
      <c r="CS28" s="16"/>
      <c r="CT28" s="16"/>
      <c r="CU28" s="969">
        <f>SUM(CQ28:CT28)</f>
        <v>0</v>
      </c>
      <c r="CV28" s="16"/>
      <c r="CW28" s="16"/>
      <c r="CX28" s="16"/>
      <c r="CY28" s="16"/>
      <c r="CZ28" s="969">
        <f>SUM(CV28:CY28)</f>
        <v>0</v>
      </c>
      <c r="DA28" s="16"/>
      <c r="DB28" s="16"/>
      <c r="DC28" s="16"/>
      <c r="DD28" s="16"/>
      <c r="DE28" s="969">
        <f>SUM(DA28:DD28)</f>
        <v>0</v>
      </c>
      <c r="DF28" s="16"/>
      <c r="DG28" s="16"/>
      <c r="DH28" s="593"/>
      <c r="DI28" s="16">
        <v>-58</v>
      </c>
      <c r="DJ28" s="969">
        <f>SUM(DF28:DI28)</f>
        <v>-58</v>
      </c>
      <c r="DK28" s="16">
        <v>-86</v>
      </c>
      <c r="DL28" s="16">
        <v>-86</v>
      </c>
      <c r="DM28" s="16">
        <v>-87</v>
      </c>
      <c r="DN28" s="16">
        <v>-86</v>
      </c>
      <c r="DO28" s="969">
        <f>SUM(DK28:DN28)</f>
        <v>-345</v>
      </c>
      <c r="DP28" s="16">
        <v>-86</v>
      </c>
      <c r="DQ28" s="1086">
        <v>-86</v>
      </c>
      <c r="DS28" s="16"/>
      <c r="DT28" s="14"/>
      <c r="DU28" s="16"/>
      <c r="DX28" s="16"/>
      <c r="DY28" s="14"/>
      <c r="DZ28" s="14"/>
      <c r="EA28" s="14"/>
      <c r="EB28" s="14"/>
    </row>
    <row r="29" spans="1:132" s="278" customFormat="1" ht="12" customHeight="1">
      <c r="A29" s="121"/>
      <c r="B29" s="121" t="s">
        <v>41</v>
      </c>
      <c r="C29" s="17">
        <f t="shared" ref="C29:L29" si="74">SUM(C27:C28)</f>
        <v>-178</v>
      </c>
      <c r="D29" s="17">
        <f t="shared" si="74"/>
        <v>1120</v>
      </c>
      <c r="E29" s="17">
        <f t="shared" si="74"/>
        <v>2309</v>
      </c>
      <c r="F29" s="17">
        <f t="shared" si="74"/>
        <v>2128</v>
      </c>
      <c r="G29" s="17">
        <f t="shared" si="74"/>
        <v>2827</v>
      </c>
      <c r="H29" s="17">
        <f t="shared" si="74"/>
        <v>492</v>
      </c>
      <c r="I29" s="17">
        <f t="shared" si="74"/>
        <v>718</v>
      </c>
      <c r="J29" s="16">
        <f t="shared" si="74"/>
        <v>623</v>
      </c>
      <c r="K29" s="16">
        <f t="shared" si="74"/>
        <v>607</v>
      </c>
      <c r="L29" s="16">
        <f t="shared" si="74"/>
        <v>456</v>
      </c>
      <c r="M29" s="15">
        <f t="shared" si="21"/>
        <v>186</v>
      </c>
      <c r="N29" s="17">
        <f>SUM(N27:N28)</f>
        <v>1872</v>
      </c>
      <c r="O29" s="16">
        <f>SUM(O27:O28)</f>
        <v>535</v>
      </c>
      <c r="P29" s="16">
        <f>SUM(P27:P28)</f>
        <v>566</v>
      </c>
      <c r="Q29" s="16">
        <f>SUM(Q27:Q28)</f>
        <v>1011</v>
      </c>
      <c r="R29" s="16">
        <f t="shared" si="22"/>
        <v>460</v>
      </c>
      <c r="S29" s="17">
        <f>SUM(S27:S28)</f>
        <v>2572</v>
      </c>
      <c r="T29" s="16">
        <f>SUM(T27:T28)</f>
        <v>692</v>
      </c>
      <c r="U29" s="16">
        <f>SUM(U27:U28)</f>
        <v>-160</v>
      </c>
      <c r="V29" s="16">
        <f>SUM(V27:V28)</f>
        <v>694</v>
      </c>
      <c r="W29" s="16">
        <f t="shared" si="23"/>
        <v>989</v>
      </c>
      <c r="X29" s="17">
        <f>SUM(X27:X28)</f>
        <v>2215</v>
      </c>
      <c r="Y29" s="16">
        <f>SUM(Y27:Y28)</f>
        <v>877</v>
      </c>
      <c r="Z29" s="16">
        <f>SUM(Z27:Z28)</f>
        <v>1050</v>
      </c>
      <c r="AA29" s="16">
        <f>SUM(AA27:AA28)</f>
        <v>1114</v>
      </c>
      <c r="AB29" s="16">
        <f t="shared" si="24"/>
        <v>1033</v>
      </c>
      <c r="AC29" s="17">
        <f>SUM(AC27:AC28)</f>
        <v>4074</v>
      </c>
      <c r="AD29" s="16">
        <f>SUM(AD27:AD28)</f>
        <v>1211</v>
      </c>
      <c r="AE29" s="16">
        <f>SUM(AE27:AE28)</f>
        <v>852</v>
      </c>
      <c r="AF29" s="16">
        <f>SUM(AF27:AF28)</f>
        <v>695</v>
      </c>
      <c r="AG29" s="16">
        <f t="shared" si="25"/>
        <v>-86</v>
      </c>
      <c r="AH29" s="17">
        <f t="shared" ref="AH29:AP29" si="75">SUM(AH27:AH28)</f>
        <v>2672</v>
      </c>
      <c r="AI29" s="16">
        <f t="shared" si="75"/>
        <v>610</v>
      </c>
      <c r="AJ29" s="16">
        <f t="shared" si="75"/>
        <v>998</v>
      </c>
      <c r="AK29" s="16">
        <f t="shared" si="75"/>
        <v>-1564</v>
      </c>
      <c r="AL29" s="16">
        <f t="shared" si="75"/>
        <v>1268</v>
      </c>
      <c r="AM29" s="17">
        <f t="shared" si="75"/>
        <v>1312</v>
      </c>
      <c r="AN29" s="16">
        <f t="shared" si="75"/>
        <v>519</v>
      </c>
      <c r="AO29" s="16">
        <f t="shared" si="75"/>
        <v>787</v>
      </c>
      <c r="AP29" s="16">
        <f t="shared" si="75"/>
        <v>837</v>
      </c>
      <c r="AQ29" s="16">
        <f t="shared" ref="AQ29:BH29" si="76">SUM(AQ27:AQ28)</f>
        <v>1164</v>
      </c>
      <c r="AR29" s="17">
        <f t="shared" si="76"/>
        <v>3307</v>
      </c>
      <c r="AS29" s="16">
        <f t="shared" si="76"/>
        <v>585.79999999999995</v>
      </c>
      <c r="AT29" s="16">
        <f t="shared" si="76"/>
        <v>941</v>
      </c>
      <c r="AU29" s="16">
        <f t="shared" si="76"/>
        <v>1098</v>
      </c>
      <c r="AV29" s="16">
        <f t="shared" si="76"/>
        <v>1393.2</v>
      </c>
      <c r="AW29" s="17">
        <f t="shared" si="76"/>
        <v>4018</v>
      </c>
      <c r="AX29" s="16">
        <f t="shared" si="76"/>
        <v>923</v>
      </c>
      <c r="AY29" s="16">
        <f t="shared" si="76"/>
        <v>967</v>
      </c>
      <c r="AZ29" s="16">
        <f t="shared" si="76"/>
        <v>1032.4000000000005</v>
      </c>
      <c r="BA29" s="16">
        <f t="shared" si="76"/>
        <v>978</v>
      </c>
      <c r="BB29" s="17">
        <f>SUM(BB27:BB28)</f>
        <v>3900.3999999999974</v>
      </c>
      <c r="BC29" s="16">
        <f t="shared" si="76"/>
        <v>1106</v>
      </c>
      <c r="BD29" s="16">
        <f t="shared" si="76"/>
        <v>1088</v>
      </c>
      <c r="BE29" s="16">
        <f t="shared" si="76"/>
        <v>1158</v>
      </c>
      <c r="BF29" s="16">
        <f t="shared" si="76"/>
        <v>1233.4000000000015</v>
      </c>
      <c r="BG29" s="17">
        <f>SUM(BG27:BG28)</f>
        <v>4585.3999999999942</v>
      </c>
      <c r="BH29" s="16">
        <f t="shared" si="76"/>
        <v>965</v>
      </c>
      <c r="BI29" s="693">
        <f t="shared" ref="BI29:BJ29" si="77">SUM(BI27:BI28)</f>
        <v>1653</v>
      </c>
      <c r="BJ29" s="693">
        <f t="shared" si="77"/>
        <v>1362</v>
      </c>
      <c r="BK29" s="693">
        <f t="shared" ref="BK29:BO29" si="78">SUM(BK27:BK28)</f>
        <v>1466</v>
      </c>
      <c r="BL29" s="17">
        <f>SUM(BL27:BL28)</f>
        <v>5446</v>
      </c>
      <c r="BM29" s="693">
        <f t="shared" si="78"/>
        <v>1336</v>
      </c>
      <c r="BN29" s="693">
        <f t="shared" si="78"/>
        <v>1110</v>
      </c>
      <c r="BO29" s="693">
        <f t="shared" si="78"/>
        <v>1704</v>
      </c>
      <c r="BP29" s="693">
        <f t="shared" ref="BP29:BU29" si="79">SUM(BP27:BP28)</f>
        <v>1026</v>
      </c>
      <c r="BQ29" s="17">
        <f>SUM(BQ27:BQ28)</f>
        <v>5176</v>
      </c>
      <c r="BR29" s="693">
        <f t="shared" si="79"/>
        <v>1219</v>
      </c>
      <c r="BS29" s="693">
        <f t="shared" si="79"/>
        <v>-234</v>
      </c>
      <c r="BT29" s="693">
        <f t="shared" si="79"/>
        <v>2279</v>
      </c>
      <c r="BU29" s="693">
        <f t="shared" si="79"/>
        <v>1631</v>
      </c>
      <c r="BV29" s="875">
        <f>SUM(BV27:BV28)</f>
        <v>4895</v>
      </c>
      <c r="BW29" s="554">
        <f t="shared" ref="BW29:BZ29" si="80">SUM(BW27:BW28)</f>
        <v>1579</v>
      </c>
      <c r="BX29" s="554">
        <f t="shared" si="80"/>
        <v>1749</v>
      </c>
      <c r="BY29" s="554">
        <f t="shared" si="80"/>
        <v>1810</v>
      </c>
      <c r="BZ29" s="554">
        <f t="shared" si="80"/>
        <v>3320</v>
      </c>
      <c r="CA29" s="875">
        <f>SUM(CA27:CA28)</f>
        <v>8458</v>
      </c>
      <c r="CB29" s="554">
        <f t="shared" ref="CB29:CE29" si="81">SUM(CB27:CB28)</f>
        <v>2477</v>
      </c>
      <c r="CC29" s="554">
        <f t="shared" si="81"/>
        <v>2196</v>
      </c>
      <c r="CD29" s="554">
        <f t="shared" si="81"/>
        <v>2363</v>
      </c>
      <c r="CE29" s="554">
        <f t="shared" si="81"/>
        <v>3424</v>
      </c>
      <c r="CF29" s="875">
        <f>+SUM(CB29:CE29)</f>
        <v>10460</v>
      </c>
      <c r="CG29" s="554">
        <f t="shared" ref="CG29:CO29" si="82">SUM(CG27:CG28)</f>
        <v>2149</v>
      </c>
      <c r="CH29" s="554">
        <f t="shared" si="82"/>
        <v>-2942</v>
      </c>
      <c r="CI29" s="554">
        <f t="shared" si="82"/>
        <v>1167</v>
      </c>
      <c r="CJ29" s="554">
        <f t="shared" si="82"/>
        <v>-1010</v>
      </c>
      <c r="CK29" s="875">
        <f>+SUM(CG29:CJ29)</f>
        <v>-636</v>
      </c>
      <c r="CL29" s="554">
        <f t="shared" si="82"/>
        <v>-628</v>
      </c>
      <c r="CM29" s="554">
        <f t="shared" si="82"/>
        <v>-2376</v>
      </c>
      <c r="CN29" s="554">
        <f t="shared" si="82"/>
        <v>-449</v>
      </c>
      <c r="CO29" s="554">
        <f t="shared" si="82"/>
        <v>-8420</v>
      </c>
      <c r="CP29" s="875">
        <f>+SUM(CL29:CO29)</f>
        <v>-11873</v>
      </c>
      <c r="CQ29" s="554">
        <f t="shared" ref="CQ29:DF29" si="83">SUM(CQ27:CQ28)</f>
        <v>-537</v>
      </c>
      <c r="CR29" s="554">
        <f t="shared" si="83"/>
        <v>587</v>
      </c>
      <c r="CS29" s="554">
        <f t="shared" si="83"/>
        <v>-109</v>
      </c>
      <c r="CT29" s="554">
        <f t="shared" si="83"/>
        <v>-4143</v>
      </c>
      <c r="CU29" s="875">
        <f>+SUM(CQ29:CT29)</f>
        <v>-4202</v>
      </c>
      <c r="CV29" s="554">
        <f t="shared" si="83"/>
        <v>-1219</v>
      </c>
      <c r="CW29" s="554">
        <f t="shared" si="83"/>
        <v>193</v>
      </c>
      <c r="CX29" s="554">
        <f t="shared" si="83"/>
        <v>-3275</v>
      </c>
      <c r="CY29" s="554">
        <f t="shared" si="83"/>
        <v>-634</v>
      </c>
      <c r="CZ29" s="875">
        <f>+SUM(CV29:CY29)</f>
        <v>-4935</v>
      </c>
      <c r="DA29" s="554">
        <f t="shared" si="83"/>
        <v>-414</v>
      </c>
      <c r="DB29" s="554">
        <f t="shared" si="83"/>
        <v>-149</v>
      </c>
      <c r="DC29" s="554">
        <f t="shared" si="83"/>
        <v>-1636</v>
      </c>
      <c r="DD29" s="554">
        <f t="shared" si="83"/>
        <v>-23</v>
      </c>
      <c r="DE29" s="875">
        <f>+SUM(DA29:DD29)</f>
        <v>-2222</v>
      </c>
      <c r="DF29" s="554">
        <f t="shared" si="83"/>
        <v>-343</v>
      </c>
      <c r="DG29" s="554">
        <f t="shared" ref="DG29:DI29" si="84">SUM(DG27:DG28)</f>
        <v>-1439</v>
      </c>
      <c r="DH29" s="543">
        <f t="shared" si="84"/>
        <v>-6170</v>
      </c>
      <c r="DI29" s="554">
        <f t="shared" si="84"/>
        <v>-3915</v>
      </c>
      <c r="DJ29" s="875">
        <f>+SUM(DF29:DI29)</f>
        <v>-11867</v>
      </c>
      <c r="DK29" s="554">
        <f t="shared" ref="DK29:DN29" si="85">SUM(DK27:DK28)</f>
        <v>-123</v>
      </c>
      <c r="DL29" s="554">
        <f t="shared" si="85"/>
        <v>-697</v>
      </c>
      <c r="DM29" s="554">
        <f t="shared" si="85"/>
        <v>-5424</v>
      </c>
      <c r="DN29" s="554">
        <f t="shared" si="85"/>
        <v>8134</v>
      </c>
      <c r="DO29" s="875">
        <f>+SUM(DK29:DN29)</f>
        <v>1890</v>
      </c>
      <c r="DP29" s="554">
        <f t="shared" ref="DP29:DQ29" si="86">SUM(DP27:DP28)</f>
        <v>-90</v>
      </c>
      <c r="DQ29" s="543">
        <f t="shared" si="86"/>
        <v>-530</v>
      </c>
      <c r="DS29" s="693"/>
      <c r="DT29" s="14"/>
      <c r="DU29" s="554"/>
      <c r="DX29" s="693"/>
      <c r="DY29" s="14"/>
      <c r="DZ29" s="14"/>
      <c r="EA29" s="14"/>
      <c r="EB29" s="14"/>
    </row>
    <row r="30" spans="1:132" s="103" customFormat="1" ht="12" customHeight="1">
      <c r="A30" s="68"/>
      <c r="B30" s="68"/>
      <c r="C30" s="76"/>
      <c r="D30" s="76"/>
      <c r="E30" s="76"/>
      <c r="F30" s="76"/>
      <c r="G30" s="76"/>
      <c r="H30" s="76"/>
      <c r="I30" s="76"/>
      <c r="J30" s="77"/>
      <c r="K30" s="77"/>
      <c r="L30" s="77"/>
      <c r="M30" s="77"/>
      <c r="N30" s="76"/>
      <c r="O30" s="77"/>
      <c r="P30" s="77"/>
      <c r="Q30" s="77"/>
      <c r="R30" s="77"/>
      <c r="S30" s="76"/>
      <c r="T30" s="77"/>
      <c r="U30" s="77"/>
      <c r="V30" s="77"/>
      <c r="W30" s="77"/>
      <c r="X30" s="76"/>
      <c r="Y30" s="77"/>
      <c r="Z30" s="77"/>
      <c r="AA30" s="77"/>
      <c r="AB30" s="77"/>
      <c r="AC30" s="76"/>
      <c r="AD30" s="77"/>
      <c r="AE30" s="77"/>
      <c r="AF30" s="77"/>
      <c r="AG30" s="77"/>
      <c r="AH30" s="76"/>
      <c r="AI30" s="77"/>
      <c r="AJ30" s="77"/>
      <c r="AK30" s="77"/>
      <c r="AL30" s="77"/>
      <c r="AM30" s="76"/>
      <c r="AN30" s="77"/>
      <c r="AO30" s="77"/>
      <c r="AP30" s="77"/>
      <c r="AQ30" s="77"/>
      <c r="AR30" s="76"/>
      <c r="AS30" s="77"/>
      <c r="AT30" s="77"/>
      <c r="AU30" s="77"/>
      <c r="AV30" s="77"/>
      <c r="AW30" s="76"/>
      <c r="AX30" s="77"/>
      <c r="AY30" s="77"/>
      <c r="AZ30" s="77"/>
      <c r="BA30" s="77"/>
      <c r="BB30" s="76"/>
      <c r="BC30" s="77"/>
      <c r="BD30" s="77"/>
      <c r="BE30" s="77"/>
      <c r="BF30" s="77"/>
      <c r="BG30" s="76"/>
      <c r="BH30" s="77"/>
      <c r="BI30" s="693"/>
      <c r="BJ30" s="77"/>
      <c r="BK30" s="77"/>
      <c r="BL30" s="76"/>
      <c r="BM30" s="77"/>
      <c r="BN30" s="693"/>
      <c r="BO30" s="77"/>
      <c r="BP30" s="77"/>
      <c r="BQ30" s="76"/>
      <c r="BR30" s="77"/>
      <c r="BS30" s="554"/>
      <c r="BT30" s="77"/>
      <c r="BU30" s="77"/>
      <c r="BV30" s="871"/>
      <c r="BW30" s="86"/>
      <c r="BX30" s="554"/>
      <c r="BY30" s="86"/>
      <c r="BZ30" s="86"/>
      <c r="CA30" s="871"/>
      <c r="CB30" s="77"/>
      <c r="CC30" s="693"/>
      <c r="CD30" s="77"/>
      <c r="CE30" s="77"/>
      <c r="CF30" s="871"/>
      <c r="CG30" s="693"/>
      <c r="CH30" s="693"/>
      <c r="CI30" s="693"/>
      <c r="CJ30" s="693"/>
      <c r="CK30" s="76"/>
      <c r="CL30" s="77"/>
      <c r="CM30" s="77"/>
      <c r="CN30" s="77"/>
      <c r="CO30" s="77"/>
      <c r="CP30" s="76"/>
      <c r="CQ30" s="77"/>
      <c r="CR30" s="77"/>
      <c r="CS30" s="77"/>
      <c r="CT30" s="77"/>
      <c r="CU30" s="76"/>
      <c r="CV30" s="77"/>
      <c r="CW30" s="77"/>
      <c r="CX30" s="77"/>
      <c r="CY30" s="77"/>
      <c r="CZ30" s="76"/>
      <c r="DA30" s="77"/>
      <c r="DB30" s="77"/>
      <c r="DC30" s="77"/>
      <c r="DD30" s="77"/>
      <c r="DE30" s="76"/>
      <c r="DF30" s="77"/>
      <c r="DG30" s="16"/>
      <c r="DH30" s="593"/>
      <c r="DI30" s="77"/>
      <c r="DJ30" s="76"/>
      <c r="DK30" s="77"/>
      <c r="DL30" s="16"/>
      <c r="DM30" s="16"/>
      <c r="DN30" s="77"/>
      <c r="DO30" s="76"/>
      <c r="DP30" s="77"/>
      <c r="DQ30" s="593"/>
      <c r="DS30" s="77"/>
      <c r="DT30" s="76"/>
      <c r="DU30" s="77"/>
      <c r="DX30" s="77"/>
      <c r="DY30" s="76"/>
      <c r="DZ30" s="76"/>
      <c r="EA30" s="76"/>
      <c r="EB30" s="76"/>
    </row>
    <row r="31" spans="1:132" s="103" customFormat="1" ht="12" customHeight="1">
      <c r="A31" s="68"/>
      <c r="B31" s="68" t="s">
        <v>42</v>
      </c>
      <c r="C31" s="18">
        <f t="shared" ref="C31:AJ31" si="87">C27/C40</f>
        <v>-0.18348623853211007</v>
      </c>
      <c r="D31" s="18">
        <f t="shared" si="87"/>
        <v>1.1467185420292823</v>
      </c>
      <c r="E31" s="18">
        <f t="shared" si="87"/>
        <v>2.5177188965216444</v>
      </c>
      <c r="F31" s="18">
        <f t="shared" si="87"/>
        <v>2.4758580570098894</v>
      </c>
      <c r="G31" s="18">
        <f t="shared" si="87"/>
        <v>3.4623866699338395</v>
      </c>
      <c r="H31" s="18">
        <f t="shared" si="87"/>
        <v>2.9023779724655818</v>
      </c>
      <c r="I31" s="18">
        <f t="shared" si="87"/>
        <v>0.89738782652168481</v>
      </c>
      <c r="J31" s="19">
        <f t="shared" si="87"/>
        <v>0.77758362456315522</v>
      </c>
      <c r="K31" s="19">
        <f t="shared" si="87"/>
        <v>0.72542708591235461</v>
      </c>
      <c r="L31" s="19">
        <f t="shared" si="87"/>
        <v>0.54194506310319224</v>
      </c>
      <c r="M31" s="19">
        <f t="shared" si="87"/>
        <v>0.21336951159348785</v>
      </c>
      <c r="N31" s="18">
        <f t="shared" si="87"/>
        <v>2.2552664188351921</v>
      </c>
      <c r="O31" s="19">
        <f t="shared" si="87"/>
        <v>0.64378757515030061</v>
      </c>
      <c r="P31" s="19">
        <f t="shared" si="87"/>
        <v>0.71347535610739954</v>
      </c>
      <c r="Q31" s="19">
        <f t="shared" si="87"/>
        <v>1.2866759812015751</v>
      </c>
      <c r="R31" s="19">
        <f t="shared" si="87"/>
        <v>0.60516129032258059</v>
      </c>
      <c r="S31" s="18">
        <f t="shared" si="87"/>
        <v>3.2492073557387444</v>
      </c>
      <c r="T31" s="19">
        <f t="shared" si="87"/>
        <v>0.89811810512654122</v>
      </c>
      <c r="U31" s="19">
        <f t="shared" si="87"/>
        <v>-0.21016681991330621</v>
      </c>
      <c r="V31" s="19">
        <f t="shared" si="87"/>
        <v>0.89780077619663645</v>
      </c>
      <c r="W31" s="19">
        <f t="shared" si="87"/>
        <v>1.2577002053388089</v>
      </c>
      <c r="X31" s="18">
        <f t="shared" si="87"/>
        <v>2.8612191958495461</v>
      </c>
      <c r="Y31" s="19">
        <f t="shared" si="87"/>
        <v>1.1405800888424353</v>
      </c>
      <c r="Z31" s="19">
        <f t="shared" si="87"/>
        <v>1.3739358218729536</v>
      </c>
      <c r="AA31" s="19">
        <f t="shared" si="87"/>
        <v>1.4605557750559728</v>
      </c>
      <c r="AB31" s="19">
        <f t="shared" si="87"/>
        <v>1.3711615487316426</v>
      </c>
      <c r="AC31" s="18">
        <f t="shared" si="87"/>
        <v>5.3443961543526939</v>
      </c>
      <c r="AD31" s="19">
        <f t="shared" si="87"/>
        <v>1.6341463414634145</v>
      </c>
      <c r="AE31" s="19">
        <f t="shared" si="87"/>
        <v>1.1729841488628532</v>
      </c>
      <c r="AF31" s="19">
        <f t="shared" si="87"/>
        <v>0.95191637630662018</v>
      </c>
      <c r="AG31" s="19">
        <f t="shared" si="87"/>
        <v>-0.12122920778122355</v>
      </c>
      <c r="AH31" s="18">
        <f t="shared" si="87"/>
        <v>3.6728480487129809</v>
      </c>
      <c r="AI31" s="19">
        <f t="shared" si="87"/>
        <v>0.8719693747341557</v>
      </c>
      <c r="AJ31" s="19">
        <f t="shared" si="87"/>
        <v>1.4137833238797504</v>
      </c>
      <c r="AK31" s="19">
        <f t="shared" ref="AK31:AQ31" si="88">AK27/AK40</f>
        <v>-2.2244403251105092</v>
      </c>
      <c r="AL31" s="19">
        <f t="shared" si="88"/>
        <v>1.7902467135786657</v>
      </c>
      <c r="AM31" s="18">
        <f t="shared" si="88"/>
        <v>1.8813416009019166</v>
      </c>
      <c r="AN31" s="19">
        <f t="shared" si="88"/>
        <v>0.70631464344039196</v>
      </c>
      <c r="AO31" s="19">
        <f t="shared" si="88"/>
        <v>1.0702658708627237</v>
      </c>
      <c r="AP31" s="19">
        <f>AP27/AP40</f>
        <v>1.1324583953456906</v>
      </c>
      <c r="AQ31" s="19">
        <f t="shared" si="88"/>
        <v>1.57</v>
      </c>
      <c r="AR31" s="18">
        <f t="shared" ref="AR31:AW31" si="89">AR27/AR40</f>
        <v>4.4858420268256332</v>
      </c>
      <c r="AS31" s="19">
        <f t="shared" si="89"/>
        <v>0.79122358325481223</v>
      </c>
      <c r="AT31" s="19">
        <f t="shared" si="89"/>
        <v>1.2635814889336017</v>
      </c>
      <c r="AU31" s="19">
        <f t="shared" si="89"/>
        <v>1.4625668449197862</v>
      </c>
      <c r="AV31" s="19">
        <f t="shared" si="89"/>
        <v>1.85</v>
      </c>
      <c r="AW31" s="18">
        <f t="shared" si="89"/>
        <v>5.3723546745245105</v>
      </c>
      <c r="AX31" s="19">
        <f t="shared" ref="AX31:BC31" si="90">AX27/AX40</f>
        <v>1.2279069767441861</v>
      </c>
      <c r="AY31" s="19">
        <f t="shared" si="90"/>
        <v>1.2792697446752217</v>
      </c>
      <c r="AZ31" s="19">
        <f t="shared" si="90"/>
        <v>1.3645255088554065</v>
      </c>
      <c r="BA31" s="19">
        <f t="shared" si="90"/>
        <v>1.2905779889152809</v>
      </c>
      <c r="BB31" s="18">
        <f t="shared" si="90"/>
        <v>5.1626306735477003</v>
      </c>
      <c r="BC31" s="19">
        <f t="shared" si="90"/>
        <v>1.4499213424226534</v>
      </c>
      <c r="BD31" s="19">
        <f t="shared" ref="BD31:BE31" si="91">BD27/BD40</f>
        <v>1.4240796541333685</v>
      </c>
      <c r="BE31" s="19">
        <f t="shared" si="91"/>
        <v>1.5275217276797473</v>
      </c>
      <c r="BF31" s="19">
        <f t="shared" ref="BF31:BG31" si="92">BF27/BF40</f>
        <v>1.63</v>
      </c>
      <c r="BG31" s="18">
        <f t="shared" si="92"/>
        <v>6.0283911671924217</v>
      </c>
      <c r="BH31" s="19">
        <f t="shared" ref="BH31:BI31" si="93">BH27/BH40</f>
        <v>1.2953020134228188</v>
      </c>
      <c r="BI31" s="19">
        <f t="shared" si="93"/>
        <v>2.2609766105867868</v>
      </c>
      <c r="BJ31" s="19">
        <f t="shared" ref="BJ31:BK31" si="94">BJ27/BJ40</f>
        <v>1.8843386828998341</v>
      </c>
      <c r="BK31" s="19">
        <f t="shared" si="94"/>
        <v>2.0604356992269852</v>
      </c>
      <c r="BL31" s="18">
        <f t="shared" ref="BL31:BM31" si="95">BL27/BL40</f>
        <v>7.4848818031885651</v>
      </c>
      <c r="BM31" s="19">
        <f t="shared" si="95"/>
        <v>1.8931557318974066</v>
      </c>
      <c r="BN31" s="19">
        <f t="shared" ref="BN31:BO31" si="96">BN27/BN40</f>
        <v>1.6059027777777777</v>
      </c>
      <c r="BO31" s="19">
        <f t="shared" si="96"/>
        <v>2.5011008366358434</v>
      </c>
      <c r="BP31" s="19">
        <f t="shared" ref="BP31:BQ31" si="97">BP27/BP40</f>
        <v>1.5233853006681515</v>
      </c>
      <c r="BQ31" s="18">
        <f t="shared" si="97"/>
        <v>7.5232558139534884</v>
      </c>
      <c r="BR31" s="19">
        <f t="shared" ref="BR31:BS31" si="98">BR27/BR40</f>
        <v>1.8480897513644632</v>
      </c>
      <c r="BS31" s="19">
        <f t="shared" si="98"/>
        <v>-0.36775106082036779</v>
      </c>
      <c r="BT31" s="19">
        <f t="shared" ref="BT31:BU31" si="99">BT27/BT40</f>
        <v>3.6434852118305354</v>
      </c>
      <c r="BU31" s="19">
        <f t="shared" si="99"/>
        <v>2.6175573744182317</v>
      </c>
      <c r="BV31" s="876">
        <f t="shared" ref="BV31:BW31" si="100">BV27/BV40</f>
        <v>7.6904948939512963</v>
      </c>
      <c r="BW31" s="900">
        <f t="shared" si="100"/>
        <v>2.569986979166667</v>
      </c>
      <c r="BX31" s="900">
        <f t="shared" ref="BX31:BY31" si="101">BX27/BX40</f>
        <v>2.9029045643153526</v>
      </c>
      <c r="BY31" s="900">
        <f t="shared" si="101"/>
        <v>3.0252381748286816</v>
      </c>
      <c r="BZ31" s="900"/>
      <c r="CA31" s="871"/>
      <c r="CB31" s="900">
        <f t="shared" ref="CB31:CC31" si="102">CB27/CB40</f>
        <v>4.1926201760324986</v>
      </c>
      <c r="CC31" s="900">
        <f t="shared" si="102"/>
        <v>3.7693099897013385</v>
      </c>
      <c r="CD31" s="900">
        <f t="shared" ref="CD31" si="103">CD27/CD40</f>
        <v>4.1109951287404316</v>
      </c>
      <c r="CE31" s="900"/>
      <c r="CF31" s="876"/>
      <c r="CG31" s="900">
        <f t="shared" ref="CG31:CH31" si="104">CG27/CG40</f>
        <v>3.785450061652281</v>
      </c>
      <c r="CH31" s="900">
        <f t="shared" si="104"/>
        <v>-5.2098459358951654</v>
      </c>
      <c r="CI31" s="900">
        <f t="shared" ref="CI31" si="105">CI27/CI40</f>
        <v>2.0647558386411888</v>
      </c>
      <c r="CJ31" s="900"/>
      <c r="CK31" s="76"/>
      <c r="CL31" s="900">
        <f t="shared" ref="CL31:CM31" si="106">CL27/CL40</f>
        <v>-1.1097367025976321</v>
      </c>
      <c r="CM31" s="900" t="e">
        <f t="shared" si="106"/>
        <v>#DIV/0!</v>
      </c>
      <c r="CN31" s="900">
        <f t="shared" ref="CN31:CO31" si="107">CN27/CN40</f>
        <v>-0.79244617013766327</v>
      </c>
      <c r="CO31" s="900" t="e">
        <f t="shared" si="107"/>
        <v>#DIV/0!</v>
      </c>
      <c r="CP31" s="76"/>
      <c r="CQ31" s="900">
        <f t="shared" ref="CQ31:CR31" si="108">CQ27/CQ40</f>
        <v>-0.91732148957977455</v>
      </c>
      <c r="CR31" s="900">
        <f t="shared" si="108"/>
        <v>0.994578109115554</v>
      </c>
      <c r="CS31" s="900">
        <f t="shared" ref="CS31:CT31" si="109">CS27/CS40</f>
        <v>-0.18505942275042445</v>
      </c>
      <c r="CT31" s="900">
        <f t="shared" si="109"/>
        <v>-7.0184651871929535</v>
      </c>
      <c r="CU31" s="76"/>
      <c r="CV31" s="900">
        <f t="shared" ref="CV31:CW31" si="110">CV27/CV40</f>
        <v>-2.0601656244718605</v>
      </c>
      <c r="CW31" s="900">
        <f t="shared" si="110"/>
        <v>0.32360831656606304</v>
      </c>
      <c r="CX31" s="900">
        <f t="shared" ref="CX31:CY31" si="111">CX27/CX40</f>
        <v>-5.4922019117893681</v>
      </c>
      <c r="CY31" s="900">
        <f t="shared" si="111"/>
        <v>-1.0586074469861413</v>
      </c>
      <c r="CZ31" s="76"/>
      <c r="DA31" s="900">
        <f t="shared" ref="DA31:DB31" si="112">DA27/DA40</f>
        <v>-0.68713692946058091</v>
      </c>
      <c r="DB31" s="900">
        <f t="shared" si="112"/>
        <v>-0.24607762180016515</v>
      </c>
      <c r="DC31" s="900">
        <f t="shared" ref="DC31:DD31" si="113">DC27/DC40</f>
        <v>-2.6943346508563897</v>
      </c>
      <c r="DD31" s="900">
        <f t="shared" si="113"/>
        <v>-3.7947533410328325E-2</v>
      </c>
      <c r="DE31" s="76"/>
      <c r="DF31" s="900">
        <f t="shared" ref="DF31:DI31" si="114">DF27/DF40</f>
        <v>-0.55936073059360725</v>
      </c>
      <c r="DG31" s="1045">
        <f t="shared" si="114"/>
        <v>-2.3337658125202725</v>
      </c>
      <c r="DH31" s="1069">
        <f t="shared" si="114"/>
        <v>-9.9709114414996769</v>
      </c>
      <c r="DI31" s="900">
        <f t="shared" si="114"/>
        <v>-5.3711182286589612</v>
      </c>
      <c r="DJ31" s="76"/>
      <c r="DK31" s="900">
        <f t="shared" ref="DK31:DN31" si="115">DK27/DK40</f>
        <v>-4.9110698168303692E-2</v>
      </c>
      <c r="DL31" s="1045">
        <f t="shared" si="115"/>
        <v>-0.80756013745704469</v>
      </c>
      <c r="DM31" s="1045">
        <f t="shared" si="115"/>
        <v>-7.0232925384919067</v>
      </c>
      <c r="DN31" s="900">
        <f t="shared" si="115"/>
        <v>10.703125</v>
      </c>
      <c r="DO31" s="76"/>
      <c r="DP31" s="900">
        <f t="shared" ref="DP31:DQ31" si="116">DP27/DP40</f>
        <v>-5.076142131979695E-3</v>
      </c>
      <c r="DQ31" s="1069">
        <f t="shared" si="116"/>
        <v>-0.56159878573235511</v>
      </c>
      <c r="DS31" s="19"/>
      <c r="DT31" s="76"/>
      <c r="DU31" s="900"/>
      <c r="DX31" s="19"/>
      <c r="DY31" s="76"/>
      <c r="DZ31" s="76"/>
      <c r="EA31" s="76"/>
      <c r="EB31" s="76"/>
    </row>
    <row r="32" spans="1:132" s="103" customFormat="1" ht="12" customHeight="1">
      <c r="A32" s="68"/>
      <c r="B32" s="68" t="s">
        <v>39</v>
      </c>
      <c r="C32" s="4">
        <f t="shared" ref="C32:AJ32" si="117">C28/C40</f>
        <v>0</v>
      </c>
      <c r="D32" s="4">
        <f t="shared" si="117"/>
        <v>0</v>
      </c>
      <c r="E32" s="4">
        <f t="shared" si="117"/>
        <v>0</v>
      </c>
      <c r="F32" s="4">
        <f t="shared" si="117"/>
        <v>0</v>
      </c>
      <c r="G32" s="4">
        <f t="shared" si="117"/>
        <v>1.2251899044351873E-3</v>
      </c>
      <c r="H32" s="4">
        <f t="shared" si="117"/>
        <v>-2.2866082603254068</v>
      </c>
      <c r="I32" s="4">
        <f t="shared" si="117"/>
        <v>0</v>
      </c>
      <c r="J32" s="3">
        <f t="shared" si="117"/>
        <v>0</v>
      </c>
      <c r="K32" s="3">
        <f t="shared" si="117"/>
        <v>2.5996533795493937E-2</v>
      </c>
      <c r="L32" s="3">
        <f t="shared" si="117"/>
        <v>2.2271714922048998E-2</v>
      </c>
      <c r="M32" s="3">
        <f t="shared" si="117"/>
        <v>1.6033547113961516E-2</v>
      </c>
      <c r="N32" s="4">
        <f t="shared" si="117"/>
        <v>6.4436183395291197E-2</v>
      </c>
      <c r="O32" s="3">
        <f t="shared" si="117"/>
        <v>2.6302605210420844E-2</v>
      </c>
      <c r="P32" s="3">
        <f t="shared" si="117"/>
        <v>0</v>
      </c>
      <c r="Q32" s="3">
        <f t="shared" si="117"/>
        <v>-2.5403277022735937E-3</v>
      </c>
      <c r="R32" s="3">
        <f t="shared" si="117"/>
        <v>-1.1612903225806452E-2</v>
      </c>
      <c r="S32" s="4">
        <f t="shared" si="117"/>
        <v>1.2682308180088777E-2</v>
      </c>
      <c r="T32" s="3">
        <f t="shared" si="117"/>
        <v>0</v>
      </c>
      <c r="U32" s="3">
        <f t="shared" si="117"/>
        <v>0</v>
      </c>
      <c r="V32" s="3">
        <f t="shared" si="117"/>
        <v>0</v>
      </c>
      <c r="W32" s="3">
        <f t="shared" si="117"/>
        <v>1.1550308008213552E-2</v>
      </c>
      <c r="X32" s="4">
        <f t="shared" si="117"/>
        <v>1.1673151750972763E-2</v>
      </c>
      <c r="Y32" s="3">
        <f t="shared" si="117"/>
        <v>5.2260256075254774E-3</v>
      </c>
      <c r="Z32" s="3">
        <f t="shared" si="117"/>
        <v>1.3097576948264572E-3</v>
      </c>
      <c r="AA32" s="3">
        <f t="shared" si="117"/>
        <v>6.5850125115237725E-3</v>
      </c>
      <c r="AB32" s="3">
        <f t="shared" si="117"/>
        <v>8.0106809078771719E-3</v>
      </c>
      <c r="AC32" s="4">
        <f t="shared" si="117"/>
        <v>2.1072040036876072E-2</v>
      </c>
      <c r="AD32" s="3">
        <f t="shared" si="117"/>
        <v>6.7750677506775072E-3</v>
      </c>
      <c r="AE32" s="3">
        <f t="shared" si="117"/>
        <v>1.3783597518952446E-3</v>
      </c>
      <c r="AF32" s="3">
        <f t="shared" si="117"/>
        <v>1.6724738675958188E-2</v>
      </c>
      <c r="AG32" s="3">
        <f t="shared" si="117"/>
        <v>0</v>
      </c>
      <c r="AH32" s="4">
        <f t="shared" si="117"/>
        <v>2.4910047052311098E-2</v>
      </c>
      <c r="AI32" s="3">
        <f t="shared" si="117"/>
        <v>-7.08918190840777E-3</v>
      </c>
      <c r="AJ32" s="3">
        <f t="shared" si="117"/>
        <v>1.4180374361883153E-3</v>
      </c>
      <c r="AK32" s="3">
        <f t="shared" ref="AK32:AQ32" si="118">AK28/AK40</f>
        <v>-5.7036931413089976E-3</v>
      </c>
      <c r="AL32" s="3">
        <f t="shared" si="118"/>
        <v>-2.0930398054310198E-2</v>
      </c>
      <c r="AM32" s="4">
        <f t="shared" si="118"/>
        <v>-3.2412626832018038E-2</v>
      </c>
      <c r="AN32" s="3">
        <f t="shared" si="118"/>
        <v>0</v>
      </c>
      <c r="AO32" s="3">
        <f t="shared" si="118"/>
        <v>-2.7129679869777536E-3</v>
      </c>
      <c r="AP32" s="3">
        <f t="shared" si="118"/>
        <v>0</v>
      </c>
      <c r="AQ32" s="3">
        <f t="shared" si="118"/>
        <v>-2.6929674099485422E-3</v>
      </c>
      <c r="AR32" s="4">
        <f t="shared" ref="AR32:AW32" si="119">AR28/AR40</f>
        <v>-5.4193198753556427E-3</v>
      </c>
      <c r="AS32" s="3">
        <f t="shared" si="119"/>
        <v>-2.6921523758244715E-3</v>
      </c>
      <c r="AT32" s="3">
        <f t="shared" si="119"/>
        <v>-1.3413816230717639E-3</v>
      </c>
      <c r="AU32" s="3">
        <f t="shared" si="119"/>
        <v>5.3475935828877002E-3</v>
      </c>
      <c r="AV32" s="3">
        <f t="shared" si="119"/>
        <v>8.0017301038062278E-3</v>
      </c>
      <c r="AW32" s="4">
        <f t="shared" si="119"/>
        <v>9.3758371283150285E-3</v>
      </c>
      <c r="AX32" s="3">
        <f t="shared" ref="AX32:BC32" si="120">AX28/AX40</f>
        <v>-1.3289036544850499E-3</v>
      </c>
      <c r="AY32" s="3">
        <f t="shared" si="120"/>
        <v>0</v>
      </c>
      <c r="AZ32" s="3">
        <f t="shared" si="120"/>
        <v>0</v>
      </c>
      <c r="BA32" s="3">
        <f t="shared" si="120"/>
        <v>0</v>
      </c>
      <c r="BB32" s="4">
        <f t="shared" si="120"/>
        <v>-1.3232764324467381E-3</v>
      </c>
      <c r="BC32" s="3">
        <f t="shared" si="120"/>
        <v>0</v>
      </c>
      <c r="BD32" s="3">
        <f t="shared" ref="BD32:BE32" si="121">BD28/BD40</f>
        <v>1.3101008777675882E-3</v>
      </c>
      <c r="BE32" s="3">
        <f t="shared" si="121"/>
        <v>-2.6336581511719778E-3</v>
      </c>
      <c r="BF32" s="3">
        <f t="shared" ref="BF32:BG32" si="122">BF28/BF40</f>
        <v>0</v>
      </c>
      <c r="BG32" s="4">
        <f t="shared" si="122"/>
        <v>-1.3144058885383807E-3</v>
      </c>
      <c r="BH32" s="3">
        <f t="shared" ref="BH32:BI32" si="123">BH28/BH40</f>
        <v>0</v>
      </c>
      <c r="BI32" s="3">
        <f t="shared" si="123"/>
        <v>0</v>
      </c>
      <c r="BJ32" s="3">
        <f t="shared" ref="BJ32:BK32" si="124">BJ28/BJ40</f>
        <v>0</v>
      </c>
      <c r="BK32" s="3">
        <f t="shared" si="124"/>
        <v>0</v>
      </c>
      <c r="BL32" s="4">
        <f t="shared" ref="BL32:BM32" si="125">BL28/BL40</f>
        <v>0</v>
      </c>
      <c r="BM32" s="3">
        <f t="shared" si="125"/>
        <v>0</v>
      </c>
      <c r="BN32" s="3">
        <f t="shared" ref="BN32:BO32" si="126">BN28/BN40</f>
        <v>0</v>
      </c>
      <c r="BO32" s="3">
        <f t="shared" si="126"/>
        <v>0</v>
      </c>
      <c r="BP32" s="3">
        <f t="shared" ref="BP32:BQ32" si="127">BP28/BP40</f>
        <v>0</v>
      </c>
      <c r="BQ32" s="4">
        <f t="shared" si="127"/>
        <v>0</v>
      </c>
      <c r="BR32" s="3">
        <f t="shared" ref="BR32:BS32" si="128">BR28/BR40</f>
        <v>0</v>
      </c>
      <c r="BS32" s="3">
        <f t="shared" si="128"/>
        <v>0</v>
      </c>
      <c r="BT32" s="3">
        <f t="shared" ref="BT32:BU32" si="129">BT28/BT40</f>
        <v>0</v>
      </c>
      <c r="BU32" s="3">
        <f t="shared" si="129"/>
        <v>0</v>
      </c>
      <c r="BV32" s="877">
        <f t="shared" ref="BV32:BW32" si="130">BV28/BV40</f>
        <v>0</v>
      </c>
      <c r="BW32" s="901">
        <f t="shared" si="130"/>
        <v>0</v>
      </c>
      <c r="BX32" s="901">
        <f t="shared" ref="BX32:BY32" si="131">BX28/BX40</f>
        <v>0</v>
      </c>
      <c r="BY32" s="901">
        <f t="shared" si="131"/>
        <v>0</v>
      </c>
      <c r="BZ32" s="901"/>
      <c r="CA32" s="871"/>
      <c r="CB32" s="901">
        <f t="shared" ref="CB32:CC32" si="132">CB28/CB40</f>
        <v>0</v>
      </c>
      <c r="CC32" s="901">
        <f t="shared" si="132"/>
        <v>0</v>
      </c>
      <c r="CD32" s="901">
        <f t="shared" ref="CD32" si="133">CD28/CD40</f>
        <v>0</v>
      </c>
      <c r="CE32" s="901"/>
      <c r="CF32" s="877"/>
      <c r="CG32" s="901">
        <f t="shared" ref="CG32:CH32" si="134">CG28/CG40</f>
        <v>0</v>
      </c>
      <c r="CH32" s="901">
        <f t="shared" si="134"/>
        <v>0</v>
      </c>
      <c r="CI32" s="901">
        <f t="shared" ref="CI32" si="135">CI28/CI40</f>
        <v>0</v>
      </c>
      <c r="CJ32" s="901"/>
      <c r="CK32" s="76"/>
      <c r="CL32" s="901">
        <f t="shared" ref="CL32:CM32" si="136">CL28/CL40</f>
        <v>0</v>
      </c>
      <c r="CM32" s="901" t="e">
        <f t="shared" si="136"/>
        <v>#DIV/0!</v>
      </c>
      <c r="CN32" s="901">
        <f t="shared" ref="CN32:CO32" si="137">CN28/CN40</f>
        <v>0</v>
      </c>
      <c r="CO32" s="901" t="e">
        <f t="shared" si="137"/>
        <v>#DIV/0!</v>
      </c>
      <c r="CP32" s="76"/>
      <c r="CQ32" s="901">
        <f t="shared" ref="CQ32:CR32" si="138">CQ28/CQ40</f>
        <v>0</v>
      </c>
      <c r="CR32" s="901">
        <f t="shared" si="138"/>
        <v>0</v>
      </c>
      <c r="CS32" s="901">
        <f t="shared" ref="CS32:CT32" si="139">CS28/CS40</f>
        <v>0</v>
      </c>
      <c r="CT32" s="901">
        <f t="shared" si="139"/>
        <v>0</v>
      </c>
      <c r="CU32" s="76"/>
      <c r="CV32" s="901">
        <f t="shared" ref="CV32:CW32" si="140">CV28/CV40</f>
        <v>0</v>
      </c>
      <c r="CW32" s="901">
        <f t="shared" si="140"/>
        <v>0</v>
      </c>
      <c r="CX32" s="901">
        <f t="shared" ref="CX32:CY32" si="141">CX28/CX40</f>
        <v>0</v>
      </c>
      <c r="CY32" s="901">
        <f t="shared" si="141"/>
        <v>0</v>
      </c>
      <c r="CZ32" s="76"/>
      <c r="DA32" s="901">
        <f t="shared" ref="DA32:DB32" si="142">DA28/DA40</f>
        <v>0</v>
      </c>
      <c r="DB32" s="901">
        <f t="shared" si="142"/>
        <v>0</v>
      </c>
      <c r="DC32" s="901">
        <f t="shared" ref="DC32:DD32" si="143">DC28/DC40</f>
        <v>0</v>
      </c>
      <c r="DD32" s="901">
        <f t="shared" si="143"/>
        <v>0</v>
      </c>
      <c r="DE32" s="76"/>
      <c r="DF32" s="901">
        <f t="shared" ref="DF32:DH32" si="144">DF28/DF40</f>
        <v>0</v>
      </c>
      <c r="DG32" s="901">
        <f t="shared" si="144"/>
        <v>0</v>
      </c>
      <c r="DH32" s="1067">
        <f t="shared" si="144"/>
        <v>0</v>
      </c>
      <c r="DI32" s="901">
        <f>DI28/DI40-0.01</f>
        <v>-9.076869516780392E-2</v>
      </c>
      <c r="DJ32" s="76"/>
      <c r="DK32" s="901">
        <f t="shared" ref="DK32:DN32" si="145">DK28/DK40</f>
        <v>-0.11414919033713831</v>
      </c>
      <c r="DL32" s="901">
        <f t="shared" si="145"/>
        <v>-0.11366640232619614</v>
      </c>
      <c r="DM32" s="901">
        <f t="shared" si="145"/>
        <v>-0.11448874851954205</v>
      </c>
      <c r="DN32" s="901">
        <f t="shared" si="145"/>
        <v>-0.11197916666666667</v>
      </c>
      <c r="DO32" s="76"/>
      <c r="DP32" s="901">
        <f t="shared" ref="DP32:DQ32" si="146">DP28/DP40</f>
        <v>-0.10913705583756345</v>
      </c>
      <c r="DQ32" s="1067">
        <f t="shared" si="146"/>
        <v>-0.10877814318239312</v>
      </c>
      <c r="DS32" s="3"/>
      <c r="DT32" s="76"/>
      <c r="DU32" s="901"/>
      <c r="DX32" s="3"/>
      <c r="DY32" s="76"/>
      <c r="DZ32" s="76"/>
      <c r="EA32" s="76"/>
      <c r="EB32" s="76"/>
    </row>
    <row r="33" spans="1:132" s="103" customFormat="1" ht="12" customHeight="1">
      <c r="A33" s="68"/>
      <c r="B33" s="68" t="s">
        <v>43</v>
      </c>
      <c r="C33" s="18">
        <f t="shared" ref="C33:AJ33" si="147">SUM(C31:C32)</f>
        <v>-0.18348623853211007</v>
      </c>
      <c r="D33" s="18">
        <f t="shared" si="147"/>
        <v>1.1467185420292823</v>
      </c>
      <c r="E33" s="18">
        <f t="shared" si="147"/>
        <v>2.5177188965216444</v>
      </c>
      <c r="F33" s="18">
        <f t="shared" si="147"/>
        <v>2.4758580570098894</v>
      </c>
      <c r="G33" s="18">
        <f t="shared" si="147"/>
        <v>3.4636118598382746</v>
      </c>
      <c r="H33" s="18">
        <f t="shared" si="147"/>
        <v>0.61576971214017506</v>
      </c>
      <c r="I33" s="18">
        <f t="shared" si="147"/>
        <v>0.89738782652168481</v>
      </c>
      <c r="J33" s="19">
        <f t="shared" si="147"/>
        <v>0.77758362456315522</v>
      </c>
      <c r="K33" s="19">
        <f t="shared" si="147"/>
        <v>0.75142361970784854</v>
      </c>
      <c r="L33" s="19">
        <f t="shared" si="147"/>
        <v>0.56421677802524128</v>
      </c>
      <c r="M33" s="19">
        <f t="shared" si="147"/>
        <v>0.22940305870744937</v>
      </c>
      <c r="N33" s="18">
        <f t="shared" si="147"/>
        <v>2.3197026022304832</v>
      </c>
      <c r="O33" s="19">
        <f t="shared" si="147"/>
        <v>0.67009018036072143</v>
      </c>
      <c r="P33" s="19">
        <f t="shared" si="147"/>
        <v>0.71347535610739954</v>
      </c>
      <c r="Q33" s="19">
        <f t="shared" si="147"/>
        <v>1.2841356534993016</v>
      </c>
      <c r="R33" s="19">
        <f t="shared" si="147"/>
        <v>0.59354838709677415</v>
      </c>
      <c r="S33" s="18">
        <f t="shared" si="147"/>
        <v>3.2618896639188333</v>
      </c>
      <c r="T33" s="19">
        <f t="shared" si="147"/>
        <v>0.89811810512654122</v>
      </c>
      <c r="U33" s="19">
        <f t="shared" si="147"/>
        <v>-0.21016681991330621</v>
      </c>
      <c r="V33" s="19">
        <f t="shared" si="147"/>
        <v>0.89780077619663645</v>
      </c>
      <c r="W33" s="19">
        <f t="shared" si="147"/>
        <v>1.2692505133470224</v>
      </c>
      <c r="X33" s="18">
        <f t="shared" si="147"/>
        <v>2.8728923476005188</v>
      </c>
      <c r="Y33" s="19">
        <f t="shared" si="147"/>
        <v>1.1458061144499607</v>
      </c>
      <c r="Z33" s="19">
        <f t="shared" si="147"/>
        <v>1.37524557956778</v>
      </c>
      <c r="AA33" s="19">
        <f t="shared" si="147"/>
        <v>1.4671407875674967</v>
      </c>
      <c r="AB33" s="19">
        <f t="shared" si="147"/>
        <v>1.3791722296395199</v>
      </c>
      <c r="AC33" s="18">
        <f t="shared" si="147"/>
        <v>5.3654681943895701</v>
      </c>
      <c r="AD33" s="19">
        <f t="shared" si="147"/>
        <v>1.640921409214092</v>
      </c>
      <c r="AE33" s="19">
        <f t="shared" si="147"/>
        <v>1.1743625086147484</v>
      </c>
      <c r="AF33" s="19">
        <f t="shared" si="147"/>
        <v>0.96864111498257832</v>
      </c>
      <c r="AG33" s="19">
        <f t="shared" si="147"/>
        <v>-0.12122920778122355</v>
      </c>
      <c r="AH33" s="18">
        <f t="shared" si="147"/>
        <v>3.697758095765292</v>
      </c>
      <c r="AI33" s="19">
        <f t="shared" si="147"/>
        <v>0.86488019282574791</v>
      </c>
      <c r="AJ33" s="19">
        <f t="shared" si="147"/>
        <v>1.4152013613159387</v>
      </c>
      <c r="AK33" s="19">
        <f t="shared" ref="AK33:AQ33" si="148">SUM(AK31:AK32)</f>
        <v>-2.230144018251818</v>
      </c>
      <c r="AL33" s="19">
        <f t="shared" si="148"/>
        <v>1.7693163155243554</v>
      </c>
      <c r="AM33" s="18">
        <f t="shared" si="148"/>
        <v>1.8489289740698986</v>
      </c>
      <c r="AN33" s="19">
        <f t="shared" si="148"/>
        <v>0.70631464344039196</v>
      </c>
      <c r="AO33" s="19">
        <f t="shared" si="148"/>
        <v>1.067552902875746</v>
      </c>
      <c r="AP33" s="19">
        <f t="shared" si="148"/>
        <v>1.1324583953456906</v>
      </c>
      <c r="AQ33" s="19">
        <f t="shared" si="148"/>
        <v>1.5673070325900516</v>
      </c>
      <c r="AR33" s="18">
        <f t="shared" ref="AR33:AW33" si="149">SUM(AR31:AR32)</f>
        <v>4.4804227069502778</v>
      </c>
      <c r="AS33" s="19">
        <f t="shared" si="149"/>
        <v>0.7885314308789878</v>
      </c>
      <c r="AT33" s="19">
        <f t="shared" si="149"/>
        <v>1.2622401073105298</v>
      </c>
      <c r="AU33" s="19">
        <f t="shared" si="149"/>
        <v>1.4679144385026739</v>
      </c>
      <c r="AV33" s="19">
        <f t="shared" si="149"/>
        <v>1.8580017301038063</v>
      </c>
      <c r="AW33" s="18">
        <f t="shared" si="149"/>
        <v>5.381730511652826</v>
      </c>
      <c r="AX33" s="19">
        <f t="shared" ref="AX33:BC33" si="150">SUM(AX31:AX32)</f>
        <v>1.2265780730897011</v>
      </c>
      <c r="AY33" s="19">
        <f t="shared" si="150"/>
        <v>1.2792697446752217</v>
      </c>
      <c r="AZ33" s="19">
        <f t="shared" si="150"/>
        <v>1.3645255088554065</v>
      </c>
      <c r="BA33" s="19">
        <f t="shared" si="150"/>
        <v>1.2905779889152809</v>
      </c>
      <c r="BB33" s="18">
        <f t="shared" si="150"/>
        <v>5.1613073971152534</v>
      </c>
      <c r="BC33" s="19">
        <f t="shared" si="150"/>
        <v>1.4499213424226534</v>
      </c>
      <c r="BD33" s="19">
        <f t="shared" ref="BD33:BE33" si="151">SUM(BD31:BD32)</f>
        <v>1.4253897550111361</v>
      </c>
      <c r="BE33" s="19">
        <f t="shared" si="151"/>
        <v>1.5248880695285754</v>
      </c>
      <c r="BF33" s="19">
        <f t="shared" ref="BF33:BG33" si="152">SUM(BF31:BF32)</f>
        <v>1.63</v>
      </c>
      <c r="BG33" s="18">
        <f t="shared" si="152"/>
        <v>6.0270767613038831</v>
      </c>
      <c r="BH33" s="19">
        <f t="shared" ref="BH33:BI33" si="153">SUM(BH31:BH32)</f>
        <v>1.2953020134228188</v>
      </c>
      <c r="BI33" s="19">
        <f t="shared" si="153"/>
        <v>2.2609766105867868</v>
      </c>
      <c r="BJ33" s="19">
        <f t="shared" ref="BJ33:BK33" si="154">SUM(BJ31:BJ32)</f>
        <v>1.8843386828998341</v>
      </c>
      <c r="BK33" s="19">
        <f t="shared" si="154"/>
        <v>2.0604356992269852</v>
      </c>
      <c r="BL33" s="18">
        <f t="shared" ref="BL33:BM33" si="155">SUM(BL31:BL32)</f>
        <v>7.4848818031885651</v>
      </c>
      <c r="BM33" s="19">
        <f t="shared" si="155"/>
        <v>1.8931557318974066</v>
      </c>
      <c r="BN33" s="19">
        <f t="shared" ref="BN33:BO33" si="156">SUM(BN31:BN32)</f>
        <v>1.6059027777777777</v>
      </c>
      <c r="BO33" s="19">
        <f t="shared" si="156"/>
        <v>2.5011008366358434</v>
      </c>
      <c r="BP33" s="19">
        <f t="shared" ref="BP33:BQ33" si="157">SUM(BP31:BP32)</f>
        <v>1.5233853006681515</v>
      </c>
      <c r="BQ33" s="18">
        <f t="shared" si="157"/>
        <v>7.5232558139534884</v>
      </c>
      <c r="BR33" s="19">
        <f t="shared" ref="BR33:BS33" si="158">SUM(BR31:BR32)</f>
        <v>1.8480897513644632</v>
      </c>
      <c r="BS33" s="19">
        <f t="shared" si="158"/>
        <v>-0.36775106082036779</v>
      </c>
      <c r="BT33" s="19">
        <f t="shared" ref="BT33:BU33" si="159">SUM(BT31:BT32)</f>
        <v>3.6434852118305354</v>
      </c>
      <c r="BU33" s="19">
        <f t="shared" si="159"/>
        <v>2.6175573744182317</v>
      </c>
      <c r="BV33" s="876">
        <f t="shared" ref="BV33:BW33" si="160">SUM(BV31:BV32)</f>
        <v>7.6904948939512963</v>
      </c>
      <c r="BW33" s="900">
        <f t="shared" si="160"/>
        <v>2.569986979166667</v>
      </c>
      <c r="BX33" s="900">
        <f t="shared" ref="BX33:BY33" si="161">SUM(BX31:BX32)</f>
        <v>2.9029045643153526</v>
      </c>
      <c r="BY33" s="900">
        <f t="shared" si="161"/>
        <v>3.0252381748286816</v>
      </c>
      <c r="BZ33" s="900"/>
      <c r="CA33" s="871"/>
      <c r="CB33" s="900">
        <f t="shared" ref="CB33:CC33" si="162">SUM(CB31:CB32)</f>
        <v>4.1926201760324986</v>
      </c>
      <c r="CC33" s="900">
        <f t="shared" si="162"/>
        <v>3.7693099897013385</v>
      </c>
      <c r="CD33" s="900">
        <f t="shared" ref="CD33" si="163">SUM(CD31:CD32)</f>
        <v>4.1109951287404316</v>
      </c>
      <c r="CE33" s="900"/>
      <c r="CF33" s="876"/>
      <c r="CG33" s="900">
        <f t="shared" ref="CG33:CH33" si="164">SUM(CG31:CG32)</f>
        <v>3.785450061652281</v>
      </c>
      <c r="CH33" s="900">
        <f t="shared" si="164"/>
        <v>-5.2098459358951654</v>
      </c>
      <c r="CI33" s="900">
        <f t="shared" ref="CI33" si="165">SUM(CI31:CI32)</f>
        <v>2.0647558386411888</v>
      </c>
      <c r="CJ33" s="900"/>
      <c r="CK33" s="76"/>
      <c r="CL33" s="900">
        <f t="shared" ref="CL33:CM33" si="166">SUM(CL31:CL32)</f>
        <v>-1.1097367025976321</v>
      </c>
      <c r="CM33" s="900" t="e">
        <f t="shared" si="166"/>
        <v>#DIV/0!</v>
      </c>
      <c r="CN33" s="900">
        <f t="shared" ref="CN33:CO33" si="167">SUM(CN31:CN32)</f>
        <v>-0.79244617013766327</v>
      </c>
      <c r="CO33" s="900" t="e">
        <f t="shared" si="167"/>
        <v>#DIV/0!</v>
      </c>
      <c r="CP33" s="76"/>
      <c r="CQ33" s="900">
        <f t="shared" ref="CQ33:CR33" si="168">SUM(CQ31:CQ32)</f>
        <v>-0.91732148957977455</v>
      </c>
      <c r="CR33" s="900">
        <f t="shared" si="168"/>
        <v>0.994578109115554</v>
      </c>
      <c r="CS33" s="900">
        <f t="shared" ref="CS33:CT33" si="169">SUM(CS31:CS32)</f>
        <v>-0.18505942275042445</v>
      </c>
      <c r="CT33" s="900">
        <f t="shared" si="169"/>
        <v>-7.0184651871929535</v>
      </c>
      <c r="CU33" s="76"/>
      <c r="CV33" s="900">
        <f t="shared" ref="CV33:CW33" si="170">SUM(CV31:CV32)</f>
        <v>-2.0601656244718605</v>
      </c>
      <c r="CW33" s="900">
        <f t="shared" si="170"/>
        <v>0.32360831656606304</v>
      </c>
      <c r="CX33" s="900">
        <f t="shared" ref="CX33:CY33" si="171">SUM(CX31:CX32)</f>
        <v>-5.4922019117893681</v>
      </c>
      <c r="CY33" s="900">
        <f t="shared" si="171"/>
        <v>-1.0586074469861413</v>
      </c>
      <c r="CZ33" s="76"/>
      <c r="DA33" s="900">
        <f t="shared" ref="DA33:DB33" si="172">SUM(DA31:DA32)</f>
        <v>-0.68713692946058091</v>
      </c>
      <c r="DB33" s="900">
        <f t="shared" si="172"/>
        <v>-0.24607762180016515</v>
      </c>
      <c r="DC33" s="900">
        <f t="shared" ref="DC33:DD33" si="173">SUM(DC31:DC32)</f>
        <v>-2.6943346508563897</v>
      </c>
      <c r="DD33" s="900">
        <f t="shared" si="173"/>
        <v>-3.7947533410328325E-2</v>
      </c>
      <c r="DE33" s="76"/>
      <c r="DF33" s="900">
        <f t="shared" ref="DF33:DI33" si="174">SUM(DF31:DF32)</f>
        <v>-0.55936073059360725</v>
      </c>
      <c r="DG33" s="1045">
        <f t="shared" si="174"/>
        <v>-2.3337658125202725</v>
      </c>
      <c r="DH33" s="1069">
        <f t="shared" si="174"/>
        <v>-9.9709114414996769</v>
      </c>
      <c r="DI33" s="900">
        <f t="shared" si="174"/>
        <v>-5.4618869238267651</v>
      </c>
      <c r="DJ33" s="76"/>
      <c r="DK33" s="900">
        <f t="shared" ref="DK33:DN33" si="175">SUM(DK31:DK32)</f>
        <v>-0.16325988850544201</v>
      </c>
      <c r="DL33" s="1045">
        <f t="shared" si="175"/>
        <v>-0.92122653978324087</v>
      </c>
      <c r="DM33" s="1045">
        <f t="shared" si="175"/>
        <v>-7.1377812870114488</v>
      </c>
      <c r="DN33" s="900">
        <f t="shared" si="175"/>
        <v>10.591145833333334</v>
      </c>
      <c r="DO33" s="76"/>
      <c r="DP33" s="900">
        <f t="shared" ref="DP33:DQ33" si="176">SUM(DP31:DP32)</f>
        <v>-0.11421319796954314</v>
      </c>
      <c r="DQ33" s="1069">
        <f t="shared" si="176"/>
        <v>-0.6703769289147482</v>
      </c>
      <c r="DS33" s="19"/>
      <c r="DT33" s="76"/>
      <c r="DU33" s="900"/>
      <c r="DX33" s="19"/>
      <c r="DY33" s="76"/>
      <c r="DZ33" s="76"/>
      <c r="EA33" s="76"/>
      <c r="EB33" s="76"/>
    </row>
    <row r="34" spans="1:132" s="103" customFormat="1" ht="12" customHeight="1">
      <c r="A34" s="68"/>
      <c r="B34" s="68"/>
      <c r="C34" s="76"/>
      <c r="D34" s="76"/>
      <c r="E34" s="76"/>
      <c r="F34" s="76"/>
      <c r="G34" s="76"/>
      <c r="H34" s="76"/>
      <c r="I34" s="76"/>
      <c r="J34" s="77"/>
      <c r="K34" s="77"/>
      <c r="L34" s="77"/>
      <c r="M34" s="77"/>
      <c r="N34" s="76"/>
      <c r="O34" s="77"/>
      <c r="P34" s="77"/>
      <c r="Q34" s="77"/>
      <c r="R34" s="77"/>
      <c r="S34" s="76"/>
      <c r="T34" s="77"/>
      <c r="U34" s="77"/>
      <c r="V34" s="77"/>
      <c r="W34" s="77"/>
      <c r="X34" s="76"/>
      <c r="Y34" s="77"/>
      <c r="Z34" s="77"/>
      <c r="AA34" s="77"/>
      <c r="AB34" s="77"/>
      <c r="AC34" s="76"/>
      <c r="AD34" s="77"/>
      <c r="AE34" s="77"/>
      <c r="AF34" s="77"/>
      <c r="AG34" s="77"/>
      <c r="AH34" s="76"/>
      <c r="AI34" s="77"/>
      <c r="AJ34" s="77"/>
      <c r="AK34" s="77"/>
      <c r="AL34" s="77"/>
      <c r="AM34" s="76"/>
      <c r="AN34" s="77"/>
      <c r="AO34" s="77"/>
      <c r="AP34" s="77"/>
      <c r="AQ34" s="77"/>
      <c r="AR34" s="76"/>
      <c r="AS34" s="77"/>
      <c r="AT34" s="77"/>
      <c r="AU34" s="77"/>
      <c r="AV34" s="77"/>
      <c r="AW34" s="76"/>
      <c r="AX34" s="77"/>
      <c r="AY34" s="77"/>
      <c r="AZ34" s="77"/>
      <c r="BA34" s="77"/>
      <c r="BB34" s="76"/>
      <c r="BC34" s="77"/>
      <c r="BD34" s="77"/>
      <c r="BE34" s="77"/>
      <c r="BF34" s="77"/>
      <c r="BG34" s="76"/>
      <c r="BH34" s="77"/>
      <c r="BI34" s="693"/>
      <c r="BJ34" s="77"/>
      <c r="BK34" s="77"/>
      <c r="BL34" s="76"/>
      <c r="BM34" s="77"/>
      <c r="BN34" s="77"/>
      <c r="BO34" s="77"/>
      <c r="BP34" s="77"/>
      <c r="BQ34" s="76"/>
      <c r="BR34" s="77"/>
      <c r="BS34" s="77"/>
      <c r="BT34" s="77"/>
      <c r="BU34" s="77"/>
      <c r="BV34" s="871"/>
      <c r="BW34" s="86"/>
      <c r="BX34" s="86"/>
      <c r="BY34" s="86"/>
      <c r="BZ34" s="86"/>
      <c r="CA34" s="871"/>
      <c r="CB34" s="77"/>
      <c r="CC34" s="77"/>
      <c r="CD34" s="77"/>
      <c r="CE34" s="77"/>
      <c r="CF34" s="871"/>
      <c r="CG34" s="77"/>
      <c r="CH34" s="77"/>
      <c r="CI34" s="77"/>
      <c r="CJ34" s="77"/>
      <c r="CK34" s="76"/>
      <c r="CL34" s="77"/>
      <c r="CM34" s="77"/>
      <c r="CN34" s="77"/>
      <c r="CO34" s="77"/>
      <c r="CP34" s="76"/>
      <c r="CQ34" s="77"/>
      <c r="CR34" s="77"/>
      <c r="CS34" s="77"/>
      <c r="CT34" s="77"/>
      <c r="CU34" s="76"/>
      <c r="CV34" s="77"/>
      <c r="CW34" s="77"/>
      <c r="CX34" s="77"/>
      <c r="CY34" s="77"/>
      <c r="CZ34" s="76"/>
      <c r="DA34" s="77"/>
      <c r="DB34" s="77"/>
      <c r="DC34" s="77"/>
      <c r="DD34" s="77"/>
      <c r="DE34" s="76"/>
      <c r="DF34" s="77"/>
      <c r="DG34" s="16"/>
      <c r="DH34" s="593"/>
      <c r="DI34" s="77"/>
      <c r="DJ34" s="76"/>
      <c r="DK34" s="77"/>
      <c r="DL34" s="16"/>
      <c r="DM34" s="16"/>
      <c r="DN34" s="77"/>
      <c r="DO34" s="76"/>
      <c r="DP34" s="77"/>
      <c r="DQ34" s="593"/>
      <c r="DS34" s="77"/>
      <c r="DT34" s="76"/>
      <c r="DU34" s="77"/>
      <c r="DX34" s="77"/>
      <c r="DY34" s="76"/>
      <c r="DZ34" s="76"/>
      <c r="EA34" s="76"/>
      <c r="EB34" s="76"/>
    </row>
    <row r="35" spans="1:132" s="279" customFormat="1" ht="12" customHeight="1">
      <c r="A35" s="74"/>
      <c r="B35" s="100" t="s">
        <v>44</v>
      </c>
      <c r="C35" s="258">
        <f t="shared" ref="C35:AJ35" si="177">C27/C41</f>
        <v>-0.18348623853211007</v>
      </c>
      <c r="D35" s="258">
        <f t="shared" si="177"/>
        <v>1.1583410900817044</v>
      </c>
      <c r="E35" s="258">
        <f t="shared" si="177"/>
        <v>2.4937898261151314</v>
      </c>
      <c r="F35" s="258">
        <f t="shared" si="177"/>
        <v>2.4423275565247331</v>
      </c>
      <c r="G35" s="258">
        <f t="shared" si="177"/>
        <v>3.4076932352586522</v>
      </c>
      <c r="H35" s="258">
        <f t="shared" si="177"/>
        <v>2.8686293913904009</v>
      </c>
      <c r="I35" s="258">
        <f t="shared" si="177"/>
        <v>0.88762516998392882</v>
      </c>
      <c r="J35" s="259">
        <f t="shared" si="177"/>
        <v>0.76828215562954749</v>
      </c>
      <c r="K35" s="259">
        <f t="shared" si="177"/>
        <v>0.72140834666994957</v>
      </c>
      <c r="L35" s="259">
        <f t="shared" si="177"/>
        <v>0.53755522827687774</v>
      </c>
      <c r="M35" s="259">
        <f t="shared" si="177"/>
        <v>0.21253071253071254</v>
      </c>
      <c r="N35" s="258">
        <f t="shared" si="177"/>
        <v>2.2386223862238621</v>
      </c>
      <c r="O35" s="259">
        <f t="shared" si="177"/>
        <v>0.63708477937530994</v>
      </c>
      <c r="P35" s="259">
        <f t="shared" si="177"/>
        <v>0.70101560564775822</v>
      </c>
      <c r="Q35" s="259">
        <f t="shared" si="177"/>
        <v>1.2618335824613853</v>
      </c>
      <c r="R35" s="259">
        <f t="shared" si="177"/>
        <v>0.59023408004027178</v>
      </c>
      <c r="S35" s="258">
        <f t="shared" si="177"/>
        <v>3.1909328683522231</v>
      </c>
      <c r="T35" s="259">
        <f t="shared" si="177"/>
        <v>0.87395807021975247</v>
      </c>
      <c r="U35" s="259">
        <f t="shared" si="177"/>
        <v>-0.21016681991330621</v>
      </c>
      <c r="V35" s="259">
        <f t="shared" si="177"/>
        <v>0.88520408163265307</v>
      </c>
      <c r="W35" s="259">
        <f t="shared" si="177"/>
        <v>1.2049674166974049</v>
      </c>
      <c r="X35" s="258">
        <f t="shared" si="177"/>
        <v>2.8009141696292534</v>
      </c>
      <c r="Y35" s="259">
        <f t="shared" si="177"/>
        <v>1.1229740159506045</v>
      </c>
      <c r="Z35" s="259">
        <f t="shared" si="177"/>
        <v>1.3500643500643501</v>
      </c>
      <c r="AA35" s="259">
        <f t="shared" si="177"/>
        <v>1.4339281096457202</v>
      </c>
      <c r="AB35" s="259">
        <f t="shared" si="177"/>
        <v>1.3474153765415902</v>
      </c>
      <c r="AC35" s="258">
        <f t="shared" si="177"/>
        <v>5.2530744336569581</v>
      </c>
      <c r="AD35" s="259">
        <f t="shared" si="177"/>
        <v>1.6135937918116137</v>
      </c>
      <c r="AE35" s="259">
        <f t="shared" si="177"/>
        <v>1.1612991266375547</v>
      </c>
      <c r="AF35" s="259">
        <f t="shared" si="177"/>
        <v>0.94611442027981718</v>
      </c>
      <c r="AG35" s="259">
        <f t="shared" si="177"/>
        <v>-0.12046505112760891</v>
      </c>
      <c r="AH35" s="258">
        <f t="shared" si="177"/>
        <v>3.6406035665294922</v>
      </c>
      <c r="AI35" s="259">
        <f t="shared" si="177"/>
        <v>0.86938083121289234</v>
      </c>
      <c r="AJ35" s="259">
        <f t="shared" si="177"/>
        <v>1.4085899971743432</v>
      </c>
      <c r="AK35" s="259">
        <f t="shared" ref="AK35:AP35" si="178">AK27/AK41</f>
        <v>-2.2244403251105092</v>
      </c>
      <c r="AL35" s="259">
        <f t="shared" si="178"/>
        <v>1.7723442464428789</v>
      </c>
      <c r="AM35" s="258">
        <f>AM27/AM41</f>
        <v>1.8713204373423045</v>
      </c>
      <c r="AN35" s="259">
        <f t="shared" si="178"/>
        <v>0.70125658694770976</v>
      </c>
      <c r="AO35" s="259">
        <f t="shared" si="178"/>
        <v>1.062054112262754</v>
      </c>
      <c r="AP35" s="259">
        <f t="shared" si="178"/>
        <v>1.1240934730056407</v>
      </c>
      <c r="AQ35" s="259">
        <f t="shared" ref="AQ35:AW35" si="179">AQ27/AQ41</f>
        <v>1.5609103078982598</v>
      </c>
      <c r="AR35" s="258">
        <f t="shared" si="179"/>
        <v>4.4484750772537955</v>
      </c>
      <c r="AS35" s="259">
        <f t="shared" si="179"/>
        <v>0.78477970627503335</v>
      </c>
      <c r="AT35" s="259">
        <f t="shared" si="179"/>
        <v>1.2516609088493222</v>
      </c>
      <c r="AU35" s="259">
        <f t="shared" si="179"/>
        <v>1.4511208383074679</v>
      </c>
      <c r="AV35" s="259">
        <f t="shared" si="179"/>
        <v>1.8322546559239201</v>
      </c>
      <c r="AW35" s="258">
        <f t="shared" si="179"/>
        <v>5.3259859248439785</v>
      </c>
      <c r="AX35" s="259">
        <f t="shared" ref="AX35:BC35" si="180">AX27/AX41</f>
        <v>1.2164296998420221</v>
      </c>
      <c r="AY35" s="259">
        <f t="shared" si="180"/>
        <v>1.269028871391076</v>
      </c>
      <c r="AZ35" s="259">
        <f t="shared" si="180"/>
        <v>1.3491897543125986</v>
      </c>
      <c r="BA35" s="259">
        <f t="shared" si="180"/>
        <v>1.2762625603549524</v>
      </c>
      <c r="BB35" s="258">
        <f t="shared" si="180"/>
        <v>5.1078816444095283</v>
      </c>
      <c r="BC35" s="259">
        <f t="shared" si="180"/>
        <v>1.4387927670092362</v>
      </c>
      <c r="BD35" s="259">
        <f t="shared" ref="BD35:BE35" si="181">BD27/BD41</f>
        <v>1.4083959575019436</v>
      </c>
      <c r="BE35" s="259">
        <f t="shared" si="181"/>
        <v>1.5082564035886101</v>
      </c>
      <c r="BF35" s="259">
        <f>BF27/BF41</f>
        <v>1.6051535658511211</v>
      </c>
      <c r="BG35" s="258">
        <f t="shared" ref="BG35" si="182">BG27/BG41</f>
        <v>5.9602339181286474</v>
      </c>
      <c r="BH35" s="259">
        <f>BH27/BH41</f>
        <v>1.2796711311497149</v>
      </c>
      <c r="BI35" s="697">
        <f>BI27/BI41</f>
        <v>2.233481961897041</v>
      </c>
      <c r="BJ35" s="697">
        <f>BJ27/BJ41</f>
        <v>1.8609099603771007</v>
      </c>
      <c r="BK35" s="697">
        <f>BK27/BK41</f>
        <v>2.0226269315673289</v>
      </c>
      <c r="BL35" s="258">
        <f t="shared" ref="BL35" si="183">BL27/BL41</f>
        <v>7.3794037940379402</v>
      </c>
      <c r="BM35" s="697">
        <f>BM27/BM41</f>
        <v>1.8706244749369922</v>
      </c>
      <c r="BN35" s="697">
        <f>BN27/BN41</f>
        <v>1.5882100443554157</v>
      </c>
      <c r="BO35" s="697">
        <f>BO27/BO41</f>
        <v>2.4731494920174164</v>
      </c>
      <c r="BP35" s="697">
        <f>BP27/BP41</f>
        <v>1.5061655901350557</v>
      </c>
      <c r="BQ35" s="258">
        <f t="shared" ref="BQ35" si="184">BQ27/BQ41</f>
        <v>7.4357132595891393</v>
      </c>
      <c r="BR35" s="697">
        <f>BR27/BR41</f>
        <v>1.8308801441874438</v>
      </c>
      <c r="BS35" s="697">
        <f>BS27/BS41</f>
        <v>-0.36775106082036779</v>
      </c>
      <c r="BT35" s="697">
        <f>BT27/BT41</f>
        <v>3.6020230757072862</v>
      </c>
      <c r="BU35" s="697">
        <f>BU27/BU41</f>
        <v>2.5876566714263052</v>
      </c>
      <c r="BV35" s="878">
        <f t="shared" ref="BV35" si="185">BV27/BV41</f>
        <v>7.6032929481205347</v>
      </c>
      <c r="BW35" s="902">
        <f>BW27/BW41</f>
        <v>2.5418544752092722</v>
      </c>
      <c r="BX35" s="902">
        <f>BX27/BX41</f>
        <v>2.8690944881889764</v>
      </c>
      <c r="BY35" s="902">
        <f>BY27/BY41</f>
        <v>2.9853207982846777</v>
      </c>
      <c r="BZ35" s="902">
        <f>BZ27/BZ41</f>
        <v>5.4866964138158982</v>
      </c>
      <c r="CA35" s="878">
        <f t="shared" ref="CA35" si="186">CA27/CA41</f>
        <v>13.849680694285246</v>
      </c>
      <c r="CB35" s="902">
        <f>CB27/CB41</f>
        <v>4.1476892163429335</v>
      </c>
      <c r="CC35" s="902">
        <f>CC27/CC41</f>
        <v>3.7302531000509593</v>
      </c>
      <c r="CD35" s="902">
        <f>CD27/CD41</f>
        <v>4.068526170798898</v>
      </c>
      <c r="CE35" s="902">
        <f>CE27/CE41</f>
        <v>5.9290043290043286</v>
      </c>
      <c r="CF35" s="878">
        <f t="shared" ref="CF35" si="187">CF27/CF41</f>
        <v>17.845261451846799</v>
      </c>
      <c r="CG35" s="902">
        <f>CG27/CG41</f>
        <v>3.7543675751222922</v>
      </c>
      <c r="CH35" s="902">
        <f>CH27/CH41</f>
        <v>-5.2043162922342123</v>
      </c>
      <c r="CI35" s="902">
        <f>CI27/CI41</f>
        <v>2.0502459592410398</v>
      </c>
      <c r="CJ35" s="902">
        <f>CJ27/CJ41</f>
        <v>-1.7863459497700744</v>
      </c>
      <c r="CK35" s="878">
        <f t="shared" ref="CK35" si="188">CK27/CK41</f>
        <v>-1.1248673505482845</v>
      </c>
      <c r="CL35" s="902">
        <f>CL27/CL41</f>
        <v>-1.1097367025976321</v>
      </c>
      <c r="CM35" s="902">
        <f>CM27/CM41</f>
        <v>-4.1949152542372881</v>
      </c>
      <c r="CN35" s="902">
        <f>CN27/CN41</f>
        <v>-0.79244617013766327</v>
      </c>
      <c r="CO35" s="902">
        <f>CO27/CO41</f>
        <v>-14.633298574904416</v>
      </c>
      <c r="CP35" s="878">
        <f t="shared" ref="CP35" si="189">CP27/CP41</f>
        <v>-20.881111501934576</v>
      </c>
      <c r="CQ35" s="902">
        <f>CQ27/CQ41</f>
        <v>-0.91732148957977455</v>
      </c>
      <c r="CR35" s="902">
        <f>CR27/CR41</f>
        <v>0.994578109115554</v>
      </c>
      <c r="CS35" s="902">
        <f>CS27/CS41</f>
        <v>-0.18505942275042445</v>
      </c>
      <c r="CT35" s="902">
        <f>CT27/CT41</f>
        <v>-7.0184651871929535</v>
      </c>
      <c r="CU35" s="878">
        <f t="shared" ref="CU35" si="190">CU27/CU41</f>
        <v>-7.3008849557522124</v>
      </c>
      <c r="CV35" s="902">
        <f>CV27/CV41</f>
        <v>-2.0601656244718605</v>
      </c>
      <c r="CW35" s="902">
        <f>CW27/CW41</f>
        <v>0.32360831656606304</v>
      </c>
      <c r="CX35" s="902">
        <f>CX27/CX41</f>
        <v>-5.4922019117893681</v>
      </c>
      <c r="CY35" s="902">
        <f>CY27/CY41</f>
        <v>-1.0586074469861413</v>
      </c>
      <c r="CZ35" s="878"/>
      <c r="DA35" s="902">
        <f>DA27/DA41</f>
        <v>-0.68713692946058091</v>
      </c>
      <c r="DB35" s="902">
        <f>DB27/DB41</f>
        <v>-0.24607762180016515</v>
      </c>
      <c r="DC35" s="902">
        <f>DC27/DC41</f>
        <v>-2.6943346508563897</v>
      </c>
      <c r="DD35" s="902">
        <f>DD27/DD41</f>
        <v>-3.7947533410328325E-2</v>
      </c>
      <c r="DE35" s="71"/>
      <c r="DF35" s="902">
        <f>DF27/DF41</f>
        <v>-0.55936073059360725</v>
      </c>
      <c r="DG35" s="1046">
        <f>DG27/DG41</f>
        <v>-2.3337658125202725</v>
      </c>
      <c r="DH35" s="1070">
        <f>DH27/DH41</f>
        <v>-9.9709114414996769</v>
      </c>
      <c r="DI35" s="902">
        <f>DI27/DI41</f>
        <v>-5.3711182286589612</v>
      </c>
      <c r="DJ35" s="71"/>
      <c r="DK35" s="902">
        <f>DK27/DK41</f>
        <v>-4.9110698168303692E-2</v>
      </c>
      <c r="DL35" s="1046">
        <f>DL27/DL41</f>
        <v>-0.80756013745704469</v>
      </c>
      <c r="DM35" s="1046">
        <f>DM27/DM41</f>
        <v>-7.0232925384919067</v>
      </c>
      <c r="DN35" s="1046">
        <f>DN27/DN41</f>
        <v>10.339622641509434</v>
      </c>
      <c r="DO35" s="71"/>
      <c r="DP35" s="1046">
        <f>DP27/DP41</f>
        <v>-5.076142131979695E-3</v>
      </c>
      <c r="DQ35" s="1070">
        <f>DQ27/DQ41</f>
        <v>-0.56159878573235511</v>
      </c>
      <c r="DS35" s="697"/>
      <c r="DT35" s="71"/>
      <c r="DU35" s="902"/>
      <c r="DX35" s="697"/>
      <c r="DY35" s="71"/>
      <c r="DZ35" s="71"/>
      <c r="EA35" s="71"/>
      <c r="EB35" s="71"/>
    </row>
    <row r="36" spans="1:132" s="103" customFormat="1" ht="12" customHeight="1">
      <c r="A36" s="68"/>
      <c r="B36" s="68" t="s">
        <v>39</v>
      </c>
      <c r="C36" s="4">
        <f t="shared" ref="C36:AJ36" si="191">C28/C41</f>
        <v>0</v>
      </c>
      <c r="D36" s="4">
        <f t="shared" si="191"/>
        <v>0</v>
      </c>
      <c r="E36" s="4">
        <f t="shared" si="191"/>
        <v>0</v>
      </c>
      <c r="F36" s="4">
        <f t="shared" si="191"/>
        <v>0</v>
      </c>
      <c r="G36" s="4">
        <f t="shared" si="191"/>
        <v>1.205836247437598E-3</v>
      </c>
      <c r="H36" s="4">
        <f t="shared" si="191"/>
        <v>-2.2600197921820881</v>
      </c>
      <c r="I36" s="4">
        <f t="shared" si="191"/>
        <v>0</v>
      </c>
      <c r="J36" s="3">
        <f t="shared" si="191"/>
        <v>0</v>
      </c>
      <c r="K36" s="3">
        <f t="shared" si="191"/>
        <v>2.5852517542779764E-2</v>
      </c>
      <c r="L36" s="3">
        <f t="shared" si="191"/>
        <v>2.2091310751104567E-2</v>
      </c>
      <c r="M36" s="3">
        <f t="shared" si="191"/>
        <v>1.5970515970515971E-2</v>
      </c>
      <c r="N36" s="4">
        <f t="shared" si="191"/>
        <v>6.3960639606396058E-2</v>
      </c>
      <c r="O36" s="3">
        <f t="shared" si="191"/>
        <v>2.6028755577590483E-2</v>
      </c>
      <c r="P36" s="3">
        <f t="shared" si="191"/>
        <v>0</v>
      </c>
      <c r="Q36" s="3">
        <f t="shared" si="191"/>
        <v>-2.4912805181863478E-3</v>
      </c>
      <c r="R36" s="3">
        <f t="shared" si="191"/>
        <v>-1.1326453561540396E-2</v>
      </c>
      <c r="S36" s="4">
        <f t="shared" si="191"/>
        <v>1.2454851164528585E-2</v>
      </c>
      <c r="T36" s="3">
        <f t="shared" si="191"/>
        <v>0</v>
      </c>
      <c r="U36" s="3">
        <f t="shared" si="191"/>
        <v>0</v>
      </c>
      <c r="V36" s="3">
        <f t="shared" si="191"/>
        <v>0</v>
      </c>
      <c r="W36" s="3">
        <f t="shared" si="191"/>
        <v>1.1066027296200659E-2</v>
      </c>
      <c r="X36" s="4">
        <f t="shared" si="191"/>
        <v>1.1427120365667851E-2</v>
      </c>
      <c r="Y36" s="3">
        <f t="shared" si="191"/>
        <v>5.1453563159248776E-3</v>
      </c>
      <c r="Z36" s="3">
        <f t="shared" si="191"/>
        <v>1.287001287001287E-3</v>
      </c>
      <c r="AA36" s="3">
        <f t="shared" si="191"/>
        <v>6.4649599172485134E-3</v>
      </c>
      <c r="AB36" s="3">
        <f t="shared" si="191"/>
        <v>7.8719496195224364E-3</v>
      </c>
      <c r="AC36" s="4">
        <f t="shared" si="191"/>
        <v>2.0711974110032363E-2</v>
      </c>
      <c r="AD36" s="3">
        <f t="shared" si="191"/>
        <v>6.6898581750066905E-3</v>
      </c>
      <c r="AE36" s="3">
        <f t="shared" si="191"/>
        <v>1.3646288209606988E-3</v>
      </c>
      <c r="AF36" s="3">
        <f t="shared" si="191"/>
        <v>1.6622800941958719E-2</v>
      </c>
      <c r="AG36" s="3">
        <f t="shared" si="191"/>
        <v>0</v>
      </c>
      <c r="AH36" s="4">
        <f t="shared" si="191"/>
        <v>2.4691358024691357E-2</v>
      </c>
      <c r="AI36" s="3">
        <f t="shared" si="191"/>
        <v>-7.0681368391292054E-3</v>
      </c>
      <c r="AJ36" s="3">
        <f t="shared" si="191"/>
        <v>1.4128284826222099E-3</v>
      </c>
      <c r="AK36" s="3">
        <f t="shared" ref="AK36:AP36" si="192">AK28/AK41</f>
        <v>-5.7036931413089976E-3</v>
      </c>
      <c r="AL36" s="3">
        <f t="shared" si="192"/>
        <v>-2.0721094073767096E-2</v>
      </c>
      <c r="AM36" s="4">
        <f t="shared" si="192"/>
        <v>-3.2239977572189514E-2</v>
      </c>
      <c r="AN36" s="3">
        <f t="shared" si="192"/>
        <v>0</v>
      </c>
      <c r="AO36" s="3">
        <f t="shared" si="192"/>
        <v>-2.6921523758244715E-3</v>
      </c>
      <c r="AP36" s="3">
        <f t="shared" si="192"/>
        <v>0</v>
      </c>
      <c r="AQ36" s="3">
        <f t="shared" ref="AQ36:AW36" si="193">AQ28/AQ41</f>
        <v>-2.6773761713520749E-3</v>
      </c>
      <c r="AR36" s="4">
        <f t="shared" si="193"/>
        <v>-5.3741770791347577E-3</v>
      </c>
      <c r="AS36" s="3">
        <f t="shared" si="193"/>
        <v>-2.6702269692923898E-3</v>
      </c>
      <c r="AT36" s="3">
        <f t="shared" si="193"/>
        <v>-1.3287270794578793E-3</v>
      </c>
      <c r="AU36" s="3">
        <f t="shared" si="193"/>
        <v>5.3057434673033557E-3</v>
      </c>
      <c r="AV36" s="3">
        <f t="shared" si="193"/>
        <v>7.9249768854840839E-3</v>
      </c>
      <c r="AW36" s="4">
        <f t="shared" si="193"/>
        <v>9.2949143540034529E-3</v>
      </c>
      <c r="AX36" s="3">
        <f t="shared" ref="AX36:BC36" si="194">AX28/AX41</f>
        <v>-1.3164823591363876E-3</v>
      </c>
      <c r="AY36" s="3">
        <f t="shared" si="194"/>
        <v>0</v>
      </c>
      <c r="AZ36" s="3">
        <f t="shared" si="194"/>
        <v>0</v>
      </c>
      <c r="BA36" s="3">
        <f t="shared" si="194"/>
        <v>0</v>
      </c>
      <c r="BB36" s="4">
        <f t="shared" si="194"/>
        <v>-1.3092432573972245E-3</v>
      </c>
      <c r="BC36" s="3">
        <f t="shared" si="194"/>
        <v>0</v>
      </c>
      <c r="BD36" s="3">
        <f t="shared" ref="BD36:BE36" si="195">BD28/BD41</f>
        <v>1.295672454003628E-3</v>
      </c>
      <c r="BE36" s="3">
        <f t="shared" si="195"/>
        <v>-2.600442075152776E-3</v>
      </c>
      <c r="BF36" s="3">
        <f t="shared" ref="BF36:BG36" si="196">BF28/BF41</f>
        <v>0</v>
      </c>
      <c r="BG36" s="4">
        <f t="shared" si="196"/>
        <v>-1.2995451591942819E-3</v>
      </c>
      <c r="BH36" s="3">
        <f t="shared" ref="BH36:BI36" si="197">BH28/BH41</f>
        <v>0</v>
      </c>
      <c r="BI36" s="698">
        <f t="shared" si="197"/>
        <v>0</v>
      </c>
      <c r="BJ36" s="698">
        <f t="shared" ref="BJ36:BL36" si="198">BJ28/BJ41</f>
        <v>0</v>
      </c>
      <c r="BK36" s="698">
        <f t="shared" si="198"/>
        <v>0</v>
      </c>
      <c r="BL36" s="4">
        <f t="shared" si="198"/>
        <v>0</v>
      </c>
      <c r="BM36" s="698">
        <f t="shared" ref="BM36:BN36" si="199">BM28/BM41</f>
        <v>0</v>
      </c>
      <c r="BN36" s="698">
        <f t="shared" si="199"/>
        <v>0</v>
      </c>
      <c r="BO36" s="698">
        <f t="shared" ref="BO36:BQ36" si="200">BO28/BO41</f>
        <v>0</v>
      </c>
      <c r="BP36" s="698">
        <f t="shared" si="200"/>
        <v>0</v>
      </c>
      <c r="BQ36" s="4">
        <f t="shared" si="200"/>
        <v>0</v>
      </c>
      <c r="BR36" s="698">
        <f t="shared" ref="BR36:BS36" si="201">BR28/BR41</f>
        <v>0</v>
      </c>
      <c r="BS36" s="698">
        <f t="shared" si="201"/>
        <v>0</v>
      </c>
      <c r="BT36" s="698">
        <f t="shared" ref="BT36:BV36" si="202">BT28/BT41</f>
        <v>0</v>
      </c>
      <c r="BU36" s="698">
        <f t="shared" si="202"/>
        <v>0</v>
      </c>
      <c r="BV36" s="877">
        <f t="shared" si="202"/>
        <v>0</v>
      </c>
      <c r="BW36" s="901">
        <f t="shared" ref="BW36:BX36" si="203">BW28/BW41</f>
        <v>0</v>
      </c>
      <c r="BX36" s="901">
        <f t="shared" si="203"/>
        <v>0</v>
      </c>
      <c r="BY36" s="901">
        <f t="shared" ref="BY36:CA36" si="204">BY28/BY41</f>
        <v>0</v>
      </c>
      <c r="BZ36" s="901">
        <f t="shared" si="204"/>
        <v>0</v>
      </c>
      <c r="CA36" s="877">
        <f t="shared" si="204"/>
        <v>0</v>
      </c>
      <c r="CB36" s="901">
        <f t="shared" ref="CB36:CC36" si="205">CB28/CB41</f>
        <v>0</v>
      </c>
      <c r="CC36" s="901">
        <f t="shared" si="205"/>
        <v>0</v>
      </c>
      <c r="CD36" s="901">
        <f t="shared" ref="CD36:CF36" si="206">CD28/CD41</f>
        <v>0</v>
      </c>
      <c r="CE36" s="901">
        <f t="shared" si="206"/>
        <v>0</v>
      </c>
      <c r="CF36" s="877">
        <f t="shared" si="206"/>
        <v>0</v>
      </c>
      <c r="CG36" s="901">
        <f t="shared" ref="CG36:CH36" si="207">CG28/CG41</f>
        <v>0</v>
      </c>
      <c r="CH36" s="901">
        <f t="shared" si="207"/>
        <v>0</v>
      </c>
      <c r="CI36" s="901">
        <f t="shared" ref="CI36:CK36" si="208">CI28/CI41</f>
        <v>0</v>
      </c>
      <c r="CJ36" s="901">
        <f t="shared" si="208"/>
        <v>0</v>
      </c>
      <c r="CK36" s="877">
        <f t="shared" si="208"/>
        <v>0</v>
      </c>
      <c r="CL36" s="901">
        <f t="shared" ref="CL36:CM36" si="209">CL28/CL41</f>
        <v>0</v>
      </c>
      <c r="CM36" s="901">
        <f t="shared" si="209"/>
        <v>0</v>
      </c>
      <c r="CN36" s="901">
        <f t="shared" ref="CN36:CP36" si="210">CN28/CN41</f>
        <v>0</v>
      </c>
      <c r="CO36" s="901">
        <f t="shared" si="210"/>
        <v>0</v>
      </c>
      <c r="CP36" s="877">
        <f t="shared" si="210"/>
        <v>0</v>
      </c>
      <c r="CQ36" s="901">
        <f t="shared" ref="CQ36:CR36" si="211">CQ28/CQ41</f>
        <v>0</v>
      </c>
      <c r="CR36" s="901">
        <f t="shared" si="211"/>
        <v>0</v>
      </c>
      <c r="CS36" s="901">
        <f t="shared" ref="CS36:CU36" si="212">CS28/CS41</f>
        <v>0</v>
      </c>
      <c r="CT36" s="901">
        <f t="shared" si="212"/>
        <v>0</v>
      </c>
      <c r="CU36" s="877">
        <f t="shared" si="212"/>
        <v>0</v>
      </c>
      <c r="CV36" s="901">
        <f t="shared" ref="CV36:CW36" si="213">CV28/CV41</f>
        <v>0</v>
      </c>
      <c r="CW36" s="901">
        <f t="shared" si="213"/>
        <v>0</v>
      </c>
      <c r="CX36" s="901">
        <f t="shared" ref="CX36:CY36" si="214">CX28/CX41</f>
        <v>0</v>
      </c>
      <c r="CY36" s="901">
        <f t="shared" si="214"/>
        <v>0</v>
      </c>
      <c r="CZ36" s="877"/>
      <c r="DA36" s="901">
        <f t="shared" ref="DA36:DB36" si="215">DA28/DA41</f>
        <v>0</v>
      </c>
      <c r="DB36" s="901">
        <f t="shared" si="215"/>
        <v>0</v>
      </c>
      <c r="DC36" s="901">
        <f t="shared" ref="DC36:DD36" si="216">DC28/DC41</f>
        <v>0</v>
      </c>
      <c r="DD36" s="901">
        <f t="shared" si="216"/>
        <v>0</v>
      </c>
      <c r="DE36" s="76"/>
      <c r="DF36" s="901">
        <f t="shared" ref="DF36:DH36" si="217">DF28/DF41</f>
        <v>0</v>
      </c>
      <c r="DG36" s="901">
        <f t="shared" si="217"/>
        <v>0</v>
      </c>
      <c r="DH36" s="1067">
        <f t="shared" si="217"/>
        <v>0</v>
      </c>
      <c r="DI36" s="901">
        <f>DI28/DI41-0.01</f>
        <v>-9.076869516780392E-2</v>
      </c>
      <c r="DJ36" s="76"/>
      <c r="DK36" s="901">
        <f t="shared" ref="DK36:DN36" si="218">DK28/DK41</f>
        <v>-0.11414919033713831</v>
      </c>
      <c r="DL36" s="901">
        <f t="shared" si="218"/>
        <v>-0.11366640232619614</v>
      </c>
      <c r="DM36" s="901">
        <f t="shared" si="218"/>
        <v>-0.11448874851954205</v>
      </c>
      <c r="DN36" s="901">
        <f t="shared" si="218"/>
        <v>-0.10817610062893082</v>
      </c>
      <c r="DO36" s="76"/>
      <c r="DP36" s="901">
        <f t="shared" ref="DP36:DQ36" si="219">DP28/DP41</f>
        <v>-0.10913705583756345</v>
      </c>
      <c r="DQ36" s="1067">
        <f t="shared" si="219"/>
        <v>-0.10877814318239312</v>
      </c>
      <c r="DS36" s="698"/>
      <c r="DT36" s="76"/>
      <c r="DU36" s="901"/>
      <c r="DX36" s="698"/>
      <c r="DY36" s="76"/>
      <c r="DZ36" s="76"/>
      <c r="EA36" s="76"/>
      <c r="EB36" s="76"/>
    </row>
    <row r="37" spans="1:132" s="103" customFormat="1" ht="12" customHeight="1">
      <c r="A37" s="68"/>
      <c r="B37" s="68" t="s">
        <v>45</v>
      </c>
      <c r="C37" s="18">
        <f t="shared" ref="C37:AJ37" si="220">SUM(C35:C36)</f>
        <v>-0.18348623853211007</v>
      </c>
      <c r="D37" s="18">
        <f t="shared" si="220"/>
        <v>1.1583410900817044</v>
      </c>
      <c r="E37" s="18">
        <f t="shared" si="220"/>
        <v>2.4937898261151314</v>
      </c>
      <c r="F37" s="18">
        <f t="shared" si="220"/>
        <v>2.4423275565247331</v>
      </c>
      <c r="G37" s="18">
        <f t="shared" si="220"/>
        <v>3.4088990715060898</v>
      </c>
      <c r="H37" s="18">
        <f t="shared" si="220"/>
        <v>0.6086095992083127</v>
      </c>
      <c r="I37" s="18">
        <f t="shared" si="220"/>
        <v>0.88762516998392882</v>
      </c>
      <c r="J37" s="19">
        <f t="shared" si="220"/>
        <v>0.76828215562954749</v>
      </c>
      <c r="K37" s="19">
        <f t="shared" si="220"/>
        <v>0.7472608642127293</v>
      </c>
      <c r="L37" s="19">
        <f t="shared" si="220"/>
        <v>0.55964653902798234</v>
      </c>
      <c r="M37" s="19">
        <f t="shared" si="220"/>
        <v>0.2285012285012285</v>
      </c>
      <c r="N37" s="18">
        <f t="shared" si="220"/>
        <v>2.3025830258302582</v>
      </c>
      <c r="O37" s="19">
        <f t="shared" si="220"/>
        <v>0.66311353495290037</v>
      </c>
      <c r="P37" s="19">
        <f t="shared" si="220"/>
        <v>0.70101560564775822</v>
      </c>
      <c r="Q37" s="19">
        <f t="shared" si="220"/>
        <v>1.2593423019431991</v>
      </c>
      <c r="R37" s="19">
        <f t="shared" si="220"/>
        <v>0.5789076264787314</v>
      </c>
      <c r="S37" s="18">
        <f t="shared" si="220"/>
        <v>3.2033877195167517</v>
      </c>
      <c r="T37" s="19">
        <f t="shared" si="220"/>
        <v>0.87395807021975247</v>
      </c>
      <c r="U37" s="19">
        <f t="shared" si="220"/>
        <v>-0.21016681991330621</v>
      </c>
      <c r="V37" s="19">
        <f t="shared" si="220"/>
        <v>0.88520408163265307</v>
      </c>
      <c r="W37" s="19">
        <f t="shared" si="220"/>
        <v>1.2160334439936056</v>
      </c>
      <c r="X37" s="18">
        <f t="shared" si="220"/>
        <v>2.8123412899949214</v>
      </c>
      <c r="Y37" s="19">
        <f t="shared" si="220"/>
        <v>1.1281193722665295</v>
      </c>
      <c r="Z37" s="19">
        <f t="shared" si="220"/>
        <v>1.3513513513513513</v>
      </c>
      <c r="AA37" s="19">
        <f t="shared" si="220"/>
        <v>1.4403930695629688</v>
      </c>
      <c r="AB37" s="19">
        <f t="shared" si="220"/>
        <v>1.3552873261611127</v>
      </c>
      <c r="AC37" s="18">
        <f t="shared" si="220"/>
        <v>5.2737864077669903</v>
      </c>
      <c r="AD37" s="19">
        <f t="shared" si="220"/>
        <v>1.6202836499866204</v>
      </c>
      <c r="AE37" s="19">
        <f t="shared" si="220"/>
        <v>1.1626637554585155</v>
      </c>
      <c r="AF37" s="19">
        <f t="shared" si="220"/>
        <v>0.96273722122177585</v>
      </c>
      <c r="AG37" s="19">
        <f t="shared" si="220"/>
        <v>-0.12046505112760891</v>
      </c>
      <c r="AH37" s="18">
        <f t="shared" si="220"/>
        <v>3.6652949245541837</v>
      </c>
      <c r="AI37" s="19">
        <f t="shared" si="220"/>
        <v>0.86231269437376312</v>
      </c>
      <c r="AJ37" s="19">
        <f t="shared" si="220"/>
        <v>1.4100028256569654</v>
      </c>
      <c r="AK37" s="19">
        <f t="shared" ref="AK37:AP37" si="221">SUM(AK35:AK36)</f>
        <v>-2.230144018251818</v>
      </c>
      <c r="AL37" s="19">
        <f t="shared" si="221"/>
        <v>1.7516231523691119</v>
      </c>
      <c r="AM37" s="18">
        <f t="shared" si="221"/>
        <v>1.8390804597701149</v>
      </c>
      <c r="AN37" s="19">
        <f t="shared" si="221"/>
        <v>0.70125658694770976</v>
      </c>
      <c r="AO37" s="19">
        <f t="shared" si="221"/>
        <v>1.0593619598869295</v>
      </c>
      <c r="AP37" s="19">
        <f t="shared" si="221"/>
        <v>1.1240934730056407</v>
      </c>
      <c r="AQ37" s="19">
        <f t="shared" ref="AQ37:AW37" si="222">SUM(AQ35:AQ36)</f>
        <v>1.5582329317269077</v>
      </c>
      <c r="AR37" s="18">
        <f t="shared" si="222"/>
        <v>4.4431009001746604</v>
      </c>
      <c r="AS37" s="19">
        <f t="shared" si="222"/>
        <v>0.78210947930574093</v>
      </c>
      <c r="AT37" s="19">
        <f t="shared" si="222"/>
        <v>1.2503321817698643</v>
      </c>
      <c r="AU37" s="19">
        <f t="shared" si="222"/>
        <v>1.4564265817747712</v>
      </c>
      <c r="AV37" s="19">
        <f t="shared" si="222"/>
        <v>1.8401796328094042</v>
      </c>
      <c r="AW37" s="18">
        <f t="shared" si="222"/>
        <v>5.3352808391979822</v>
      </c>
      <c r="AX37" s="19">
        <f t="shared" ref="AX37:BC37" si="223">SUM(AX35:AX36)</f>
        <v>1.2151132174828858</v>
      </c>
      <c r="AY37" s="19">
        <f t="shared" si="223"/>
        <v>1.269028871391076</v>
      </c>
      <c r="AZ37" s="19">
        <f t="shared" si="223"/>
        <v>1.3491897543125986</v>
      </c>
      <c r="BA37" s="19">
        <f t="shared" si="223"/>
        <v>1.2762625603549524</v>
      </c>
      <c r="BB37" s="18">
        <f t="shared" si="223"/>
        <v>5.106572401152131</v>
      </c>
      <c r="BC37" s="19">
        <f t="shared" si="223"/>
        <v>1.4387927670092362</v>
      </c>
      <c r="BD37" s="19">
        <f t="shared" ref="BD37:BE37" si="224">SUM(BD35:BD36)</f>
        <v>1.4096916299559472</v>
      </c>
      <c r="BE37" s="19">
        <f t="shared" si="224"/>
        <v>1.5056559615134573</v>
      </c>
      <c r="BF37" s="19">
        <f t="shared" ref="BF37:BG37" si="225">SUM(BF35:BF36)</f>
        <v>1.6051535658511211</v>
      </c>
      <c r="BG37" s="18">
        <f t="shared" si="225"/>
        <v>5.9589343729694528</v>
      </c>
      <c r="BH37" s="19">
        <f t="shared" ref="BH37:BI37" si="226">SUM(BH35:BH36)</f>
        <v>1.2796711311497149</v>
      </c>
      <c r="BI37" s="699">
        <f t="shared" si="226"/>
        <v>2.233481961897041</v>
      </c>
      <c r="BJ37" s="699">
        <f t="shared" ref="BJ37:BL37" si="227">SUM(BJ35:BJ36)</f>
        <v>1.8609099603771007</v>
      </c>
      <c r="BK37" s="699">
        <f t="shared" si="227"/>
        <v>2.0226269315673289</v>
      </c>
      <c r="BL37" s="18">
        <f t="shared" si="227"/>
        <v>7.3794037940379402</v>
      </c>
      <c r="BM37" s="699">
        <f t="shared" ref="BM37:BN37" si="228">SUM(BM35:BM36)</f>
        <v>1.8706244749369922</v>
      </c>
      <c r="BN37" s="699">
        <f t="shared" si="228"/>
        <v>1.5882100443554157</v>
      </c>
      <c r="BO37" s="699">
        <f t="shared" ref="BO37:BQ37" si="229">SUM(BO35:BO36)</f>
        <v>2.4731494920174164</v>
      </c>
      <c r="BP37" s="699">
        <f t="shared" si="229"/>
        <v>1.5061655901350557</v>
      </c>
      <c r="BQ37" s="18">
        <f t="shared" si="229"/>
        <v>7.4357132595891393</v>
      </c>
      <c r="BR37" s="699">
        <f t="shared" ref="BR37:BS37" si="230">SUM(BR35:BR36)</f>
        <v>1.8308801441874438</v>
      </c>
      <c r="BS37" s="699">
        <f t="shared" si="230"/>
        <v>-0.36775106082036779</v>
      </c>
      <c r="BT37" s="699">
        <f t="shared" ref="BT37:BV37" si="231">SUM(BT35:BT36)</f>
        <v>3.6020230757072862</v>
      </c>
      <c r="BU37" s="699">
        <f t="shared" si="231"/>
        <v>2.5876566714263052</v>
      </c>
      <c r="BV37" s="876">
        <f t="shared" si="231"/>
        <v>7.6032929481205347</v>
      </c>
      <c r="BW37" s="900">
        <f t="shared" ref="BW37:BX37" si="232">SUM(BW35:BW36)</f>
        <v>2.5418544752092722</v>
      </c>
      <c r="BX37" s="900">
        <f t="shared" si="232"/>
        <v>2.8690944881889764</v>
      </c>
      <c r="BY37" s="900">
        <f t="shared" ref="BY37:CA37" si="233">SUM(BY35:BY36)</f>
        <v>2.9853207982846777</v>
      </c>
      <c r="BZ37" s="900">
        <f t="shared" si="233"/>
        <v>5.4866964138158982</v>
      </c>
      <c r="CA37" s="876">
        <f t="shared" si="233"/>
        <v>13.849680694285246</v>
      </c>
      <c r="CB37" s="900">
        <f t="shared" ref="CB37:CC37" si="234">SUM(CB35:CB36)</f>
        <v>4.1476892163429335</v>
      </c>
      <c r="CC37" s="900">
        <f t="shared" si="234"/>
        <v>3.7302531000509593</v>
      </c>
      <c r="CD37" s="900">
        <f t="shared" ref="CD37:CF37" si="235">SUM(CD35:CD36)</f>
        <v>4.068526170798898</v>
      </c>
      <c r="CE37" s="900">
        <f t="shared" si="235"/>
        <v>5.9290043290043286</v>
      </c>
      <c r="CF37" s="876">
        <f t="shared" si="235"/>
        <v>17.845261451846799</v>
      </c>
      <c r="CG37" s="900">
        <f t="shared" ref="CG37:CH37" si="236">SUM(CG35:CG36)</f>
        <v>3.7543675751222922</v>
      </c>
      <c r="CH37" s="900">
        <f t="shared" si="236"/>
        <v>-5.2043162922342123</v>
      </c>
      <c r="CI37" s="900">
        <f t="shared" ref="CI37:CK37" si="237">SUM(CI35:CI36)</f>
        <v>2.0502459592410398</v>
      </c>
      <c r="CJ37" s="900">
        <f t="shared" si="237"/>
        <v>-1.7863459497700744</v>
      </c>
      <c r="CK37" s="876">
        <f t="shared" si="237"/>
        <v>-1.1248673505482845</v>
      </c>
      <c r="CL37" s="900">
        <f t="shared" ref="CL37:CM37" si="238">SUM(CL35:CL36)</f>
        <v>-1.1097367025976321</v>
      </c>
      <c r="CM37" s="900">
        <f t="shared" si="238"/>
        <v>-4.1949152542372881</v>
      </c>
      <c r="CN37" s="900">
        <f t="shared" ref="CN37:CP37" si="239">SUM(CN35:CN36)</f>
        <v>-0.79244617013766327</v>
      </c>
      <c r="CO37" s="900">
        <f t="shared" si="239"/>
        <v>-14.633298574904416</v>
      </c>
      <c r="CP37" s="876">
        <f t="shared" si="239"/>
        <v>-20.881111501934576</v>
      </c>
      <c r="CQ37" s="900">
        <f t="shared" ref="CQ37:CR37" si="240">SUM(CQ35:CQ36)</f>
        <v>-0.91732148957977455</v>
      </c>
      <c r="CR37" s="900">
        <f t="shared" si="240"/>
        <v>0.994578109115554</v>
      </c>
      <c r="CS37" s="900">
        <f t="shared" ref="CS37:CU37" si="241">SUM(CS35:CS36)</f>
        <v>-0.18505942275042445</v>
      </c>
      <c r="CT37" s="900">
        <f t="shared" si="241"/>
        <v>-7.0184651871929535</v>
      </c>
      <c r="CU37" s="876">
        <f t="shared" si="241"/>
        <v>-7.3008849557522124</v>
      </c>
      <c r="CV37" s="900">
        <f t="shared" ref="CV37:CW37" si="242">SUM(CV35:CV36)</f>
        <v>-2.0601656244718605</v>
      </c>
      <c r="CW37" s="900">
        <f t="shared" si="242"/>
        <v>0.32360831656606304</v>
      </c>
      <c r="CX37" s="900">
        <f t="shared" ref="CX37:CY37" si="243">SUM(CX35:CX36)</f>
        <v>-5.4922019117893681</v>
      </c>
      <c r="CY37" s="900">
        <f t="shared" si="243"/>
        <v>-1.0586074469861413</v>
      </c>
      <c r="CZ37" s="876"/>
      <c r="DA37" s="900">
        <f t="shared" ref="DA37:DB37" si="244">SUM(DA35:DA36)</f>
        <v>-0.68713692946058091</v>
      </c>
      <c r="DB37" s="900">
        <f t="shared" si="244"/>
        <v>-0.24607762180016515</v>
      </c>
      <c r="DC37" s="900">
        <f t="shared" ref="DC37:DD37" si="245">SUM(DC35:DC36)</f>
        <v>-2.6943346508563897</v>
      </c>
      <c r="DD37" s="900">
        <f t="shared" si="245"/>
        <v>-3.7947533410328325E-2</v>
      </c>
      <c r="DE37" s="76"/>
      <c r="DF37" s="900">
        <f t="shared" ref="DF37:DI37" si="246">SUM(DF35:DF36)</f>
        <v>-0.55936073059360725</v>
      </c>
      <c r="DG37" s="1045">
        <f t="shared" si="246"/>
        <v>-2.3337658125202725</v>
      </c>
      <c r="DH37" s="1069">
        <f t="shared" si="246"/>
        <v>-9.9709114414996769</v>
      </c>
      <c r="DI37" s="900">
        <f t="shared" si="246"/>
        <v>-5.4618869238267651</v>
      </c>
      <c r="DJ37" s="76"/>
      <c r="DK37" s="900">
        <f t="shared" ref="DK37:DN37" si="247">SUM(DK35:DK36)</f>
        <v>-0.16325988850544201</v>
      </c>
      <c r="DL37" s="1045">
        <f t="shared" si="247"/>
        <v>-0.92122653978324087</v>
      </c>
      <c r="DM37" s="1045">
        <f t="shared" si="247"/>
        <v>-7.1377812870114488</v>
      </c>
      <c r="DN37" s="900">
        <f t="shared" si="247"/>
        <v>10.231446540880503</v>
      </c>
      <c r="DO37" s="76"/>
      <c r="DP37" s="900">
        <f t="shared" ref="DP37:DQ37" si="248">SUM(DP35:DP36)</f>
        <v>-0.11421319796954314</v>
      </c>
      <c r="DQ37" s="1069">
        <f t="shared" si="248"/>
        <v>-0.6703769289147482</v>
      </c>
      <c r="DS37" s="699"/>
      <c r="DT37" s="76"/>
      <c r="DU37" s="900"/>
      <c r="DX37" s="699"/>
      <c r="DY37" s="76"/>
      <c r="DZ37" s="76"/>
      <c r="EA37" s="76"/>
      <c r="EB37" s="76"/>
    </row>
    <row r="38" spans="1:132" s="103" customFormat="1" ht="12" customHeight="1">
      <c r="A38" s="68"/>
      <c r="B38" s="68"/>
      <c r="C38" s="76"/>
      <c r="D38" s="76"/>
      <c r="E38" s="76"/>
      <c r="F38" s="76"/>
      <c r="G38" s="76"/>
      <c r="H38" s="76"/>
      <c r="I38" s="76"/>
      <c r="J38" s="77"/>
      <c r="K38" s="77"/>
      <c r="L38" s="77"/>
      <c r="M38" s="77"/>
      <c r="N38" s="76"/>
      <c r="O38" s="77"/>
      <c r="P38" s="77"/>
      <c r="Q38" s="77"/>
      <c r="R38" s="77"/>
      <c r="S38" s="76"/>
      <c r="T38" s="77"/>
      <c r="U38" s="77"/>
      <c r="V38" s="77"/>
      <c r="W38" s="77"/>
      <c r="X38" s="76"/>
      <c r="Y38" s="77"/>
      <c r="Z38" s="77"/>
      <c r="AA38" s="77"/>
      <c r="AB38" s="77"/>
      <c r="AC38" s="76"/>
      <c r="AD38" s="77"/>
      <c r="AE38" s="77"/>
      <c r="AF38" s="77"/>
      <c r="AG38" s="77"/>
      <c r="AH38" s="76"/>
      <c r="AI38" s="77"/>
      <c r="AJ38" s="77"/>
      <c r="AK38" s="77"/>
      <c r="AL38" s="77"/>
      <c r="AM38" s="76"/>
      <c r="AN38" s="77"/>
      <c r="AO38" s="77"/>
      <c r="AP38" s="77"/>
      <c r="AQ38" s="77"/>
      <c r="AR38" s="76"/>
      <c r="AS38" s="77"/>
      <c r="AT38" s="77"/>
      <c r="AU38" s="77"/>
      <c r="AV38" s="77"/>
      <c r="AW38" s="76"/>
      <c r="AX38" s="77"/>
      <c r="AY38" s="77"/>
      <c r="AZ38" s="77"/>
      <c r="BA38" s="77"/>
      <c r="BB38" s="76"/>
      <c r="BC38" s="77"/>
      <c r="BD38" s="77"/>
      <c r="BE38" s="77"/>
      <c r="BF38" s="77"/>
      <c r="BG38" s="76"/>
      <c r="BH38" s="77"/>
      <c r="BI38" s="693"/>
      <c r="BJ38" s="77"/>
      <c r="BK38" s="77"/>
      <c r="BL38" s="76"/>
      <c r="BM38" s="77"/>
      <c r="BN38" s="693"/>
      <c r="BO38" s="77"/>
      <c r="BP38" s="77"/>
      <c r="BQ38" s="76"/>
      <c r="BR38" s="77"/>
      <c r="BS38" s="554"/>
      <c r="BT38" s="554"/>
      <c r="BU38" s="77"/>
      <c r="BV38" s="871"/>
      <c r="BW38" s="86"/>
      <c r="BX38" s="554"/>
      <c r="BY38" s="86"/>
      <c r="BZ38" s="86"/>
      <c r="CA38" s="871"/>
      <c r="CB38" s="77"/>
      <c r="CC38" s="693"/>
      <c r="CD38" s="77"/>
      <c r="CE38" s="77"/>
      <c r="CF38" s="871"/>
      <c r="CG38" s="693"/>
      <c r="CH38" s="693"/>
      <c r="CI38" s="693"/>
      <c r="CJ38" s="693"/>
      <c r="CK38" s="76"/>
      <c r="CL38" s="77"/>
      <c r="CM38" s="77"/>
      <c r="CN38" s="77"/>
      <c r="CO38" s="77"/>
      <c r="CP38" s="76"/>
      <c r="CQ38" s="77"/>
      <c r="CR38" s="77"/>
      <c r="CS38" s="77"/>
      <c r="CT38" s="77"/>
      <c r="CU38" s="76"/>
      <c r="CV38" s="77"/>
      <c r="CW38" s="77"/>
      <c r="CX38" s="77"/>
      <c r="CY38" s="77"/>
      <c r="CZ38" s="76"/>
      <c r="DA38" s="77"/>
      <c r="DB38" s="77"/>
      <c r="DC38" s="77"/>
      <c r="DD38" s="77"/>
      <c r="DE38" s="76"/>
      <c r="DF38" s="77"/>
      <c r="DG38" s="16"/>
      <c r="DH38" s="593"/>
      <c r="DI38" s="77"/>
      <c r="DJ38" s="76"/>
      <c r="DK38" s="77"/>
      <c r="DL38" s="16"/>
      <c r="DM38" s="16"/>
      <c r="DN38" s="77"/>
      <c r="DO38" s="76"/>
      <c r="DP38" s="77"/>
      <c r="DQ38" s="593"/>
      <c r="DS38" s="77"/>
      <c r="DT38" s="76"/>
      <c r="DU38" s="77"/>
      <c r="DX38" s="77"/>
      <c r="DY38" s="76"/>
      <c r="DZ38" s="76"/>
      <c r="EA38" s="76"/>
      <c r="EB38" s="76"/>
    </row>
    <row r="39" spans="1:132" s="103" customFormat="1" ht="12" customHeight="1">
      <c r="A39" s="68"/>
      <c r="B39" s="74" t="s">
        <v>323</v>
      </c>
      <c r="C39" s="76"/>
      <c r="D39" s="76"/>
      <c r="E39" s="76"/>
      <c r="F39" s="76"/>
      <c r="G39" s="76"/>
      <c r="H39" s="76"/>
      <c r="I39" s="76"/>
      <c r="J39" s="77"/>
      <c r="K39" s="77"/>
      <c r="L39" s="77"/>
      <c r="M39" s="77"/>
      <c r="N39" s="76"/>
      <c r="O39" s="77"/>
      <c r="P39" s="77"/>
      <c r="Q39" s="77"/>
      <c r="R39" s="77"/>
      <c r="S39" s="76"/>
      <c r="T39" s="77"/>
      <c r="U39" s="77"/>
      <c r="V39" s="77"/>
      <c r="W39" s="77"/>
      <c r="X39" s="76"/>
      <c r="Y39" s="77"/>
      <c r="Z39" s="77"/>
      <c r="AA39" s="77"/>
      <c r="AB39" s="77"/>
      <c r="AC39" s="76"/>
      <c r="AD39" s="77"/>
      <c r="AE39" s="77"/>
      <c r="AF39" s="77"/>
      <c r="AG39" s="77"/>
      <c r="AH39" s="76"/>
      <c r="AI39" s="77"/>
      <c r="AJ39" s="77"/>
      <c r="AK39" s="77"/>
      <c r="AL39" s="77"/>
      <c r="AM39" s="76"/>
      <c r="AN39" s="77"/>
      <c r="AO39" s="77"/>
      <c r="AP39" s="77"/>
      <c r="AQ39" s="77"/>
      <c r="AR39" s="76"/>
      <c r="AS39" s="77"/>
      <c r="AT39" s="77"/>
      <c r="AU39" s="77"/>
      <c r="AV39" s="77"/>
      <c r="AW39" s="76"/>
      <c r="AX39" s="77"/>
      <c r="AY39" s="77"/>
      <c r="AZ39" s="77"/>
      <c r="BA39" s="77"/>
      <c r="BB39" s="76"/>
      <c r="BC39" s="77"/>
      <c r="BD39" s="77"/>
      <c r="BE39" s="77"/>
      <c r="BF39" s="77"/>
      <c r="BG39" s="76"/>
      <c r="BH39" s="77"/>
      <c r="BI39" s="693"/>
      <c r="BJ39" s="77"/>
      <c r="BK39" s="77"/>
      <c r="BL39" s="76"/>
      <c r="BM39" s="77"/>
      <c r="BN39" s="693"/>
      <c r="BO39" s="77"/>
      <c r="BP39" s="77"/>
      <c r="BQ39" s="76"/>
      <c r="BR39" s="77"/>
      <c r="BS39" s="554"/>
      <c r="BT39" s="77"/>
      <c r="BU39" s="77"/>
      <c r="BV39" s="871"/>
      <c r="BW39" s="86"/>
      <c r="BX39" s="554"/>
      <c r="BY39" s="86"/>
      <c r="BZ39" s="86"/>
      <c r="CA39" s="871"/>
      <c r="CB39" s="77"/>
      <c r="CC39" s="693"/>
      <c r="CD39" s="77"/>
      <c r="CE39" s="77"/>
      <c r="CF39" s="871"/>
      <c r="CG39" s="693"/>
      <c r="CH39" s="693"/>
      <c r="CI39" s="693"/>
      <c r="CJ39" s="693"/>
      <c r="CK39" s="76"/>
      <c r="CL39" s="77"/>
      <c r="CM39" s="77"/>
      <c r="CN39" s="77"/>
      <c r="CO39" s="77"/>
      <c r="CP39" s="76"/>
      <c r="CQ39" s="77"/>
      <c r="CR39" s="77"/>
      <c r="CS39" s="77"/>
      <c r="CT39" s="77"/>
      <c r="CU39" s="76"/>
      <c r="CV39" s="77"/>
      <c r="CW39" s="77"/>
      <c r="CX39" s="77"/>
      <c r="CY39" s="77"/>
      <c r="CZ39" s="76"/>
      <c r="DA39" s="77"/>
      <c r="DB39" s="77"/>
      <c r="DC39" s="77"/>
      <c r="DD39" s="77"/>
      <c r="DE39" s="76"/>
      <c r="DF39" s="77"/>
      <c r="DG39" s="16"/>
      <c r="DH39" s="593"/>
      <c r="DI39" s="77"/>
      <c r="DJ39" s="76"/>
      <c r="DK39" s="77"/>
      <c r="DL39" s="16"/>
      <c r="DM39" s="16"/>
      <c r="DN39" s="77"/>
      <c r="DO39" s="76"/>
      <c r="DP39" s="77"/>
      <c r="DQ39" s="593"/>
      <c r="DS39" s="77"/>
      <c r="DT39" s="76"/>
      <c r="DU39" s="77"/>
      <c r="DX39" s="77"/>
      <c r="DY39" s="76"/>
      <c r="DZ39" s="76"/>
      <c r="EA39" s="76"/>
      <c r="EB39" s="76"/>
    </row>
    <row r="40" spans="1:132" s="280" customFormat="1" ht="12" customHeight="1">
      <c r="A40" s="68"/>
      <c r="B40" s="544" t="s">
        <v>46</v>
      </c>
      <c r="C40" s="545">
        <v>970.1</v>
      </c>
      <c r="D40" s="545">
        <v>976.7</v>
      </c>
      <c r="E40" s="545">
        <v>917.1</v>
      </c>
      <c r="F40" s="545">
        <v>859.5</v>
      </c>
      <c r="G40" s="545">
        <v>816.2</v>
      </c>
      <c r="H40" s="545">
        <v>799</v>
      </c>
      <c r="I40" s="545">
        <v>800.1</v>
      </c>
      <c r="J40" s="546">
        <v>801.2</v>
      </c>
      <c r="K40" s="546">
        <v>807.8</v>
      </c>
      <c r="L40" s="546">
        <v>808.2</v>
      </c>
      <c r="M40" s="546">
        <f>N40*4-J40-K40-L40</f>
        <v>810.80000000000018</v>
      </c>
      <c r="N40" s="545">
        <v>807</v>
      </c>
      <c r="O40" s="546">
        <v>798.4</v>
      </c>
      <c r="P40" s="546">
        <v>793.3</v>
      </c>
      <c r="Q40" s="546">
        <v>787.3</v>
      </c>
      <c r="R40" s="546">
        <f>S40*4-O40-P40-Q40</f>
        <v>775</v>
      </c>
      <c r="S40" s="545">
        <v>788.5</v>
      </c>
      <c r="T40" s="546">
        <v>770.5</v>
      </c>
      <c r="U40" s="546">
        <v>761.3</v>
      </c>
      <c r="V40" s="546">
        <v>773</v>
      </c>
      <c r="W40" s="546">
        <f>X40*4-T40-U40-V40</f>
        <v>779.2</v>
      </c>
      <c r="X40" s="545">
        <v>771</v>
      </c>
      <c r="Y40" s="546">
        <v>765.4</v>
      </c>
      <c r="Z40" s="546">
        <v>763.5</v>
      </c>
      <c r="AA40" s="546">
        <v>759.3</v>
      </c>
      <c r="AB40" s="546">
        <f>AC40*4-Y40-Z40-AA40</f>
        <v>748.99999999999977</v>
      </c>
      <c r="AC40" s="545">
        <v>759.3</v>
      </c>
      <c r="AD40" s="546">
        <v>738</v>
      </c>
      <c r="AE40" s="546">
        <v>725.5</v>
      </c>
      <c r="AF40" s="546">
        <v>717.5</v>
      </c>
      <c r="AG40" s="546">
        <f>AH40*4-AD40-AE40-AF40</f>
        <v>709.40000000000009</v>
      </c>
      <c r="AH40" s="545">
        <v>722.6</v>
      </c>
      <c r="AI40" s="546">
        <v>705.3</v>
      </c>
      <c r="AJ40" s="546">
        <v>705.2</v>
      </c>
      <c r="AK40" s="546">
        <v>701.3</v>
      </c>
      <c r="AL40" s="546">
        <v>716.66099999999994</v>
      </c>
      <c r="AM40" s="545">
        <v>709.6</v>
      </c>
      <c r="AN40" s="546">
        <v>734.8</v>
      </c>
      <c r="AO40" s="546">
        <v>737.2</v>
      </c>
      <c r="AP40" s="546">
        <v>739.1</v>
      </c>
      <c r="AQ40" s="546">
        <v>742.67515923566873</v>
      </c>
      <c r="AR40" s="545">
        <v>738.1</v>
      </c>
      <c r="AS40" s="546">
        <v>742.9</v>
      </c>
      <c r="AT40" s="548">
        <v>745.5</v>
      </c>
      <c r="AU40" s="548">
        <v>748</v>
      </c>
      <c r="AV40" s="546">
        <v>749.83783783783781</v>
      </c>
      <c r="AW40" s="545">
        <v>746.6</v>
      </c>
      <c r="AX40" s="546">
        <v>752.5</v>
      </c>
      <c r="AY40" s="546">
        <v>755.9</v>
      </c>
      <c r="AZ40" s="546">
        <v>756.6</v>
      </c>
      <c r="BA40" s="546">
        <v>757.80000000000018</v>
      </c>
      <c r="BB40" s="545">
        <v>755.7</v>
      </c>
      <c r="BC40" s="546">
        <v>762.8</v>
      </c>
      <c r="BD40" s="546">
        <v>763.3</v>
      </c>
      <c r="BE40" s="546">
        <v>759.4</v>
      </c>
      <c r="BF40" s="546">
        <f>BF29/1.63</f>
        <v>756.68711656441815</v>
      </c>
      <c r="BG40" s="545">
        <v>760.8</v>
      </c>
      <c r="BH40" s="546">
        <v>745</v>
      </c>
      <c r="BI40" s="700">
        <v>731.1</v>
      </c>
      <c r="BJ40" s="546">
        <v>722.8</v>
      </c>
      <c r="BK40" s="546">
        <v>711.5</v>
      </c>
      <c r="BL40" s="545">
        <v>727.6</v>
      </c>
      <c r="BM40" s="546">
        <v>705.7</v>
      </c>
      <c r="BN40" s="700">
        <v>691.2</v>
      </c>
      <c r="BO40" s="546">
        <v>681.3</v>
      </c>
      <c r="BP40" s="546">
        <f>BO40-BO41+BP41</f>
        <v>673.5</v>
      </c>
      <c r="BQ40" s="545">
        <v>688</v>
      </c>
      <c r="BR40" s="548">
        <v>659.6</v>
      </c>
      <c r="BS40" s="797">
        <v>636.29999999999995</v>
      </c>
      <c r="BT40" s="546">
        <v>625.5</v>
      </c>
      <c r="BU40" s="546">
        <f>BT40-BT41+BU41</f>
        <v>623.09999999999991</v>
      </c>
      <c r="BV40" s="873">
        <v>636.5</v>
      </c>
      <c r="BW40" s="797">
        <v>614.4</v>
      </c>
      <c r="BX40" s="884">
        <v>602.5</v>
      </c>
      <c r="BY40" s="884">
        <v>598.29999999999995</v>
      </c>
      <c r="BZ40" s="884"/>
      <c r="CA40" s="885"/>
      <c r="CB40" s="546">
        <v>590.79999999999995</v>
      </c>
      <c r="CC40" s="700">
        <v>582.6</v>
      </c>
      <c r="CD40" s="546">
        <v>574.79999999999995</v>
      </c>
      <c r="CE40" s="546"/>
      <c r="CF40" s="970"/>
      <c r="CG40" s="700">
        <v>567.70000000000005</v>
      </c>
      <c r="CH40" s="700">
        <v>564.70000000000005</v>
      </c>
      <c r="CI40" s="700">
        <v>565.20000000000005</v>
      </c>
      <c r="CJ40" s="700"/>
      <c r="CK40" s="545"/>
      <c r="CL40" s="546">
        <v>565.9</v>
      </c>
      <c r="CM40" s="546"/>
      <c r="CN40" s="546">
        <v>566.6</v>
      </c>
      <c r="CO40" s="546"/>
      <c r="CP40" s="545">
        <v>568.6</v>
      </c>
      <c r="CQ40" s="546">
        <v>585.4</v>
      </c>
      <c r="CR40" s="546">
        <v>590.20000000000005</v>
      </c>
      <c r="CS40" s="546">
        <v>589</v>
      </c>
      <c r="CT40" s="546">
        <v>590.29999999999995</v>
      </c>
      <c r="CU40" s="545">
        <v>587.6</v>
      </c>
      <c r="CV40" s="546">
        <v>591.70000000000005</v>
      </c>
      <c r="CW40" s="546">
        <v>596.4</v>
      </c>
      <c r="CX40" s="911">
        <v>596.29999999999995</v>
      </c>
      <c r="CY40" s="546">
        <v>598.9</v>
      </c>
      <c r="CZ40" s="545"/>
      <c r="DA40" s="546">
        <v>602.5</v>
      </c>
      <c r="DB40" s="546">
        <v>605.5</v>
      </c>
      <c r="DC40" s="546">
        <v>607.20000000000005</v>
      </c>
      <c r="DD40" s="546">
        <v>606.1</v>
      </c>
      <c r="DE40" s="545"/>
      <c r="DF40" s="546">
        <v>613.20000000000005</v>
      </c>
      <c r="DG40" s="911">
        <v>616.6</v>
      </c>
      <c r="DH40" s="1071">
        <v>618.79999999999995</v>
      </c>
      <c r="DI40" s="1076">
        <v>718.1</v>
      </c>
      <c r="DJ40" s="545"/>
      <c r="DK40" s="1076">
        <v>753.4</v>
      </c>
      <c r="DL40" s="1076">
        <v>756.6</v>
      </c>
      <c r="DM40" s="1076">
        <v>759.9</v>
      </c>
      <c r="DN40" s="1076">
        <v>768</v>
      </c>
      <c r="DO40" s="1091"/>
      <c r="DP40" s="1076">
        <v>788</v>
      </c>
      <c r="DQ40" s="1109">
        <v>790.6</v>
      </c>
      <c r="DR40" s="1016"/>
      <c r="DS40" s="546"/>
      <c r="DT40" s="545"/>
      <c r="DU40" s="1076"/>
      <c r="DV40" s="1016"/>
      <c r="DW40" s="1016"/>
      <c r="DX40" s="546"/>
      <c r="DY40" s="545"/>
      <c r="DZ40" s="545"/>
      <c r="EA40" s="545"/>
      <c r="EB40" s="545"/>
    </row>
    <row r="41" spans="1:132" s="280" customFormat="1" ht="12" customHeight="1">
      <c r="A41" s="68"/>
      <c r="B41" s="544" t="s">
        <v>47</v>
      </c>
      <c r="C41" s="545">
        <v>970.1</v>
      </c>
      <c r="D41" s="545">
        <v>966.9</v>
      </c>
      <c r="E41" s="545">
        <v>925.9</v>
      </c>
      <c r="F41" s="545">
        <v>871.3</v>
      </c>
      <c r="G41" s="545">
        <v>829.3</v>
      </c>
      <c r="H41" s="545">
        <v>808.4</v>
      </c>
      <c r="I41" s="545">
        <v>808.9</v>
      </c>
      <c r="J41" s="546">
        <v>810.9</v>
      </c>
      <c r="K41" s="546">
        <v>812.3</v>
      </c>
      <c r="L41" s="546">
        <v>814.8</v>
      </c>
      <c r="M41" s="546">
        <f>N41*4-J41-K41-L41</f>
        <v>814</v>
      </c>
      <c r="N41" s="545">
        <v>813</v>
      </c>
      <c r="O41" s="546">
        <v>806.8</v>
      </c>
      <c r="P41" s="546">
        <v>807.4</v>
      </c>
      <c r="Q41" s="546">
        <v>802.8</v>
      </c>
      <c r="R41" s="546">
        <f>S41*4-O41-P41-Q41</f>
        <v>794.60000000000014</v>
      </c>
      <c r="S41" s="545">
        <v>802.9</v>
      </c>
      <c r="T41" s="546">
        <v>791.8</v>
      </c>
      <c r="U41" s="546">
        <v>761.3</v>
      </c>
      <c r="V41" s="546">
        <v>784</v>
      </c>
      <c r="W41" s="546">
        <f>X41*4-T41-U41-V41</f>
        <v>813.30000000000041</v>
      </c>
      <c r="X41" s="545">
        <v>787.6</v>
      </c>
      <c r="Y41" s="546">
        <v>777.4</v>
      </c>
      <c r="Z41" s="546">
        <v>777</v>
      </c>
      <c r="AA41" s="546">
        <v>773.4</v>
      </c>
      <c r="AB41" s="546">
        <f>AC41*4-Y41-Z41-AA41</f>
        <v>762.19999999999993</v>
      </c>
      <c r="AC41" s="545">
        <v>772.5</v>
      </c>
      <c r="AD41" s="546">
        <v>747.4</v>
      </c>
      <c r="AE41" s="546">
        <v>732.8</v>
      </c>
      <c r="AF41" s="546">
        <v>721.9</v>
      </c>
      <c r="AG41" s="546">
        <f>AH41*4-AD41-AE41-AF41</f>
        <v>713.9</v>
      </c>
      <c r="AH41" s="545">
        <v>729</v>
      </c>
      <c r="AI41" s="546">
        <v>707.4</v>
      </c>
      <c r="AJ41" s="546">
        <v>707.8</v>
      </c>
      <c r="AK41" s="546">
        <v>701.3</v>
      </c>
      <c r="AL41" s="546">
        <v>723.9</v>
      </c>
      <c r="AM41" s="545">
        <v>713.4</v>
      </c>
      <c r="AN41" s="546">
        <v>740.1</v>
      </c>
      <c r="AO41" s="546">
        <v>742.9</v>
      </c>
      <c r="AP41" s="546">
        <v>744.6</v>
      </c>
      <c r="AQ41" s="546">
        <v>747</v>
      </c>
      <c r="AR41" s="545">
        <v>744.3</v>
      </c>
      <c r="AS41" s="546">
        <v>749</v>
      </c>
      <c r="AT41" s="546">
        <v>752.6</v>
      </c>
      <c r="AU41" s="548">
        <v>753.9</v>
      </c>
      <c r="AV41" s="546">
        <v>757.1</v>
      </c>
      <c r="AW41" s="545">
        <v>753.1</v>
      </c>
      <c r="AX41" s="546">
        <v>759.6</v>
      </c>
      <c r="AY41" s="546">
        <v>762</v>
      </c>
      <c r="AZ41" s="546">
        <v>765.2</v>
      </c>
      <c r="BA41" s="546">
        <v>766.3</v>
      </c>
      <c r="BB41" s="545">
        <v>763.8</v>
      </c>
      <c r="BC41" s="546">
        <v>768.7</v>
      </c>
      <c r="BD41" s="546">
        <v>771.8</v>
      </c>
      <c r="BE41" s="546">
        <v>769.1</v>
      </c>
      <c r="BF41" s="546">
        <v>768.4</v>
      </c>
      <c r="BG41" s="545">
        <v>769.5</v>
      </c>
      <c r="BH41" s="546">
        <v>754.1</v>
      </c>
      <c r="BI41" s="700">
        <v>740.1</v>
      </c>
      <c r="BJ41" s="546">
        <v>731.9</v>
      </c>
      <c r="BK41" s="546">
        <v>724.8</v>
      </c>
      <c r="BL41" s="545">
        <v>738</v>
      </c>
      <c r="BM41" s="546">
        <v>714.2</v>
      </c>
      <c r="BN41" s="700">
        <v>698.9</v>
      </c>
      <c r="BO41" s="546">
        <v>689</v>
      </c>
      <c r="BP41" s="546">
        <v>681.2</v>
      </c>
      <c r="BQ41" s="545">
        <v>696.1</v>
      </c>
      <c r="BR41" s="548">
        <v>665.8</v>
      </c>
      <c r="BS41" s="797">
        <v>636.29999999999995</v>
      </c>
      <c r="BT41" s="546">
        <v>632.70000000000005</v>
      </c>
      <c r="BU41" s="546">
        <v>630.29999999999995</v>
      </c>
      <c r="BV41" s="873">
        <v>643.79999999999995</v>
      </c>
      <c r="BW41" s="548">
        <v>621.20000000000005</v>
      </c>
      <c r="BX41" s="797">
        <v>609.6</v>
      </c>
      <c r="BY41" s="548">
        <v>606.29999999999995</v>
      </c>
      <c r="BZ41" s="548">
        <v>605.1</v>
      </c>
      <c r="CA41" s="873">
        <v>610.70000000000005</v>
      </c>
      <c r="CB41" s="911">
        <v>597.20000000000005</v>
      </c>
      <c r="CC41" s="700">
        <v>588.70000000000005</v>
      </c>
      <c r="CD41" s="546">
        <v>580.79999999999995</v>
      </c>
      <c r="CE41" s="546">
        <v>577.5</v>
      </c>
      <c r="CF41" s="873">
        <v>586.15</v>
      </c>
      <c r="CG41" s="700">
        <v>572.4</v>
      </c>
      <c r="CH41" s="700">
        <v>565.29999999999995</v>
      </c>
      <c r="CI41" s="700">
        <v>569.20000000000005</v>
      </c>
      <c r="CJ41" s="700">
        <v>565.4</v>
      </c>
      <c r="CK41" s="545">
        <v>565.4</v>
      </c>
      <c r="CL41" s="546">
        <v>565.9</v>
      </c>
      <c r="CM41" s="546">
        <v>566.4</v>
      </c>
      <c r="CN41" s="546">
        <v>566.6</v>
      </c>
      <c r="CO41" s="546">
        <v>575.4</v>
      </c>
      <c r="CP41" s="545">
        <v>568.6</v>
      </c>
      <c r="CQ41" s="546">
        <v>585.4</v>
      </c>
      <c r="CR41" s="546">
        <v>590.20000000000005</v>
      </c>
      <c r="CS41" s="546">
        <v>589</v>
      </c>
      <c r="CT41" s="546">
        <v>590.29999999999995</v>
      </c>
      <c r="CU41" s="545">
        <v>587.6</v>
      </c>
      <c r="CV41" s="546">
        <v>591.70000000000005</v>
      </c>
      <c r="CW41" s="546">
        <v>596.4</v>
      </c>
      <c r="CX41" s="911">
        <v>596.29999999999995</v>
      </c>
      <c r="CY41" s="546">
        <v>598.9</v>
      </c>
      <c r="CZ41" s="545"/>
      <c r="DA41" s="546">
        <v>602.5</v>
      </c>
      <c r="DB41" s="546">
        <v>605.5</v>
      </c>
      <c r="DC41" s="546">
        <v>607.20000000000005</v>
      </c>
      <c r="DD41" s="546">
        <v>606.1</v>
      </c>
      <c r="DE41" s="545"/>
      <c r="DF41" s="546">
        <v>613.20000000000005</v>
      </c>
      <c r="DG41" s="911">
        <v>616.6</v>
      </c>
      <c r="DH41" s="1071">
        <v>618.79999999999995</v>
      </c>
      <c r="DI41" s="1076">
        <v>718.1</v>
      </c>
      <c r="DJ41" s="545"/>
      <c r="DK41" s="1076">
        <v>753.4</v>
      </c>
      <c r="DL41" s="1076">
        <v>756.6</v>
      </c>
      <c r="DM41" s="1076">
        <v>759.9</v>
      </c>
      <c r="DN41" s="1076">
        <v>795</v>
      </c>
      <c r="DO41" s="1091"/>
      <c r="DP41" s="1076">
        <v>788</v>
      </c>
      <c r="DQ41" s="1109">
        <v>790.6</v>
      </c>
      <c r="DR41" s="1016"/>
      <c r="DS41" s="546"/>
      <c r="DT41" s="545"/>
      <c r="DU41" s="1076"/>
      <c r="DV41" s="1016"/>
      <c r="DW41" s="1016"/>
      <c r="DX41" s="546"/>
      <c r="DY41" s="545"/>
      <c r="DZ41" s="545"/>
      <c r="EA41" s="545"/>
      <c r="EB41" s="545"/>
    </row>
    <row r="42" spans="1:132" s="103" customFormat="1" ht="3.75" customHeight="1">
      <c r="A42" s="148"/>
      <c r="B42" s="148"/>
      <c r="C42" s="83"/>
      <c r="D42" s="83"/>
      <c r="E42" s="83"/>
      <c r="F42" s="83"/>
      <c r="G42" s="83"/>
      <c r="H42" s="83"/>
      <c r="I42" s="83"/>
      <c r="J42" s="84"/>
      <c r="K42" s="84"/>
      <c r="L42" s="84"/>
      <c r="M42" s="84"/>
      <c r="N42" s="83"/>
      <c r="O42" s="84"/>
      <c r="P42" s="84"/>
      <c r="Q42" s="84"/>
      <c r="R42" s="84"/>
      <c r="S42" s="83"/>
      <c r="T42" s="84"/>
      <c r="U42" s="84"/>
      <c r="V42" s="84"/>
      <c r="W42" s="84"/>
      <c r="X42" s="83"/>
      <c r="Y42" s="84"/>
      <c r="Z42" s="84"/>
      <c r="AA42" s="84"/>
      <c r="AB42" s="84"/>
      <c r="AC42" s="83"/>
      <c r="AD42" s="84"/>
      <c r="AE42" s="84"/>
      <c r="AF42" s="84"/>
      <c r="AG42" s="84"/>
      <c r="AH42" s="83"/>
      <c r="AI42" s="84"/>
      <c r="AJ42" s="84"/>
      <c r="AK42" s="84"/>
      <c r="AL42" s="84"/>
      <c r="AM42" s="83"/>
      <c r="AN42" s="84"/>
      <c r="AO42" s="84"/>
      <c r="AP42" s="84"/>
      <c r="AQ42" s="84"/>
      <c r="AR42" s="83"/>
      <c r="AS42" s="84"/>
      <c r="AT42" s="84"/>
      <c r="AU42" s="84"/>
      <c r="AV42" s="84"/>
      <c r="AW42" s="83"/>
      <c r="AX42" s="84"/>
      <c r="AY42" s="84"/>
      <c r="AZ42" s="84"/>
      <c r="BA42" s="84"/>
      <c r="BB42" s="83"/>
      <c r="BC42" s="84"/>
      <c r="BD42" s="84"/>
      <c r="BE42" s="84"/>
      <c r="BF42" s="84"/>
      <c r="BG42" s="83"/>
      <c r="BH42" s="84"/>
      <c r="BI42" s="701"/>
      <c r="BJ42" s="84"/>
      <c r="BK42" s="84"/>
      <c r="BL42" s="83"/>
      <c r="BM42" s="84"/>
      <c r="BN42" s="701"/>
      <c r="BO42" s="84"/>
      <c r="BP42" s="84"/>
      <c r="BQ42" s="83"/>
      <c r="BR42" s="84"/>
      <c r="BS42" s="701"/>
      <c r="BT42" s="84"/>
      <c r="BU42" s="84"/>
      <c r="BV42" s="879"/>
      <c r="BW42" s="869"/>
      <c r="BX42" s="870"/>
      <c r="BY42" s="869"/>
      <c r="BZ42" s="869"/>
      <c r="CA42" s="83"/>
      <c r="CB42" s="84"/>
      <c r="CC42" s="701"/>
      <c r="CD42" s="84"/>
      <c r="CE42" s="84"/>
      <c r="CF42" s="83"/>
      <c r="CG42" s="701"/>
      <c r="CH42" s="701"/>
      <c r="CI42" s="701"/>
      <c r="CJ42" s="701"/>
      <c r="CK42" s="83"/>
      <c r="CL42" s="84"/>
      <c r="CM42" s="84"/>
      <c r="CN42" s="84"/>
      <c r="CO42" s="84"/>
      <c r="CP42" s="83"/>
      <c r="CQ42" s="84"/>
      <c r="CR42" s="84"/>
      <c r="CS42" s="84"/>
      <c r="CT42" s="84"/>
      <c r="CU42" s="83"/>
      <c r="CV42" s="84"/>
      <c r="CW42" s="84"/>
      <c r="CX42" s="84"/>
      <c r="CY42" s="84"/>
      <c r="CZ42" s="83"/>
      <c r="DA42" s="84"/>
      <c r="DB42" s="84"/>
      <c r="DC42" s="84"/>
      <c r="DD42" s="84"/>
      <c r="DE42" s="83"/>
      <c r="DF42" s="84"/>
      <c r="DG42" s="1047"/>
      <c r="DH42" s="1047"/>
      <c r="DI42" s="84"/>
      <c r="DJ42" s="83"/>
      <c r="DK42" s="84"/>
      <c r="DL42" s="84"/>
      <c r="DM42" s="84"/>
      <c r="DN42" s="84"/>
      <c r="DO42" s="83"/>
      <c r="DP42" s="84"/>
      <c r="DQ42" s="84"/>
      <c r="DR42" s="84"/>
      <c r="DS42" s="84"/>
      <c r="DT42" s="83"/>
      <c r="DU42" s="84"/>
      <c r="DV42" s="84"/>
      <c r="DW42" s="84"/>
      <c r="DX42" s="84"/>
      <c r="DY42" s="83"/>
      <c r="DZ42" s="83"/>
      <c r="EA42" s="83"/>
      <c r="EB42" s="83"/>
    </row>
    <row r="43" spans="1:132" s="103" customFormat="1" ht="11.25" hidden="1" customHeight="1" outlineLevel="1">
      <c r="A43" s="68"/>
      <c r="B43" s="68"/>
      <c r="C43" s="76" t="str">
        <f t="shared" ref="C43:AK43" si="249">IF(ROUND(C35,2)=ROUND((C27/C41),2),"","check")</f>
        <v/>
      </c>
      <c r="D43" s="76" t="str">
        <f t="shared" si="249"/>
        <v/>
      </c>
      <c r="E43" s="76" t="str">
        <f t="shared" si="249"/>
        <v/>
      </c>
      <c r="F43" s="76" t="str">
        <f t="shared" si="249"/>
        <v/>
      </c>
      <c r="G43" s="76" t="str">
        <f t="shared" si="249"/>
        <v/>
      </c>
      <c r="H43" s="76" t="str">
        <f t="shared" si="249"/>
        <v/>
      </c>
      <c r="I43" s="76" t="str">
        <f t="shared" si="249"/>
        <v/>
      </c>
      <c r="J43" s="77" t="str">
        <f t="shared" si="249"/>
        <v/>
      </c>
      <c r="K43" s="77" t="str">
        <f t="shared" si="249"/>
        <v/>
      </c>
      <c r="L43" s="77" t="str">
        <f t="shared" si="249"/>
        <v/>
      </c>
      <c r="M43" s="77" t="str">
        <f t="shared" si="249"/>
        <v/>
      </c>
      <c r="N43" s="76" t="str">
        <f t="shared" si="249"/>
        <v/>
      </c>
      <c r="O43" s="77" t="str">
        <f t="shared" si="249"/>
        <v/>
      </c>
      <c r="P43" s="77" t="str">
        <f t="shared" si="249"/>
        <v/>
      </c>
      <c r="Q43" s="77" t="str">
        <f t="shared" si="249"/>
        <v/>
      </c>
      <c r="R43" s="77" t="str">
        <f t="shared" si="249"/>
        <v/>
      </c>
      <c r="S43" s="76" t="str">
        <f t="shared" si="249"/>
        <v/>
      </c>
      <c r="T43" s="77" t="str">
        <f t="shared" si="249"/>
        <v/>
      </c>
      <c r="U43" s="77" t="str">
        <f t="shared" si="249"/>
        <v/>
      </c>
      <c r="V43" s="77" t="str">
        <f t="shared" si="249"/>
        <v/>
      </c>
      <c r="W43" s="77" t="str">
        <f t="shared" si="249"/>
        <v/>
      </c>
      <c r="X43" s="76" t="str">
        <f t="shared" si="249"/>
        <v/>
      </c>
      <c r="Y43" s="77" t="str">
        <f t="shared" si="249"/>
        <v/>
      </c>
      <c r="Z43" s="77" t="str">
        <f t="shared" si="249"/>
        <v/>
      </c>
      <c r="AA43" s="77" t="str">
        <f t="shared" si="249"/>
        <v/>
      </c>
      <c r="AB43" s="77" t="str">
        <f t="shared" si="249"/>
        <v/>
      </c>
      <c r="AC43" s="76" t="str">
        <f t="shared" si="249"/>
        <v/>
      </c>
      <c r="AD43" s="77" t="str">
        <f t="shared" si="249"/>
        <v/>
      </c>
      <c r="AE43" s="77" t="str">
        <f t="shared" si="249"/>
        <v/>
      </c>
      <c r="AF43" s="77" t="str">
        <f t="shared" si="249"/>
        <v/>
      </c>
      <c r="AG43" s="77" t="str">
        <f t="shared" si="249"/>
        <v/>
      </c>
      <c r="AH43" s="76" t="str">
        <f t="shared" si="249"/>
        <v/>
      </c>
      <c r="AI43" s="77" t="str">
        <f t="shared" si="249"/>
        <v/>
      </c>
      <c r="AJ43" s="77" t="str">
        <f t="shared" si="249"/>
        <v/>
      </c>
      <c r="AK43" s="77" t="str">
        <f t="shared" si="249"/>
        <v/>
      </c>
      <c r="AL43" s="77"/>
      <c r="AM43" s="76"/>
      <c r="AN43" s="77"/>
      <c r="AO43" s="77"/>
      <c r="AP43" s="77"/>
      <c r="AQ43" s="77"/>
      <c r="AR43" s="76"/>
      <c r="AS43" s="77"/>
      <c r="AT43" s="77"/>
      <c r="AU43" s="77"/>
      <c r="AV43" s="77"/>
      <c r="AW43" s="76"/>
      <c r="AX43" s="77"/>
      <c r="AY43" s="77"/>
      <c r="AZ43" s="77"/>
      <c r="BA43" s="77"/>
      <c r="BB43" s="76"/>
      <c r="BC43" s="77"/>
      <c r="BD43" s="77"/>
      <c r="BE43" s="77"/>
      <c r="BF43" s="77"/>
      <c r="BG43" s="76"/>
      <c r="BH43" s="77"/>
      <c r="BI43" s="693"/>
      <c r="BJ43" s="77"/>
      <c r="BK43" s="77"/>
      <c r="BL43" s="76"/>
      <c r="BM43" s="77"/>
      <c r="BN43" s="693"/>
      <c r="BO43" s="77"/>
      <c r="BP43" s="77"/>
      <c r="BQ43" s="76"/>
      <c r="BR43" s="77"/>
      <c r="BS43" s="693"/>
      <c r="BT43" s="77"/>
      <c r="BU43" s="77"/>
      <c r="BV43" s="871"/>
      <c r="BW43" s="77"/>
      <c r="BX43" s="693"/>
      <c r="BY43" s="77"/>
      <c r="BZ43" s="77"/>
      <c r="CA43" s="76"/>
      <c r="CB43" s="77"/>
      <c r="CC43" s="693"/>
      <c r="CD43" s="77"/>
      <c r="CE43" s="77"/>
      <c r="CF43" s="76"/>
      <c r="CG43" s="693"/>
      <c r="CH43" s="693"/>
      <c r="CI43" s="693"/>
      <c r="CJ43" s="693"/>
      <c r="CK43" s="76"/>
      <c r="CL43" s="77"/>
      <c r="CM43" s="77"/>
      <c r="CN43" s="77"/>
      <c r="CO43" s="77"/>
      <c r="CP43" s="76"/>
      <c r="CQ43" s="77"/>
      <c r="CR43" s="77"/>
      <c r="CS43" s="77"/>
      <c r="CT43" s="77"/>
      <c r="CU43" s="76"/>
      <c r="CV43" s="77"/>
      <c r="CW43" s="77"/>
      <c r="CX43" s="77"/>
      <c r="CY43" s="77"/>
      <c r="CZ43" s="76"/>
      <c r="DA43" s="77"/>
      <c r="DB43" s="77"/>
      <c r="DC43" s="77"/>
      <c r="DD43" s="77"/>
      <c r="DE43" s="76"/>
      <c r="DG43" s="593"/>
      <c r="DH43" s="593"/>
      <c r="DI43" s="77"/>
      <c r="DJ43" s="76"/>
      <c r="DN43" s="77"/>
      <c r="DO43" s="76"/>
      <c r="DP43" s="77"/>
      <c r="DS43" s="77"/>
      <c r="DT43" s="76"/>
      <c r="DX43" s="77"/>
      <c r="DY43" s="76"/>
      <c r="DZ43" s="76"/>
      <c r="EA43" s="76"/>
      <c r="EB43" s="76"/>
    </row>
    <row r="44" spans="1:132" s="103" customFormat="1" ht="12" customHeight="1" collapsed="1">
      <c r="A44" s="68"/>
      <c r="B44" s="68"/>
      <c r="C44" s="76"/>
      <c r="D44" s="76"/>
      <c r="E44" s="76"/>
      <c r="F44" s="76"/>
      <c r="G44" s="76"/>
      <c r="H44" s="76"/>
      <c r="I44" s="76"/>
      <c r="J44" s="77"/>
      <c r="K44" s="77"/>
      <c r="L44" s="77"/>
      <c r="M44" s="77"/>
      <c r="N44" s="76"/>
      <c r="O44" s="77"/>
      <c r="P44" s="77"/>
      <c r="Q44" s="77"/>
      <c r="R44" s="77"/>
      <c r="S44" s="76"/>
      <c r="T44" s="77"/>
      <c r="U44" s="77"/>
      <c r="V44" s="77"/>
      <c r="W44" s="77"/>
      <c r="X44" s="76"/>
      <c r="Y44" s="77"/>
      <c r="Z44" s="77"/>
      <c r="AA44" s="77"/>
      <c r="AB44" s="77"/>
      <c r="AC44" s="76"/>
      <c r="AD44" s="77"/>
      <c r="AE44" s="77"/>
      <c r="AF44" s="77"/>
      <c r="AG44" s="77"/>
      <c r="AH44" s="76"/>
      <c r="AI44" s="77"/>
      <c r="AJ44" s="77"/>
      <c r="AK44" s="77"/>
      <c r="AL44" s="77"/>
      <c r="AM44" s="76"/>
      <c r="AN44" s="77"/>
      <c r="AO44" s="77"/>
      <c r="AP44" s="77"/>
      <c r="AQ44" s="77"/>
      <c r="AR44" s="76"/>
      <c r="AS44" s="77"/>
      <c r="AT44" s="77"/>
      <c r="AU44" s="77"/>
      <c r="AV44" s="77"/>
      <c r="AW44" s="76"/>
      <c r="AX44" s="77"/>
      <c r="AY44" s="77"/>
      <c r="AZ44" s="77"/>
      <c r="BA44" s="77"/>
      <c r="BB44" s="76"/>
      <c r="BC44" s="77"/>
      <c r="BD44" s="77"/>
      <c r="BE44" s="77"/>
      <c r="BF44" s="77"/>
      <c r="BG44" s="76"/>
      <c r="BH44" s="77"/>
      <c r="BI44" s="693"/>
      <c r="BJ44" s="77"/>
      <c r="BK44" s="77"/>
      <c r="BL44" s="76"/>
      <c r="BM44" s="77"/>
      <c r="BN44" s="693"/>
      <c r="BO44" s="77"/>
      <c r="BP44" s="77"/>
      <c r="BQ44" s="76"/>
      <c r="BR44" s="77"/>
      <c r="BS44" s="693"/>
      <c r="BT44" s="77"/>
      <c r="BU44" s="77"/>
      <c r="BV44" s="871"/>
      <c r="BW44" s="77"/>
      <c r="BX44" s="693"/>
      <c r="BY44" s="77"/>
      <c r="BZ44" s="77"/>
      <c r="CA44" s="76"/>
      <c r="CB44" s="77"/>
      <c r="CC44" s="693"/>
      <c r="CD44" s="77"/>
      <c r="CE44" s="77"/>
      <c r="CF44" s="76"/>
      <c r="CG44" s="693"/>
      <c r="CH44" s="693"/>
      <c r="CI44" s="693"/>
      <c r="CJ44" s="693"/>
      <c r="CK44" s="76"/>
      <c r="CL44" s="77"/>
      <c r="CM44" s="77"/>
      <c r="CN44" s="77"/>
      <c r="CO44" s="77"/>
      <c r="CP44" s="76"/>
      <c r="CQ44" s="77"/>
      <c r="CR44" s="77"/>
      <c r="CS44" s="77"/>
      <c r="CT44" s="77"/>
      <c r="CU44" s="76"/>
      <c r="CV44" s="77"/>
      <c r="CW44" s="77"/>
      <c r="CX44" s="77"/>
      <c r="CY44" s="77"/>
      <c r="CZ44" s="76"/>
      <c r="DA44" s="77"/>
      <c r="DB44" s="77"/>
      <c r="DC44" s="77"/>
      <c r="DD44" s="77"/>
      <c r="DE44" s="76"/>
      <c r="DG44" s="593"/>
      <c r="DH44" s="593"/>
      <c r="DI44" s="77"/>
      <c r="DJ44" s="76"/>
      <c r="DN44" s="77"/>
      <c r="DO44" s="76"/>
      <c r="DP44" s="77"/>
      <c r="DS44" s="77"/>
      <c r="DT44" s="76"/>
      <c r="DX44" s="77"/>
      <c r="DY44" s="76"/>
      <c r="DZ44" s="76"/>
      <c r="EA44" s="76"/>
      <c r="EB44" s="76"/>
    </row>
    <row r="45" spans="1:132" s="103" customFormat="1" ht="12" customHeight="1">
      <c r="A45" s="68"/>
      <c r="B45" s="164" t="s">
        <v>145</v>
      </c>
      <c r="C45" s="76"/>
      <c r="D45" s="76"/>
      <c r="E45" s="76"/>
      <c r="F45" s="76"/>
      <c r="G45" s="76"/>
      <c r="H45" s="76"/>
      <c r="I45" s="76"/>
      <c r="J45" s="77"/>
      <c r="K45" s="77"/>
      <c r="L45" s="77"/>
      <c r="M45" s="77"/>
      <c r="N45" s="76"/>
      <c r="O45" s="77"/>
      <c r="P45" s="77"/>
      <c r="Q45" s="77"/>
      <c r="R45" s="77"/>
      <c r="S45" s="76"/>
      <c r="T45" s="77"/>
      <c r="U45" s="77"/>
      <c r="V45" s="77"/>
      <c r="W45" s="77"/>
      <c r="X45" s="76"/>
      <c r="Y45" s="77"/>
      <c r="Z45" s="77"/>
      <c r="AA45" s="77"/>
      <c r="AB45" s="77"/>
      <c r="AC45" s="76"/>
      <c r="AD45" s="77"/>
      <c r="AE45" s="77"/>
      <c r="AF45" s="77"/>
      <c r="AG45" s="77"/>
      <c r="AH45" s="76"/>
      <c r="AI45" s="77"/>
      <c r="AJ45" s="77"/>
      <c r="AK45" s="77"/>
      <c r="AL45" s="77"/>
      <c r="AM45" s="76"/>
      <c r="AN45" s="77"/>
      <c r="AO45" s="77"/>
      <c r="AP45" s="77"/>
      <c r="AQ45" s="77"/>
      <c r="AR45" s="76"/>
      <c r="AS45" s="77"/>
      <c r="AT45" s="77"/>
      <c r="AU45" s="77"/>
      <c r="AV45" s="77"/>
      <c r="AW45" s="76"/>
      <c r="AX45" s="77"/>
      <c r="AY45" s="77"/>
      <c r="AZ45" s="77"/>
      <c r="BA45" s="77"/>
      <c r="BB45" s="76"/>
      <c r="BC45" s="77"/>
      <c r="BD45" s="77"/>
      <c r="BE45" s="77"/>
      <c r="BF45" s="77"/>
      <c r="BG45" s="76"/>
      <c r="BH45" s="77"/>
      <c r="BI45" s="693"/>
      <c r="BJ45" s="77"/>
      <c r="BK45" s="77"/>
      <c r="BL45" s="76"/>
      <c r="BM45" s="77"/>
      <c r="BN45" s="693"/>
      <c r="BO45" s="77"/>
      <c r="BP45" s="77"/>
      <c r="BQ45" s="76"/>
      <c r="BR45" s="77"/>
      <c r="BS45" s="693"/>
      <c r="BT45" s="77"/>
      <c r="BU45" s="77"/>
      <c r="BV45" s="871"/>
      <c r="BW45" s="77"/>
      <c r="BX45" s="693"/>
      <c r="BY45" s="77"/>
      <c r="BZ45" s="77"/>
      <c r="CA45" s="76"/>
      <c r="CB45" s="77"/>
      <c r="CC45" s="693"/>
      <c r="CD45" s="77"/>
      <c r="CE45" s="77"/>
      <c r="CF45" s="76"/>
      <c r="CG45" s="693"/>
      <c r="CH45" s="693"/>
      <c r="CI45" s="693"/>
      <c r="CJ45" s="693"/>
      <c r="CK45" s="76"/>
      <c r="CL45" s="77"/>
      <c r="CM45" s="77"/>
      <c r="CN45" s="77"/>
      <c r="CO45" s="77"/>
      <c r="CP45" s="76"/>
      <c r="CQ45" s="77"/>
      <c r="CR45" s="77"/>
      <c r="CS45" s="77"/>
      <c r="CT45" s="77"/>
      <c r="CU45" s="76"/>
      <c r="CV45" s="77"/>
      <c r="CW45" s="77"/>
      <c r="CX45" s="77"/>
      <c r="CY45" s="77"/>
      <c r="CZ45" s="76"/>
      <c r="DA45" s="77"/>
      <c r="DB45" s="77"/>
      <c r="DC45" s="77"/>
      <c r="DD45" s="77"/>
      <c r="DE45" s="76"/>
      <c r="DG45" s="593"/>
      <c r="DH45" s="593"/>
      <c r="DI45" s="77"/>
      <c r="DJ45" s="76"/>
      <c r="DN45" s="77"/>
      <c r="DO45" s="76"/>
      <c r="DP45" s="77"/>
      <c r="DS45" s="77"/>
      <c r="DT45" s="76"/>
      <c r="DX45" s="77"/>
      <c r="DY45" s="76"/>
      <c r="DZ45" s="76"/>
      <c r="EA45" s="76"/>
      <c r="EB45" s="76"/>
    </row>
    <row r="46" spans="1:132" s="103" customFormat="1" ht="12" customHeight="1">
      <c r="A46" s="68"/>
      <c r="B46" s="74" t="s">
        <v>48</v>
      </c>
      <c r="C46" s="76"/>
      <c r="D46" s="76"/>
      <c r="E46" s="76"/>
      <c r="F46" s="76"/>
      <c r="G46" s="76"/>
      <c r="H46" s="76"/>
      <c r="I46" s="76"/>
      <c r="J46" s="77"/>
      <c r="K46" s="77"/>
      <c r="L46" s="77"/>
      <c r="M46" s="77"/>
      <c r="N46" s="76"/>
      <c r="O46" s="77"/>
      <c r="P46" s="77"/>
      <c r="Q46" s="77"/>
      <c r="R46" s="77"/>
      <c r="S46" s="76"/>
      <c r="T46" s="77"/>
      <c r="U46" s="77"/>
      <c r="V46" s="77"/>
      <c r="W46" s="77"/>
      <c r="X46" s="76"/>
      <c r="Y46" s="77"/>
      <c r="Z46" s="77"/>
      <c r="AA46" s="77"/>
      <c r="AB46" s="77"/>
      <c r="AC46" s="76"/>
      <c r="AD46" s="77"/>
      <c r="AE46" s="77"/>
      <c r="AF46" s="77"/>
      <c r="AG46" s="77"/>
      <c r="AH46" s="76"/>
      <c r="AI46" s="77"/>
      <c r="AJ46" s="77"/>
      <c r="AK46" s="77"/>
      <c r="AL46" s="77"/>
      <c r="AM46" s="76"/>
      <c r="AN46" s="77"/>
      <c r="AO46" s="77"/>
      <c r="AP46" s="77"/>
      <c r="AQ46" s="77"/>
      <c r="AR46" s="76"/>
      <c r="AS46" s="77"/>
      <c r="AT46" s="77"/>
      <c r="AU46" s="77"/>
      <c r="AV46" s="77"/>
      <c r="AW46" s="76"/>
      <c r="AX46" s="77"/>
      <c r="AY46" s="77"/>
      <c r="AZ46" s="77"/>
      <c r="BA46" s="77"/>
      <c r="BB46" s="76"/>
      <c r="BC46" s="77"/>
      <c r="BD46" s="77"/>
      <c r="BE46" s="77"/>
      <c r="BF46" s="77"/>
      <c r="BG46" s="76"/>
      <c r="BH46" s="77"/>
      <c r="BI46" s="693"/>
      <c r="BJ46" s="77"/>
      <c r="BK46" s="77"/>
      <c r="BL46" s="76"/>
      <c r="BM46" s="77"/>
      <c r="BN46" s="693"/>
      <c r="BO46" s="77"/>
      <c r="BP46" s="77"/>
      <c r="BQ46" s="76"/>
      <c r="BR46" s="77"/>
      <c r="BS46" s="693"/>
      <c r="BT46" s="77"/>
      <c r="BU46" s="77"/>
      <c r="BV46" s="871"/>
      <c r="BW46" s="77"/>
      <c r="BX46" s="693"/>
      <c r="BY46" s="77"/>
      <c r="BZ46" s="77"/>
      <c r="CA46" s="76"/>
      <c r="CB46" s="77"/>
      <c r="CC46" s="693"/>
      <c r="CD46" s="77"/>
      <c r="CE46" s="77"/>
      <c r="CF46" s="76"/>
      <c r="CG46" s="693"/>
      <c r="CH46" s="693"/>
      <c r="CI46" s="693"/>
      <c r="CJ46" s="693"/>
      <c r="CK46" s="76"/>
      <c r="CL46" s="77"/>
      <c r="CM46" s="77"/>
      <c r="CN46" s="77"/>
      <c r="CO46" s="77"/>
      <c r="CP46" s="76"/>
      <c r="CQ46" s="77"/>
      <c r="CR46" s="77"/>
      <c r="CS46" s="77"/>
      <c r="CT46" s="77"/>
      <c r="CU46" s="76"/>
      <c r="CV46" s="77"/>
      <c r="CW46" s="77"/>
      <c r="CX46" s="77"/>
      <c r="CY46" s="77"/>
      <c r="CZ46" s="76"/>
      <c r="DA46" s="77"/>
      <c r="DB46" s="77"/>
      <c r="DC46" s="77"/>
      <c r="DD46" s="77"/>
      <c r="DE46" s="76"/>
      <c r="DG46" s="593"/>
      <c r="DH46" s="593"/>
      <c r="DI46" s="77"/>
      <c r="DJ46" s="76"/>
      <c r="DN46" s="77"/>
      <c r="DO46" s="76"/>
      <c r="DP46" s="77"/>
      <c r="DS46" s="77"/>
      <c r="DT46" s="76"/>
      <c r="DX46" s="77"/>
      <c r="DY46" s="76"/>
      <c r="DZ46" s="76"/>
      <c r="EA46" s="76"/>
      <c r="EB46" s="76"/>
    </row>
    <row r="47" spans="1:132" s="105" customFormat="1" ht="12" customHeight="1">
      <c r="A47" s="68"/>
      <c r="B47" s="159" t="s">
        <v>49</v>
      </c>
      <c r="C47" s="76">
        <v>4420</v>
      </c>
      <c r="D47" s="76">
        <v>2183</v>
      </c>
      <c r="E47" s="76">
        <v>3354</v>
      </c>
      <c r="F47" s="76">
        <v>1010</v>
      </c>
      <c r="G47" s="76">
        <v>633</v>
      </c>
      <c r="H47" s="76">
        <v>2333</v>
      </c>
      <c r="I47" s="76">
        <v>4633</v>
      </c>
      <c r="J47" s="77">
        <v>3950</v>
      </c>
      <c r="K47" s="77">
        <v>6184</v>
      </c>
      <c r="L47" s="77">
        <v>4312</v>
      </c>
      <c r="M47" s="77">
        <f>N47</f>
        <v>3204</v>
      </c>
      <c r="N47" s="76">
        <v>3204</v>
      </c>
      <c r="O47" s="77">
        <v>3330</v>
      </c>
      <c r="P47" s="77">
        <v>4961</v>
      </c>
      <c r="Q47" s="77">
        <v>4547</v>
      </c>
      <c r="R47" s="77">
        <f>S47</f>
        <v>5412</v>
      </c>
      <c r="S47" s="76">
        <v>5412</v>
      </c>
      <c r="T47" s="77">
        <v>6781</v>
      </c>
      <c r="U47" s="77">
        <v>7567</v>
      </c>
      <c r="V47" s="77">
        <v>5198</v>
      </c>
      <c r="W47" s="77">
        <f>X47</f>
        <v>6118</v>
      </c>
      <c r="X47" s="76">
        <v>6118</v>
      </c>
      <c r="Y47" s="77">
        <v>4836</v>
      </c>
      <c r="Z47" s="77">
        <v>7156</v>
      </c>
      <c r="AA47" s="77">
        <v>8948</v>
      </c>
      <c r="AB47" s="77">
        <f>AC47</f>
        <v>7042</v>
      </c>
      <c r="AC47" s="76">
        <v>7042</v>
      </c>
      <c r="AD47" s="77">
        <v>7707</v>
      </c>
      <c r="AE47" s="77">
        <v>5619</v>
      </c>
      <c r="AF47" s="77">
        <v>4186</v>
      </c>
      <c r="AG47" s="77">
        <f>AH47</f>
        <v>3268</v>
      </c>
      <c r="AH47" s="76">
        <v>3268</v>
      </c>
      <c r="AI47" s="77">
        <v>4237</v>
      </c>
      <c r="AJ47" s="77">
        <v>4599</v>
      </c>
      <c r="AK47" s="77">
        <v>6095</v>
      </c>
      <c r="AL47" s="77">
        <v>9215</v>
      </c>
      <c r="AM47" s="76">
        <f t="shared" ref="AM47:AM54" si="250">AL47</f>
        <v>9215</v>
      </c>
      <c r="AN47" s="77">
        <v>4517</v>
      </c>
      <c r="AO47" s="77">
        <v>4468</v>
      </c>
      <c r="AP47" s="77">
        <v>2864</v>
      </c>
      <c r="AQ47" s="77">
        <v>5359</v>
      </c>
      <c r="AR47" s="76">
        <f t="shared" ref="AR47:AR54" si="251">AQ47</f>
        <v>5359</v>
      </c>
      <c r="AS47" s="77">
        <v>5670</v>
      </c>
      <c r="AT47" s="77">
        <v>5050</v>
      </c>
      <c r="AU47" s="86">
        <v>5954</v>
      </c>
      <c r="AV47" s="77">
        <v>10049</v>
      </c>
      <c r="AW47" s="76">
        <f t="shared" ref="AW47:AW54" si="252">AV47</f>
        <v>10049</v>
      </c>
      <c r="AX47" s="77">
        <v>6718</v>
      </c>
      <c r="AY47" s="77">
        <v>6305</v>
      </c>
      <c r="AZ47" s="77">
        <v>6582</v>
      </c>
      <c r="BA47" s="77">
        <v>10341</v>
      </c>
      <c r="BB47" s="76">
        <f t="shared" ref="BB47:BB54" si="253">BA47</f>
        <v>10341</v>
      </c>
      <c r="BC47" s="77">
        <v>8335</v>
      </c>
      <c r="BD47" s="77">
        <v>8694</v>
      </c>
      <c r="BE47" s="77">
        <v>10041</v>
      </c>
      <c r="BF47" s="77">
        <v>9088</v>
      </c>
      <c r="BG47" s="76">
        <f t="shared" ref="BG47:BG54" si="254">BF47</f>
        <v>9088</v>
      </c>
      <c r="BH47" s="77">
        <v>6942</v>
      </c>
      <c r="BI47" s="693">
        <v>7533</v>
      </c>
      <c r="BJ47" s="77">
        <v>6655</v>
      </c>
      <c r="BK47" s="77">
        <v>11733</v>
      </c>
      <c r="BL47" s="76">
        <f t="shared" ref="BL47:BL53" si="255">BK47</f>
        <v>11733</v>
      </c>
      <c r="BM47" s="77">
        <v>8655</v>
      </c>
      <c r="BN47" s="693">
        <v>9157</v>
      </c>
      <c r="BO47" s="77">
        <v>9383</v>
      </c>
      <c r="BP47" s="77">
        <v>11302</v>
      </c>
      <c r="BQ47" s="76">
        <f t="shared" ref="BQ47:BQ53" si="256">BP47</f>
        <v>11302</v>
      </c>
      <c r="BR47" s="77">
        <v>7886</v>
      </c>
      <c r="BS47" s="693">
        <v>8605</v>
      </c>
      <c r="BT47" s="77">
        <v>8986</v>
      </c>
      <c r="BU47" s="77">
        <v>8801</v>
      </c>
      <c r="BV47" s="871">
        <f t="shared" ref="BV47:BV53" si="257">BU47</f>
        <v>8801</v>
      </c>
      <c r="BW47" s="77">
        <v>8190</v>
      </c>
      <c r="BX47" s="693">
        <v>8737</v>
      </c>
      <c r="BY47" s="77">
        <v>8569</v>
      </c>
      <c r="BZ47" s="77">
        <v>8813</v>
      </c>
      <c r="CA47" s="76">
        <f t="shared" ref="CA47:CA53" si="258">BZ47</f>
        <v>8813</v>
      </c>
      <c r="CB47" s="77">
        <v>9235</v>
      </c>
      <c r="CC47" s="693">
        <v>8121</v>
      </c>
      <c r="CD47" s="77">
        <v>8034</v>
      </c>
      <c r="CE47" s="77">
        <v>7637</v>
      </c>
      <c r="CF47" s="76">
        <f t="shared" ref="CF47:CF53" si="259">CE47</f>
        <v>7637</v>
      </c>
      <c r="CG47" s="693">
        <v>6836</v>
      </c>
      <c r="CH47" s="693">
        <v>9167</v>
      </c>
      <c r="CI47" s="693">
        <v>9763</v>
      </c>
      <c r="CJ47" s="693">
        <v>9485</v>
      </c>
      <c r="CK47" s="76">
        <f t="shared" ref="CK47:CK53" si="260">CJ47</f>
        <v>9485</v>
      </c>
      <c r="CL47" s="77">
        <v>15039</v>
      </c>
      <c r="CM47" s="77">
        <v>19992</v>
      </c>
      <c r="CN47" s="77">
        <v>10564</v>
      </c>
      <c r="CO47" s="77">
        <v>7752</v>
      </c>
      <c r="CP47" s="76">
        <f t="shared" ref="CP47:CP53" si="261">CO47</f>
        <v>7752</v>
      </c>
      <c r="CQ47" s="77">
        <v>7059</v>
      </c>
      <c r="CR47" s="77">
        <v>8271</v>
      </c>
      <c r="CS47" s="77">
        <v>9764</v>
      </c>
      <c r="CT47" s="77">
        <v>8052</v>
      </c>
      <c r="CU47" s="76">
        <f t="shared" ref="CU47:CU53" si="262">CT47</f>
        <v>8052</v>
      </c>
      <c r="CV47" s="77">
        <v>7409</v>
      </c>
      <c r="CW47" s="77">
        <v>10090</v>
      </c>
      <c r="CX47" s="77">
        <v>13494</v>
      </c>
      <c r="CY47" s="77">
        <v>14614</v>
      </c>
      <c r="CZ47" s="76">
        <f t="shared" ref="CZ47:CZ53" si="263">CY47</f>
        <v>14614</v>
      </c>
      <c r="DA47" s="77">
        <v>10812</v>
      </c>
      <c r="DB47" s="77">
        <v>7254</v>
      </c>
      <c r="DC47" s="77">
        <v>6811</v>
      </c>
      <c r="DD47" s="77">
        <v>12691</v>
      </c>
      <c r="DE47" s="76">
        <f t="shared" ref="DE47:DE53" si="264">DD47</f>
        <v>12691</v>
      </c>
      <c r="DF47" s="77">
        <v>6914</v>
      </c>
      <c r="DG47" s="16">
        <v>10894</v>
      </c>
      <c r="DH47" s="593">
        <v>9961</v>
      </c>
      <c r="DI47" s="1074">
        <v>13801</v>
      </c>
      <c r="DJ47" s="76">
        <f t="shared" ref="DJ47:DJ49" si="265">DI47</f>
        <v>13801</v>
      </c>
      <c r="DK47" s="1074">
        <v>10142</v>
      </c>
      <c r="DL47" s="1074">
        <v>7087</v>
      </c>
      <c r="DM47" s="1074">
        <v>6173</v>
      </c>
      <c r="DN47" s="1074">
        <v>10921</v>
      </c>
      <c r="DO47" s="76">
        <f t="shared" ref="DO47:DO49" si="266">DN47</f>
        <v>10921</v>
      </c>
      <c r="DP47" s="1074">
        <v>9441</v>
      </c>
      <c r="DQ47" s="580">
        <v>7239</v>
      </c>
      <c r="DS47" s="77"/>
      <c r="DT47" s="93"/>
      <c r="DU47" s="1074"/>
      <c r="DX47" s="77"/>
      <c r="DY47" s="93"/>
      <c r="DZ47" s="93"/>
      <c r="EA47" s="93"/>
      <c r="EB47" s="93"/>
    </row>
    <row r="48" spans="1:132" s="105" customFormat="1" ht="12" customHeight="1">
      <c r="A48" s="68"/>
      <c r="B48" s="159" t="s">
        <v>50</v>
      </c>
      <c r="C48" s="76">
        <v>729</v>
      </c>
      <c r="D48" s="76">
        <v>279</v>
      </c>
      <c r="E48" s="76">
        <v>100</v>
      </c>
      <c r="F48" s="76">
        <v>0</v>
      </c>
      <c r="G48" s="76">
        <v>0</v>
      </c>
      <c r="H48" s="76">
        <v>0</v>
      </c>
      <c r="I48" s="76">
        <v>0</v>
      </c>
      <c r="J48" s="77">
        <v>0</v>
      </c>
      <c r="K48" s="77">
        <v>0</v>
      </c>
      <c r="L48" s="77">
        <v>96</v>
      </c>
      <c r="M48" s="77">
        <f t="shared" ref="M48:M64" si="267">N48</f>
        <v>319</v>
      </c>
      <c r="N48" s="76">
        <v>319</v>
      </c>
      <c r="O48" s="77">
        <v>167</v>
      </c>
      <c r="P48" s="77">
        <v>207</v>
      </c>
      <c r="Q48" s="77">
        <v>527</v>
      </c>
      <c r="R48" s="77">
        <f t="shared" ref="R48:R64" si="268">S48</f>
        <v>554</v>
      </c>
      <c r="S48" s="76">
        <v>554</v>
      </c>
      <c r="T48" s="77">
        <v>576</v>
      </c>
      <c r="U48" s="77">
        <v>567</v>
      </c>
      <c r="V48" s="77">
        <v>423</v>
      </c>
      <c r="W48" s="77">
        <f t="shared" ref="W48:W64" si="269">X48</f>
        <v>268</v>
      </c>
      <c r="X48" s="76">
        <v>268</v>
      </c>
      <c r="Y48" s="77">
        <v>441</v>
      </c>
      <c r="Z48" s="77">
        <v>475</v>
      </c>
      <c r="AA48" s="77">
        <v>516</v>
      </c>
      <c r="AB48" s="77">
        <f t="shared" ref="AB48:AB64" si="270">AC48</f>
        <v>2266</v>
      </c>
      <c r="AC48" s="76">
        <v>2266</v>
      </c>
      <c r="AD48" s="77">
        <v>1881</v>
      </c>
      <c r="AE48" s="77">
        <v>1752</v>
      </c>
      <c r="AF48" s="77">
        <v>591</v>
      </c>
      <c r="AG48" s="77">
        <f t="shared" ref="AG48:AG64" si="271">AH48</f>
        <v>11</v>
      </c>
      <c r="AH48" s="76">
        <v>11</v>
      </c>
      <c r="AI48" s="77">
        <v>213</v>
      </c>
      <c r="AJ48" s="77">
        <v>171</v>
      </c>
      <c r="AK48" s="77">
        <v>351</v>
      </c>
      <c r="AL48" s="77">
        <v>2008</v>
      </c>
      <c r="AM48" s="76">
        <f t="shared" si="250"/>
        <v>2008</v>
      </c>
      <c r="AN48" s="77">
        <v>5845</v>
      </c>
      <c r="AO48" s="77">
        <v>5558</v>
      </c>
      <c r="AP48" s="77">
        <v>7102</v>
      </c>
      <c r="AQ48" s="77">
        <v>5158</v>
      </c>
      <c r="AR48" s="76">
        <f t="shared" si="251"/>
        <v>5158</v>
      </c>
      <c r="AS48" s="77">
        <v>2102</v>
      </c>
      <c r="AT48" s="77">
        <v>3752</v>
      </c>
      <c r="AU48" s="86">
        <v>3279</v>
      </c>
      <c r="AV48" s="77">
        <v>1223</v>
      </c>
      <c r="AW48" s="76">
        <f t="shared" si="252"/>
        <v>1223</v>
      </c>
      <c r="AX48" s="77">
        <v>3798</v>
      </c>
      <c r="AY48" s="77">
        <v>4002</v>
      </c>
      <c r="AZ48" s="77">
        <v>4590</v>
      </c>
      <c r="BA48" s="77">
        <v>3217</v>
      </c>
      <c r="BB48" s="76">
        <f t="shared" si="253"/>
        <v>3217</v>
      </c>
      <c r="BC48" s="77">
        <v>3518</v>
      </c>
      <c r="BD48" s="77">
        <v>5631</v>
      </c>
      <c r="BE48" s="77">
        <v>5870</v>
      </c>
      <c r="BF48" s="77">
        <v>6170</v>
      </c>
      <c r="BG48" s="76">
        <f t="shared" si="254"/>
        <v>6170</v>
      </c>
      <c r="BH48" s="77">
        <v>5282</v>
      </c>
      <c r="BI48" s="693">
        <v>3797</v>
      </c>
      <c r="BJ48" s="77">
        <v>3422</v>
      </c>
      <c r="BK48" s="77">
        <v>1359</v>
      </c>
      <c r="BL48" s="76">
        <f t="shared" si="255"/>
        <v>1359</v>
      </c>
      <c r="BM48" s="77">
        <v>976</v>
      </c>
      <c r="BN48" s="693">
        <v>468</v>
      </c>
      <c r="BO48" s="77">
        <v>474</v>
      </c>
      <c r="BP48" s="77">
        <v>750</v>
      </c>
      <c r="BQ48" s="76">
        <f t="shared" si="256"/>
        <v>750</v>
      </c>
      <c r="BR48" s="77">
        <v>466</v>
      </c>
      <c r="BS48" s="693">
        <v>660</v>
      </c>
      <c r="BT48" s="77">
        <v>682</v>
      </c>
      <c r="BU48" s="77">
        <v>1228</v>
      </c>
      <c r="BV48" s="871">
        <f t="shared" si="257"/>
        <v>1228</v>
      </c>
      <c r="BW48" s="77">
        <v>1015</v>
      </c>
      <c r="BX48" s="693">
        <v>1589</v>
      </c>
      <c r="BY48" s="77">
        <v>1463</v>
      </c>
      <c r="BZ48" s="77">
        <v>1179</v>
      </c>
      <c r="CA48" s="76">
        <f t="shared" si="258"/>
        <v>1179</v>
      </c>
      <c r="CB48" s="77">
        <v>656</v>
      </c>
      <c r="CC48" s="693">
        <v>1649</v>
      </c>
      <c r="CD48" s="77">
        <v>1956</v>
      </c>
      <c r="CE48" s="77">
        <v>927</v>
      </c>
      <c r="CF48" s="76">
        <f t="shared" si="259"/>
        <v>927</v>
      </c>
      <c r="CG48" s="693">
        <v>893</v>
      </c>
      <c r="CH48" s="693">
        <v>439</v>
      </c>
      <c r="CI48" s="693">
        <v>1150</v>
      </c>
      <c r="CJ48" s="693">
        <v>545</v>
      </c>
      <c r="CK48" s="76">
        <f t="shared" si="260"/>
        <v>545</v>
      </c>
      <c r="CL48" s="77">
        <v>488</v>
      </c>
      <c r="CM48" s="77">
        <v>12438</v>
      </c>
      <c r="CN48" s="77">
        <v>16552</v>
      </c>
      <c r="CO48" s="77">
        <v>17838</v>
      </c>
      <c r="CP48" s="76">
        <f t="shared" si="261"/>
        <v>17838</v>
      </c>
      <c r="CQ48" s="77">
        <v>14861</v>
      </c>
      <c r="CR48" s="77">
        <v>13071</v>
      </c>
      <c r="CS48" s="77">
        <v>10231</v>
      </c>
      <c r="CT48" s="77">
        <v>8192</v>
      </c>
      <c r="CU48" s="76">
        <f t="shared" si="262"/>
        <v>8192</v>
      </c>
      <c r="CV48" s="77">
        <v>4873</v>
      </c>
      <c r="CW48" s="77">
        <v>1358</v>
      </c>
      <c r="CX48" s="77">
        <v>763</v>
      </c>
      <c r="CY48" s="77">
        <v>2606</v>
      </c>
      <c r="CZ48" s="76">
        <f t="shared" si="263"/>
        <v>2606</v>
      </c>
      <c r="DA48" s="77">
        <v>3955</v>
      </c>
      <c r="DB48" s="77">
        <v>6508</v>
      </c>
      <c r="DC48" s="77">
        <v>6561</v>
      </c>
      <c r="DD48" s="77">
        <v>3274</v>
      </c>
      <c r="DE48" s="76">
        <f t="shared" si="264"/>
        <v>3274</v>
      </c>
      <c r="DF48" s="77">
        <v>615</v>
      </c>
      <c r="DG48" s="16">
        <v>1727</v>
      </c>
      <c r="DH48" s="593">
        <v>509</v>
      </c>
      <c r="DI48" s="1074">
        <v>12481</v>
      </c>
      <c r="DJ48" s="76">
        <f t="shared" si="265"/>
        <v>12481</v>
      </c>
      <c r="DK48" s="1074">
        <v>13532</v>
      </c>
      <c r="DL48" s="1074">
        <v>15880</v>
      </c>
      <c r="DM48" s="1074">
        <v>16811</v>
      </c>
      <c r="DN48" s="1074">
        <v>18479</v>
      </c>
      <c r="DO48" s="76">
        <f t="shared" si="266"/>
        <v>18479</v>
      </c>
      <c r="DP48" s="1074">
        <v>11464</v>
      </c>
      <c r="DQ48" s="1086">
        <v>12783</v>
      </c>
      <c r="DS48" s="77"/>
      <c r="DT48" s="93"/>
      <c r="DU48" s="1074"/>
      <c r="DX48" s="77"/>
      <c r="DY48" s="93"/>
      <c r="DZ48" s="93"/>
      <c r="EA48" s="93"/>
      <c r="EB48" s="93"/>
    </row>
    <row r="49" spans="1:132" s="105" customFormat="1" ht="12" customHeight="1">
      <c r="A49" s="68"/>
      <c r="B49" s="159" t="s">
        <v>136</v>
      </c>
      <c r="C49" s="76">
        <v>3121</v>
      </c>
      <c r="D49" s="76">
        <v>3288</v>
      </c>
      <c r="E49" s="76">
        <v>3453</v>
      </c>
      <c r="F49" s="76">
        <v>4928</v>
      </c>
      <c r="G49" s="76">
        <v>5156</v>
      </c>
      <c r="H49" s="76">
        <v>5007</v>
      </c>
      <c r="I49" s="76">
        <v>4515</v>
      </c>
      <c r="J49" s="77">
        <v>4844</v>
      </c>
      <c r="K49" s="77">
        <v>4598</v>
      </c>
      <c r="L49" s="77">
        <v>5204</v>
      </c>
      <c r="M49" s="77">
        <f t="shared" si="267"/>
        <v>4653</v>
      </c>
      <c r="N49" s="76">
        <v>4653</v>
      </c>
      <c r="O49" s="77">
        <v>5316</v>
      </c>
      <c r="P49" s="77">
        <v>5066</v>
      </c>
      <c r="Q49" s="77">
        <v>4997</v>
      </c>
      <c r="R49" s="77">
        <f t="shared" si="268"/>
        <v>5246</v>
      </c>
      <c r="S49" s="76">
        <v>5246</v>
      </c>
      <c r="T49" s="77">
        <v>5019</v>
      </c>
      <c r="U49" s="77">
        <v>4577</v>
      </c>
      <c r="V49" s="77">
        <v>5256</v>
      </c>
      <c r="W49" s="77">
        <f t="shared" si="269"/>
        <v>5285</v>
      </c>
      <c r="X49" s="76">
        <v>5285</v>
      </c>
      <c r="Y49" s="77">
        <v>5505</v>
      </c>
      <c r="Z49" s="77">
        <v>6038</v>
      </c>
      <c r="AA49" s="77">
        <v>5634</v>
      </c>
      <c r="AB49" s="77">
        <f t="shared" si="270"/>
        <v>5740</v>
      </c>
      <c r="AC49" s="76">
        <v>5740</v>
      </c>
      <c r="AD49" s="77">
        <v>5784</v>
      </c>
      <c r="AE49" s="77">
        <v>5809</v>
      </c>
      <c r="AF49" s="77">
        <v>5814</v>
      </c>
      <c r="AG49" s="77">
        <f t="shared" si="271"/>
        <v>5602</v>
      </c>
      <c r="AH49" s="76">
        <v>5602</v>
      </c>
      <c r="AI49" s="77">
        <v>6238</v>
      </c>
      <c r="AJ49" s="77">
        <v>6588</v>
      </c>
      <c r="AK49" s="77">
        <v>6718</v>
      </c>
      <c r="AL49" s="77">
        <v>5785</v>
      </c>
      <c r="AM49" s="76">
        <f t="shared" si="250"/>
        <v>5785</v>
      </c>
      <c r="AN49" s="77">
        <v>6359</v>
      </c>
      <c r="AO49" s="77">
        <v>6565</v>
      </c>
      <c r="AP49" s="77">
        <v>6445</v>
      </c>
      <c r="AQ49" s="77">
        <v>5422</v>
      </c>
      <c r="AR49" s="76">
        <f t="shared" si="251"/>
        <v>5422</v>
      </c>
      <c r="AS49" s="77">
        <v>6036</v>
      </c>
      <c r="AT49" s="77">
        <v>6162</v>
      </c>
      <c r="AU49" s="86">
        <v>6296</v>
      </c>
      <c r="AV49" s="77">
        <v>5793</v>
      </c>
      <c r="AW49" s="76">
        <f t="shared" si="252"/>
        <v>5793</v>
      </c>
      <c r="AX49" s="77">
        <v>6475</v>
      </c>
      <c r="AY49" s="77">
        <v>5894</v>
      </c>
      <c r="AZ49" s="77">
        <v>5437</v>
      </c>
      <c r="BA49" s="77">
        <v>5608</v>
      </c>
      <c r="BB49" s="76">
        <f t="shared" si="253"/>
        <v>5608</v>
      </c>
      <c r="BC49" s="77">
        <v>6351</v>
      </c>
      <c r="BD49" s="77">
        <v>6406</v>
      </c>
      <c r="BE49" s="77">
        <v>6652</v>
      </c>
      <c r="BF49" s="77">
        <v>6546</v>
      </c>
      <c r="BG49" s="76">
        <f t="shared" si="254"/>
        <v>6546</v>
      </c>
      <c r="BH49" s="77">
        <v>7341</v>
      </c>
      <c r="BI49" s="693">
        <v>7694</v>
      </c>
      <c r="BJ49" s="77">
        <v>7799</v>
      </c>
      <c r="BK49" s="77">
        <v>7729</v>
      </c>
      <c r="BL49" s="76">
        <f t="shared" si="255"/>
        <v>7729</v>
      </c>
      <c r="BM49" s="77">
        <v>8087</v>
      </c>
      <c r="BN49" s="693">
        <v>7927</v>
      </c>
      <c r="BO49" s="77">
        <v>8854</v>
      </c>
      <c r="BP49" s="77">
        <v>8713</v>
      </c>
      <c r="BQ49" s="76">
        <f t="shared" si="256"/>
        <v>8713</v>
      </c>
      <c r="BR49" s="77">
        <v>9711</v>
      </c>
      <c r="BS49" s="693">
        <v>9809</v>
      </c>
      <c r="BT49" s="77">
        <v>9524</v>
      </c>
      <c r="BU49" s="77">
        <v>8832</v>
      </c>
      <c r="BV49" s="76">
        <f t="shared" si="257"/>
        <v>8832</v>
      </c>
      <c r="BW49" s="77">
        <v>9335</v>
      </c>
      <c r="BX49" s="693">
        <v>9503</v>
      </c>
      <c r="BY49" s="77">
        <v>10644</v>
      </c>
      <c r="BZ49" s="77">
        <v>10516</v>
      </c>
      <c r="CA49" s="76">
        <f t="shared" si="258"/>
        <v>10516</v>
      </c>
      <c r="CB49" s="77">
        <v>2802</v>
      </c>
      <c r="CC49" s="693">
        <v>2823</v>
      </c>
      <c r="CD49" s="77">
        <v>2893</v>
      </c>
      <c r="CE49" s="77">
        <v>3879</v>
      </c>
      <c r="CF49" s="76">
        <f t="shared" si="259"/>
        <v>3879</v>
      </c>
      <c r="CG49" s="693">
        <v>3669</v>
      </c>
      <c r="CH49" s="693">
        <v>3291</v>
      </c>
      <c r="CI49" s="693">
        <v>3564</v>
      </c>
      <c r="CJ49" s="693">
        <v>3266</v>
      </c>
      <c r="CK49" s="76">
        <f t="shared" si="260"/>
        <v>3266</v>
      </c>
      <c r="CL49" s="77">
        <v>3211</v>
      </c>
      <c r="CM49" s="77">
        <v>2793</v>
      </c>
      <c r="CN49" s="77">
        <v>2762</v>
      </c>
      <c r="CO49" s="77">
        <v>1955</v>
      </c>
      <c r="CP49" s="76">
        <f t="shared" si="261"/>
        <v>1955</v>
      </c>
      <c r="CQ49" s="77">
        <v>2356</v>
      </c>
      <c r="CR49" s="77">
        <v>2490</v>
      </c>
      <c r="CS49" s="77">
        <v>2247</v>
      </c>
      <c r="CT49" s="77">
        <v>2641</v>
      </c>
      <c r="CU49" s="76">
        <f t="shared" si="262"/>
        <v>2641</v>
      </c>
      <c r="CV49" s="77">
        <v>2407</v>
      </c>
      <c r="CW49" s="77">
        <v>2996</v>
      </c>
      <c r="CX49" s="77">
        <v>2673</v>
      </c>
      <c r="CY49" s="77">
        <v>2517</v>
      </c>
      <c r="CZ49" s="76">
        <f t="shared" si="263"/>
        <v>2517</v>
      </c>
      <c r="DA49" s="77">
        <v>2862</v>
      </c>
      <c r="DB49" s="77">
        <v>2945</v>
      </c>
      <c r="DC49" s="77">
        <v>3032</v>
      </c>
      <c r="DD49" s="77">
        <v>2649</v>
      </c>
      <c r="DE49" s="76">
        <f t="shared" si="264"/>
        <v>2649</v>
      </c>
      <c r="DF49" s="77">
        <v>2959</v>
      </c>
      <c r="DG49" s="16">
        <v>3155</v>
      </c>
      <c r="DH49" s="593">
        <v>2894</v>
      </c>
      <c r="DI49" s="1074">
        <v>2631</v>
      </c>
      <c r="DJ49" s="76">
        <f t="shared" si="265"/>
        <v>2631</v>
      </c>
      <c r="DK49" s="1074">
        <v>3204</v>
      </c>
      <c r="DL49" s="1074">
        <v>3190</v>
      </c>
      <c r="DM49" s="1074">
        <v>3314</v>
      </c>
      <c r="DN49" s="1074">
        <v>2921</v>
      </c>
      <c r="DO49" s="76">
        <f t="shared" si="266"/>
        <v>2921</v>
      </c>
      <c r="DP49" s="1074">
        <v>3485</v>
      </c>
      <c r="DQ49" s="1086">
        <v>3515</v>
      </c>
      <c r="DS49" s="77"/>
      <c r="DT49" s="93"/>
      <c r="DU49" s="1074"/>
      <c r="DX49" s="77"/>
      <c r="DY49" s="93"/>
      <c r="DZ49" s="93"/>
      <c r="EA49" s="93"/>
      <c r="EB49" s="93"/>
    </row>
    <row r="50" spans="1:132" s="105" customFormat="1" ht="12" customHeight="1">
      <c r="A50" s="68"/>
      <c r="B50" s="804" t="s">
        <v>593</v>
      </c>
      <c r="C50" s="76"/>
      <c r="D50" s="76"/>
      <c r="E50" s="76"/>
      <c r="F50" s="76"/>
      <c r="G50" s="76"/>
      <c r="H50" s="76"/>
      <c r="I50" s="76"/>
      <c r="J50" s="77"/>
      <c r="K50" s="77"/>
      <c r="L50" s="77"/>
      <c r="M50" s="77"/>
      <c r="N50" s="76"/>
      <c r="O50" s="77"/>
      <c r="P50" s="77"/>
      <c r="Q50" s="77"/>
      <c r="R50" s="77"/>
      <c r="S50" s="76"/>
      <c r="T50" s="77"/>
      <c r="U50" s="77"/>
      <c r="V50" s="77"/>
      <c r="W50" s="77"/>
      <c r="X50" s="76"/>
      <c r="Y50" s="77"/>
      <c r="Z50" s="77"/>
      <c r="AA50" s="77"/>
      <c r="AB50" s="77"/>
      <c r="AC50" s="76"/>
      <c r="AD50" s="77"/>
      <c r="AE50" s="77"/>
      <c r="AF50" s="77"/>
      <c r="AG50" s="77"/>
      <c r="AH50" s="76"/>
      <c r="AI50" s="77"/>
      <c r="AJ50" s="77"/>
      <c r="AK50" s="77"/>
      <c r="AL50" s="77"/>
      <c r="AM50" s="76"/>
      <c r="AN50" s="77"/>
      <c r="AO50" s="77"/>
      <c r="AP50" s="77"/>
      <c r="AQ50" s="77"/>
      <c r="AR50" s="76"/>
      <c r="AS50" s="77"/>
      <c r="AT50" s="77"/>
      <c r="AU50" s="86"/>
      <c r="AV50" s="77"/>
      <c r="AW50" s="76"/>
      <c r="AX50" s="77"/>
      <c r="AY50" s="77"/>
      <c r="AZ50" s="77"/>
      <c r="BA50" s="77"/>
      <c r="BB50" s="76"/>
      <c r="BC50" s="77"/>
      <c r="BD50" s="77"/>
      <c r="BE50" s="77"/>
      <c r="BF50" s="77"/>
      <c r="BG50" s="76"/>
      <c r="BH50" s="77"/>
      <c r="BI50" s="693"/>
      <c r="BJ50" s="77"/>
      <c r="BK50" s="77"/>
      <c r="BL50" s="76"/>
      <c r="BM50" s="77"/>
      <c r="BN50" s="693"/>
      <c r="BO50" s="77"/>
      <c r="BP50" s="77"/>
      <c r="BQ50" s="76"/>
      <c r="BR50" s="77"/>
      <c r="BS50" s="693"/>
      <c r="BT50" s="77"/>
      <c r="BU50" s="77"/>
      <c r="BV50" s="76"/>
      <c r="BW50" s="77"/>
      <c r="BX50" s="693"/>
      <c r="BY50" s="77"/>
      <c r="BZ50" s="77"/>
      <c r="CA50" s="76"/>
      <c r="CB50" s="77">
        <v>9822</v>
      </c>
      <c r="CC50" s="693">
        <v>9868</v>
      </c>
      <c r="CD50" s="77">
        <v>9936</v>
      </c>
      <c r="CE50" s="77">
        <v>10025</v>
      </c>
      <c r="CF50" s="76">
        <f>+CE50</f>
        <v>10025</v>
      </c>
      <c r="CG50" s="693">
        <v>10208</v>
      </c>
      <c r="CH50" s="693">
        <v>10247</v>
      </c>
      <c r="CI50" s="693">
        <v>11078</v>
      </c>
      <c r="CJ50" s="693">
        <v>9043</v>
      </c>
      <c r="CK50" s="76">
        <f>+CJ50</f>
        <v>9043</v>
      </c>
      <c r="CL50" s="77">
        <v>9365</v>
      </c>
      <c r="CM50" s="77">
        <v>8570</v>
      </c>
      <c r="CN50" s="77">
        <v>8860</v>
      </c>
      <c r="CO50" s="77">
        <v>7995</v>
      </c>
      <c r="CP50" s="76">
        <f>+CO50</f>
        <v>7995</v>
      </c>
      <c r="CQ50" s="77">
        <v>8785</v>
      </c>
      <c r="CR50" s="77">
        <v>9203</v>
      </c>
      <c r="CS50" s="77">
        <v>10009</v>
      </c>
      <c r="CT50" s="77">
        <v>8620</v>
      </c>
      <c r="CU50" s="76">
        <f>+CT50</f>
        <v>8620</v>
      </c>
      <c r="CV50" s="77">
        <v>8991</v>
      </c>
      <c r="CW50" s="77">
        <v>9394</v>
      </c>
      <c r="CX50" s="77">
        <v>9316</v>
      </c>
      <c r="CY50" s="77">
        <v>8634</v>
      </c>
      <c r="CZ50" s="76">
        <f>+CY50</f>
        <v>8634</v>
      </c>
      <c r="DA50" s="77">
        <v>9689</v>
      </c>
      <c r="DB50" s="77">
        <v>9357</v>
      </c>
      <c r="DC50" s="77">
        <v>9184</v>
      </c>
      <c r="DD50" s="77">
        <v>8317</v>
      </c>
      <c r="DE50" s="76">
        <f>+DD50</f>
        <v>8317</v>
      </c>
      <c r="DF50" s="77">
        <v>9673</v>
      </c>
      <c r="DG50" s="16">
        <v>9660</v>
      </c>
      <c r="DH50" s="593">
        <v>9356</v>
      </c>
      <c r="DI50" s="1074">
        <v>8363</v>
      </c>
      <c r="DJ50" s="76">
        <f>+DI50</f>
        <v>8363</v>
      </c>
      <c r="DK50" s="1074">
        <v>9031</v>
      </c>
      <c r="DL50" s="1074">
        <v>9261</v>
      </c>
      <c r="DM50" s="1074">
        <v>9032</v>
      </c>
      <c r="DN50" s="1074">
        <v>9158</v>
      </c>
      <c r="DO50" s="76">
        <f>+DN50</f>
        <v>9158</v>
      </c>
      <c r="DP50" s="1074">
        <v>9793</v>
      </c>
      <c r="DQ50" s="1086">
        <v>9660</v>
      </c>
      <c r="DS50" s="77"/>
      <c r="DT50" s="93"/>
      <c r="DU50" s="1074"/>
      <c r="DX50" s="77"/>
      <c r="DY50" s="93"/>
      <c r="DZ50" s="93"/>
      <c r="EA50" s="93"/>
      <c r="EB50" s="93"/>
    </row>
    <row r="51" spans="1:132" s="105" customFormat="1" ht="12" customHeight="1">
      <c r="A51" s="68"/>
      <c r="B51" s="159" t="s">
        <v>51</v>
      </c>
      <c r="C51" s="76">
        <v>261</v>
      </c>
      <c r="D51" s="76">
        <v>781</v>
      </c>
      <c r="E51" s="76">
        <v>799</v>
      </c>
      <c r="F51" s="76">
        <v>995</v>
      </c>
      <c r="G51" s="76">
        <v>1053</v>
      </c>
      <c r="H51" s="76">
        <v>1289</v>
      </c>
      <c r="I51" s="76">
        <v>857</v>
      </c>
      <c r="J51" s="77">
        <v>847</v>
      </c>
      <c r="K51" s="77">
        <v>732</v>
      </c>
      <c r="L51" s="77">
        <v>688</v>
      </c>
      <c r="M51" s="77">
        <f t="shared" si="267"/>
        <v>616</v>
      </c>
      <c r="N51" s="76">
        <v>616</v>
      </c>
      <c r="O51" s="77">
        <v>496</v>
      </c>
      <c r="P51" s="77">
        <v>464</v>
      </c>
      <c r="Q51" s="77">
        <v>454</v>
      </c>
      <c r="R51" s="77">
        <f t="shared" si="268"/>
        <v>367</v>
      </c>
      <c r="S51" s="76">
        <v>367</v>
      </c>
      <c r="T51" s="77">
        <v>354</v>
      </c>
      <c r="U51" s="77">
        <v>353</v>
      </c>
      <c r="V51" s="77">
        <v>364</v>
      </c>
      <c r="W51" s="77">
        <f t="shared" si="269"/>
        <v>370</v>
      </c>
      <c r="X51" s="76">
        <v>370</v>
      </c>
      <c r="Y51" s="77">
        <v>460</v>
      </c>
      <c r="Z51" s="77">
        <v>450</v>
      </c>
      <c r="AA51" s="77">
        <v>396</v>
      </c>
      <c r="AB51" s="77">
        <f t="shared" si="270"/>
        <v>328</v>
      </c>
      <c r="AC51" s="76">
        <v>328</v>
      </c>
      <c r="AD51" s="77">
        <v>226</v>
      </c>
      <c r="AE51" s="77">
        <v>198</v>
      </c>
      <c r="AF51" s="77">
        <v>193</v>
      </c>
      <c r="AG51" s="77">
        <f t="shared" si="271"/>
        <v>425</v>
      </c>
      <c r="AH51" s="76">
        <v>425</v>
      </c>
      <c r="AI51" s="77">
        <v>353</v>
      </c>
      <c r="AJ51" s="77">
        <v>463</v>
      </c>
      <c r="AK51" s="77">
        <v>341</v>
      </c>
      <c r="AL51" s="77">
        <v>368</v>
      </c>
      <c r="AM51" s="76">
        <f t="shared" si="250"/>
        <v>368</v>
      </c>
      <c r="AN51" s="77">
        <v>274</v>
      </c>
      <c r="AO51" s="77">
        <v>316</v>
      </c>
      <c r="AP51" s="77">
        <v>285</v>
      </c>
      <c r="AQ51" s="77">
        <v>285</v>
      </c>
      <c r="AR51" s="76">
        <f t="shared" si="251"/>
        <v>285</v>
      </c>
      <c r="AS51" s="77">
        <v>252</v>
      </c>
      <c r="AT51" s="77">
        <v>260</v>
      </c>
      <c r="AU51" s="86">
        <v>294</v>
      </c>
      <c r="AV51" s="77">
        <v>476</v>
      </c>
      <c r="AW51" s="76">
        <f t="shared" si="252"/>
        <v>476</v>
      </c>
      <c r="AX51" s="77">
        <v>372</v>
      </c>
      <c r="AY51" s="77">
        <v>344</v>
      </c>
      <c r="AZ51" s="77">
        <v>318</v>
      </c>
      <c r="BA51" s="77">
        <v>364</v>
      </c>
      <c r="BB51" s="76">
        <f t="shared" si="253"/>
        <v>364</v>
      </c>
      <c r="BC51" s="77">
        <v>460</v>
      </c>
      <c r="BD51" s="77">
        <v>320</v>
      </c>
      <c r="BE51" s="77">
        <v>316</v>
      </c>
      <c r="BF51" s="77">
        <v>344</v>
      </c>
      <c r="BG51" s="76">
        <f t="shared" si="254"/>
        <v>344</v>
      </c>
      <c r="BH51" s="77">
        <v>256</v>
      </c>
      <c r="BI51" s="693">
        <v>237</v>
      </c>
      <c r="BJ51" s="77">
        <v>257</v>
      </c>
      <c r="BK51" s="77">
        <v>190</v>
      </c>
      <c r="BL51" s="76">
        <f t="shared" si="255"/>
        <v>190</v>
      </c>
      <c r="BM51" s="77">
        <v>184</v>
      </c>
      <c r="BN51" s="693">
        <v>209</v>
      </c>
      <c r="BO51" s="77">
        <v>227</v>
      </c>
      <c r="BP51" s="77">
        <v>212</v>
      </c>
      <c r="BQ51" s="76">
        <f t="shared" si="256"/>
        <v>212</v>
      </c>
      <c r="BR51" s="77">
        <v>258</v>
      </c>
      <c r="BS51" s="693">
        <v>251</v>
      </c>
      <c r="BT51" s="77">
        <v>365</v>
      </c>
      <c r="BU51" s="77">
        <v>428</v>
      </c>
      <c r="BV51" s="76">
        <f t="shared" si="257"/>
        <v>428</v>
      </c>
      <c r="BW51" s="77">
        <v>580</v>
      </c>
      <c r="BX51" s="693">
        <v>549</v>
      </c>
      <c r="BY51" s="77">
        <v>435</v>
      </c>
      <c r="BZ51" s="77">
        <v>309</v>
      </c>
      <c r="CA51" s="76">
        <f t="shared" si="258"/>
        <v>309</v>
      </c>
      <c r="CB51" s="77">
        <v>244</v>
      </c>
      <c r="CC51" s="693">
        <v>294</v>
      </c>
      <c r="CD51" s="77">
        <v>431</v>
      </c>
      <c r="CE51" s="77">
        <v>460</v>
      </c>
      <c r="CF51" s="76">
        <f t="shared" si="259"/>
        <v>460</v>
      </c>
      <c r="CG51" s="693">
        <v>340</v>
      </c>
      <c r="CH51" s="693">
        <v>171</v>
      </c>
      <c r="CI51" s="693">
        <v>166</v>
      </c>
      <c r="CJ51" s="693">
        <v>162</v>
      </c>
      <c r="CK51" s="76">
        <f t="shared" si="260"/>
        <v>162</v>
      </c>
      <c r="CL51" s="77">
        <v>149</v>
      </c>
      <c r="CM51" s="77">
        <v>115</v>
      </c>
      <c r="CN51" s="77">
        <v>100</v>
      </c>
      <c r="CO51" s="77">
        <v>101</v>
      </c>
      <c r="CP51" s="76">
        <f t="shared" si="261"/>
        <v>101</v>
      </c>
      <c r="CQ51" s="77">
        <v>93</v>
      </c>
      <c r="CR51" s="77">
        <v>74</v>
      </c>
      <c r="CS51" s="77">
        <v>76</v>
      </c>
      <c r="CT51" s="77">
        <v>117</v>
      </c>
      <c r="CU51" s="76">
        <f t="shared" si="262"/>
        <v>117</v>
      </c>
      <c r="CV51" s="77">
        <v>157</v>
      </c>
      <c r="CW51" s="77">
        <v>159</v>
      </c>
      <c r="CX51" s="77">
        <v>155</v>
      </c>
      <c r="CY51" s="77">
        <v>154</v>
      </c>
      <c r="CZ51" s="76">
        <f t="shared" si="263"/>
        <v>154</v>
      </c>
      <c r="DA51" s="77">
        <v>133</v>
      </c>
      <c r="DB51" s="77">
        <v>85</v>
      </c>
      <c r="DC51" s="77">
        <v>88</v>
      </c>
      <c r="DD51" s="77">
        <v>99</v>
      </c>
      <c r="DE51" s="76">
        <f t="shared" si="264"/>
        <v>99</v>
      </c>
      <c r="DF51" s="77">
        <v>57</v>
      </c>
      <c r="DG51" s="16">
        <v>60</v>
      </c>
      <c r="DH51" s="593">
        <v>457</v>
      </c>
      <c r="DI51" s="1074">
        <v>207</v>
      </c>
      <c r="DJ51" s="76">
        <f t="shared" ref="DJ51" si="272">DI51</f>
        <v>207</v>
      </c>
      <c r="DK51" s="1074">
        <v>202</v>
      </c>
      <c r="DL51" s="1074">
        <v>16</v>
      </c>
      <c r="DM51" s="1074">
        <v>0</v>
      </c>
      <c r="DN51" s="1074">
        <v>0</v>
      </c>
      <c r="DO51" s="76">
        <f t="shared" ref="DO51" si="273">DN51</f>
        <v>0</v>
      </c>
      <c r="DP51" s="1074">
        <v>0</v>
      </c>
      <c r="DQ51" s="1086">
        <v>0</v>
      </c>
      <c r="DS51" s="77"/>
      <c r="DT51" s="93"/>
      <c r="DU51" s="1074"/>
      <c r="DX51" s="77"/>
      <c r="DY51" s="93"/>
      <c r="DZ51" s="93"/>
      <c r="EA51" s="93"/>
      <c r="EB51" s="93"/>
    </row>
    <row r="52" spans="1:132" s="105" customFormat="1" ht="12" customHeight="1">
      <c r="A52" s="68"/>
      <c r="B52" s="159" t="s">
        <v>52</v>
      </c>
      <c r="C52" s="76">
        <v>1765</v>
      </c>
      <c r="D52" s="76">
        <v>1495</v>
      </c>
      <c r="E52" s="76">
        <v>1467</v>
      </c>
      <c r="F52" s="76">
        <v>2137</v>
      </c>
      <c r="G52" s="76">
        <v>2444</v>
      </c>
      <c r="H52" s="76">
        <v>2042</v>
      </c>
      <c r="I52" s="76">
        <v>1716</v>
      </c>
      <c r="J52" s="77">
        <v>1716</v>
      </c>
      <c r="K52" s="77">
        <v>1729</v>
      </c>
      <c r="L52" s="77">
        <v>1670</v>
      </c>
      <c r="M52" s="77">
        <f t="shared" si="267"/>
        <v>1991</v>
      </c>
      <c r="N52" s="76">
        <v>1991</v>
      </c>
      <c r="O52" s="77">
        <v>1988</v>
      </c>
      <c r="P52" s="77">
        <v>2037</v>
      </c>
      <c r="Q52" s="77">
        <v>1757</v>
      </c>
      <c r="R52" s="77">
        <f t="shared" si="268"/>
        <v>2449</v>
      </c>
      <c r="S52" s="76">
        <v>2449</v>
      </c>
      <c r="T52" s="77">
        <v>2406</v>
      </c>
      <c r="U52" s="77">
        <v>2545</v>
      </c>
      <c r="V52" s="77">
        <v>2962</v>
      </c>
      <c r="W52" s="77">
        <f t="shared" si="269"/>
        <v>2837</v>
      </c>
      <c r="X52" s="76">
        <v>2837</v>
      </c>
      <c r="Y52" s="77">
        <v>2868</v>
      </c>
      <c r="Z52" s="77">
        <v>2924</v>
      </c>
      <c r="AA52" s="77">
        <v>2940</v>
      </c>
      <c r="AB52" s="77">
        <f t="shared" si="270"/>
        <v>2341</v>
      </c>
      <c r="AC52" s="76">
        <v>2341</v>
      </c>
      <c r="AD52" s="77">
        <v>2447</v>
      </c>
      <c r="AE52" s="77">
        <v>2414</v>
      </c>
      <c r="AF52" s="77">
        <v>2408</v>
      </c>
      <c r="AG52" s="77">
        <f t="shared" si="271"/>
        <v>1046</v>
      </c>
      <c r="AH52" s="76">
        <v>1046</v>
      </c>
      <c r="AI52" s="77">
        <v>1114</v>
      </c>
      <c r="AJ52" s="77">
        <v>1099</v>
      </c>
      <c r="AK52" s="77">
        <v>741</v>
      </c>
      <c r="AL52" s="77">
        <v>966</v>
      </c>
      <c r="AM52" s="76">
        <f t="shared" si="250"/>
        <v>966</v>
      </c>
      <c r="AN52" s="77">
        <v>1030</v>
      </c>
      <c r="AO52" s="77">
        <v>1052</v>
      </c>
      <c r="AP52" s="77">
        <v>1066</v>
      </c>
      <c r="AQ52" s="77">
        <v>31</v>
      </c>
      <c r="AR52" s="76">
        <f t="shared" si="251"/>
        <v>31</v>
      </c>
      <c r="AS52" s="77">
        <v>37</v>
      </c>
      <c r="AT52" s="77">
        <v>35</v>
      </c>
      <c r="AU52" s="86">
        <v>31</v>
      </c>
      <c r="AV52" s="77">
        <v>29</v>
      </c>
      <c r="AW52" s="76">
        <f t="shared" si="252"/>
        <v>29</v>
      </c>
      <c r="AX52" s="77">
        <v>30</v>
      </c>
      <c r="AY52" s="77">
        <v>30</v>
      </c>
      <c r="AZ52" s="77">
        <v>34</v>
      </c>
      <c r="BA52" s="77">
        <v>28</v>
      </c>
      <c r="BB52" s="76">
        <f t="shared" si="253"/>
        <v>28</v>
      </c>
      <c r="BC52" s="77">
        <v>29</v>
      </c>
      <c r="BD52" s="77">
        <v>25</v>
      </c>
      <c r="BE52" s="77">
        <v>43</v>
      </c>
      <c r="BF52" s="77">
        <v>14</v>
      </c>
      <c r="BG52" s="76">
        <f t="shared" si="254"/>
        <v>14</v>
      </c>
      <c r="BH52" s="77">
        <v>15</v>
      </c>
      <c r="BI52" s="693">
        <v>15</v>
      </c>
      <c r="BJ52" s="77">
        <v>27</v>
      </c>
      <c r="BK52" s="77">
        <v>18</v>
      </c>
      <c r="BL52" s="76">
        <f t="shared" si="255"/>
        <v>18</v>
      </c>
      <c r="BM52" s="77">
        <v>17</v>
      </c>
      <c r="BN52" s="693">
        <v>17</v>
      </c>
      <c r="BO52" s="77">
        <v>14</v>
      </c>
      <c r="BP52" s="77"/>
      <c r="BQ52" s="76">
        <f t="shared" si="256"/>
        <v>0</v>
      </c>
      <c r="BR52" s="77">
        <v>0</v>
      </c>
      <c r="BS52" s="693">
        <v>0</v>
      </c>
      <c r="BT52" s="693">
        <v>0</v>
      </c>
      <c r="BU52" s="77">
        <v>0</v>
      </c>
      <c r="BV52" s="76">
        <f t="shared" si="257"/>
        <v>0</v>
      </c>
      <c r="BW52" s="77">
        <v>0</v>
      </c>
      <c r="BX52" s="693"/>
      <c r="BY52" s="77"/>
      <c r="BZ52" s="77"/>
      <c r="CA52" s="76">
        <f t="shared" si="258"/>
        <v>0</v>
      </c>
      <c r="CB52" s="77"/>
      <c r="CC52" s="693"/>
      <c r="CD52" s="77"/>
      <c r="CE52" s="77"/>
      <c r="CF52" s="76"/>
      <c r="CG52" s="693"/>
      <c r="CH52" s="693"/>
      <c r="CI52" s="693"/>
      <c r="CJ52" s="693"/>
      <c r="CK52" s="76"/>
      <c r="CL52" s="77"/>
      <c r="CM52" s="77"/>
      <c r="CN52" s="77"/>
      <c r="CO52" s="77"/>
      <c r="CP52" s="76"/>
      <c r="CQ52" s="77"/>
      <c r="CR52" s="77"/>
      <c r="CS52" s="77"/>
      <c r="CT52" s="77"/>
      <c r="CU52" s="76"/>
      <c r="CV52" s="77"/>
      <c r="CW52" s="77"/>
      <c r="CX52" s="77"/>
      <c r="CY52" s="77"/>
      <c r="CZ52" s="76"/>
      <c r="DA52" s="77"/>
      <c r="DB52" s="77"/>
      <c r="DC52" s="77"/>
      <c r="DD52" s="77"/>
      <c r="DE52" s="76"/>
      <c r="DF52" s="77"/>
      <c r="DG52" s="16"/>
      <c r="DH52" s="593"/>
      <c r="DI52" s="77"/>
      <c r="DJ52" s="76"/>
      <c r="DK52" s="77"/>
      <c r="DL52" s="16"/>
      <c r="DM52" s="77"/>
      <c r="DN52" s="77"/>
      <c r="DO52" s="76"/>
      <c r="DP52" s="77"/>
      <c r="DQ52" s="103"/>
      <c r="DS52" s="77"/>
      <c r="DT52" s="93"/>
      <c r="DU52" s="77"/>
      <c r="DX52" s="77"/>
      <c r="DY52" s="93"/>
      <c r="DZ52" s="93"/>
      <c r="EA52" s="93"/>
      <c r="EB52" s="93"/>
    </row>
    <row r="53" spans="1:132" s="105" customFormat="1" ht="12" customHeight="1">
      <c r="A53" s="68"/>
      <c r="B53" s="159" t="s">
        <v>53</v>
      </c>
      <c r="C53" s="76">
        <v>8967</v>
      </c>
      <c r="D53" s="76">
        <v>8349</v>
      </c>
      <c r="E53" s="76">
        <v>6539</v>
      </c>
      <c r="F53" s="76">
        <v>6794</v>
      </c>
      <c r="G53" s="76">
        <v>6920</v>
      </c>
      <c r="H53" s="76">
        <v>6184</v>
      </c>
      <c r="I53" s="76">
        <f>5338</f>
        <v>5338</v>
      </c>
      <c r="J53" s="77">
        <v>5324</v>
      </c>
      <c r="K53" s="77">
        <v>4255</v>
      </c>
      <c r="L53" s="77">
        <v>4280</v>
      </c>
      <c r="M53" s="77">
        <f t="shared" si="267"/>
        <v>4247</v>
      </c>
      <c r="N53" s="76">
        <v>4247</v>
      </c>
      <c r="O53" s="77">
        <v>6079</v>
      </c>
      <c r="P53" s="77">
        <v>5508</v>
      </c>
      <c r="Q53" s="77">
        <v>6877</v>
      </c>
      <c r="R53" s="77">
        <f t="shared" si="268"/>
        <v>7940</v>
      </c>
      <c r="S53" s="76">
        <v>7940</v>
      </c>
      <c r="T53" s="77">
        <v>7627</v>
      </c>
      <c r="U53" s="77">
        <v>7562</v>
      </c>
      <c r="V53" s="77">
        <v>8173</v>
      </c>
      <c r="W53" s="77">
        <f t="shared" si="269"/>
        <v>8105</v>
      </c>
      <c r="X53" s="76">
        <v>8105</v>
      </c>
      <c r="Y53" s="77">
        <v>8400</v>
      </c>
      <c r="Z53" s="77">
        <v>8480</v>
      </c>
      <c r="AA53" s="77">
        <v>8194</v>
      </c>
      <c r="AB53" s="77">
        <f t="shared" si="270"/>
        <v>9563</v>
      </c>
      <c r="AC53" s="76">
        <v>9563</v>
      </c>
      <c r="AD53" s="77">
        <v>10156</v>
      </c>
      <c r="AE53" s="77">
        <v>10145</v>
      </c>
      <c r="AF53" s="77">
        <v>11149</v>
      </c>
      <c r="AG53" s="77">
        <f t="shared" si="271"/>
        <v>15612</v>
      </c>
      <c r="AH53" s="76">
        <v>15612</v>
      </c>
      <c r="AI53" s="77">
        <v>15649</v>
      </c>
      <c r="AJ53" s="77">
        <v>17200</v>
      </c>
      <c r="AK53" s="77">
        <v>15981</v>
      </c>
      <c r="AL53" s="77">
        <v>16933</v>
      </c>
      <c r="AM53" s="76">
        <f t="shared" si="250"/>
        <v>16933</v>
      </c>
      <c r="AN53" s="77">
        <v>18773</v>
      </c>
      <c r="AO53" s="77">
        <v>20368</v>
      </c>
      <c r="AP53" s="77">
        <v>21692</v>
      </c>
      <c r="AQ53" s="77">
        <v>24317</v>
      </c>
      <c r="AR53" s="76">
        <f t="shared" si="251"/>
        <v>24317</v>
      </c>
      <c r="AS53" s="77">
        <v>26912</v>
      </c>
      <c r="AT53" s="77">
        <v>29094</v>
      </c>
      <c r="AU53" s="86">
        <v>30493</v>
      </c>
      <c r="AV53" s="77">
        <v>32240</v>
      </c>
      <c r="AW53" s="76">
        <f t="shared" si="252"/>
        <v>32240</v>
      </c>
      <c r="AX53" s="77">
        <v>32738</v>
      </c>
      <c r="AY53" s="77">
        <v>35033</v>
      </c>
      <c r="AZ53" s="77">
        <v>36817</v>
      </c>
      <c r="BA53" s="77">
        <v>37751</v>
      </c>
      <c r="BB53" s="76">
        <f t="shared" si="253"/>
        <v>37751</v>
      </c>
      <c r="BC53" s="77">
        <v>40797</v>
      </c>
      <c r="BD53" s="77">
        <v>40234</v>
      </c>
      <c r="BE53" s="77">
        <v>41240</v>
      </c>
      <c r="BF53" s="77">
        <v>42912</v>
      </c>
      <c r="BG53" s="76">
        <f t="shared" si="254"/>
        <v>42912</v>
      </c>
      <c r="BH53" s="77">
        <v>44941</v>
      </c>
      <c r="BI53" s="594">
        <v>46251</v>
      </c>
      <c r="BJ53" s="77">
        <v>47058</v>
      </c>
      <c r="BK53" s="77">
        <v>46756</v>
      </c>
      <c r="BL53" s="76">
        <f t="shared" si="255"/>
        <v>46756</v>
      </c>
      <c r="BM53" s="77">
        <v>48502</v>
      </c>
      <c r="BN53" s="594">
        <v>49028</v>
      </c>
      <c r="BO53" s="77">
        <v>48624</v>
      </c>
      <c r="BP53" s="77">
        <v>47257</v>
      </c>
      <c r="BQ53" s="76">
        <f t="shared" si="256"/>
        <v>47257</v>
      </c>
      <c r="BR53" s="77">
        <v>47266</v>
      </c>
      <c r="BS53" s="594">
        <v>44182</v>
      </c>
      <c r="BT53" s="77">
        <v>42680</v>
      </c>
      <c r="BU53" s="77">
        <v>43199</v>
      </c>
      <c r="BV53" s="76">
        <f t="shared" si="257"/>
        <v>43199</v>
      </c>
      <c r="BW53" s="77">
        <v>43247</v>
      </c>
      <c r="BX53" s="594">
        <v>42453</v>
      </c>
      <c r="BY53" s="77">
        <v>43031</v>
      </c>
      <c r="BZ53" s="77">
        <v>44344</v>
      </c>
      <c r="CA53" s="76">
        <f t="shared" si="258"/>
        <v>44344</v>
      </c>
      <c r="CB53" s="77">
        <v>61303</v>
      </c>
      <c r="CC53" s="594">
        <v>61250</v>
      </c>
      <c r="CD53" s="77">
        <v>62038</v>
      </c>
      <c r="CE53" s="77">
        <v>62567</v>
      </c>
      <c r="CF53" s="76">
        <f t="shared" si="259"/>
        <v>62567</v>
      </c>
      <c r="CG53" s="594">
        <v>65369</v>
      </c>
      <c r="CH53" s="594">
        <v>68492</v>
      </c>
      <c r="CI53" s="594">
        <v>73279</v>
      </c>
      <c r="CJ53" s="594">
        <v>76622</v>
      </c>
      <c r="CK53" s="76">
        <f t="shared" si="260"/>
        <v>76622</v>
      </c>
      <c r="CL53" s="77">
        <v>80020</v>
      </c>
      <c r="CM53" s="77">
        <v>83745</v>
      </c>
      <c r="CN53" s="77">
        <v>86961</v>
      </c>
      <c r="CO53" s="77">
        <v>81715</v>
      </c>
      <c r="CP53" s="76">
        <f t="shared" si="261"/>
        <v>81715</v>
      </c>
      <c r="CQ53" s="77">
        <v>82668</v>
      </c>
      <c r="CR53" s="77">
        <v>81799</v>
      </c>
      <c r="CS53" s="77">
        <v>81897</v>
      </c>
      <c r="CT53" s="77">
        <v>78823</v>
      </c>
      <c r="CU53" s="76">
        <f t="shared" si="262"/>
        <v>78823</v>
      </c>
      <c r="CV53" s="77">
        <v>79819</v>
      </c>
      <c r="CW53" s="77">
        <v>79917</v>
      </c>
      <c r="CX53" s="77">
        <v>79777</v>
      </c>
      <c r="CY53" s="77">
        <v>78151</v>
      </c>
      <c r="CZ53" s="76">
        <f t="shared" si="263"/>
        <v>78151</v>
      </c>
      <c r="DA53" s="77">
        <v>78503</v>
      </c>
      <c r="DB53" s="77">
        <v>78322</v>
      </c>
      <c r="DC53" s="77">
        <v>78972</v>
      </c>
      <c r="DD53" s="77">
        <v>79741</v>
      </c>
      <c r="DE53" s="76">
        <f t="shared" si="264"/>
        <v>79741</v>
      </c>
      <c r="DF53" s="77">
        <v>83471</v>
      </c>
      <c r="DG53" s="16">
        <v>85661</v>
      </c>
      <c r="DH53" s="593">
        <v>83341</v>
      </c>
      <c r="DI53" s="1074">
        <v>87550</v>
      </c>
      <c r="DJ53" s="76">
        <f t="shared" ref="DJ53" si="274">DI53</f>
        <v>87550</v>
      </c>
      <c r="DK53" s="1074">
        <v>89077</v>
      </c>
      <c r="DL53" s="1074">
        <v>87853</v>
      </c>
      <c r="DM53" s="1074">
        <v>82425</v>
      </c>
      <c r="DN53" s="1074">
        <v>84679</v>
      </c>
      <c r="DO53" s="76">
        <f t="shared" ref="DO53" si="275">DN53</f>
        <v>84679</v>
      </c>
      <c r="DP53" s="1074">
        <v>87225</v>
      </c>
      <c r="DQ53" s="1086">
        <v>88388</v>
      </c>
      <c r="DS53" s="77"/>
      <c r="DT53" s="93"/>
      <c r="DU53" s="1074"/>
      <c r="DX53" s="77"/>
      <c r="DY53" s="93"/>
      <c r="DZ53" s="93"/>
      <c r="EA53" s="93"/>
      <c r="EB53" s="93"/>
    </row>
    <row r="54" spans="1:132" s="105" customFormat="1" ht="12" customHeight="1">
      <c r="A54" s="68"/>
      <c r="B54" s="159" t="s">
        <v>55</v>
      </c>
      <c r="C54" s="79">
        <v>0</v>
      </c>
      <c r="D54" s="79">
        <v>0</v>
      </c>
      <c r="E54" s="79">
        <v>0</v>
      </c>
      <c r="F54" s="79">
        <v>0</v>
      </c>
      <c r="G54" s="79">
        <v>0</v>
      </c>
      <c r="H54" s="79">
        <v>0</v>
      </c>
      <c r="I54" s="79">
        <f>199</f>
        <v>199</v>
      </c>
      <c r="J54" s="80">
        <v>0</v>
      </c>
      <c r="K54" s="80">
        <v>571</v>
      </c>
      <c r="L54" s="80">
        <v>234</v>
      </c>
      <c r="M54" s="80">
        <f t="shared" si="267"/>
        <v>70</v>
      </c>
      <c r="N54" s="79">
        <v>70</v>
      </c>
      <c r="O54" s="80">
        <v>69</v>
      </c>
      <c r="P54" s="80"/>
      <c r="Q54" s="80">
        <v>0</v>
      </c>
      <c r="R54" s="80">
        <f t="shared" si="268"/>
        <v>0</v>
      </c>
      <c r="S54" s="79">
        <v>0</v>
      </c>
      <c r="T54" s="80">
        <v>0</v>
      </c>
      <c r="U54" s="80">
        <v>0</v>
      </c>
      <c r="V54" s="80">
        <v>0</v>
      </c>
      <c r="W54" s="80">
        <f t="shared" si="269"/>
        <v>0</v>
      </c>
      <c r="X54" s="79">
        <v>0</v>
      </c>
      <c r="Y54" s="80">
        <v>0</v>
      </c>
      <c r="Z54" s="80">
        <v>0</v>
      </c>
      <c r="AA54" s="80">
        <v>0</v>
      </c>
      <c r="AB54" s="80">
        <f t="shared" si="270"/>
        <v>0</v>
      </c>
      <c r="AC54" s="79">
        <v>0</v>
      </c>
      <c r="AD54" s="80">
        <v>0</v>
      </c>
      <c r="AE54" s="80">
        <v>0</v>
      </c>
      <c r="AF54" s="80">
        <v>0</v>
      </c>
      <c r="AG54" s="80">
        <f t="shared" si="271"/>
        <v>0</v>
      </c>
      <c r="AH54" s="79">
        <v>0</v>
      </c>
      <c r="AI54" s="80">
        <v>0</v>
      </c>
      <c r="AJ54" s="80">
        <v>0</v>
      </c>
      <c r="AK54" s="80">
        <v>0</v>
      </c>
      <c r="AL54" s="80">
        <v>0</v>
      </c>
      <c r="AM54" s="79">
        <f t="shared" si="250"/>
        <v>0</v>
      </c>
      <c r="AN54" s="80">
        <v>0</v>
      </c>
      <c r="AO54" s="80">
        <v>0</v>
      </c>
      <c r="AP54" s="80">
        <v>0</v>
      </c>
      <c r="AQ54" s="80">
        <v>0</v>
      </c>
      <c r="AR54" s="79">
        <f t="shared" si="251"/>
        <v>0</v>
      </c>
      <c r="AS54" s="80">
        <v>0</v>
      </c>
      <c r="AT54" s="80">
        <v>0</v>
      </c>
      <c r="AU54" s="80">
        <v>0</v>
      </c>
      <c r="AV54" s="80">
        <v>0</v>
      </c>
      <c r="AW54" s="79">
        <f t="shared" si="252"/>
        <v>0</v>
      </c>
      <c r="AX54" s="80">
        <v>0</v>
      </c>
      <c r="AY54" s="80">
        <v>0</v>
      </c>
      <c r="AZ54" s="80">
        <v>0</v>
      </c>
      <c r="BA54" s="80">
        <v>0</v>
      </c>
      <c r="BB54" s="79">
        <f t="shared" si="253"/>
        <v>0</v>
      </c>
      <c r="BC54" s="80">
        <v>0</v>
      </c>
      <c r="BD54" s="80">
        <v>0</v>
      </c>
      <c r="BE54" s="80">
        <v>0</v>
      </c>
      <c r="BF54" s="80">
        <v>0</v>
      </c>
      <c r="BG54" s="79">
        <f t="shared" si="254"/>
        <v>0</v>
      </c>
      <c r="BH54" s="80"/>
      <c r="BI54" s="568"/>
      <c r="BJ54" s="80"/>
      <c r="BK54" s="80"/>
      <c r="BL54" s="79"/>
      <c r="BM54" s="80"/>
      <c r="BN54" s="568"/>
      <c r="BO54" s="80"/>
      <c r="BP54" s="80"/>
      <c r="BQ54" s="79"/>
      <c r="BR54" s="80"/>
      <c r="BS54" s="568"/>
      <c r="BT54" s="80"/>
      <c r="BU54" s="80"/>
      <c r="BV54" s="79"/>
      <c r="BW54" s="80"/>
      <c r="BX54" s="568"/>
      <c r="BY54" s="80"/>
      <c r="BZ54" s="80"/>
      <c r="CA54" s="79"/>
      <c r="CB54" s="80">
        <v>2481</v>
      </c>
      <c r="CC54" s="568">
        <v>2396</v>
      </c>
      <c r="CD54" s="80">
        <v>2398</v>
      </c>
      <c r="CE54" s="80">
        <v>2335</v>
      </c>
      <c r="CF54" s="79">
        <f>+CE54</f>
        <v>2335</v>
      </c>
      <c r="CG54" s="568">
        <v>2194</v>
      </c>
      <c r="CH54" s="568">
        <v>3304</v>
      </c>
      <c r="CI54" s="568">
        <v>2656</v>
      </c>
      <c r="CJ54" s="568">
        <v>3106</v>
      </c>
      <c r="CK54" s="79">
        <f>+CJ54</f>
        <v>3106</v>
      </c>
      <c r="CL54" s="80">
        <v>2739</v>
      </c>
      <c r="CM54" s="80">
        <v>2624</v>
      </c>
      <c r="CN54" s="80">
        <v>5213</v>
      </c>
      <c r="CO54" s="80">
        <v>4286</v>
      </c>
      <c r="CP54" s="79">
        <f>+CO54</f>
        <v>4286</v>
      </c>
      <c r="CQ54" s="80">
        <v>4123</v>
      </c>
      <c r="CR54" s="80">
        <v>4187</v>
      </c>
      <c r="CS54" s="80">
        <v>2664</v>
      </c>
      <c r="CT54" s="80">
        <v>2221</v>
      </c>
      <c r="CU54" s="79">
        <f>+CT54</f>
        <v>2221</v>
      </c>
      <c r="CV54" s="80">
        <v>2356</v>
      </c>
      <c r="CW54" s="80">
        <v>2086</v>
      </c>
      <c r="CX54" s="80">
        <v>3073</v>
      </c>
      <c r="CY54" s="80">
        <v>2847</v>
      </c>
      <c r="CZ54" s="79">
        <f>+CY54</f>
        <v>2847</v>
      </c>
      <c r="DA54" s="80">
        <v>2857</v>
      </c>
      <c r="DB54" s="80">
        <v>2941</v>
      </c>
      <c r="DC54" s="80">
        <v>2287</v>
      </c>
      <c r="DD54" s="80">
        <v>2504</v>
      </c>
      <c r="DE54" s="79">
        <f>+DD54</f>
        <v>2504</v>
      </c>
      <c r="DF54" s="80">
        <v>2843</v>
      </c>
      <c r="DG54" s="80">
        <v>3282</v>
      </c>
      <c r="DH54" s="272">
        <v>2918</v>
      </c>
      <c r="DI54" s="1075">
        <v>2965</v>
      </c>
      <c r="DJ54" s="79">
        <f>+DI54</f>
        <v>2965</v>
      </c>
      <c r="DK54" s="1075">
        <v>2474</v>
      </c>
      <c r="DL54" s="1075">
        <f>2563+1451</f>
        <v>4014</v>
      </c>
      <c r="DM54" s="1075">
        <f>2904+1473</f>
        <v>4377</v>
      </c>
      <c r="DN54" s="1075">
        <v>2301</v>
      </c>
      <c r="DO54" s="79">
        <f>+DN54</f>
        <v>2301</v>
      </c>
      <c r="DP54" s="1075">
        <v>2733</v>
      </c>
      <c r="DQ54" s="1108">
        <v>3045</v>
      </c>
      <c r="DS54" s="80"/>
      <c r="DT54" s="93"/>
      <c r="DU54" s="1075"/>
      <c r="DX54" s="80"/>
      <c r="DY54" s="93"/>
      <c r="DZ54" s="93"/>
      <c r="EA54" s="93"/>
      <c r="EB54" s="93"/>
    </row>
    <row r="55" spans="1:132" s="105" customFormat="1" ht="12" customHeight="1">
      <c r="A55" s="68"/>
      <c r="B55" s="74" t="s">
        <v>54</v>
      </c>
      <c r="C55" s="71">
        <f t="shared" ref="C55:AF55" si="276">SUM(C47:C54)</f>
        <v>19263</v>
      </c>
      <c r="D55" s="71">
        <f t="shared" si="276"/>
        <v>16375</v>
      </c>
      <c r="E55" s="71">
        <f t="shared" si="276"/>
        <v>15712</v>
      </c>
      <c r="F55" s="71">
        <f t="shared" si="276"/>
        <v>15864</v>
      </c>
      <c r="G55" s="71">
        <f t="shared" si="276"/>
        <v>16206</v>
      </c>
      <c r="H55" s="71">
        <f t="shared" si="276"/>
        <v>16855</v>
      </c>
      <c r="I55" s="71">
        <f t="shared" si="276"/>
        <v>17258</v>
      </c>
      <c r="J55" s="72">
        <f t="shared" si="276"/>
        <v>16681</v>
      </c>
      <c r="K55" s="72">
        <f t="shared" si="276"/>
        <v>18069</v>
      </c>
      <c r="L55" s="72">
        <f t="shared" si="276"/>
        <v>16484</v>
      </c>
      <c r="M55" s="72">
        <f t="shared" si="267"/>
        <v>15100</v>
      </c>
      <c r="N55" s="71">
        <f t="shared" si="276"/>
        <v>15100</v>
      </c>
      <c r="O55" s="72">
        <f t="shared" si="276"/>
        <v>17445</v>
      </c>
      <c r="P55" s="72">
        <f t="shared" si="276"/>
        <v>18243</v>
      </c>
      <c r="Q55" s="72">
        <f t="shared" si="276"/>
        <v>19159</v>
      </c>
      <c r="R55" s="72">
        <f t="shared" si="268"/>
        <v>21968</v>
      </c>
      <c r="S55" s="71">
        <f t="shared" si="276"/>
        <v>21968</v>
      </c>
      <c r="T55" s="72">
        <f t="shared" si="276"/>
        <v>22763</v>
      </c>
      <c r="U55" s="72">
        <f t="shared" si="276"/>
        <v>23171</v>
      </c>
      <c r="V55" s="72">
        <f t="shared" si="276"/>
        <v>22376</v>
      </c>
      <c r="W55" s="72">
        <f t="shared" si="269"/>
        <v>22983</v>
      </c>
      <c r="X55" s="71">
        <f t="shared" si="276"/>
        <v>22983</v>
      </c>
      <c r="Y55" s="72">
        <f t="shared" si="276"/>
        <v>22510</v>
      </c>
      <c r="Z55" s="72">
        <f t="shared" si="276"/>
        <v>25523</v>
      </c>
      <c r="AA55" s="72">
        <f t="shared" si="276"/>
        <v>26628</v>
      </c>
      <c r="AB55" s="72">
        <f t="shared" si="270"/>
        <v>27280</v>
      </c>
      <c r="AC55" s="71">
        <f t="shared" si="276"/>
        <v>27280</v>
      </c>
      <c r="AD55" s="72">
        <f t="shared" si="276"/>
        <v>28201</v>
      </c>
      <c r="AE55" s="72">
        <f t="shared" si="276"/>
        <v>25937</v>
      </c>
      <c r="AF55" s="72">
        <f t="shared" si="276"/>
        <v>24341</v>
      </c>
      <c r="AG55" s="72">
        <f t="shared" si="271"/>
        <v>25964</v>
      </c>
      <c r="AH55" s="71">
        <f t="shared" ref="AH55:AP55" si="277">SUM(AH47:AH54)</f>
        <v>25964</v>
      </c>
      <c r="AI55" s="72">
        <f t="shared" si="277"/>
        <v>27804</v>
      </c>
      <c r="AJ55" s="72">
        <f t="shared" si="277"/>
        <v>30120</v>
      </c>
      <c r="AK55" s="72">
        <f t="shared" si="277"/>
        <v>30227</v>
      </c>
      <c r="AL55" s="72">
        <f t="shared" si="277"/>
        <v>35275</v>
      </c>
      <c r="AM55" s="71">
        <f t="shared" si="277"/>
        <v>35275</v>
      </c>
      <c r="AN55" s="72">
        <f t="shared" si="277"/>
        <v>36798</v>
      </c>
      <c r="AO55" s="72">
        <f t="shared" si="277"/>
        <v>38327</v>
      </c>
      <c r="AP55" s="72">
        <f t="shared" si="277"/>
        <v>39454</v>
      </c>
      <c r="AQ55" s="72">
        <f t="shared" ref="AQ55:DF55" si="278">SUM(AQ47:AQ54)</f>
        <v>40572</v>
      </c>
      <c r="AR55" s="71">
        <f t="shared" si="278"/>
        <v>40572</v>
      </c>
      <c r="AS55" s="72">
        <f t="shared" si="278"/>
        <v>41009</v>
      </c>
      <c r="AT55" s="72">
        <f t="shared" si="278"/>
        <v>44353</v>
      </c>
      <c r="AU55" s="72">
        <f t="shared" si="278"/>
        <v>46347</v>
      </c>
      <c r="AV55" s="72">
        <f t="shared" si="278"/>
        <v>49810</v>
      </c>
      <c r="AW55" s="71">
        <f t="shared" si="278"/>
        <v>49810</v>
      </c>
      <c r="AX55" s="72">
        <f t="shared" si="278"/>
        <v>50131</v>
      </c>
      <c r="AY55" s="72">
        <f t="shared" si="278"/>
        <v>51608</v>
      </c>
      <c r="AZ55" s="72">
        <f t="shared" si="278"/>
        <v>53778</v>
      </c>
      <c r="BA55" s="72">
        <f t="shared" si="278"/>
        <v>57309</v>
      </c>
      <c r="BB55" s="71">
        <f>SUM(BB47:BB54)</f>
        <v>57309</v>
      </c>
      <c r="BC55" s="72">
        <f t="shared" si="278"/>
        <v>59490</v>
      </c>
      <c r="BD55" s="72">
        <f t="shared" si="278"/>
        <v>61310</v>
      </c>
      <c r="BE55" s="72">
        <f t="shared" si="278"/>
        <v>64162</v>
      </c>
      <c r="BF55" s="72">
        <f t="shared" si="278"/>
        <v>65074</v>
      </c>
      <c r="BG55" s="71">
        <f>SUM(BG47:BG54)</f>
        <v>65074</v>
      </c>
      <c r="BH55" s="72">
        <f t="shared" si="278"/>
        <v>64777</v>
      </c>
      <c r="BI55" s="597">
        <f t="shared" si="278"/>
        <v>65527</v>
      </c>
      <c r="BJ55" s="597">
        <f t="shared" si="278"/>
        <v>65218</v>
      </c>
      <c r="BK55" s="597">
        <f t="shared" si="278"/>
        <v>67785</v>
      </c>
      <c r="BL55" s="71">
        <f>SUM(BL47:BL54)</f>
        <v>67785</v>
      </c>
      <c r="BM55" s="597">
        <f t="shared" si="278"/>
        <v>66421</v>
      </c>
      <c r="BN55" s="597">
        <f t="shared" si="278"/>
        <v>66806</v>
      </c>
      <c r="BO55" s="597">
        <f t="shared" si="278"/>
        <v>67576</v>
      </c>
      <c r="BP55" s="597">
        <f t="shared" si="278"/>
        <v>68234</v>
      </c>
      <c r="BQ55" s="71">
        <f>SUM(BQ47:BQ54)</f>
        <v>68234</v>
      </c>
      <c r="BR55" s="597">
        <f t="shared" si="278"/>
        <v>65587</v>
      </c>
      <c r="BS55" s="597">
        <f t="shared" si="278"/>
        <v>63507</v>
      </c>
      <c r="BT55" s="597">
        <f t="shared" si="278"/>
        <v>62237</v>
      </c>
      <c r="BU55" s="597">
        <f t="shared" si="278"/>
        <v>62488</v>
      </c>
      <c r="BV55" s="71">
        <f>SUM(BV47:BV54)</f>
        <v>62488</v>
      </c>
      <c r="BW55" s="597">
        <f t="shared" si="278"/>
        <v>62367</v>
      </c>
      <c r="BX55" s="597">
        <f t="shared" si="278"/>
        <v>62831</v>
      </c>
      <c r="BY55" s="597">
        <f t="shared" si="278"/>
        <v>64142</v>
      </c>
      <c r="BZ55" s="597">
        <f t="shared" si="278"/>
        <v>65161</v>
      </c>
      <c r="CA55" s="71">
        <f>SUM(CA47:CA54)</f>
        <v>65161</v>
      </c>
      <c r="CB55" s="597">
        <f t="shared" si="278"/>
        <v>86543</v>
      </c>
      <c r="CC55" s="597">
        <f t="shared" si="278"/>
        <v>86401</v>
      </c>
      <c r="CD55" s="597">
        <f t="shared" si="278"/>
        <v>87686</v>
      </c>
      <c r="CE55" s="597">
        <f t="shared" si="278"/>
        <v>87830</v>
      </c>
      <c r="CF55" s="71">
        <f>SUM(CF47:CF54)</f>
        <v>87830</v>
      </c>
      <c r="CG55" s="597">
        <f t="shared" si="278"/>
        <v>89509</v>
      </c>
      <c r="CH55" s="597">
        <f t="shared" si="278"/>
        <v>95111</v>
      </c>
      <c r="CI55" s="597">
        <f t="shared" si="278"/>
        <v>101656</v>
      </c>
      <c r="CJ55" s="597">
        <f t="shared" si="278"/>
        <v>102229</v>
      </c>
      <c r="CK55" s="71">
        <f>SUM(CK47:CK54)</f>
        <v>102229</v>
      </c>
      <c r="CL55" s="597">
        <f t="shared" si="278"/>
        <v>111011</v>
      </c>
      <c r="CM55" s="597">
        <f t="shared" si="278"/>
        <v>130277</v>
      </c>
      <c r="CN55" s="597">
        <f t="shared" si="278"/>
        <v>131012</v>
      </c>
      <c r="CO55" s="597">
        <f t="shared" si="278"/>
        <v>121642</v>
      </c>
      <c r="CP55" s="71">
        <f>SUM(CP47:CP54)</f>
        <v>121642</v>
      </c>
      <c r="CQ55" s="597">
        <f t="shared" si="278"/>
        <v>119945</v>
      </c>
      <c r="CR55" s="597">
        <f t="shared" si="278"/>
        <v>119095</v>
      </c>
      <c r="CS55" s="597">
        <f t="shared" si="278"/>
        <v>116888</v>
      </c>
      <c r="CT55" s="597">
        <f t="shared" si="278"/>
        <v>108666</v>
      </c>
      <c r="CU55" s="71">
        <f>SUM(CU47:CU54)</f>
        <v>108666</v>
      </c>
      <c r="CV55" s="597">
        <f t="shared" si="278"/>
        <v>106012</v>
      </c>
      <c r="CW55" s="597">
        <f t="shared" si="278"/>
        <v>106000</v>
      </c>
      <c r="CX55" s="597">
        <f t="shared" si="278"/>
        <v>109251</v>
      </c>
      <c r="CY55" s="597">
        <f t="shared" si="278"/>
        <v>109523</v>
      </c>
      <c r="CZ55" s="71">
        <f>SUM(CZ47:CZ54)</f>
        <v>109523</v>
      </c>
      <c r="DA55" s="597">
        <f t="shared" si="278"/>
        <v>108811</v>
      </c>
      <c r="DB55" s="597">
        <f t="shared" si="278"/>
        <v>107412</v>
      </c>
      <c r="DC55" s="597">
        <f t="shared" si="278"/>
        <v>106935</v>
      </c>
      <c r="DD55" s="597">
        <f t="shared" si="278"/>
        <v>109275</v>
      </c>
      <c r="DE55" s="71">
        <f>SUM(DE47:DE54)</f>
        <v>109275</v>
      </c>
      <c r="DF55" s="597">
        <f t="shared" si="278"/>
        <v>106532</v>
      </c>
      <c r="DG55" s="597">
        <f t="shared" ref="DG55:DI55" si="279">SUM(DG47:DG54)</f>
        <v>114439</v>
      </c>
      <c r="DH55" s="1065">
        <f t="shared" si="279"/>
        <v>109436</v>
      </c>
      <c r="DI55" s="597">
        <f t="shared" si="279"/>
        <v>127998</v>
      </c>
      <c r="DJ55" s="71">
        <f>SUM(DJ47:DJ54)</f>
        <v>127998</v>
      </c>
      <c r="DK55" s="597">
        <f t="shared" ref="DK55:DN55" si="280">SUM(DK47:DK54)</f>
        <v>127662</v>
      </c>
      <c r="DL55" s="597">
        <f t="shared" si="280"/>
        <v>127301</v>
      </c>
      <c r="DM55" s="597">
        <f t="shared" si="280"/>
        <v>122132</v>
      </c>
      <c r="DN55" s="597">
        <f t="shared" si="280"/>
        <v>128459</v>
      </c>
      <c r="DO55" s="71">
        <f>SUM(DO47:DO54)</f>
        <v>128459</v>
      </c>
      <c r="DP55" s="597">
        <f t="shared" ref="DP55:DQ55" si="281">SUM(DP47:DP54)</f>
        <v>124141</v>
      </c>
      <c r="DQ55" s="1065">
        <f t="shared" si="281"/>
        <v>124630</v>
      </c>
      <c r="DS55" s="597"/>
      <c r="DT55" s="93"/>
      <c r="DU55" s="597"/>
      <c r="DX55" s="597"/>
      <c r="DY55" s="93"/>
      <c r="DZ55" s="93"/>
      <c r="EA55" s="93"/>
      <c r="EB55" s="93"/>
    </row>
    <row r="56" spans="1:132" s="105" customFormat="1" ht="12" customHeight="1">
      <c r="A56" s="68"/>
      <c r="B56" s="68" t="s">
        <v>56</v>
      </c>
      <c r="C56" s="76">
        <v>4339</v>
      </c>
      <c r="D56" s="76">
        <v>4930</v>
      </c>
      <c r="E56" s="76">
        <v>5205</v>
      </c>
      <c r="F56" s="76">
        <v>5964</v>
      </c>
      <c r="G56" s="76">
        <v>9345</v>
      </c>
      <c r="H56" s="76">
        <v>10922</v>
      </c>
      <c r="I56" s="76">
        <v>12094</v>
      </c>
      <c r="J56" s="77">
        <v>12588</v>
      </c>
      <c r="K56" s="77">
        <v>10823</v>
      </c>
      <c r="L56" s="77">
        <v>10710</v>
      </c>
      <c r="M56" s="77">
        <f t="shared" si="267"/>
        <v>10385</v>
      </c>
      <c r="N56" s="76">
        <v>10385</v>
      </c>
      <c r="O56" s="77">
        <v>10338</v>
      </c>
      <c r="P56" s="77">
        <v>9894</v>
      </c>
      <c r="Q56" s="77">
        <v>9757</v>
      </c>
      <c r="R56" s="77">
        <f t="shared" si="268"/>
        <v>9639</v>
      </c>
      <c r="S56" s="76">
        <v>9639</v>
      </c>
      <c r="T56" s="77">
        <v>9607</v>
      </c>
      <c r="U56" s="77">
        <v>9055</v>
      </c>
      <c r="V56" s="77">
        <v>8791</v>
      </c>
      <c r="W56" s="77">
        <f t="shared" si="269"/>
        <v>8520</v>
      </c>
      <c r="X56" s="76">
        <v>8520</v>
      </c>
      <c r="Y56" s="77">
        <v>8255</v>
      </c>
      <c r="Z56" s="77">
        <v>7227</v>
      </c>
      <c r="AA56" s="77">
        <v>6925</v>
      </c>
      <c r="AB56" s="77">
        <f t="shared" si="270"/>
        <v>6777</v>
      </c>
      <c r="AC56" s="76">
        <v>6777</v>
      </c>
      <c r="AD56" s="77">
        <v>6699</v>
      </c>
      <c r="AE56" s="77">
        <v>6370</v>
      </c>
      <c r="AF56" s="77">
        <v>5989</v>
      </c>
      <c r="AG56" s="77">
        <f t="shared" si="271"/>
        <v>5857</v>
      </c>
      <c r="AH56" s="76">
        <v>5857</v>
      </c>
      <c r="AI56" s="77">
        <v>5854</v>
      </c>
      <c r="AJ56" s="77">
        <v>5969</v>
      </c>
      <c r="AK56" s="77">
        <v>5923</v>
      </c>
      <c r="AL56" s="77">
        <v>5466</v>
      </c>
      <c r="AM56" s="76">
        <f t="shared" ref="AM56:AM63" si="282">AL56</f>
        <v>5466</v>
      </c>
      <c r="AN56" s="77">
        <v>5273</v>
      </c>
      <c r="AO56" s="77">
        <v>5084</v>
      </c>
      <c r="AP56" s="77">
        <v>4688</v>
      </c>
      <c r="AQ56" s="77">
        <v>4395</v>
      </c>
      <c r="AR56" s="76">
        <f t="shared" ref="AR56:AR63" si="283">AQ56</f>
        <v>4395</v>
      </c>
      <c r="AS56" s="77">
        <v>4320</v>
      </c>
      <c r="AT56" s="77">
        <v>4217</v>
      </c>
      <c r="AU56" s="86">
        <v>4313</v>
      </c>
      <c r="AV56" s="77">
        <v>4296</v>
      </c>
      <c r="AW56" s="76">
        <f t="shared" ref="AW56:AW63" si="284">AV56</f>
        <v>4296</v>
      </c>
      <c r="AX56" s="77">
        <v>4139</v>
      </c>
      <c r="AY56" s="77">
        <v>4068</v>
      </c>
      <c r="AZ56" s="77">
        <v>4028</v>
      </c>
      <c r="BA56" s="77">
        <v>4056</v>
      </c>
      <c r="BB56" s="76">
        <f t="shared" ref="BB56:BB63" si="285">BA56</f>
        <v>4056</v>
      </c>
      <c r="BC56" s="77">
        <v>3910</v>
      </c>
      <c r="BD56" s="77">
        <v>3991</v>
      </c>
      <c r="BE56" s="77">
        <v>3903</v>
      </c>
      <c r="BF56" s="77">
        <v>3627</v>
      </c>
      <c r="BG56" s="76">
        <f t="shared" ref="BG56:BG63" si="286">BF56</f>
        <v>3627</v>
      </c>
      <c r="BH56" s="77">
        <v>3280</v>
      </c>
      <c r="BI56" s="693">
        <v>3180</v>
      </c>
      <c r="BJ56" s="77">
        <v>3347</v>
      </c>
      <c r="BK56" s="77">
        <v>3371</v>
      </c>
      <c r="BL56" s="76">
        <f t="shared" ref="BL56:BL63" si="287">BK56</f>
        <v>3371</v>
      </c>
      <c r="BM56" s="77">
        <v>3301</v>
      </c>
      <c r="BN56" s="693">
        <v>3175</v>
      </c>
      <c r="BO56" s="77">
        <v>3231</v>
      </c>
      <c r="BP56" s="77">
        <v>3358</v>
      </c>
      <c r="BQ56" s="76">
        <f t="shared" ref="BQ56:BQ63" si="288">BP56</f>
        <v>3358</v>
      </c>
      <c r="BR56" s="77">
        <v>2980</v>
      </c>
      <c r="BS56" s="693">
        <v>2909</v>
      </c>
      <c r="BT56" s="77">
        <v>3401</v>
      </c>
      <c r="BU56" s="77">
        <v>3773</v>
      </c>
      <c r="BV56" s="76">
        <f t="shared" ref="BV56:BV63" si="289">BU56</f>
        <v>3773</v>
      </c>
      <c r="BW56" s="77">
        <v>3527</v>
      </c>
      <c r="BX56" s="693">
        <v>3398</v>
      </c>
      <c r="BY56" s="77">
        <v>3039</v>
      </c>
      <c r="BZ56" s="77">
        <v>2740</v>
      </c>
      <c r="CA56" s="76">
        <f t="shared" ref="CA56:CA63" si="290">BZ56</f>
        <v>2740</v>
      </c>
      <c r="CB56" s="77">
        <v>2753</v>
      </c>
      <c r="CC56" s="693">
        <v>2817</v>
      </c>
      <c r="CD56" s="77">
        <v>2785</v>
      </c>
      <c r="CE56" s="77">
        <v>2418</v>
      </c>
      <c r="CF56" s="76">
        <f t="shared" ref="CF56:CF63" si="291">CE56</f>
        <v>2418</v>
      </c>
      <c r="CG56" s="693">
        <v>2236</v>
      </c>
      <c r="CH56" s="693">
        <v>2139</v>
      </c>
      <c r="CI56" s="693">
        <v>2077</v>
      </c>
      <c r="CJ56" s="693">
        <v>2136</v>
      </c>
      <c r="CK56" s="76">
        <f t="shared" ref="CK56:CK63" si="292">CJ56</f>
        <v>2136</v>
      </c>
      <c r="CL56" s="77">
        <v>2116</v>
      </c>
      <c r="CM56" s="77">
        <v>2054</v>
      </c>
      <c r="CN56" s="77">
        <v>2010</v>
      </c>
      <c r="CO56" s="77">
        <v>1936</v>
      </c>
      <c r="CP56" s="76">
        <f t="shared" ref="CP56:CP63" si="293">CO56</f>
        <v>1936</v>
      </c>
      <c r="CQ56" s="77">
        <v>1895</v>
      </c>
      <c r="CR56" s="77">
        <v>1865</v>
      </c>
      <c r="CS56" s="77">
        <v>1795</v>
      </c>
      <c r="CT56" s="77">
        <v>1695</v>
      </c>
      <c r="CU56" s="76">
        <f t="shared" ref="CU56:CU63" si="294">CT56</f>
        <v>1695</v>
      </c>
      <c r="CV56" s="77">
        <v>1580</v>
      </c>
      <c r="CW56" s="77">
        <v>1542</v>
      </c>
      <c r="CX56" s="77">
        <v>1513</v>
      </c>
      <c r="CY56" s="77">
        <v>1450</v>
      </c>
      <c r="CZ56" s="76">
        <f t="shared" ref="CZ56:CZ63" si="295">CY56</f>
        <v>1450</v>
      </c>
      <c r="DA56" s="77">
        <v>1372</v>
      </c>
      <c r="DB56" s="77">
        <v>1105</v>
      </c>
      <c r="DC56" s="77">
        <v>963</v>
      </c>
      <c r="DD56" s="77">
        <v>860</v>
      </c>
      <c r="DE56" s="76">
        <f t="shared" ref="DE56:DE63" si="296">DD56</f>
        <v>860</v>
      </c>
      <c r="DF56" s="77">
        <v>833</v>
      </c>
      <c r="DG56" s="16">
        <v>785</v>
      </c>
      <c r="DH56" s="593">
        <v>321</v>
      </c>
      <c r="DI56" s="1074">
        <v>314</v>
      </c>
      <c r="DJ56" s="76">
        <f t="shared" ref="DJ56:DJ61" si="297">DI56</f>
        <v>314</v>
      </c>
      <c r="DK56" s="1074">
        <v>308</v>
      </c>
      <c r="DL56" s="1074">
        <v>318</v>
      </c>
      <c r="DM56" s="1074">
        <v>245</v>
      </c>
      <c r="DN56" s="1074">
        <v>241</v>
      </c>
      <c r="DO56" s="76">
        <f t="shared" ref="DO56:DO61" si="298">DN56</f>
        <v>241</v>
      </c>
      <c r="DP56" s="1074">
        <v>389</v>
      </c>
      <c r="DQ56" s="1086">
        <v>365</v>
      </c>
      <c r="DS56" s="77"/>
      <c r="DT56" s="93"/>
      <c r="DU56" s="1074"/>
      <c r="DX56" s="77"/>
      <c r="DY56" s="93"/>
      <c r="DZ56" s="93"/>
      <c r="EA56" s="93"/>
      <c r="EB56" s="93"/>
    </row>
    <row r="57" spans="1:132" s="105" customFormat="1" ht="12" customHeight="1">
      <c r="A57" s="68"/>
      <c r="B57" s="68" t="s">
        <v>57</v>
      </c>
      <c r="C57" s="76">
        <v>8391</v>
      </c>
      <c r="D57" s="76">
        <v>8589</v>
      </c>
      <c r="E57" s="76">
        <v>8245</v>
      </c>
      <c r="F57" s="76">
        <v>8814</v>
      </c>
      <c r="G57" s="76">
        <v>8459</v>
      </c>
      <c r="H57" s="76">
        <v>8765</v>
      </c>
      <c r="I57" s="76">
        <v>8432</v>
      </c>
      <c r="J57" s="77">
        <v>8383</v>
      </c>
      <c r="K57" s="77">
        <v>8252</v>
      </c>
      <c r="L57" s="77">
        <v>8333</v>
      </c>
      <c r="M57" s="77">
        <f t="shared" si="267"/>
        <v>8443</v>
      </c>
      <c r="N57" s="76">
        <v>8443</v>
      </c>
      <c r="O57" s="77">
        <v>8467</v>
      </c>
      <c r="P57" s="77">
        <v>8121</v>
      </c>
      <c r="Q57" s="77">
        <v>8268</v>
      </c>
      <c r="R57" s="77">
        <f t="shared" si="268"/>
        <v>8420</v>
      </c>
      <c r="S57" s="76">
        <v>8420</v>
      </c>
      <c r="T57" s="77">
        <v>8891</v>
      </c>
      <c r="U57" s="77">
        <v>9042</v>
      </c>
      <c r="V57" s="77">
        <v>8670</v>
      </c>
      <c r="W57" s="77">
        <f t="shared" si="269"/>
        <v>7675</v>
      </c>
      <c r="X57" s="76">
        <v>7675</v>
      </c>
      <c r="Y57" s="77">
        <v>7837</v>
      </c>
      <c r="Z57" s="77">
        <v>7985</v>
      </c>
      <c r="AA57" s="77">
        <v>8182</v>
      </c>
      <c r="AB57" s="77">
        <f t="shared" si="270"/>
        <v>8265</v>
      </c>
      <c r="AC57" s="76">
        <v>8265</v>
      </c>
      <c r="AD57" s="77">
        <v>8376</v>
      </c>
      <c r="AE57" s="77">
        <v>8585</v>
      </c>
      <c r="AF57" s="77">
        <v>8686</v>
      </c>
      <c r="AG57" s="77">
        <f t="shared" si="271"/>
        <v>8762</v>
      </c>
      <c r="AH57" s="76">
        <v>8762</v>
      </c>
      <c r="AI57" s="77">
        <v>8798</v>
      </c>
      <c r="AJ57" s="77">
        <v>8808</v>
      </c>
      <c r="AK57" s="77">
        <v>8912</v>
      </c>
      <c r="AL57" s="77">
        <v>8784</v>
      </c>
      <c r="AM57" s="76">
        <f t="shared" si="282"/>
        <v>8784</v>
      </c>
      <c r="AN57" s="77">
        <v>8693</v>
      </c>
      <c r="AO57" s="77">
        <v>8584</v>
      </c>
      <c r="AP57" s="77">
        <v>8671</v>
      </c>
      <c r="AQ57" s="77">
        <v>8931</v>
      </c>
      <c r="AR57" s="76">
        <f t="shared" si="283"/>
        <v>8931</v>
      </c>
      <c r="AS57" s="77">
        <v>8973</v>
      </c>
      <c r="AT57" s="77">
        <v>9044</v>
      </c>
      <c r="AU57" s="86">
        <v>9190</v>
      </c>
      <c r="AV57" s="77">
        <v>9313</v>
      </c>
      <c r="AW57" s="76">
        <f t="shared" si="284"/>
        <v>9313</v>
      </c>
      <c r="AX57" s="77">
        <v>9399</v>
      </c>
      <c r="AY57" s="77">
        <v>9453</v>
      </c>
      <c r="AZ57" s="77">
        <v>9496</v>
      </c>
      <c r="BA57" s="77">
        <v>9660</v>
      </c>
      <c r="BB57" s="76">
        <f t="shared" si="285"/>
        <v>9660</v>
      </c>
      <c r="BC57" s="77">
        <v>9736</v>
      </c>
      <c r="BD57" s="77">
        <v>9814</v>
      </c>
      <c r="BE57" s="77">
        <v>9987</v>
      </c>
      <c r="BF57" s="77">
        <v>10224</v>
      </c>
      <c r="BG57" s="76">
        <f t="shared" si="286"/>
        <v>10224</v>
      </c>
      <c r="BH57" s="77">
        <v>10263</v>
      </c>
      <c r="BI57" s="693">
        <v>10449</v>
      </c>
      <c r="BJ57" s="77">
        <v>10707</v>
      </c>
      <c r="BK57" s="77">
        <v>11007</v>
      </c>
      <c r="BL57" s="76">
        <f t="shared" si="287"/>
        <v>11007</v>
      </c>
      <c r="BM57" s="77">
        <v>11172</v>
      </c>
      <c r="BN57" s="693">
        <v>11338</v>
      </c>
      <c r="BO57" s="77">
        <v>11614</v>
      </c>
      <c r="BP57" s="77">
        <v>12076</v>
      </c>
      <c r="BQ57" s="76">
        <f t="shared" si="288"/>
        <v>12076</v>
      </c>
      <c r="BR57" s="77">
        <v>12269</v>
      </c>
      <c r="BS57" s="693">
        <v>12533</v>
      </c>
      <c r="BT57" s="77">
        <v>12713</v>
      </c>
      <c r="BU57" s="77">
        <v>12807</v>
      </c>
      <c r="BV57" s="76">
        <f t="shared" si="289"/>
        <v>12807</v>
      </c>
      <c r="BW57" s="77">
        <v>12842</v>
      </c>
      <c r="BX57" s="693">
        <v>12820</v>
      </c>
      <c r="BY57" s="77">
        <v>12712</v>
      </c>
      <c r="BZ57" s="77">
        <v>12672</v>
      </c>
      <c r="CA57" s="76">
        <f t="shared" si="290"/>
        <v>12672</v>
      </c>
      <c r="CB57" s="77">
        <v>12628</v>
      </c>
      <c r="CC57" s="693">
        <v>12605</v>
      </c>
      <c r="CD57" s="77">
        <v>12571</v>
      </c>
      <c r="CE57" s="77">
        <v>12645</v>
      </c>
      <c r="CF57" s="76">
        <f t="shared" si="291"/>
        <v>12645</v>
      </c>
      <c r="CG57" s="693">
        <v>12594</v>
      </c>
      <c r="CH57" s="693">
        <v>12601</v>
      </c>
      <c r="CI57" s="693">
        <v>12527</v>
      </c>
      <c r="CJ57" s="693">
        <v>12502</v>
      </c>
      <c r="CK57" s="76">
        <f t="shared" si="292"/>
        <v>12502</v>
      </c>
      <c r="CL57" s="77">
        <v>12405</v>
      </c>
      <c r="CM57" s="77">
        <v>12182</v>
      </c>
      <c r="CN57" s="77">
        <v>11969</v>
      </c>
      <c r="CO57" s="77">
        <v>11820</v>
      </c>
      <c r="CP57" s="76">
        <f t="shared" si="293"/>
        <v>11820</v>
      </c>
      <c r="CQ57" s="77">
        <v>11643</v>
      </c>
      <c r="CR57" s="77">
        <v>11341</v>
      </c>
      <c r="CS57" s="77">
        <v>11113</v>
      </c>
      <c r="CT57" s="77">
        <v>10918</v>
      </c>
      <c r="CU57" s="76">
        <f t="shared" si="294"/>
        <v>10918</v>
      </c>
      <c r="CV57" s="77">
        <v>10755</v>
      </c>
      <c r="CW57" s="77">
        <v>10617</v>
      </c>
      <c r="CX57" s="77">
        <v>10508</v>
      </c>
      <c r="CY57" s="77">
        <v>10550</v>
      </c>
      <c r="CZ57" s="76">
        <f t="shared" si="295"/>
        <v>10550</v>
      </c>
      <c r="DA57" s="77">
        <v>10493</v>
      </c>
      <c r="DB57" s="77">
        <v>10455</v>
      </c>
      <c r="DC57" s="77">
        <v>10484</v>
      </c>
      <c r="DD57" s="77">
        <v>10661</v>
      </c>
      <c r="DE57" s="76">
        <f t="shared" si="296"/>
        <v>10661</v>
      </c>
      <c r="DF57" s="77">
        <v>10696</v>
      </c>
      <c r="DG57" s="16">
        <v>10976</v>
      </c>
      <c r="DH57" s="593">
        <v>11236</v>
      </c>
      <c r="DI57" s="1074">
        <v>11412</v>
      </c>
      <c r="DJ57" s="76">
        <f t="shared" si="297"/>
        <v>11412</v>
      </c>
      <c r="DK57" s="1074">
        <v>11459</v>
      </c>
      <c r="DL57" s="1074">
        <v>11658</v>
      </c>
      <c r="DM57" s="1074">
        <v>12078</v>
      </c>
      <c r="DN57" s="1074">
        <v>15361</v>
      </c>
      <c r="DO57" s="76">
        <f t="shared" si="298"/>
        <v>15361</v>
      </c>
      <c r="DP57" s="1074">
        <v>15763</v>
      </c>
      <c r="DQ57" s="1086">
        <v>16321</v>
      </c>
      <c r="DS57" s="77"/>
      <c r="DT57" s="93"/>
      <c r="DU57" s="1074"/>
      <c r="DX57" s="77"/>
      <c r="DY57" s="93"/>
      <c r="DZ57" s="93"/>
      <c r="EA57" s="93"/>
      <c r="EB57" s="93"/>
    </row>
    <row r="58" spans="1:132" s="105" customFormat="1" ht="12" customHeight="1">
      <c r="A58" s="68"/>
      <c r="B58" s="68" t="s">
        <v>58</v>
      </c>
      <c r="C58" s="76">
        <v>2395</v>
      </c>
      <c r="D58" s="76">
        <v>2312</v>
      </c>
      <c r="E58" s="76">
        <v>2233</v>
      </c>
      <c r="F58" s="76">
        <v>5214</v>
      </c>
      <c r="G58" s="76">
        <v>6443</v>
      </c>
      <c r="H58" s="76">
        <v>2760</v>
      </c>
      <c r="I58" s="76">
        <v>1913</v>
      </c>
      <c r="J58" s="77">
        <v>1915</v>
      </c>
      <c r="K58" s="77">
        <v>1923</v>
      </c>
      <c r="L58" s="77">
        <v>1947</v>
      </c>
      <c r="M58" s="77">
        <f t="shared" si="267"/>
        <v>1948</v>
      </c>
      <c r="N58" s="76">
        <v>1948</v>
      </c>
      <c r="O58" s="77">
        <v>1928</v>
      </c>
      <c r="P58" s="77">
        <v>1906</v>
      </c>
      <c r="Q58" s="77">
        <v>1903</v>
      </c>
      <c r="R58" s="77">
        <f t="shared" si="268"/>
        <v>1924</v>
      </c>
      <c r="S58" s="76">
        <v>1924</v>
      </c>
      <c r="T58" s="77">
        <v>1922</v>
      </c>
      <c r="U58" s="77">
        <v>2037</v>
      </c>
      <c r="V58" s="77">
        <v>3208</v>
      </c>
      <c r="W58" s="77">
        <f t="shared" si="269"/>
        <v>3047</v>
      </c>
      <c r="X58" s="76">
        <v>3047</v>
      </c>
      <c r="Y58" s="77">
        <v>3091</v>
      </c>
      <c r="Z58" s="77">
        <v>3092</v>
      </c>
      <c r="AA58" s="77">
        <v>3096</v>
      </c>
      <c r="AB58" s="77">
        <f t="shared" si="270"/>
        <v>3081</v>
      </c>
      <c r="AC58" s="76">
        <v>3081</v>
      </c>
      <c r="AD58" s="77">
        <v>3135</v>
      </c>
      <c r="AE58" s="77">
        <v>3232</v>
      </c>
      <c r="AF58" s="77">
        <v>3530</v>
      </c>
      <c r="AG58" s="77">
        <f t="shared" si="271"/>
        <v>3647</v>
      </c>
      <c r="AH58" s="76">
        <v>3647</v>
      </c>
      <c r="AI58" s="77">
        <v>3654</v>
      </c>
      <c r="AJ58" s="77">
        <v>3688</v>
      </c>
      <c r="AK58" s="77">
        <v>4293</v>
      </c>
      <c r="AL58" s="77">
        <v>4319</v>
      </c>
      <c r="AM58" s="76">
        <f t="shared" si="282"/>
        <v>4319</v>
      </c>
      <c r="AN58" s="77">
        <v>4317</v>
      </c>
      <c r="AO58" s="77">
        <v>4302</v>
      </c>
      <c r="AP58" s="77">
        <v>4871</v>
      </c>
      <c r="AQ58" s="77">
        <v>4937</v>
      </c>
      <c r="AR58" s="76">
        <f t="shared" si="283"/>
        <v>4937</v>
      </c>
      <c r="AS58" s="77">
        <v>4944</v>
      </c>
      <c r="AT58" s="77">
        <v>4949</v>
      </c>
      <c r="AU58" s="86">
        <v>4939</v>
      </c>
      <c r="AV58" s="77">
        <v>4945</v>
      </c>
      <c r="AW58" s="76">
        <f t="shared" si="284"/>
        <v>4945</v>
      </c>
      <c r="AX58" s="77">
        <v>4950</v>
      </c>
      <c r="AY58" s="77">
        <v>4955</v>
      </c>
      <c r="AZ58" s="77">
        <v>4961</v>
      </c>
      <c r="BA58" s="77">
        <v>5035</v>
      </c>
      <c r="BB58" s="76">
        <f t="shared" si="285"/>
        <v>5035</v>
      </c>
      <c r="BC58" s="77">
        <v>5049</v>
      </c>
      <c r="BD58" s="77">
        <v>5043</v>
      </c>
      <c r="BE58" s="77">
        <v>5047</v>
      </c>
      <c r="BF58" s="77">
        <v>5043</v>
      </c>
      <c r="BG58" s="76">
        <f t="shared" si="286"/>
        <v>5043</v>
      </c>
      <c r="BH58" s="77">
        <v>5046</v>
      </c>
      <c r="BI58" s="693">
        <v>5139</v>
      </c>
      <c r="BJ58" s="77">
        <v>5131</v>
      </c>
      <c r="BK58" s="77">
        <v>5119</v>
      </c>
      <c r="BL58" s="76">
        <f t="shared" si="287"/>
        <v>5119</v>
      </c>
      <c r="BM58" s="77">
        <v>5105</v>
      </c>
      <c r="BN58" s="693">
        <v>5126</v>
      </c>
      <c r="BO58" s="77">
        <v>5122</v>
      </c>
      <c r="BP58" s="77">
        <v>5126</v>
      </c>
      <c r="BQ58" s="76">
        <f t="shared" si="288"/>
        <v>5126</v>
      </c>
      <c r="BR58" s="77">
        <v>5132</v>
      </c>
      <c r="BS58" s="693">
        <v>5128</v>
      </c>
      <c r="BT58" s="77">
        <v>5128</v>
      </c>
      <c r="BU58" s="77">
        <v>5324</v>
      </c>
      <c r="BV58" s="76">
        <f t="shared" si="289"/>
        <v>5324</v>
      </c>
      <c r="BW58" s="77">
        <v>5342</v>
      </c>
      <c r="BX58" s="693">
        <v>5347</v>
      </c>
      <c r="BY58" s="77">
        <v>5344</v>
      </c>
      <c r="BZ58" s="77">
        <v>5559</v>
      </c>
      <c r="CA58" s="76">
        <f t="shared" si="290"/>
        <v>5559</v>
      </c>
      <c r="CB58" s="77">
        <v>5558</v>
      </c>
      <c r="CC58" s="693">
        <v>5550</v>
      </c>
      <c r="CD58" s="77">
        <v>5722</v>
      </c>
      <c r="CE58" s="77">
        <v>7840</v>
      </c>
      <c r="CF58" s="76">
        <f t="shared" si="291"/>
        <v>7840</v>
      </c>
      <c r="CG58" s="693">
        <v>7967</v>
      </c>
      <c r="CH58" s="693">
        <v>8051</v>
      </c>
      <c r="CI58" s="693">
        <v>8063</v>
      </c>
      <c r="CJ58" s="693">
        <v>8060</v>
      </c>
      <c r="CK58" s="76">
        <f t="shared" si="292"/>
        <v>8060</v>
      </c>
      <c r="CL58" s="77">
        <v>8057</v>
      </c>
      <c r="CM58" s="77">
        <v>8064</v>
      </c>
      <c r="CN58" s="77">
        <v>8071</v>
      </c>
      <c r="CO58" s="77">
        <v>8081</v>
      </c>
      <c r="CP58" s="76">
        <f t="shared" si="293"/>
        <v>8081</v>
      </c>
      <c r="CQ58" s="77">
        <v>8074</v>
      </c>
      <c r="CR58" s="77">
        <v>8076</v>
      </c>
      <c r="CS58" s="77">
        <v>8070</v>
      </c>
      <c r="CT58" s="77">
        <v>8068</v>
      </c>
      <c r="CU58" s="76">
        <f t="shared" si="294"/>
        <v>8068</v>
      </c>
      <c r="CV58" s="77">
        <v>8065</v>
      </c>
      <c r="CW58" s="77">
        <v>8055</v>
      </c>
      <c r="CX58" s="77">
        <v>8045</v>
      </c>
      <c r="CY58" s="77">
        <v>8057</v>
      </c>
      <c r="CZ58" s="76">
        <f t="shared" si="295"/>
        <v>8057</v>
      </c>
      <c r="DA58" s="77">
        <v>8063</v>
      </c>
      <c r="DB58" s="77">
        <v>8061</v>
      </c>
      <c r="DC58" s="77">
        <v>8069</v>
      </c>
      <c r="DD58" s="77">
        <v>8093</v>
      </c>
      <c r="DE58" s="76">
        <f t="shared" si="296"/>
        <v>8093</v>
      </c>
      <c r="DF58" s="77">
        <v>8089</v>
      </c>
      <c r="DG58" s="16">
        <v>8108</v>
      </c>
      <c r="DH58" s="593">
        <v>8112</v>
      </c>
      <c r="DI58" s="1074">
        <v>8084</v>
      </c>
      <c r="DJ58" s="76">
        <f t="shared" si="297"/>
        <v>8084</v>
      </c>
      <c r="DK58" s="1074">
        <v>8091</v>
      </c>
      <c r="DL58" s="1074">
        <v>7280</v>
      </c>
      <c r="DM58" s="1074">
        <v>7281</v>
      </c>
      <c r="DN58" s="1074">
        <v>17275</v>
      </c>
      <c r="DO58" s="76">
        <f t="shared" si="298"/>
        <v>17275</v>
      </c>
      <c r="DP58" s="1074">
        <v>17633</v>
      </c>
      <c r="DQ58" s="1086">
        <v>17554</v>
      </c>
      <c r="DS58" s="77"/>
      <c r="DT58" s="93"/>
      <c r="DU58" s="1074"/>
      <c r="DX58" s="77"/>
      <c r="DY58" s="93"/>
      <c r="DZ58" s="93"/>
      <c r="EA58" s="93"/>
      <c r="EB58" s="93"/>
    </row>
    <row r="59" spans="1:132" s="105" customFormat="1" ht="12" customHeight="1">
      <c r="A59" s="68"/>
      <c r="B59" s="68" t="s">
        <v>59</v>
      </c>
      <c r="C59" s="76">
        <v>0</v>
      </c>
      <c r="D59" s="76">
        <v>0</v>
      </c>
      <c r="E59" s="76">
        <v>0</v>
      </c>
      <c r="F59" s="76">
        <v>0</v>
      </c>
      <c r="G59" s="76">
        <v>0</v>
      </c>
      <c r="H59" s="76">
        <v>1128</v>
      </c>
      <c r="I59" s="76">
        <v>1035</v>
      </c>
      <c r="J59" s="77">
        <v>1012</v>
      </c>
      <c r="K59" s="77">
        <v>1006</v>
      </c>
      <c r="L59" s="77">
        <v>981</v>
      </c>
      <c r="M59" s="77">
        <f t="shared" si="267"/>
        <v>955</v>
      </c>
      <c r="N59" s="76">
        <v>955</v>
      </c>
      <c r="O59" s="77">
        <v>932</v>
      </c>
      <c r="P59" s="77">
        <v>919</v>
      </c>
      <c r="Q59" s="77">
        <v>908</v>
      </c>
      <c r="R59" s="77">
        <f t="shared" si="268"/>
        <v>875</v>
      </c>
      <c r="S59" s="76">
        <v>875</v>
      </c>
      <c r="T59" s="77">
        <v>850</v>
      </c>
      <c r="U59" s="77">
        <v>841</v>
      </c>
      <c r="V59" s="77">
        <v>1471</v>
      </c>
      <c r="W59" s="77">
        <f t="shared" si="269"/>
        <v>1698</v>
      </c>
      <c r="X59" s="76">
        <v>1698</v>
      </c>
      <c r="Y59" s="77">
        <v>1720</v>
      </c>
      <c r="Z59" s="77">
        <v>1754</v>
      </c>
      <c r="AA59" s="77">
        <v>1750</v>
      </c>
      <c r="AB59" s="77">
        <f t="shared" si="270"/>
        <v>2093</v>
      </c>
      <c r="AC59" s="76">
        <v>2093</v>
      </c>
      <c r="AD59" s="77">
        <v>2236</v>
      </c>
      <c r="AE59" s="77">
        <v>2223</v>
      </c>
      <c r="AF59" s="77">
        <v>2208</v>
      </c>
      <c r="AG59" s="77">
        <f t="shared" si="271"/>
        <v>2685</v>
      </c>
      <c r="AH59" s="76">
        <v>2685</v>
      </c>
      <c r="AI59" s="77">
        <v>2627</v>
      </c>
      <c r="AJ59" s="77">
        <v>2727</v>
      </c>
      <c r="AK59" s="77">
        <v>2920</v>
      </c>
      <c r="AL59" s="77">
        <v>2877</v>
      </c>
      <c r="AM59" s="76">
        <f t="shared" si="282"/>
        <v>2877</v>
      </c>
      <c r="AN59" s="77">
        <v>2878</v>
      </c>
      <c r="AO59" s="77">
        <v>2821</v>
      </c>
      <c r="AP59" s="77">
        <v>3027</v>
      </c>
      <c r="AQ59" s="77">
        <v>2979</v>
      </c>
      <c r="AR59" s="76">
        <f t="shared" si="283"/>
        <v>2979</v>
      </c>
      <c r="AS59" s="77">
        <v>2933</v>
      </c>
      <c r="AT59" s="77">
        <v>3141</v>
      </c>
      <c r="AU59" s="86">
        <v>3095</v>
      </c>
      <c r="AV59" s="77">
        <v>3044</v>
      </c>
      <c r="AW59" s="76">
        <f t="shared" si="284"/>
        <v>3044</v>
      </c>
      <c r="AX59" s="77">
        <v>2993</v>
      </c>
      <c r="AY59" s="77">
        <v>2980</v>
      </c>
      <c r="AZ59" s="77">
        <v>2930</v>
      </c>
      <c r="BA59" s="77">
        <v>3111</v>
      </c>
      <c r="BB59" s="76">
        <f t="shared" si="285"/>
        <v>3111</v>
      </c>
      <c r="BC59" s="77">
        <v>3075</v>
      </c>
      <c r="BD59" s="77">
        <v>3011</v>
      </c>
      <c r="BE59" s="77">
        <v>2962</v>
      </c>
      <c r="BF59" s="77">
        <v>3052</v>
      </c>
      <c r="BG59" s="76">
        <f t="shared" si="286"/>
        <v>3052</v>
      </c>
      <c r="BH59" s="77">
        <v>2996</v>
      </c>
      <c r="BI59" s="693">
        <v>3004</v>
      </c>
      <c r="BJ59" s="77">
        <v>2954</v>
      </c>
      <c r="BK59" s="77">
        <v>2869</v>
      </c>
      <c r="BL59" s="76">
        <f t="shared" si="287"/>
        <v>2869</v>
      </c>
      <c r="BM59" s="77">
        <v>2809</v>
      </c>
      <c r="BN59" s="693">
        <v>2763</v>
      </c>
      <c r="BO59" s="77">
        <v>2706</v>
      </c>
      <c r="BP59" s="77">
        <v>2657</v>
      </c>
      <c r="BQ59" s="76">
        <f t="shared" si="288"/>
        <v>2657</v>
      </c>
      <c r="BR59" s="77">
        <v>2594</v>
      </c>
      <c r="BS59" s="693">
        <v>2544</v>
      </c>
      <c r="BT59" s="77">
        <v>2488</v>
      </c>
      <c r="BU59" s="77">
        <v>2540</v>
      </c>
      <c r="BV59" s="76">
        <f t="shared" si="289"/>
        <v>2540</v>
      </c>
      <c r="BW59" s="77">
        <v>2496</v>
      </c>
      <c r="BX59" s="693">
        <v>2567</v>
      </c>
      <c r="BY59" s="77">
        <v>2523</v>
      </c>
      <c r="BZ59" s="77">
        <v>2573</v>
      </c>
      <c r="CA59" s="76">
        <f t="shared" si="290"/>
        <v>2573</v>
      </c>
      <c r="CB59" s="77">
        <v>2525</v>
      </c>
      <c r="CC59" s="693">
        <v>2494</v>
      </c>
      <c r="CD59" s="77">
        <v>2530</v>
      </c>
      <c r="CE59" s="77">
        <v>3429</v>
      </c>
      <c r="CF59" s="76">
        <f t="shared" si="291"/>
        <v>3429</v>
      </c>
      <c r="CG59" s="693">
        <v>3498</v>
      </c>
      <c r="CH59" s="693">
        <v>3761</v>
      </c>
      <c r="CI59" s="693">
        <v>3587</v>
      </c>
      <c r="CJ59" s="693">
        <v>3338</v>
      </c>
      <c r="CK59" s="76">
        <f t="shared" si="292"/>
        <v>3338</v>
      </c>
      <c r="CL59" s="77">
        <v>3256</v>
      </c>
      <c r="CM59" s="77">
        <v>3019</v>
      </c>
      <c r="CN59" s="77">
        <v>2941</v>
      </c>
      <c r="CO59" s="77">
        <v>2843</v>
      </c>
      <c r="CP59" s="76">
        <f t="shared" si="293"/>
        <v>2843</v>
      </c>
      <c r="CQ59" s="77">
        <v>2773</v>
      </c>
      <c r="CR59" s="77">
        <v>2702</v>
      </c>
      <c r="CS59" s="77">
        <v>2631</v>
      </c>
      <c r="CT59" s="77">
        <v>2562</v>
      </c>
      <c r="CU59" s="76">
        <f t="shared" si="294"/>
        <v>2562</v>
      </c>
      <c r="CV59" s="77">
        <v>2492</v>
      </c>
      <c r="CW59" s="77">
        <v>2431</v>
      </c>
      <c r="CX59" s="77">
        <v>2371</v>
      </c>
      <c r="CY59" s="77">
        <v>2311</v>
      </c>
      <c r="CZ59" s="76">
        <f t="shared" si="295"/>
        <v>2311</v>
      </c>
      <c r="DA59" s="77">
        <v>2254</v>
      </c>
      <c r="DB59" s="77">
        <v>2194</v>
      </c>
      <c r="DC59" s="77">
        <v>2143</v>
      </c>
      <c r="DD59" s="77">
        <v>2094</v>
      </c>
      <c r="DE59" s="76">
        <f t="shared" si="296"/>
        <v>2094</v>
      </c>
      <c r="DF59" s="77">
        <v>2034</v>
      </c>
      <c r="DG59" s="16">
        <v>2067</v>
      </c>
      <c r="DH59" s="593">
        <v>2011</v>
      </c>
      <c r="DI59" s="1074">
        <v>1957</v>
      </c>
      <c r="DJ59" s="76">
        <f t="shared" si="297"/>
        <v>1957</v>
      </c>
      <c r="DK59" s="1074">
        <v>1904</v>
      </c>
      <c r="DL59" s="1074">
        <v>1542</v>
      </c>
      <c r="DM59" s="1074">
        <v>1495</v>
      </c>
      <c r="DN59" s="1074">
        <v>1567</v>
      </c>
      <c r="DO59" s="76">
        <f t="shared" si="298"/>
        <v>1567</v>
      </c>
      <c r="DP59" s="1074">
        <v>1517</v>
      </c>
      <c r="DQ59" s="1086">
        <v>1531</v>
      </c>
      <c r="DS59" s="77"/>
      <c r="DT59" s="93"/>
      <c r="DU59" s="1074"/>
      <c r="DX59" s="77"/>
      <c r="DY59" s="93"/>
      <c r="DZ59" s="93"/>
      <c r="EA59" s="93"/>
      <c r="EB59" s="93"/>
    </row>
    <row r="60" spans="1:132" s="105" customFormat="1" ht="12" customHeight="1">
      <c r="A60" s="68"/>
      <c r="B60" s="68" t="s">
        <v>52</v>
      </c>
      <c r="C60" s="76">
        <v>15</v>
      </c>
      <c r="D60" s="76">
        <v>411</v>
      </c>
      <c r="E60" s="76">
        <v>0</v>
      </c>
      <c r="F60" s="76">
        <v>0</v>
      </c>
      <c r="G60" s="76">
        <v>0</v>
      </c>
      <c r="H60" s="76">
        <v>2272</v>
      </c>
      <c r="I60" s="76">
        <v>1242</v>
      </c>
      <c r="J60" s="77">
        <v>1182</v>
      </c>
      <c r="K60" s="77">
        <v>1352</v>
      </c>
      <c r="L60" s="77">
        <v>1334</v>
      </c>
      <c r="M60" s="77">
        <f t="shared" si="267"/>
        <v>154</v>
      </c>
      <c r="N60" s="76">
        <v>154</v>
      </c>
      <c r="O60" s="77">
        <v>308</v>
      </c>
      <c r="P60" s="77">
        <v>247</v>
      </c>
      <c r="Q60" s="77">
        <v>335</v>
      </c>
      <c r="R60" s="77">
        <f t="shared" si="268"/>
        <v>140</v>
      </c>
      <c r="S60" s="76">
        <v>140</v>
      </c>
      <c r="T60" s="77">
        <v>161</v>
      </c>
      <c r="U60" s="77">
        <v>161</v>
      </c>
      <c r="V60" s="77">
        <v>148</v>
      </c>
      <c r="W60" s="77">
        <f t="shared" si="269"/>
        <v>1051</v>
      </c>
      <c r="X60" s="76">
        <v>1051</v>
      </c>
      <c r="Y60" s="77">
        <v>980</v>
      </c>
      <c r="Z60" s="77">
        <v>918</v>
      </c>
      <c r="AA60" s="77">
        <v>823</v>
      </c>
      <c r="AB60" s="77">
        <f t="shared" si="270"/>
        <v>197</v>
      </c>
      <c r="AC60" s="76">
        <v>197</v>
      </c>
      <c r="AD60" s="77">
        <v>247</v>
      </c>
      <c r="AE60" s="77">
        <v>276</v>
      </c>
      <c r="AF60" s="77">
        <v>183</v>
      </c>
      <c r="AG60" s="77">
        <f t="shared" si="271"/>
        <v>4114</v>
      </c>
      <c r="AH60" s="76">
        <v>4114</v>
      </c>
      <c r="AI60" s="77">
        <v>3880</v>
      </c>
      <c r="AJ60" s="77">
        <v>3858</v>
      </c>
      <c r="AK60" s="77">
        <v>3835</v>
      </c>
      <c r="AL60" s="77">
        <v>3062</v>
      </c>
      <c r="AM60" s="76">
        <f t="shared" si="282"/>
        <v>3062</v>
      </c>
      <c r="AN60" s="77">
        <v>2754</v>
      </c>
      <c r="AO60" s="77">
        <v>2379</v>
      </c>
      <c r="AP60" s="77">
        <v>2223</v>
      </c>
      <c r="AQ60" s="77">
        <v>4031</v>
      </c>
      <c r="AR60" s="76">
        <f t="shared" si="283"/>
        <v>4031</v>
      </c>
      <c r="AS60" s="77">
        <v>3862</v>
      </c>
      <c r="AT60" s="77">
        <v>3697</v>
      </c>
      <c r="AU60" s="86">
        <v>3709</v>
      </c>
      <c r="AV60" s="77">
        <v>5892</v>
      </c>
      <c r="AW60" s="76">
        <f t="shared" si="284"/>
        <v>5892</v>
      </c>
      <c r="AX60" s="77">
        <v>5791</v>
      </c>
      <c r="AY60" s="77">
        <v>5781</v>
      </c>
      <c r="AZ60" s="77">
        <v>5520</v>
      </c>
      <c r="BA60" s="77">
        <v>6753</v>
      </c>
      <c r="BB60" s="76">
        <f t="shared" si="285"/>
        <v>6753</v>
      </c>
      <c r="BC60" s="77">
        <v>6522</v>
      </c>
      <c r="BD60" s="77">
        <v>6307</v>
      </c>
      <c r="BE60" s="77">
        <v>5957</v>
      </c>
      <c r="BF60" s="77">
        <v>2939</v>
      </c>
      <c r="BG60" s="76">
        <f t="shared" si="286"/>
        <v>2939</v>
      </c>
      <c r="BH60" s="77">
        <v>2463</v>
      </c>
      <c r="BI60" s="693">
        <v>2664</v>
      </c>
      <c r="BJ60" s="77">
        <v>2546</v>
      </c>
      <c r="BK60" s="77">
        <v>6576</v>
      </c>
      <c r="BL60" s="76">
        <f t="shared" si="287"/>
        <v>6576</v>
      </c>
      <c r="BM60" s="77">
        <v>6485</v>
      </c>
      <c r="BN60" s="693">
        <v>6264</v>
      </c>
      <c r="BO60" s="77">
        <v>6146</v>
      </c>
      <c r="BP60" s="77">
        <v>265</v>
      </c>
      <c r="BQ60" s="76">
        <f t="shared" si="288"/>
        <v>265</v>
      </c>
      <c r="BR60" s="77">
        <v>267</v>
      </c>
      <c r="BS60" s="693">
        <v>267</v>
      </c>
      <c r="BT60" s="77">
        <v>265</v>
      </c>
      <c r="BU60" s="77">
        <v>332</v>
      </c>
      <c r="BV60" s="76">
        <f t="shared" si="289"/>
        <v>332</v>
      </c>
      <c r="BW60" s="77">
        <v>336</v>
      </c>
      <c r="BX60" s="693">
        <v>325</v>
      </c>
      <c r="BY60" s="77">
        <v>298</v>
      </c>
      <c r="BZ60" s="77">
        <v>341</v>
      </c>
      <c r="CA60" s="76">
        <f t="shared" si="290"/>
        <v>341</v>
      </c>
      <c r="CB60" s="77">
        <v>325</v>
      </c>
      <c r="CC60" s="693">
        <v>325</v>
      </c>
      <c r="CD60" s="77">
        <v>323</v>
      </c>
      <c r="CE60" s="77">
        <v>284</v>
      </c>
      <c r="CF60" s="76">
        <f t="shared" si="291"/>
        <v>284</v>
      </c>
      <c r="CG60" s="693">
        <v>281</v>
      </c>
      <c r="CH60" s="693">
        <v>357</v>
      </c>
      <c r="CI60" s="693">
        <v>296</v>
      </c>
      <c r="CJ60" s="693">
        <v>683</v>
      </c>
      <c r="CK60" s="76">
        <f t="shared" si="292"/>
        <v>683</v>
      </c>
      <c r="CL60" s="77">
        <v>678</v>
      </c>
      <c r="CM60" s="77">
        <v>729</v>
      </c>
      <c r="CN60" s="77">
        <v>704</v>
      </c>
      <c r="CO60" s="77">
        <v>86</v>
      </c>
      <c r="CP60" s="76">
        <f t="shared" si="293"/>
        <v>86</v>
      </c>
      <c r="CQ60" s="77">
        <v>79</v>
      </c>
      <c r="CR60" s="77">
        <v>84</v>
      </c>
      <c r="CS60" s="77">
        <v>74</v>
      </c>
      <c r="CT60" s="77">
        <v>77</v>
      </c>
      <c r="CU60" s="76">
        <f t="shared" si="294"/>
        <v>77</v>
      </c>
      <c r="CV60" s="77">
        <v>91</v>
      </c>
      <c r="CW60" s="77">
        <v>106</v>
      </c>
      <c r="CX60" s="77">
        <v>77</v>
      </c>
      <c r="CY60" s="77">
        <v>63</v>
      </c>
      <c r="CZ60" s="76">
        <f t="shared" si="295"/>
        <v>63</v>
      </c>
      <c r="DA60" s="77">
        <v>65</v>
      </c>
      <c r="DB60" s="77">
        <v>66</v>
      </c>
      <c r="DC60" s="77">
        <v>64</v>
      </c>
      <c r="DD60" s="77">
        <v>59</v>
      </c>
      <c r="DE60" s="76">
        <f t="shared" si="296"/>
        <v>59</v>
      </c>
      <c r="DF60" s="77">
        <v>68</v>
      </c>
      <c r="DG60" s="16">
        <v>0</v>
      </c>
      <c r="DH60" s="593">
        <v>44</v>
      </c>
      <c r="DI60" s="1074">
        <v>185</v>
      </c>
      <c r="DJ60" s="76">
        <f t="shared" si="297"/>
        <v>185</v>
      </c>
      <c r="DK60" s="1074">
        <v>137</v>
      </c>
      <c r="DL60" s="1074">
        <v>136</v>
      </c>
      <c r="DM60" s="1074">
        <v>44</v>
      </c>
      <c r="DN60" s="1074">
        <v>107</v>
      </c>
      <c r="DO60" s="76">
        <f t="shared" si="298"/>
        <v>107</v>
      </c>
      <c r="DP60" s="1074">
        <v>136</v>
      </c>
      <c r="DQ60" s="1086">
        <v>152</v>
      </c>
      <c r="DS60" s="77"/>
      <c r="DT60" s="93"/>
      <c r="DU60" s="1074"/>
      <c r="DX60" s="77"/>
      <c r="DY60" s="93"/>
      <c r="DZ60" s="93"/>
      <c r="EA60" s="93"/>
      <c r="EB60" s="93"/>
    </row>
    <row r="61" spans="1:132" s="105" customFormat="1" ht="12" customHeight="1">
      <c r="A61" s="68"/>
      <c r="B61" s="68" t="s">
        <v>60</v>
      </c>
      <c r="C61" s="76">
        <v>0</v>
      </c>
      <c r="D61" s="76">
        <v>0</v>
      </c>
      <c r="E61" s="76">
        <v>0</v>
      </c>
      <c r="F61" s="76">
        <v>0</v>
      </c>
      <c r="G61" s="76">
        <v>0</v>
      </c>
      <c r="H61" s="76">
        <v>0</v>
      </c>
      <c r="I61" s="76">
        <v>0</v>
      </c>
      <c r="J61" s="77">
        <v>0</v>
      </c>
      <c r="K61" s="77">
        <v>0</v>
      </c>
      <c r="L61" s="77">
        <v>1790</v>
      </c>
      <c r="M61" s="77">
        <f t="shared" si="267"/>
        <v>3050</v>
      </c>
      <c r="N61" s="76">
        <v>3050</v>
      </c>
      <c r="O61" s="77">
        <v>3198</v>
      </c>
      <c r="P61" s="77">
        <v>3158</v>
      </c>
      <c r="Q61" s="77">
        <v>2856</v>
      </c>
      <c r="R61" s="77">
        <f t="shared" si="268"/>
        <v>2852</v>
      </c>
      <c r="S61" s="76">
        <v>2852</v>
      </c>
      <c r="T61" s="77">
        <v>2754</v>
      </c>
      <c r="U61" s="77">
        <v>2743</v>
      </c>
      <c r="V61" s="77">
        <v>2864</v>
      </c>
      <c r="W61" s="77">
        <f t="shared" si="269"/>
        <v>4085</v>
      </c>
      <c r="X61" s="76">
        <v>4085</v>
      </c>
      <c r="Y61" s="77">
        <v>4021</v>
      </c>
      <c r="Z61" s="77">
        <v>4104</v>
      </c>
      <c r="AA61" s="77">
        <v>4053</v>
      </c>
      <c r="AB61" s="77">
        <f t="shared" si="270"/>
        <v>4111</v>
      </c>
      <c r="AC61" s="76">
        <v>4111</v>
      </c>
      <c r="AD61" s="77">
        <v>3722</v>
      </c>
      <c r="AE61" s="77">
        <v>4017</v>
      </c>
      <c r="AF61" s="77">
        <v>3717</v>
      </c>
      <c r="AG61" s="77">
        <f t="shared" si="271"/>
        <v>1328</v>
      </c>
      <c r="AH61" s="76">
        <v>1328</v>
      </c>
      <c r="AI61" s="77">
        <v>1261</v>
      </c>
      <c r="AJ61" s="77">
        <v>1188</v>
      </c>
      <c r="AK61" s="77">
        <v>1120</v>
      </c>
      <c r="AL61" s="77">
        <v>1030</v>
      </c>
      <c r="AM61" s="76">
        <f t="shared" si="282"/>
        <v>1030</v>
      </c>
      <c r="AN61" s="77">
        <v>1030</v>
      </c>
      <c r="AO61" s="77">
        <v>1008</v>
      </c>
      <c r="AP61" s="77">
        <v>1035</v>
      </c>
      <c r="AQ61" s="77">
        <v>1111</v>
      </c>
      <c r="AR61" s="76">
        <f t="shared" si="283"/>
        <v>1111</v>
      </c>
      <c r="AS61" s="77">
        <v>1091</v>
      </c>
      <c r="AT61" s="77">
        <v>1117</v>
      </c>
      <c r="AU61" s="86">
        <v>1109</v>
      </c>
      <c r="AV61" s="77">
        <v>1043</v>
      </c>
      <c r="AW61" s="76">
        <f t="shared" si="284"/>
        <v>1043</v>
      </c>
      <c r="AX61" s="77">
        <v>1037</v>
      </c>
      <c r="AY61" s="77">
        <v>1004</v>
      </c>
      <c r="AZ61" s="77">
        <v>1195</v>
      </c>
      <c r="BA61" s="77">
        <v>1180</v>
      </c>
      <c r="BB61" s="76">
        <f t="shared" si="285"/>
        <v>1180</v>
      </c>
      <c r="BC61" s="77">
        <v>1177</v>
      </c>
      <c r="BD61" s="77">
        <v>1166</v>
      </c>
      <c r="BE61" s="77">
        <v>1168</v>
      </c>
      <c r="BF61" s="77">
        <v>1204</v>
      </c>
      <c r="BG61" s="76">
        <f t="shared" si="286"/>
        <v>1204</v>
      </c>
      <c r="BH61" s="77">
        <v>1208</v>
      </c>
      <c r="BI61" s="693">
        <v>1196</v>
      </c>
      <c r="BJ61" s="77">
        <v>1203</v>
      </c>
      <c r="BK61" s="77">
        <v>1154</v>
      </c>
      <c r="BL61" s="76">
        <f t="shared" si="287"/>
        <v>1154</v>
      </c>
      <c r="BM61" s="77">
        <v>1154</v>
      </c>
      <c r="BN61" s="693">
        <v>1256</v>
      </c>
      <c r="BO61" s="77">
        <v>1277</v>
      </c>
      <c r="BP61" s="77">
        <v>1284</v>
      </c>
      <c r="BQ61" s="76">
        <f t="shared" si="288"/>
        <v>1284</v>
      </c>
      <c r="BR61" s="77">
        <v>1297</v>
      </c>
      <c r="BS61" s="693">
        <v>1312</v>
      </c>
      <c r="BT61" s="77">
        <v>1303</v>
      </c>
      <c r="BU61" s="77">
        <v>1317</v>
      </c>
      <c r="BV61" s="76">
        <f t="shared" si="289"/>
        <v>1317</v>
      </c>
      <c r="BW61" s="77">
        <v>1319</v>
      </c>
      <c r="BX61" s="693">
        <v>1278</v>
      </c>
      <c r="BY61" s="77">
        <v>1270</v>
      </c>
      <c r="BZ61" s="77">
        <v>1260</v>
      </c>
      <c r="CA61" s="76">
        <f t="shared" si="290"/>
        <v>1260</v>
      </c>
      <c r="CB61" s="77">
        <v>1248</v>
      </c>
      <c r="CC61" s="693">
        <v>1203</v>
      </c>
      <c r="CD61" s="77">
        <v>1190</v>
      </c>
      <c r="CE61" s="77">
        <v>1087</v>
      </c>
      <c r="CF61" s="76">
        <f t="shared" si="291"/>
        <v>1087</v>
      </c>
      <c r="CG61" s="693">
        <v>1183</v>
      </c>
      <c r="CH61" s="693">
        <v>1142</v>
      </c>
      <c r="CI61" s="693">
        <v>1117</v>
      </c>
      <c r="CJ61" s="693">
        <v>1092</v>
      </c>
      <c r="CK61" s="76">
        <f t="shared" si="292"/>
        <v>1092</v>
      </c>
      <c r="CL61" s="77">
        <v>1124</v>
      </c>
      <c r="CM61" s="77">
        <v>1066</v>
      </c>
      <c r="CN61" s="77">
        <v>1052</v>
      </c>
      <c r="CO61" s="77">
        <v>1016</v>
      </c>
      <c r="CP61" s="76">
        <f t="shared" si="293"/>
        <v>1016</v>
      </c>
      <c r="CQ61" s="77">
        <v>980</v>
      </c>
      <c r="CR61" s="77">
        <v>883</v>
      </c>
      <c r="CS61" s="77">
        <v>963</v>
      </c>
      <c r="CT61" s="77">
        <v>975</v>
      </c>
      <c r="CU61" s="76">
        <f t="shared" si="294"/>
        <v>975</v>
      </c>
      <c r="CV61" s="77">
        <v>992</v>
      </c>
      <c r="CW61" s="77">
        <v>981</v>
      </c>
      <c r="CX61" s="77">
        <v>979</v>
      </c>
      <c r="CY61" s="77">
        <v>983</v>
      </c>
      <c r="CZ61" s="76">
        <f t="shared" si="295"/>
        <v>983</v>
      </c>
      <c r="DA61" s="77">
        <v>969</v>
      </c>
      <c r="DB61" s="77">
        <v>1025</v>
      </c>
      <c r="DC61" s="77">
        <v>1061</v>
      </c>
      <c r="DD61" s="77">
        <v>1035</v>
      </c>
      <c r="DE61" s="76">
        <f t="shared" si="296"/>
        <v>1035</v>
      </c>
      <c r="DF61" s="77">
        <v>1042</v>
      </c>
      <c r="DG61" s="16">
        <v>1026</v>
      </c>
      <c r="DH61" s="593">
        <v>1030</v>
      </c>
      <c r="DI61" s="1074">
        <v>999</v>
      </c>
      <c r="DJ61" s="76">
        <f t="shared" si="297"/>
        <v>999</v>
      </c>
      <c r="DK61" s="1074">
        <v>1001</v>
      </c>
      <c r="DL61" s="1074">
        <v>1036</v>
      </c>
      <c r="DM61" s="1074">
        <v>1050</v>
      </c>
      <c r="DN61" s="1074">
        <v>1048</v>
      </c>
      <c r="DO61" s="76">
        <f t="shared" si="298"/>
        <v>1048</v>
      </c>
      <c r="DP61" s="1074">
        <v>1048</v>
      </c>
      <c r="DQ61" s="1086">
        <v>1117</v>
      </c>
      <c r="DS61" s="77"/>
      <c r="DT61" s="93"/>
      <c r="DU61" s="1074"/>
      <c r="DX61" s="77"/>
      <c r="DY61" s="93"/>
      <c r="DZ61" s="93"/>
      <c r="EA61" s="93"/>
      <c r="EB61" s="93"/>
    </row>
    <row r="62" spans="1:132" s="105" customFormat="1" ht="12" customHeight="1">
      <c r="A62" s="68"/>
      <c r="B62" s="68" t="s">
        <v>61</v>
      </c>
      <c r="C62" s="76">
        <v>3271</v>
      </c>
      <c r="D62" s="76">
        <v>3513</v>
      </c>
      <c r="E62" s="76">
        <v>3845</v>
      </c>
      <c r="F62" s="76">
        <v>4845</v>
      </c>
      <c r="G62" s="76">
        <v>5838</v>
      </c>
      <c r="H62" s="76">
        <v>6671</v>
      </c>
      <c r="I62" s="76">
        <v>8542</v>
      </c>
      <c r="J62" s="77">
        <v>9483</v>
      </c>
      <c r="K62" s="77">
        <v>10416</v>
      </c>
      <c r="L62" s="77">
        <v>11959</v>
      </c>
      <c r="M62" s="77">
        <f t="shared" si="267"/>
        <v>12588</v>
      </c>
      <c r="N62" s="76">
        <v>12588</v>
      </c>
      <c r="O62" s="77">
        <v>12837</v>
      </c>
      <c r="P62" s="77">
        <v>12705</v>
      </c>
      <c r="Q62" s="77">
        <v>13687</v>
      </c>
      <c r="R62" s="77">
        <f t="shared" si="268"/>
        <v>13251</v>
      </c>
      <c r="S62" s="76">
        <v>13251</v>
      </c>
      <c r="T62" s="77">
        <v>13525</v>
      </c>
      <c r="U62" s="77">
        <f>13253</f>
        <v>13253</v>
      </c>
      <c r="V62" s="77">
        <v>13031</v>
      </c>
      <c r="W62" s="77">
        <f t="shared" si="269"/>
        <v>0</v>
      </c>
      <c r="X62" s="76">
        <v>0</v>
      </c>
      <c r="Y62" s="77">
        <v>0</v>
      </c>
      <c r="Z62" s="77">
        <v>0</v>
      </c>
      <c r="AA62" s="77">
        <v>0</v>
      </c>
      <c r="AB62" s="77">
        <f t="shared" si="270"/>
        <v>5924</v>
      </c>
      <c r="AC62" s="76">
        <v>5924</v>
      </c>
      <c r="AD62" s="77">
        <v>6391</v>
      </c>
      <c r="AE62" s="77">
        <v>6445</v>
      </c>
      <c r="AF62" s="77">
        <v>6497</v>
      </c>
      <c r="AG62" s="77">
        <f t="shared" si="271"/>
        <v>16</v>
      </c>
      <c r="AH62" s="76">
        <v>16</v>
      </c>
      <c r="AI62" s="77">
        <v>12</v>
      </c>
      <c r="AJ62" s="77">
        <v>21</v>
      </c>
      <c r="AK62" s="77">
        <v>20</v>
      </c>
      <c r="AL62" s="77">
        <v>16</v>
      </c>
      <c r="AM62" s="76">
        <f t="shared" si="282"/>
        <v>16</v>
      </c>
      <c r="AN62" s="77">
        <v>21</v>
      </c>
      <c r="AO62" s="77">
        <v>27</v>
      </c>
      <c r="AP62" s="77">
        <v>33</v>
      </c>
      <c r="AQ62" s="77">
        <v>6</v>
      </c>
      <c r="AR62" s="76">
        <f t="shared" si="283"/>
        <v>6</v>
      </c>
      <c r="AS62" s="77">
        <v>4</v>
      </c>
      <c r="AT62" s="77">
        <v>5</v>
      </c>
      <c r="AU62" s="86">
        <v>6</v>
      </c>
      <c r="AV62" s="77">
        <v>0</v>
      </c>
      <c r="AW62" s="76">
        <f t="shared" si="284"/>
        <v>0</v>
      </c>
      <c r="AX62" s="77"/>
      <c r="AY62" s="77"/>
      <c r="AZ62" s="77"/>
      <c r="BA62" s="77"/>
      <c r="BB62" s="76">
        <f t="shared" si="285"/>
        <v>0</v>
      </c>
      <c r="BC62" s="77">
        <v>0</v>
      </c>
      <c r="BD62" s="77">
        <v>0</v>
      </c>
      <c r="BE62" s="77"/>
      <c r="BF62" s="77"/>
      <c r="BG62" s="76">
        <f t="shared" si="286"/>
        <v>0</v>
      </c>
      <c r="BH62" s="77">
        <v>0</v>
      </c>
      <c r="BI62" s="693">
        <v>0</v>
      </c>
      <c r="BJ62" s="77"/>
      <c r="BK62" s="77"/>
      <c r="BL62" s="76">
        <f t="shared" si="287"/>
        <v>0</v>
      </c>
      <c r="BM62" s="77"/>
      <c r="BN62" s="693"/>
      <c r="BO62" s="77"/>
      <c r="BP62" s="77"/>
      <c r="BQ62" s="76">
        <f t="shared" si="288"/>
        <v>0</v>
      </c>
      <c r="BR62" s="77"/>
      <c r="BS62" s="693"/>
      <c r="BT62" s="77"/>
      <c r="BU62" s="77"/>
      <c r="BV62" s="76">
        <f t="shared" si="289"/>
        <v>0</v>
      </c>
      <c r="BW62" s="77"/>
      <c r="BX62" s="693"/>
      <c r="BY62" s="77"/>
      <c r="BZ62" s="77"/>
      <c r="CA62" s="76">
        <f t="shared" si="290"/>
        <v>0</v>
      </c>
      <c r="CB62" s="77"/>
      <c r="CC62" s="693"/>
      <c r="CD62" s="77"/>
      <c r="CE62" s="77"/>
      <c r="CF62" s="76"/>
      <c r="CG62" s="693"/>
      <c r="CH62" s="693"/>
      <c r="CI62" s="693"/>
      <c r="CJ62" s="693"/>
      <c r="CK62" s="76"/>
      <c r="CL62" s="77"/>
      <c r="CM62" s="77"/>
      <c r="CN62" s="77"/>
      <c r="CO62" s="77"/>
      <c r="CP62" s="76"/>
      <c r="CQ62" s="77"/>
      <c r="CR62" s="77"/>
      <c r="CS62" s="77"/>
      <c r="CT62" s="77"/>
      <c r="CU62" s="76"/>
      <c r="CV62" s="77"/>
      <c r="CW62" s="77"/>
      <c r="CX62" s="77"/>
      <c r="CY62" s="77"/>
      <c r="CZ62" s="76"/>
      <c r="DA62" s="77"/>
      <c r="DB62" s="77"/>
      <c r="DC62" s="77"/>
      <c r="DD62" s="77"/>
      <c r="DE62" s="76"/>
      <c r="DF62" s="77"/>
      <c r="DG62" s="16"/>
      <c r="DH62" s="593"/>
      <c r="DI62" s="77"/>
      <c r="DJ62" s="76"/>
      <c r="DK62" s="77"/>
      <c r="DL62" s="16"/>
      <c r="DM62" s="77"/>
      <c r="DN62" s="77"/>
      <c r="DO62" s="76"/>
      <c r="DP62" s="77"/>
      <c r="DQ62" s="103"/>
      <c r="DS62" s="77"/>
      <c r="DT62" s="93"/>
      <c r="DU62" s="77"/>
      <c r="DX62" s="77"/>
      <c r="DY62" s="93"/>
      <c r="DZ62" s="93"/>
      <c r="EA62" s="93"/>
      <c r="EB62" s="93"/>
    </row>
    <row r="63" spans="1:132" s="105" customFormat="1" ht="12" customHeight="1">
      <c r="A63" s="68"/>
      <c r="B63" s="68" t="s">
        <v>62</v>
      </c>
      <c r="C63" s="79">
        <v>350</v>
      </c>
      <c r="D63" s="79">
        <v>542</v>
      </c>
      <c r="E63" s="79">
        <v>907</v>
      </c>
      <c r="F63" s="79">
        <f>60+1267</f>
        <v>1327</v>
      </c>
      <c r="G63" s="79">
        <v>2052</v>
      </c>
      <c r="H63" s="79">
        <v>2969</v>
      </c>
      <c r="I63" s="79">
        <v>2519</v>
      </c>
      <c r="J63" s="80">
        <v>2556</v>
      </c>
      <c r="K63" s="80">
        <v>2442</v>
      </c>
      <c r="L63" s="80">
        <v>1850</v>
      </c>
      <c r="M63" s="80">
        <f t="shared" si="267"/>
        <v>1340</v>
      </c>
      <c r="N63" s="79">
        <f>1340</f>
        <v>1340</v>
      </c>
      <c r="O63" s="80">
        <v>1261</v>
      </c>
      <c r="P63" s="80">
        <v>1301</v>
      </c>
      <c r="Q63" s="80">
        <v>1445</v>
      </c>
      <c r="R63" s="80">
        <f t="shared" si="268"/>
        <v>989</v>
      </c>
      <c r="S63" s="79">
        <v>989</v>
      </c>
      <c r="T63" s="80">
        <v>935</v>
      </c>
      <c r="U63" s="80">
        <v>966</v>
      </c>
      <c r="V63" s="80">
        <v>899</v>
      </c>
      <c r="W63" s="80">
        <f t="shared" si="269"/>
        <v>2735</v>
      </c>
      <c r="X63" s="79">
        <v>2735</v>
      </c>
      <c r="Y63" s="80">
        <v>3142</v>
      </c>
      <c r="Z63" s="80">
        <v>3283</v>
      </c>
      <c r="AA63" s="80">
        <v>3330</v>
      </c>
      <c r="AB63" s="80">
        <f t="shared" si="270"/>
        <v>1258</v>
      </c>
      <c r="AC63" s="79">
        <v>1258</v>
      </c>
      <c r="AD63" s="80">
        <v>1353</v>
      </c>
      <c r="AE63" s="80">
        <v>1425</v>
      </c>
      <c r="AF63" s="80">
        <v>1368</v>
      </c>
      <c r="AG63" s="80">
        <f t="shared" si="271"/>
        <v>1406</v>
      </c>
      <c r="AH63" s="79">
        <v>1406</v>
      </c>
      <c r="AI63" s="80">
        <v>1450</v>
      </c>
      <c r="AJ63" s="80">
        <v>1333</v>
      </c>
      <c r="AK63" s="80">
        <v>1417</v>
      </c>
      <c r="AL63" s="80">
        <v>1224</v>
      </c>
      <c r="AM63" s="79">
        <f t="shared" si="282"/>
        <v>1224</v>
      </c>
      <c r="AN63" s="80">
        <v>1206</v>
      </c>
      <c r="AO63" s="80">
        <v>1223</v>
      </c>
      <c r="AP63" s="80">
        <v>1220</v>
      </c>
      <c r="AQ63" s="80">
        <v>1603</v>
      </c>
      <c r="AR63" s="79">
        <f t="shared" si="283"/>
        <v>1603</v>
      </c>
      <c r="AS63" s="80">
        <v>1624</v>
      </c>
      <c r="AT63" s="80">
        <v>1596</v>
      </c>
      <c r="AU63" s="97">
        <v>1455</v>
      </c>
      <c r="AV63" s="80">
        <v>1643</v>
      </c>
      <c r="AW63" s="79">
        <f t="shared" si="284"/>
        <v>1643</v>
      </c>
      <c r="AX63" s="80">
        <v>1765</v>
      </c>
      <c r="AY63" s="80">
        <v>1746</v>
      </c>
      <c r="AZ63" s="80">
        <v>1746</v>
      </c>
      <c r="BA63" s="80">
        <v>1792</v>
      </c>
      <c r="BB63" s="79">
        <f t="shared" si="285"/>
        <v>1792</v>
      </c>
      <c r="BC63" s="80">
        <v>1488</v>
      </c>
      <c r="BD63" s="80">
        <v>1449</v>
      </c>
      <c r="BE63" s="80">
        <v>1447</v>
      </c>
      <c r="BF63" s="80">
        <v>1500</v>
      </c>
      <c r="BG63" s="79">
        <f t="shared" si="286"/>
        <v>1500</v>
      </c>
      <c r="BH63" s="80">
        <v>1542</v>
      </c>
      <c r="BI63" s="568">
        <v>1578</v>
      </c>
      <c r="BJ63" s="80">
        <v>1547</v>
      </c>
      <c r="BK63" s="80">
        <v>1317</v>
      </c>
      <c r="BL63" s="79">
        <f t="shared" si="287"/>
        <v>1317</v>
      </c>
      <c r="BM63" s="80">
        <v>1328</v>
      </c>
      <c r="BN63" s="568">
        <v>1374</v>
      </c>
      <c r="BO63" s="80">
        <v>1326</v>
      </c>
      <c r="BP63" s="80">
        <v>1408</v>
      </c>
      <c r="BQ63" s="79">
        <f t="shared" si="288"/>
        <v>1408</v>
      </c>
      <c r="BR63" s="80">
        <v>1421</v>
      </c>
      <c r="BS63" s="568">
        <v>1409</v>
      </c>
      <c r="BT63" s="80">
        <v>1415</v>
      </c>
      <c r="BU63" s="80">
        <v>1416</v>
      </c>
      <c r="BV63" s="79">
        <f t="shared" si="289"/>
        <v>1416</v>
      </c>
      <c r="BW63" s="80">
        <v>1444</v>
      </c>
      <c r="BX63" s="568">
        <v>1470</v>
      </c>
      <c r="BY63" s="80">
        <v>1679</v>
      </c>
      <c r="BZ63" s="80">
        <v>2027</v>
      </c>
      <c r="CA63" s="79">
        <f t="shared" si="290"/>
        <v>2027</v>
      </c>
      <c r="CB63" s="80">
        <v>1969</v>
      </c>
      <c r="CC63" s="568">
        <v>1800</v>
      </c>
      <c r="CD63" s="80">
        <v>1852</v>
      </c>
      <c r="CE63" s="80">
        <v>1826</v>
      </c>
      <c r="CF63" s="79">
        <f t="shared" si="291"/>
        <v>1826</v>
      </c>
      <c r="CG63" s="568">
        <v>2941</v>
      </c>
      <c r="CH63" s="568">
        <v>3099</v>
      </c>
      <c r="CI63" s="568">
        <v>3275</v>
      </c>
      <c r="CJ63" s="568">
        <v>3585</v>
      </c>
      <c r="CK63" s="79">
        <f t="shared" si="292"/>
        <v>3585</v>
      </c>
      <c r="CL63" s="80">
        <v>4428</v>
      </c>
      <c r="CM63" s="80">
        <v>5481</v>
      </c>
      <c r="CN63" s="80">
        <v>3502</v>
      </c>
      <c r="CO63" s="80">
        <v>4712</v>
      </c>
      <c r="CP63" s="79">
        <f t="shared" si="293"/>
        <v>4712</v>
      </c>
      <c r="CQ63" s="80">
        <v>4646</v>
      </c>
      <c r="CR63" s="80">
        <v>4889</v>
      </c>
      <c r="CS63" s="80">
        <v>5312</v>
      </c>
      <c r="CT63" s="80">
        <v>5591</v>
      </c>
      <c r="CU63" s="79">
        <f t="shared" si="294"/>
        <v>5591</v>
      </c>
      <c r="CV63" s="80">
        <v>5814</v>
      </c>
      <c r="CW63" s="80">
        <v>5747</v>
      </c>
      <c r="CX63" s="80">
        <v>4814</v>
      </c>
      <c r="CY63" s="80">
        <v>4163</v>
      </c>
      <c r="CZ63" s="79">
        <f t="shared" si="295"/>
        <v>4163</v>
      </c>
      <c r="DA63" s="80">
        <v>4320</v>
      </c>
      <c r="DB63" s="80">
        <v>4456</v>
      </c>
      <c r="DC63" s="77">
        <v>4562</v>
      </c>
      <c r="DD63" s="80">
        <v>4935</v>
      </c>
      <c r="DE63" s="79">
        <f t="shared" si="296"/>
        <v>4935</v>
      </c>
      <c r="DF63" s="80">
        <v>5190</v>
      </c>
      <c r="DG63" s="80">
        <v>5319</v>
      </c>
      <c r="DH63" s="272">
        <v>5505</v>
      </c>
      <c r="DI63" s="1075">
        <v>5414</v>
      </c>
      <c r="DJ63" s="79">
        <f t="shared" ref="DJ63" si="299">DI63</f>
        <v>5414</v>
      </c>
      <c r="DK63" s="1075">
        <v>5932</v>
      </c>
      <c r="DL63" s="1075">
        <v>5849</v>
      </c>
      <c r="DM63" s="1075">
        <v>5698</v>
      </c>
      <c r="DN63" s="1075">
        <v>4177</v>
      </c>
      <c r="DO63" s="79">
        <f t="shared" ref="DO63" si="300">DN63</f>
        <v>4177</v>
      </c>
      <c r="DP63" s="1075">
        <v>4160</v>
      </c>
      <c r="DQ63" s="1108">
        <v>4200</v>
      </c>
      <c r="DS63" s="80"/>
      <c r="DT63" s="93"/>
      <c r="DU63" s="1075"/>
      <c r="DX63" s="80"/>
      <c r="DY63" s="93"/>
      <c r="DZ63" s="93"/>
      <c r="EA63" s="93"/>
      <c r="EB63" s="93"/>
    </row>
    <row r="64" spans="1:132" s="277" customFormat="1" ht="12" customHeight="1">
      <c r="A64" s="74"/>
      <c r="B64" s="74" t="s">
        <v>63</v>
      </c>
      <c r="C64" s="71">
        <f t="shared" ref="C64:AA64" si="301">SUM(C55:C63)</f>
        <v>38024</v>
      </c>
      <c r="D64" s="71">
        <f t="shared" si="301"/>
        <v>36672</v>
      </c>
      <c r="E64" s="71">
        <f t="shared" si="301"/>
        <v>36147</v>
      </c>
      <c r="F64" s="71">
        <f t="shared" si="301"/>
        <v>42028</v>
      </c>
      <c r="G64" s="71">
        <f t="shared" si="301"/>
        <v>48343</v>
      </c>
      <c r="H64" s="71">
        <f t="shared" si="301"/>
        <v>52342</v>
      </c>
      <c r="I64" s="71">
        <f t="shared" si="301"/>
        <v>53035</v>
      </c>
      <c r="J64" s="72">
        <f t="shared" si="301"/>
        <v>53800</v>
      </c>
      <c r="K64" s="72">
        <f t="shared" si="301"/>
        <v>54283</v>
      </c>
      <c r="L64" s="72">
        <f t="shared" si="301"/>
        <v>55388</v>
      </c>
      <c r="M64" s="72">
        <f t="shared" si="267"/>
        <v>53963</v>
      </c>
      <c r="N64" s="71">
        <f t="shared" si="301"/>
        <v>53963</v>
      </c>
      <c r="O64" s="72">
        <f t="shared" si="301"/>
        <v>56714</v>
      </c>
      <c r="P64" s="72">
        <f t="shared" si="301"/>
        <v>56494</v>
      </c>
      <c r="Q64" s="72">
        <f t="shared" si="301"/>
        <v>58318</v>
      </c>
      <c r="R64" s="72">
        <f t="shared" si="268"/>
        <v>60058</v>
      </c>
      <c r="S64" s="71">
        <f t="shared" si="301"/>
        <v>60058</v>
      </c>
      <c r="T64" s="72">
        <f t="shared" si="301"/>
        <v>61408</v>
      </c>
      <c r="U64" s="72">
        <f t="shared" si="301"/>
        <v>61269</v>
      </c>
      <c r="V64" s="72">
        <f t="shared" si="301"/>
        <v>61458</v>
      </c>
      <c r="W64" s="72">
        <f t="shared" si="269"/>
        <v>51794</v>
      </c>
      <c r="X64" s="71">
        <f t="shared" si="301"/>
        <v>51794</v>
      </c>
      <c r="Y64" s="72">
        <f t="shared" si="301"/>
        <v>51556</v>
      </c>
      <c r="Z64" s="72">
        <f t="shared" si="301"/>
        <v>53886</v>
      </c>
      <c r="AA64" s="72">
        <f t="shared" si="301"/>
        <v>54787</v>
      </c>
      <c r="AB64" s="72">
        <f t="shared" si="270"/>
        <v>58986</v>
      </c>
      <c r="AC64" s="71">
        <f>SUM(AC55:AC63)</f>
        <v>58986</v>
      </c>
      <c r="AD64" s="72">
        <f>SUM(AD55:AD63)</f>
        <v>60360</v>
      </c>
      <c r="AE64" s="72">
        <f>SUM(AE55:AE63)</f>
        <v>58510</v>
      </c>
      <c r="AF64" s="72">
        <f>SUM(AF55:AF63)</f>
        <v>56519</v>
      </c>
      <c r="AG64" s="72">
        <f t="shared" si="271"/>
        <v>53779</v>
      </c>
      <c r="AH64" s="71">
        <f t="shared" ref="AH64:DF64" si="302">SUM(AH55:AH63)</f>
        <v>53779</v>
      </c>
      <c r="AI64" s="72">
        <f t="shared" si="302"/>
        <v>55340</v>
      </c>
      <c r="AJ64" s="72">
        <f t="shared" si="302"/>
        <v>57712</v>
      </c>
      <c r="AK64" s="72">
        <f t="shared" si="302"/>
        <v>58667</v>
      </c>
      <c r="AL64" s="72">
        <f t="shared" si="302"/>
        <v>62053</v>
      </c>
      <c r="AM64" s="71">
        <f t="shared" si="302"/>
        <v>62053</v>
      </c>
      <c r="AN64" s="72">
        <f t="shared" si="302"/>
        <v>62970</v>
      </c>
      <c r="AO64" s="72">
        <f t="shared" si="302"/>
        <v>63755</v>
      </c>
      <c r="AP64" s="72">
        <f t="shared" si="302"/>
        <v>65222</v>
      </c>
      <c r="AQ64" s="72">
        <f t="shared" si="302"/>
        <v>68565</v>
      </c>
      <c r="AR64" s="71">
        <f>SUM(AR55:AR63)</f>
        <v>68565</v>
      </c>
      <c r="AS64" s="72">
        <f t="shared" si="302"/>
        <v>68760</v>
      </c>
      <c r="AT64" s="72">
        <f t="shared" si="302"/>
        <v>72119</v>
      </c>
      <c r="AU64" s="90">
        <f t="shared" si="302"/>
        <v>74163</v>
      </c>
      <c r="AV64" s="72">
        <f t="shared" si="302"/>
        <v>79986</v>
      </c>
      <c r="AW64" s="71">
        <f>SUM(AW55:AW63)</f>
        <v>79986</v>
      </c>
      <c r="AX64" s="72">
        <f t="shared" si="302"/>
        <v>80205</v>
      </c>
      <c r="AY64" s="72">
        <f t="shared" si="302"/>
        <v>81595</v>
      </c>
      <c r="AZ64" s="72">
        <f t="shared" si="302"/>
        <v>83654</v>
      </c>
      <c r="BA64" s="72">
        <f t="shared" si="302"/>
        <v>88896</v>
      </c>
      <c r="BB64" s="71">
        <f>SUM(BB55:BB63)</f>
        <v>88896</v>
      </c>
      <c r="BC64" s="72">
        <f t="shared" si="302"/>
        <v>90447</v>
      </c>
      <c r="BD64" s="72">
        <f t="shared" si="302"/>
        <v>92091</v>
      </c>
      <c r="BE64" s="72">
        <f t="shared" si="302"/>
        <v>94633</v>
      </c>
      <c r="BF64" s="72">
        <f t="shared" si="302"/>
        <v>92663</v>
      </c>
      <c r="BG64" s="71">
        <f>SUM(BG55:BG63)</f>
        <v>92663</v>
      </c>
      <c r="BH64" s="72">
        <f t="shared" si="302"/>
        <v>91575</v>
      </c>
      <c r="BI64" s="597">
        <f t="shared" si="302"/>
        <v>92737</v>
      </c>
      <c r="BJ64" s="597">
        <f t="shared" si="302"/>
        <v>92653</v>
      </c>
      <c r="BK64" s="597">
        <f t="shared" si="302"/>
        <v>99198</v>
      </c>
      <c r="BL64" s="71">
        <f>SUM(BL55:BL63)</f>
        <v>99198</v>
      </c>
      <c r="BM64" s="597">
        <f t="shared" si="302"/>
        <v>97775</v>
      </c>
      <c r="BN64" s="597">
        <f t="shared" si="302"/>
        <v>98102</v>
      </c>
      <c r="BO64" s="597">
        <f t="shared" si="302"/>
        <v>98998</v>
      </c>
      <c r="BP64" s="597">
        <f t="shared" si="302"/>
        <v>94408</v>
      </c>
      <c r="BQ64" s="71">
        <f>SUM(BQ55:BQ63)</f>
        <v>94408</v>
      </c>
      <c r="BR64" s="597">
        <f t="shared" si="302"/>
        <v>91547</v>
      </c>
      <c r="BS64" s="597">
        <f t="shared" si="302"/>
        <v>89609</v>
      </c>
      <c r="BT64" s="597">
        <f t="shared" si="302"/>
        <v>88950</v>
      </c>
      <c r="BU64" s="597">
        <f t="shared" si="302"/>
        <v>89997</v>
      </c>
      <c r="BV64" s="71">
        <f>SUM(BV55:BV63)</f>
        <v>89997</v>
      </c>
      <c r="BW64" s="597">
        <f t="shared" si="302"/>
        <v>89673</v>
      </c>
      <c r="BX64" s="597">
        <f t="shared" si="302"/>
        <v>90036</v>
      </c>
      <c r="BY64" s="597">
        <f t="shared" si="302"/>
        <v>91007</v>
      </c>
      <c r="BZ64" s="597">
        <f t="shared" si="302"/>
        <v>92333</v>
      </c>
      <c r="CA64" s="71">
        <f>SUM(CA55:CA63)</f>
        <v>92333</v>
      </c>
      <c r="CB64" s="597">
        <f t="shared" si="302"/>
        <v>113549</v>
      </c>
      <c r="CC64" s="597">
        <f t="shared" si="302"/>
        <v>113195</v>
      </c>
      <c r="CD64" s="597">
        <f t="shared" si="302"/>
        <v>114659</v>
      </c>
      <c r="CE64" s="597">
        <f t="shared" si="302"/>
        <v>117359</v>
      </c>
      <c r="CF64" s="71">
        <f>SUM(CF55:CF63)</f>
        <v>117359</v>
      </c>
      <c r="CG64" s="597">
        <f t="shared" si="302"/>
        <v>120209</v>
      </c>
      <c r="CH64" s="597">
        <f t="shared" si="302"/>
        <v>126261</v>
      </c>
      <c r="CI64" s="597">
        <f t="shared" si="302"/>
        <v>132598</v>
      </c>
      <c r="CJ64" s="597">
        <f t="shared" si="302"/>
        <v>133625</v>
      </c>
      <c r="CK64" s="71">
        <f>SUM(CK55:CK63)</f>
        <v>133625</v>
      </c>
      <c r="CL64" s="597">
        <f t="shared" si="302"/>
        <v>143075</v>
      </c>
      <c r="CM64" s="597">
        <f t="shared" si="302"/>
        <v>162872</v>
      </c>
      <c r="CN64" s="597">
        <f t="shared" si="302"/>
        <v>161261</v>
      </c>
      <c r="CO64" s="597">
        <f t="shared" si="302"/>
        <v>152136</v>
      </c>
      <c r="CP64" s="71">
        <f>SUM(CP55:CP63)</f>
        <v>152136</v>
      </c>
      <c r="CQ64" s="597">
        <f t="shared" si="302"/>
        <v>150035</v>
      </c>
      <c r="CR64" s="597">
        <f t="shared" si="302"/>
        <v>148935</v>
      </c>
      <c r="CS64" s="597">
        <f t="shared" si="302"/>
        <v>146846</v>
      </c>
      <c r="CT64" s="597">
        <f t="shared" si="302"/>
        <v>138552</v>
      </c>
      <c r="CU64" s="71">
        <f>SUM(CU55:CU63)</f>
        <v>138552</v>
      </c>
      <c r="CV64" s="597">
        <f t="shared" si="302"/>
        <v>135801</v>
      </c>
      <c r="CW64" s="597">
        <f t="shared" si="302"/>
        <v>135479</v>
      </c>
      <c r="CX64" s="597">
        <f t="shared" si="302"/>
        <v>137558</v>
      </c>
      <c r="CY64" s="597">
        <f t="shared" si="302"/>
        <v>137100</v>
      </c>
      <c r="CZ64" s="71">
        <f>SUM(CZ55:CZ63)</f>
        <v>137100</v>
      </c>
      <c r="DA64" s="597">
        <f t="shared" si="302"/>
        <v>136347</v>
      </c>
      <c r="DB64" s="597">
        <f t="shared" si="302"/>
        <v>134774</v>
      </c>
      <c r="DC64" s="597">
        <f t="shared" si="302"/>
        <v>134281</v>
      </c>
      <c r="DD64" s="597">
        <f t="shared" si="302"/>
        <v>137012</v>
      </c>
      <c r="DE64" s="71">
        <f>SUM(DE55:DE63)</f>
        <v>137012</v>
      </c>
      <c r="DF64" s="597">
        <f t="shared" si="302"/>
        <v>134484</v>
      </c>
      <c r="DG64" s="597">
        <f t="shared" ref="DG64:DI64" si="303">SUM(DG55:DG63)</f>
        <v>142720</v>
      </c>
      <c r="DH64" s="1065">
        <f t="shared" si="303"/>
        <v>137695</v>
      </c>
      <c r="DI64" s="597">
        <f t="shared" si="303"/>
        <v>156363</v>
      </c>
      <c r="DJ64" s="71">
        <f>SUM(DJ55:DJ63)</f>
        <v>156363</v>
      </c>
      <c r="DK64" s="597">
        <f t="shared" ref="DK64:DN64" si="304">SUM(DK55:DK63)</f>
        <v>156494</v>
      </c>
      <c r="DL64" s="597">
        <f t="shared" si="304"/>
        <v>155120</v>
      </c>
      <c r="DM64" s="597">
        <f t="shared" si="304"/>
        <v>150023</v>
      </c>
      <c r="DN64" s="597">
        <f t="shared" si="304"/>
        <v>168235</v>
      </c>
      <c r="DO64" s="71">
        <f>SUM(DO55:DO63)</f>
        <v>168235</v>
      </c>
      <c r="DP64" s="597">
        <f t="shared" ref="DP64:DQ64" si="305">SUM(DP55:DP63)</f>
        <v>164787</v>
      </c>
      <c r="DQ64" s="1065">
        <f t="shared" si="305"/>
        <v>165870</v>
      </c>
      <c r="DS64" s="597"/>
      <c r="DT64" s="85"/>
      <c r="DU64" s="597"/>
      <c r="DX64" s="597"/>
      <c r="DY64" s="85"/>
      <c r="DZ64" s="85"/>
      <c r="EA64" s="85"/>
      <c r="EB64" s="85"/>
    </row>
    <row r="65" spans="1:132" s="105" customFormat="1" ht="12" customHeight="1">
      <c r="A65" s="68"/>
      <c r="B65" s="68"/>
      <c r="C65" s="76"/>
      <c r="D65" s="76"/>
      <c r="E65" s="76"/>
      <c r="F65" s="76"/>
      <c r="G65" s="76"/>
      <c r="H65" s="76"/>
      <c r="I65" s="76"/>
      <c r="J65" s="77"/>
      <c r="K65" s="77"/>
      <c r="L65" s="77"/>
      <c r="M65" s="77"/>
      <c r="N65" s="76"/>
      <c r="O65" s="77"/>
      <c r="P65" s="77"/>
      <c r="Q65" s="77"/>
      <c r="R65" s="77"/>
      <c r="S65" s="76"/>
      <c r="T65" s="77"/>
      <c r="U65" s="77"/>
      <c r="V65" s="77"/>
      <c r="W65" s="77"/>
      <c r="X65" s="76"/>
      <c r="Y65" s="77"/>
      <c r="Z65" s="77"/>
      <c r="AA65" s="77"/>
      <c r="AB65" s="77"/>
      <c r="AC65" s="76"/>
      <c r="AD65" s="77"/>
      <c r="AE65" s="77"/>
      <c r="AF65" s="77"/>
      <c r="AG65" s="77"/>
      <c r="AH65" s="76"/>
      <c r="AI65" s="77"/>
      <c r="AJ65" s="77"/>
      <c r="AK65" s="77"/>
      <c r="AL65" s="77"/>
      <c r="AM65" s="76"/>
      <c r="AN65" s="77"/>
      <c r="AO65" s="77"/>
      <c r="AP65" s="77"/>
      <c r="AQ65" s="77"/>
      <c r="AR65" s="76"/>
      <c r="AS65" s="77"/>
      <c r="AT65" s="77"/>
      <c r="AU65" s="77"/>
      <c r="AV65" s="77"/>
      <c r="AW65" s="76"/>
      <c r="AX65" s="77"/>
      <c r="AY65" s="77"/>
      <c r="AZ65" s="77"/>
      <c r="BA65" s="77"/>
      <c r="BB65" s="76"/>
      <c r="BC65" s="77"/>
      <c r="BD65" s="77"/>
      <c r="BE65" s="77"/>
      <c r="BF65" s="77"/>
      <c r="BG65" s="76"/>
      <c r="BH65" s="77"/>
      <c r="BI65" s="693"/>
      <c r="BJ65" s="77"/>
      <c r="BK65" s="77"/>
      <c r="BL65" s="76"/>
      <c r="BM65" s="77"/>
      <c r="BN65" s="693"/>
      <c r="BO65" s="77"/>
      <c r="BP65" s="77"/>
      <c r="BQ65" s="76"/>
      <c r="BR65" s="77"/>
      <c r="BS65" s="693"/>
      <c r="BT65" s="77"/>
      <c r="BU65" s="77"/>
      <c r="BV65" s="76"/>
      <c r="BW65" s="77"/>
      <c r="BX65" s="693"/>
      <c r="BY65" s="77"/>
      <c r="BZ65" s="77"/>
      <c r="CA65" s="76"/>
      <c r="CB65" s="77"/>
      <c r="CC65" s="693"/>
      <c r="CD65" s="77"/>
      <c r="CE65" s="77"/>
      <c r="CF65" s="76"/>
      <c r="CG65" s="693"/>
      <c r="CH65" s="693"/>
      <c r="CI65" s="693"/>
      <c r="CJ65" s="693"/>
      <c r="CK65" s="76"/>
      <c r="CL65" s="77"/>
      <c r="CM65" s="77"/>
      <c r="CN65" s="77"/>
      <c r="CO65" s="77"/>
      <c r="CP65" s="76"/>
      <c r="CQ65" s="77"/>
      <c r="CR65" s="77"/>
      <c r="CS65" s="77"/>
      <c r="CT65" s="77"/>
      <c r="CU65" s="76"/>
      <c r="CV65" s="77"/>
      <c r="CW65" s="77"/>
      <c r="CX65" s="77"/>
      <c r="CY65" s="77"/>
      <c r="CZ65" s="76"/>
      <c r="DA65" s="77"/>
      <c r="DB65" s="77"/>
      <c r="DC65" s="77"/>
      <c r="DD65" s="77"/>
      <c r="DE65" s="76"/>
      <c r="DF65" s="77"/>
      <c r="DG65" s="16"/>
      <c r="DH65" s="593"/>
      <c r="DI65" s="77"/>
      <c r="DJ65" s="76"/>
      <c r="DK65" s="77"/>
      <c r="DL65" s="16"/>
      <c r="DM65" s="77"/>
      <c r="DN65" s="77"/>
      <c r="DO65" s="76"/>
      <c r="DP65" s="77"/>
      <c r="DQ65" s="103"/>
      <c r="DS65" s="77"/>
      <c r="DT65" s="93"/>
      <c r="DU65" s="77"/>
      <c r="DX65" s="77"/>
      <c r="DY65" s="93"/>
      <c r="DZ65" s="93"/>
      <c r="EA65" s="93"/>
      <c r="EB65" s="93"/>
    </row>
    <row r="66" spans="1:132" s="105" customFormat="1" ht="12" customHeight="1">
      <c r="A66" s="68"/>
      <c r="B66" s="74" t="s">
        <v>64</v>
      </c>
      <c r="C66" s="76"/>
      <c r="D66" s="76"/>
      <c r="E66" s="76"/>
      <c r="F66" s="76"/>
      <c r="G66" s="76"/>
      <c r="H66" s="76"/>
      <c r="I66" s="76"/>
      <c r="J66" s="77"/>
      <c r="K66" s="77"/>
      <c r="L66" s="77"/>
      <c r="M66" s="77"/>
      <c r="N66" s="76"/>
      <c r="O66" s="77"/>
      <c r="P66" s="77"/>
      <c r="Q66" s="77"/>
      <c r="R66" s="77"/>
      <c r="S66" s="76"/>
      <c r="T66" s="77"/>
      <c r="U66" s="77"/>
      <c r="V66" s="77"/>
      <c r="W66" s="77"/>
      <c r="X66" s="76"/>
      <c r="Y66" s="77"/>
      <c r="Z66" s="77"/>
      <c r="AA66" s="77"/>
      <c r="AB66" s="77"/>
      <c r="AC66" s="76"/>
      <c r="AD66" s="77"/>
      <c r="AE66" s="77"/>
      <c r="AF66" s="77"/>
      <c r="AG66" s="77"/>
      <c r="AH66" s="76"/>
      <c r="AI66" s="77"/>
      <c r="AJ66" s="77"/>
      <c r="AK66" s="77"/>
      <c r="AL66" s="77"/>
      <c r="AM66" s="76"/>
      <c r="AN66" s="77"/>
      <c r="AO66" s="77"/>
      <c r="AP66" s="77"/>
      <c r="AQ66" s="77"/>
      <c r="AR66" s="76"/>
      <c r="AS66" s="77"/>
      <c r="AT66" s="77"/>
      <c r="AU66" s="77"/>
      <c r="AV66" s="77"/>
      <c r="AW66" s="76"/>
      <c r="AX66" s="77"/>
      <c r="AY66" s="77"/>
      <c r="AZ66" s="594"/>
      <c r="BA66" s="594"/>
      <c r="BB66" s="595"/>
      <c r="BC66" s="594"/>
      <c r="BD66" s="594"/>
      <c r="BE66" s="594"/>
      <c r="BF66" s="594"/>
      <c r="BG66" s="595"/>
      <c r="BH66" s="594"/>
      <c r="BI66" s="693"/>
      <c r="BJ66" s="594"/>
      <c r="BK66" s="594"/>
      <c r="BL66" s="595"/>
      <c r="BM66" s="594"/>
      <c r="BN66" s="693"/>
      <c r="BO66" s="594"/>
      <c r="BP66" s="594"/>
      <c r="BQ66" s="595"/>
      <c r="BR66" s="594"/>
      <c r="BS66" s="693"/>
      <c r="BT66" s="594"/>
      <c r="BU66" s="594"/>
      <c r="BV66" s="595"/>
      <c r="BW66" s="594"/>
      <c r="BX66" s="693"/>
      <c r="BY66" s="594"/>
      <c r="BZ66" s="594"/>
      <c r="CA66" s="595"/>
      <c r="CB66" s="594"/>
      <c r="CC66" s="693"/>
      <c r="CD66" s="594"/>
      <c r="CE66" s="594"/>
      <c r="CF66" s="595"/>
      <c r="CG66" s="693"/>
      <c r="CH66" s="693"/>
      <c r="CI66" s="693"/>
      <c r="CJ66" s="693"/>
      <c r="CK66" s="595"/>
      <c r="CL66" s="594"/>
      <c r="CM66" s="594"/>
      <c r="CN66" s="594"/>
      <c r="CO66" s="594"/>
      <c r="CP66" s="595"/>
      <c r="CQ66" s="594"/>
      <c r="CR66" s="594"/>
      <c r="CS66" s="594"/>
      <c r="CT66" s="594"/>
      <c r="CU66" s="595"/>
      <c r="CV66" s="594"/>
      <c r="CW66" s="594"/>
      <c r="CX66" s="594"/>
      <c r="CY66" s="594"/>
      <c r="CZ66" s="595"/>
      <c r="DA66" s="594"/>
      <c r="DB66" s="594"/>
      <c r="DC66" s="594"/>
      <c r="DD66" s="594"/>
      <c r="DE66" s="595"/>
      <c r="DF66" s="594"/>
      <c r="DG66" s="693"/>
      <c r="DH66" s="703"/>
      <c r="DI66" s="594"/>
      <c r="DJ66" s="595"/>
      <c r="DK66" s="594"/>
      <c r="DL66" s="693"/>
      <c r="DM66" s="594"/>
      <c r="DN66" s="594"/>
      <c r="DO66" s="595"/>
      <c r="DP66" s="594"/>
      <c r="DQ66" s="1110"/>
      <c r="DS66" s="594"/>
      <c r="DT66" s="93"/>
      <c r="DU66" s="594"/>
      <c r="DX66" s="594"/>
      <c r="DY66" s="93"/>
      <c r="DZ66" s="93"/>
      <c r="EA66" s="93"/>
      <c r="EB66" s="93"/>
    </row>
    <row r="67" spans="1:132" s="105" customFormat="1" ht="12" customHeight="1">
      <c r="A67" s="68"/>
      <c r="B67" s="804" t="s">
        <v>263</v>
      </c>
      <c r="C67" s="76">
        <v>11548</v>
      </c>
      <c r="D67" s="76">
        <v>10733</v>
      </c>
      <c r="E67" s="76">
        <v>11269</v>
      </c>
      <c r="F67" s="76">
        <v>11979</v>
      </c>
      <c r="G67" s="76">
        <v>13872</v>
      </c>
      <c r="H67" s="76">
        <v>13739</v>
      </c>
      <c r="I67" s="76">
        <v>13563</v>
      </c>
      <c r="J67" s="77">
        <v>13514</v>
      </c>
      <c r="K67" s="77">
        <v>14198</v>
      </c>
      <c r="L67" s="77">
        <v>14971</v>
      </c>
      <c r="M67" s="77">
        <f t="shared" ref="M67:M89" si="306">N67</f>
        <v>14869</v>
      </c>
      <c r="N67" s="76">
        <v>14869</v>
      </c>
      <c r="O67" s="77">
        <v>15338</v>
      </c>
      <c r="P67" s="77">
        <v>15939</v>
      </c>
      <c r="Q67" s="77">
        <v>16912</v>
      </c>
      <c r="R67" s="77">
        <f t="shared" ref="R67:R89" si="307">S67</f>
        <v>16513</v>
      </c>
      <c r="S67" s="76">
        <v>16513</v>
      </c>
      <c r="T67" s="77">
        <v>16719</v>
      </c>
      <c r="U67" s="77">
        <v>17847</v>
      </c>
      <c r="V67" s="77">
        <v>16741</v>
      </c>
      <c r="W67" s="77">
        <f t="shared" ref="W67:W89" si="308">X67</f>
        <v>16201</v>
      </c>
      <c r="X67" s="76">
        <v>16201</v>
      </c>
      <c r="Y67" s="77">
        <v>15921</v>
      </c>
      <c r="Z67" s="77">
        <v>17174</v>
      </c>
      <c r="AA67" s="77">
        <v>16536</v>
      </c>
      <c r="AB67" s="77">
        <f t="shared" ref="AB67:AB89" si="309">AC67</f>
        <v>16676</v>
      </c>
      <c r="AC67" s="76">
        <v>16676</v>
      </c>
      <c r="AD67" s="77">
        <v>17336</v>
      </c>
      <c r="AE67" s="77">
        <v>17431</v>
      </c>
      <c r="AF67" s="77">
        <v>16427</v>
      </c>
      <c r="AG67" s="77">
        <f t="shared" ref="AG67:AG89" si="310">AH67</f>
        <v>17587</v>
      </c>
      <c r="AH67" s="76">
        <v>17587</v>
      </c>
      <c r="AI67" s="77">
        <v>17553</v>
      </c>
      <c r="AJ67" s="77">
        <f>6664</f>
        <v>6664</v>
      </c>
      <c r="AK67" s="77">
        <f>7053</f>
        <v>7053</v>
      </c>
      <c r="AL67" s="77">
        <f>7096</f>
        <v>7096</v>
      </c>
      <c r="AM67" s="76">
        <f t="shared" ref="AM67:AM72" si="311">AL67</f>
        <v>7096</v>
      </c>
      <c r="AN67" s="77">
        <f>7469</f>
        <v>7469</v>
      </c>
      <c r="AO67" s="77">
        <f>6960</f>
        <v>6960</v>
      </c>
      <c r="AP67" s="77">
        <f>7563</f>
        <v>7563</v>
      </c>
      <c r="AQ67" s="77">
        <f>7715</f>
        <v>7715</v>
      </c>
      <c r="AR67" s="76">
        <f t="shared" ref="AR67:AR72" si="312">AQ67</f>
        <v>7715</v>
      </c>
      <c r="AS67" s="77">
        <f>8304</f>
        <v>8304</v>
      </c>
      <c r="AT67" s="77">
        <f>8262</f>
        <v>8262</v>
      </c>
      <c r="AU67" s="554">
        <f>8502</f>
        <v>8502</v>
      </c>
      <c r="AV67" s="77">
        <f>8406</f>
        <v>8406</v>
      </c>
      <c r="AW67" s="76">
        <f t="shared" ref="AW67:AW72" si="313">AV67</f>
        <v>8406</v>
      </c>
      <c r="AX67" s="77">
        <f>9041</f>
        <v>9041</v>
      </c>
      <c r="AY67" s="77">
        <f>9273</f>
        <v>9273</v>
      </c>
      <c r="AZ67" s="594">
        <f>9152</f>
        <v>9152</v>
      </c>
      <c r="BA67" s="594">
        <f>9394</f>
        <v>9394</v>
      </c>
      <c r="BB67" s="595">
        <f t="shared" ref="BB67:BB72" si="314">BA67</f>
        <v>9394</v>
      </c>
      <c r="BC67" s="594">
        <f>9876</f>
        <v>9876</v>
      </c>
      <c r="BD67" s="594">
        <f>10437</f>
        <v>10437</v>
      </c>
      <c r="BE67" s="594">
        <f>10657</f>
        <v>10657</v>
      </c>
      <c r="BF67" s="594">
        <f>9498</f>
        <v>9498</v>
      </c>
      <c r="BG67" s="595">
        <f t="shared" ref="BG67:BG72" si="315">BF67</f>
        <v>9498</v>
      </c>
      <c r="BH67" s="594">
        <f>10779</f>
        <v>10779</v>
      </c>
      <c r="BI67" s="693">
        <f>11060</f>
        <v>11060</v>
      </c>
      <c r="BJ67" s="594">
        <f>11136</f>
        <v>11136</v>
      </c>
      <c r="BK67" s="594">
        <f>10667</f>
        <v>10667</v>
      </c>
      <c r="BL67" s="595">
        <f t="shared" ref="BL67:BL72" si="316">BK67</f>
        <v>10667</v>
      </c>
      <c r="BM67" s="594">
        <f>11497</f>
        <v>11497</v>
      </c>
      <c r="BN67" s="693">
        <f>11531</f>
        <v>11531</v>
      </c>
      <c r="BO67" s="693">
        <f>11777</f>
        <v>11777</v>
      </c>
      <c r="BP67" s="594">
        <f>10800</f>
        <v>10800</v>
      </c>
      <c r="BQ67" s="595">
        <f t="shared" ref="BQ67:BQ72" si="317">BP67</f>
        <v>10800</v>
      </c>
      <c r="BR67" s="594">
        <f>11558</f>
        <v>11558</v>
      </c>
      <c r="BS67" s="693">
        <f>11748</f>
        <v>11748</v>
      </c>
      <c r="BT67" s="594">
        <v>11968</v>
      </c>
      <c r="BU67" s="594">
        <v>11190</v>
      </c>
      <c r="BV67" s="595">
        <f t="shared" ref="BV67:BV72" si="318">BU67</f>
        <v>11190</v>
      </c>
      <c r="BW67" s="594">
        <v>11964</v>
      </c>
      <c r="BX67" s="693">
        <v>12093</v>
      </c>
      <c r="BY67" s="594">
        <v>12718</v>
      </c>
      <c r="BZ67" s="594">
        <v>12202</v>
      </c>
      <c r="CA67" s="595">
        <f t="shared" ref="CA67:CA72" si="319">BZ67</f>
        <v>12202</v>
      </c>
      <c r="CB67" s="594">
        <v>12613</v>
      </c>
      <c r="CC67" s="693">
        <v>12904</v>
      </c>
      <c r="CD67" s="594">
        <v>13663</v>
      </c>
      <c r="CE67" s="594">
        <v>12916</v>
      </c>
      <c r="CF67" s="595">
        <f t="shared" ref="CF67:CF71" si="320">CE67</f>
        <v>12916</v>
      </c>
      <c r="CG67" s="693">
        <v>14693</v>
      </c>
      <c r="CH67" s="693">
        <v>15267</v>
      </c>
      <c r="CI67" s="693">
        <v>15101</v>
      </c>
      <c r="CJ67" s="693">
        <v>15553</v>
      </c>
      <c r="CK67" s="595">
        <f t="shared" ref="CK67:CK71" si="321">CJ67</f>
        <v>15553</v>
      </c>
      <c r="CL67" s="594">
        <v>14963</v>
      </c>
      <c r="CM67" s="594">
        <v>13700</v>
      </c>
      <c r="CN67" s="594">
        <v>14479</v>
      </c>
      <c r="CO67" s="594">
        <v>12928</v>
      </c>
      <c r="CP67" s="595">
        <f t="shared" ref="CP67:CP71" si="322">CO67</f>
        <v>12928</v>
      </c>
      <c r="CQ67" s="594">
        <v>12410</v>
      </c>
      <c r="CR67" s="594">
        <v>11450</v>
      </c>
      <c r="CS67" s="594">
        <v>10151</v>
      </c>
      <c r="CT67" s="594">
        <v>9261</v>
      </c>
      <c r="CU67" s="595">
        <f t="shared" ref="CU67:CU71" si="323">CT67</f>
        <v>9261</v>
      </c>
      <c r="CV67" s="594">
        <v>8779</v>
      </c>
      <c r="CW67" s="594">
        <v>9575</v>
      </c>
      <c r="CX67" s="594">
        <v>9793</v>
      </c>
      <c r="CY67" s="594">
        <v>10200</v>
      </c>
      <c r="CZ67" s="595">
        <f t="shared" ref="CZ67:CZ71" si="324">CY67</f>
        <v>10200</v>
      </c>
      <c r="DA67" s="594">
        <v>10274</v>
      </c>
      <c r="DB67" s="594">
        <v>10936</v>
      </c>
      <c r="DC67" s="594">
        <v>11143</v>
      </c>
      <c r="DD67" s="594">
        <v>11964</v>
      </c>
      <c r="DE67" s="595">
        <f t="shared" ref="DE67:DE71" si="325">DD67</f>
        <v>11964</v>
      </c>
      <c r="DF67" s="594">
        <v>11616</v>
      </c>
      <c r="DG67" s="693">
        <v>11864</v>
      </c>
      <c r="DH67" s="703">
        <v>12267</v>
      </c>
      <c r="DI67" s="1077">
        <v>11364</v>
      </c>
      <c r="DJ67" s="595">
        <f t="shared" ref="DJ67:DJ69" si="326">DI67</f>
        <v>11364</v>
      </c>
      <c r="DK67" s="1077">
        <v>11034</v>
      </c>
      <c r="DL67" s="1077">
        <v>11238</v>
      </c>
      <c r="DM67" s="1077">
        <v>11732</v>
      </c>
      <c r="DN67" s="1077">
        <v>13109</v>
      </c>
      <c r="DO67" s="595">
        <f t="shared" ref="DO67:DO69" si="327">DN67</f>
        <v>13109</v>
      </c>
      <c r="DP67" s="1077">
        <v>13713</v>
      </c>
      <c r="DQ67" s="1111">
        <v>14346</v>
      </c>
      <c r="DS67" s="594"/>
      <c r="DT67" s="93"/>
      <c r="DU67" s="1077"/>
      <c r="DX67" s="594"/>
      <c r="DY67" s="93"/>
      <c r="DZ67" s="93"/>
      <c r="EA67" s="93"/>
      <c r="EB67" s="93"/>
    </row>
    <row r="68" spans="1:132" s="105" customFormat="1" ht="12" customHeight="1">
      <c r="A68" s="68"/>
      <c r="B68" s="804" t="s">
        <v>498</v>
      </c>
      <c r="C68" s="802"/>
      <c r="D68" s="802"/>
      <c r="E68" s="802"/>
      <c r="F68" s="802"/>
      <c r="G68" s="802"/>
      <c r="H68" s="802"/>
      <c r="I68" s="802"/>
      <c r="J68" s="77"/>
      <c r="K68" s="77"/>
      <c r="L68" s="77"/>
      <c r="M68" s="77"/>
      <c r="N68" s="802"/>
      <c r="O68" s="77"/>
      <c r="P68" s="77"/>
      <c r="Q68" s="77"/>
      <c r="R68" s="77"/>
      <c r="S68" s="802"/>
      <c r="T68" s="77"/>
      <c r="U68" s="77"/>
      <c r="V68" s="77"/>
      <c r="W68" s="77"/>
      <c r="X68" s="802"/>
      <c r="Y68" s="77"/>
      <c r="Z68" s="77"/>
      <c r="AA68" s="77"/>
      <c r="AB68" s="77"/>
      <c r="AC68" s="802"/>
      <c r="AD68" s="77"/>
      <c r="AE68" s="77"/>
      <c r="AF68" s="77"/>
      <c r="AG68" s="77"/>
      <c r="AH68" s="802"/>
      <c r="AI68" s="77"/>
      <c r="AJ68" s="77">
        <v>11821</v>
      </c>
      <c r="AK68" s="77">
        <v>12217</v>
      </c>
      <c r="AL68" s="77">
        <v>12822</v>
      </c>
      <c r="AM68" s="76">
        <f t="shared" si="311"/>
        <v>12822</v>
      </c>
      <c r="AN68" s="77">
        <v>12267</v>
      </c>
      <c r="AO68" s="77">
        <v>12899</v>
      </c>
      <c r="AP68" s="77">
        <v>12760</v>
      </c>
      <c r="AQ68" s="77">
        <v>13802</v>
      </c>
      <c r="AR68" s="76">
        <f t="shared" si="312"/>
        <v>13802</v>
      </c>
      <c r="AS68" s="77">
        <v>12835</v>
      </c>
      <c r="AT68" s="77">
        <v>13570</v>
      </c>
      <c r="AU68" s="554">
        <v>11213</v>
      </c>
      <c r="AV68" s="77">
        <v>12239</v>
      </c>
      <c r="AW68" s="76">
        <f t="shared" si="313"/>
        <v>12239</v>
      </c>
      <c r="AX68" s="77">
        <v>10943</v>
      </c>
      <c r="AY68" s="77">
        <v>11699</v>
      </c>
      <c r="AZ68" s="594">
        <v>11773</v>
      </c>
      <c r="BA68" s="594">
        <v>12995</v>
      </c>
      <c r="BB68" s="595">
        <f t="shared" si="314"/>
        <v>12995</v>
      </c>
      <c r="BC68" s="594">
        <v>11530</v>
      </c>
      <c r="BD68" s="594">
        <v>12412</v>
      </c>
      <c r="BE68" s="594">
        <v>12384</v>
      </c>
      <c r="BF68" s="594">
        <v>14131</v>
      </c>
      <c r="BG68" s="595">
        <f t="shared" si="315"/>
        <v>14131</v>
      </c>
      <c r="BH68" s="594">
        <v>12219</v>
      </c>
      <c r="BI68" s="693">
        <v>13222</v>
      </c>
      <c r="BJ68" s="594">
        <v>12677</v>
      </c>
      <c r="BK68" s="594">
        <v>13343</v>
      </c>
      <c r="BL68" s="595">
        <f t="shared" si="316"/>
        <v>13343</v>
      </c>
      <c r="BM68" s="594">
        <v>11958</v>
      </c>
      <c r="BN68" s="693">
        <v>13226</v>
      </c>
      <c r="BO68" s="693">
        <v>12770</v>
      </c>
      <c r="BP68" s="594">
        <v>14014</v>
      </c>
      <c r="BQ68" s="595">
        <f t="shared" si="317"/>
        <v>14014</v>
      </c>
      <c r="BR68" s="594">
        <v>12790</v>
      </c>
      <c r="BS68" s="693">
        <v>13534</v>
      </c>
      <c r="BT68" s="594">
        <v>13243</v>
      </c>
      <c r="BU68" s="594">
        <v>14691</v>
      </c>
      <c r="BV68" s="595">
        <f t="shared" si="318"/>
        <v>14691</v>
      </c>
      <c r="BW68" s="594">
        <v>13332</v>
      </c>
      <c r="BX68" s="693">
        <v>14294</v>
      </c>
      <c r="BY68" s="594">
        <v>14008</v>
      </c>
      <c r="BZ68" s="594">
        <v>15292</v>
      </c>
      <c r="CA68" s="595">
        <f t="shared" si="319"/>
        <v>15292</v>
      </c>
      <c r="CB68" s="594">
        <v>10983</v>
      </c>
      <c r="CC68" s="693">
        <v>12240</v>
      </c>
      <c r="CD68" s="594">
        <v>12869</v>
      </c>
      <c r="CE68" s="594">
        <v>14808</v>
      </c>
      <c r="CF68" s="595">
        <f t="shared" si="320"/>
        <v>14808</v>
      </c>
      <c r="CG68" s="693">
        <v>13007</v>
      </c>
      <c r="CH68" s="693">
        <v>20042</v>
      </c>
      <c r="CI68" s="693">
        <v>19224</v>
      </c>
      <c r="CJ68" s="693">
        <v>22868</v>
      </c>
      <c r="CK68" s="595">
        <f t="shared" si="321"/>
        <v>22868</v>
      </c>
      <c r="CL68" s="594">
        <v>21483</v>
      </c>
      <c r="CM68" s="594">
        <v>22493</v>
      </c>
      <c r="CN68" s="594">
        <v>22220</v>
      </c>
      <c r="CO68" s="594">
        <v>22171</v>
      </c>
      <c r="CP68" s="595">
        <f t="shared" si="322"/>
        <v>22171</v>
      </c>
      <c r="CQ68" s="594">
        <v>20553</v>
      </c>
      <c r="CR68" s="594">
        <v>19502</v>
      </c>
      <c r="CS68" s="594">
        <v>18974</v>
      </c>
      <c r="CT68" s="594">
        <v>18455</v>
      </c>
      <c r="CU68" s="595">
        <f t="shared" si="323"/>
        <v>18455</v>
      </c>
      <c r="CV68" s="594">
        <v>17864</v>
      </c>
      <c r="CW68" s="594">
        <v>17752</v>
      </c>
      <c r="CX68" s="594">
        <v>21217</v>
      </c>
      <c r="CY68" s="594">
        <v>21581</v>
      </c>
      <c r="CZ68" s="595">
        <f t="shared" si="324"/>
        <v>21581</v>
      </c>
      <c r="DA68" s="594">
        <v>20812</v>
      </c>
      <c r="DB68" s="594">
        <v>21221</v>
      </c>
      <c r="DC68" s="594">
        <v>21104</v>
      </c>
      <c r="DD68" s="594">
        <v>22331</v>
      </c>
      <c r="DE68" s="595">
        <f t="shared" si="325"/>
        <v>22331</v>
      </c>
      <c r="DF68" s="594">
        <v>21607</v>
      </c>
      <c r="DG68" s="693">
        <v>21850</v>
      </c>
      <c r="DH68" s="703">
        <v>22628</v>
      </c>
      <c r="DI68" s="1077">
        <v>24103</v>
      </c>
      <c r="DJ68" s="595">
        <f t="shared" si="326"/>
        <v>24103</v>
      </c>
      <c r="DK68" s="1077">
        <v>23576</v>
      </c>
      <c r="DL68" s="1077">
        <v>23508</v>
      </c>
      <c r="DM68" s="1077">
        <v>24364</v>
      </c>
      <c r="DN68" s="1077">
        <v>27141</v>
      </c>
      <c r="DO68" s="595">
        <f t="shared" si="327"/>
        <v>27141</v>
      </c>
      <c r="DP68" s="1077">
        <v>26388</v>
      </c>
      <c r="DQ68" s="1111">
        <v>26593</v>
      </c>
      <c r="DS68" s="594"/>
      <c r="DT68" s="803"/>
      <c r="DU68" s="1077"/>
      <c r="DX68" s="594"/>
      <c r="DY68" s="803"/>
      <c r="DZ68" s="803"/>
      <c r="EA68" s="803"/>
      <c r="EB68" s="803"/>
    </row>
    <row r="69" spans="1:132" s="105" customFormat="1" ht="12" customHeight="1">
      <c r="A69" s="68"/>
      <c r="B69" s="159" t="s">
        <v>65</v>
      </c>
      <c r="C69" s="76">
        <v>1575</v>
      </c>
      <c r="D69" s="76">
        <v>1251</v>
      </c>
      <c r="E69" s="76">
        <v>1215</v>
      </c>
      <c r="F69" s="76">
        <v>3517</v>
      </c>
      <c r="G69" s="76">
        <v>4306</v>
      </c>
      <c r="H69" s="76">
        <v>3123</v>
      </c>
      <c r="I69" s="76">
        <v>3464</v>
      </c>
      <c r="J69" s="77">
        <v>3705</v>
      </c>
      <c r="K69" s="77">
        <v>3473</v>
      </c>
      <c r="L69" s="77">
        <v>3904</v>
      </c>
      <c r="M69" s="77">
        <f t="shared" si="306"/>
        <v>4123</v>
      </c>
      <c r="N69" s="76">
        <v>4123</v>
      </c>
      <c r="O69" s="77">
        <v>6471</v>
      </c>
      <c r="P69" s="77">
        <v>6875</v>
      </c>
      <c r="Q69" s="77">
        <v>7869</v>
      </c>
      <c r="R69" s="77">
        <f t="shared" si="307"/>
        <v>9930</v>
      </c>
      <c r="S69" s="76">
        <v>9930</v>
      </c>
      <c r="T69" s="77">
        <v>10018</v>
      </c>
      <c r="U69" s="77">
        <v>10268</v>
      </c>
      <c r="V69" s="77">
        <v>10524</v>
      </c>
      <c r="W69" s="77">
        <f t="shared" si="308"/>
        <v>11449</v>
      </c>
      <c r="X69" s="76">
        <v>11449</v>
      </c>
      <c r="Y69" s="77">
        <v>11134</v>
      </c>
      <c r="Z69" s="77">
        <v>11546</v>
      </c>
      <c r="AA69" s="77">
        <v>12226</v>
      </c>
      <c r="AB69" s="77">
        <f t="shared" si="309"/>
        <v>13847</v>
      </c>
      <c r="AC69" s="76">
        <v>13847</v>
      </c>
      <c r="AD69" s="77">
        <v>13961</v>
      </c>
      <c r="AE69" s="77">
        <v>12682</v>
      </c>
      <c r="AF69" s="77">
        <v>11793</v>
      </c>
      <c r="AG69" s="77">
        <f t="shared" si="310"/>
        <v>12737</v>
      </c>
      <c r="AH69" s="76">
        <v>12737</v>
      </c>
      <c r="AI69" s="77">
        <v>11527</v>
      </c>
      <c r="AJ69" s="77">
        <v>11717</v>
      </c>
      <c r="AK69" s="77">
        <v>11792</v>
      </c>
      <c r="AL69" s="77">
        <v>12076</v>
      </c>
      <c r="AM69" s="76">
        <f t="shared" si="311"/>
        <v>12076</v>
      </c>
      <c r="AN69" s="77">
        <v>11857</v>
      </c>
      <c r="AO69" s="77">
        <v>12009</v>
      </c>
      <c r="AP69" s="77">
        <v>11844</v>
      </c>
      <c r="AQ69" s="77">
        <v>12323</v>
      </c>
      <c r="AR69" s="76">
        <f t="shared" si="312"/>
        <v>12323</v>
      </c>
      <c r="AS69" s="77">
        <v>12363</v>
      </c>
      <c r="AT69" s="77">
        <v>12948</v>
      </c>
      <c r="AU69" s="86">
        <v>14320</v>
      </c>
      <c r="AV69" s="77">
        <v>15496</v>
      </c>
      <c r="AW69" s="76">
        <f t="shared" si="313"/>
        <v>15496</v>
      </c>
      <c r="AX69" s="77">
        <v>15336</v>
      </c>
      <c r="AY69" s="77">
        <v>15344</v>
      </c>
      <c r="AZ69" s="594">
        <v>15619</v>
      </c>
      <c r="BA69" s="594">
        <v>16672</v>
      </c>
      <c r="BB69" s="595">
        <f t="shared" si="314"/>
        <v>16672</v>
      </c>
      <c r="BC69" s="594">
        <v>18505</v>
      </c>
      <c r="BD69" s="594">
        <v>18145</v>
      </c>
      <c r="BE69" s="594">
        <v>20216</v>
      </c>
      <c r="BF69" s="594">
        <v>20027</v>
      </c>
      <c r="BG69" s="595">
        <f t="shared" si="315"/>
        <v>20027</v>
      </c>
      <c r="BH69" s="594">
        <v>21112</v>
      </c>
      <c r="BI69" s="693">
        <v>21244</v>
      </c>
      <c r="BJ69" s="594">
        <v>21127</v>
      </c>
      <c r="BK69" s="594">
        <v>23175</v>
      </c>
      <c r="BL69" s="595">
        <f t="shared" si="316"/>
        <v>23175</v>
      </c>
      <c r="BM69" s="594">
        <v>22752</v>
      </c>
      <c r="BN69" s="693">
        <v>23373</v>
      </c>
      <c r="BO69" s="594">
        <v>23442</v>
      </c>
      <c r="BP69" s="594">
        <v>24364</v>
      </c>
      <c r="BQ69" s="595">
        <f t="shared" si="317"/>
        <v>24364</v>
      </c>
      <c r="BR69" s="594">
        <v>23926</v>
      </c>
      <c r="BS69" s="693">
        <v>23409</v>
      </c>
      <c r="BT69" s="594">
        <v>22646</v>
      </c>
      <c r="BU69" s="594">
        <v>23869</v>
      </c>
      <c r="BV69" s="595">
        <f t="shared" si="318"/>
        <v>23869</v>
      </c>
      <c r="BW69" s="594">
        <v>24118</v>
      </c>
      <c r="BX69" s="693">
        <v>25802</v>
      </c>
      <c r="BY69" s="594">
        <v>26695</v>
      </c>
      <c r="BZ69" s="594">
        <v>27440</v>
      </c>
      <c r="CA69" s="595">
        <f t="shared" si="319"/>
        <v>27440</v>
      </c>
      <c r="CB69" s="594">
        <v>49955</v>
      </c>
      <c r="CC69" s="693">
        <v>50970</v>
      </c>
      <c r="CD69" s="594">
        <v>51496</v>
      </c>
      <c r="CE69" s="594">
        <v>50676</v>
      </c>
      <c r="CF69" s="595">
        <f t="shared" si="320"/>
        <v>50676</v>
      </c>
      <c r="CG69" s="693">
        <v>52534</v>
      </c>
      <c r="CH69" s="693">
        <v>52523</v>
      </c>
      <c r="CI69" s="693">
        <v>53167</v>
      </c>
      <c r="CJ69" s="693">
        <v>51551</v>
      </c>
      <c r="CK69" s="595">
        <f t="shared" si="321"/>
        <v>51551</v>
      </c>
      <c r="CL69" s="594">
        <v>52883</v>
      </c>
      <c r="CM69" s="594">
        <v>53367</v>
      </c>
      <c r="CN69" s="594">
        <v>51974</v>
      </c>
      <c r="CO69" s="594">
        <v>50488</v>
      </c>
      <c r="CP69" s="595">
        <f t="shared" si="322"/>
        <v>50488</v>
      </c>
      <c r="CQ69" s="594">
        <v>50908</v>
      </c>
      <c r="CR69" s="594">
        <v>50738</v>
      </c>
      <c r="CS69" s="594">
        <v>51269</v>
      </c>
      <c r="CT69" s="594">
        <v>52980</v>
      </c>
      <c r="CU69" s="595">
        <f t="shared" si="323"/>
        <v>52980</v>
      </c>
      <c r="CV69" s="594">
        <v>52458</v>
      </c>
      <c r="CW69" s="594">
        <v>52066</v>
      </c>
      <c r="CX69" s="594">
        <v>53177</v>
      </c>
      <c r="CY69" s="594">
        <v>53081</v>
      </c>
      <c r="CZ69" s="595">
        <f t="shared" si="324"/>
        <v>53081</v>
      </c>
      <c r="DA69" s="594">
        <v>54498</v>
      </c>
      <c r="DB69" s="594">
        <v>55310</v>
      </c>
      <c r="DC69" s="594">
        <v>55924</v>
      </c>
      <c r="DD69" s="594">
        <v>56328</v>
      </c>
      <c r="DE69" s="595">
        <f t="shared" si="325"/>
        <v>56328</v>
      </c>
      <c r="DF69" s="594">
        <v>58972</v>
      </c>
      <c r="DG69" s="693">
        <v>58151</v>
      </c>
      <c r="DH69" s="703">
        <v>57931</v>
      </c>
      <c r="DI69" s="1077">
        <v>60333</v>
      </c>
      <c r="DJ69" s="595">
        <f t="shared" si="326"/>
        <v>60333</v>
      </c>
      <c r="DK69" s="1077">
        <v>61114</v>
      </c>
      <c r="DL69" s="1077">
        <v>59407</v>
      </c>
      <c r="DM69" s="1077">
        <v>57962</v>
      </c>
      <c r="DN69" s="1077">
        <v>59404</v>
      </c>
      <c r="DO69" s="595">
        <f t="shared" si="327"/>
        <v>59404</v>
      </c>
      <c r="DP69" s="1077">
        <v>62591</v>
      </c>
      <c r="DQ69" s="1111">
        <v>64059</v>
      </c>
      <c r="DS69" s="594"/>
      <c r="DT69" s="93"/>
      <c r="DU69" s="1077"/>
      <c r="DX69" s="594"/>
      <c r="DY69" s="93"/>
      <c r="DZ69" s="93"/>
      <c r="EA69" s="93"/>
      <c r="EB69" s="93"/>
    </row>
    <row r="70" spans="1:132" s="105" customFormat="1" ht="12" customHeight="1">
      <c r="A70" s="68"/>
      <c r="B70" s="159" t="s">
        <v>66</v>
      </c>
      <c r="C70" s="76">
        <v>298</v>
      </c>
      <c r="D70" s="76">
        <v>569</v>
      </c>
      <c r="E70" s="76">
        <v>420</v>
      </c>
      <c r="F70" s="76">
        <v>1561</v>
      </c>
      <c r="G70" s="76">
        <v>909</v>
      </c>
      <c r="H70" s="76">
        <v>1134</v>
      </c>
      <c r="I70" s="76">
        <v>277</v>
      </c>
      <c r="J70" s="77">
        <v>437</v>
      </c>
      <c r="K70" s="77">
        <v>725</v>
      </c>
      <c r="L70" s="77">
        <v>1287</v>
      </c>
      <c r="M70" s="77">
        <f t="shared" si="306"/>
        <v>522</v>
      </c>
      <c r="N70" s="76">
        <v>522</v>
      </c>
      <c r="O70" s="77">
        <v>594</v>
      </c>
      <c r="P70" s="77">
        <v>801</v>
      </c>
      <c r="Q70" s="77">
        <v>609</v>
      </c>
      <c r="R70" s="77">
        <f t="shared" si="307"/>
        <v>556</v>
      </c>
      <c r="S70" s="76">
        <v>556</v>
      </c>
      <c r="T70" s="77">
        <v>684</v>
      </c>
      <c r="U70" s="77">
        <v>743</v>
      </c>
      <c r="V70" s="77">
        <v>813</v>
      </c>
      <c r="W70" s="77">
        <f t="shared" si="308"/>
        <v>670</v>
      </c>
      <c r="X70" s="76">
        <v>670</v>
      </c>
      <c r="Y70" s="77">
        <v>776</v>
      </c>
      <c r="Z70" s="77">
        <v>846</v>
      </c>
      <c r="AA70" s="77">
        <v>1080</v>
      </c>
      <c r="AB70" s="77">
        <f t="shared" si="309"/>
        <v>253</v>
      </c>
      <c r="AC70" s="76">
        <v>253</v>
      </c>
      <c r="AD70" s="77">
        <v>587</v>
      </c>
      <c r="AE70" s="77">
        <v>416</v>
      </c>
      <c r="AF70" s="77">
        <v>752</v>
      </c>
      <c r="AG70" s="77">
        <f t="shared" si="310"/>
        <v>41</v>
      </c>
      <c r="AH70" s="76">
        <v>41</v>
      </c>
      <c r="AI70" s="77">
        <v>355</v>
      </c>
      <c r="AJ70" s="77">
        <v>654</v>
      </c>
      <c r="AK70" s="77">
        <v>14</v>
      </c>
      <c r="AL70" s="77">
        <v>182</v>
      </c>
      <c r="AM70" s="76">
        <f t="shared" si="311"/>
        <v>182</v>
      </c>
      <c r="AN70" s="77">
        <v>412</v>
      </c>
      <c r="AO70" s="77">
        <v>713</v>
      </c>
      <c r="AP70" s="77">
        <v>1118</v>
      </c>
      <c r="AQ70" s="77">
        <v>607</v>
      </c>
      <c r="AR70" s="76">
        <f t="shared" si="312"/>
        <v>607</v>
      </c>
      <c r="AS70" s="77">
        <v>789</v>
      </c>
      <c r="AT70" s="77">
        <v>1286</v>
      </c>
      <c r="AU70" s="86">
        <v>1955</v>
      </c>
      <c r="AV70" s="77">
        <v>2780</v>
      </c>
      <c r="AW70" s="76">
        <f t="shared" si="313"/>
        <v>2780</v>
      </c>
      <c r="AX70" s="77">
        <v>3178</v>
      </c>
      <c r="AY70" s="77">
        <v>3668</v>
      </c>
      <c r="AZ70" s="594">
        <v>4136</v>
      </c>
      <c r="BA70" s="594">
        <v>4485</v>
      </c>
      <c r="BB70" s="595">
        <f t="shared" si="314"/>
        <v>4485</v>
      </c>
      <c r="BC70" s="594">
        <v>4838</v>
      </c>
      <c r="BD70" s="594">
        <v>5072</v>
      </c>
      <c r="BE70" s="594">
        <v>5504</v>
      </c>
      <c r="BF70" s="594">
        <v>6267</v>
      </c>
      <c r="BG70" s="595">
        <f t="shared" si="315"/>
        <v>6267</v>
      </c>
      <c r="BH70" s="594">
        <v>6732</v>
      </c>
      <c r="BI70" s="693">
        <v>6222</v>
      </c>
      <c r="BJ70" s="594">
        <v>6685</v>
      </c>
      <c r="BK70" s="594">
        <v>8603</v>
      </c>
      <c r="BL70" s="595">
        <f t="shared" si="316"/>
        <v>8603</v>
      </c>
      <c r="BM70" s="594">
        <v>8916</v>
      </c>
      <c r="BN70" s="693">
        <v>8894</v>
      </c>
      <c r="BO70" s="594">
        <v>9205</v>
      </c>
      <c r="BP70" s="594">
        <v>0</v>
      </c>
      <c r="BQ70" s="595">
        <f t="shared" si="317"/>
        <v>0</v>
      </c>
      <c r="BR70" s="594">
        <v>0</v>
      </c>
      <c r="BS70" s="693">
        <v>0</v>
      </c>
      <c r="BT70" s="693">
        <v>0</v>
      </c>
      <c r="BU70" s="594">
        <v>0</v>
      </c>
      <c r="BV70" s="595">
        <f t="shared" si="318"/>
        <v>0</v>
      </c>
      <c r="BW70" s="594">
        <v>0</v>
      </c>
      <c r="BX70" s="693"/>
      <c r="BY70" s="594"/>
      <c r="BZ70" s="594"/>
      <c r="CA70" s="595">
        <f t="shared" si="319"/>
        <v>0</v>
      </c>
      <c r="CB70" s="594"/>
      <c r="CC70" s="693"/>
      <c r="CD70" s="594"/>
      <c r="CE70" s="594"/>
      <c r="CF70" s="595"/>
      <c r="CG70" s="693"/>
      <c r="CH70" s="693"/>
      <c r="CI70" s="693"/>
      <c r="CJ70" s="693"/>
      <c r="CK70" s="595"/>
      <c r="CL70" s="594"/>
      <c r="CM70" s="594"/>
      <c r="CN70" s="594"/>
      <c r="CO70" s="594"/>
      <c r="CP70" s="595"/>
      <c r="CQ70" s="594"/>
      <c r="CR70" s="594"/>
      <c r="CS70" s="594"/>
      <c r="CT70" s="594"/>
      <c r="CU70" s="595"/>
      <c r="CV70" s="594"/>
      <c r="CW70" s="594"/>
      <c r="CX70" s="594"/>
      <c r="CY70" s="594"/>
      <c r="CZ70" s="595"/>
      <c r="DA70" s="594"/>
      <c r="DB70" s="594"/>
      <c r="DC70" s="594"/>
      <c r="DD70" s="594"/>
      <c r="DE70" s="595"/>
      <c r="DF70" s="594"/>
      <c r="DG70" s="693"/>
      <c r="DH70" s="703"/>
      <c r="DI70" s="594"/>
      <c r="DJ70" s="595"/>
      <c r="DK70" s="594"/>
      <c r="DL70" s="693"/>
      <c r="DM70" s="594"/>
      <c r="DN70" s="594"/>
      <c r="DO70" s="595"/>
      <c r="DP70" s="594"/>
      <c r="DQ70" s="1110"/>
      <c r="DS70" s="594"/>
      <c r="DT70" s="93"/>
      <c r="DU70" s="594"/>
      <c r="DX70" s="594"/>
      <c r="DY70" s="93"/>
      <c r="DZ70" s="93"/>
      <c r="EA70" s="93"/>
      <c r="EB70" s="93"/>
    </row>
    <row r="71" spans="1:132" s="105" customFormat="1" ht="12" customHeight="1">
      <c r="A71" s="68"/>
      <c r="B71" s="159" t="s">
        <v>67</v>
      </c>
      <c r="C71" s="76">
        <v>731</v>
      </c>
      <c r="D71" s="76">
        <v>869</v>
      </c>
      <c r="E71" s="76">
        <v>752</v>
      </c>
      <c r="F71" s="76">
        <v>1232</v>
      </c>
      <c r="G71" s="76">
        <v>1399</v>
      </c>
      <c r="H71" s="76">
        <v>1814</v>
      </c>
      <c r="I71" s="76">
        <v>1144</v>
      </c>
      <c r="J71" s="77">
        <v>916</v>
      </c>
      <c r="K71" s="77">
        <v>2575</v>
      </c>
      <c r="L71" s="77">
        <v>1320</v>
      </c>
      <c r="M71" s="77">
        <f t="shared" si="306"/>
        <v>1321</v>
      </c>
      <c r="N71" s="76">
        <v>1321</v>
      </c>
      <c r="O71" s="77">
        <v>998</v>
      </c>
      <c r="P71" s="77">
        <v>809</v>
      </c>
      <c r="Q71" s="77">
        <v>726</v>
      </c>
      <c r="R71" s="77">
        <f t="shared" si="307"/>
        <v>1189</v>
      </c>
      <c r="S71" s="76">
        <v>1189</v>
      </c>
      <c r="T71" s="77">
        <v>1967</v>
      </c>
      <c r="U71" s="77">
        <v>1499</v>
      </c>
      <c r="V71" s="77">
        <v>1582</v>
      </c>
      <c r="W71" s="77">
        <f t="shared" si="308"/>
        <v>1381</v>
      </c>
      <c r="X71" s="76">
        <v>1381</v>
      </c>
      <c r="Y71" s="77">
        <v>598</v>
      </c>
      <c r="Z71" s="77">
        <v>561</v>
      </c>
      <c r="AA71" s="77">
        <v>1025</v>
      </c>
      <c r="AB71" s="77">
        <f t="shared" si="309"/>
        <v>762</v>
      </c>
      <c r="AC71" s="76">
        <v>762</v>
      </c>
      <c r="AD71" s="77">
        <v>802</v>
      </c>
      <c r="AE71" s="77">
        <v>916</v>
      </c>
      <c r="AF71" s="77">
        <v>390</v>
      </c>
      <c r="AG71" s="77">
        <f t="shared" si="310"/>
        <v>560</v>
      </c>
      <c r="AH71" s="76">
        <v>560</v>
      </c>
      <c r="AI71" s="77">
        <v>530</v>
      </c>
      <c r="AJ71" s="77">
        <v>416</v>
      </c>
      <c r="AK71" s="77">
        <v>973</v>
      </c>
      <c r="AL71" s="77">
        <v>707</v>
      </c>
      <c r="AM71" s="76">
        <f t="shared" si="311"/>
        <v>707</v>
      </c>
      <c r="AN71" s="77">
        <v>1479</v>
      </c>
      <c r="AO71" s="77">
        <v>1507</v>
      </c>
      <c r="AP71" s="77">
        <v>953</v>
      </c>
      <c r="AQ71" s="77">
        <v>948</v>
      </c>
      <c r="AR71" s="76">
        <f t="shared" si="312"/>
        <v>948</v>
      </c>
      <c r="AS71" s="77">
        <v>966</v>
      </c>
      <c r="AT71" s="77">
        <v>1304</v>
      </c>
      <c r="AU71" s="86">
        <v>1603</v>
      </c>
      <c r="AV71" s="77">
        <v>2353</v>
      </c>
      <c r="AW71" s="76">
        <f t="shared" si="313"/>
        <v>2353</v>
      </c>
      <c r="AX71" s="77">
        <v>2807</v>
      </c>
      <c r="AY71" s="77">
        <v>2466</v>
      </c>
      <c r="AZ71" s="594">
        <v>2172</v>
      </c>
      <c r="BA71" s="594">
        <v>1436</v>
      </c>
      <c r="BB71" s="595">
        <f t="shared" si="314"/>
        <v>1436</v>
      </c>
      <c r="BC71" s="594">
        <v>917</v>
      </c>
      <c r="BD71" s="594">
        <v>883</v>
      </c>
      <c r="BE71" s="594">
        <v>919</v>
      </c>
      <c r="BF71" s="594">
        <v>1563</v>
      </c>
      <c r="BG71" s="595">
        <f t="shared" si="315"/>
        <v>1563</v>
      </c>
      <c r="BH71" s="594">
        <v>1660</v>
      </c>
      <c r="BI71" s="693">
        <v>1591</v>
      </c>
      <c r="BJ71" s="594">
        <v>1579</v>
      </c>
      <c r="BK71" s="594">
        <v>929</v>
      </c>
      <c r="BL71" s="595">
        <f t="shared" si="316"/>
        <v>929</v>
      </c>
      <c r="BM71" s="594">
        <v>133</v>
      </c>
      <c r="BN71" s="693">
        <v>112</v>
      </c>
      <c r="BO71" s="594">
        <v>614</v>
      </c>
      <c r="BP71" s="594">
        <v>1234</v>
      </c>
      <c r="BQ71" s="595">
        <f t="shared" si="317"/>
        <v>1234</v>
      </c>
      <c r="BR71" s="594">
        <v>1243</v>
      </c>
      <c r="BS71" s="693">
        <v>1168</v>
      </c>
      <c r="BT71" s="594">
        <v>632</v>
      </c>
      <c r="BU71" s="594">
        <v>384</v>
      </c>
      <c r="BV71" s="595">
        <f t="shared" si="318"/>
        <v>384</v>
      </c>
      <c r="BW71" s="594">
        <v>367</v>
      </c>
      <c r="BX71" s="693">
        <v>720</v>
      </c>
      <c r="BY71" s="594">
        <v>988</v>
      </c>
      <c r="BZ71" s="594">
        <v>1335</v>
      </c>
      <c r="CA71" s="595">
        <f t="shared" si="319"/>
        <v>1335</v>
      </c>
      <c r="CB71" s="594">
        <v>1981</v>
      </c>
      <c r="CC71" s="693">
        <v>1611</v>
      </c>
      <c r="CD71" s="594">
        <v>1389</v>
      </c>
      <c r="CE71" s="594">
        <v>3190</v>
      </c>
      <c r="CF71" s="595">
        <f t="shared" si="320"/>
        <v>3190</v>
      </c>
      <c r="CG71" s="693">
        <v>3381</v>
      </c>
      <c r="CH71" s="693">
        <v>4357</v>
      </c>
      <c r="CI71" s="693">
        <v>4354</v>
      </c>
      <c r="CJ71" s="693">
        <v>7340</v>
      </c>
      <c r="CK71" s="595">
        <f t="shared" si="321"/>
        <v>7340</v>
      </c>
      <c r="CL71" s="594">
        <v>5173</v>
      </c>
      <c r="CM71" s="594">
        <v>2922</v>
      </c>
      <c r="CN71" s="594">
        <v>3634</v>
      </c>
      <c r="CO71" s="594">
        <v>1693</v>
      </c>
      <c r="CP71" s="595">
        <f t="shared" si="322"/>
        <v>1693</v>
      </c>
      <c r="CQ71" s="594">
        <v>6021</v>
      </c>
      <c r="CR71" s="594">
        <v>6534</v>
      </c>
      <c r="CS71" s="594">
        <v>5377</v>
      </c>
      <c r="CT71" s="594">
        <v>1296</v>
      </c>
      <c r="CU71" s="595">
        <f t="shared" si="323"/>
        <v>1296</v>
      </c>
      <c r="CV71" s="594">
        <v>2591</v>
      </c>
      <c r="CW71" s="594">
        <v>5406</v>
      </c>
      <c r="CX71" s="594">
        <v>5431</v>
      </c>
      <c r="CY71" s="594">
        <v>5190</v>
      </c>
      <c r="CZ71" s="595">
        <f t="shared" si="324"/>
        <v>5190</v>
      </c>
      <c r="DA71" s="594">
        <v>7926</v>
      </c>
      <c r="DB71" s="594">
        <v>4609</v>
      </c>
      <c r="DC71" s="594">
        <v>4891</v>
      </c>
      <c r="DD71" s="594">
        <v>5204</v>
      </c>
      <c r="DE71" s="595">
        <f t="shared" si="325"/>
        <v>5204</v>
      </c>
      <c r="DF71" s="594">
        <v>1063</v>
      </c>
      <c r="DG71" s="693">
        <v>4765</v>
      </c>
      <c r="DH71" s="703">
        <v>4474</v>
      </c>
      <c r="DI71" s="1077">
        <v>1278</v>
      </c>
      <c r="DJ71" s="595">
        <f t="shared" ref="DJ71" si="328">DI71</f>
        <v>1278</v>
      </c>
      <c r="DK71" s="1077">
        <v>7930</v>
      </c>
      <c r="DL71" s="1077">
        <v>8719</v>
      </c>
      <c r="DM71" s="1077">
        <v>8742</v>
      </c>
      <c r="DN71" s="1077">
        <v>8461</v>
      </c>
      <c r="DO71" s="595">
        <f t="shared" ref="DO71" si="329">DN71</f>
        <v>8461</v>
      </c>
      <c r="DP71" s="1077">
        <v>2855</v>
      </c>
      <c r="DQ71" s="1111">
        <v>4565</v>
      </c>
      <c r="DS71" s="594"/>
      <c r="DT71" s="93"/>
      <c r="DU71" s="1077"/>
      <c r="DX71" s="594"/>
      <c r="DY71" s="93"/>
      <c r="DZ71" s="93"/>
      <c r="EA71" s="93"/>
      <c r="EB71" s="93"/>
    </row>
    <row r="72" spans="1:132" s="105" customFormat="1" ht="12" customHeight="1">
      <c r="A72" s="68"/>
      <c r="B72" s="159" t="s">
        <v>137</v>
      </c>
      <c r="C72" s="79">
        <v>0</v>
      </c>
      <c r="D72" s="79">
        <v>0</v>
      </c>
      <c r="E72" s="79">
        <v>0</v>
      </c>
      <c r="F72" s="79">
        <v>0</v>
      </c>
      <c r="G72" s="79">
        <v>0</v>
      </c>
      <c r="H72" s="79">
        <v>0</v>
      </c>
      <c r="I72" s="79">
        <v>0</v>
      </c>
      <c r="J72" s="80">
        <v>0</v>
      </c>
      <c r="K72" s="80">
        <v>0</v>
      </c>
      <c r="L72" s="80">
        <v>0</v>
      </c>
      <c r="M72" s="80">
        <f t="shared" si="306"/>
        <v>0</v>
      </c>
      <c r="N72" s="79">
        <v>0</v>
      </c>
      <c r="O72" s="80">
        <v>0</v>
      </c>
      <c r="P72" s="80">
        <v>0</v>
      </c>
      <c r="Q72" s="80">
        <v>0</v>
      </c>
      <c r="R72" s="80">
        <f t="shared" si="307"/>
        <v>0</v>
      </c>
      <c r="S72" s="79">
        <v>0</v>
      </c>
      <c r="T72" s="80">
        <v>0</v>
      </c>
      <c r="U72" s="80">
        <v>0</v>
      </c>
      <c r="V72" s="80">
        <v>0</v>
      </c>
      <c r="W72" s="80">
        <f t="shared" si="308"/>
        <v>0</v>
      </c>
      <c r="X72" s="79">
        <v>0</v>
      </c>
      <c r="Y72" s="80">
        <v>0</v>
      </c>
      <c r="Z72" s="80">
        <v>0</v>
      </c>
      <c r="AA72" s="80">
        <v>0</v>
      </c>
      <c r="AB72" s="80">
        <f t="shared" si="309"/>
        <v>0</v>
      </c>
      <c r="AC72" s="79">
        <v>0</v>
      </c>
      <c r="AD72" s="80">
        <v>0</v>
      </c>
      <c r="AE72" s="80">
        <v>0</v>
      </c>
      <c r="AF72" s="80">
        <v>0</v>
      </c>
      <c r="AG72" s="80">
        <f t="shared" si="310"/>
        <v>0</v>
      </c>
      <c r="AH72" s="79">
        <v>0</v>
      </c>
      <c r="AI72" s="80">
        <v>0</v>
      </c>
      <c r="AJ72" s="80">
        <v>0</v>
      </c>
      <c r="AK72" s="80">
        <v>0</v>
      </c>
      <c r="AL72" s="80">
        <v>0</v>
      </c>
      <c r="AM72" s="79">
        <f t="shared" si="311"/>
        <v>0</v>
      </c>
      <c r="AN72" s="80">
        <v>0</v>
      </c>
      <c r="AO72" s="80">
        <v>0</v>
      </c>
      <c r="AP72" s="80">
        <v>0</v>
      </c>
      <c r="AQ72" s="80">
        <v>0</v>
      </c>
      <c r="AR72" s="79">
        <f t="shared" si="312"/>
        <v>0</v>
      </c>
      <c r="AS72" s="80">
        <v>0</v>
      </c>
      <c r="AT72" s="80">
        <v>0</v>
      </c>
      <c r="AU72" s="97">
        <v>0</v>
      </c>
      <c r="AV72" s="80">
        <v>0</v>
      </c>
      <c r="AW72" s="79">
        <f t="shared" si="313"/>
        <v>0</v>
      </c>
      <c r="AX72" s="80">
        <v>0</v>
      </c>
      <c r="AY72" s="80">
        <v>0</v>
      </c>
      <c r="AZ72" s="568">
        <v>0</v>
      </c>
      <c r="BA72" s="568">
        <v>0</v>
      </c>
      <c r="BB72" s="596">
        <f t="shared" si="314"/>
        <v>0</v>
      </c>
      <c r="BC72" s="568">
        <v>0</v>
      </c>
      <c r="BD72" s="568">
        <v>0</v>
      </c>
      <c r="BE72" s="568">
        <v>0</v>
      </c>
      <c r="BF72" s="568">
        <v>0</v>
      </c>
      <c r="BG72" s="596">
        <f t="shared" si="315"/>
        <v>0</v>
      </c>
      <c r="BH72" s="568"/>
      <c r="BI72" s="568"/>
      <c r="BJ72" s="568"/>
      <c r="BK72" s="568"/>
      <c r="BL72" s="596">
        <f t="shared" si="316"/>
        <v>0</v>
      </c>
      <c r="BM72" s="568"/>
      <c r="BN72" s="568"/>
      <c r="BO72" s="568"/>
      <c r="BP72" s="568"/>
      <c r="BQ72" s="596">
        <f t="shared" si="317"/>
        <v>0</v>
      </c>
      <c r="BR72" s="568"/>
      <c r="BS72" s="568"/>
      <c r="BT72" s="568"/>
      <c r="BU72" s="568"/>
      <c r="BV72" s="596">
        <f t="shared" si="318"/>
        <v>0</v>
      </c>
      <c r="BW72" s="568"/>
      <c r="BX72" s="568"/>
      <c r="BY72" s="568"/>
      <c r="BZ72" s="568"/>
      <c r="CA72" s="596">
        <f t="shared" si="319"/>
        <v>0</v>
      </c>
      <c r="CB72" s="568"/>
      <c r="CC72" s="568"/>
      <c r="CD72" s="568"/>
      <c r="CE72" s="568"/>
      <c r="CF72" s="596"/>
      <c r="CG72" s="568"/>
      <c r="CH72" s="568"/>
      <c r="CI72" s="568"/>
      <c r="CJ72" s="568"/>
      <c r="CK72" s="596"/>
      <c r="CL72" s="568"/>
      <c r="CM72" s="568"/>
      <c r="CN72" s="568"/>
      <c r="CO72" s="568"/>
      <c r="CP72" s="596"/>
      <c r="CQ72" s="568"/>
      <c r="CR72" s="568"/>
      <c r="CS72" s="568"/>
      <c r="CT72" s="568"/>
      <c r="CU72" s="596"/>
      <c r="CV72" s="568"/>
      <c r="CW72" s="568"/>
      <c r="CX72" s="568"/>
      <c r="CY72" s="568"/>
      <c r="CZ72" s="596"/>
      <c r="DA72" s="568"/>
      <c r="DB72" s="568"/>
      <c r="DC72" s="568"/>
      <c r="DD72" s="568"/>
      <c r="DE72" s="596"/>
      <c r="DF72" s="568"/>
      <c r="DG72" s="568"/>
      <c r="DH72" s="722"/>
      <c r="DI72" s="568"/>
      <c r="DJ72" s="596"/>
      <c r="DK72" s="568"/>
      <c r="DL72" s="1078">
        <v>504</v>
      </c>
      <c r="DM72" s="1078">
        <v>524</v>
      </c>
      <c r="DN72" s="568"/>
      <c r="DO72" s="596"/>
      <c r="DP72" s="568"/>
      <c r="DQ72" s="722"/>
      <c r="DS72" s="568"/>
      <c r="DT72" s="93"/>
      <c r="DU72" s="568"/>
      <c r="DX72" s="568"/>
      <c r="DY72" s="93"/>
      <c r="DZ72" s="93"/>
      <c r="EA72" s="93"/>
      <c r="EB72" s="93"/>
    </row>
    <row r="73" spans="1:132" s="277" customFormat="1" ht="12" customHeight="1">
      <c r="A73" s="74"/>
      <c r="B73" s="74" t="s">
        <v>68</v>
      </c>
      <c r="C73" s="71">
        <f t="shared" ref="C73:L73" si="330">SUM(C67:C72)</f>
        <v>14152</v>
      </c>
      <c r="D73" s="71">
        <f t="shared" si="330"/>
        <v>13422</v>
      </c>
      <c r="E73" s="71">
        <f t="shared" si="330"/>
        <v>13656</v>
      </c>
      <c r="F73" s="71">
        <f t="shared" si="330"/>
        <v>18289</v>
      </c>
      <c r="G73" s="71">
        <f t="shared" si="330"/>
        <v>20486</v>
      </c>
      <c r="H73" s="71">
        <f t="shared" si="330"/>
        <v>19810</v>
      </c>
      <c r="I73" s="71">
        <f t="shared" si="330"/>
        <v>18448</v>
      </c>
      <c r="J73" s="72">
        <f t="shared" si="330"/>
        <v>18572</v>
      </c>
      <c r="K73" s="72">
        <f t="shared" si="330"/>
        <v>20971</v>
      </c>
      <c r="L73" s="72">
        <f t="shared" si="330"/>
        <v>21482</v>
      </c>
      <c r="M73" s="72">
        <f t="shared" si="306"/>
        <v>20835</v>
      </c>
      <c r="N73" s="71">
        <f>SUM(N67:N72)</f>
        <v>20835</v>
      </c>
      <c r="O73" s="72">
        <f>SUM(O67:O72)</f>
        <v>23401</v>
      </c>
      <c r="P73" s="72">
        <f>SUM(P67:P72)</f>
        <v>24424</v>
      </c>
      <c r="Q73" s="72">
        <f>SUM(Q67:Q72)</f>
        <v>26116</v>
      </c>
      <c r="R73" s="72">
        <f t="shared" si="307"/>
        <v>28188</v>
      </c>
      <c r="S73" s="71">
        <f>SUM(S67:S72)</f>
        <v>28188</v>
      </c>
      <c r="T73" s="72">
        <f>SUM(T67:T72)</f>
        <v>29388</v>
      </c>
      <c r="U73" s="72">
        <f>SUM(U67:U72)</f>
        <v>30357</v>
      </c>
      <c r="V73" s="72">
        <f>SUM(V67:V72)</f>
        <v>29660</v>
      </c>
      <c r="W73" s="72">
        <f t="shared" si="308"/>
        <v>29701</v>
      </c>
      <c r="X73" s="71">
        <f>SUM(X67:X72)</f>
        <v>29701</v>
      </c>
      <c r="Y73" s="72">
        <f>SUM(Y67:Y72)</f>
        <v>28429</v>
      </c>
      <c r="Z73" s="72">
        <f>SUM(Z67:Z72)</f>
        <v>30127</v>
      </c>
      <c r="AA73" s="72">
        <f>SUM(AA67:AA72)</f>
        <v>30867</v>
      </c>
      <c r="AB73" s="72">
        <f t="shared" si="309"/>
        <v>31538</v>
      </c>
      <c r="AC73" s="71">
        <f>SUM(AC67:AC72)</f>
        <v>31538</v>
      </c>
      <c r="AD73" s="72">
        <f>SUM(AD67:AD72)</f>
        <v>32686</v>
      </c>
      <c r="AE73" s="72">
        <f>SUM(AE67:AE72)</f>
        <v>31445</v>
      </c>
      <c r="AF73" s="72">
        <f>SUM(AF67:AF72)</f>
        <v>29362</v>
      </c>
      <c r="AG73" s="72">
        <f t="shared" si="310"/>
        <v>30925</v>
      </c>
      <c r="AH73" s="71">
        <f t="shared" ref="AH73:DF73" si="331">SUM(AH67:AH72)</f>
        <v>30925</v>
      </c>
      <c r="AI73" s="72">
        <f t="shared" si="331"/>
        <v>29965</v>
      </c>
      <c r="AJ73" s="72">
        <f t="shared" si="331"/>
        <v>31272</v>
      </c>
      <c r="AK73" s="72">
        <f t="shared" si="331"/>
        <v>32049</v>
      </c>
      <c r="AL73" s="72">
        <f t="shared" si="331"/>
        <v>32883</v>
      </c>
      <c r="AM73" s="71">
        <f t="shared" si="331"/>
        <v>32883</v>
      </c>
      <c r="AN73" s="72">
        <f t="shared" si="331"/>
        <v>33484</v>
      </c>
      <c r="AO73" s="72">
        <f t="shared" si="331"/>
        <v>34088</v>
      </c>
      <c r="AP73" s="72">
        <f t="shared" si="331"/>
        <v>34238</v>
      </c>
      <c r="AQ73" s="72">
        <f t="shared" si="331"/>
        <v>35395</v>
      </c>
      <c r="AR73" s="71">
        <f>SUM(AR67:AR72)</f>
        <v>35395</v>
      </c>
      <c r="AS73" s="72">
        <f t="shared" si="331"/>
        <v>35257</v>
      </c>
      <c r="AT73" s="72">
        <f t="shared" si="331"/>
        <v>37370</v>
      </c>
      <c r="AU73" s="90">
        <f t="shared" si="331"/>
        <v>37593</v>
      </c>
      <c r="AV73" s="72">
        <f t="shared" si="331"/>
        <v>41274</v>
      </c>
      <c r="AW73" s="71">
        <f>SUM(AW67:AW72)</f>
        <v>41274</v>
      </c>
      <c r="AX73" s="72">
        <f t="shared" si="331"/>
        <v>41305</v>
      </c>
      <c r="AY73" s="72">
        <f t="shared" si="331"/>
        <v>42450</v>
      </c>
      <c r="AZ73" s="597">
        <f t="shared" si="331"/>
        <v>42852</v>
      </c>
      <c r="BA73" s="597">
        <f t="shared" si="331"/>
        <v>44982</v>
      </c>
      <c r="BB73" s="598">
        <f>SUM(BB67:BB72)</f>
        <v>44982</v>
      </c>
      <c r="BC73" s="597">
        <f t="shared" si="331"/>
        <v>45666</v>
      </c>
      <c r="BD73" s="597">
        <f t="shared" si="331"/>
        <v>46949</v>
      </c>
      <c r="BE73" s="597">
        <f t="shared" si="331"/>
        <v>49680</v>
      </c>
      <c r="BF73" s="597">
        <f t="shared" si="331"/>
        <v>51486</v>
      </c>
      <c r="BG73" s="598">
        <f>SUM(BG67:BG72)</f>
        <v>51486</v>
      </c>
      <c r="BH73" s="597">
        <f t="shared" si="331"/>
        <v>52502</v>
      </c>
      <c r="BI73" s="597">
        <f t="shared" si="331"/>
        <v>53339</v>
      </c>
      <c r="BJ73" s="597">
        <f t="shared" si="331"/>
        <v>53204</v>
      </c>
      <c r="BK73" s="597">
        <f t="shared" si="331"/>
        <v>56717</v>
      </c>
      <c r="BL73" s="598">
        <f>SUM(BL67:BL72)</f>
        <v>56717</v>
      </c>
      <c r="BM73" s="597">
        <f t="shared" si="331"/>
        <v>55256</v>
      </c>
      <c r="BN73" s="597">
        <f t="shared" si="331"/>
        <v>57136</v>
      </c>
      <c r="BO73" s="597">
        <f t="shared" si="331"/>
        <v>57808</v>
      </c>
      <c r="BP73" s="597">
        <f t="shared" si="331"/>
        <v>50412</v>
      </c>
      <c r="BQ73" s="598">
        <f>SUM(BQ67:BQ72)</f>
        <v>50412</v>
      </c>
      <c r="BR73" s="597">
        <f t="shared" si="331"/>
        <v>49517</v>
      </c>
      <c r="BS73" s="597">
        <f t="shared" si="331"/>
        <v>49859</v>
      </c>
      <c r="BT73" s="597">
        <f t="shared" si="331"/>
        <v>48489</v>
      </c>
      <c r="BU73" s="597">
        <f t="shared" si="331"/>
        <v>50134</v>
      </c>
      <c r="BV73" s="598">
        <f>SUM(BV67:BV72)</f>
        <v>50134</v>
      </c>
      <c r="BW73" s="597">
        <f t="shared" si="331"/>
        <v>49781</v>
      </c>
      <c r="BX73" s="597">
        <f t="shared" si="331"/>
        <v>52909</v>
      </c>
      <c r="BY73" s="597">
        <f t="shared" si="331"/>
        <v>54409</v>
      </c>
      <c r="BZ73" s="597">
        <f t="shared" si="331"/>
        <v>56269</v>
      </c>
      <c r="CA73" s="598">
        <f>SUM(CA67:CA72)</f>
        <v>56269</v>
      </c>
      <c r="CB73" s="597">
        <f t="shared" si="331"/>
        <v>75532</v>
      </c>
      <c r="CC73" s="597">
        <f t="shared" si="331"/>
        <v>77725</v>
      </c>
      <c r="CD73" s="597">
        <f t="shared" si="331"/>
        <v>79417</v>
      </c>
      <c r="CE73" s="597">
        <f t="shared" si="331"/>
        <v>81590</v>
      </c>
      <c r="CF73" s="598">
        <f>SUM(CF67:CF72)</f>
        <v>81590</v>
      </c>
      <c r="CG73" s="597">
        <f t="shared" si="331"/>
        <v>83615</v>
      </c>
      <c r="CH73" s="597">
        <f t="shared" si="331"/>
        <v>92189</v>
      </c>
      <c r="CI73" s="597">
        <f t="shared" si="331"/>
        <v>91846</v>
      </c>
      <c r="CJ73" s="597">
        <f t="shared" si="331"/>
        <v>97312</v>
      </c>
      <c r="CK73" s="598">
        <f>SUM(CK67:CK72)</f>
        <v>97312</v>
      </c>
      <c r="CL73" s="597">
        <f t="shared" si="331"/>
        <v>94502</v>
      </c>
      <c r="CM73" s="597">
        <f t="shared" si="331"/>
        <v>92482</v>
      </c>
      <c r="CN73" s="597">
        <f t="shared" si="331"/>
        <v>92307</v>
      </c>
      <c r="CO73" s="597">
        <f t="shared" si="331"/>
        <v>87280</v>
      </c>
      <c r="CP73" s="598">
        <f>SUM(CP67:CP72)</f>
        <v>87280</v>
      </c>
      <c r="CQ73" s="597">
        <f t="shared" si="331"/>
        <v>89892</v>
      </c>
      <c r="CR73" s="597">
        <f t="shared" si="331"/>
        <v>88224</v>
      </c>
      <c r="CS73" s="597">
        <f t="shared" si="331"/>
        <v>85771</v>
      </c>
      <c r="CT73" s="597">
        <f t="shared" si="331"/>
        <v>81992</v>
      </c>
      <c r="CU73" s="598">
        <f>SUM(CU67:CU72)</f>
        <v>81992</v>
      </c>
      <c r="CV73" s="597">
        <f t="shared" si="331"/>
        <v>81692</v>
      </c>
      <c r="CW73" s="597">
        <f t="shared" si="331"/>
        <v>84799</v>
      </c>
      <c r="CX73" s="597">
        <f t="shared" si="331"/>
        <v>89618</v>
      </c>
      <c r="CY73" s="597">
        <f t="shared" si="331"/>
        <v>90052</v>
      </c>
      <c r="CZ73" s="598">
        <f>SUM(CZ67:CZ72)</f>
        <v>90052</v>
      </c>
      <c r="DA73" s="597">
        <f t="shared" si="331"/>
        <v>93510</v>
      </c>
      <c r="DB73" s="597">
        <f t="shared" si="331"/>
        <v>92076</v>
      </c>
      <c r="DC73" s="597">
        <f t="shared" si="331"/>
        <v>93062</v>
      </c>
      <c r="DD73" s="597">
        <f t="shared" si="331"/>
        <v>95827</v>
      </c>
      <c r="DE73" s="598">
        <f>SUM(DE67:DE72)</f>
        <v>95827</v>
      </c>
      <c r="DF73" s="597">
        <f t="shared" si="331"/>
        <v>93258</v>
      </c>
      <c r="DG73" s="597">
        <f t="shared" ref="DG73:DI73" si="332">SUM(DG67:DG72)</f>
        <v>96630</v>
      </c>
      <c r="DH73" s="1065">
        <f t="shared" si="332"/>
        <v>97300</v>
      </c>
      <c r="DI73" s="597">
        <f t="shared" si="332"/>
        <v>97078</v>
      </c>
      <c r="DJ73" s="598">
        <f>SUM(DJ67:DJ72)</f>
        <v>97078</v>
      </c>
      <c r="DK73" s="597">
        <f t="shared" ref="DK73:DN73" si="333">SUM(DK67:DK72)</f>
        <v>103654</v>
      </c>
      <c r="DL73" s="597">
        <f t="shared" si="333"/>
        <v>103376</v>
      </c>
      <c r="DM73" s="597">
        <f t="shared" si="333"/>
        <v>103324</v>
      </c>
      <c r="DN73" s="597">
        <f t="shared" si="333"/>
        <v>108115</v>
      </c>
      <c r="DO73" s="598">
        <f>SUM(DO67:DO72)</f>
        <v>108115</v>
      </c>
      <c r="DP73" s="597">
        <f t="shared" ref="DP73:DQ73" si="334">SUM(DP67:DP72)</f>
        <v>105547</v>
      </c>
      <c r="DQ73" s="1065">
        <f t="shared" si="334"/>
        <v>109563</v>
      </c>
      <c r="DS73" s="597"/>
      <c r="DT73" s="85"/>
      <c r="DU73" s="597"/>
      <c r="DX73" s="597"/>
      <c r="DY73" s="85"/>
      <c r="DZ73" s="85"/>
      <c r="EA73" s="85"/>
      <c r="EB73" s="85"/>
    </row>
    <row r="74" spans="1:132" s="105" customFormat="1" ht="12" customHeight="1">
      <c r="A74" s="68"/>
      <c r="B74" s="68" t="s">
        <v>69</v>
      </c>
      <c r="C74" s="76">
        <v>4796</v>
      </c>
      <c r="D74" s="76">
        <v>4831</v>
      </c>
      <c r="E74" s="76">
        <v>4877</v>
      </c>
      <c r="F74" s="76">
        <v>5152</v>
      </c>
      <c r="G74" s="76">
        <v>5367</v>
      </c>
      <c r="H74" s="76">
        <v>5434</v>
      </c>
      <c r="I74" s="76">
        <v>5745</v>
      </c>
      <c r="J74" s="77">
        <v>5802</v>
      </c>
      <c r="K74" s="77">
        <v>5847</v>
      </c>
      <c r="L74" s="77">
        <v>5911</v>
      </c>
      <c r="M74" s="77">
        <f t="shared" si="306"/>
        <v>5959</v>
      </c>
      <c r="N74" s="76">
        <v>5959</v>
      </c>
      <c r="O74" s="77">
        <v>5983</v>
      </c>
      <c r="P74" s="77">
        <v>6005</v>
      </c>
      <c r="Q74" s="77">
        <v>5970</v>
      </c>
      <c r="R74" s="77">
        <f t="shared" si="307"/>
        <v>5989</v>
      </c>
      <c r="S74" s="76">
        <v>5989</v>
      </c>
      <c r="T74" s="77">
        <v>6022</v>
      </c>
      <c r="U74" s="77">
        <v>6058</v>
      </c>
      <c r="V74" s="77">
        <v>6063</v>
      </c>
      <c r="W74" s="77">
        <f t="shared" si="308"/>
        <v>7671</v>
      </c>
      <c r="X74" s="76">
        <v>7671</v>
      </c>
      <c r="Y74" s="77">
        <v>7674</v>
      </c>
      <c r="Z74" s="77">
        <v>7684</v>
      </c>
      <c r="AA74" s="77">
        <v>7694</v>
      </c>
      <c r="AB74" s="77">
        <f t="shared" si="309"/>
        <v>7007</v>
      </c>
      <c r="AC74" s="76">
        <v>7007</v>
      </c>
      <c r="AD74" s="77">
        <v>7123</v>
      </c>
      <c r="AE74" s="77">
        <v>7159</v>
      </c>
      <c r="AF74" s="77">
        <v>7165</v>
      </c>
      <c r="AG74" s="77">
        <f t="shared" si="310"/>
        <v>7322</v>
      </c>
      <c r="AH74" s="76">
        <v>7322</v>
      </c>
      <c r="AI74" s="77">
        <v>7336</v>
      </c>
      <c r="AJ74" s="77">
        <v>7336</v>
      </c>
      <c r="AK74" s="77">
        <v>7344</v>
      </c>
      <c r="AL74" s="77">
        <v>7049</v>
      </c>
      <c r="AM74" s="76">
        <f>AL74</f>
        <v>7049</v>
      </c>
      <c r="AN74" s="77">
        <v>7043</v>
      </c>
      <c r="AO74" s="77">
        <v>7068</v>
      </c>
      <c r="AP74" s="77">
        <v>7062</v>
      </c>
      <c r="AQ74" s="77">
        <v>8025</v>
      </c>
      <c r="AR74" s="76">
        <f>AQ74</f>
        <v>8025</v>
      </c>
      <c r="AS74" s="77">
        <v>8034</v>
      </c>
      <c r="AT74" s="77">
        <v>8036</v>
      </c>
      <c r="AU74" s="86">
        <v>8335</v>
      </c>
      <c r="AV74" s="77">
        <v>7520</v>
      </c>
      <c r="AW74" s="76">
        <f>AV74</f>
        <v>7520</v>
      </c>
      <c r="AX74" s="77">
        <v>7498</v>
      </c>
      <c r="AY74" s="77">
        <v>7478</v>
      </c>
      <c r="AZ74" s="594">
        <v>7454</v>
      </c>
      <c r="BA74" s="594">
        <v>7528</v>
      </c>
      <c r="BB74" s="595">
        <f>BA74</f>
        <v>7528</v>
      </c>
      <c r="BC74" s="594">
        <v>7447</v>
      </c>
      <c r="BD74" s="594">
        <v>7431</v>
      </c>
      <c r="BE74" s="594">
        <v>7415</v>
      </c>
      <c r="BF74" s="594">
        <v>6528</v>
      </c>
      <c r="BG74" s="595">
        <f>BF74</f>
        <v>6528</v>
      </c>
      <c r="BH74" s="594">
        <v>6515</v>
      </c>
      <c r="BI74" s="594">
        <v>6506</v>
      </c>
      <c r="BJ74" s="594">
        <v>6494</v>
      </c>
      <c r="BK74" s="594">
        <v>6802</v>
      </c>
      <c r="BL74" s="595">
        <f>BK74</f>
        <v>6802</v>
      </c>
      <c r="BM74" s="594">
        <v>6789</v>
      </c>
      <c r="BN74" s="594">
        <v>6777</v>
      </c>
      <c r="BO74" s="594">
        <v>6746</v>
      </c>
      <c r="BP74" s="594">
        <v>6616</v>
      </c>
      <c r="BQ74" s="595">
        <f>BP74</f>
        <v>6616</v>
      </c>
      <c r="BR74" s="594">
        <v>6614</v>
      </c>
      <c r="BS74" s="594">
        <v>6586</v>
      </c>
      <c r="BT74" s="594">
        <v>6544</v>
      </c>
      <c r="BU74" s="594">
        <v>5916</v>
      </c>
      <c r="BV74" s="595">
        <f>BU74</f>
        <v>5916</v>
      </c>
      <c r="BW74" s="594">
        <v>5885</v>
      </c>
      <c r="BX74" s="594">
        <v>5856</v>
      </c>
      <c r="BY74" s="594">
        <v>5826</v>
      </c>
      <c r="BZ74" s="594">
        <v>5545</v>
      </c>
      <c r="CA74" s="595">
        <f>BZ74</f>
        <v>5545</v>
      </c>
      <c r="CB74" s="594">
        <v>5494</v>
      </c>
      <c r="CC74" s="594">
        <v>5444</v>
      </c>
      <c r="CD74" s="594">
        <v>5394</v>
      </c>
      <c r="CE74" s="594">
        <v>4584</v>
      </c>
      <c r="CF74" s="595">
        <f>CE74</f>
        <v>4584</v>
      </c>
      <c r="CG74" s="594">
        <v>4535</v>
      </c>
      <c r="CH74" s="594">
        <v>4486</v>
      </c>
      <c r="CI74" s="594">
        <v>4437</v>
      </c>
      <c r="CJ74" s="594">
        <v>4540</v>
      </c>
      <c r="CK74" s="595">
        <f>CJ74</f>
        <v>4540</v>
      </c>
      <c r="CL74" s="594">
        <v>4483</v>
      </c>
      <c r="CM74" s="594">
        <v>4427</v>
      </c>
      <c r="CN74" s="594">
        <v>4429</v>
      </c>
      <c r="CO74" s="594">
        <v>4137</v>
      </c>
      <c r="CP74" s="595">
        <f>CO74</f>
        <v>4137</v>
      </c>
      <c r="CQ74" s="594">
        <v>4077</v>
      </c>
      <c r="CR74" s="594">
        <v>4017</v>
      </c>
      <c r="CS74" s="594">
        <v>3957</v>
      </c>
      <c r="CT74" s="594">
        <v>3528</v>
      </c>
      <c r="CU74" s="595">
        <f>CT74</f>
        <v>3528</v>
      </c>
      <c r="CV74" s="594">
        <v>3471</v>
      </c>
      <c r="CW74" s="594">
        <v>3413</v>
      </c>
      <c r="CX74" s="594">
        <v>3356</v>
      </c>
      <c r="CY74" s="594">
        <v>2503</v>
      </c>
      <c r="CZ74" s="595">
        <f>CY74</f>
        <v>2503</v>
      </c>
      <c r="DA74" s="594">
        <v>2466</v>
      </c>
      <c r="DB74" s="594">
        <v>2424</v>
      </c>
      <c r="DC74" s="594">
        <v>2385</v>
      </c>
      <c r="DD74" s="594">
        <v>2233</v>
      </c>
      <c r="DE74" s="595">
        <f>DD74</f>
        <v>2233</v>
      </c>
      <c r="DF74" s="594">
        <v>2196</v>
      </c>
      <c r="DG74" s="693">
        <v>2159</v>
      </c>
      <c r="DH74" s="703">
        <v>2121</v>
      </c>
      <c r="DI74" s="1077">
        <v>2176</v>
      </c>
      <c r="DJ74" s="595">
        <f>DI74</f>
        <v>2176</v>
      </c>
      <c r="DK74" s="1077">
        <v>2146</v>
      </c>
      <c r="DL74" s="1077">
        <v>2116</v>
      </c>
      <c r="DM74" s="1077">
        <v>2086</v>
      </c>
      <c r="DN74" s="1077">
        <v>2091</v>
      </c>
      <c r="DO74" s="595">
        <f>DN74</f>
        <v>2091</v>
      </c>
      <c r="DP74" s="1077">
        <v>2059</v>
      </c>
      <c r="DQ74" s="1111">
        <v>2027</v>
      </c>
      <c r="DS74" s="594"/>
      <c r="DT74" s="93"/>
      <c r="DU74" s="1077"/>
      <c r="DX74" s="594"/>
      <c r="DY74" s="93"/>
      <c r="DZ74" s="93"/>
      <c r="EA74" s="93"/>
      <c r="EB74" s="93"/>
    </row>
    <row r="75" spans="1:132" s="105" customFormat="1" ht="12" customHeight="1">
      <c r="A75" s="68"/>
      <c r="B75" s="68" t="s">
        <v>70</v>
      </c>
      <c r="C75" s="76">
        <v>0</v>
      </c>
      <c r="D75" s="76">
        <v>0</v>
      </c>
      <c r="E75" s="76">
        <v>0</v>
      </c>
      <c r="F75" s="76">
        <v>0</v>
      </c>
      <c r="G75" s="76">
        <v>0</v>
      </c>
      <c r="H75" s="76">
        <v>6271</v>
      </c>
      <c r="I75" s="76">
        <v>6629</v>
      </c>
      <c r="J75" s="77">
        <v>6629</v>
      </c>
      <c r="K75" s="77">
        <v>6629</v>
      </c>
      <c r="L75" s="77">
        <v>6629</v>
      </c>
      <c r="M75" s="77">
        <f t="shared" si="306"/>
        <v>3169</v>
      </c>
      <c r="N75" s="76">
        <v>3169</v>
      </c>
      <c r="O75" s="77">
        <v>3169</v>
      </c>
      <c r="P75" s="77">
        <v>3169</v>
      </c>
      <c r="Q75" s="77">
        <v>6012</v>
      </c>
      <c r="R75" s="77">
        <f t="shared" si="307"/>
        <v>2948</v>
      </c>
      <c r="S75" s="76">
        <v>2948</v>
      </c>
      <c r="T75" s="77">
        <v>2953</v>
      </c>
      <c r="U75" s="77">
        <v>2954</v>
      </c>
      <c r="V75" s="77">
        <v>2954</v>
      </c>
      <c r="W75" s="77">
        <f t="shared" si="308"/>
        <v>1135</v>
      </c>
      <c r="X75" s="76">
        <v>1135</v>
      </c>
      <c r="Y75" s="77">
        <v>985</v>
      </c>
      <c r="Z75" s="77">
        <v>992</v>
      </c>
      <c r="AA75" s="77">
        <v>980</v>
      </c>
      <c r="AB75" s="77">
        <f t="shared" si="309"/>
        <v>1155</v>
      </c>
      <c r="AC75" s="76">
        <v>1155</v>
      </c>
      <c r="AD75" s="77">
        <v>1073</v>
      </c>
      <c r="AE75" s="77">
        <v>1083</v>
      </c>
      <c r="AF75" s="77">
        <v>1102</v>
      </c>
      <c r="AG75" s="77">
        <f t="shared" si="310"/>
        <v>8383</v>
      </c>
      <c r="AH75" s="76">
        <v>8383</v>
      </c>
      <c r="AI75" s="77">
        <v>8484</v>
      </c>
      <c r="AJ75" s="77">
        <v>8553</v>
      </c>
      <c r="AK75" s="77">
        <v>8553</v>
      </c>
      <c r="AL75" s="77">
        <v>6315</v>
      </c>
      <c r="AM75" s="76">
        <f>AL75</f>
        <v>6315</v>
      </c>
      <c r="AN75" s="77">
        <v>6392</v>
      </c>
      <c r="AO75" s="77">
        <v>6466</v>
      </c>
      <c r="AP75" s="77">
        <v>6522</v>
      </c>
      <c r="AQ75" s="77">
        <v>9800</v>
      </c>
      <c r="AR75" s="76">
        <f>AQ75</f>
        <v>9800</v>
      </c>
      <c r="AS75" s="77">
        <v>9979</v>
      </c>
      <c r="AT75" s="77">
        <v>10155</v>
      </c>
      <c r="AU75" s="86">
        <v>9848</v>
      </c>
      <c r="AV75" s="77">
        <v>16537</v>
      </c>
      <c r="AW75" s="76">
        <f>AV75</f>
        <v>16537</v>
      </c>
      <c r="AX75" s="77">
        <v>16730</v>
      </c>
      <c r="AY75" s="77">
        <v>16164</v>
      </c>
      <c r="AZ75" s="594">
        <v>15586</v>
      </c>
      <c r="BA75" s="594">
        <v>19651</v>
      </c>
      <c r="BB75" s="595">
        <f>BA75</f>
        <v>19651</v>
      </c>
      <c r="BC75" s="594">
        <v>19878</v>
      </c>
      <c r="BD75" s="594">
        <v>20070</v>
      </c>
      <c r="BE75" s="594">
        <v>18559</v>
      </c>
      <c r="BF75" s="594">
        <v>10474</v>
      </c>
      <c r="BG75" s="595">
        <f>BF75</f>
        <v>10474</v>
      </c>
      <c r="BH75" s="594">
        <v>9676</v>
      </c>
      <c r="BI75" s="594">
        <v>9812</v>
      </c>
      <c r="BJ75" s="594">
        <v>9262</v>
      </c>
      <c r="BK75" s="594">
        <v>17182</v>
      </c>
      <c r="BL75" s="595">
        <f>BK75</f>
        <v>17182</v>
      </c>
      <c r="BM75" s="594">
        <v>17362</v>
      </c>
      <c r="BN75" s="594">
        <v>17537</v>
      </c>
      <c r="BO75" s="594">
        <v>17795</v>
      </c>
      <c r="BP75" s="594">
        <v>17783</v>
      </c>
      <c r="BQ75" s="595">
        <f>BP75</f>
        <v>17783</v>
      </c>
      <c r="BR75" s="594">
        <v>18196</v>
      </c>
      <c r="BS75" s="594">
        <v>18200</v>
      </c>
      <c r="BT75" s="594">
        <v>18003</v>
      </c>
      <c r="BU75" s="594">
        <v>19943</v>
      </c>
      <c r="BV75" s="595">
        <f>BU75</f>
        <v>19943</v>
      </c>
      <c r="BW75" s="594">
        <v>19796</v>
      </c>
      <c r="BX75" s="594">
        <v>19651</v>
      </c>
      <c r="BY75" s="594">
        <v>15514</v>
      </c>
      <c r="BZ75" s="594">
        <v>16471</v>
      </c>
      <c r="CA75" s="595">
        <f>BZ75</f>
        <v>16471</v>
      </c>
      <c r="CB75" s="594">
        <v>16279</v>
      </c>
      <c r="CC75" s="594">
        <v>16118</v>
      </c>
      <c r="CD75" s="594">
        <v>15927</v>
      </c>
      <c r="CE75" s="594">
        <v>15323</v>
      </c>
      <c r="CF75" s="595">
        <f>CE75</f>
        <v>15323</v>
      </c>
      <c r="CG75" s="594">
        <v>15077</v>
      </c>
      <c r="CH75" s="594">
        <v>14831</v>
      </c>
      <c r="CI75" s="594">
        <v>14590</v>
      </c>
      <c r="CJ75" s="594">
        <v>16276</v>
      </c>
      <c r="CK75" s="595">
        <f>CJ75</f>
        <v>16276</v>
      </c>
      <c r="CL75" s="594">
        <v>15962</v>
      </c>
      <c r="CM75" s="594">
        <v>15663</v>
      </c>
      <c r="CN75" s="594">
        <v>15343</v>
      </c>
      <c r="CO75" s="594">
        <v>14408</v>
      </c>
      <c r="CP75" s="595">
        <f>CO75</f>
        <v>14408</v>
      </c>
      <c r="CQ75" s="594">
        <v>13968</v>
      </c>
      <c r="CR75" s="594">
        <v>13519</v>
      </c>
      <c r="CS75" s="594">
        <v>11435</v>
      </c>
      <c r="CT75" s="594">
        <v>9104</v>
      </c>
      <c r="CU75" s="595">
        <f>CT75</f>
        <v>9104</v>
      </c>
      <c r="CV75" s="594">
        <v>8719</v>
      </c>
      <c r="CW75" s="594">
        <v>8335</v>
      </c>
      <c r="CX75" s="594">
        <v>7951</v>
      </c>
      <c r="CY75" s="594">
        <v>6141</v>
      </c>
      <c r="CZ75" s="595">
        <f>CY75</f>
        <v>6141</v>
      </c>
      <c r="DA75" s="594">
        <v>5998</v>
      </c>
      <c r="DB75" s="594">
        <v>5855</v>
      </c>
      <c r="DC75" s="594">
        <v>5713</v>
      </c>
      <c r="DD75" s="594">
        <v>6516</v>
      </c>
      <c r="DE75" s="595">
        <f>DD75</f>
        <v>6516</v>
      </c>
      <c r="DF75" s="594">
        <v>6400</v>
      </c>
      <c r="DG75" s="693">
        <v>6248</v>
      </c>
      <c r="DH75" s="703">
        <v>6097</v>
      </c>
      <c r="DI75" s="1077">
        <v>5997</v>
      </c>
      <c r="DJ75" s="595">
        <f>DI75</f>
        <v>5997</v>
      </c>
      <c r="DK75" s="1077">
        <v>5909</v>
      </c>
      <c r="DL75" s="1077">
        <v>5803</v>
      </c>
      <c r="DM75" s="1077">
        <v>5714</v>
      </c>
      <c r="DN75" s="1077">
        <v>4287</v>
      </c>
      <c r="DO75" s="595">
        <f>DN75</f>
        <v>4287</v>
      </c>
      <c r="DP75" s="1077">
        <v>4198</v>
      </c>
      <c r="DQ75" s="1111">
        <v>4108</v>
      </c>
      <c r="DS75" s="594"/>
      <c r="DT75" s="93"/>
      <c r="DU75" s="1077"/>
      <c r="DX75" s="594"/>
      <c r="DY75" s="93"/>
      <c r="DZ75" s="93"/>
      <c r="EA75" s="93"/>
      <c r="EB75" s="93"/>
    </row>
    <row r="76" spans="1:132" s="105" customFormat="1" ht="12" customHeight="1">
      <c r="A76" s="68"/>
      <c r="B76" s="121" t="s">
        <v>52</v>
      </c>
      <c r="C76" s="76">
        <v>0</v>
      </c>
      <c r="D76" s="76">
        <v>0</v>
      </c>
      <c r="E76" s="76">
        <v>0</v>
      </c>
      <c r="F76" s="76">
        <v>0</v>
      </c>
      <c r="G76" s="76">
        <v>0</v>
      </c>
      <c r="H76" s="76">
        <v>0</v>
      </c>
      <c r="I76" s="76">
        <v>0</v>
      </c>
      <c r="J76" s="77">
        <v>0</v>
      </c>
      <c r="K76" s="77">
        <v>0</v>
      </c>
      <c r="L76" s="77">
        <v>0</v>
      </c>
      <c r="M76" s="77">
        <f t="shared" si="306"/>
        <v>0</v>
      </c>
      <c r="N76" s="76">
        <v>0</v>
      </c>
      <c r="O76" s="77">
        <v>0</v>
      </c>
      <c r="P76" s="77">
        <v>0</v>
      </c>
      <c r="Q76" s="77">
        <v>0</v>
      </c>
      <c r="R76" s="77">
        <f t="shared" si="307"/>
        <v>0</v>
      </c>
      <c r="S76" s="76">
        <v>0</v>
      </c>
      <c r="T76" s="77">
        <v>0</v>
      </c>
      <c r="U76" s="77">
        <v>0</v>
      </c>
      <c r="V76" s="77">
        <v>0</v>
      </c>
      <c r="W76" s="77">
        <f t="shared" si="308"/>
        <v>0</v>
      </c>
      <c r="X76" s="76">
        <v>0</v>
      </c>
      <c r="Y76" s="77">
        <v>308</v>
      </c>
      <c r="Z76" s="77">
        <v>732</v>
      </c>
      <c r="AA76" s="77">
        <v>879</v>
      </c>
      <c r="AB76" s="77">
        <f t="shared" si="309"/>
        <v>1121</v>
      </c>
      <c r="AC76" s="76">
        <v>1121</v>
      </c>
      <c r="AD76" s="77">
        <v>1123</v>
      </c>
      <c r="AE76" s="77">
        <v>1148</v>
      </c>
      <c r="AF76" s="77">
        <v>1132</v>
      </c>
      <c r="AG76" s="77">
        <f t="shared" si="310"/>
        <v>1154</v>
      </c>
      <c r="AH76" s="76">
        <v>1154</v>
      </c>
      <c r="AI76" s="77">
        <v>1035</v>
      </c>
      <c r="AJ76" s="77">
        <v>1182</v>
      </c>
      <c r="AK76" s="77">
        <v>998</v>
      </c>
      <c r="AL76" s="77">
        <v>827</v>
      </c>
      <c r="AM76" s="76">
        <f>AL76</f>
        <v>827</v>
      </c>
      <c r="AN76" s="77">
        <v>896</v>
      </c>
      <c r="AO76" s="77">
        <v>860</v>
      </c>
      <c r="AP76" s="77">
        <v>838</v>
      </c>
      <c r="AQ76" s="77">
        <v>418</v>
      </c>
      <c r="AR76" s="76">
        <f>AQ76</f>
        <v>418</v>
      </c>
      <c r="AS76" s="77">
        <v>427</v>
      </c>
      <c r="AT76" s="77">
        <v>383</v>
      </c>
      <c r="AU76" s="86">
        <v>390</v>
      </c>
      <c r="AV76" s="77">
        <v>122</v>
      </c>
      <c r="AW76" s="76">
        <f>AV76</f>
        <v>122</v>
      </c>
      <c r="AX76" s="77">
        <v>192</v>
      </c>
      <c r="AY76" s="77">
        <v>226</v>
      </c>
      <c r="AZ76" s="594">
        <v>166</v>
      </c>
      <c r="BA76" s="594">
        <v>366</v>
      </c>
      <c r="BB76" s="595">
        <f>BA76</f>
        <v>366</v>
      </c>
      <c r="BC76" s="594">
        <v>241</v>
      </c>
      <c r="BD76" s="594">
        <v>275</v>
      </c>
      <c r="BE76" s="594">
        <v>299</v>
      </c>
      <c r="BF76" s="594">
        <v>156</v>
      </c>
      <c r="BG76" s="595">
        <f>BF76</f>
        <v>156</v>
      </c>
      <c r="BH76" s="594">
        <v>166</v>
      </c>
      <c r="BI76" s="594">
        <v>740</v>
      </c>
      <c r="BJ76" s="594">
        <v>709</v>
      </c>
      <c r="BK76" s="594">
        <v>358</v>
      </c>
      <c r="BL76" s="595">
        <f>BK76</f>
        <v>358</v>
      </c>
      <c r="BM76" s="594">
        <v>352</v>
      </c>
      <c r="BN76" s="594">
        <v>389</v>
      </c>
      <c r="BO76" s="594">
        <v>378</v>
      </c>
      <c r="BP76" s="594">
        <v>2392</v>
      </c>
      <c r="BQ76" s="595">
        <f>BP76</f>
        <v>2392</v>
      </c>
      <c r="BR76" s="594">
        <v>2297</v>
      </c>
      <c r="BS76" s="594">
        <v>2422</v>
      </c>
      <c r="BT76" s="594">
        <v>2211</v>
      </c>
      <c r="BU76" s="594">
        <v>1338</v>
      </c>
      <c r="BV76" s="595">
        <f>BU76</f>
        <v>1338</v>
      </c>
      <c r="BW76" s="594">
        <v>1339</v>
      </c>
      <c r="BX76" s="594">
        <v>1415</v>
      </c>
      <c r="BY76" s="594">
        <v>2884</v>
      </c>
      <c r="BZ76" s="594">
        <v>1839</v>
      </c>
      <c r="CA76" s="595">
        <f>BZ76</f>
        <v>1839</v>
      </c>
      <c r="CB76" s="594">
        <v>2001</v>
      </c>
      <c r="CC76" s="594">
        <v>1900</v>
      </c>
      <c r="CD76" s="594">
        <v>1738</v>
      </c>
      <c r="CE76" s="594">
        <v>1736</v>
      </c>
      <c r="CF76" s="595">
        <f>CE76</f>
        <v>1736</v>
      </c>
      <c r="CG76" s="594">
        <v>1656</v>
      </c>
      <c r="CH76" s="594">
        <v>0</v>
      </c>
      <c r="CI76" s="594">
        <v>1615</v>
      </c>
      <c r="CJ76" s="594">
        <v>413</v>
      </c>
      <c r="CK76" s="595">
        <f>CJ76</f>
        <v>413</v>
      </c>
      <c r="CL76" s="594">
        <v>336</v>
      </c>
      <c r="CM76" s="594">
        <v>404</v>
      </c>
      <c r="CN76" s="594">
        <v>503</v>
      </c>
      <c r="CO76" s="594">
        <v>1010</v>
      </c>
      <c r="CP76" s="595">
        <f>CO76</f>
        <v>1010</v>
      </c>
      <c r="CQ76" s="594">
        <v>908</v>
      </c>
      <c r="CR76" s="594">
        <v>1064</v>
      </c>
      <c r="CS76" s="594">
        <v>1185</v>
      </c>
      <c r="CT76" s="594">
        <v>218</v>
      </c>
      <c r="CU76" s="595">
        <f>CT76</f>
        <v>218</v>
      </c>
      <c r="CV76" s="594">
        <v>158</v>
      </c>
      <c r="CW76" s="594">
        <v>38</v>
      </c>
      <c r="CX76" s="594">
        <v>230</v>
      </c>
      <c r="CY76" s="594">
        <v>230</v>
      </c>
      <c r="CZ76" s="595">
        <f>CY76</f>
        <v>230</v>
      </c>
      <c r="DA76" s="594">
        <v>194</v>
      </c>
      <c r="DB76" s="594">
        <v>95</v>
      </c>
      <c r="DC76" s="594">
        <v>218</v>
      </c>
      <c r="DD76" s="594">
        <v>229</v>
      </c>
      <c r="DE76" s="595">
        <f>DD76</f>
        <v>229</v>
      </c>
      <c r="DF76" s="594">
        <v>223</v>
      </c>
      <c r="DG76" s="693">
        <v>291</v>
      </c>
      <c r="DH76" s="703">
        <v>249</v>
      </c>
      <c r="DI76" s="1077">
        <v>122</v>
      </c>
      <c r="DJ76" s="595">
        <f>DI76</f>
        <v>122</v>
      </c>
      <c r="DK76" s="1077">
        <v>162</v>
      </c>
      <c r="DL76" s="1077">
        <v>193</v>
      </c>
      <c r="DM76" s="1077">
        <v>191</v>
      </c>
      <c r="DN76" s="1077">
        <v>216</v>
      </c>
      <c r="DO76" s="595">
        <f>DN76</f>
        <v>216</v>
      </c>
      <c r="DP76" s="1077">
        <v>237</v>
      </c>
      <c r="DQ76" s="1111">
        <v>260</v>
      </c>
      <c r="DS76" s="594"/>
      <c r="DT76" s="93"/>
      <c r="DU76" s="1077"/>
      <c r="DX76" s="594"/>
      <c r="DY76" s="93"/>
      <c r="DZ76" s="93"/>
      <c r="EA76" s="93"/>
      <c r="EB76" s="93"/>
    </row>
    <row r="77" spans="1:132" s="105" customFormat="1" ht="12" customHeight="1">
      <c r="A77" s="68"/>
      <c r="B77" s="68" t="s">
        <v>72</v>
      </c>
      <c r="C77" s="76">
        <v>0</v>
      </c>
      <c r="D77" s="76">
        <v>0</v>
      </c>
      <c r="E77" s="76">
        <v>172</v>
      </c>
      <c r="F77" s="76">
        <v>0</v>
      </c>
      <c r="G77" s="76">
        <f>622+177</f>
        <v>799</v>
      </c>
      <c r="H77" s="76">
        <v>542</v>
      </c>
      <c r="I77" s="76">
        <v>775</v>
      </c>
      <c r="J77" s="77">
        <v>831</v>
      </c>
      <c r="K77" s="77">
        <v>803</v>
      </c>
      <c r="L77" s="77">
        <v>774</v>
      </c>
      <c r="M77" s="77">
        <f t="shared" si="306"/>
        <v>1835</v>
      </c>
      <c r="N77" s="76">
        <f>1090+745</f>
        <v>1835</v>
      </c>
      <c r="O77" s="77">
        <f>715+1186</f>
        <v>1901</v>
      </c>
      <c r="P77" s="77">
        <f>319+1222</f>
        <v>1541</v>
      </c>
      <c r="Q77" s="77">
        <f>294+367</f>
        <v>661</v>
      </c>
      <c r="R77" s="77">
        <f t="shared" si="307"/>
        <v>2336</v>
      </c>
      <c r="S77" s="76">
        <f>269+2067</f>
        <v>2336</v>
      </c>
      <c r="T77" s="77">
        <f>252+2219</f>
        <v>2471</v>
      </c>
      <c r="U77" s="77">
        <f>254+2315</f>
        <v>2569</v>
      </c>
      <c r="V77" s="77">
        <f>276+2930</f>
        <v>3206</v>
      </c>
      <c r="W77" s="77">
        <f t="shared" si="308"/>
        <v>391</v>
      </c>
      <c r="X77" s="76">
        <v>391</v>
      </c>
      <c r="Y77" s="77">
        <v>400</v>
      </c>
      <c r="Z77" s="77">
        <v>400</v>
      </c>
      <c r="AA77" s="77">
        <v>406</v>
      </c>
      <c r="AB77" s="77">
        <f t="shared" si="309"/>
        <v>1706</v>
      </c>
      <c r="AC77" s="76">
        <f>516+1190</f>
        <v>1706</v>
      </c>
      <c r="AD77" s="77">
        <f>391+1470</f>
        <v>1861</v>
      </c>
      <c r="AE77" s="77">
        <f>408+1433</f>
        <v>1841</v>
      </c>
      <c r="AF77" s="77">
        <f>392+1435</f>
        <v>1827</v>
      </c>
      <c r="AG77" s="77">
        <f t="shared" si="310"/>
        <v>337</v>
      </c>
      <c r="AH77" s="76">
        <v>337</v>
      </c>
      <c r="AI77" s="77">
        <v>287</v>
      </c>
      <c r="AJ77" s="77">
        <v>335</v>
      </c>
      <c r="AK77" s="77">
        <v>535</v>
      </c>
      <c r="AL77" s="77">
        <v>537</v>
      </c>
      <c r="AM77" s="76">
        <f>AL77</f>
        <v>537</v>
      </c>
      <c r="AN77" s="77">
        <v>652</v>
      </c>
      <c r="AO77" s="77">
        <v>661</v>
      </c>
      <c r="AP77" s="77">
        <v>544</v>
      </c>
      <c r="AQ77" s="77">
        <v>592</v>
      </c>
      <c r="AR77" s="76">
        <f>AQ77</f>
        <v>592</v>
      </c>
      <c r="AS77" s="77">
        <v>333</v>
      </c>
      <c r="AT77" s="77">
        <v>1027</v>
      </c>
      <c r="AU77" s="86">
        <v>1159</v>
      </c>
      <c r="AV77" s="77">
        <v>907</v>
      </c>
      <c r="AW77" s="76">
        <f>AV77</f>
        <v>907</v>
      </c>
      <c r="AX77" s="77">
        <v>543</v>
      </c>
      <c r="AY77" s="77">
        <v>650</v>
      </c>
      <c r="AZ77" s="594">
        <v>900</v>
      </c>
      <c r="BA77" s="594">
        <v>1429</v>
      </c>
      <c r="BB77" s="595">
        <f>BA77</f>
        <v>1429</v>
      </c>
      <c r="BC77" s="594">
        <v>1401</v>
      </c>
      <c r="BD77" s="594">
        <v>1039</v>
      </c>
      <c r="BE77" s="594">
        <v>936</v>
      </c>
      <c r="BF77" s="594">
        <v>950</v>
      </c>
      <c r="BG77" s="595">
        <f>BF77</f>
        <v>950</v>
      </c>
      <c r="BH77" s="594">
        <v>808</v>
      </c>
      <c r="BI77" s="594">
        <v>864</v>
      </c>
      <c r="BJ77" s="594">
        <v>1046</v>
      </c>
      <c r="BK77" s="594">
        <v>1208</v>
      </c>
      <c r="BL77" s="595">
        <f>BK77</f>
        <v>1208</v>
      </c>
      <c r="BM77" s="594">
        <v>1081</v>
      </c>
      <c r="BN77" s="594">
        <v>1052</v>
      </c>
      <c r="BO77" s="594">
        <v>1083</v>
      </c>
      <c r="BP77" s="594">
        <v>2078</v>
      </c>
      <c r="BQ77" s="595">
        <f>BP77</f>
        <v>2078</v>
      </c>
      <c r="BR77" s="594">
        <f>2096</f>
        <v>2096</v>
      </c>
      <c r="BS77" s="594">
        <v>2048</v>
      </c>
      <c r="BT77" s="594">
        <v>1729</v>
      </c>
      <c r="BU77" s="594">
        <v>2221</v>
      </c>
      <c r="BV77" s="595">
        <f>BU77</f>
        <v>2221</v>
      </c>
      <c r="BW77" s="594">
        <v>2285</v>
      </c>
      <c r="BX77" s="594">
        <v>2128</v>
      </c>
      <c r="BY77" s="594">
        <v>1449</v>
      </c>
      <c r="BZ77" s="594">
        <v>2015</v>
      </c>
      <c r="CA77" s="595">
        <f>BZ77</f>
        <v>2015</v>
      </c>
      <c r="CB77" s="594">
        <v>2474</v>
      </c>
      <c r="CC77" s="594">
        <v>2875</v>
      </c>
      <c r="CD77" s="594">
        <v>2905</v>
      </c>
      <c r="CE77" s="594">
        <v>3059</v>
      </c>
      <c r="CF77" s="595">
        <f>CE77</f>
        <v>3059</v>
      </c>
      <c r="CG77" s="594">
        <v>3731</v>
      </c>
      <c r="CH77" s="594">
        <v>4839</v>
      </c>
      <c r="CI77" s="594">
        <v>3621</v>
      </c>
      <c r="CJ77" s="594">
        <v>3422</v>
      </c>
      <c r="CK77" s="595">
        <f>CJ77</f>
        <v>3422</v>
      </c>
      <c r="CL77" s="594">
        <v>3398</v>
      </c>
      <c r="CM77" s="594">
        <v>2821</v>
      </c>
      <c r="CN77" s="594">
        <v>2907</v>
      </c>
      <c r="CO77" s="594">
        <v>1486</v>
      </c>
      <c r="CP77" s="595">
        <f>CO77</f>
        <v>1486</v>
      </c>
      <c r="CQ77" s="594">
        <v>1477</v>
      </c>
      <c r="CR77" s="594">
        <v>1571</v>
      </c>
      <c r="CS77" s="594">
        <v>1722</v>
      </c>
      <c r="CT77" s="594">
        <v>1750</v>
      </c>
      <c r="CU77" s="595">
        <f>CT77</f>
        <v>1750</v>
      </c>
      <c r="CV77" s="594">
        <v>1879</v>
      </c>
      <c r="CW77" s="594">
        <v>1891</v>
      </c>
      <c r="CX77" s="594">
        <v>2250</v>
      </c>
      <c r="CY77" s="594">
        <v>2211</v>
      </c>
      <c r="CZ77" s="595">
        <f>CY77</f>
        <v>2211</v>
      </c>
      <c r="DA77" s="594">
        <v>2198</v>
      </c>
      <c r="DB77" s="594">
        <v>2158</v>
      </c>
      <c r="DC77" s="594">
        <v>2239</v>
      </c>
      <c r="DD77" s="594">
        <v>2332</v>
      </c>
      <c r="DE77" s="595">
        <f>DD77</f>
        <v>2332</v>
      </c>
      <c r="DF77" s="594">
        <v>2546</v>
      </c>
      <c r="DG77" s="693">
        <v>2212</v>
      </c>
      <c r="DH77" s="703">
        <v>2314</v>
      </c>
      <c r="DI77" s="1077">
        <v>2318</v>
      </c>
      <c r="DJ77" s="595">
        <f>DI77</f>
        <v>2318</v>
      </c>
      <c r="DK77" s="1077">
        <v>2260</v>
      </c>
      <c r="DL77" s="1077">
        <v>2324</v>
      </c>
      <c r="DM77" s="1077">
        <v>2350</v>
      </c>
      <c r="DN77" s="1077">
        <v>2432</v>
      </c>
      <c r="DO77" s="595">
        <f>DN77</f>
        <v>2432</v>
      </c>
      <c r="DP77" s="1077">
        <v>2405</v>
      </c>
      <c r="DQ77" s="1111">
        <v>2462</v>
      </c>
      <c r="DS77" s="594"/>
      <c r="DT77" s="93"/>
      <c r="DU77" s="1077"/>
      <c r="DX77" s="594"/>
      <c r="DY77" s="93"/>
      <c r="DZ77" s="93"/>
      <c r="EA77" s="93"/>
      <c r="EB77" s="93"/>
    </row>
    <row r="78" spans="1:132" s="105" customFormat="1" ht="12" customHeight="1">
      <c r="A78" s="68"/>
      <c r="B78" s="68" t="s">
        <v>73</v>
      </c>
      <c r="C78" s="79">
        <v>6123</v>
      </c>
      <c r="D78" s="79">
        <v>6103</v>
      </c>
      <c r="E78" s="79">
        <v>5980</v>
      </c>
      <c r="F78" s="79">
        <v>7567</v>
      </c>
      <c r="G78" s="79">
        <v>10866</v>
      </c>
      <c r="H78" s="79">
        <v>12589</v>
      </c>
      <c r="I78" s="79">
        <v>13299</v>
      </c>
      <c r="J78" s="80">
        <v>13107</v>
      </c>
      <c r="K78" s="80">
        <v>11084</v>
      </c>
      <c r="L78" s="80">
        <v>11050</v>
      </c>
      <c r="M78" s="80">
        <f t="shared" si="306"/>
        <v>10879</v>
      </c>
      <c r="N78" s="79">
        <v>10879</v>
      </c>
      <c r="O78" s="80">
        <v>10782</v>
      </c>
      <c r="P78" s="80">
        <v>10223</v>
      </c>
      <c r="Q78" s="80">
        <v>10136</v>
      </c>
      <c r="R78" s="80">
        <f t="shared" si="307"/>
        <v>9538</v>
      </c>
      <c r="S78" s="79">
        <v>9538</v>
      </c>
      <c r="T78" s="80">
        <v>9057</v>
      </c>
      <c r="U78" s="80">
        <v>8962</v>
      </c>
      <c r="V78" s="80">
        <v>8549</v>
      </c>
      <c r="W78" s="80">
        <f t="shared" si="308"/>
        <v>8157</v>
      </c>
      <c r="X78" s="79">
        <v>8157</v>
      </c>
      <c r="Y78" s="80">
        <v>8149</v>
      </c>
      <c r="Z78" s="80">
        <v>8094</v>
      </c>
      <c r="AA78" s="80">
        <v>7555</v>
      </c>
      <c r="AB78" s="80">
        <f t="shared" si="309"/>
        <v>7455</v>
      </c>
      <c r="AC78" s="79">
        <v>7455</v>
      </c>
      <c r="AD78" s="80">
        <v>7428</v>
      </c>
      <c r="AE78" s="80">
        <v>7240</v>
      </c>
      <c r="AF78" s="80">
        <v>7217</v>
      </c>
      <c r="AG78" s="80">
        <f t="shared" si="310"/>
        <v>6952</v>
      </c>
      <c r="AH78" s="79">
        <v>6952</v>
      </c>
      <c r="AI78" s="80">
        <v>8742</v>
      </c>
      <c r="AJ78" s="80">
        <v>8700</v>
      </c>
      <c r="AK78" s="80">
        <v>10065</v>
      </c>
      <c r="AL78" s="80">
        <v>12217</v>
      </c>
      <c r="AM78" s="79">
        <f>AL78</f>
        <v>12217</v>
      </c>
      <c r="AN78" s="80">
        <v>11464</v>
      </c>
      <c r="AO78" s="80">
        <v>11439</v>
      </c>
      <c r="AP78" s="80">
        <v>11466</v>
      </c>
      <c r="AQ78" s="80">
        <v>11473</v>
      </c>
      <c r="AR78" s="79">
        <f>AQ78</f>
        <v>11473</v>
      </c>
      <c r="AS78" s="80">
        <v>10723</v>
      </c>
      <c r="AT78" s="80">
        <v>10324</v>
      </c>
      <c r="AU78" s="97">
        <v>10777</v>
      </c>
      <c r="AV78" s="80">
        <v>10018</v>
      </c>
      <c r="AW78" s="79">
        <f>AV78</f>
        <v>10018</v>
      </c>
      <c r="AX78" s="80">
        <v>8817</v>
      </c>
      <c r="AY78" s="80">
        <v>8735</v>
      </c>
      <c r="AZ78" s="568">
        <v>9014</v>
      </c>
      <c r="BA78" s="568">
        <v>8973</v>
      </c>
      <c r="BB78" s="596">
        <f>BA78</f>
        <v>8973</v>
      </c>
      <c r="BC78" s="568">
        <v>8254</v>
      </c>
      <c r="BD78" s="568">
        <v>8695</v>
      </c>
      <c r="BE78" s="568">
        <v>8677</v>
      </c>
      <c r="BF78" s="568">
        <v>8072</v>
      </c>
      <c r="BG78" s="596">
        <f>BF78</f>
        <v>8072</v>
      </c>
      <c r="BH78" s="568">
        <v>7275</v>
      </c>
      <c r="BI78" s="568">
        <v>7292</v>
      </c>
      <c r="BJ78" s="568">
        <v>7301</v>
      </c>
      <c r="BK78" s="568">
        <v>8141</v>
      </c>
      <c r="BL78" s="596">
        <f>BK78</f>
        <v>8141</v>
      </c>
      <c r="BM78" s="568">
        <v>8905</v>
      </c>
      <c r="BN78" s="568">
        <v>8904</v>
      </c>
      <c r="BO78" s="568">
        <v>8402</v>
      </c>
      <c r="BP78" s="568">
        <v>8730</v>
      </c>
      <c r="BQ78" s="596">
        <f>BP78</f>
        <v>8730</v>
      </c>
      <c r="BR78" s="568">
        <v>8721</v>
      </c>
      <c r="BS78" s="568">
        <v>9847</v>
      </c>
      <c r="BT78" s="568">
        <v>9824</v>
      </c>
      <c r="BU78" s="568">
        <v>9568</v>
      </c>
      <c r="BV78" s="596">
        <f>BU78</f>
        <v>9568</v>
      </c>
      <c r="BW78" s="568">
        <v>10432</v>
      </c>
      <c r="BX78" s="568">
        <v>10055</v>
      </c>
      <c r="BY78" s="568">
        <v>9780</v>
      </c>
      <c r="BZ78" s="568">
        <v>9782</v>
      </c>
      <c r="CA78" s="596">
        <f>BZ78</f>
        <v>9782</v>
      </c>
      <c r="CB78" s="568">
        <v>10471</v>
      </c>
      <c r="CC78" s="568">
        <v>10507</v>
      </c>
      <c r="CD78" s="568">
        <v>10487</v>
      </c>
      <c r="CE78" s="568">
        <v>10657</v>
      </c>
      <c r="CF78" s="596">
        <f>CE78</f>
        <v>10657</v>
      </c>
      <c r="CG78" s="568">
        <v>11363</v>
      </c>
      <c r="CH78" s="568">
        <v>14859</v>
      </c>
      <c r="CI78" s="568">
        <v>20298</v>
      </c>
      <c r="CJ78" s="568">
        <v>19962</v>
      </c>
      <c r="CK78" s="596">
        <f>CJ78</f>
        <v>19962</v>
      </c>
      <c r="CL78" s="568">
        <v>33754</v>
      </c>
      <c r="CM78" s="568">
        <v>58457</v>
      </c>
      <c r="CN78" s="568">
        <v>57325</v>
      </c>
      <c r="CO78" s="568">
        <v>61890</v>
      </c>
      <c r="CP78" s="596">
        <f>CO78</f>
        <v>61890</v>
      </c>
      <c r="CQ78" s="568">
        <v>57554</v>
      </c>
      <c r="CR78" s="568">
        <v>57025</v>
      </c>
      <c r="CS78" s="568">
        <v>57042</v>
      </c>
      <c r="CT78" s="568">
        <v>56806</v>
      </c>
      <c r="CU78" s="596">
        <f>CT78</f>
        <v>56806</v>
      </c>
      <c r="CV78" s="568">
        <v>55150</v>
      </c>
      <c r="CW78" s="568">
        <v>51794</v>
      </c>
      <c r="CX78" s="568">
        <v>51788</v>
      </c>
      <c r="CY78" s="568">
        <v>51811</v>
      </c>
      <c r="CZ78" s="596">
        <f>CY78</f>
        <v>51811</v>
      </c>
      <c r="DA78" s="568">
        <v>47465</v>
      </c>
      <c r="DB78" s="568">
        <v>47659</v>
      </c>
      <c r="DC78" s="568">
        <v>47381</v>
      </c>
      <c r="DD78" s="568">
        <v>47103</v>
      </c>
      <c r="DE78" s="596">
        <f>DD78</f>
        <v>47103</v>
      </c>
      <c r="DF78" s="568">
        <v>46877</v>
      </c>
      <c r="DG78" s="568">
        <v>53162</v>
      </c>
      <c r="DH78" s="722">
        <v>53176</v>
      </c>
      <c r="DI78" s="1078">
        <v>52586</v>
      </c>
      <c r="DJ78" s="596">
        <f>DI78</f>
        <v>52586</v>
      </c>
      <c r="DK78" s="1078">
        <v>45688</v>
      </c>
      <c r="DL78" s="1078">
        <v>44604</v>
      </c>
      <c r="DM78" s="1078">
        <v>44611</v>
      </c>
      <c r="DN78" s="1078">
        <v>45637</v>
      </c>
      <c r="DO78" s="596">
        <f>DN78</f>
        <v>45637</v>
      </c>
      <c r="DP78" s="1078">
        <v>44354</v>
      </c>
      <c r="DQ78" s="1112">
        <v>41335</v>
      </c>
      <c r="DS78" s="568"/>
      <c r="DT78" s="93"/>
      <c r="DU78" s="1078"/>
      <c r="DX78" s="568"/>
      <c r="DY78" s="93"/>
      <c r="DZ78" s="93"/>
      <c r="EA78" s="93"/>
      <c r="EB78" s="93"/>
    </row>
    <row r="79" spans="1:132" s="277" customFormat="1" ht="12" customHeight="1">
      <c r="A79" s="74"/>
      <c r="B79" s="74" t="s">
        <v>138</v>
      </c>
      <c r="C79" s="71">
        <f t="shared" ref="C79:L79" si="335">SUM(C74:C78)+C73</f>
        <v>25071</v>
      </c>
      <c r="D79" s="71">
        <f t="shared" si="335"/>
        <v>24356</v>
      </c>
      <c r="E79" s="71">
        <f t="shared" si="335"/>
        <v>24685</v>
      </c>
      <c r="F79" s="71">
        <f t="shared" si="335"/>
        <v>31008</v>
      </c>
      <c r="G79" s="71">
        <f t="shared" si="335"/>
        <v>37518</v>
      </c>
      <c r="H79" s="71">
        <f t="shared" si="335"/>
        <v>44646</v>
      </c>
      <c r="I79" s="71">
        <f t="shared" si="335"/>
        <v>44896</v>
      </c>
      <c r="J79" s="72">
        <f t="shared" si="335"/>
        <v>44941</v>
      </c>
      <c r="K79" s="72">
        <f t="shared" si="335"/>
        <v>45334</v>
      </c>
      <c r="L79" s="72">
        <f t="shared" si="335"/>
        <v>45846</v>
      </c>
      <c r="M79" s="72">
        <f t="shared" si="306"/>
        <v>42677</v>
      </c>
      <c r="N79" s="71">
        <f>SUM(N74:N78)+N73</f>
        <v>42677</v>
      </c>
      <c r="O79" s="72">
        <f>SUM(O74:O78)+O73</f>
        <v>45236</v>
      </c>
      <c r="P79" s="72">
        <f>SUM(P74:P78)+P73</f>
        <v>45362</v>
      </c>
      <c r="Q79" s="72">
        <f>SUM(Q74:Q78)+Q73</f>
        <v>48895</v>
      </c>
      <c r="R79" s="72">
        <f t="shared" si="307"/>
        <v>48999</v>
      </c>
      <c r="S79" s="71">
        <f>SUM(S74:S78)+S73</f>
        <v>48999</v>
      </c>
      <c r="T79" s="72">
        <f>SUM(T74:T78)+T73</f>
        <v>49891</v>
      </c>
      <c r="U79" s="72">
        <f>SUM(U74:U78)+U73</f>
        <v>50900</v>
      </c>
      <c r="V79" s="72">
        <f>SUM(V74:V78)+V73</f>
        <v>50432</v>
      </c>
      <c r="W79" s="72">
        <f t="shared" si="308"/>
        <v>47055</v>
      </c>
      <c r="X79" s="71">
        <f>SUM(X74:X78)+X73</f>
        <v>47055</v>
      </c>
      <c r="Y79" s="72">
        <f>SUM(Y74:Y78)+Y73</f>
        <v>45945</v>
      </c>
      <c r="Z79" s="72">
        <f>SUM(Z74:Z78)+Z73</f>
        <v>48029</v>
      </c>
      <c r="AA79" s="72">
        <f>SUM(AA74:AA78)+AA73</f>
        <v>48381</v>
      </c>
      <c r="AB79" s="72">
        <f t="shared" si="309"/>
        <v>49982</v>
      </c>
      <c r="AC79" s="71">
        <f>SUM(AC74:AC78)+AC73</f>
        <v>49982</v>
      </c>
      <c r="AD79" s="72">
        <f>SUM(AD74:AD78)+AD73</f>
        <v>51294</v>
      </c>
      <c r="AE79" s="72">
        <f>SUM(AE74:AE78)+AE73</f>
        <v>49916</v>
      </c>
      <c r="AF79" s="72">
        <f>SUM(AF74:AF78)+AF73</f>
        <v>47805</v>
      </c>
      <c r="AG79" s="72">
        <f t="shared" si="310"/>
        <v>55073</v>
      </c>
      <c r="AH79" s="71">
        <f t="shared" ref="AH79:DF79" si="336">SUM(AH74:AH78)+AH73</f>
        <v>55073</v>
      </c>
      <c r="AI79" s="72">
        <f t="shared" si="336"/>
        <v>55849</v>
      </c>
      <c r="AJ79" s="72">
        <f t="shared" si="336"/>
        <v>57378</v>
      </c>
      <c r="AK79" s="72">
        <f t="shared" si="336"/>
        <v>59544</v>
      </c>
      <c r="AL79" s="72">
        <f t="shared" si="336"/>
        <v>59828</v>
      </c>
      <c r="AM79" s="71">
        <f t="shared" si="336"/>
        <v>59828</v>
      </c>
      <c r="AN79" s="72">
        <f t="shared" si="336"/>
        <v>59931</v>
      </c>
      <c r="AO79" s="72">
        <f t="shared" si="336"/>
        <v>60582</v>
      </c>
      <c r="AP79" s="72">
        <f t="shared" si="336"/>
        <v>60670</v>
      </c>
      <c r="AQ79" s="72">
        <f t="shared" si="336"/>
        <v>65703</v>
      </c>
      <c r="AR79" s="71">
        <f>SUM(AR74:AR78)+AR73</f>
        <v>65703</v>
      </c>
      <c r="AS79" s="72">
        <f t="shared" si="336"/>
        <v>64753</v>
      </c>
      <c r="AT79" s="72">
        <f t="shared" si="336"/>
        <v>67295</v>
      </c>
      <c r="AU79" s="90">
        <f t="shared" si="336"/>
        <v>68102</v>
      </c>
      <c r="AV79" s="72">
        <f t="shared" si="336"/>
        <v>76378</v>
      </c>
      <c r="AW79" s="71">
        <f>SUM(AW74:AW78)+AW73</f>
        <v>76378</v>
      </c>
      <c r="AX79" s="72">
        <f t="shared" si="336"/>
        <v>75085</v>
      </c>
      <c r="AY79" s="72">
        <f t="shared" si="336"/>
        <v>75703</v>
      </c>
      <c r="AZ79" s="597">
        <f t="shared" si="336"/>
        <v>75972</v>
      </c>
      <c r="BA79" s="597">
        <f t="shared" si="336"/>
        <v>82929</v>
      </c>
      <c r="BB79" s="598">
        <f>SUM(BB74:BB78)+BB73</f>
        <v>82929</v>
      </c>
      <c r="BC79" s="597">
        <f t="shared" si="336"/>
        <v>82887</v>
      </c>
      <c r="BD79" s="597">
        <f t="shared" si="336"/>
        <v>84459</v>
      </c>
      <c r="BE79" s="597">
        <f t="shared" si="336"/>
        <v>85566</v>
      </c>
      <c r="BF79" s="597">
        <f t="shared" si="336"/>
        <v>77666</v>
      </c>
      <c r="BG79" s="598">
        <f>SUM(BG74:BG78)+BG73</f>
        <v>77666</v>
      </c>
      <c r="BH79" s="597">
        <f t="shared" si="336"/>
        <v>76942</v>
      </c>
      <c r="BI79" s="597">
        <f t="shared" si="336"/>
        <v>78553</v>
      </c>
      <c r="BJ79" s="597">
        <f t="shared" si="336"/>
        <v>78016</v>
      </c>
      <c r="BK79" s="597">
        <f t="shared" si="336"/>
        <v>90408</v>
      </c>
      <c r="BL79" s="598">
        <f>SUM(BL74:BL78)+BL73</f>
        <v>90408</v>
      </c>
      <c r="BM79" s="597">
        <f t="shared" si="336"/>
        <v>89745</v>
      </c>
      <c r="BN79" s="597">
        <f t="shared" si="336"/>
        <v>91795</v>
      </c>
      <c r="BO79" s="597">
        <f t="shared" si="336"/>
        <v>92212</v>
      </c>
      <c r="BP79" s="597">
        <f t="shared" si="336"/>
        <v>88011</v>
      </c>
      <c r="BQ79" s="598">
        <f>SUM(BQ74:BQ78)+BQ73</f>
        <v>88011</v>
      </c>
      <c r="BR79" s="597">
        <f t="shared" si="336"/>
        <v>87441</v>
      </c>
      <c r="BS79" s="597">
        <f t="shared" si="336"/>
        <v>88962</v>
      </c>
      <c r="BT79" s="597">
        <f t="shared" si="336"/>
        <v>86800</v>
      </c>
      <c r="BU79" s="597">
        <f t="shared" si="336"/>
        <v>89120</v>
      </c>
      <c r="BV79" s="598">
        <f>SUM(BV74:BV78)+BV73</f>
        <v>89120</v>
      </c>
      <c r="BW79" s="597">
        <f t="shared" si="336"/>
        <v>89518</v>
      </c>
      <c r="BX79" s="597">
        <f t="shared" si="336"/>
        <v>92014</v>
      </c>
      <c r="BY79" s="597">
        <f t="shared" si="336"/>
        <v>89862</v>
      </c>
      <c r="BZ79" s="597">
        <f t="shared" si="336"/>
        <v>91921</v>
      </c>
      <c r="CA79" s="598">
        <f>SUM(CA74:CA78)+CA73</f>
        <v>91921</v>
      </c>
      <c r="CB79" s="597">
        <f t="shared" si="336"/>
        <v>112251</v>
      </c>
      <c r="CC79" s="597">
        <f t="shared" si="336"/>
        <v>114569</v>
      </c>
      <c r="CD79" s="597">
        <f t="shared" si="336"/>
        <v>115868</v>
      </c>
      <c r="CE79" s="597">
        <f t="shared" si="336"/>
        <v>116949</v>
      </c>
      <c r="CF79" s="598">
        <f>SUM(CF74:CF78)+CF73</f>
        <v>116949</v>
      </c>
      <c r="CG79" s="597">
        <f t="shared" si="336"/>
        <v>119977</v>
      </c>
      <c r="CH79" s="597">
        <f t="shared" si="336"/>
        <v>131204</v>
      </c>
      <c r="CI79" s="597">
        <f t="shared" si="336"/>
        <v>136407</v>
      </c>
      <c r="CJ79" s="597">
        <f t="shared" si="336"/>
        <v>141925</v>
      </c>
      <c r="CK79" s="598">
        <f>SUM(CK74:CK78)+CK73</f>
        <v>141925</v>
      </c>
      <c r="CL79" s="597">
        <f t="shared" si="336"/>
        <v>152435</v>
      </c>
      <c r="CM79" s="597">
        <f t="shared" si="336"/>
        <v>174254</v>
      </c>
      <c r="CN79" s="597">
        <f t="shared" si="336"/>
        <v>172814</v>
      </c>
      <c r="CO79" s="597">
        <f t="shared" si="336"/>
        <v>170211</v>
      </c>
      <c r="CP79" s="598">
        <f>SUM(CP74:CP78)+CP73</f>
        <v>170211</v>
      </c>
      <c r="CQ79" s="597">
        <f t="shared" si="336"/>
        <v>167876</v>
      </c>
      <c r="CR79" s="597">
        <f t="shared" si="336"/>
        <v>165420</v>
      </c>
      <c r="CS79" s="597">
        <f t="shared" si="336"/>
        <v>161112</v>
      </c>
      <c r="CT79" s="597">
        <f t="shared" si="336"/>
        <v>153398</v>
      </c>
      <c r="CU79" s="598">
        <f>SUM(CU74:CU78)+CU73</f>
        <v>153398</v>
      </c>
      <c r="CV79" s="597">
        <f t="shared" si="336"/>
        <v>151069</v>
      </c>
      <c r="CW79" s="597">
        <f t="shared" si="336"/>
        <v>150270</v>
      </c>
      <c r="CX79" s="597">
        <f t="shared" si="336"/>
        <v>155193</v>
      </c>
      <c r="CY79" s="597">
        <f t="shared" si="336"/>
        <v>152948</v>
      </c>
      <c r="CZ79" s="598">
        <f>SUM(CZ74:CZ78)+CZ73</f>
        <v>152948</v>
      </c>
      <c r="DA79" s="597">
        <f t="shared" si="336"/>
        <v>151831</v>
      </c>
      <c r="DB79" s="597">
        <f t="shared" si="336"/>
        <v>150267</v>
      </c>
      <c r="DC79" s="597">
        <f t="shared" si="336"/>
        <v>150998</v>
      </c>
      <c r="DD79" s="597">
        <f t="shared" si="336"/>
        <v>154240</v>
      </c>
      <c r="DE79" s="598">
        <f>SUM(DE74:DE78)+DE73</f>
        <v>154240</v>
      </c>
      <c r="DF79" s="597">
        <f t="shared" si="336"/>
        <v>151500</v>
      </c>
      <c r="DG79" s="597">
        <f t="shared" ref="DG79:DI79" si="337">SUM(DG74:DG78)+DG73</f>
        <v>160702</v>
      </c>
      <c r="DH79" s="1065">
        <f t="shared" si="337"/>
        <v>161257</v>
      </c>
      <c r="DI79" s="597">
        <f t="shared" si="337"/>
        <v>160277</v>
      </c>
      <c r="DJ79" s="598">
        <f>SUM(DJ74:DJ78)+DJ73</f>
        <v>160277</v>
      </c>
      <c r="DK79" s="597">
        <f t="shared" ref="DK79" si="338">SUM(DK74:DK78)+DK73</f>
        <v>159819</v>
      </c>
      <c r="DL79" s="597">
        <f t="shared" ref="DL79" si="339">SUM(DL74:DL78)+DL73</f>
        <v>158416</v>
      </c>
      <c r="DM79" s="597">
        <f t="shared" ref="DM79" si="340">SUM(DM74:DM78)+DM73</f>
        <v>158276</v>
      </c>
      <c r="DN79" s="597">
        <f t="shared" ref="DN79:DP79" si="341">SUM(DN74:DN78)+DN73</f>
        <v>162778</v>
      </c>
      <c r="DO79" s="598">
        <f>SUM(DO74:DO78)+DO73</f>
        <v>162778</v>
      </c>
      <c r="DP79" s="597">
        <f t="shared" si="341"/>
        <v>158800</v>
      </c>
      <c r="DQ79" s="1065">
        <f t="shared" ref="DQ79" si="342">SUM(DQ74:DQ78)+DQ73</f>
        <v>159755</v>
      </c>
      <c r="DS79" s="597"/>
      <c r="DT79" s="85"/>
      <c r="DU79" s="597"/>
      <c r="DX79" s="597"/>
      <c r="DY79" s="85"/>
      <c r="DZ79" s="85"/>
      <c r="EA79" s="85"/>
      <c r="EB79" s="85"/>
    </row>
    <row r="80" spans="1:132" s="105" customFormat="1" ht="12" customHeight="1">
      <c r="A80" s="68"/>
      <c r="B80" s="68" t="s">
        <v>74</v>
      </c>
      <c r="C80" s="76">
        <v>5000</v>
      </c>
      <c r="D80" s="76">
        <v>5059</v>
      </c>
      <c r="E80" s="76">
        <v>5059</v>
      </c>
      <c r="F80" s="76">
        <v>5059</v>
      </c>
      <c r="G80" s="76">
        <v>5059</v>
      </c>
      <c r="H80" s="76">
        <v>5059</v>
      </c>
      <c r="I80" s="76">
        <v>5059</v>
      </c>
      <c r="J80" s="77">
        <v>5059</v>
      </c>
      <c r="K80" s="77">
        <v>5059</v>
      </c>
      <c r="L80" s="77">
        <v>5059</v>
      </c>
      <c r="M80" s="77">
        <f t="shared" si="306"/>
        <v>5059</v>
      </c>
      <c r="N80" s="76">
        <v>5059</v>
      </c>
      <c r="O80" s="77">
        <v>5059</v>
      </c>
      <c r="P80" s="77">
        <v>5059</v>
      </c>
      <c r="Q80" s="77">
        <v>5061</v>
      </c>
      <c r="R80" s="77">
        <f t="shared" si="307"/>
        <v>5061</v>
      </c>
      <c r="S80" s="76">
        <v>5061</v>
      </c>
      <c r="T80" s="77">
        <v>5061</v>
      </c>
      <c r="U80" s="77">
        <v>5061</v>
      </c>
      <c r="V80" s="77">
        <v>5061</v>
      </c>
      <c r="W80" s="77">
        <f t="shared" si="308"/>
        <v>5061</v>
      </c>
      <c r="X80" s="76">
        <v>5061</v>
      </c>
      <c r="Y80" s="77">
        <v>5061</v>
      </c>
      <c r="Z80" s="77">
        <v>5061</v>
      </c>
      <c r="AA80" s="77">
        <v>5061</v>
      </c>
      <c r="AB80" s="77">
        <f t="shared" si="309"/>
        <v>5061</v>
      </c>
      <c r="AC80" s="76">
        <v>5061</v>
      </c>
      <c r="AD80" s="77">
        <v>5061</v>
      </c>
      <c r="AE80" s="77">
        <v>5061</v>
      </c>
      <c r="AF80" s="77">
        <v>5061</v>
      </c>
      <c r="AG80" s="77">
        <f t="shared" si="310"/>
        <v>5061</v>
      </c>
      <c r="AH80" s="76">
        <v>5061</v>
      </c>
      <c r="AI80" s="77">
        <v>5061</v>
      </c>
      <c r="AJ80" s="77">
        <v>5061</v>
      </c>
      <c r="AK80" s="77">
        <v>5061</v>
      </c>
      <c r="AL80" s="77">
        <v>5061</v>
      </c>
      <c r="AM80" s="76">
        <f t="shared" ref="AM80:AM85" si="343">AL80</f>
        <v>5061</v>
      </c>
      <c r="AN80" s="77">
        <v>5061</v>
      </c>
      <c r="AO80" s="77">
        <v>5061</v>
      </c>
      <c r="AP80" s="77">
        <v>5061</v>
      </c>
      <c r="AQ80" s="77">
        <v>5061</v>
      </c>
      <c r="AR80" s="76">
        <f t="shared" ref="AR80:AR85" si="344">AQ80</f>
        <v>5061</v>
      </c>
      <c r="AS80" s="77">
        <v>5061</v>
      </c>
      <c r="AT80" s="77">
        <v>5061</v>
      </c>
      <c r="AU80" s="86">
        <v>5061</v>
      </c>
      <c r="AV80" s="77">
        <v>5061</v>
      </c>
      <c r="AW80" s="76">
        <f t="shared" ref="AW80:AW85" si="345">AV80</f>
        <v>5061</v>
      </c>
      <c r="AX80" s="77">
        <v>5061</v>
      </c>
      <c r="AY80" s="77">
        <v>5061</v>
      </c>
      <c r="AZ80" s="594">
        <v>5061</v>
      </c>
      <c r="BA80" s="594">
        <v>5061</v>
      </c>
      <c r="BB80" s="595">
        <f t="shared" ref="BB80:BB85" si="346">BA80</f>
        <v>5061</v>
      </c>
      <c r="BC80" s="594">
        <v>5061</v>
      </c>
      <c r="BD80" s="594">
        <v>5061</v>
      </c>
      <c r="BE80" s="594">
        <v>5061</v>
      </c>
      <c r="BF80" s="594">
        <v>5061</v>
      </c>
      <c r="BG80" s="595">
        <f t="shared" ref="BG80:BG85" si="347">BF80</f>
        <v>5061</v>
      </c>
      <c r="BH80" s="594">
        <v>5061</v>
      </c>
      <c r="BI80" s="594">
        <v>5061</v>
      </c>
      <c r="BJ80" s="594">
        <v>5061</v>
      </c>
      <c r="BK80" s="594">
        <v>5061</v>
      </c>
      <c r="BL80" s="595">
        <f t="shared" ref="BL80:BL85" si="348">BK80</f>
        <v>5061</v>
      </c>
      <c r="BM80" s="594">
        <v>5061</v>
      </c>
      <c r="BN80" s="594">
        <v>5061</v>
      </c>
      <c r="BO80" s="594">
        <v>5061</v>
      </c>
      <c r="BP80" s="594">
        <v>5061</v>
      </c>
      <c r="BQ80" s="595">
        <f t="shared" ref="BQ80:BQ85" si="349">BP80</f>
        <v>5061</v>
      </c>
      <c r="BR80" s="594">
        <v>5061</v>
      </c>
      <c r="BS80" s="594">
        <v>5061</v>
      </c>
      <c r="BT80" s="594">
        <v>5061</v>
      </c>
      <c r="BU80" s="594">
        <v>5061</v>
      </c>
      <c r="BV80" s="595">
        <f t="shared" ref="BV80:BV85" si="350">BU80</f>
        <v>5061</v>
      </c>
      <c r="BW80" s="594">
        <v>5061</v>
      </c>
      <c r="BX80" s="594">
        <v>5061</v>
      </c>
      <c r="BY80" s="594">
        <v>5061</v>
      </c>
      <c r="BZ80" s="594">
        <v>5061</v>
      </c>
      <c r="CA80" s="595">
        <f t="shared" ref="CA80:CA85" si="351">BZ80</f>
        <v>5061</v>
      </c>
      <c r="CB80" s="594">
        <v>5061</v>
      </c>
      <c r="CC80" s="594">
        <v>5061</v>
      </c>
      <c r="CD80" s="594">
        <v>5061</v>
      </c>
      <c r="CE80" s="594">
        <v>5061</v>
      </c>
      <c r="CF80" s="595">
        <f t="shared" ref="CF80:CF85" si="352">CE80</f>
        <v>5061</v>
      </c>
      <c r="CG80" s="594">
        <v>5061</v>
      </c>
      <c r="CH80" s="594">
        <v>5061</v>
      </c>
      <c r="CI80" s="594">
        <v>5061</v>
      </c>
      <c r="CJ80" s="594">
        <v>5061</v>
      </c>
      <c r="CK80" s="595">
        <f t="shared" ref="CK80:CK85" si="353">CJ80</f>
        <v>5061</v>
      </c>
      <c r="CL80" s="594">
        <v>5061</v>
      </c>
      <c r="CM80" s="594">
        <v>5061</v>
      </c>
      <c r="CN80" s="594">
        <v>5061</v>
      </c>
      <c r="CO80" s="594">
        <v>5061</v>
      </c>
      <c r="CP80" s="595">
        <f t="shared" ref="CP80:CP85" si="354">CO80</f>
        <v>5061</v>
      </c>
      <c r="CQ80" s="594">
        <v>5061</v>
      </c>
      <c r="CR80" s="594">
        <v>5061</v>
      </c>
      <c r="CS80" s="594">
        <v>5061</v>
      </c>
      <c r="CT80" s="594">
        <v>5061</v>
      </c>
      <c r="CU80" s="595">
        <f t="shared" ref="CU80:CU85" si="355">CT80</f>
        <v>5061</v>
      </c>
      <c r="CV80" s="594">
        <v>5061</v>
      </c>
      <c r="CW80" s="594">
        <v>5061</v>
      </c>
      <c r="CX80" s="594">
        <v>5061</v>
      </c>
      <c r="CY80" s="594">
        <v>5061</v>
      </c>
      <c r="CZ80" s="595">
        <f t="shared" ref="CZ80:CZ85" si="356">CY80</f>
        <v>5061</v>
      </c>
      <c r="DA80" s="594">
        <v>5061</v>
      </c>
      <c r="DB80" s="594">
        <v>5061</v>
      </c>
      <c r="DC80" s="594">
        <v>5061</v>
      </c>
      <c r="DD80" s="594">
        <v>5061</v>
      </c>
      <c r="DE80" s="595">
        <f t="shared" ref="DE80:DE85" si="357">DD80</f>
        <v>5061</v>
      </c>
      <c r="DF80" s="594">
        <v>5061</v>
      </c>
      <c r="DG80" s="693">
        <v>5061</v>
      </c>
      <c r="DH80" s="703">
        <v>5061</v>
      </c>
      <c r="DI80" s="1077">
        <v>5061</v>
      </c>
      <c r="DJ80" s="595">
        <f t="shared" ref="DJ80:DJ85" si="358">DI80</f>
        <v>5061</v>
      </c>
      <c r="DK80" s="1077">
        <v>5061</v>
      </c>
      <c r="DL80" s="1077">
        <v>5061</v>
      </c>
      <c r="DM80" s="1077">
        <v>5061</v>
      </c>
      <c r="DN80" s="1077">
        <v>5061</v>
      </c>
      <c r="DO80" s="595">
        <f t="shared" ref="DO80:DO85" si="359">DN80</f>
        <v>5061</v>
      </c>
      <c r="DP80" s="1077">
        <v>5061</v>
      </c>
      <c r="DQ80" s="1111">
        <v>5061</v>
      </c>
      <c r="DS80" s="594"/>
      <c r="DT80" s="93"/>
      <c r="DU80" s="1077"/>
      <c r="DX80" s="594"/>
      <c r="DY80" s="93"/>
      <c r="DZ80" s="93"/>
      <c r="EA80" s="93"/>
      <c r="EB80" s="93"/>
    </row>
    <row r="81" spans="1:132" s="105" customFormat="1" ht="12" customHeight="1">
      <c r="A81" s="68"/>
      <c r="B81" s="68" t="s">
        <v>75</v>
      </c>
      <c r="C81" s="76">
        <v>1090</v>
      </c>
      <c r="D81" s="76">
        <v>1147</v>
      </c>
      <c r="E81" s="76">
        <v>1684</v>
      </c>
      <c r="F81" s="76">
        <v>2693</v>
      </c>
      <c r="G81" s="76">
        <v>1975</v>
      </c>
      <c r="H81" s="76">
        <v>2141</v>
      </c>
      <c r="I81" s="76">
        <v>2880</v>
      </c>
      <c r="J81" s="77">
        <v>2846</v>
      </c>
      <c r="K81" s="77">
        <v>3212</v>
      </c>
      <c r="L81" s="77">
        <v>3272</v>
      </c>
      <c r="M81" s="77">
        <f t="shared" si="306"/>
        <v>3420</v>
      </c>
      <c r="N81" s="76">
        <v>3420</v>
      </c>
      <c r="O81" s="77">
        <v>3696</v>
      </c>
      <c r="P81" s="77">
        <v>4009</v>
      </c>
      <c r="Q81" s="77">
        <v>3840</v>
      </c>
      <c r="R81" s="77">
        <f t="shared" si="307"/>
        <v>4371</v>
      </c>
      <c r="S81" s="76">
        <v>4371</v>
      </c>
      <c r="T81" s="77">
        <v>4643</v>
      </c>
      <c r="U81" s="77">
        <v>4564</v>
      </c>
      <c r="V81" s="77">
        <v>4313</v>
      </c>
      <c r="W81" s="77">
        <f t="shared" si="308"/>
        <v>4655</v>
      </c>
      <c r="X81" s="76">
        <v>4655</v>
      </c>
      <c r="Y81" s="77">
        <v>4691</v>
      </c>
      <c r="Z81" s="77">
        <v>4899</v>
      </c>
      <c r="AA81" s="77">
        <v>5242</v>
      </c>
      <c r="AB81" s="77">
        <f t="shared" si="309"/>
        <v>4757</v>
      </c>
      <c r="AC81" s="76">
        <v>4757</v>
      </c>
      <c r="AD81" s="77">
        <v>4357</v>
      </c>
      <c r="AE81" s="77">
        <v>4093</v>
      </c>
      <c r="AF81" s="77">
        <v>3792</v>
      </c>
      <c r="AG81" s="77">
        <f t="shared" si="310"/>
        <v>3456</v>
      </c>
      <c r="AH81" s="76">
        <v>3456</v>
      </c>
      <c r="AI81" s="77">
        <v>3289</v>
      </c>
      <c r="AJ81" s="77">
        <v>3561</v>
      </c>
      <c r="AK81" s="77">
        <v>3956</v>
      </c>
      <c r="AL81" s="77">
        <v>3724</v>
      </c>
      <c r="AM81" s="76">
        <f t="shared" si="343"/>
        <v>3724</v>
      </c>
      <c r="AN81" s="77">
        <v>4264</v>
      </c>
      <c r="AO81" s="77">
        <v>3832</v>
      </c>
      <c r="AP81" s="77">
        <v>3826</v>
      </c>
      <c r="AQ81" s="77">
        <v>3866</v>
      </c>
      <c r="AR81" s="76">
        <f t="shared" si="344"/>
        <v>3866</v>
      </c>
      <c r="AS81" s="77">
        <v>3903</v>
      </c>
      <c r="AT81" s="77">
        <v>3945</v>
      </c>
      <c r="AU81" s="86">
        <v>3988</v>
      </c>
      <c r="AV81" s="77">
        <v>4033</v>
      </c>
      <c r="AW81" s="76">
        <f t="shared" si="345"/>
        <v>4033</v>
      </c>
      <c r="AX81" s="77">
        <v>3977</v>
      </c>
      <c r="AY81" s="77">
        <v>4018</v>
      </c>
      <c r="AZ81" s="594">
        <v>4068</v>
      </c>
      <c r="BA81" s="594">
        <v>4122</v>
      </c>
      <c r="BB81" s="595">
        <f t="shared" si="346"/>
        <v>4122</v>
      </c>
      <c r="BC81" s="594">
        <v>4079</v>
      </c>
      <c r="BD81" s="594">
        <v>4181</v>
      </c>
      <c r="BE81" s="594">
        <v>4295</v>
      </c>
      <c r="BF81" s="594">
        <v>4415</v>
      </c>
      <c r="BG81" s="595">
        <f t="shared" si="347"/>
        <v>4415</v>
      </c>
      <c r="BH81" s="594">
        <v>4441</v>
      </c>
      <c r="BI81" s="594">
        <v>4524</v>
      </c>
      <c r="BJ81" s="594">
        <v>4572</v>
      </c>
      <c r="BK81" s="594">
        <v>4625</v>
      </c>
      <c r="BL81" s="595">
        <f t="shared" si="348"/>
        <v>4625</v>
      </c>
      <c r="BM81" s="594">
        <v>4657</v>
      </c>
      <c r="BN81" s="594">
        <v>4721</v>
      </c>
      <c r="BO81" s="594">
        <v>4771</v>
      </c>
      <c r="BP81" s="594">
        <v>4834</v>
      </c>
      <c r="BQ81" s="595">
        <f t="shared" si="349"/>
        <v>4834</v>
      </c>
      <c r="BR81" s="594">
        <v>4784</v>
      </c>
      <c r="BS81" s="594">
        <v>4778</v>
      </c>
      <c r="BT81" s="594">
        <v>4808</v>
      </c>
      <c r="BU81" s="594">
        <v>4762</v>
      </c>
      <c r="BV81" s="595">
        <f t="shared" si="350"/>
        <v>4762</v>
      </c>
      <c r="BW81" s="594">
        <v>4604</v>
      </c>
      <c r="BX81" s="594">
        <v>4644</v>
      </c>
      <c r="BY81" s="594">
        <v>6754</v>
      </c>
      <c r="BZ81" s="594">
        <v>6804</v>
      </c>
      <c r="CA81" s="595">
        <f t="shared" si="351"/>
        <v>6804</v>
      </c>
      <c r="CB81" s="594">
        <v>6624</v>
      </c>
      <c r="CC81" s="594">
        <v>6676</v>
      </c>
      <c r="CD81" s="594">
        <v>6714</v>
      </c>
      <c r="CE81" s="594">
        <v>6768</v>
      </c>
      <c r="CF81" s="595">
        <f t="shared" si="352"/>
        <v>6768</v>
      </c>
      <c r="CG81" s="594">
        <v>6573</v>
      </c>
      <c r="CH81" s="594">
        <v>6638</v>
      </c>
      <c r="CI81" s="594">
        <v>6688</v>
      </c>
      <c r="CJ81" s="594">
        <v>6745</v>
      </c>
      <c r="CK81" s="595">
        <f t="shared" si="353"/>
        <v>6745</v>
      </c>
      <c r="CL81" s="594">
        <v>6595</v>
      </c>
      <c r="CM81" s="594">
        <v>6648</v>
      </c>
      <c r="CN81" s="594">
        <v>6687</v>
      </c>
      <c r="CO81" s="594">
        <v>7787</v>
      </c>
      <c r="CP81" s="595">
        <f t="shared" si="354"/>
        <v>7787</v>
      </c>
      <c r="CQ81" s="594">
        <v>8155</v>
      </c>
      <c r="CR81" s="594">
        <v>8481</v>
      </c>
      <c r="CS81" s="594">
        <v>8796</v>
      </c>
      <c r="CT81" s="594">
        <v>9052</v>
      </c>
      <c r="CU81" s="595">
        <f t="shared" si="355"/>
        <v>9052</v>
      </c>
      <c r="CV81" s="594">
        <v>9295</v>
      </c>
      <c r="CW81" s="594">
        <v>9475</v>
      </c>
      <c r="CX81" s="594">
        <v>9705</v>
      </c>
      <c r="CY81" s="594">
        <v>9947</v>
      </c>
      <c r="CZ81" s="595">
        <f t="shared" si="356"/>
        <v>9947</v>
      </c>
      <c r="DA81" s="594">
        <v>10298</v>
      </c>
      <c r="DB81" s="594">
        <v>10310</v>
      </c>
      <c r="DC81" s="594">
        <v>10616</v>
      </c>
      <c r="DD81" s="594">
        <v>10309</v>
      </c>
      <c r="DE81" s="595">
        <f t="shared" si="357"/>
        <v>10309</v>
      </c>
      <c r="DF81" s="594">
        <v>10539</v>
      </c>
      <c r="DG81" s="693">
        <v>10727</v>
      </c>
      <c r="DH81" s="703">
        <v>10925</v>
      </c>
      <c r="DI81" s="1077">
        <v>18964</v>
      </c>
      <c r="DJ81" s="595">
        <f t="shared" si="358"/>
        <v>18964</v>
      </c>
      <c r="DK81" s="1077">
        <v>19008</v>
      </c>
      <c r="DL81" s="1077">
        <v>19238</v>
      </c>
      <c r="DM81" s="1077">
        <v>19218</v>
      </c>
      <c r="DN81" s="1077">
        <v>21441</v>
      </c>
      <c r="DO81" s="595">
        <f t="shared" si="359"/>
        <v>21441</v>
      </c>
      <c r="DP81" s="1077">
        <v>21671</v>
      </c>
      <c r="DQ81" s="1111">
        <v>21949</v>
      </c>
      <c r="DS81" s="594"/>
      <c r="DT81" s="93"/>
      <c r="DU81" s="1077"/>
      <c r="DX81" s="594"/>
      <c r="DY81" s="93"/>
      <c r="DZ81" s="93"/>
      <c r="EA81" s="93"/>
      <c r="EB81" s="93"/>
    </row>
    <row r="82" spans="1:132" s="105" customFormat="1" ht="12" customHeight="1">
      <c r="A82" s="68"/>
      <c r="B82" s="68" t="s">
        <v>76</v>
      </c>
      <c r="C82" s="76">
        <v>8147</v>
      </c>
      <c r="D82" s="76">
        <v>8706</v>
      </c>
      <c r="E82" s="76">
        <v>10487</v>
      </c>
      <c r="F82" s="76">
        <v>12090</v>
      </c>
      <c r="G82" s="76">
        <v>14340</v>
      </c>
      <c r="H82" s="76">
        <v>14262</v>
      </c>
      <c r="I82" s="76">
        <v>14407</v>
      </c>
      <c r="J82" s="77">
        <v>15030</v>
      </c>
      <c r="K82" s="77">
        <v>15300</v>
      </c>
      <c r="L82" s="77">
        <v>15756</v>
      </c>
      <c r="M82" s="77">
        <f t="shared" si="306"/>
        <v>15565</v>
      </c>
      <c r="N82" s="76">
        <v>15565</v>
      </c>
      <c r="O82" s="77">
        <v>16101</v>
      </c>
      <c r="P82" s="77">
        <v>16251</v>
      </c>
      <c r="Q82" s="77">
        <v>17264</v>
      </c>
      <c r="R82" s="77">
        <f t="shared" si="307"/>
        <v>17276</v>
      </c>
      <c r="S82" s="76">
        <v>17276</v>
      </c>
      <c r="T82" s="77">
        <v>17953</v>
      </c>
      <c r="U82" s="77">
        <v>17293</v>
      </c>
      <c r="V82" s="77">
        <v>17989</v>
      </c>
      <c r="W82" s="77">
        <f t="shared" si="308"/>
        <v>18453</v>
      </c>
      <c r="X82" s="76">
        <v>18453</v>
      </c>
      <c r="Y82" s="77">
        <v>19319</v>
      </c>
      <c r="Z82" s="77">
        <v>19810</v>
      </c>
      <c r="AA82" s="77">
        <v>20920</v>
      </c>
      <c r="AB82" s="77">
        <f t="shared" si="309"/>
        <v>21376</v>
      </c>
      <c r="AC82" s="76">
        <v>21376</v>
      </c>
      <c r="AD82" s="77">
        <v>22409</v>
      </c>
      <c r="AE82" s="77">
        <v>22669</v>
      </c>
      <c r="AF82" s="77">
        <v>23360</v>
      </c>
      <c r="AG82" s="77">
        <f t="shared" si="310"/>
        <v>22675</v>
      </c>
      <c r="AH82" s="76">
        <v>22675</v>
      </c>
      <c r="AI82" s="77">
        <v>23284</v>
      </c>
      <c r="AJ82" s="77">
        <v>23668</v>
      </c>
      <c r="AK82" s="77">
        <v>22104</v>
      </c>
      <c r="AL82" s="77">
        <v>22746</v>
      </c>
      <c r="AM82" s="76">
        <f t="shared" si="343"/>
        <v>22746</v>
      </c>
      <c r="AN82" s="77">
        <v>23265</v>
      </c>
      <c r="AO82" s="77">
        <v>23409</v>
      </c>
      <c r="AP82" s="77">
        <v>24244</v>
      </c>
      <c r="AQ82" s="77">
        <v>24784</v>
      </c>
      <c r="AR82" s="76">
        <f t="shared" si="344"/>
        <v>24784</v>
      </c>
      <c r="AS82" s="77">
        <v>25370</v>
      </c>
      <c r="AT82" s="77">
        <v>25681</v>
      </c>
      <c r="AU82" s="86">
        <v>26779</v>
      </c>
      <c r="AV82" s="77">
        <v>27524</v>
      </c>
      <c r="AW82" s="76">
        <f t="shared" si="345"/>
        <v>27524</v>
      </c>
      <c r="AX82" s="77">
        <v>28447</v>
      </c>
      <c r="AY82" s="77">
        <v>28743</v>
      </c>
      <c r="AZ82" s="77">
        <v>29775</v>
      </c>
      <c r="BA82" s="77">
        <v>30037</v>
      </c>
      <c r="BB82" s="76">
        <f t="shared" si="346"/>
        <v>30037</v>
      </c>
      <c r="BC82" s="77">
        <v>31143</v>
      </c>
      <c r="BD82" s="77">
        <v>31490</v>
      </c>
      <c r="BE82" s="77">
        <v>32647</v>
      </c>
      <c r="BF82" s="77">
        <v>32964</v>
      </c>
      <c r="BG82" s="76">
        <f t="shared" si="347"/>
        <v>32964</v>
      </c>
      <c r="BH82" s="77">
        <v>33929</v>
      </c>
      <c r="BI82" s="594">
        <v>34516</v>
      </c>
      <c r="BJ82" s="77">
        <v>35880</v>
      </c>
      <c r="BK82" s="77">
        <v>36180</v>
      </c>
      <c r="BL82" s="76">
        <f t="shared" si="348"/>
        <v>36180</v>
      </c>
      <c r="BM82" s="77">
        <v>37516</v>
      </c>
      <c r="BN82" s="594">
        <v>37365</v>
      </c>
      <c r="BO82" s="77">
        <v>39069</v>
      </c>
      <c r="BP82" s="77">
        <v>38756</v>
      </c>
      <c r="BQ82" s="76">
        <f t="shared" si="349"/>
        <v>38756</v>
      </c>
      <c r="BR82" s="77">
        <v>39975</v>
      </c>
      <c r="BS82" s="594">
        <v>38362</v>
      </c>
      <c r="BT82" s="77">
        <v>40641</v>
      </c>
      <c r="BU82" s="77">
        <v>40714</v>
      </c>
      <c r="BV82" s="76">
        <f t="shared" si="350"/>
        <v>40714</v>
      </c>
      <c r="BW82" s="77">
        <v>42165</v>
      </c>
      <c r="BX82" s="594">
        <v>42222</v>
      </c>
      <c r="BY82" s="77">
        <v>44052</v>
      </c>
      <c r="BZ82" s="77">
        <v>45320</v>
      </c>
      <c r="CA82" s="76">
        <f t="shared" si="351"/>
        <v>45320</v>
      </c>
      <c r="CB82" s="77">
        <v>52095</v>
      </c>
      <c r="CC82" s="594">
        <v>52303</v>
      </c>
      <c r="CD82" s="77">
        <v>54666</v>
      </c>
      <c r="CE82" s="77">
        <v>55941</v>
      </c>
      <c r="CF82" s="76">
        <f t="shared" si="352"/>
        <v>55941</v>
      </c>
      <c r="CG82" s="594">
        <v>58090</v>
      </c>
      <c r="CH82" s="594">
        <v>52819</v>
      </c>
      <c r="CI82" s="594">
        <v>53986</v>
      </c>
      <c r="CJ82" s="594">
        <v>50644</v>
      </c>
      <c r="CK82" s="76">
        <f t="shared" si="353"/>
        <v>50644</v>
      </c>
      <c r="CL82" s="77">
        <v>49854</v>
      </c>
      <c r="CM82" s="77">
        <v>47478</v>
      </c>
      <c r="CN82" s="77">
        <v>47029</v>
      </c>
      <c r="CO82" s="77">
        <v>38610</v>
      </c>
      <c r="CP82" s="76">
        <f t="shared" si="354"/>
        <v>38610</v>
      </c>
      <c r="CQ82" s="77">
        <v>38073</v>
      </c>
      <c r="CR82" s="77">
        <v>38660</v>
      </c>
      <c r="CS82" s="77">
        <v>38551</v>
      </c>
      <c r="CT82" s="77">
        <v>34408</v>
      </c>
      <c r="CU82" s="76">
        <f t="shared" si="355"/>
        <v>34408</v>
      </c>
      <c r="CV82" s="77">
        <v>33189</v>
      </c>
      <c r="CW82" s="77">
        <v>33382</v>
      </c>
      <c r="CX82" s="77">
        <v>30107</v>
      </c>
      <c r="CY82" s="77">
        <v>29473</v>
      </c>
      <c r="CZ82" s="76">
        <f t="shared" si="356"/>
        <v>29473</v>
      </c>
      <c r="DA82" s="77">
        <v>29059</v>
      </c>
      <c r="DB82" s="77">
        <v>28910</v>
      </c>
      <c r="DC82" s="77">
        <v>27274</v>
      </c>
      <c r="DD82" s="77">
        <v>27251</v>
      </c>
      <c r="DE82" s="76">
        <f t="shared" si="357"/>
        <v>27251</v>
      </c>
      <c r="DF82" s="77">
        <v>26908</v>
      </c>
      <c r="DG82" s="16">
        <v>25469</v>
      </c>
      <c r="DH82" s="593">
        <v>19299</v>
      </c>
      <c r="DI82" s="1074">
        <v>15362</v>
      </c>
      <c r="DJ82" s="76">
        <f t="shared" si="358"/>
        <v>15362</v>
      </c>
      <c r="DK82" s="1074">
        <v>15239</v>
      </c>
      <c r="DL82" s="1074">
        <v>14542</v>
      </c>
      <c r="DM82" s="1074">
        <v>9118</v>
      </c>
      <c r="DN82" s="1074">
        <v>17252</v>
      </c>
      <c r="DO82" s="76">
        <f t="shared" si="359"/>
        <v>17252</v>
      </c>
      <c r="DP82" s="1074">
        <v>17162</v>
      </c>
      <c r="DQ82" s="1086">
        <v>16632</v>
      </c>
      <c r="DS82" s="77"/>
      <c r="DT82" s="93"/>
      <c r="DU82" s="1074"/>
      <c r="DX82" s="77"/>
      <c r="DY82" s="93"/>
      <c r="DZ82" s="93"/>
      <c r="EA82" s="93"/>
      <c r="EB82" s="93"/>
    </row>
    <row r="83" spans="1:132" s="105" customFormat="1" ht="12" customHeight="1">
      <c r="A83" s="68"/>
      <c r="B83" s="68" t="s">
        <v>77</v>
      </c>
      <c r="C83" s="76">
        <v>-20</v>
      </c>
      <c r="D83" s="76">
        <f>-23-17</f>
        <v>-40</v>
      </c>
      <c r="E83" s="76">
        <f>6-12</f>
        <v>-6</v>
      </c>
      <c r="F83" s="76">
        <f>-2-7</f>
        <v>-9</v>
      </c>
      <c r="G83" s="76">
        <f>-485-3</f>
        <v>-488</v>
      </c>
      <c r="H83" s="76">
        <v>-4045</v>
      </c>
      <c r="I83" s="76">
        <v>-4145</v>
      </c>
      <c r="J83" s="77">
        <v>-4143</v>
      </c>
      <c r="K83" s="77">
        <v>-4152</v>
      </c>
      <c r="L83" s="77">
        <v>-4141</v>
      </c>
      <c r="M83" s="77">
        <f t="shared" si="306"/>
        <v>-1925</v>
      </c>
      <c r="N83" s="76">
        <v>-1925</v>
      </c>
      <c r="O83" s="77">
        <v>-1939</v>
      </c>
      <c r="P83" s="77">
        <v>-1973</v>
      </c>
      <c r="Q83" s="77">
        <v>-3713</v>
      </c>
      <c r="R83" s="77">
        <f t="shared" si="307"/>
        <v>-1778</v>
      </c>
      <c r="S83" s="76">
        <v>-1778</v>
      </c>
      <c r="T83" s="77">
        <v>-1808</v>
      </c>
      <c r="U83" s="77">
        <v>-1729</v>
      </c>
      <c r="V83" s="77">
        <v>-1761</v>
      </c>
      <c r="W83" s="77">
        <f t="shared" si="308"/>
        <v>-8217</v>
      </c>
      <c r="X83" s="76">
        <v>-8217</v>
      </c>
      <c r="Y83" s="77">
        <v>-8021</v>
      </c>
      <c r="Z83" s="77">
        <v>-7800</v>
      </c>
      <c r="AA83" s="77">
        <v>-7569</v>
      </c>
      <c r="AB83" s="77">
        <f t="shared" si="309"/>
        <v>-4596</v>
      </c>
      <c r="AC83" s="76">
        <v>-4596</v>
      </c>
      <c r="AD83" s="77">
        <v>-4423</v>
      </c>
      <c r="AE83" s="77">
        <v>-4299</v>
      </c>
      <c r="AF83" s="77">
        <v>-4466</v>
      </c>
      <c r="AG83" s="77">
        <f t="shared" si="310"/>
        <v>-13525</v>
      </c>
      <c r="AH83" s="76">
        <v>-13525</v>
      </c>
      <c r="AI83" s="77">
        <v>-13511</v>
      </c>
      <c r="AJ83" s="77">
        <v>-13120</v>
      </c>
      <c r="AK83" s="77">
        <v>-12821</v>
      </c>
      <c r="AL83" s="77">
        <v>-11877</v>
      </c>
      <c r="AM83" s="76">
        <f t="shared" si="343"/>
        <v>-11877</v>
      </c>
      <c r="AN83" s="77">
        <v>-11747</v>
      </c>
      <c r="AO83" s="77">
        <v>-11744</v>
      </c>
      <c r="AP83" s="77">
        <v>-11375</v>
      </c>
      <c r="AQ83" s="77">
        <v>-13758</v>
      </c>
      <c r="AR83" s="76">
        <f t="shared" si="344"/>
        <v>-13758</v>
      </c>
      <c r="AS83" s="77">
        <v>-13401</v>
      </c>
      <c r="AT83" s="77">
        <v>-13095</v>
      </c>
      <c r="AU83" s="86">
        <v>-13146</v>
      </c>
      <c r="AV83" s="77">
        <v>-16500</v>
      </c>
      <c r="AW83" s="76">
        <f t="shared" si="345"/>
        <v>-16500</v>
      </c>
      <c r="AX83" s="77">
        <v>-16364</v>
      </c>
      <c r="AY83" s="77">
        <v>-15816</v>
      </c>
      <c r="AZ83" s="77">
        <v>-15261</v>
      </c>
      <c r="BA83" s="77">
        <v>-17416</v>
      </c>
      <c r="BB83" s="76">
        <f t="shared" si="346"/>
        <v>-17416</v>
      </c>
      <c r="BC83" s="77">
        <v>-17041</v>
      </c>
      <c r="BD83" s="77">
        <v>-16412</v>
      </c>
      <c r="BE83" s="77">
        <v>-16187</v>
      </c>
      <c r="BF83" s="77">
        <v>-9894</v>
      </c>
      <c r="BG83" s="76">
        <f t="shared" si="347"/>
        <v>-9894</v>
      </c>
      <c r="BH83" s="77">
        <v>-8883</v>
      </c>
      <c r="BI83" s="594">
        <v>-8659</v>
      </c>
      <c r="BJ83" s="77">
        <v>-8653</v>
      </c>
      <c r="BK83" s="77">
        <v>-13903</v>
      </c>
      <c r="BL83" s="76">
        <f t="shared" si="348"/>
        <v>-13903</v>
      </c>
      <c r="BM83" s="77">
        <v>-13815</v>
      </c>
      <c r="BN83" s="594">
        <v>-13420</v>
      </c>
      <c r="BO83" s="77">
        <v>-13263</v>
      </c>
      <c r="BP83" s="77">
        <v>-12748</v>
      </c>
      <c r="BQ83" s="76">
        <f t="shared" si="349"/>
        <v>-12748</v>
      </c>
      <c r="BR83" s="77">
        <v>-12838</v>
      </c>
      <c r="BS83" s="594">
        <v>-12795</v>
      </c>
      <c r="BT83" s="77">
        <v>-12658</v>
      </c>
      <c r="BU83" s="77">
        <v>-13623</v>
      </c>
      <c r="BV83" s="76">
        <f t="shared" si="350"/>
        <v>-13623</v>
      </c>
      <c r="BW83" s="77">
        <v>-13415</v>
      </c>
      <c r="BX83" s="594">
        <v>-13234</v>
      </c>
      <c r="BY83" s="77">
        <v>-13036</v>
      </c>
      <c r="BZ83" s="77">
        <v>-13376</v>
      </c>
      <c r="CA83" s="76">
        <f t="shared" si="351"/>
        <v>-13376</v>
      </c>
      <c r="CB83" s="77">
        <v>-16162</v>
      </c>
      <c r="CC83" s="594">
        <v>-16139</v>
      </c>
      <c r="CD83" s="77">
        <v>-15949</v>
      </c>
      <c r="CE83" s="77">
        <v>-15083</v>
      </c>
      <c r="CF83" s="76">
        <f t="shared" si="352"/>
        <v>-15083</v>
      </c>
      <c r="CG83" s="594">
        <v>-14969</v>
      </c>
      <c r="CH83" s="594">
        <v>-14908</v>
      </c>
      <c r="CI83" s="594">
        <v>-14927</v>
      </c>
      <c r="CJ83" s="594">
        <v>-16153</v>
      </c>
      <c r="CK83" s="76">
        <f t="shared" si="353"/>
        <v>-16153</v>
      </c>
      <c r="CL83" s="77">
        <v>-16333</v>
      </c>
      <c r="CM83" s="77">
        <v>-16025</v>
      </c>
      <c r="CN83" s="77">
        <v>-15779</v>
      </c>
      <c r="CO83" s="77">
        <v>-17133</v>
      </c>
      <c r="CP83" s="76">
        <f t="shared" si="354"/>
        <v>-17133</v>
      </c>
      <c r="CQ83" s="77">
        <v>-16952</v>
      </c>
      <c r="CR83" s="77">
        <v>-16661</v>
      </c>
      <c r="CS83" s="77">
        <v>-14818</v>
      </c>
      <c r="CT83" s="77">
        <v>-11659</v>
      </c>
      <c r="CU83" s="76">
        <f t="shared" si="355"/>
        <v>-11659</v>
      </c>
      <c r="CV83" s="77">
        <v>-11370</v>
      </c>
      <c r="CW83" s="77">
        <v>-11487</v>
      </c>
      <c r="CX83" s="77">
        <v>-11518</v>
      </c>
      <c r="CY83" s="77">
        <v>-9550</v>
      </c>
      <c r="CZ83" s="76">
        <f t="shared" si="356"/>
        <v>-9550</v>
      </c>
      <c r="DA83" s="77">
        <v>-9550</v>
      </c>
      <c r="DB83" s="77">
        <v>-9617</v>
      </c>
      <c r="DC83" s="77">
        <v>-9708</v>
      </c>
      <c r="DD83" s="77">
        <v>-10305</v>
      </c>
      <c r="DE83" s="76">
        <f t="shared" si="357"/>
        <v>-10305</v>
      </c>
      <c r="DF83" s="77">
        <v>-10412</v>
      </c>
      <c r="DG83" s="16">
        <v>-10392</v>
      </c>
      <c r="DH83" s="593">
        <v>-10273</v>
      </c>
      <c r="DI83" s="1074">
        <v>-10915</v>
      </c>
      <c r="DJ83" s="76">
        <f t="shared" si="358"/>
        <v>-10915</v>
      </c>
      <c r="DK83" s="1074">
        <v>-10760</v>
      </c>
      <c r="DL83" s="1074">
        <v>-10539</v>
      </c>
      <c r="DM83" s="1074">
        <v>-10544</v>
      </c>
      <c r="DN83" s="1074">
        <v>-10277</v>
      </c>
      <c r="DO83" s="76">
        <f t="shared" si="359"/>
        <v>-10277</v>
      </c>
      <c r="DP83" s="1074">
        <v>-10266</v>
      </c>
      <c r="DQ83" s="1086">
        <v>-10132</v>
      </c>
      <c r="DS83" s="77"/>
      <c r="DT83" s="93"/>
      <c r="DU83" s="1074"/>
      <c r="DX83" s="77"/>
      <c r="DY83" s="93"/>
      <c r="DZ83" s="93"/>
      <c r="EA83" s="93"/>
      <c r="EB83" s="93"/>
    </row>
    <row r="84" spans="1:132" s="105" customFormat="1" ht="12" customHeight="1">
      <c r="A84" s="68"/>
      <c r="B84" s="68" t="s">
        <v>78</v>
      </c>
      <c r="C84" s="76">
        <v>-9</v>
      </c>
      <c r="D84" s="76">
        <v>-1321</v>
      </c>
      <c r="E84" s="76">
        <v>-4161</v>
      </c>
      <c r="F84" s="76">
        <v>-6221</v>
      </c>
      <c r="G84" s="76">
        <v>-8509</v>
      </c>
      <c r="H84" s="76">
        <v>-8397</v>
      </c>
      <c r="I84" s="76">
        <v>-8322</v>
      </c>
      <c r="J84" s="77">
        <v>-8244</v>
      </c>
      <c r="K84" s="77">
        <v>-8359</v>
      </c>
      <c r="L84" s="77">
        <v>-8411</v>
      </c>
      <c r="M84" s="77">
        <f t="shared" si="306"/>
        <v>-8810</v>
      </c>
      <c r="N84" s="76">
        <v>-8810</v>
      </c>
      <c r="O84" s="77">
        <v>-9154</v>
      </c>
      <c r="P84" s="77">
        <v>-9637</v>
      </c>
      <c r="Q84" s="77">
        <v>-10365</v>
      </c>
      <c r="R84" s="77">
        <f t="shared" si="307"/>
        <v>-11075</v>
      </c>
      <c r="S84" s="76">
        <v>-11075</v>
      </c>
      <c r="T84" s="77">
        <v>-11217</v>
      </c>
      <c r="U84" s="77">
        <v>-11537</v>
      </c>
      <c r="V84" s="77">
        <v>-12134</v>
      </c>
      <c r="W84" s="77">
        <f t="shared" si="308"/>
        <v>-12459</v>
      </c>
      <c r="X84" s="76">
        <v>-12459</v>
      </c>
      <c r="Y84" s="77">
        <v>-12667</v>
      </c>
      <c r="Z84" s="77">
        <v>-13131</v>
      </c>
      <c r="AA84" s="77">
        <v>-13964</v>
      </c>
      <c r="AB84" s="77">
        <f t="shared" si="309"/>
        <v>-14842</v>
      </c>
      <c r="AC84" s="76">
        <v>-14842</v>
      </c>
      <c r="AD84" s="77">
        <v>-16006</v>
      </c>
      <c r="AE84" s="77">
        <v>-16834</v>
      </c>
      <c r="AF84" s="77">
        <v>-17425</v>
      </c>
      <c r="AG84" s="77">
        <f t="shared" si="310"/>
        <v>-17758</v>
      </c>
      <c r="AH84" s="76">
        <v>-17758</v>
      </c>
      <c r="AI84" s="77">
        <v>-17756</v>
      </c>
      <c r="AJ84" s="77">
        <v>-17741</v>
      </c>
      <c r="AK84" s="77">
        <v>-17733</v>
      </c>
      <c r="AL84" s="77">
        <v>-15911</v>
      </c>
      <c r="AM84" s="76">
        <f t="shared" si="343"/>
        <v>-15911</v>
      </c>
      <c r="AN84" s="77">
        <v>-15744</v>
      </c>
      <c r="AO84" s="77">
        <v>-15582</v>
      </c>
      <c r="AP84" s="77">
        <v>-17302</v>
      </c>
      <c r="AQ84" s="77">
        <v>-17187</v>
      </c>
      <c r="AR84" s="76">
        <f t="shared" si="344"/>
        <v>-17187</v>
      </c>
      <c r="AS84" s="77">
        <v>-17021</v>
      </c>
      <c r="AT84" s="77">
        <v>-16859</v>
      </c>
      <c r="AU84" s="86">
        <v>-16715</v>
      </c>
      <c r="AV84" s="77">
        <v>-16603</v>
      </c>
      <c r="AW84" s="76">
        <f t="shared" si="345"/>
        <v>-16603</v>
      </c>
      <c r="AX84" s="77">
        <v>-16094</v>
      </c>
      <c r="AY84" s="77">
        <v>-16202</v>
      </c>
      <c r="AZ84" s="77">
        <v>-16055</v>
      </c>
      <c r="BA84" s="77">
        <v>-15937</v>
      </c>
      <c r="BB84" s="76">
        <f t="shared" si="346"/>
        <v>-15937</v>
      </c>
      <c r="BC84" s="77">
        <v>-15780</v>
      </c>
      <c r="BD84" s="77">
        <v>-16794</v>
      </c>
      <c r="BE84" s="77">
        <v>-16865</v>
      </c>
      <c r="BF84" s="77">
        <v>-17671</v>
      </c>
      <c r="BG84" s="76">
        <f t="shared" si="347"/>
        <v>-17671</v>
      </c>
      <c r="BH84" s="77">
        <v>-20028</v>
      </c>
      <c r="BI84" s="594">
        <v>-21381</v>
      </c>
      <c r="BJ84" s="77">
        <v>-22349</v>
      </c>
      <c r="BK84" s="77">
        <v>-23298</v>
      </c>
      <c r="BL84" s="76">
        <f t="shared" si="348"/>
        <v>-23298</v>
      </c>
      <c r="BM84" s="77">
        <v>-25513</v>
      </c>
      <c r="BN84" s="594">
        <v>-27463</v>
      </c>
      <c r="BO84" s="77">
        <v>-28898</v>
      </c>
      <c r="BP84" s="77">
        <v>-29568</v>
      </c>
      <c r="BQ84" s="76">
        <f t="shared" si="349"/>
        <v>-29568</v>
      </c>
      <c r="BR84" s="77">
        <v>-32939</v>
      </c>
      <c r="BS84" s="594">
        <v>-34821</v>
      </c>
      <c r="BT84" s="77">
        <v>-35763</v>
      </c>
      <c r="BU84" s="77">
        <v>-36097</v>
      </c>
      <c r="BV84" s="76">
        <f t="shared" si="350"/>
        <v>-36097</v>
      </c>
      <c r="BW84" s="77">
        <v>-38320</v>
      </c>
      <c r="BX84" s="594">
        <v>-40730</v>
      </c>
      <c r="BY84" s="77">
        <v>-41745</v>
      </c>
      <c r="BZ84" s="77">
        <v>-43454</v>
      </c>
      <c r="CA84" s="76">
        <f t="shared" si="351"/>
        <v>-43454</v>
      </c>
      <c r="CB84" s="77">
        <v>-46396</v>
      </c>
      <c r="CC84" s="594">
        <v>-49342</v>
      </c>
      <c r="CD84" s="77">
        <v>-51781</v>
      </c>
      <c r="CE84" s="77">
        <v>-52348</v>
      </c>
      <c r="CF84" s="76">
        <f t="shared" si="352"/>
        <v>-52348</v>
      </c>
      <c r="CG84" s="594">
        <v>-54630</v>
      </c>
      <c r="CH84" s="594">
        <v>-54932</v>
      </c>
      <c r="CI84" s="594">
        <v>-54924</v>
      </c>
      <c r="CJ84" s="594">
        <v>-54914</v>
      </c>
      <c r="CK84" s="76">
        <f t="shared" si="353"/>
        <v>-54914</v>
      </c>
      <c r="CL84" s="77">
        <v>-54842</v>
      </c>
      <c r="CM84" s="77">
        <v>-54829</v>
      </c>
      <c r="CN84" s="77">
        <v>-54819</v>
      </c>
      <c r="CO84" s="77">
        <v>-52641</v>
      </c>
      <c r="CP84" s="76">
        <f t="shared" si="354"/>
        <v>-52641</v>
      </c>
      <c r="CQ84" s="77">
        <v>-52395</v>
      </c>
      <c r="CR84" s="77">
        <v>-52223</v>
      </c>
      <c r="CS84" s="77">
        <v>-52030</v>
      </c>
      <c r="CT84" s="77">
        <v>-51861</v>
      </c>
      <c r="CU84" s="76">
        <f t="shared" si="355"/>
        <v>-51861</v>
      </c>
      <c r="CV84" s="77">
        <v>-51573</v>
      </c>
      <c r="CW84" s="77">
        <v>-51319</v>
      </c>
      <c r="CX84" s="77">
        <v>-51054</v>
      </c>
      <c r="CY84" s="77">
        <v>-50814</v>
      </c>
      <c r="CZ84" s="76">
        <f t="shared" si="356"/>
        <v>-50814</v>
      </c>
      <c r="DA84" s="77">
        <v>-50376</v>
      </c>
      <c r="DB84" s="77">
        <v>-50181</v>
      </c>
      <c r="DC84" s="77">
        <v>-49972</v>
      </c>
      <c r="DD84" s="77">
        <v>-49549</v>
      </c>
      <c r="DE84" s="76">
        <f t="shared" si="357"/>
        <v>-49549</v>
      </c>
      <c r="DF84" s="77">
        <v>-49105</v>
      </c>
      <c r="DG84" s="16">
        <v>-48841</v>
      </c>
      <c r="DH84" s="593">
        <v>-48564</v>
      </c>
      <c r="DI84" s="1074">
        <v>-32386</v>
      </c>
      <c r="DJ84" s="76">
        <f t="shared" si="358"/>
        <v>-32386</v>
      </c>
      <c r="DK84" s="1074">
        <v>-31879</v>
      </c>
      <c r="DL84" s="1074">
        <v>-31603</v>
      </c>
      <c r="DM84" s="1074">
        <v>-31109</v>
      </c>
      <c r="DN84" s="1074">
        <v>-28029</v>
      </c>
      <c r="DO84" s="76">
        <f t="shared" si="359"/>
        <v>-28029</v>
      </c>
      <c r="DP84" s="1074">
        <v>-27647</v>
      </c>
      <c r="DQ84" s="1086">
        <v>-27416</v>
      </c>
      <c r="DS84" s="77"/>
      <c r="DT84" s="93"/>
      <c r="DU84" s="1074"/>
      <c r="DX84" s="77"/>
      <c r="DY84" s="93"/>
      <c r="DZ84" s="93"/>
      <c r="EA84" s="93"/>
      <c r="EB84" s="93"/>
    </row>
    <row r="85" spans="1:132" s="105" customFormat="1" ht="12" customHeight="1">
      <c r="A85" s="68"/>
      <c r="B85" s="68" t="s">
        <v>79</v>
      </c>
      <c r="C85" s="79">
        <v>-1255</v>
      </c>
      <c r="D85" s="79">
        <v>-1235</v>
      </c>
      <c r="E85" s="79">
        <v>-1601</v>
      </c>
      <c r="F85" s="79">
        <v>-2592</v>
      </c>
      <c r="G85" s="79">
        <v>-1552</v>
      </c>
      <c r="H85" s="79">
        <v>-1324</v>
      </c>
      <c r="I85" s="79">
        <v>-1740</v>
      </c>
      <c r="J85" s="80">
        <v>-1689</v>
      </c>
      <c r="K85" s="80">
        <v>-2111</v>
      </c>
      <c r="L85" s="80">
        <v>-1993</v>
      </c>
      <c r="M85" s="80">
        <f t="shared" si="306"/>
        <v>-2023</v>
      </c>
      <c r="N85" s="79">
        <v>-2023</v>
      </c>
      <c r="O85" s="80">
        <v>-2285</v>
      </c>
      <c r="P85" s="80">
        <v>-2577</v>
      </c>
      <c r="Q85" s="80">
        <v>-2664</v>
      </c>
      <c r="R85" s="80">
        <f t="shared" si="307"/>
        <v>-2796</v>
      </c>
      <c r="S85" s="79">
        <v>-2796</v>
      </c>
      <c r="T85" s="80">
        <v>-3115</v>
      </c>
      <c r="U85" s="80">
        <v>-3283</v>
      </c>
      <c r="V85" s="80">
        <v>-2442</v>
      </c>
      <c r="W85" s="80">
        <f t="shared" si="308"/>
        <v>-2754</v>
      </c>
      <c r="X85" s="79">
        <v>-2754</v>
      </c>
      <c r="Y85" s="80">
        <v>-2772</v>
      </c>
      <c r="Z85" s="80">
        <v>-2982</v>
      </c>
      <c r="AA85" s="80">
        <v>-3284</v>
      </c>
      <c r="AB85" s="80">
        <f t="shared" si="309"/>
        <v>-2752</v>
      </c>
      <c r="AC85" s="79">
        <v>-2752</v>
      </c>
      <c r="AD85" s="80">
        <v>-2332</v>
      </c>
      <c r="AE85" s="80">
        <v>-2096</v>
      </c>
      <c r="AF85" s="80">
        <v>-1608</v>
      </c>
      <c r="AG85" s="80">
        <f t="shared" si="310"/>
        <v>-1203</v>
      </c>
      <c r="AH85" s="79">
        <v>-1203</v>
      </c>
      <c r="AI85" s="80">
        <v>-1029</v>
      </c>
      <c r="AJ85" s="80">
        <v>-1249</v>
      </c>
      <c r="AK85" s="80">
        <v>-1595</v>
      </c>
      <c r="AL85" s="80">
        <v>-1615</v>
      </c>
      <c r="AM85" s="79">
        <f t="shared" si="343"/>
        <v>-1615</v>
      </c>
      <c r="AN85" s="80">
        <v>-2157</v>
      </c>
      <c r="AO85" s="80">
        <v>-1899</v>
      </c>
      <c r="AP85" s="80">
        <v>0</v>
      </c>
      <c r="AQ85" s="80">
        <v>0</v>
      </c>
      <c r="AR85" s="79">
        <f t="shared" si="344"/>
        <v>0</v>
      </c>
      <c r="AS85" s="80">
        <v>0</v>
      </c>
      <c r="AT85" s="80">
        <v>0</v>
      </c>
      <c r="AU85" s="97">
        <v>0</v>
      </c>
      <c r="AV85" s="80">
        <v>0</v>
      </c>
      <c r="AW85" s="79">
        <f t="shared" si="345"/>
        <v>0</v>
      </c>
      <c r="AX85" s="80">
        <v>0</v>
      </c>
      <c r="AY85" s="80">
        <v>0</v>
      </c>
      <c r="AZ85" s="80">
        <v>0</v>
      </c>
      <c r="BA85" s="80">
        <v>0</v>
      </c>
      <c r="BB85" s="79">
        <f t="shared" si="346"/>
        <v>0</v>
      </c>
      <c r="BC85" s="80">
        <v>0</v>
      </c>
      <c r="BD85" s="80">
        <v>0</v>
      </c>
      <c r="BE85" s="80">
        <v>0</v>
      </c>
      <c r="BF85" s="80">
        <v>0</v>
      </c>
      <c r="BG85" s="79">
        <f t="shared" si="347"/>
        <v>0</v>
      </c>
      <c r="BH85" s="80"/>
      <c r="BI85" s="568"/>
      <c r="BJ85" s="80"/>
      <c r="BK85" s="80"/>
      <c r="BL85" s="79">
        <f t="shared" si="348"/>
        <v>0</v>
      </c>
      <c r="BM85" s="80"/>
      <c r="BN85" s="568"/>
      <c r="BO85" s="80"/>
      <c r="BP85" s="80"/>
      <c r="BQ85" s="79">
        <f t="shared" si="349"/>
        <v>0</v>
      </c>
      <c r="BR85" s="80">
        <v>0</v>
      </c>
      <c r="BS85" s="80">
        <v>0</v>
      </c>
      <c r="BT85" s="80">
        <v>0</v>
      </c>
      <c r="BU85" s="80">
        <v>0</v>
      </c>
      <c r="BV85" s="79">
        <f t="shared" si="350"/>
        <v>0</v>
      </c>
      <c r="BW85" s="80">
        <v>0</v>
      </c>
      <c r="BX85" s="80">
        <v>0</v>
      </c>
      <c r="BY85" s="80">
        <v>0</v>
      </c>
      <c r="BZ85" s="80">
        <v>0</v>
      </c>
      <c r="CA85" s="79">
        <f t="shared" si="351"/>
        <v>0</v>
      </c>
      <c r="CB85" s="80">
        <v>0</v>
      </c>
      <c r="CC85" s="80">
        <v>0</v>
      </c>
      <c r="CD85" s="80">
        <v>0</v>
      </c>
      <c r="CE85" s="80">
        <v>0</v>
      </c>
      <c r="CF85" s="79">
        <f t="shared" si="352"/>
        <v>0</v>
      </c>
      <c r="CG85" s="568">
        <v>0</v>
      </c>
      <c r="CH85" s="568">
        <v>0</v>
      </c>
      <c r="CI85" s="568">
        <v>0</v>
      </c>
      <c r="CJ85" s="568">
        <v>0</v>
      </c>
      <c r="CK85" s="79">
        <f t="shared" si="353"/>
        <v>0</v>
      </c>
      <c r="CL85" s="80">
        <v>0</v>
      </c>
      <c r="CM85" s="80">
        <v>0</v>
      </c>
      <c r="CN85" s="80">
        <v>0</v>
      </c>
      <c r="CO85" s="80">
        <v>0</v>
      </c>
      <c r="CP85" s="79">
        <f t="shared" si="354"/>
        <v>0</v>
      </c>
      <c r="CQ85" s="80">
        <v>0</v>
      </c>
      <c r="CR85" s="80">
        <v>0</v>
      </c>
      <c r="CS85" s="80">
        <v>0</v>
      </c>
      <c r="CT85" s="80">
        <v>0</v>
      </c>
      <c r="CU85" s="79">
        <f t="shared" si="355"/>
        <v>0</v>
      </c>
      <c r="CV85" s="80">
        <v>0</v>
      </c>
      <c r="CW85" s="80">
        <v>0</v>
      </c>
      <c r="CX85" s="80">
        <v>0</v>
      </c>
      <c r="CY85" s="80">
        <v>0</v>
      </c>
      <c r="CZ85" s="79">
        <f t="shared" si="356"/>
        <v>0</v>
      </c>
      <c r="DA85" s="80">
        <v>0</v>
      </c>
      <c r="DB85" s="80">
        <v>0</v>
      </c>
      <c r="DC85" s="80">
        <v>0</v>
      </c>
      <c r="DD85" s="80">
        <v>0</v>
      </c>
      <c r="DE85" s="79">
        <f t="shared" si="357"/>
        <v>0</v>
      </c>
      <c r="DF85" s="80">
        <v>0</v>
      </c>
      <c r="DG85" s="80">
        <v>0</v>
      </c>
      <c r="DH85" s="272">
        <v>0</v>
      </c>
      <c r="DI85" s="1075">
        <v>6</v>
      </c>
      <c r="DJ85" s="79">
        <f t="shared" si="358"/>
        <v>6</v>
      </c>
      <c r="DK85" s="1075">
        <v>6</v>
      </c>
      <c r="DL85" s="1075">
        <v>6</v>
      </c>
      <c r="DM85" s="1075">
        <v>6</v>
      </c>
      <c r="DN85" s="1075">
        <v>6</v>
      </c>
      <c r="DO85" s="79">
        <f t="shared" si="359"/>
        <v>6</v>
      </c>
      <c r="DP85" s="1075">
        <v>6</v>
      </c>
      <c r="DQ85" s="1108">
        <v>6</v>
      </c>
      <c r="DS85" s="80"/>
      <c r="DT85" s="93"/>
      <c r="DU85" s="1075"/>
      <c r="DX85" s="80"/>
      <c r="DY85" s="93"/>
      <c r="DZ85" s="93"/>
      <c r="EA85" s="93"/>
      <c r="EB85" s="93"/>
    </row>
    <row r="86" spans="1:132" s="105" customFormat="1" ht="12" customHeight="1">
      <c r="A86" s="68"/>
      <c r="B86" s="74" t="s">
        <v>80</v>
      </c>
      <c r="C86" s="71">
        <f t="shared" ref="C86:L86" si="360">SUM(C80:C85)</f>
        <v>12953</v>
      </c>
      <c r="D86" s="71">
        <f t="shared" si="360"/>
        <v>12316</v>
      </c>
      <c r="E86" s="71">
        <f t="shared" si="360"/>
        <v>11462</v>
      </c>
      <c r="F86" s="71">
        <f t="shared" si="360"/>
        <v>11020</v>
      </c>
      <c r="G86" s="71">
        <f t="shared" si="360"/>
        <v>10825</v>
      </c>
      <c r="H86" s="71">
        <f t="shared" si="360"/>
        <v>7696</v>
      </c>
      <c r="I86" s="71">
        <f t="shared" si="360"/>
        <v>8139</v>
      </c>
      <c r="J86" s="72">
        <f t="shared" si="360"/>
        <v>8859</v>
      </c>
      <c r="K86" s="72">
        <f t="shared" si="360"/>
        <v>8949</v>
      </c>
      <c r="L86" s="72">
        <f t="shared" si="360"/>
        <v>9542</v>
      </c>
      <c r="M86" s="72">
        <f t="shared" si="306"/>
        <v>11286</v>
      </c>
      <c r="N86" s="71">
        <f>SUM(N80:N85)</f>
        <v>11286</v>
      </c>
      <c r="O86" s="72">
        <f>SUM(O80:O85)</f>
        <v>11478</v>
      </c>
      <c r="P86" s="72">
        <f>SUM(P80:P85)</f>
        <v>11132</v>
      </c>
      <c r="Q86" s="72">
        <f>SUM(Q80:Q85)</f>
        <v>9423</v>
      </c>
      <c r="R86" s="72">
        <f t="shared" si="307"/>
        <v>11059</v>
      </c>
      <c r="S86" s="71">
        <f>SUM(S80:S85)</f>
        <v>11059</v>
      </c>
      <c r="T86" s="72">
        <f>SUM(T80:T85)</f>
        <v>11517</v>
      </c>
      <c r="U86" s="72">
        <f>SUM(U80:U85)</f>
        <v>10369</v>
      </c>
      <c r="V86" s="72">
        <f>SUM(V80:V85)</f>
        <v>11026</v>
      </c>
      <c r="W86" s="72">
        <f t="shared" si="308"/>
        <v>4739</v>
      </c>
      <c r="X86" s="71">
        <f>SUM(X80:X85)</f>
        <v>4739</v>
      </c>
      <c r="Y86" s="72">
        <f>SUM(Y80:Y85)</f>
        <v>5611</v>
      </c>
      <c r="Z86" s="72">
        <f>SUM(Z80:Z85)</f>
        <v>5857</v>
      </c>
      <c r="AA86" s="72">
        <f>SUM(AA80:AA85)</f>
        <v>6406</v>
      </c>
      <c r="AB86" s="72">
        <f t="shared" si="309"/>
        <v>9004</v>
      </c>
      <c r="AC86" s="71">
        <f>SUM(AC80:AC85)</f>
        <v>9004</v>
      </c>
      <c r="AD86" s="72">
        <f>SUM(AD80:AD85)</f>
        <v>9066</v>
      </c>
      <c r="AE86" s="72">
        <f>SUM(AE80:AE85)</f>
        <v>8594</v>
      </c>
      <c r="AF86" s="72">
        <f>SUM(AF80:AF85)</f>
        <v>8714</v>
      </c>
      <c r="AG86" s="72">
        <f t="shared" si="310"/>
        <v>-1294</v>
      </c>
      <c r="AH86" s="71">
        <f t="shared" ref="AH86:AQ86" si="361">SUM(AH80:AH85)</f>
        <v>-1294</v>
      </c>
      <c r="AI86" s="72">
        <f t="shared" si="361"/>
        <v>-662</v>
      </c>
      <c r="AJ86" s="72">
        <f t="shared" si="361"/>
        <v>180</v>
      </c>
      <c r="AK86" s="72">
        <f t="shared" si="361"/>
        <v>-1028</v>
      </c>
      <c r="AL86" s="72">
        <f t="shared" si="361"/>
        <v>2128</v>
      </c>
      <c r="AM86" s="71">
        <f t="shared" si="361"/>
        <v>2128</v>
      </c>
      <c r="AN86" s="72">
        <f t="shared" si="361"/>
        <v>2942</v>
      </c>
      <c r="AO86" s="72">
        <f t="shared" si="361"/>
        <v>3077</v>
      </c>
      <c r="AP86" s="72">
        <f t="shared" si="361"/>
        <v>4454</v>
      </c>
      <c r="AQ86" s="72">
        <f t="shared" si="361"/>
        <v>2766</v>
      </c>
      <c r="AR86" s="71">
        <f t="shared" ref="AR86:BH86" si="362">SUM(AR80:AR85)</f>
        <v>2766</v>
      </c>
      <c r="AS86" s="72">
        <f t="shared" si="362"/>
        <v>3912</v>
      </c>
      <c r="AT86" s="72">
        <f t="shared" si="362"/>
        <v>4733</v>
      </c>
      <c r="AU86" s="90">
        <f t="shared" si="362"/>
        <v>5967</v>
      </c>
      <c r="AV86" s="72">
        <f t="shared" si="362"/>
        <v>3515</v>
      </c>
      <c r="AW86" s="71">
        <f t="shared" si="362"/>
        <v>3515</v>
      </c>
      <c r="AX86" s="72">
        <f t="shared" si="362"/>
        <v>5027</v>
      </c>
      <c r="AY86" s="72">
        <f t="shared" si="362"/>
        <v>5804</v>
      </c>
      <c r="AZ86" s="72">
        <f t="shared" si="362"/>
        <v>7588</v>
      </c>
      <c r="BA86" s="72">
        <f t="shared" si="362"/>
        <v>5867</v>
      </c>
      <c r="BB86" s="71">
        <f>SUM(BB80:BB85)</f>
        <v>5867</v>
      </c>
      <c r="BC86" s="72">
        <f t="shared" si="362"/>
        <v>7462</v>
      </c>
      <c r="BD86" s="72">
        <f t="shared" si="362"/>
        <v>7526</v>
      </c>
      <c r="BE86" s="72">
        <f t="shared" si="362"/>
        <v>8951</v>
      </c>
      <c r="BF86" s="72">
        <f t="shared" si="362"/>
        <v>14875</v>
      </c>
      <c r="BG86" s="71">
        <f>SUM(BG80:BG85)</f>
        <v>14875</v>
      </c>
      <c r="BH86" s="72">
        <f t="shared" si="362"/>
        <v>14520</v>
      </c>
      <c r="BI86" s="597">
        <f t="shared" ref="BI86:BZ86" si="363">SUM(BI80:BI85)</f>
        <v>14061</v>
      </c>
      <c r="BJ86" s="597">
        <f t="shared" si="363"/>
        <v>14511</v>
      </c>
      <c r="BK86" s="597">
        <f t="shared" si="363"/>
        <v>8665</v>
      </c>
      <c r="BL86" s="71">
        <f>SUM(BL80:BL85)</f>
        <v>8665</v>
      </c>
      <c r="BM86" s="597">
        <f t="shared" si="363"/>
        <v>7906</v>
      </c>
      <c r="BN86" s="597">
        <f t="shared" si="363"/>
        <v>6264</v>
      </c>
      <c r="BO86" s="597">
        <f t="shared" si="363"/>
        <v>6740</v>
      </c>
      <c r="BP86" s="597">
        <f t="shared" si="363"/>
        <v>6335</v>
      </c>
      <c r="BQ86" s="71">
        <f>SUM(BQ80:BQ85)</f>
        <v>6335</v>
      </c>
      <c r="BR86" s="597">
        <f t="shared" si="363"/>
        <v>4043</v>
      </c>
      <c r="BS86" s="597">
        <f t="shared" si="363"/>
        <v>585</v>
      </c>
      <c r="BT86" s="597">
        <f t="shared" si="363"/>
        <v>2089</v>
      </c>
      <c r="BU86" s="597">
        <f t="shared" si="363"/>
        <v>817</v>
      </c>
      <c r="BV86" s="71">
        <f>SUM(BV80:BV85)</f>
        <v>817</v>
      </c>
      <c r="BW86" s="597">
        <f t="shared" si="363"/>
        <v>95</v>
      </c>
      <c r="BX86" s="597">
        <f t="shared" si="363"/>
        <v>-2037</v>
      </c>
      <c r="BY86" s="597">
        <f t="shared" si="363"/>
        <v>1086</v>
      </c>
      <c r="BZ86" s="597">
        <f t="shared" si="363"/>
        <v>355</v>
      </c>
      <c r="CA86" s="71">
        <f>SUM(CA80:CA85)</f>
        <v>355</v>
      </c>
      <c r="CB86" s="597">
        <f t="shared" ref="CB86:CT86" si="364">SUM(CB80:CB85)</f>
        <v>1222</v>
      </c>
      <c r="CC86" s="597">
        <f t="shared" si="364"/>
        <v>-1441</v>
      </c>
      <c r="CD86" s="597">
        <f t="shared" si="364"/>
        <v>-1289</v>
      </c>
      <c r="CE86" s="597">
        <f t="shared" si="364"/>
        <v>339</v>
      </c>
      <c r="CF86" s="71">
        <f>SUM(CF80:CF85)</f>
        <v>339</v>
      </c>
      <c r="CG86" s="597">
        <f t="shared" si="364"/>
        <v>125</v>
      </c>
      <c r="CH86" s="597">
        <f t="shared" si="364"/>
        <v>-5322</v>
      </c>
      <c r="CI86" s="597">
        <f t="shared" si="364"/>
        <v>-4116</v>
      </c>
      <c r="CJ86" s="597">
        <f t="shared" si="364"/>
        <v>-8617</v>
      </c>
      <c r="CK86" s="71">
        <f>SUM(CK80:CK85)</f>
        <v>-8617</v>
      </c>
      <c r="CL86" s="597">
        <f t="shared" si="364"/>
        <v>-9665</v>
      </c>
      <c r="CM86" s="597">
        <f t="shared" si="364"/>
        <v>-11667</v>
      </c>
      <c r="CN86" s="597">
        <f t="shared" si="364"/>
        <v>-11821</v>
      </c>
      <c r="CO86" s="597">
        <f t="shared" si="364"/>
        <v>-18316</v>
      </c>
      <c r="CP86" s="71">
        <f>SUM(CP80:CP85)</f>
        <v>-18316</v>
      </c>
      <c r="CQ86" s="597">
        <f t="shared" si="364"/>
        <v>-18058</v>
      </c>
      <c r="CR86" s="597">
        <f t="shared" si="364"/>
        <v>-16682</v>
      </c>
      <c r="CS86" s="597">
        <f t="shared" si="364"/>
        <v>-14440</v>
      </c>
      <c r="CT86" s="597">
        <f t="shared" si="364"/>
        <v>-14999</v>
      </c>
      <c r="CU86" s="71">
        <f>SUM(CU80:CU85)</f>
        <v>-14999</v>
      </c>
      <c r="CV86" s="597">
        <f t="shared" ref="CV86:DB86" si="365">SUM(CV80:CV85)</f>
        <v>-15398</v>
      </c>
      <c r="CW86" s="597">
        <f t="shared" si="365"/>
        <v>-14888</v>
      </c>
      <c r="CX86" s="597">
        <f t="shared" si="365"/>
        <v>-17699</v>
      </c>
      <c r="CY86" s="597">
        <f t="shared" si="365"/>
        <v>-15883</v>
      </c>
      <c r="CZ86" s="71">
        <f>SUM(CZ80:CZ85)</f>
        <v>-15883</v>
      </c>
      <c r="DA86" s="597">
        <f t="shared" si="365"/>
        <v>-15508</v>
      </c>
      <c r="DB86" s="597">
        <f t="shared" si="365"/>
        <v>-15517</v>
      </c>
      <c r="DC86" s="597">
        <f t="shared" ref="DC86:DD86" si="366">SUM(DC80:DC85)</f>
        <v>-16729</v>
      </c>
      <c r="DD86" s="597">
        <f t="shared" si="366"/>
        <v>-17233</v>
      </c>
      <c r="DE86" s="71">
        <f>SUM(DE80:DE85)</f>
        <v>-17233</v>
      </c>
      <c r="DF86" s="597">
        <f t="shared" ref="DF86:DI86" si="367">SUM(DF80:DF85)</f>
        <v>-17009</v>
      </c>
      <c r="DG86" s="597">
        <f t="shared" si="367"/>
        <v>-17976</v>
      </c>
      <c r="DH86" s="1065">
        <f t="shared" si="367"/>
        <v>-23552</v>
      </c>
      <c r="DI86" s="597">
        <f t="shared" si="367"/>
        <v>-3908</v>
      </c>
      <c r="DJ86" s="71">
        <f>SUM(DJ80:DJ85)</f>
        <v>-3908</v>
      </c>
      <c r="DK86" s="597">
        <f t="shared" ref="DK86:DN86" si="368">SUM(DK80:DK85)</f>
        <v>-3325</v>
      </c>
      <c r="DL86" s="597">
        <f t="shared" si="368"/>
        <v>-3295</v>
      </c>
      <c r="DM86" s="597">
        <f t="shared" si="368"/>
        <v>-8250</v>
      </c>
      <c r="DN86" s="597">
        <f t="shared" si="368"/>
        <v>5454</v>
      </c>
      <c r="DO86" s="71">
        <f>SUM(DO80:DO85)</f>
        <v>5454</v>
      </c>
      <c r="DP86" s="597">
        <f t="shared" ref="DP86:DQ86" si="369">SUM(DP80:DP85)</f>
        <v>5987</v>
      </c>
      <c r="DQ86" s="1065">
        <f t="shared" si="369"/>
        <v>6100</v>
      </c>
      <c r="DS86" s="597"/>
      <c r="DT86" s="93"/>
      <c r="DU86" s="597"/>
      <c r="DX86" s="597"/>
      <c r="DY86" s="93"/>
      <c r="DZ86" s="93"/>
      <c r="EA86" s="93"/>
      <c r="EB86" s="93"/>
    </row>
    <row r="87" spans="1:132" s="105" customFormat="1" ht="12" customHeight="1">
      <c r="A87" s="68"/>
      <c r="B87" s="68" t="s">
        <v>81</v>
      </c>
      <c r="C87" s="76">
        <v>0</v>
      </c>
      <c r="D87" s="76">
        <v>0</v>
      </c>
      <c r="E87" s="76">
        <v>0</v>
      </c>
      <c r="F87" s="76">
        <v>0</v>
      </c>
      <c r="G87" s="76">
        <v>0</v>
      </c>
      <c r="H87" s="76">
        <v>0</v>
      </c>
      <c r="I87" s="76">
        <v>0</v>
      </c>
      <c r="J87" s="77">
        <v>0</v>
      </c>
      <c r="K87" s="77">
        <v>0</v>
      </c>
      <c r="L87" s="77">
        <v>0</v>
      </c>
      <c r="M87" s="77">
        <f t="shared" si="306"/>
        <v>0</v>
      </c>
      <c r="N87" s="76">
        <v>0</v>
      </c>
      <c r="O87" s="77">
        <v>0</v>
      </c>
      <c r="P87" s="77">
        <v>0</v>
      </c>
      <c r="Q87" s="77">
        <v>0</v>
      </c>
      <c r="R87" s="77">
        <f t="shared" si="307"/>
        <v>0</v>
      </c>
      <c r="S87" s="76">
        <v>0</v>
      </c>
      <c r="T87" s="77">
        <v>0</v>
      </c>
      <c r="U87" s="77">
        <v>0</v>
      </c>
      <c r="V87" s="77">
        <v>0</v>
      </c>
      <c r="W87" s="77">
        <f t="shared" si="308"/>
        <v>0</v>
      </c>
      <c r="X87" s="76">
        <v>0</v>
      </c>
      <c r="Y87" s="77">
        <v>0</v>
      </c>
      <c r="Z87" s="77">
        <v>0</v>
      </c>
      <c r="AA87" s="77">
        <v>0</v>
      </c>
      <c r="AB87" s="77">
        <f t="shared" si="309"/>
        <v>0</v>
      </c>
      <c r="AC87" s="76">
        <v>0</v>
      </c>
      <c r="AD87" s="77">
        <v>0</v>
      </c>
      <c r="AE87" s="77">
        <v>0</v>
      </c>
      <c r="AF87" s="77">
        <v>0</v>
      </c>
      <c r="AG87" s="77">
        <f t="shared" si="310"/>
        <v>0</v>
      </c>
      <c r="AH87" s="76">
        <v>0</v>
      </c>
      <c r="AI87" s="77">
        <v>153</v>
      </c>
      <c r="AJ87" s="77">
        <v>154</v>
      </c>
      <c r="AK87" s="77">
        <v>151</v>
      </c>
      <c r="AL87" s="77">
        <v>97</v>
      </c>
      <c r="AM87" s="76">
        <f>AL87</f>
        <v>97</v>
      </c>
      <c r="AN87" s="77">
        <v>97</v>
      </c>
      <c r="AO87" s="77">
        <v>96</v>
      </c>
      <c r="AP87" s="77">
        <v>98</v>
      </c>
      <c r="AQ87" s="77">
        <v>96</v>
      </c>
      <c r="AR87" s="76">
        <f>AQ87</f>
        <v>96</v>
      </c>
      <c r="AS87" s="77">
        <v>95</v>
      </c>
      <c r="AT87" s="77">
        <v>91</v>
      </c>
      <c r="AU87" s="86">
        <v>94</v>
      </c>
      <c r="AV87" s="77">
        <v>93</v>
      </c>
      <c r="AW87" s="76">
        <f>AV87</f>
        <v>93</v>
      </c>
      <c r="AX87" s="77">
        <v>93</v>
      </c>
      <c r="AY87" s="77">
        <v>88</v>
      </c>
      <c r="AZ87" s="77">
        <v>94</v>
      </c>
      <c r="BA87" s="77">
        <v>100</v>
      </c>
      <c r="BB87" s="76">
        <f>BA87</f>
        <v>100</v>
      </c>
      <c r="BC87" s="77">
        <v>98</v>
      </c>
      <c r="BD87" s="77">
        <v>106</v>
      </c>
      <c r="BE87" s="77">
        <v>116</v>
      </c>
      <c r="BF87" s="77">
        <v>122</v>
      </c>
      <c r="BG87" s="76">
        <f>BF87</f>
        <v>122</v>
      </c>
      <c r="BH87" s="77">
        <v>113</v>
      </c>
      <c r="BI87" s="594">
        <v>123</v>
      </c>
      <c r="BJ87" s="77">
        <v>126</v>
      </c>
      <c r="BK87" s="77">
        <v>125</v>
      </c>
      <c r="BL87" s="76">
        <f>BK87</f>
        <v>125</v>
      </c>
      <c r="BM87" s="77">
        <v>124</v>
      </c>
      <c r="BN87" s="594">
        <v>43</v>
      </c>
      <c r="BO87" s="77">
        <v>46</v>
      </c>
      <c r="BP87" s="77">
        <v>62</v>
      </c>
      <c r="BQ87" s="76">
        <f>BP87</f>
        <v>62</v>
      </c>
      <c r="BR87" s="77">
        <v>63</v>
      </c>
      <c r="BS87" s="594">
        <v>62</v>
      </c>
      <c r="BT87" s="77">
        <v>61</v>
      </c>
      <c r="BU87" s="77">
        <v>60</v>
      </c>
      <c r="BV87" s="76">
        <f>BU87</f>
        <v>60</v>
      </c>
      <c r="BW87" s="77">
        <v>60</v>
      </c>
      <c r="BX87" s="594">
        <v>59</v>
      </c>
      <c r="BY87" s="77">
        <v>59</v>
      </c>
      <c r="BZ87" s="77">
        <v>57</v>
      </c>
      <c r="CA87" s="76">
        <f>BZ87</f>
        <v>57</v>
      </c>
      <c r="CB87" s="77">
        <v>76</v>
      </c>
      <c r="CC87" s="594">
        <v>67</v>
      </c>
      <c r="CD87" s="77">
        <v>80</v>
      </c>
      <c r="CE87" s="77">
        <v>71</v>
      </c>
      <c r="CF87" s="76">
        <f>CE87</f>
        <v>71</v>
      </c>
      <c r="CG87" s="594">
        <v>107</v>
      </c>
      <c r="CH87" s="594">
        <v>379</v>
      </c>
      <c r="CI87" s="594">
        <v>307</v>
      </c>
      <c r="CJ87" s="594">
        <v>317</v>
      </c>
      <c r="CK87" s="76">
        <f>CJ87</f>
        <v>317</v>
      </c>
      <c r="CL87" s="77">
        <v>305</v>
      </c>
      <c r="CM87" s="77">
        <v>285</v>
      </c>
      <c r="CN87" s="77">
        <v>268</v>
      </c>
      <c r="CO87" s="77">
        <v>241</v>
      </c>
      <c r="CP87" s="76">
        <f>CO87</f>
        <v>241</v>
      </c>
      <c r="CQ87" s="77">
        <v>217</v>
      </c>
      <c r="CR87" s="77">
        <v>197</v>
      </c>
      <c r="CS87" s="77">
        <v>174</v>
      </c>
      <c r="CT87" s="77">
        <v>153</v>
      </c>
      <c r="CU87" s="76">
        <f>CT87</f>
        <v>153</v>
      </c>
      <c r="CV87" s="77">
        <v>130</v>
      </c>
      <c r="CW87" s="77">
        <v>97</v>
      </c>
      <c r="CX87" s="77">
        <v>64</v>
      </c>
      <c r="CY87" s="77">
        <v>35</v>
      </c>
      <c r="CZ87" s="76">
        <f>CY87</f>
        <v>35</v>
      </c>
      <c r="DA87" s="77">
        <v>24</v>
      </c>
      <c r="DB87" s="77">
        <v>24</v>
      </c>
      <c r="DC87" s="77">
        <v>12</v>
      </c>
      <c r="DD87" s="77">
        <v>5</v>
      </c>
      <c r="DE87" s="76">
        <f>DD87</f>
        <v>5</v>
      </c>
      <c r="DF87" s="77">
        <v>-7</v>
      </c>
      <c r="DG87" s="16">
        <v>-6</v>
      </c>
      <c r="DH87" s="593">
        <v>-10</v>
      </c>
      <c r="DI87" s="1074">
        <v>-6</v>
      </c>
      <c r="DJ87" s="76">
        <f>DI87</f>
        <v>-6</v>
      </c>
      <c r="DK87" s="1074">
        <v>0</v>
      </c>
      <c r="DL87" s="1074">
        <v>-1</v>
      </c>
      <c r="DM87" s="1074">
        <v>-3</v>
      </c>
      <c r="DN87" s="1074">
        <v>3</v>
      </c>
      <c r="DO87" s="76">
        <f>DN87</f>
        <v>3</v>
      </c>
      <c r="DP87" s="1074">
        <v>0</v>
      </c>
      <c r="DQ87" s="1086">
        <v>15</v>
      </c>
      <c r="DS87" s="77"/>
      <c r="DT87" s="93"/>
      <c r="DU87" s="1074"/>
      <c r="DX87" s="77"/>
      <c r="DY87" s="93"/>
      <c r="DZ87" s="93"/>
      <c r="EA87" s="93"/>
      <c r="EB87" s="93"/>
    </row>
    <row r="88" spans="1:132" s="277" customFormat="1" ht="12" customHeight="1">
      <c r="A88" s="74"/>
      <c r="B88" s="74" t="s">
        <v>82</v>
      </c>
      <c r="C88" s="71">
        <f t="shared" ref="C88:L88" si="370">C87+C86</f>
        <v>12953</v>
      </c>
      <c r="D88" s="71">
        <f t="shared" si="370"/>
        <v>12316</v>
      </c>
      <c r="E88" s="71">
        <f t="shared" si="370"/>
        <v>11462</v>
      </c>
      <c r="F88" s="71">
        <f t="shared" si="370"/>
        <v>11020</v>
      </c>
      <c r="G88" s="71">
        <f t="shared" si="370"/>
        <v>10825</v>
      </c>
      <c r="H88" s="71">
        <f t="shared" si="370"/>
        <v>7696</v>
      </c>
      <c r="I88" s="71">
        <f t="shared" si="370"/>
        <v>8139</v>
      </c>
      <c r="J88" s="72">
        <f t="shared" si="370"/>
        <v>8859</v>
      </c>
      <c r="K88" s="72">
        <f t="shared" si="370"/>
        <v>8949</v>
      </c>
      <c r="L88" s="72">
        <f t="shared" si="370"/>
        <v>9542</v>
      </c>
      <c r="M88" s="72">
        <f t="shared" si="306"/>
        <v>11286</v>
      </c>
      <c r="N88" s="71">
        <f>N87+N86</f>
        <v>11286</v>
      </c>
      <c r="O88" s="72">
        <f>O87+O86</f>
        <v>11478</v>
      </c>
      <c r="P88" s="72">
        <f>P87+P86</f>
        <v>11132</v>
      </c>
      <c r="Q88" s="72">
        <f>Q87+Q86</f>
        <v>9423</v>
      </c>
      <c r="R88" s="72">
        <f t="shared" si="307"/>
        <v>11059</v>
      </c>
      <c r="S88" s="71">
        <f>S87+S86</f>
        <v>11059</v>
      </c>
      <c r="T88" s="72">
        <f>T87+T86</f>
        <v>11517</v>
      </c>
      <c r="U88" s="72">
        <f>U87+U86</f>
        <v>10369</v>
      </c>
      <c r="V88" s="72">
        <f>V87+V86</f>
        <v>11026</v>
      </c>
      <c r="W88" s="72">
        <f t="shared" si="308"/>
        <v>4739</v>
      </c>
      <c r="X88" s="71">
        <f>X87+X86</f>
        <v>4739</v>
      </c>
      <c r="Y88" s="72">
        <f>Y87+Y86</f>
        <v>5611</v>
      </c>
      <c r="Z88" s="72">
        <f>Z87+Z86</f>
        <v>5857</v>
      </c>
      <c r="AA88" s="72">
        <f>AA87+AA86</f>
        <v>6406</v>
      </c>
      <c r="AB88" s="72">
        <f t="shared" si="309"/>
        <v>9004</v>
      </c>
      <c r="AC88" s="71">
        <f>AC87+AC86</f>
        <v>9004</v>
      </c>
      <c r="AD88" s="72">
        <f>AD87+AD86</f>
        <v>9066</v>
      </c>
      <c r="AE88" s="72">
        <f>AE87+AE86</f>
        <v>8594</v>
      </c>
      <c r="AF88" s="72">
        <f>AF87+AF86</f>
        <v>8714</v>
      </c>
      <c r="AG88" s="72">
        <f t="shared" si="310"/>
        <v>-1294</v>
      </c>
      <c r="AH88" s="71">
        <f t="shared" ref="AH88:AO88" si="371">AH87+AH86</f>
        <v>-1294</v>
      </c>
      <c r="AI88" s="72">
        <f t="shared" si="371"/>
        <v>-509</v>
      </c>
      <c r="AJ88" s="72">
        <f t="shared" si="371"/>
        <v>334</v>
      </c>
      <c r="AK88" s="72">
        <f t="shared" si="371"/>
        <v>-877</v>
      </c>
      <c r="AL88" s="72">
        <f t="shared" si="371"/>
        <v>2225</v>
      </c>
      <c r="AM88" s="71">
        <f t="shared" si="371"/>
        <v>2225</v>
      </c>
      <c r="AN88" s="72">
        <f t="shared" si="371"/>
        <v>3039</v>
      </c>
      <c r="AO88" s="72">
        <f t="shared" si="371"/>
        <v>3173</v>
      </c>
      <c r="AP88" s="72">
        <f t="shared" ref="AP88:AU88" si="372">AP87+AP86</f>
        <v>4552</v>
      </c>
      <c r="AQ88" s="72">
        <f t="shared" si="372"/>
        <v>2862</v>
      </c>
      <c r="AR88" s="71">
        <f t="shared" si="372"/>
        <v>2862</v>
      </c>
      <c r="AS88" s="72">
        <f t="shared" si="372"/>
        <v>4007</v>
      </c>
      <c r="AT88" s="72">
        <f t="shared" si="372"/>
        <v>4824</v>
      </c>
      <c r="AU88" s="90">
        <f t="shared" si="372"/>
        <v>6061</v>
      </c>
      <c r="AV88" s="72">
        <f t="shared" ref="AV88:BB88" si="373">AV87+AV86</f>
        <v>3608</v>
      </c>
      <c r="AW88" s="71">
        <f t="shared" si="373"/>
        <v>3608</v>
      </c>
      <c r="AX88" s="72">
        <f t="shared" si="373"/>
        <v>5120</v>
      </c>
      <c r="AY88" s="72">
        <f t="shared" si="373"/>
        <v>5892</v>
      </c>
      <c r="AZ88" s="72">
        <f t="shared" si="373"/>
        <v>7682</v>
      </c>
      <c r="BA88" s="72">
        <f t="shared" si="373"/>
        <v>5967</v>
      </c>
      <c r="BB88" s="71">
        <f t="shared" si="373"/>
        <v>5967</v>
      </c>
      <c r="BC88" s="72">
        <f>BC87+BC86</f>
        <v>7560</v>
      </c>
      <c r="BD88" s="72">
        <f>BD87+BD86</f>
        <v>7632</v>
      </c>
      <c r="BE88" s="72">
        <f>BE87+BE86</f>
        <v>9067</v>
      </c>
      <c r="BF88" s="72">
        <f>BF87+BF86</f>
        <v>14997</v>
      </c>
      <c r="BG88" s="71">
        <f t="shared" ref="BG88" si="374">BG87+BG86</f>
        <v>14997</v>
      </c>
      <c r="BH88" s="72">
        <f>BH87+BH86</f>
        <v>14633</v>
      </c>
      <c r="BI88" s="597">
        <f>BI87+BI86</f>
        <v>14184</v>
      </c>
      <c r="BJ88" s="597">
        <f>BJ87+BJ86</f>
        <v>14637</v>
      </c>
      <c r="BK88" s="597">
        <f>BK87+BK86</f>
        <v>8790</v>
      </c>
      <c r="BL88" s="71">
        <f t="shared" ref="BL88" si="375">BL87+BL86</f>
        <v>8790</v>
      </c>
      <c r="BM88" s="597">
        <f>BM87+BM86</f>
        <v>8030</v>
      </c>
      <c r="BN88" s="597">
        <f>BN87+BN86</f>
        <v>6307</v>
      </c>
      <c r="BO88" s="597">
        <f>BO87+BO86</f>
        <v>6786</v>
      </c>
      <c r="BP88" s="597">
        <f>BP87+BP86</f>
        <v>6397</v>
      </c>
      <c r="BQ88" s="71">
        <f t="shared" ref="BQ88" si="376">BQ87+BQ86</f>
        <v>6397</v>
      </c>
      <c r="BR88" s="597">
        <f>BR87+BR86</f>
        <v>4106</v>
      </c>
      <c r="BS88" s="597">
        <f>BS87+BS86</f>
        <v>647</v>
      </c>
      <c r="BT88" s="597">
        <f>BT87+BT86</f>
        <v>2150</v>
      </c>
      <c r="BU88" s="597">
        <f>BU87+BU86</f>
        <v>877</v>
      </c>
      <c r="BV88" s="71">
        <f t="shared" ref="BV88" si="377">BV87+BV86</f>
        <v>877</v>
      </c>
      <c r="BW88" s="597">
        <f>BW87+BW86</f>
        <v>155</v>
      </c>
      <c r="BX88" s="597">
        <f>BX87+BX86</f>
        <v>-1978</v>
      </c>
      <c r="BY88" s="597">
        <f>BY87+BY86</f>
        <v>1145</v>
      </c>
      <c r="BZ88" s="597">
        <f>BZ87+BZ86</f>
        <v>412</v>
      </c>
      <c r="CA88" s="71">
        <f t="shared" ref="CA88" si="378">CA87+CA86</f>
        <v>412</v>
      </c>
      <c r="CB88" s="597">
        <f>CB87+CB86</f>
        <v>1298</v>
      </c>
      <c r="CC88" s="597">
        <f>CC87+CC86</f>
        <v>-1374</v>
      </c>
      <c r="CD88" s="597">
        <f>CD87+CD86</f>
        <v>-1209</v>
      </c>
      <c r="CE88" s="597">
        <f>CE87+CE86</f>
        <v>410</v>
      </c>
      <c r="CF88" s="71">
        <f t="shared" ref="CF88" si="379">CF87+CF86</f>
        <v>410</v>
      </c>
      <c r="CG88" s="597">
        <f>CG87+CG86</f>
        <v>232</v>
      </c>
      <c r="CH88" s="597">
        <f>CH87+CH86</f>
        <v>-4943</v>
      </c>
      <c r="CI88" s="597">
        <f>CI87+CI86</f>
        <v>-3809</v>
      </c>
      <c r="CJ88" s="597">
        <f>CJ87+CJ86</f>
        <v>-8300</v>
      </c>
      <c r="CK88" s="71">
        <f t="shared" ref="CK88" si="380">CK87+CK86</f>
        <v>-8300</v>
      </c>
      <c r="CL88" s="597">
        <f>CL87+CL86</f>
        <v>-9360</v>
      </c>
      <c r="CM88" s="597">
        <f>CM87+CM86</f>
        <v>-11382</v>
      </c>
      <c r="CN88" s="597">
        <f>CN87+CN86</f>
        <v>-11553</v>
      </c>
      <c r="CO88" s="597">
        <f>CO87+CO86</f>
        <v>-18075</v>
      </c>
      <c r="CP88" s="71">
        <f t="shared" ref="CP88" si="381">CP87+CP86</f>
        <v>-18075</v>
      </c>
      <c r="CQ88" s="597">
        <f>CQ87+CQ86</f>
        <v>-17841</v>
      </c>
      <c r="CR88" s="597">
        <f>CR87+CR86</f>
        <v>-16485</v>
      </c>
      <c r="CS88" s="597">
        <f>CS87+CS86</f>
        <v>-14266</v>
      </c>
      <c r="CT88" s="597">
        <f>CT87+CT86</f>
        <v>-14846</v>
      </c>
      <c r="CU88" s="71">
        <f t="shared" ref="CU88" si="382">CU87+CU86</f>
        <v>-14846</v>
      </c>
      <c r="CV88" s="597">
        <f>CV87+CV86</f>
        <v>-15268</v>
      </c>
      <c r="CW88" s="597">
        <f>CW87+CW86</f>
        <v>-14791</v>
      </c>
      <c r="CX88" s="597">
        <f>CX87+CX86</f>
        <v>-17635</v>
      </c>
      <c r="CY88" s="597">
        <f>CY87+CY86</f>
        <v>-15848</v>
      </c>
      <c r="CZ88" s="71">
        <f t="shared" ref="CZ88" si="383">CZ87+CZ86</f>
        <v>-15848</v>
      </c>
      <c r="DA88" s="597">
        <f>DA87+DA86</f>
        <v>-15484</v>
      </c>
      <c r="DB88" s="597">
        <f>DB87+DB86</f>
        <v>-15493</v>
      </c>
      <c r="DC88" s="597">
        <f>DC87+DC86</f>
        <v>-16717</v>
      </c>
      <c r="DD88" s="597">
        <f>DD87+DD86</f>
        <v>-17228</v>
      </c>
      <c r="DE88" s="71">
        <f t="shared" ref="DE88" si="384">DE87+DE86</f>
        <v>-17228</v>
      </c>
      <c r="DF88" s="597">
        <f>DF87+DF86</f>
        <v>-17016</v>
      </c>
      <c r="DG88" s="597">
        <f>DG87+DG86</f>
        <v>-17982</v>
      </c>
      <c r="DH88" s="1065">
        <f>DH87+DH86</f>
        <v>-23562</v>
      </c>
      <c r="DI88" s="597">
        <f>DI87+DI86</f>
        <v>-3914</v>
      </c>
      <c r="DJ88" s="71">
        <f t="shared" ref="DJ88" si="385">DJ87+DJ86</f>
        <v>-3914</v>
      </c>
      <c r="DK88" s="597">
        <f>DK87+DK86</f>
        <v>-3325</v>
      </c>
      <c r="DL88" s="597">
        <f>DL87+DL86</f>
        <v>-3296</v>
      </c>
      <c r="DM88" s="597">
        <f>DM87+DM86</f>
        <v>-8253</v>
      </c>
      <c r="DN88" s="597">
        <f>DN87+DN86</f>
        <v>5457</v>
      </c>
      <c r="DO88" s="71">
        <f t="shared" ref="DO88" si="386">DO87+DO86</f>
        <v>5457</v>
      </c>
      <c r="DP88" s="597">
        <f>DP87+DP86</f>
        <v>5987</v>
      </c>
      <c r="DQ88" s="1065">
        <f>DQ87+DQ86</f>
        <v>6115</v>
      </c>
      <c r="DS88" s="597"/>
      <c r="DT88" s="85"/>
      <c r="DU88" s="597"/>
      <c r="DX88" s="597"/>
      <c r="DY88" s="85"/>
      <c r="DZ88" s="85"/>
      <c r="EA88" s="85"/>
      <c r="EB88" s="85"/>
    </row>
    <row r="89" spans="1:132" s="277" customFormat="1" ht="12" customHeight="1">
      <c r="A89" s="74"/>
      <c r="B89" s="74" t="s">
        <v>83</v>
      </c>
      <c r="C89" s="71">
        <f t="shared" ref="C89:L89" si="387">SUM(C88,C79)</f>
        <v>38024</v>
      </c>
      <c r="D89" s="71">
        <f t="shared" si="387"/>
        <v>36672</v>
      </c>
      <c r="E89" s="71">
        <f t="shared" si="387"/>
        <v>36147</v>
      </c>
      <c r="F89" s="71">
        <f t="shared" si="387"/>
        <v>42028</v>
      </c>
      <c r="G89" s="71">
        <f t="shared" si="387"/>
        <v>48343</v>
      </c>
      <c r="H89" s="71">
        <f t="shared" si="387"/>
        <v>52342</v>
      </c>
      <c r="I89" s="71">
        <f t="shared" si="387"/>
        <v>53035</v>
      </c>
      <c r="J89" s="72">
        <f t="shared" si="387"/>
        <v>53800</v>
      </c>
      <c r="K89" s="72">
        <f t="shared" si="387"/>
        <v>54283</v>
      </c>
      <c r="L89" s="72">
        <f t="shared" si="387"/>
        <v>55388</v>
      </c>
      <c r="M89" s="72">
        <f t="shared" si="306"/>
        <v>53963</v>
      </c>
      <c r="N89" s="71">
        <f>SUM(N88,N79)</f>
        <v>53963</v>
      </c>
      <c r="O89" s="72">
        <f>SUM(O88,O79)</f>
        <v>56714</v>
      </c>
      <c r="P89" s="72">
        <f>SUM(P88,P79)</f>
        <v>56494</v>
      </c>
      <c r="Q89" s="72">
        <f>SUM(Q88,Q79)</f>
        <v>58318</v>
      </c>
      <c r="R89" s="72">
        <f t="shared" si="307"/>
        <v>60058</v>
      </c>
      <c r="S89" s="71">
        <f>SUM(S88,S79)</f>
        <v>60058</v>
      </c>
      <c r="T89" s="72">
        <f>SUM(T88,T79)</f>
        <v>61408</v>
      </c>
      <c r="U89" s="72">
        <f>SUM(U88,U79)</f>
        <v>61269</v>
      </c>
      <c r="V89" s="72">
        <f>SUM(V88,V79)</f>
        <v>61458</v>
      </c>
      <c r="W89" s="72">
        <f t="shared" si="308"/>
        <v>51794</v>
      </c>
      <c r="X89" s="71">
        <f>SUM(X88,X79)</f>
        <v>51794</v>
      </c>
      <c r="Y89" s="72">
        <f>SUM(Y88,Y79)</f>
        <v>51556</v>
      </c>
      <c r="Z89" s="72">
        <f>SUM(Z88,Z79)</f>
        <v>53886</v>
      </c>
      <c r="AA89" s="72">
        <f>SUM(AA88,AA79)</f>
        <v>54787</v>
      </c>
      <c r="AB89" s="72">
        <f t="shared" si="309"/>
        <v>58986</v>
      </c>
      <c r="AC89" s="71">
        <f>SUM(AC88,AC79)</f>
        <v>58986</v>
      </c>
      <c r="AD89" s="72">
        <f>SUM(AD88,AD79)</f>
        <v>60360</v>
      </c>
      <c r="AE89" s="72">
        <f>SUM(AE88,AE79)</f>
        <v>58510</v>
      </c>
      <c r="AF89" s="72">
        <f>SUM(AF88,AF79)</f>
        <v>56519</v>
      </c>
      <c r="AG89" s="72">
        <f t="shared" si="310"/>
        <v>53779</v>
      </c>
      <c r="AH89" s="71">
        <f t="shared" ref="AH89:AO89" si="388">SUM(AH88,AH79)</f>
        <v>53779</v>
      </c>
      <c r="AI89" s="72">
        <f t="shared" si="388"/>
        <v>55340</v>
      </c>
      <c r="AJ89" s="72">
        <f t="shared" si="388"/>
        <v>57712</v>
      </c>
      <c r="AK89" s="72">
        <f t="shared" si="388"/>
        <v>58667</v>
      </c>
      <c r="AL89" s="72">
        <f t="shared" si="388"/>
        <v>62053</v>
      </c>
      <c r="AM89" s="71">
        <f t="shared" si="388"/>
        <v>62053</v>
      </c>
      <c r="AN89" s="72">
        <f t="shared" si="388"/>
        <v>62970</v>
      </c>
      <c r="AO89" s="72">
        <f t="shared" si="388"/>
        <v>63755</v>
      </c>
      <c r="AP89" s="72">
        <f t="shared" ref="AP89:AU89" si="389">SUM(AP88,AP79)</f>
        <v>65222</v>
      </c>
      <c r="AQ89" s="72">
        <f t="shared" si="389"/>
        <v>68565</v>
      </c>
      <c r="AR89" s="71">
        <f t="shared" si="389"/>
        <v>68565</v>
      </c>
      <c r="AS89" s="72">
        <f t="shared" si="389"/>
        <v>68760</v>
      </c>
      <c r="AT89" s="72">
        <f t="shared" si="389"/>
        <v>72119</v>
      </c>
      <c r="AU89" s="90">
        <f t="shared" si="389"/>
        <v>74163</v>
      </c>
      <c r="AV89" s="72">
        <f t="shared" ref="AV89:BB89" si="390">SUM(AV88,AV79)</f>
        <v>79986</v>
      </c>
      <c r="AW89" s="71">
        <f t="shared" si="390"/>
        <v>79986</v>
      </c>
      <c r="AX89" s="72">
        <f t="shared" si="390"/>
        <v>80205</v>
      </c>
      <c r="AY89" s="72">
        <f t="shared" si="390"/>
        <v>81595</v>
      </c>
      <c r="AZ89" s="72">
        <f t="shared" si="390"/>
        <v>83654</v>
      </c>
      <c r="BA89" s="72">
        <f t="shared" si="390"/>
        <v>88896</v>
      </c>
      <c r="BB89" s="71">
        <f t="shared" si="390"/>
        <v>88896</v>
      </c>
      <c r="BC89" s="72">
        <f>SUM(BC88,BC79)</f>
        <v>90447</v>
      </c>
      <c r="BD89" s="72">
        <f>SUM(BD88,BD79)</f>
        <v>92091</v>
      </c>
      <c r="BE89" s="72">
        <f>SUM(BE88,BE79)</f>
        <v>94633</v>
      </c>
      <c r="BF89" s="72">
        <f>SUM(BF88,BF79)</f>
        <v>92663</v>
      </c>
      <c r="BG89" s="71">
        <f t="shared" ref="BG89" si="391">SUM(BG88,BG79)</f>
        <v>92663</v>
      </c>
      <c r="BH89" s="72">
        <f>SUM(BH88,BH79)</f>
        <v>91575</v>
      </c>
      <c r="BI89" s="597">
        <f>SUM(BI88,BI79)</f>
        <v>92737</v>
      </c>
      <c r="BJ89" s="597">
        <f>SUM(BJ88,BJ79)</f>
        <v>92653</v>
      </c>
      <c r="BK89" s="597">
        <f>SUM(BK88,BK79)</f>
        <v>99198</v>
      </c>
      <c r="BL89" s="71">
        <f t="shared" ref="BL89" si="392">SUM(BL88,BL79)</f>
        <v>99198</v>
      </c>
      <c r="BM89" s="597">
        <f>SUM(BM88,BM79)</f>
        <v>97775</v>
      </c>
      <c r="BN89" s="597">
        <f>SUM(BN88,BN79)</f>
        <v>98102</v>
      </c>
      <c r="BO89" s="597">
        <f>SUM(BO88,BO79)</f>
        <v>98998</v>
      </c>
      <c r="BP89" s="597">
        <f>SUM(BP88,BP79)</f>
        <v>94408</v>
      </c>
      <c r="BQ89" s="71">
        <f t="shared" ref="BQ89" si="393">SUM(BQ88,BQ79)</f>
        <v>94408</v>
      </c>
      <c r="BR89" s="597">
        <f>SUM(BR88,BR79)</f>
        <v>91547</v>
      </c>
      <c r="BS89" s="597">
        <f>SUM(BS88,BS79)</f>
        <v>89609</v>
      </c>
      <c r="BT89" s="597">
        <f>SUM(BT88,BT79)</f>
        <v>88950</v>
      </c>
      <c r="BU89" s="597">
        <f>SUM(BU88,BU79)</f>
        <v>89997</v>
      </c>
      <c r="BV89" s="71">
        <f t="shared" ref="BV89" si="394">SUM(BV88,BV79)</f>
        <v>89997</v>
      </c>
      <c r="BW89" s="597">
        <f>SUM(BW88,BW79)</f>
        <v>89673</v>
      </c>
      <c r="BX89" s="597">
        <f>SUM(BX88,BX79)</f>
        <v>90036</v>
      </c>
      <c r="BY89" s="597">
        <f>SUM(BY88,BY79)</f>
        <v>91007</v>
      </c>
      <c r="BZ89" s="597">
        <f>SUM(BZ88,BZ79)</f>
        <v>92333</v>
      </c>
      <c r="CA89" s="71">
        <f t="shared" ref="CA89" si="395">SUM(CA88,CA79)</f>
        <v>92333</v>
      </c>
      <c r="CB89" s="597">
        <f>SUM(CB88,CB79)</f>
        <v>113549</v>
      </c>
      <c r="CC89" s="597">
        <f>SUM(CC88,CC79)</f>
        <v>113195</v>
      </c>
      <c r="CD89" s="597">
        <f>SUM(CD88,CD79)</f>
        <v>114659</v>
      </c>
      <c r="CE89" s="597">
        <f>SUM(CE88,CE79)</f>
        <v>117359</v>
      </c>
      <c r="CF89" s="71">
        <f t="shared" ref="CF89" si="396">SUM(CF88,CF79)</f>
        <v>117359</v>
      </c>
      <c r="CG89" s="597">
        <f>SUM(CG88,CG79)</f>
        <v>120209</v>
      </c>
      <c r="CH89" s="597">
        <f>SUM(CH88,CH79)</f>
        <v>126261</v>
      </c>
      <c r="CI89" s="597">
        <f>SUM(CI88,CI79)</f>
        <v>132598</v>
      </c>
      <c r="CJ89" s="597">
        <f>SUM(CJ88,CJ79)</f>
        <v>133625</v>
      </c>
      <c r="CK89" s="71">
        <f t="shared" ref="CK89" si="397">SUM(CK88,CK79)</f>
        <v>133625</v>
      </c>
      <c r="CL89" s="597">
        <f>SUM(CL88,CL79)</f>
        <v>143075</v>
      </c>
      <c r="CM89" s="597">
        <f>SUM(CM88,CM79)</f>
        <v>162872</v>
      </c>
      <c r="CN89" s="597">
        <f>SUM(CN88,CN79)</f>
        <v>161261</v>
      </c>
      <c r="CO89" s="597">
        <f>SUM(CO88,CO79)</f>
        <v>152136</v>
      </c>
      <c r="CP89" s="71">
        <f t="shared" ref="CP89" si="398">SUM(CP88,CP79)</f>
        <v>152136</v>
      </c>
      <c r="CQ89" s="597">
        <f>SUM(CQ88,CQ79)</f>
        <v>150035</v>
      </c>
      <c r="CR89" s="597">
        <f>SUM(CR88,CR79)</f>
        <v>148935</v>
      </c>
      <c r="CS89" s="597">
        <f>SUM(CS88,CS79)</f>
        <v>146846</v>
      </c>
      <c r="CT89" s="597">
        <f>SUM(CT88,CT79)</f>
        <v>138552</v>
      </c>
      <c r="CU89" s="71">
        <f t="shared" ref="CU89" si="399">SUM(CU88,CU79)</f>
        <v>138552</v>
      </c>
      <c r="CV89" s="597">
        <f>SUM(CV88,CV79)</f>
        <v>135801</v>
      </c>
      <c r="CW89" s="597">
        <f>SUM(CW88,CW79)</f>
        <v>135479</v>
      </c>
      <c r="CX89" s="597">
        <f>SUM(CX88,CX79)</f>
        <v>137558</v>
      </c>
      <c r="CY89" s="597">
        <f>SUM(CY88,CY79)</f>
        <v>137100</v>
      </c>
      <c r="CZ89" s="71">
        <f t="shared" ref="CZ89" si="400">SUM(CZ88,CZ79)</f>
        <v>137100</v>
      </c>
      <c r="DA89" s="597">
        <f>SUM(DA88,DA79)</f>
        <v>136347</v>
      </c>
      <c r="DB89" s="597">
        <f>SUM(DB88,DB79)</f>
        <v>134774</v>
      </c>
      <c r="DC89" s="597">
        <f>SUM(DC88,DC79)</f>
        <v>134281</v>
      </c>
      <c r="DD89" s="597">
        <f>SUM(DD88,DD79)</f>
        <v>137012</v>
      </c>
      <c r="DE89" s="71">
        <f t="shared" ref="DE89" si="401">SUM(DE88,DE79)</f>
        <v>137012</v>
      </c>
      <c r="DF89" s="597">
        <f>SUM(DF88,DF79)</f>
        <v>134484</v>
      </c>
      <c r="DG89" s="597">
        <f>SUM(DG88,DG79)</f>
        <v>142720</v>
      </c>
      <c r="DH89" s="1065">
        <f>SUM(DH88,DH79)</f>
        <v>137695</v>
      </c>
      <c r="DI89" s="597">
        <f>SUM(DI88,DI79)</f>
        <v>156363</v>
      </c>
      <c r="DJ89" s="71">
        <f t="shared" ref="DJ89" si="402">SUM(DJ88,DJ79)</f>
        <v>156363</v>
      </c>
      <c r="DK89" s="597">
        <f>SUM(DK88,DK79)</f>
        <v>156494</v>
      </c>
      <c r="DL89" s="597">
        <f>SUM(DL88,DL79)</f>
        <v>155120</v>
      </c>
      <c r="DM89" s="597">
        <f>SUM(DM88,DM79)</f>
        <v>150023</v>
      </c>
      <c r="DN89" s="597">
        <f>SUM(DN88,DN79)</f>
        <v>168235</v>
      </c>
      <c r="DO89" s="71">
        <f t="shared" ref="DO89" si="403">SUM(DO88,DO79)</f>
        <v>168235</v>
      </c>
      <c r="DP89" s="597">
        <f>SUM(DP88,DP79)</f>
        <v>164787</v>
      </c>
      <c r="DQ89" s="1065">
        <f>SUM(DQ88,DQ79)</f>
        <v>165870</v>
      </c>
      <c r="DS89" s="597"/>
      <c r="DT89" s="85"/>
      <c r="DU89" s="597"/>
      <c r="DX89" s="597"/>
      <c r="DY89" s="85"/>
      <c r="DZ89" s="85"/>
      <c r="EA89" s="85"/>
      <c r="EB89" s="85"/>
    </row>
    <row r="90" spans="1:132" s="277" customFormat="1" ht="12" customHeight="1">
      <c r="A90" s="74"/>
      <c r="B90" s="74"/>
      <c r="C90" s="85"/>
      <c r="D90" s="85"/>
      <c r="E90" s="85"/>
      <c r="F90" s="85"/>
      <c r="G90" s="85"/>
      <c r="H90" s="85"/>
      <c r="I90" s="85"/>
      <c r="J90" s="82"/>
      <c r="K90" s="82"/>
      <c r="L90" s="82"/>
      <c r="M90" s="82"/>
      <c r="N90" s="85"/>
      <c r="O90" s="82"/>
      <c r="P90" s="82"/>
      <c r="Q90" s="82"/>
      <c r="R90" s="82"/>
      <c r="S90" s="85"/>
      <c r="T90" s="82"/>
      <c r="U90" s="82"/>
      <c r="V90" s="82"/>
      <c r="W90" s="82"/>
      <c r="X90" s="85"/>
      <c r="Y90" s="82"/>
      <c r="Z90" s="82"/>
      <c r="AA90" s="82"/>
      <c r="AB90" s="82"/>
      <c r="AC90" s="85"/>
      <c r="AD90" s="82"/>
      <c r="AE90" s="82"/>
      <c r="AF90" s="82"/>
      <c r="AG90" s="82"/>
      <c r="AH90" s="85"/>
      <c r="AI90" s="82"/>
      <c r="AJ90" s="82"/>
      <c r="AK90" s="82"/>
      <c r="AL90" s="82"/>
      <c r="AM90" s="85"/>
      <c r="AN90" s="82"/>
      <c r="AO90" s="82"/>
      <c r="AP90" s="82"/>
      <c r="AQ90" s="82"/>
      <c r="AR90" s="85"/>
      <c r="AS90" s="82"/>
      <c r="AT90" s="82"/>
      <c r="AU90" s="555"/>
      <c r="AV90" s="82"/>
      <c r="AW90" s="85"/>
      <c r="AX90" s="82"/>
      <c r="AY90" s="82"/>
      <c r="AZ90" s="82"/>
      <c r="BA90" s="82"/>
      <c r="BB90" s="85"/>
      <c r="BC90" s="82"/>
      <c r="BD90" s="82"/>
      <c r="BE90" s="82"/>
      <c r="BF90" s="82"/>
      <c r="BG90" s="85"/>
      <c r="BH90" s="82"/>
      <c r="BI90" s="702"/>
      <c r="BJ90" s="82"/>
      <c r="BK90" s="82"/>
      <c r="BL90" s="85"/>
      <c r="BM90" s="82"/>
      <c r="BN90" s="702"/>
      <c r="BO90" s="82"/>
      <c r="BP90" s="82"/>
      <c r="BQ90" s="85"/>
      <c r="BR90" s="82"/>
      <c r="BS90" s="702"/>
      <c r="BT90" s="82"/>
      <c r="BU90" s="82"/>
      <c r="BV90" s="85"/>
      <c r="BW90" s="82"/>
      <c r="BX90" s="702"/>
      <c r="BY90" s="82"/>
      <c r="BZ90" s="82"/>
      <c r="CA90" s="85"/>
      <c r="CB90" s="82"/>
      <c r="CC90" s="702"/>
      <c r="CD90" s="82"/>
      <c r="CE90" s="82"/>
      <c r="CF90" s="85"/>
      <c r="CG90" s="702"/>
      <c r="CH90" s="702"/>
      <c r="CI90" s="702"/>
      <c r="CJ90" s="702"/>
      <c r="CK90" s="85"/>
      <c r="CL90" s="82"/>
      <c r="CM90" s="82"/>
      <c r="CN90" s="82"/>
      <c r="CO90" s="82"/>
      <c r="CP90" s="85"/>
      <c r="CQ90" s="82"/>
      <c r="CR90" s="82"/>
      <c r="CS90" s="82"/>
      <c r="CT90" s="82"/>
      <c r="CU90" s="85"/>
      <c r="CV90" s="82"/>
      <c r="CW90" s="82"/>
      <c r="CX90" s="82"/>
      <c r="CY90" s="82"/>
      <c r="CZ90" s="85"/>
      <c r="DA90" s="82"/>
      <c r="DB90" s="82"/>
      <c r="DC90" s="82"/>
      <c r="DD90" s="82"/>
      <c r="DE90" s="85"/>
      <c r="DI90" s="82"/>
      <c r="DJ90" s="85"/>
      <c r="DN90" s="82"/>
      <c r="DO90" s="85"/>
      <c r="DP90" s="82"/>
      <c r="DS90" s="82"/>
      <c r="DT90" s="85"/>
      <c r="DX90" s="82"/>
      <c r="DY90" s="85"/>
      <c r="DZ90" s="85"/>
      <c r="EA90" s="85"/>
      <c r="EB90" s="85"/>
    </row>
    <row r="91" spans="1:132" s="103" customFormat="1" ht="3.75" customHeight="1">
      <c r="A91" s="148"/>
      <c r="B91" s="148"/>
      <c r="C91" s="83"/>
      <c r="D91" s="83"/>
      <c r="E91" s="83"/>
      <c r="F91" s="83"/>
      <c r="G91" s="83"/>
      <c r="H91" s="83"/>
      <c r="I91" s="83"/>
      <c r="J91" s="84"/>
      <c r="K91" s="84"/>
      <c r="L91" s="84"/>
      <c r="M91" s="84"/>
      <c r="N91" s="83"/>
      <c r="O91" s="84"/>
      <c r="P91" s="84"/>
      <c r="Q91" s="84"/>
      <c r="R91" s="84"/>
      <c r="S91" s="83"/>
      <c r="T91" s="84"/>
      <c r="U91" s="84"/>
      <c r="V91" s="84"/>
      <c r="W91" s="84"/>
      <c r="X91" s="83"/>
      <c r="Y91" s="84"/>
      <c r="Z91" s="84"/>
      <c r="AA91" s="84"/>
      <c r="AB91" s="84"/>
      <c r="AC91" s="83"/>
      <c r="AD91" s="84"/>
      <c r="AE91" s="84"/>
      <c r="AF91" s="84"/>
      <c r="AG91" s="84"/>
      <c r="AH91" s="83"/>
      <c r="AI91" s="84"/>
      <c r="AJ91" s="84"/>
      <c r="AK91" s="84"/>
      <c r="AL91" s="84"/>
      <c r="AM91" s="83"/>
      <c r="AN91" s="84"/>
      <c r="AO91" s="84"/>
      <c r="AP91" s="84"/>
      <c r="AQ91" s="84"/>
      <c r="AR91" s="83"/>
      <c r="AS91" s="84"/>
      <c r="AT91" s="84"/>
      <c r="AU91" s="84"/>
      <c r="AV91" s="84"/>
      <c r="AW91" s="83"/>
      <c r="AX91" s="84"/>
      <c r="AY91" s="84"/>
      <c r="AZ91" s="84"/>
      <c r="BA91" s="84"/>
      <c r="BB91" s="83"/>
      <c r="BC91" s="84"/>
      <c r="BD91" s="84"/>
      <c r="BE91" s="84"/>
      <c r="BF91" s="84"/>
      <c r="BG91" s="83"/>
      <c r="BH91" s="84"/>
      <c r="BI91" s="701"/>
      <c r="BJ91" s="84"/>
      <c r="BK91" s="84"/>
      <c r="BL91" s="83"/>
      <c r="BM91" s="84"/>
      <c r="BN91" s="701"/>
      <c r="BO91" s="84"/>
      <c r="BP91" s="84"/>
      <c r="BQ91" s="83"/>
      <c r="BR91" s="84"/>
      <c r="BS91" s="701"/>
      <c r="BT91" s="84"/>
      <c r="BU91" s="84"/>
      <c r="BV91" s="83"/>
      <c r="BW91" s="84"/>
      <c r="BX91" s="701"/>
      <c r="BY91" s="84"/>
      <c r="BZ91" s="84"/>
      <c r="CA91" s="83"/>
      <c r="CB91" s="84"/>
      <c r="CC91" s="701"/>
      <c r="CD91" s="84"/>
      <c r="CE91" s="84"/>
      <c r="CF91" s="83"/>
      <c r="CG91" s="701"/>
      <c r="CH91" s="701"/>
      <c r="CI91" s="701"/>
      <c r="CJ91" s="701"/>
      <c r="CK91" s="83"/>
      <c r="CL91" s="84"/>
      <c r="CM91" s="84"/>
      <c r="CN91" s="84"/>
      <c r="CO91" s="84"/>
      <c r="CP91" s="83"/>
      <c r="CQ91" s="84"/>
      <c r="CR91" s="84"/>
      <c r="CS91" s="84"/>
      <c r="CT91" s="84"/>
      <c r="CU91" s="83"/>
      <c r="CV91" s="84"/>
      <c r="CW91" s="84"/>
      <c r="CX91" s="84"/>
      <c r="CY91" s="84"/>
      <c r="CZ91" s="83"/>
      <c r="DA91" s="84"/>
      <c r="DB91" s="84"/>
      <c r="DC91" s="84"/>
      <c r="DD91" s="84"/>
      <c r="DE91" s="83"/>
      <c r="DF91" s="84"/>
      <c r="DG91" s="1047"/>
      <c r="DH91" s="1047"/>
      <c r="DI91" s="84"/>
      <c r="DJ91" s="83"/>
      <c r="DK91" s="84"/>
      <c r="DL91" s="84"/>
      <c r="DM91" s="84"/>
      <c r="DN91" s="84"/>
      <c r="DO91" s="83"/>
      <c r="DP91" s="84"/>
      <c r="DQ91" s="84"/>
      <c r="DR91" s="84"/>
      <c r="DS91" s="84"/>
      <c r="DT91" s="83"/>
      <c r="DU91" s="84"/>
      <c r="DV91" s="84"/>
      <c r="DW91" s="84"/>
      <c r="DX91" s="84"/>
      <c r="DY91" s="83"/>
      <c r="DZ91" s="83"/>
      <c r="EA91" s="83"/>
      <c r="EB91" s="83"/>
    </row>
    <row r="92" spans="1:132" s="103" customFormat="1" hidden="1" outlineLevel="1">
      <c r="A92" s="68"/>
      <c r="B92" s="68"/>
      <c r="C92" s="76" t="str">
        <f t="shared" ref="C92:AK92" si="404">IF(ROUND(C89,2)=ROUND(C64,2),"","check")</f>
        <v/>
      </c>
      <c r="D92" s="76" t="str">
        <f t="shared" si="404"/>
        <v/>
      </c>
      <c r="E92" s="76" t="str">
        <f t="shared" si="404"/>
        <v/>
      </c>
      <c r="F92" s="76" t="str">
        <f t="shared" si="404"/>
        <v/>
      </c>
      <c r="G92" s="76" t="str">
        <f t="shared" si="404"/>
        <v/>
      </c>
      <c r="H92" s="76" t="str">
        <f t="shared" si="404"/>
        <v/>
      </c>
      <c r="I92" s="76" t="str">
        <f t="shared" si="404"/>
        <v/>
      </c>
      <c r="J92" s="77" t="str">
        <f t="shared" si="404"/>
        <v/>
      </c>
      <c r="K92" s="77" t="str">
        <f t="shared" si="404"/>
        <v/>
      </c>
      <c r="L92" s="77" t="str">
        <f t="shared" si="404"/>
        <v/>
      </c>
      <c r="M92" s="77" t="str">
        <f t="shared" si="404"/>
        <v/>
      </c>
      <c r="N92" s="76" t="str">
        <f t="shared" si="404"/>
        <v/>
      </c>
      <c r="O92" s="77" t="str">
        <f t="shared" si="404"/>
        <v/>
      </c>
      <c r="P92" s="77" t="str">
        <f t="shared" si="404"/>
        <v/>
      </c>
      <c r="Q92" s="77" t="str">
        <f t="shared" si="404"/>
        <v/>
      </c>
      <c r="R92" s="77" t="str">
        <f t="shared" si="404"/>
        <v/>
      </c>
      <c r="S92" s="76" t="str">
        <f t="shared" si="404"/>
        <v/>
      </c>
      <c r="T92" s="77" t="str">
        <f t="shared" si="404"/>
        <v/>
      </c>
      <c r="U92" s="77" t="str">
        <f t="shared" si="404"/>
        <v/>
      </c>
      <c r="V92" s="77" t="str">
        <f t="shared" si="404"/>
        <v/>
      </c>
      <c r="W92" s="77" t="str">
        <f t="shared" si="404"/>
        <v/>
      </c>
      <c r="X92" s="76" t="str">
        <f t="shared" si="404"/>
        <v/>
      </c>
      <c r="Y92" s="77" t="str">
        <f t="shared" si="404"/>
        <v/>
      </c>
      <c r="Z92" s="77" t="str">
        <f t="shared" si="404"/>
        <v/>
      </c>
      <c r="AA92" s="77" t="str">
        <f t="shared" si="404"/>
        <v/>
      </c>
      <c r="AB92" s="77" t="str">
        <f t="shared" si="404"/>
        <v/>
      </c>
      <c r="AC92" s="76" t="str">
        <f t="shared" si="404"/>
        <v/>
      </c>
      <c r="AD92" s="77" t="str">
        <f t="shared" si="404"/>
        <v/>
      </c>
      <c r="AE92" s="77" t="str">
        <f t="shared" si="404"/>
        <v/>
      </c>
      <c r="AF92" s="77" t="str">
        <f t="shared" si="404"/>
        <v/>
      </c>
      <c r="AG92" s="77" t="str">
        <f t="shared" si="404"/>
        <v/>
      </c>
      <c r="AH92" s="76" t="str">
        <f t="shared" si="404"/>
        <v/>
      </c>
      <c r="AI92" s="77" t="str">
        <f t="shared" si="404"/>
        <v/>
      </c>
      <c r="AJ92" s="77" t="str">
        <f t="shared" si="404"/>
        <v/>
      </c>
      <c r="AK92" s="77" t="str">
        <f t="shared" si="404"/>
        <v/>
      </c>
      <c r="AL92" s="77"/>
      <c r="AM92" s="76"/>
      <c r="AN92" s="77"/>
      <c r="AO92" s="77"/>
      <c r="AP92" s="77"/>
      <c r="AQ92" s="77"/>
      <c r="AR92" s="76"/>
      <c r="AS92" s="77"/>
      <c r="AT92" s="77"/>
      <c r="AU92" s="77"/>
      <c r="AV92" s="77"/>
      <c r="AW92" s="76"/>
      <c r="AX92" s="77"/>
      <c r="AY92" s="77"/>
      <c r="AZ92" s="77"/>
      <c r="BA92" s="77"/>
      <c r="BB92" s="76"/>
      <c r="BC92" s="77"/>
      <c r="BD92" s="77"/>
      <c r="BE92" s="77"/>
      <c r="BF92" s="77"/>
      <c r="BG92" s="76"/>
      <c r="BH92" s="77"/>
      <c r="BI92" s="693"/>
      <c r="BJ92" s="77"/>
      <c r="BK92" s="77"/>
      <c r="BL92" s="76"/>
      <c r="BM92" s="77"/>
      <c r="BN92" s="693"/>
      <c r="BO92" s="77"/>
      <c r="BP92" s="77"/>
      <c r="BQ92" s="76"/>
      <c r="BR92" s="77"/>
      <c r="BS92" s="693"/>
      <c r="BT92" s="77"/>
      <c r="BU92" s="77"/>
      <c r="BV92" s="76"/>
      <c r="BW92" s="77"/>
      <c r="BX92" s="693"/>
      <c r="BY92" s="77"/>
      <c r="BZ92" s="77"/>
      <c r="CA92" s="76"/>
      <c r="CB92" s="77"/>
      <c r="CC92" s="693"/>
      <c r="CD92" s="77"/>
      <c r="CE92" s="77"/>
      <c r="CF92" s="76"/>
      <c r="CG92" s="693"/>
      <c r="CH92" s="693"/>
      <c r="CI92" s="693"/>
      <c r="CJ92" s="693"/>
      <c r="CK92" s="76"/>
      <c r="CL92" s="77"/>
      <c r="CM92" s="77"/>
      <c r="CN92" s="77"/>
      <c r="CO92" s="77"/>
      <c r="CP92" s="76"/>
      <c r="CQ92" s="77"/>
      <c r="CR92" s="77"/>
      <c r="CS92" s="77"/>
      <c r="CT92" s="77"/>
      <c r="CU92" s="76"/>
      <c r="CV92" s="77"/>
      <c r="CW92" s="77"/>
      <c r="CX92" s="77"/>
      <c r="CY92" s="77"/>
      <c r="CZ92" s="76"/>
      <c r="DA92" s="77"/>
      <c r="DB92" s="77"/>
      <c r="DC92" s="77"/>
      <c r="DD92" s="77"/>
      <c r="DE92" s="76"/>
      <c r="DG92" s="593"/>
      <c r="DH92" s="593"/>
      <c r="DI92" s="77"/>
      <c r="DJ92" s="76"/>
      <c r="DN92" s="77"/>
      <c r="DO92" s="76"/>
      <c r="DP92" s="77"/>
      <c r="DS92" s="77"/>
      <c r="DT92" s="76"/>
      <c r="DX92" s="77"/>
      <c r="DY92" s="76"/>
      <c r="DZ92" s="76"/>
      <c r="EA92" s="76"/>
      <c r="EB92" s="76"/>
    </row>
    <row r="93" spans="1:132" s="103" customFormat="1" collapsed="1">
      <c r="A93" s="68"/>
      <c r="B93" s="68"/>
      <c r="C93" s="76"/>
      <c r="D93" s="76"/>
      <c r="E93" s="76"/>
      <c r="F93" s="76"/>
      <c r="G93" s="76"/>
      <c r="H93" s="76"/>
      <c r="I93" s="76"/>
      <c r="J93" s="77"/>
      <c r="K93" s="77"/>
      <c r="L93" s="77"/>
      <c r="M93" s="77"/>
      <c r="N93" s="76"/>
      <c r="O93" s="77"/>
      <c r="P93" s="77"/>
      <c r="Q93" s="77"/>
      <c r="R93" s="77"/>
      <c r="S93" s="76"/>
      <c r="T93" s="77"/>
      <c r="U93" s="77"/>
      <c r="V93" s="77"/>
      <c r="W93" s="77"/>
      <c r="X93" s="76"/>
      <c r="Y93" s="77"/>
      <c r="Z93" s="77"/>
      <c r="AA93" s="77"/>
      <c r="AB93" s="77"/>
      <c r="AC93" s="76"/>
      <c r="AD93" s="77"/>
      <c r="AE93" s="77"/>
      <c r="AF93" s="77"/>
      <c r="AG93" s="77"/>
      <c r="AH93" s="76"/>
      <c r="AI93" s="77"/>
      <c r="AJ93" s="77"/>
      <c r="AK93" s="77"/>
      <c r="AL93" s="77"/>
      <c r="AM93" s="76"/>
      <c r="AN93" s="77"/>
      <c r="AO93" s="77"/>
      <c r="AP93" s="77"/>
      <c r="AQ93" s="77"/>
      <c r="AR93" s="76"/>
      <c r="AS93" s="77"/>
      <c r="AT93" s="77"/>
      <c r="AU93" s="77"/>
      <c r="AV93" s="77"/>
      <c r="AW93" s="76"/>
      <c r="AX93" s="77"/>
      <c r="AY93" s="77"/>
      <c r="AZ93" s="77"/>
      <c r="BA93" s="77"/>
      <c r="BB93" s="76"/>
      <c r="BC93" s="77"/>
      <c r="BD93" s="77"/>
      <c r="BE93" s="77"/>
      <c r="BF93" s="77"/>
      <c r="BG93" s="76"/>
      <c r="BH93" s="77"/>
      <c r="BI93" s="693"/>
      <c r="BJ93" s="77"/>
      <c r="BK93" s="77"/>
      <c r="BL93" s="76"/>
      <c r="BM93" s="77"/>
      <c r="BN93" s="693"/>
      <c r="BO93" s="77"/>
      <c r="BP93" s="77"/>
      <c r="BQ93" s="76"/>
      <c r="BR93" s="77"/>
      <c r="BS93" s="693"/>
      <c r="BT93" s="77"/>
      <c r="BU93" s="77"/>
      <c r="BV93" s="76"/>
      <c r="BW93" s="77"/>
      <c r="BX93" s="693"/>
      <c r="BY93" s="77"/>
      <c r="BZ93" s="77"/>
      <c r="CA93" s="76"/>
      <c r="CB93" s="77"/>
      <c r="CC93" s="693"/>
      <c r="CD93" s="77"/>
      <c r="CE93" s="77"/>
      <c r="CF93" s="76"/>
      <c r="CG93" s="693"/>
      <c r="CH93" s="693"/>
      <c r="CI93" s="693"/>
      <c r="CJ93" s="693"/>
      <c r="CK93" s="76"/>
      <c r="CL93" s="77"/>
      <c r="CM93" s="77"/>
      <c r="CN93" s="77"/>
      <c r="CO93" s="77"/>
      <c r="CP93" s="76"/>
      <c r="CQ93" s="77"/>
      <c r="CR93" s="77"/>
      <c r="CS93" s="77"/>
      <c r="CT93" s="77"/>
      <c r="CU93" s="76"/>
      <c r="CV93" s="77"/>
      <c r="CW93" s="77"/>
      <c r="CX93" s="77"/>
      <c r="CY93" s="77"/>
      <c r="CZ93" s="76"/>
      <c r="DA93" s="77"/>
      <c r="DB93" s="77"/>
      <c r="DC93" s="77"/>
      <c r="DD93" s="77"/>
      <c r="DE93" s="76"/>
      <c r="DG93" s="593"/>
      <c r="DH93" s="593"/>
      <c r="DI93" s="77"/>
      <c r="DJ93" s="76"/>
      <c r="DN93" s="77"/>
      <c r="DO93" s="76"/>
      <c r="DP93" s="77"/>
      <c r="DS93" s="77"/>
      <c r="DT93" s="76"/>
      <c r="DX93" s="77"/>
      <c r="DY93" s="76"/>
      <c r="DZ93" s="76"/>
      <c r="EA93" s="76"/>
      <c r="EB93" s="76"/>
    </row>
    <row r="94" spans="1:132" s="103" customFormat="1" ht="12" customHeight="1">
      <c r="A94" s="68"/>
      <c r="B94" s="164" t="s">
        <v>308</v>
      </c>
      <c r="C94" s="76"/>
      <c r="D94" s="76"/>
      <c r="E94" s="76"/>
      <c r="F94" s="76"/>
      <c r="G94" s="76"/>
      <c r="H94" s="76"/>
      <c r="I94" s="76"/>
      <c r="J94" s="77"/>
      <c r="K94" s="77"/>
      <c r="L94" s="77"/>
      <c r="M94" s="77"/>
      <c r="N94" s="76"/>
      <c r="O94" s="77"/>
      <c r="P94" s="77"/>
      <c r="Q94" s="77"/>
      <c r="R94" s="77"/>
      <c r="S94" s="76"/>
      <c r="T94" s="77"/>
      <c r="U94" s="77"/>
      <c r="V94" s="77"/>
      <c r="W94" s="77"/>
      <c r="X94" s="76"/>
      <c r="Y94" s="77"/>
      <c r="Z94" s="77"/>
      <c r="AA94" s="77"/>
      <c r="AB94" s="77"/>
      <c r="AC94" s="76"/>
      <c r="AD94" s="77"/>
      <c r="AE94" s="77"/>
      <c r="AF94" s="77"/>
      <c r="AG94" s="77"/>
      <c r="AH94" s="76"/>
      <c r="AI94" s="77"/>
      <c r="AJ94" s="77"/>
      <c r="AK94" s="77"/>
      <c r="AL94" s="77"/>
      <c r="AM94" s="76"/>
      <c r="AN94" s="77"/>
      <c r="AO94" s="77"/>
      <c r="AP94" s="77"/>
      <c r="AQ94" s="77"/>
      <c r="AR94" s="76"/>
      <c r="AS94" s="77"/>
      <c r="AT94" s="77"/>
      <c r="AU94" s="77"/>
      <c r="AV94" s="77"/>
      <c r="AW94" s="76"/>
      <c r="AX94" s="77"/>
      <c r="AY94" s="77"/>
      <c r="AZ94" s="77"/>
      <c r="BA94" s="77"/>
      <c r="BB94" s="76"/>
      <c r="BC94" s="77"/>
      <c r="BD94" s="77"/>
      <c r="BE94" s="77"/>
      <c r="BF94" s="77"/>
      <c r="BG94" s="76"/>
      <c r="BH94" s="77"/>
      <c r="BI94" s="693"/>
      <c r="BJ94" s="77"/>
      <c r="BK94" s="77"/>
      <c r="BL94" s="76"/>
      <c r="BM94" s="77"/>
      <c r="BN94" s="693"/>
      <c r="BO94" s="77"/>
      <c r="BP94" s="77"/>
      <c r="BQ94" s="76"/>
      <c r="BR94" s="77"/>
      <c r="BS94" s="693"/>
      <c r="BT94" s="77"/>
      <c r="BU94" s="77"/>
      <c r="BV94" s="76"/>
      <c r="BW94" s="77"/>
      <c r="BX94" s="693"/>
      <c r="BY94" s="77"/>
      <c r="BZ94" s="77"/>
      <c r="CA94" s="76"/>
      <c r="CB94" s="77"/>
      <c r="CC94" s="693"/>
      <c r="CD94" s="77"/>
      <c r="CE94" s="77"/>
      <c r="CF94" s="76"/>
      <c r="CG94" s="693"/>
      <c r="CH94" s="693"/>
      <c r="CI94" s="693"/>
      <c r="CJ94" s="693"/>
      <c r="CK94" s="76"/>
      <c r="CL94" s="77"/>
      <c r="CM94" s="77"/>
      <c r="CN94" s="77"/>
      <c r="CO94" s="77"/>
      <c r="CP94" s="76"/>
      <c r="CQ94" s="77"/>
      <c r="CR94" s="77"/>
      <c r="CS94" s="77"/>
      <c r="CT94" s="77"/>
      <c r="CU94" s="76"/>
      <c r="CV94" s="77"/>
      <c r="CW94" s="77"/>
      <c r="CX94" s="77"/>
      <c r="CY94" s="77"/>
      <c r="CZ94" s="76"/>
      <c r="DA94" s="77"/>
      <c r="DB94" s="77"/>
      <c r="DC94" s="77"/>
      <c r="DD94" s="77"/>
      <c r="DE94" s="76"/>
      <c r="DG94" s="593"/>
      <c r="DH94" s="593"/>
      <c r="DI94" s="77"/>
      <c r="DJ94" s="76"/>
      <c r="DN94" s="77"/>
      <c r="DO94" s="76"/>
      <c r="DP94" s="77"/>
      <c r="DS94" s="77"/>
      <c r="DT94" s="76"/>
      <c r="DX94" s="77"/>
      <c r="DY94" s="76"/>
      <c r="DZ94" s="76"/>
      <c r="EA94" s="76"/>
      <c r="EB94" s="76"/>
    </row>
    <row r="95" spans="1:132" s="103" customFormat="1" ht="12" customHeight="1">
      <c r="A95" s="68"/>
      <c r="B95" s="74" t="s">
        <v>146</v>
      </c>
      <c r="C95" s="76"/>
      <c r="D95" s="76"/>
      <c r="E95" s="76"/>
      <c r="F95" s="76"/>
      <c r="G95" s="76"/>
      <c r="H95" s="76"/>
      <c r="I95" s="76"/>
      <c r="J95" s="77"/>
      <c r="K95" s="77"/>
      <c r="L95" s="77"/>
      <c r="M95" s="77"/>
      <c r="N95" s="76"/>
      <c r="O95" s="77"/>
      <c r="P95" s="77"/>
      <c r="Q95" s="77"/>
      <c r="R95" s="77"/>
      <c r="S95" s="76"/>
      <c r="T95" s="77"/>
      <c r="U95" s="77"/>
      <c r="V95" s="77"/>
      <c r="W95" s="77"/>
      <c r="X95" s="76"/>
      <c r="Y95" s="77"/>
      <c r="Z95" s="77"/>
      <c r="AA95" s="77"/>
      <c r="AB95" s="77"/>
      <c r="AC95" s="76"/>
      <c r="AD95" s="77"/>
      <c r="AE95" s="77"/>
      <c r="AF95" s="77"/>
      <c r="AG95" s="77"/>
      <c r="AH95" s="76"/>
      <c r="AI95" s="77"/>
      <c r="AJ95" s="77"/>
      <c r="AK95" s="77"/>
      <c r="AL95" s="77"/>
      <c r="AM95" s="76"/>
      <c r="AN95" s="77"/>
      <c r="AO95" s="77"/>
      <c r="AP95" s="77"/>
      <c r="AQ95" s="77"/>
      <c r="AR95" s="76"/>
      <c r="AS95" s="77"/>
      <c r="AT95" s="77"/>
      <c r="AU95" s="77"/>
      <c r="AV95" s="77"/>
      <c r="AW95" s="76"/>
      <c r="AX95" s="77"/>
      <c r="AY95" s="77"/>
      <c r="AZ95" s="77"/>
      <c r="BA95" s="77"/>
      <c r="BB95" s="76"/>
      <c r="BC95" s="77"/>
      <c r="BD95" s="77"/>
      <c r="BE95" s="77"/>
      <c r="BF95" s="77"/>
      <c r="BG95" s="76"/>
      <c r="BH95" s="77"/>
      <c r="BI95" s="693"/>
      <c r="BJ95" s="77"/>
      <c r="BK95" s="77"/>
      <c r="BL95" s="76"/>
      <c r="BM95" s="77"/>
      <c r="BN95" s="693"/>
      <c r="BO95" s="77"/>
      <c r="BP95" s="77"/>
      <c r="BQ95" s="76"/>
      <c r="BR95" s="77"/>
      <c r="BS95" s="693"/>
      <c r="BT95" s="77"/>
      <c r="BU95" s="77"/>
      <c r="BV95" s="76"/>
      <c r="BW95" s="77"/>
      <c r="BX95" s="693"/>
      <c r="BY95" s="77"/>
      <c r="BZ95" s="77"/>
      <c r="CA95" s="76"/>
      <c r="CB95" s="77"/>
      <c r="CC95" s="693"/>
      <c r="CD95" s="77"/>
      <c r="CE95" s="77"/>
      <c r="CF95" s="76"/>
      <c r="CG95" s="693"/>
      <c r="CH95" s="693"/>
      <c r="CI95" s="693"/>
      <c r="CJ95" s="693"/>
      <c r="CK95" s="76"/>
      <c r="CL95" s="77"/>
      <c r="CM95" s="77"/>
      <c r="CN95" s="77"/>
      <c r="CO95" s="77"/>
      <c r="CP95" s="76"/>
      <c r="CQ95" s="77"/>
      <c r="CR95" s="77"/>
      <c r="CS95" s="77"/>
      <c r="CT95" s="77"/>
      <c r="CU95" s="76"/>
      <c r="CV95" s="77"/>
      <c r="CW95" s="77"/>
      <c r="CX95" s="77"/>
      <c r="CY95" s="77"/>
      <c r="CZ95" s="76"/>
      <c r="DA95" s="77"/>
      <c r="DB95" s="77"/>
      <c r="DC95" s="77"/>
      <c r="DD95" s="77"/>
      <c r="DE95" s="76"/>
      <c r="DG95" s="593"/>
      <c r="DH95" s="593"/>
      <c r="DI95" s="77"/>
      <c r="DJ95" s="76"/>
      <c r="DN95" s="77"/>
      <c r="DO95" s="76"/>
      <c r="DP95" s="77"/>
      <c r="DS95" s="77"/>
      <c r="DT95" s="76"/>
      <c r="DX95" s="77"/>
      <c r="DY95" s="76"/>
      <c r="DZ95" s="76"/>
      <c r="EA95" s="76"/>
      <c r="EB95" s="76"/>
    </row>
    <row r="96" spans="1:132" s="105" customFormat="1" ht="12" customHeight="1">
      <c r="A96" s="68"/>
      <c r="B96" s="68" t="s">
        <v>84</v>
      </c>
      <c r="C96" s="76">
        <v>-178</v>
      </c>
      <c r="D96" s="76">
        <v>1120</v>
      </c>
      <c r="E96" s="76">
        <v>2309</v>
      </c>
      <c r="F96" s="76">
        <v>2128</v>
      </c>
      <c r="G96" s="76">
        <v>2827</v>
      </c>
      <c r="H96" s="76">
        <v>492</v>
      </c>
      <c r="I96" s="76">
        <v>718</v>
      </c>
      <c r="J96" s="77">
        <v>623</v>
      </c>
      <c r="K96" s="77">
        <v>1230</v>
      </c>
      <c r="L96" s="77">
        <v>1686</v>
      </c>
      <c r="M96" s="77">
        <f t="shared" ref="M96:M141" si="405">N96</f>
        <v>1872</v>
      </c>
      <c r="N96" s="76">
        <v>1872</v>
      </c>
      <c r="O96" s="77">
        <v>535</v>
      </c>
      <c r="P96" s="77">
        <v>1101</v>
      </c>
      <c r="Q96" s="77">
        <v>2112</v>
      </c>
      <c r="R96" s="77">
        <f t="shared" ref="R96:R141" si="406">S96</f>
        <v>2572</v>
      </c>
      <c r="S96" s="76">
        <v>2572</v>
      </c>
      <c r="T96" s="77">
        <v>692</v>
      </c>
      <c r="U96" s="77">
        <v>532</v>
      </c>
      <c r="V96" s="77">
        <v>1226</v>
      </c>
      <c r="W96" s="77">
        <f t="shared" ref="W96:W141" si="407">X96</f>
        <v>2215</v>
      </c>
      <c r="X96" s="76">
        <v>2215</v>
      </c>
      <c r="Y96" s="77">
        <v>877</v>
      </c>
      <c r="Z96" s="77">
        <v>1927</v>
      </c>
      <c r="AA96" s="77">
        <v>3041</v>
      </c>
      <c r="AB96" s="77">
        <f t="shared" ref="AB96:AB141" si="408">AC96</f>
        <v>4074</v>
      </c>
      <c r="AC96" s="76">
        <v>4074</v>
      </c>
      <c r="AD96" s="77">
        <v>1211</v>
      </c>
      <c r="AE96" s="77">
        <v>2063</v>
      </c>
      <c r="AF96" s="77">
        <v>2758</v>
      </c>
      <c r="AG96" s="77">
        <f>AH96</f>
        <v>2672</v>
      </c>
      <c r="AH96" s="76">
        <v>2672</v>
      </c>
      <c r="AI96" s="77">
        <v>610</v>
      </c>
      <c r="AJ96" s="77">
        <v>1608</v>
      </c>
      <c r="AK96" s="77">
        <v>44</v>
      </c>
      <c r="AL96" s="77">
        <v>1312</v>
      </c>
      <c r="AM96" s="76">
        <f>AL96</f>
        <v>1312</v>
      </c>
      <c r="AN96" s="77">
        <v>519</v>
      </c>
      <c r="AO96" s="77">
        <v>1306</v>
      </c>
      <c r="AP96" s="77">
        <v>2143</v>
      </c>
      <c r="AQ96" s="77">
        <v>3307</v>
      </c>
      <c r="AR96" s="76">
        <f>AQ96</f>
        <v>3307</v>
      </c>
      <c r="AS96" s="77">
        <v>586</v>
      </c>
      <c r="AT96" s="77">
        <v>1527</v>
      </c>
      <c r="AU96" s="86">
        <v>2625</v>
      </c>
      <c r="AV96" s="77">
        <v>4018</v>
      </c>
      <c r="AW96" s="76">
        <f>AV96</f>
        <v>4018</v>
      </c>
      <c r="AX96" s="77">
        <v>923</v>
      </c>
      <c r="AY96" s="77">
        <v>1890</v>
      </c>
      <c r="AZ96" s="77">
        <v>2922</v>
      </c>
      <c r="BA96" s="77">
        <v>3900</v>
      </c>
      <c r="BB96" s="76">
        <f>BA96</f>
        <v>3900</v>
      </c>
      <c r="BC96" s="77">
        <v>1106</v>
      </c>
      <c r="BD96" s="77">
        <v>2194</v>
      </c>
      <c r="BE96" s="77">
        <v>3352</v>
      </c>
      <c r="BF96" s="77">
        <v>4585</v>
      </c>
      <c r="BG96" s="76">
        <f>BF96</f>
        <v>4585</v>
      </c>
      <c r="BH96" s="77">
        <v>965</v>
      </c>
      <c r="BI96" s="594">
        <v>2618</v>
      </c>
      <c r="BJ96" s="77">
        <v>3980</v>
      </c>
      <c r="BK96" s="77">
        <v>5446</v>
      </c>
      <c r="BL96" s="76">
        <f>BK96</f>
        <v>5446</v>
      </c>
      <c r="BM96" s="77">
        <v>1336</v>
      </c>
      <c r="BN96" s="594">
        <v>2446</v>
      </c>
      <c r="BO96" s="77">
        <v>4150</v>
      </c>
      <c r="BP96" s="77">
        <v>5176</v>
      </c>
      <c r="BQ96" s="76">
        <f>BP96</f>
        <v>5176</v>
      </c>
      <c r="BR96" s="77">
        <v>1219</v>
      </c>
      <c r="BS96" s="594">
        <v>985</v>
      </c>
      <c r="BT96" s="77">
        <v>3264</v>
      </c>
      <c r="BU96" s="77">
        <v>4895</v>
      </c>
      <c r="BV96" s="76">
        <f>BU96</f>
        <v>4895</v>
      </c>
      <c r="BW96" s="77">
        <v>1451</v>
      </c>
      <c r="BX96" s="594">
        <v>3212</v>
      </c>
      <c r="BY96" s="77">
        <v>5065</v>
      </c>
      <c r="BZ96" s="77">
        <v>8197</v>
      </c>
      <c r="CA96" s="76">
        <f>BZ96</f>
        <v>8197</v>
      </c>
      <c r="CB96" s="77">
        <v>2477</v>
      </c>
      <c r="CC96" s="594">
        <v>4673</v>
      </c>
      <c r="CD96" s="77">
        <v>7036</v>
      </c>
      <c r="CE96" s="77">
        <v>10460</v>
      </c>
      <c r="CF96" s="76">
        <f>CE96</f>
        <v>10460</v>
      </c>
      <c r="CG96" s="594">
        <v>2149</v>
      </c>
      <c r="CH96" s="594">
        <v>-793</v>
      </c>
      <c r="CI96" s="594">
        <v>374</v>
      </c>
      <c r="CJ96" s="594">
        <v>-636</v>
      </c>
      <c r="CK96" s="76">
        <f>CJ96</f>
        <v>-636</v>
      </c>
      <c r="CL96" s="77">
        <v>-641</v>
      </c>
      <c r="CM96" s="77">
        <v>-3036</v>
      </c>
      <c r="CN96" s="77">
        <v>-3502</v>
      </c>
      <c r="CO96" s="77">
        <v>-11941</v>
      </c>
      <c r="CP96" s="76">
        <f>CO96</f>
        <v>-11941</v>
      </c>
      <c r="CQ96" s="77">
        <v>-561</v>
      </c>
      <c r="CR96" s="77">
        <v>6</v>
      </c>
      <c r="CS96" s="77">
        <v>-126</v>
      </c>
      <c r="CT96" s="77">
        <v>-4290</v>
      </c>
      <c r="CU96" s="76">
        <f>CT96</f>
        <v>-4290</v>
      </c>
      <c r="CV96" s="77">
        <v>-1242</v>
      </c>
      <c r="CW96" s="77">
        <v>-1082</v>
      </c>
      <c r="CX96" s="77">
        <v>-4390</v>
      </c>
      <c r="CY96" s="77">
        <v>-5053</v>
      </c>
      <c r="CZ96" s="76">
        <f>CY96</f>
        <v>-5053</v>
      </c>
      <c r="DA96" s="77">
        <v>-425</v>
      </c>
      <c r="DB96" s="77">
        <v>-574</v>
      </c>
      <c r="DC96" s="77">
        <v>-2212</v>
      </c>
      <c r="DD96" s="77">
        <v>-2242</v>
      </c>
      <c r="DE96" s="76">
        <f>DD96</f>
        <v>-2242</v>
      </c>
      <c r="DF96" s="77">
        <v>-355</v>
      </c>
      <c r="DG96" s="16">
        <v>-1794</v>
      </c>
      <c r="DH96" s="593">
        <v>-7968</v>
      </c>
      <c r="DI96" s="1074">
        <v>-11829</v>
      </c>
      <c r="DJ96" s="76">
        <f>DI96</f>
        <v>-11829</v>
      </c>
      <c r="DK96" s="1074">
        <v>-31</v>
      </c>
      <c r="DL96" s="1074">
        <v>-643</v>
      </c>
      <c r="DM96" s="1074">
        <v>-5982</v>
      </c>
      <c r="DN96" s="1074">
        <v>2238</v>
      </c>
      <c r="DO96" s="76">
        <f>DN96</f>
        <v>2238</v>
      </c>
      <c r="DP96" s="1074">
        <v>-7</v>
      </c>
      <c r="DQ96" s="580">
        <v>-435</v>
      </c>
      <c r="DS96" s="77"/>
      <c r="DT96" s="93"/>
      <c r="DU96" s="1074"/>
      <c r="DX96" s="77"/>
      <c r="DY96" s="93"/>
      <c r="DZ96" s="93"/>
      <c r="EA96" s="93"/>
      <c r="EB96" s="93"/>
    </row>
    <row r="97" spans="1:132" s="105" customFormat="1" ht="12" customHeight="1">
      <c r="A97" s="68"/>
      <c r="B97" s="159" t="s">
        <v>85</v>
      </c>
      <c r="C97" s="76">
        <v>-99</v>
      </c>
      <c r="D97" s="76">
        <v>153</v>
      </c>
      <c r="E97" s="76">
        <v>209</v>
      </c>
      <c r="F97" s="76">
        <v>316</v>
      </c>
      <c r="G97" s="76">
        <v>378</v>
      </c>
      <c r="H97" s="76">
        <v>447</v>
      </c>
      <c r="I97" s="76">
        <v>456</v>
      </c>
      <c r="J97" s="77">
        <v>119</v>
      </c>
      <c r="K97" s="77">
        <v>283</v>
      </c>
      <c r="L97" s="77">
        <v>449</v>
      </c>
      <c r="M97" s="77">
        <f t="shared" si="405"/>
        <v>576</v>
      </c>
      <c r="N97" s="76">
        <v>576</v>
      </c>
      <c r="O97" s="77">
        <v>245</v>
      </c>
      <c r="P97" s="77">
        <v>446</v>
      </c>
      <c r="Q97" s="77">
        <v>692</v>
      </c>
      <c r="R97" s="77">
        <f t="shared" si="406"/>
        <v>852</v>
      </c>
      <c r="S97" s="76">
        <v>852</v>
      </c>
      <c r="T97" s="77">
        <v>202</v>
      </c>
      <c r="U97" s="77">
        <v>452</v>
      </c>
      <c r="V97" s="77">
        <v>553</v>
      </c>
      <c r="W97" s="77">
        <f t="shared" si="407"/>
        <v>743</v>
      </c>
      <c r="X97" s="76">
        <v>743</v>
      </c>
      <c r="Y97" s="77">
        <v>48</v>
      </c>
      <c r="Z97" s="77">
        <v>191</v>
      </c>
      <c r="AA97" s="77">
        <v>266</v>
      </c>
      <c r="AB97" s="77">
        <f t="shared" si="408"/>
        <v>287</v>
      </c>
      <c r="AC97" s="76">
        <v>287</v>
      </c>
      <c r="AD97" s="77">
        <v>45</v>
      </c>
      <c r="AE97" s="77">
        <v>98</v>
      </c>
      <c r="AF97" s="77">
        <v>159</v>
      </c>
      <c r="AG97" s="77">
        <f t="shared" ref="AG97:AG141" si="409">AH97</f>
        <v>209</v>
      </c>
      <c r="AH97" s="76">
        <v>209</v>
      </c>
      <c r="AI97" s="77">
        <v>60</v>
      </c>
      <c r="AJ97" s="77">
        <v>121</v>
      </c>
      <c r="AK97" s="77">
        <v>180</v>
      </c>
      <c r="AL97" s="77">
        <v>238</v>
      </c>
      <c r="AM97" s="76">
        <f>AL97</f>
        <v>238</v>
      </c>
      <c r="AN97" s="77">
        <v>66</v>
      </c>
      <c r="AO97" s="77">
        <v>130</v>
      </c>
      <c r="AP97" s="77">
        <v>172</v>
      </c>
      <c r="AQ97" s="77">
        <v>215</v>
      </c>
      <c r="AR97" s="76">
        <f>AQ97</f>
        <v>215</v>
      </c>
      <c r="AS97" s="77">
        <v>51</v>
      </c>
      <c r="AT97" s="77">
        <v>96</v>
      </c>
      <c r="AU97" s="86">
        <v>141</v>
      </c>
      <c r="AV97" s="77">
        <v>186</v>
      </c>
      <c r="AW97" s="76">
        <f>AV97</f>
        <v>186</v>
      </c>
      <c r="AX97" s="77">
        <v>50</v>
      </c>
      <c r="AY97" s="77">
        <v>99</v>
      </c>
      <c r="AZ97" s="77">
        <v>148</v>
      </c>
      <c r="BA97" s="77">
        <v>193</v>
      </c>
      <c r="BB97" s="76">
        <f>BA97</f>
        <v>193</v>
      </c>
      <c r="BC97" s="77">
        <v>58</v>
      </c>
      <c r="BD97" s="77">
        <v>107</v>
      </c>
      <c r="BE97" s="77">
        <v>156</v>
      </c>
      <c r="BF97" s="77">
        <v>206</v>
      </c>
      <c r="BG97" s="76">
        <f>BF97</f>
        <v>206</v>
      </c>
      <c r="BH97" s="77">
        <v>52</v>
      </c>
      <c r="BI97" s="594">
        <v>101</v>
      </c>
      <c r="BJ97" s="77">
        <v>152</v>
      </c>
      <c r="BK97" s="77">
        <v>195</v>
      </c>
      <c r="BL97" s="76">
        <f>BK97</f>
        <v>195</v>
      </c>
      <c r="BM97" s="77">
        <v>50</v>
      </c>
      <c r="BN97" s="594">
        <v>94</v>
      </c>
      <c r="BO97" s="77">
        <v>141</v>
      </c>
      <c r="BP97" s="77">
        <v>189</v>
      </c>
      <c r="BQ97" s="76">
        <f>BP97</f>
        <v>189</v>
      </c>
      <c r="BR97" s="77">
        <v>51</v>
      </c>
      <c r="BS97" s="594">
        <v>97</v>
      </c>
      <c r="BT97" s="77">
        <v>144</v>
      </c>
      <c r="BU97" s="77">
        <v>190</v>
      </c>
      <c r="BV97" s="76">
        <f>BU97</f>
        <v>190</v>
      </c>
      <c r="BW97" s="77">
        <v>50</v>
      </c>
      <c r="BX97" s="594">
        <v>98</v>
      </c>
      <c r="BY97" s="77">
        <v>151</v>
      </c>
      <c r="BZ97" s="77">
        <v>202</v>
      </c>
      <c r="CA97" s="76">
        <f>BZ97</f>
        <v>202</v>
      </c>
      <c r="CB97" s="77">
        <v>45</v>
      </c>
      <c r="CC97" s="594">
        <v>98</v>
      </c>
      <c r="CD97" s="77">
        <v>150</v>
      </c>
      <c r="CE97" s="77">
        <v>202</v>
      </c>
      <c r="CF97" s="76">
        <f>CE97</f>
        <v>202</v>
      </c>
      <c r="CG97" s="594">
        <v>47</v>
      </c>
      <c r="CH97" s="594">
        <v>104</v>
      </c>
      <c r="CI97" s="594">
        <v>160</v>
      </c>
      <c r="CJ97" s="594">
        <v>212</v>
      </c>
      <c r="CK97" s="76">
        <f>CJ97</f>
        <v>212</v>
      </c>
      <c r="CL97" s="77">
        <v>55</v>
      </c>
      <c r="CM97" s="77">
        <v>115</v>
      </c>
      <c r="CN97" s="77">
        <v>165</v>
      </c>
      <c r="CO97" s="77">
        <v>250</v>
      </c>
      <c r="CP97" s="76">
        <f>CO97</f>
        <v>250</v>
      </c>
      <c r="CQ97" s="77">
        <v>321</v>
      </c>
      <c r="CR97" s="77">
        <v>493</v>
      </c>
      <c r="CS97" s="77">
        <v>677</v>
      </c>
      <c r="CT97" s="77">
        <v>833</v>
      </c>
      <c r="CU97" s="76">
        <f>CT97</f>
        <v>833</v>
      </c>
      <c r="CV97" s="77">
        <v>203</v>
      </c>
      <c r="CW97" s="77">
        <v>352</v>
      </c>
      <c r="CX97" s="77">
        <v>528</v>
      </c>
      <c r="CY97" s="77">
        <v>725</v>
      </c>
      <c r="CZ97" s="76">
        <f>CY97</f>
        <v>725</v>
      </c>
      <c r="DA97" s="77">
        <v>222</v>
      </c>
      <c r="DB97" s="77">
        <v>381</v>
      </c>
      <c r="DC97" s="77">
        <v>548</v>
      </c>
      <c r="DD97" s="77">
        <v>690</v>
      </c>
      <c r="DE97" s="76">
        <f>DD97</f>
        <v>690</v>
      </c>
      <c r="DF97" s="77">
        <v>119</v>
      </c>
      <c r="DG97" s="16">
        <v>208</v>
      </c>
      <c r="DH97" s="593">
        <v>310</v>
      </c>
      <c r="DI97" s="1074">
        <v>407</v>
      </c>
      <c r="DJ97" s="76">
        <f>DI97</f>
        <v>407</v>
      </c>
      <c r="DK97" s="1074">
        <v>135</v>
      </c>
      <c r="DL97" s="1074">
        <v>254</v>
      </c>
      <c r="DM97" s="1074">
        <v>343</v>
      </c>
      <c r="DN97" s="1074">
        <v>426</v>
      </c>
      <c r="DO97" s="76">
        <f>DN97</f>
        <v>426</v>
      </c>
      <c r="DP97" s="1074">
        <v>161</v>
      </c>
      <c r="DQ97" s="1086">
        <v>264</v>
      </c>
      <c r="DS97" s="77"/>
      <c r="DT97" s="93"/>
      <c r="DU97" s="1074"/>
      <c r="DX97" s="77"/>
      <c r="DY97" s="93"/>
      <c r="DZ97" s="93"/>
      <c r="EA97" s="93"/>
      <c r="EB97" s="93"/>
    </row>
    <row r="98" spans="1:132" s="105" customFormat="1" ht="12" customHeight="1">
      <c r="A98" s="68"/>
      <c r="B98" s="159" t="s">
        <v>127</v>
      </c>
      <c r="C98" s="76">
        <v>1354</v>
      </c>
      <c r="D98" s="76">
        <v>1517</v>
      </c>
      <c r="E98" s="76">
        <v>1538</v>
      </c>
      <c r="F98" s="76">
        <v>1317</v>
      </c>
      <c r="G98" s="76">
        <v>1448</v>
      </c>
      <c r="H98" s="76">
        <v>1409</v>
      </c>
      <c r="I98" s="76">
        <v>1356</v>
      </c>
      <c r="J98" s="77">
        <v>327</v>
      </c>
      <c r="K98" s="77">
        <v>634</v>
      </c>
      <c r="L98" s="77">
        <v>934</v>
      </c>
      <c r="M98" s="77">
        <f t="shared" si="405"/>
        <v>1412</v>
      </c>
      <c r="N98" s="76">
        <v>1412</v>
      </c>
      <c r="O98" s="77">
        <v>332</v>
      </c>
      <c r="P98" s="77">
        <v>711</v>
      </c>
      <c r="Q98" s="77">
        <v>1061</v>
      </c>
      <c r="R98" s="77">
        <f t="shared" si="406"/>
        <v>1412</v>
      </c>
      <c r="S98" s="76">
        <v>1412</v>
      </c>
      <c r="T98" s="77">
        <v>350</v>
      </c>
      <c r="U98" s="77">
        <v>714</v>
      </c>
      <c r="V98" s="77">
        <v>1057</v>
      </c>
      <c r="W98" s="77">
        <f t="shared" si="407"/>
        <v>1445</v>
      </c>
      <c r="X98" s="76">
        <v>1445</v>
      </c>
      <c r="Y98" s="77">
        <v>319</v>
      </c>
      <c r="Z98" s="77">
        <v>676</v>
      </c>
      <c r="AA98" s="77">
        <v>975</v>
      </c>
      <c r="AB98" s="77">
        <f t="shared" si="408"/>
        <v>1334</v>
      </c>
      <c r="AC98" s="76">
        <v>1334</v>
      </c>
      <c r="AD98" s="77">
        <v>322</v>
      </c>
      <c r="AE98" s="77">
        <v>643</v>
      </c>
      <c r="AF98" s="77">
        <v>952</v>
      </c>
      <c r="AG98" s="77">
        <f t="shared" si="409"/>
        <v>1325</v>
      </c>
      <c r="AH98" s="76">
        <v>1325</v>
      </c>
      <c r="AI98" s="77">
        <v>335</v>
      </c>
      <c r="AJ98" s="77">
        <v>666</v>
      </c>
      <c r="AK98" s="77">
        <v>1047</v>
      </c>
      <c r="AL98" s="77">
        <v>1459</v>
      </c>
      <c r="AM98" s="76">
        <f>AL98</f>
        <v>1459</v>
      </c>
      <c r="AN98" s="77">
        <v>350</v>
      </c>
      <c r="AO98" s="77">
        <v>743</v>
      </c>
      <c r="AP98" s="77">
        <v>1101</v>
      </c>
      <c r="AQ98" s="77">
        <v>1510</v>
      </c>
      <c r="AR98" s="76">
        <f>AQ98</f>
        <v>1510</v>
      </c>
      <c r="AS98" s="77">
        <v>331</v>
      </c>
      <c r="AT98" s="77">
        <v>710</v>
      </c>
      <c r="AU98" s="86">
        <v>1075</v>
      </c>
      <c r="AV98" s="77">
        <v>1457</v>
      </c>
      <c r="AW98" s="76">
        <f>AV98</f>
        <v>1457</v>
      </c>
      <c r="AX98" s="77">
        <v>426</v>
      </c>
      <c r="AY98" s="77">
        <v>848</v>
      </c>
      <c r="AZ98" s="77">
        <v>1313</v>
      </c>
      <c r="BA98" s="77">
        <v>1811</v>
      </c>
      <c r="BB98" s="76">
        <f>BA98</f>
        <v>1811</v>
      </c>
      <c r="BC98" s="77">
        <v>429</v>
      </c>
      <c r="BD98" s="77">
        <v>865</v>
      </c>
      <c r="BE98" s="77">
        <v>1323</v>
      </c>
      <c r="BF98" s="77">
        <v>1844</v>
      </c>
      <c r="BG98" s="76">
        <f>BF98</f>
        <v>1844</v>
      </c>
      <c r="BH98" s="77">
        <v>448</v>
      </c>
      <c r="BI98" s="594">
        <v>900</v>
      </c>
      <c r="BJ98" s="77">
        <v>1378</v>
      </c>
      <c r="BK98" s="77">
        <v>1906</v>
      </c>
      <c r="BL98" s="76">
        <f>BK98</f>
        <v>1906</v>
      </c>
      <c r="BM98" s="77">
        <v>459</v>
      </c>
      <c r="BN98" s="594">
        <v>912</v>
      </c>
      <c r="BO98" s="77">
        <v>1349</v>
      </c>
      <c r="BP98" s="77">
        <v>1833</v>
      </c>
      <c r="BQ98" s="76">
        <f>BP98</f>
        <v>1833</v>
      </c>
      <c r="BR98" s="77">
        <v>443</v>
      </c>
      <c r="BS98" s="594">
        <v>890</v>
      </c>
      <c r="BT98" s="77">
        <v>1364</v>
      </c>
      <c r="BU98" s="77">
        <v>1910</v>
      </c>
      <c r="BV98" s="76">
        <f>BU98</f>
        <v>1910</v>
      </c>
      <c r="BW98" s="77">
        <v>471</v>
      </c>
      <c r="BX98" s="594">
        <v>965</v>
      </c>
      <c r="BY98" s="77">
        <v>1487</v>
      </c>
      <c r="BZ98" s="77">
        <v>2069</v>
      </c>
      <c r="CA98" s="76">
        <f>BZ98</f>
        <v>2069</v>
      </c>
      <c r="CB98" s="77">
        <v>501</v>
      </c>
      <c r="CC98" s="594">
        <v>1008</v>
      </c>
      <c r="CD98" s="77">
        <v>1531</v>
      </c>
      <c r="CE98" s="77">
        <v>2114</v>
      </c>
      <c r="CF98" s="76">
        <f>CE98</f>
        <v>2114</v>
      </c>
      <c r="CG98" s="594">
        <v>521</v>
      </c>
      <c r="CH98" s="594">
        <v>1067</v>
      </c>
      <c r="CI98" s="594">
        <v>1643</v>
      </c>
      <c r="CJ98" s="594">
        <v>2271</v>
      </c>
      <c r="CK98" s="76">
        <f>CJ98</f>
        <v>2271</v>
      </c>
      <c r="CL98" s="77">
        <v>556</v>
      </c>
      <c r="CM98" s="77">
        <v>1103</v>
      </c>
      <c r="CN98" s="77">
        <v>1668</v>
      </c>
      <c r="CO98" s="77">
        <v>2246</v>
      </c>
      <c r="CP98" s="76">
        <f>CO98</f>
        <v>2246</v>
      </c>
      <c r="CQ98" s="77">
        <v>536</v>
      </c>
      <c r="CR98" s="77">
        <v>1087</v>
      </c>
      <c r="CS98" s="77">
        <v>1610</v>
      </c>
      <c r="CT98" s="77">
        <v>2144</v>
      </c>
      <c r="CU98" s="76">
        <f>CT98</f>
        <v>2144</v>
      </c>
      <c r="CV98" s="77">
        <v>486</v>
      </c>
      <c r="CW98" s="77">
        <v>984</v>
      </c>
      <c r="CX98" s="77">
        <v>1477</v>
      </c>
      <c r="CY98" s="77">
        <v>1979</v>
      </c>
      <c r="CZ98" s="76">
        <f>CY98</f>
        <v>1979</v>
      </c>
      <c r="DA98" s="77">
        <v>457</v>
      </c>
      <c r="DB98" s="77">
        <v>913</v>
      </c>
      <c r="DC98" s="77">
        <v>1380</v>
      </c>
      <c r="DD98" s="77">
        <v>1861</v>
      </c>
      <c r="DE98" s="76">
        <f>DD98</f>
        <v>1861</v>
      </c>
      <c r="DF98" s="77">
        <v>442</v>
      </c>
      <c r="DG98" s="16">
        <v>883</v>
      </c>
      <c r="DH98" s="593">
        <v>1327</v>
      </c>
      <c r="DI98" s="1074">
        <v>1836</v>
      </c>
      <c r="DJ98" s="76">
        <f>DI98</f>
        <v>1836</v>
      </c>
      <c r="DK98" s="1074">
        <v>466</v>
      </c>
      <c r="DL98" s="1074">
        <v>926</v>
      </c>
      <c r="DM98" s="1074">
        <v>1417</v>
      </c>
      <c r="DN98" s="1074">
        <v>1953</v>
      </c>
      <c r="DO98" s="76">
        <f>DN98</f>
        <v>1953</v>
      </c>
      <c r="DP98" s="1074">
        <v>573</v>
      </c>
      <c r="DQ98" s="1086">
        <v>1169</v>
      </c>
      <c r="DS98" s="77"/>
      <c r="DT98" s="93"/>
      <c r="DU98" s="1074"/>
      <c r="DX98" s="77"/>
      <c r="DY98" s="93"/>
      <c r="DZ98" s="93"/>
      <c r="EA98" s="93"/>
      <c r="EB98" s="93"/>
    </row>
    <row r="99" spans="1:132" s="105" customFormat="1" ht="12" customHeight="1">
      <c r="A99" s="68"/>
      <c r="B99" s="159" t="s">
        <v>86</v>
      </c>
      <c r="C99" s="76">
        <v>104</v>
      </c>
      <c r="D99" s="76">
        <v>105</v>
      </c>
      <c r="E99" s="76">
        <v>107</v>
      </c>
      <c r="F99" s="76">
        <v>162</v>
      </c>
      <c r="G99" s="76">
        <v>302</v>
      </c>
      <c r="H99" s="76">
        <v>88</v>
      </c>
      <c r="I99" s="76">
        <v>94</v>
      </c>
      <c r="J99" s="77">
        <v>23</v>
      </c>
      <c r="K99" s="77">
        <v>46</v>
      </c>
      <c r="L99" s="77">
        <v>72</v>
      </c>
      <c r="M99" s="77">
        <f t="shared" si="405"/>
        <v>97</v>
      </c>
      <c r="N99" s="76">
        <v>97</v>
      </c>
      <c r="O99" s="77">
        <v>23</v>
      </c>
      <c r="P99" s="77">
        <v>47</v>
      </c>
      <c r="Q99" s="77">
        <v>69</v>
      </c>
      <c r="R99" s="77">
        <f t="shared" si="406"/>
        <v>91</v>
      </c>
      <c r="S99" s="76">
        <v>91</v>
      </c>
      <c r="T99" s="77">
        <v>19</v>
      </c>
      <c r="U99" s="77">
        <v>40</v>
      </c>
      <c r="V99" s="77">
        <v>66</v>
      </c>
      <c r="W99" s="77">
        <f t="shared" si="407"/>
        <v>100</v>
      </c>
      <c r="X99" s="76">
        <v>100</v>
      </c>
      <c r="Y99" s="77">
        <v>37</v>
      </c>
      <c r="Z99" s="77">
        <v>77</v>
      </c>
      <c r="AA99" s="77">
        <v>116</v>
      </c>
      <c r="AB99" s="77">
        <f t="shared" si="408"/>
        <v>152</v>
      </c>
      <c r="AC99" s="76">
        <v>152</v>
      </c>
      <c r="AD99" s="77">
        <v>40</v>
      </c>
      <c r="AE99" s="77">
        <v>81</v>
      </c>
      <c r="AF99" s="77">
        <v>122</v>
      </c>
      <c r="AG99" s="77">
        <f t="shared" si="409"/>
        <v>166</v>
      </c>
      <c r="AH99" s="76">
        <v>166</v>
      </c>
      <c r="AI99" s="77">
        <v>49</v>
      </c>
      <c r="AJ99" s="77">
        <v>99</v>
      </c>
      <c r="AK99" s="77">
        <v>152</v>
      </c>
      <c r="AL99" s="77">
        <v>207</v>
      </c>
      <c r="AM99" s="76">
        <f>AL99</f>
        <v>207</v>
      </c>
      <c r="AN99" s="77">
        <v>55</v>
      </c>
      <c r="AO99" s="77">
        <v>111</v>
      </c>
      <c r="AP99" s="77">
        <v>169</v>
      </c>
      <c r="AQ99" s="77">
        <v>217</v>
      </c>
      <c r="AR99" s="76">
        <f>AQ99</f>
        <v>217</v>
      </c>
      <c r="AS99" s="77">
        <v>49</v>
      </c>
      <c r="AT99" s="77">
        <v>99</v>
      </c>
      <c r="AU99" s="86">
        <v>151</v>
      </c>
      <c r="AV99" s="77">
        <v>203</v>
      </c>
      <c r="AW99" s="76">
        <f>AV99</f>
        <v>203</v>
      </c>
      <c r="AX99" s="77"/>
      <c r="AY99" s="77"/>
      <c r="AZ99" s="77"/>
      <c r="BA99" s="77"/>
      <c r="BB99" s="76">
        <f>BA99</f>
        <v>0</v>
      </c>
      <c r="BC99" s="77"/>
      <c r="BD99" s="77"/>
      <c r="BE99" s="77"/>
      <c r="BF99" s="77"/>
      <c r="BG99" s="76">
        <f>BF99</f>
        <v>0</v>
      </c>
      <c r="BH99" s="77"/>
      <c r="BI99" s="693"/>
      <c r="BJ99" s="77"/>
      <c r="BK99" s="77"/>
      <c r="BL99" s="76">
        <f>BK99</f>
        <v>0</v>
      </c>
      <c r="BM99" s="77"/>
      <c r="BN99" s="693"/>
      <c r="BO99" s="77"/>
      <c r="BP99" s="77"/>
      <c r="BQ99" s="76">
        <f>BP99</f>
        <v>0</v>
      </c>
      <c r="BR99" s="77"/>
      <c r="BS99" s="693"/>
      <c r="BT99" s="77"/>
      <c r="BU99" s="77"/>
      <c r="BV99" s="76">
        <f>BU99</f>
        <v>0</v>
      </c>
      <c r="BW99" s="77"/>
      <c r="BX99" s="693"/>
      <c r="BY99" s="77"/>
      <c r="BZ99" s="77"/>
      <c r="CA99" s="76">
        <f>BZ99</f>
        <v>0</v>
      </c>
      <c r="CB99" s="77"/>
      <c r="CC99" s="693"/>
      <c r="CD99" s="77"/>
      <c r="CE99" s="77"/>
      <c r="CF99" s="76"/>
      <c r="CG99" s="693"/>
      <c r="CH99" s="693"/>
      <c r="CI99" s="693"/>
      <c r="CJ99" s="693"/>
      <c r="CK99" s="76"/>
      <c r="CL99" s="77"/>
      <c r="CM99" s="77"/>
      <c r="CN99" s="77"/>
      <c r="CO99" s="77"/>
      <c r="CP99" s="76"/>
      <c r="CQ99" s="77"/>
      <c r="CR99" s="77"/>
      <c r="CS99" s="77"/>
      <c r="CT99" s="77"/>
      <c r="CU99" s="76"/>
      <c r="CV99" s="77"/>
      <c r="CW99" s="77"/>
      <c r="CX99" s="77"/>
      <c r="CY99" s="77"/>
      <c r="CZ99" s="76"/>
      <c r="DA99" s="77"/>
      <c r="DB99" s="77"/>
      <c r="DC99" s="77"/>
      <c r="DD99" s="77"/>
      <c r="DE99" s="76"/>
      <c r="DF99" s="77"/>
      <c r="DG99" s="16"/>
      <c r="DH99" s="593"/>
      <c r="DI99" s="77"/>
      <c r="DJ99" s="76"/>
      <c r="DK99" s="77"/>
      <c r="DL99" s="16"/>
      <c r="DM99" s="16"/>
      <c r="DN99" s="77"/>
      <c r="DO99" s="76"/>
      <c r="DP99" s="77"/>
      <c r="DQ99" s="593"/>
      <c r="DS99" s="77"/>
      <c r="DT99" s="93"/>
      <c r="DU99" s="77"/>
      <c r="DX99" s="77"/>
      <c r="DY99" s="93"/>
      <c r="DZ99" s="93"/>
      <c r="EA99" s="93"/>
      <c r="EB99" s="93"/>
    </row>
    <row r="100" spans="1:132" s="105" customFormat="1" ht="12" customHeight="1">
      <c r="A100" s="68"/>
      <c r="B100" s="159" t="s">
        <v>339</v>
      </c>
      <c r="C100" s="76">
        <v>0</v>
      </c>
      <c r="D100" s="76">
        <v>0</v>
      </c>
      <c r="E100" s="76">
        <v>0</v>
      </c>
      <c r="F100" s="76">
        <v>0</v>
      </c>
      <c r="G100" s="76">
        <v>0</v>
      </c>
      <c r="H100" s="76">
        <v>12</v>
      </c>
      <c r="I100" s="76">
        <v>18</v>
      </c>
      <c r="J100" s="77">
        <v>4</v>
      </c>
      <c r="K100" s="77">
        <v>8</v>
      </c>
      <c r="L100" s="77">
        <v>12</v>
      </c>
      <c r="M100" s="77">
        <f t="shared" si="405"/>
        <v>15</v>
      </c>
      <c r="N100" s="76">
        <v>15</v>
      </c>
      <c r="O100" s="77">
        <v>7</v>
      </c>
      <c r="P100" s="77">
        <v>13</v>
      </c>
      <c r="Q100" s="77">
        <v>19</v>
      </c>
      <c r="R100" s="77">
        <f t="shared" si="406"/>
        <v>23</v>
      </c>
      <c r="S100" s="76">
        <v>23</v>
      </c>
      <c r="T100" s="77">
        <v>3</v>
      </c>
      <c r="U100" s="77">
        <v>10</v>
      </c>
      <c r="V100" s="77">
        <v>12</v>
      </c>
      <c r="W100" s="77">
        <f t="shared" si="407"/>
        <v>14</v>
      </c>
      <c r="X100" s="76">
        <v>14</v>
      </c>
      <c r="Y100" s="77">
        <v>3</v>
      </c>
      <c r="Z100" s="77">
        <v>6</v>
      </c>
      <c r="AA100" s="77">
        <v>7</v>
      </c>
      <c r="AB100" s="77">
        <f t="shared" si="408"/>
        <v>-1</v>
      </c>
      <c r="AC100" s="76">
        <v>-1</v>
      </c>
      <c r="AD100" s="77">
        <v>2</v>
      </c>
      <c r="AE100" s="77">
        <v>4</v>
      </c>
      <c r="AF100" s="77">
        <v>8</v>
      </c>
      <c r="AG100" s="77">
        <f t="shared" si="409"/>
        <v>11</v>
      </c>
      <c r="AH100" s="76">
        <v>11</v>
      </c>
      <c r="AI100" s="77">
        <v>2</v>
      </c>
      <c r="AJ100" s="77">
        <v>4</v>
      </c>
      <c r="AK100" s="77">
        <v>7</v>
      </c>
      <c r="AL100" s="77">
        <v>12</v>
      </c>
      <c r="AM100" s="76">
        <f>AL100</f>
        <v>12</v>
      </c>
      <c r="AN100" s="77">
        <v>5</v>
      </c>
      <c r="AO100" s="77">
        <v>10</v>
      </c>
      <c r="AP100" s="77">
        <v>15</v>
      </c>
      <c r="AQ100" s="77">
        <v>19</v>
      </c>
      <c r="AR100" s="76">
        <f>AQ100</f>
        <v>19</v>
      </c>
      <c r="AS100" s="77">
        <v>4</v>
      </c>
      <c r="AT100" s="77">
        <v>7</v>
      </c>
      <c r="AU100" s="86">
        <v>11</v>
      </c>
      <c r="AV100" s="77">
        <v>15</v>
      </c>
      <c r="AW100" s="76">
        <f>AV100</f>
        <v>15</v>
      </c>
      <c r="AX100" s="77"/>
      <c r="AY100" s="77"/>
      <c r="AZ100" s="77"/>
      <c r="BA100" s="77"/>
      <c r="BB100" s="76">
        <f>BA100</f>
        <v>0</v>
      </c>
      <c r="BC100" s="77"/>
      <c r="BD100" s="77"/>
      <c r="BE100" s="77"/>
      <c r="BF100" s="77"/>
      <c r="BG100" s="76">
        <f>BF100</f>
        <v>0</v>
      </c>
      <c r="BH100" s="77"/>
      <c r="BI100" s="693"/>
      <c r="BJ100" s="77"/>
      <c r="BK100" s="77"/>
      <c r="BL100" s="76">
        <f>BK100</f>
        <v>0</v>
      </c>
      <c r="BM100" s="77"/>
      <c r="BN100" s="693"/>
      <c r="BO100" s="77"/>
      <c r="BP100" s="77"/>
      <c r="BQ100" s="76">
        <f>BP100</f>
        <v>0</v>
      </c>
      <c r="BR100" s="77"/>
      <c r="BS100" s="693"/>
      <c r="BT100" s="77"/>
      <c r="BU100" s="77"/>
      <c r="BV100" s="76">
        <f>BU100</f>
        <v>0</v>
      </c>
      <c r="BW100" s="77"/>
      <c r="BX100" s="693"/>
      <c r="BY100" s="77"/>
      <c r="BZ100" s="77"/>
      <c r="CA100" s="76">
        <f>BZ100</f>
        <v>0</v>
      </c>
      <c r="CB100" s="77"/>
      <c r="CC100" s="693"/>
      <c r="CD100" s="77"/>
      <c r="CE100" s="77"/>
      <c r="CF100" s="76"/>
      <c r="CG100" s="693"/>
      <c r="CH100" s="693"/>
      <c r="CI100" s="693"/>
      <c r="CJ100" s="693"/>
      <c r="CK100" s="76"/>
      <c r="CL100" s="77"/>
      <c r="CM100" s="77"/>
      <c r="CN100" s="77"/>
      <c r="CO100" s="77"/>
      <c r="CP100" s="76"/>
      <c r="CQ100" s="77"/>
      <c r="CR100" s="77"/>
      <c r="CS100" s="77"/>
      <c r="CT100" s="77"/>
      <c r="CU100" s="76"/>
      <c r="CV100" s="77"/>
      <c r="CW100" s="77"/>
      <c r="CX100" s="77"/>
      <c r="CY100" s="77"/>
      <c r="CZ100" s="76"/>
      <c r="DA100" s="77"/>
      <c r="DB100" s="77"/>
      <c r="DC100" s="77"/>
      <c r="DD100" s="77"/>
      <c r="DE100" s="76"/>
      <c r="DF100" s="77"/>
      <c r="DG100" s="16"/>
      <c r="DH100" s="593"/>
      <c r="DI100" s="77"/>
      <c r="DJ100" s="76"/>
      <c r="DK100" s="77"/>
      <c r="DL100" s="16"/>
      <c r="DM100" s="16"/>
      <c r="DN100" s="77"/>
      <c r="DO100" s="76"/>
      <c r="DP100" s="77"/>
      <c r="DQ100" s="593"/>
      <c r="DS100" s="77"/>
      <c r="DT100" s="93"/>
      <c r="DU100" s="77"/>
      <c r="DX100" s="77"/>
      <c r="DY100" s="93"/>
      <c r="DZ100" s="93"/>
      <c r="EA100" s="93"/>
      <c r="EB100" s="93"/>
    </row>
    <row r="101" spans="1:132" s="105" customFormat="1" ht="12" customHeight="1">
      <c r="A101" s="68"/>
      <c r="B101" s="159" t="s">
        <v>87</v>
      </c>
      <c r="C101" s="76">
        <v>0</v>
      </c>
      <c r="D101" s="76">
        <v>0</v>
      </c>
      <c r="E101" s="76">
        <v>0</v>
      </c>
      <c r="F101" s="76">
        <v>0</v>
      </c>
      <c r="G101" s="76">
        <v>0</v>
      </c>
      <c r="H101" s="76">
        <v>357</v>
      </c>
      <c r="I101" s="76">
        <v>155</v>
      </c>
      <c r="J101" s="77">
        <v>25</v>
      </c>
      <c r="K101" s="77">
        <v>60</v>
      </c>
      <c r="L101" s="77">
        <v>78</v>
      </c>
      <c r="M101" s="77">
        <f t="shared" si="405"/>
        <v>122</v>
      </c>
      <c r="N101" s="76">
        <v>122</v>
      </c>
      <c r="O101" s="77">
        <v>58</v>
      </c>
      <c r="P101" s="77">
        <v>44</v>
      </c>
      <c r="Q101" s="77">
        <v>65</v>
      </c>
      <c r="R101" s="77">
        <f t="shared" si="406"/>
        <v>83</v>
      </c>
      <c r="S101" s="76">
        <v>83</v>
      </c>
      <c r="T101" s="77">
        <v>-2</v>
      </c>
      <c r="U101" s="77">
        <v>19</v>
      </c>
      <c r="V101" s="77">
        <v>85</v>
      </c>
      <c r="W101" s="77">
        <f t="shared" si="407"/>
        <v>118</v>
      </c>
      <c r="X101" s="76">
        <v>118</v>
      </c>
      <c r="Y101" s="77">
        <v>0</v>
      </c>
      <c r="Z101" s="77">
        <v>5</v>
      </c>
      <c r="AA101" s="77">
        <v>5</v>
      </c>
      <c r="AB101" s="77">
        <f t="shared" si="408"/>
        <v>51</v>
      </c>
      <c r="AC101" s="76">
        <v>51</v>
      </c>
      <c r="AD101" s="77">
        <v>0</v>
      </c>
      <c r="AE101" s="77">
        <v>0</v>
      </c>
      <c r="AF101" s="77">
        <v>21</v>
      </c>
      <c r="AG101" s="77">
        <f t="shared" si="409"/>
        <v>50</v>
      </c>
      <c r="AH101" s="76">
        <v>50</v>
      </c>
      <c r="AI101" s="77">
        <v>21</v>
      </c>
      <c r="AJ101" s="77">
        <v>50</v>
      </c>
      <c r="AK101" s="77">
        <v>66</v>
      </c>
      <c r="AL101" s="77">
        <v>151</v>
      </c>
      <c r="AM101" s="76">
        <f t="shared" ref="AM101:AM138" si="410">AL101</f>
        <v>151</v>
      </c>
      <c r="AN101" s="77">
        <v>15</v>
      </c>
      <c r="AO101" s="77">
        <v>20</v>
      </c>
      <c r="AP101" s="77">
        <v>127</v>
      </c>
      <c r="AQ101" s="77">
        <v>174</v>
      </c>
      <c r="AR101" s="76">
        <f t="shared" ref="AR101:AR138" si="411">AQ101</f>
        <v>174</v>
      </c>
      <c r="AS101" s="77">
        <v>10</v>
      </c>
      <c r="AT101" s="77">
        <v>16</v>
      </c>
      <c r="AU101" s="86">
        <v>50</v>
      </c>
      <c r="AV101" s="77">
        <v>119</v>
      </c>
      <c r="AW101" s="76">
        <f t="shared" ref="AW101:AW138" si="412">AV101</f>
        <v>119</v>
      </c>
      <c r="AX101" s="77">
        <v>36</v>
      </c>
      <c r="AY101" s="77">
        <v>45</v>
      </c>
      <c r="AZ101" s="77">
        <v>59</v>
      </c>
      <c r="BA101" s="77">
        <v>84</v>
      </c>
      <c r="BB101" s="76">
        <f t="shared" ref="BB101:BB138" si="413">BA101</f>
        <v>84</v>
      </c>
      <c r="BC101" s="77">
        <v>26</v>
      </c>
      <c r="BD101" s="77">
        <v>26</v>
      </c>
      <c r="BE101" s="77">
        <v>38</v>
      </c>
      <c r="BF101" s="77">
        <v>96</v>
      </c>
      <c r="BG101" s="76">
        <f t="shared" ref="BG101:BG138" si="414">BF101</f>
        <v>96</v>
      </c>
      <c r="BH101" s="77">
        <v>29</v>
      </c>
      <c r="BI101" s="693">
        <v>36</v>
      </c>
      <c r="BJ101" s="77">
        <v>140</v>
      </c>
      <c r="BK101" s="77">
        <v>229</v>
      </c>
      <c r="BL101" s="76">
        <f t="shared" ref="BL101:BL138" si="415">BK101</f>
        <v>229</v>
      </c>
      <c r="BM101" s="77">
        <v>17</v>
      </c>
      <c r="BN101" s="693">
        <v>74</v>
      </c>
      <c r="BO101" s="77">
        <v>124</v>
      </c>
      <c r="BP101" s="77">
        <v>167</v>
      </c>
      <c r="BQ101" s="76">
        <f t="shared" ref="BQ101:BQ138" si="416">BP101</f>
        <v>167</v>
      </c>
      <c r="BR101" s="77">
        <v>33</v>
      </c>
      <c r="BS101" s="693">
        <v>50</v>
      </c>
      <c r="BT101" s="77">
        <v>61</v>
      </c>
      <c r="BU101" s="77">
        <v>90</v>
      </c>
      <c r="BV101" s="76">
        <f t="shared" ref="BV101:BV138" si="417">BU101</f>
        <v>90</v>
      </c>
      <c r="BW101" s="77">
        <v>23</v>
      </c>
      <c r="BX101" s="693">
        <v>46</v>
      </c>
      <c r="BY101" s="77">
        <v>75</v>
      </c>
      <c r="BZ101" s="77">
        <v>113</v>
      </c>
      <c r="CA101" s="76">
        <f t="shared" ref="CA101:CA138" si="418">BZ101</f>
        <v>113</v>
      </c>
      <c r="CB101" s="77">
        <v>20</v>
      </c>
      <c r="CC101" s="693">
        <v>44</v>
      </c>
      <c r="CD101" s="77">
        <v>63</v>
      </c>
      <c r="CE101" s="77">
        <v>93</v>
      </c>
      <c r="CF101" s="76">
        <f t="shared" ref="CF101:CF138" si="419">CE101</f>
        <v>93</v>
      </c>
      <c r="CG101" s="693">
        <v>34</v>
      </c>
      <c r="CH101" s="693">
        <v>70</v>
      </c>
      <c r="CI101" s="693">
        <v>106</v>
      </c>
      <c r="CJ101" s="693">
        <v>443</v>
      </c>
      <c r="CK101" s="76">
        <f t="shared" ref="CK101:CK138" si="420">CJ101</f>
        <v>443</v>
      </c>
      <c r="CL101" s="77">
        <v>26</v>
      </c>
      <c r="CM101" s="77">
        <v>280</v>
      </c>
      <c r="CN101" s="77">
        <v>317</v>
      </c>
      <c r="CO101" s="77">
        <v>410</v>
      </c>
      <c r="CP101" s="76">
        <f t="shared" ref="CP101:CP138" si="421">CO101</f>
        <v>410</v>
      </c>
      <c r="CQ101" s="77">
        <v>16</v>
      </c>
      <c r="CR101" s="77">
        <v>38</v>
      </c>
      <c r="CS101" s="77">
        <v>72</v>
      </c>
      <c r="CT101" s="77">
        <v>98</v>
      </c>
      <c r="CU101" s="76">
        <f t="shared" ref="CU101:CU138" si="422">CT101</f>
        <v>98</v>
      </c>
      <c r="CV101" s="77">
        <v>72</v>
      </c>
      <c r="CW101" s="77">
        <v>72</v>
      </c>
      <c r="CX101" s="77">
        <v>78</v>
      </c>
      <c r="CY101" s="77">
        <v>112</v>
      </c>
      <c r="CZ101" s="76">
        <f t="shared" ref="CZ101:CZ138" si="423">CY101</f>
        <v>112</v>
      </c>
      <c r="DA101" s="77">
        <v>11</v>
      </c>
      <c r="DB101" s="77">
        <v>12</v>
      </c>
      <c r="DC101" s="77">
        <v>12</v>
      </c>
      <c r="DD101" s="77">
        <v>46</v>
      </c>
      <c r="DE101" s="76">
        <f t="shared" ref="DE101:DE138" si="424">DD101</f>
        <v>46</v>
      </c>
      <c r="DF101" s="77">
        <v>21</v>
      </c>
      <c r="DG101" s="16">
        <v>34</v>
      </c>
      <c r="DH101" s="593">
        <v>48</v>
      </c>
      <c r="DI101" s="1074">
        <v>112</v>
      </c>
      <c r="DJ101" s="76">
        <f t="shared" ref="DJ101:DJ102" si="425">DI101</f>
        <v>112</v>
      </c>
      <c r="DK101" s="1074">
        <v>7</v>
      </c>
      <c r="DL101" s="1074">
        <v>30</v>
      </c>
      <c r="DM101" s="1074">
        <v>32</v>
      </c>
      <c r="DN101" s="1074">
        <v>45</v>
      </c>
      <c r="DO101" s="76">
        <f t="shared" ref="DO101:DO102" si="426">DN101</f>
        <v>45</v>
      </c>
      <c r="DP101" s="1074">
        <v>9</v>
      </c>
      <c r="DQ101" s="1086">
        <v>18</v>
      </c>
      <c r="DS101" s="77"/>
      <c r="DT101" s="93"/>
      <c r="DU101" s="1074"/>
      <c r="DX101" s="77"/>
      <c r="DY101" s="93"/>
      <c r="DZ101" s="93"/>
      <c r="EA101" s="93"/>
      <c r="EB101" s="93"/>
    </row>
    <row r="102" spans="1:132" s="105" customFormat="1" ht="12" customHeight="1">
      <c r="A102" s="68"/>
      <c r="B102" s="159" t="s">
        <v>88</v>
      </c>
      <c r="C102" s="76">
        <v>0</v>
      </c>
      <c r="D102" s="76">
        <v>0</v>
      </c>
      <c r="E102" s="76">
        <v>72</v>
      </c>
      <c r="F102" s="76">
        <v>13</v>
      </c>
      <c r="G102" s="76">
        <v>42</v>
      </c>
      <c r="H102" s="76">
        <v>219</v>
      </c>
      <c r="I102" s="76">
        <v>234</v>
      </c>
      <c r="J102" s="77">
        <v>44</v>
      </c>
      <c r="K102" s="77">
        <v>39</v>
      </c>
      <c r="L102" s="77">
        <v>36</v>
      </c>
      <c r="M102" s="77">
        <f t="shared" si="405"/>
        <v>45</v>
      </c>
      <c r="N102" s="76">
        <v>45</v>
      </c>
      <c r="O102" s="77">
        <v>4</v>
      </c>
      <c r="P102" s="77">
        <v>14</v>
      </c>
      <c r="Q102" s="77">
        <v>47</v>
      </c>
      <c r="R102" s="77">
        <f t="shared" si="406"/>
        <v>73</v>
      </c>
      <c r="S102" s="76">
        <v>73</v>
      </c>
      <c r="T102" s="77">
        <v>-1</v>
      </c>
      <c r="U102" s="77">
        <v>2</v>
      </c>
      <c r="V102" s="77">
        <v>19</v>
      </c>
      <c r="W102" s="77">
        <f t="shared" si="407"/>
        <v>32</v>
      </c>
      <c r="X102" s="76">
        <v>32</v>
      </c>
      <c r="Y102" s="77">
        <v>-33</v>
      </c>
      <c r="Z102" s="77">
        <v>-35</v>
      </c>
      <c r="AA102" s="77">
        <v>-52</v>
      </c>
      <c r="AB102" s="77">
        <f t="shared" si="408"/>
        <v>-60</v>
      </c>
      <c r="AC102" s="76">
        <v>-60</v>
      </c>
      <c r="AD102" s="77">
        <v>-6</v>
      </c>
      <c r="AE102" s="77">
        <v>80</v>
      </c>
      <c r="AF102" s="77">
        <v>73</v>
      </c>
      <c r="AG102" s="77">
        <f t="shared" si="409"/>
        <v>84</v>
      </c>
      <c r="AH102" s="76">
        <v>84</v>
      </c>
      <c r="AI102" s="77">
        <v>9</v>
      </c>
      <c r="AJ102" s="77">
        <v>12</v>
      </c>
      <c r="AK102" s="77">
        <v>31</v>
      </c>
      <c r="AL102" s="77">
        <v>45</v>
      </c>
      <c r="AM102" s="76">
        <f t="shared" si="410"/>
        <v>45</v>
      </c>
      <c r="AN102" s="77">
        <v>12</v>
      </c>
      <c r="AO102" s="77">
        <v>5</v>
      </c>
      <c r="AP102" s="77">
        <v>24</v>
      </c>
      <c r="AQ102" s="77">
        <v>51</v>
      </c>
      <c r="AR102" s="76">
        <f t="shared" si="411"/>
        <v>51</v>
      </c>
      <c r="AS102" s="77">
        <v>-15</v>
      </c>
      <c r="AT102" s="77">
        <v>-65</v>
      </c>
      <c r="AU102" s="86">
        <v>-220</v>
      </c>
      <c r="AV102" s="77">
        <v>-269</v>
      </c>
      <c r="AW102" s="76">
        <f t="shared" si="412"/>
        <v>-269</v>
      </c>
      <c r="AX102" s="77">
        <v>0</v>
      </c>
      <c r="AY102" s="77">
        <v>-1</v>
      </c>
      <c r="AZ102" s="77">
        <v>-4</v>
      </c>
      <c r="BA102" s="77">
        <v>-10</v>
      </c>
      <c r="BB102" s="76">
        <f t="shared" si="413"/>
        <v>-10</v>
      </c>
      <c r="BC102" s="77">
        <v>-3</v>
      </c>
      <c r="BD102" s="77">
        <v>-5</v>
      </c>
      <c r="BE102" s="77">
        <v>-7</v>
      </c>
      <c r="BF102" s="77">
        <v>-11</v>
      </c>
      <c r="BG102" s="76">
        <f t="shared" si="414"/>
        <v>-11</v>
      </c>
      <c r="BH102" s="77">
        <v>-23</v>
      </c>
      <c r="BI102" s="693">
        <v>-26</v>
      </c>
      <c r="BJ102" s="77">
        <v>-26</v>
      </c>
      <c r="BK102" s="77">
        <v>-28</v>
      </c>
      <c r="BL102" s="76">
        <f t="shared" si="415"/>
        <v>-28</v>
      </c>
      <c r="BM102" s="77">
        <v>-2</v>
      </c>
      <c r="BN102" s="693">
        <v>-5</v>
      </c>
      <c r="BO102" s="77">
        <v>-3</v>
      </c>
      <c r="BP102" s="77">
        <v>-5</v>
      </c>
      <c r="BQ102" s="76">
        <f t="shared" si="416"/>
        <v>-5</v>
      </c>
      <c r="BR102" s="77">
        <v>-2</v>
      </c>
      <c r="BS102" s="693">
        <v>-4</v>
      </c>
      <c r="BT102" s="77">
        <v>-5</v>
      </c>
      <c r="BU102" s="77">
        <v>-7</v>
      </c>
      <c r="BV102" s="76">
        <f t="shared" si="417"/>
        <v>-7</v>
      </c>
      <c r="BW102" s="77">
        <v>7</v>
      </c>
      <c r="BX102" s="693">
        <v>5</v>
      </c>
      <c r="BY102" s="77">
        <v>4</v>
      </c>
      <c r="BZ102" s="77">
        <v>2</v>
      </c>
      <c r="CA102" s="76">
        <f t="shared" si="418"/>
        <v>2</v>
      </c>
      <c r="CB102" s="77">
        <v>-1</v>
      </c>
      <c r="CC102" s="693">
        <v>-2</v>
      </c>
      <c r="CD102" s="77">
        <v>-3</v>
      </c>
      <c r="CE102" s="77">
        <v>-3</v>
      </c>
      <c r="CF102" s="76">
        <f t="shared" si="419"/>
        <v>-3</v>
      </c>
      <c r="CG102" s="693">
        <v>249</v>
      </c>
      <c r="CH102" s="693">
        <v>249</v>
      </c>
      <c r="CI102" s="693">
        <v>249</v>
      </c>
      <c r="CJ102" s="693">
        <v>250</v>
      </c>
      <c r="CK102" s="76">
        <f t="shared" si="420"/>
        <v>250</v>
      </c>
      <c r="CL102" s="77">
        <v>0</v>
      </c>
      <c r="CM102" s="77">
        <v>9</v>
      </c>
      <c r="CN102" s="77">
        <v>12</v>
      </c>
      <c r="CO102" s="77">
        <v>12</v>
      </c>
      <c r="CP102" s="76">
        <f t="shared" si="421"/>
        <v>12</v>
      </c>
      <c r="CQ102" s="77"/>
      <c r="CR102" s="77"/>
      <c r="CS102" s="77"/>
      <c r="CT102" s="77"/>
      <c r="CU102" s="76">
        <f t="shared" si="422"/>
        <v>0</v>
      </c>
      <c r="CV102" s="77"/>
      <c r="CW102" s="77"/>
      <c r="CX102" s="77"/>
      <c r="CY102" s="77"/>
      <c r="CZ102" s="76">
        <f t="shared" si="423"/>
        <v>0</v>
      </c>
      <c r="DA102" s="77"/>
      <c r="DB102" s="77"/>
      <c r="DC102" s="77"/>
      <c r="DD102" s="77"/>
      <c r="DE102" s="76">
        <f t="shared" si="424"/>
        <v>0</v>
      </c>
      <c r="DF102" s="77"/>
      <c r="DG102" s="16"/>
      <c r="DH102" s="593"/>
      <c r="DI102" s="77"/>
      <c r="DJ102" s="76">
        <f t="shared" si="425"/>
        <v>0</v>
      </c>
      <c r="DK102" s="77"/>
      <c r="DL102" s="16"/>
      <c r="DM102" s="16"/>
      <c r="DN102" s="77"/>
      <c r="DO102" s="76">
        <f t="shared" si="426"/>
        <v>0</v>
      </c>
      <c r="DP102" s="77"/>
      <c r="DQ102" s="593"/>
      <c r="DS102" s="77"/>
      <c r="DT102" s="93"/>
      <c r="DU102" s="77"/>
      <c r="DX102" s="77"/>
      <c r="DY102" s="93"/>
      <c r="DZ102" s="93"/>
      <c r="EA102" s="93"/>
      <c r="EB102" s="93"/>
    </row>
    <row r="103" spans="1:132" s="105" customFormat="1" ht="12" customHeight="1">
      <c r="A103" s="68"/>
      <c r="B103" s="159" t="s">
        <v>139</v>
      </c>
      <c r="C103" s="76">
        <v>0</v>
      </c>
      <c r="D103" s="76">
        <v>0</v>
      </c>
      <c r="E103" s="76">
        <v>0</v>
      </c>
      <c r="F103" s="76">
        <v>0</v>
      </c>
      <c r="G103" s="76">
        <v>0</v>
      </c>
      <c r="H103" s="76">
        <v>0</v>
      </c>
      <c r="I103" s="76">
        <v>0</v>
      </c>
      <c r="J103" s="77">
        <v>0</v>
      </c>
      <c r="K103" s="77">
        <v>-21</v>
      </c>
      <c r="L103" s="77">
        <v>-52</v>
      </c>
      <c r="M103" s="77">
        <f t="shared" si="405"/>
        <v>-66</v>
      </c>
      <c r="N103" s="76">
        <v>-66</v>
      </c>
      <c r="O103" s="77">
        <v>0</v>
      </c>
      <c r="P103" s="77">
        <v>0</v>
      </c>
      <c r="Q103" s="77">
        <v>12</v>
      </c>
      <c r="R103" s="77">
        <f t="shared" si="406"/>
        <v>12</v>
      </c>
      <c r="S103" s="76">
        <v>12</v>
      </c>
      <c r="T103" s="77">
        <v>0</v>
      </c>
      <c r="U103" s="77">
        <v>0</v>
      </c>
      <c r="V103" s="77">
        <v>0</v>
      </c>
      <c r="W103" s="77">
        <f t="shared" si="407"/>
        <v>-14</v>
      </c>
      <c r="X103" s="76">
        <v>-14</v>
      </c>
      <c r="Y103" s="77">
        <v>-7</v>
      </c>
      <c r="Z103" s="77">
        <v>-9</v>
      </c>
      <c r="AA103" s="77">
        <v>-16</v>
      </c>
      <c r="AB103" s="77">
        <f t="shared" si="408"/>
        <v>-25</v>
      </c>
      <c r="AC103" s="76">
        <v>-25</v>
      </c>
      <c r="AD103" s="77">
        <v>-8</v>
      </c>
      <c r="AE103" s="77">
        <v>-10</v>
      </c>
      <c r="AF103" s="77">
        <v>-28</v>
      </c>
      <c r="AG103" s="77">
        <f t="shared" si="409"/>
        <v>-28</v>
      </c>
      <c r="AH103" s="76">
        <v>-28</v>
      </c>
      <c r="AI103" s="77">
        <v>8</v>
      </c>
      <c r="AJ103" s="77">
        <v>7</v>
      </c>
      <c r="AK103" s="77">
        <v>13</v>
      </c>
      <c r="AL103" s="77">
        <v>36</v>
      </c>
      <c r="AM103" s="76">
        <f t="shared" si="410"/>
        <v>36</v>
      </c>
      <c r="AN103" s="77">
        <v>0</v>
      </c>
      <c r="AO103" s="77">
        <v>3</v>
      </c>
      <c r="AP103" s="77">
        <v>3</v>
      </c>
      <c r="AQ103" s="77">
        <v>6</v>
      </c>
      <c r="AR103" s="76">
        <f t="shared" si="411"/>
        <v>6</v>
      </c>
      <c r="AS103" s="77">
        <v>3</v>
      </c>
      <c r="AT103" s="77">
        <v>4</v>
      </c>
      <c r="AU103" s="86">
        <v>-1</v>
      </c>
      <c r="AV103" s="77">
        <v>-11</v>
      </c>
      <c r="AW103" s="76">
        <f t="shared" si="412"/>
        <v>-11</v>
      </c>
      <c r="AX103" s="77">
        <v>2</v>
      </c>
      <c r="AY103" s="77">
        <v>2</v>
      </c>
      <c r="AZ103" s="77">
        <v>5</v>
      </c>
      <c r="BA103" s="77">
        <v>5</v>
      </c>
      <c r="BB103" s="76">
        <f t="shared" si="413"/>
        <v>5</v>
      </c>
      <c r="BC103" s="77"/>
      <c r="BD103" s="77">
        <v>-1</v>
      </c>
      <c r="BE103" s="77">
        <v>1</v>
      </c>
      <c r="BF103" s="77">
        <v>1</v>
      </c>
      <c r="BG103" s="76">
        <f t="shared" si="414"/>
        <v>1</v>
      </c>
      <c r="BH103" s="77">
        <v>-1</v>
      </c>
      <c r="BI103" s="693">
        <v>0</v>
      </c>
      <c r="BJ103" s="77">
        <v>0</v>
      </c>
      <c r="BK103" s="77">
        <v>0</v>
      </c>
      <c r="BL103" s="76">
        <f t="shared" si="415"/>
        <v>0</v>
      </c>
      <c r="BM103" s="77"/>
      <c r="BN103" s="693"/>
      <c r="BO103" s="77"/>
      <c r="BP103" s="77"/>
      <c r="BQ103" s="76">
        <f t="shared" si="416"/>
        <v>0</v>
      </c>
      <c r="BR103" s="77"/>
      <c r="BS103" s="693"/>
      <c r="BT103" s="77"/>
      <c r="BU103" s="77"/>
      <c r="BV103" s="76">
        <f t="shared" si="417"/>
        <v>0</v>
      </c>
      <c r="BW103" s="77"/>
      <c r="BX103" s="693"/>
      <c r="BY103" s="77"/>
      <c r="BZ103" s="77"/>
      <c r="CA103" s="76">
        <f t="shared" si="418"/>
        <v>0</v>
      </c>
      <c r="CB103" s="77"/>
      <c r="CC103" s="693"/>
      <c r="CD103" s="77"/>
      <c r="CE103" s="77"/>
      <c r="CF103" s="76"/>
      <c r="CG103" s="693"/>
      <c r="CH103" s="693"/>
      <c r="CI103" s="693"/>
      <c r="CJ103" s="693"/>
      <c r="CK103" s="76"/>
      <c r="CL103" s="77"/>
      <c r="CM103" s="77"/>
      <c r="CN103" s="77"/>
      <c r="CO103" s="77"/>
      <c r="CP103" s="76"/>
      <c r="CQ103" s="77"/>
      <c r="CR103" s="77"/>
      <c r="CS103" s="77"/>
      <c r="CT103" s="77"/>
      <c r="CU103" s="76"/>
      <c r="CV103" s="77"/>
      <c r="CW103" s="77"/>
      <c r="CX103" s="77"/>
      <c r="CY103" s="77"/>
      <c r="CZ103" s="76"/>
      <c r="DA103" s="77"/>
      <c r="DB103" s="77"/>
      <c r="DC103" s="77"/>
      <c r="DD103" s="77"/>
      <c r="DE103" s="76"/>
      <c r="DF103" s="77"/>
      <c r="DG103" s="16"/>
      <c r="DH103" s="593"/>
      <c r="DI103" s="77"/>
      <c r="DJ103" s="76"/>
      <c r="DK103" s="77"/>
      <c r="DL103" s="16"/>
      <c r="DM103" s="16"/>
      <c r="DN103" s="77"/>
      <c r="DO103" s="76"/>
      <c r="DP103" s="77"/>
      <c r="DQ103" s="593"/>
      <c r="DS103" s="77"/>
      <c r="DT103" s="93"/>
      <c r="DU103" s="77"/>
      <c r="DX103" s="77"/>
      <c r="DY103" s="93"/>
      <c r="DZ103" s="93"/>
      <c r="EA103" s="93"/>
      <c r="EB103" s="93"/>
    </row>
    <row r="104" spans="1:132" s="105" customFormat="1" ht="12" customHeight="1">
      <c r="A104" s="68"/>
      <c r="B104" s="159" t="s">
        <v>140</v>
      </c>
      <c r="C104" s="76">
        <v>0</v>
      </c>
      <c r="D104" s="76">
        <v>0</v>
      </c>
      <c r="E104" s="76">
        <v>-87</v>
      </c>
      <c r="F104" s="76">
        <v>-34</v>
      </c>
      <c r="G104" s="76">
        <v>-21</v>
      </c>
      <c r="H104" s="76">
        <v>-44</v>
      </c>
      <c r="I104" s="76">
        <v>-7</v>
      </c>
      <c r="J104" s="77">
        <v>0</v>
      </c>
      <c r="K104" s="77">
        <v>-6</v>
      </c>
      <c r="L104" s="77">
        <v>-7</v>
      </c>
      <c r="M104" s="77">
        <f t="shared" si="405"/>
        <v>-23</v>
      </c>
      <c r="N104" s="76">
        <v>-23</v>
      </c>
      <c r="O104" s="77">
        <v>-25</v>
      </c>
      <c r="P104" s="77">
        <v>92</v>
      </c>
      <c r="Q104" s="77">
        <v>-491</v>
      </c>
      <c r="R104" s="77">
        <f t="shared" si="406"/>
        <v>-520</v>
      </c>
      <c r="S104" s="76">
        <v>-520</v>
      </c>
      <c r="T104" s="77">
        <v>2</v>
      </c>
      <c r="U104" s="77">
        <v>-4</v>
      </c>
      <c r="V104" s="77">
        <v>268</v>
      </c>
      <c r="W104" s="77">
        <f t="shared" si="407"/>
        <v>226</v>
      </c>
      <c r="X104" s="76">
        <v>226</v>
      </c>
      <c r="Y104" s="77">
        <v>2</v>
      </c>
      <c r="Z104" s="77">
        <v>0</v>
      </c>
      <c r="AA104" s="77">
        <v>22</v>
      </c>
      <c r="AB104" s="77">
        <f t="shared" si="408"/>
        <v>-38</v>
      </c>
      <c r="AC104" s="76">
        <v>-38</v>
      </c>
      <c r="AD104" s="77"/>
      <c r="AE104" s="77">
        <v>-2</v>
      </c>
      <c r="AF104" s="77">
        <v>-2</v>
      </c>
      <c r="AG104" s="77">
        <f t="shared" si="409"/>
        <v>-4</v>
      </c>
      <c r="AH104" s="76">
        <v>-4</v>
      </c>
      <c r="AI104" s="77">
        <v>3</v>
      </c>
      <c r="AJ104" s="77">
        <v>6</v>
      </c>
      <c r="AK104" s="77">
        <v>7</v>
      </c>
      <c r="AL104" s="77">
        <v>24</v>
      </c>
      <c r="AM104" s="76">
        <f t="shared" si="410"/>
        <v>24</v>
      </c>
      <c r="AN104" s="77">
        <v>4</v>
      </c>
      <c r="AO104" s="77">
        <v>5</v>
      </c>
      <c r="AP104" s="77">
        <v>-9</v>
      </c>
      <c r="AQ104" s="77">
        <v>-6</v>
      </c>
      <c r="AR104" s="76">
        <f t="shared" si="411"/>
        <v>-6</v>
      </c>
      <c r="AS104" s="77">
        <v>0</v>
      </c>
      <c r="AT104" s="77">
        <v>-20</v>
      </c>
      <c r="AU104" s="86">
        <v>-20</v>
      </c>
      <c r="AV104" s="77">
        <v>-24</v>
      </c>
      <c r="AW104" s="76">
        <f t="shared" si="412"/>
        <v>-24</v>
      </c>
      <c r="AX104" s="77"/>
      <c r="AY104" s="77">
        <v>2</v>
      </c>
      <c r="AZ104" s="77">
        <v>3</v>
      </c>
      <c r="BA104" s="77">
        <v>-4</v>
      </c>
      <c r="BB104" s="76">
        <f t="shared" si="413"/>
        <v>-4</v>
      </c>
      <c r="BC104" s="77">
        <v>-22</v>
      </c>
      <c r="BD104" s="77">
        <v>-22</v>
      </c>
      <c r="BE104" s="77">
        <v>-21</v>
      </c>
      <c r="BF104" s="77">
        <v>-20</v>
      </c>
      <c r="BG104" s="76">
        <f t="shared" si="414"/>
        <v>-20</v>
      </c>
      <c r="BH104" s="77">
        <v>0</v>
      </c>
      <c r="BI104" s="693">
        <v>-2</v>
      </c>
      <c r="BJ104" s="77">
        <v>-2</v>
      </c>
      <c r="BK104" s="77">
        <v>10</v>
      </c>
      <c r="BL104" s="76">
        <f t="shared" si="415"/>
        <v>10</v>
      </c>
      <c r="BM104" s="77">
        <v>-1</v>
      </c>
      <c r="BN104" s="693">
        <v>-1</v>
      </c>
      <c r="BO104" s="77"/>
      <c r="BP104" s="77">
        <v>1</v>
      </c>
      <c r="BQ104" s="76">
        <f t="shared" si="416"/>
        <v>1</v>
      </c>
      <c r="BR104" s="77">
        <v>-4</v>
      </c>
      <c r="BS104" s="693">
        <v>9</v>
      </c>
      <c r="BT104" s="77">
        <v>10</v>
      </c>
      <c r="BU104" s="77">
        <v>7</v>
      </c>
      <c r="BV104" s="76">
        <f t="shared" si="417"/>
        <v>7</v>
      </c>
      <c r="BW104" s="77">
        <v>-2</v>
      </c>
      <c r="BX104" s="693">
        <v>0</v>
      </c>
      <c r="BY104" s="77"/>
      <c r="BZ104" s="77">
        <v>-21</v>
      </c>
      <c r="CA104" s="76">
        <f t="shared" si="418"/>
        <v>-21</v>
      </c>
      <c r="CB104" s="77">
        <v>-4</v>
      </c>
      <c r="CC104" s="693">
        <v>-7</v>
      </c>
      <c r="CD104" s="77">
        <v>-76</v>
      </c>
      <c r="CE104" s="77">
        <v>-75</v>
      </c>
      <c r="CF104" s="76">
        <f t="shared" si="419"/>
        <v>-75</v>
      </c>
      <c r="CG104" s="693">
        <v>-108</v>
      </c>
      <c r="CH104" s="693">
        <v>-300</v>
      </c>
      <c r="CI104" s="693">
        <v>-296</v>
      </c>
      <c r="CJ104" s="693">
        <v>-691</v>
      </c>
      <c r="CK104" s="76">
        <f t="shared" si="420"/>
        <v>-691</v>
      </c>
      <c r="CL104" s="77">
        <v>-54</v>
      </c>
      <c r="CM104" s="77">
        <v>-92</v>
      </c>
      <c r="CN104" s="77">
        <v>-200</v>
      </c>
      <c r="CO104" s="77">
        <v>-202</v>
      </c>
      <c r="CP104" s="76">
        <f t="shared" si="421"/>
        <v>-202</v>
      </c>
      <c r="CQ104" s="77">
        <v>-2</v>
      </c>
      <c r="CR104" s="77">
        <v>-2</v>
      </c>
      <c r="CS104" s="77">
        <v>-3</v>
      </c>
      <c r="CT104" s="77">
        <v>-277</v>
      </c>
      <c r="CU104" s="76">
        <f t="shared" si="422"/>
        <v>-277</v>
      </c>
      <c r="CV104" s="77">
        <v>-1</v>
      </c>
      <c r="CW104" s="77">
        <v>-2</v>
      </c>
      <c r="CX104" s="77">
        <v>-2</v>
      </c>
      <c r="CY104" s="77"/>
      <c r="CZ104" s="76">
        <f t="shared" si="423"/>
        <v>0</v>
      </c>
      <c r="DA104" s="77">
        <v>0</v>
      </c>
      <c r="DB104" s="77">
        <v>-1</v>
      </c>
      <c r="DC104" s="77">
        <v>-1</v>
      </c>
      <c r="DD104" s="77">
        <v>-2</v>
      </c>
      <c r="DE104" s="76">
        <f t="shared" si="424"/>
        <v>-2</v>
      </c>
      <c r="DF104" s="77"/>
      <c r="DG104" s="744">
        <v>-5</v>
      </c>
      <c r="DH104" s="593">
        <v>-5</v>
      </c>
      <c r="DI104" s="1074">
        <v>-46</v>
      </c>
      <c r="DJ104" s="76">
        <f t="shared" ref="DJ104:DJ105" si="427">DI104</f>
        <v>-46</v>
      </c>
      <c r="DK104" s="77"/>
      <c r="DL104" s="1080">
        <v>-64</v>
      </c>
      <c r="DM104" s="1080">
        <v>-63</v>
      </c>
      <c r="DN104" s="1074">
        <v>-9672</v>
      </c>
      <c r="DO104" s="76">
        <f t="shared" ref="DO104:DO105" si="428">DN104</f>
        <v>-9672</v>
      </c>
      <c r="DP104" s="1074">
        <v>-12</v>
      </c>
      <c r="DQ104" s="1113">
        <v>-79</v>
      </c>
      <c r="DS104" s="77"/>
      <c r="DT104" s="93"/>
      <c r="DU104" s="77"/>
      <c r="DX104" s="77"/>
      <c r="DY104" s="93"/>
      <c r="DZ104" s="93"/>
      <c r="EA104" s="93"/>
      <c r="EB104" s="93"/>
    </row>
    <row r="105" spans="1:132" s="105" customFormat="1" ht="12" customHeight="1">
      <c r="A105" s="68"/>
      <c r="B105" s="159" t="s">
        <v>89</v>
      </c>
      <c r="C105" s="76">
        <v>1400</v>
      </c>
      <c r="D105" s="76">
        <v>0</v>
      </c>
      <c r="E105" s="76">
        <v>0</v>
      </c>
      <c r="F105" s="76">
        <f>557</f>
        <v>557</v>
      </c>
      <c r="G105" s="76">
        <v>-1</v>
      </c>
      <c r="H105" s="76">
        <f>-17+1827-526</f>
        <v>1284</v>
      </c>
      <c r="I105" s="76">
        <f>63+913-147</f>
        <v>829</v>
      </c>
      <c r="J105" s="77">
        <f>-17+72</f>
        <v>55</v>
      </c>
      <c r="K105" s="77">
        <f>-5+150+3+26</f>
        <v>174</v>
      </c>
      <c r="L105" s="77">
        <f>55+214+26+3</f>
        <v>298</v>
      </c>
      <c r="M105" s="77">
        <f t="shared" si="405"/>
        <v>892</v>
      </c>
      <c r="N105" s="76">
        <f>539+15+335+3</f>
        <v>892</v>
      </c>
      <c r="O105" s="77">
        <f>36+223</f>
        <v>259</v>
      </c>
      <c r="P105" s="77">
        <f>124+378</f>
        <v>502</v>
      </c>
      <c r="Q105" s="77">
        <f>92+774</f>
        <v>866</v>
      </c>
      <c r="R105" s="77">
        <f t="shared" si="406"/>
        <v>1354</v>
      </c>
      <c r="S105" s="76">
        <f>129+1225</f>
        <v>1354</v>
      </c>
      <c r="T105" s="77">
        <f>43+190</f>
        <v>233</v>
      </c>
      <c r="U105" s="77">
        <f>76+317</f>
        <v>393</v>
      </c>
      <c r="V105" s="77">
        <f>112+525</f>
        <v>637</v>
      </c>
      <c r="W105" s="77">
        <f t="shared" si="407"/>
        <v>828</v>
      </c>
      <c r="X105" s="76">
        <f>82+746</f>
        <v>828</v>
      </c>
      <c r="Y105" s="77">
        <f>65+252</f>
        <v>317</v>
      </c>
      <c r="Z105" s="77">
        <f>73+503</f>
        <v>576</v>
      </c>
      <c r="AA105" s="77">
        <f>120+781</f>
        <v>901</v>
      </c>
      <c r="AB105" s="77">
        <f t="shared" si="408"/>
        <v>1279</v>
      </c>
      <c r="AC105" s="76">
        <f>197+1082</f>
        <v>1279</v>
      </c>
      <c r="AD105" s="77">
        <v>56</v>
      </c>
      <c r="AE105" s="77">
        <v>78</v>
      </c>
      <c r="AF105" s="77">
        <v>83</v>
      </c>
      <c r="AG105" s="77">
        <f t="shared" si="409"/>
        <v>116</v>
      </c>
      <c r="AH105" s="76">
        <v>116</v>
      </c>
      <c r="AI105" s="77">
        <v>63</v>
      </c>
      <c r="AJ105" s="77">
        <v>78</v>
      </c>
      <c r="AK105" s="77">
        <v>170</v>
      </c>
      <c r="AL105" s="77">
        <v>214</v>
      </c>
      <c r="AM105" s="76">
        <f t="shared" si="410"/>
        <v>214</v>
      </c>
      <c r="AN105" s="77">
        <v>30</v>
      </c>
      <c r="AO105" s="77">
        <v>45</v>
      </c>
      <c r="AP105" s="77">
        <v>103</v>
      </c>
      <c r="AQ105" s="77">
        <v>512</v>
      </c>
      <c r="AR105" s="76">
        <f t="shared" si="411"/>
        <v>512</v>
      </c>
      <c r="AS105" s="77">
        <v>113</v>
      </c>
      <c r="AT105" s="77">
        <v>223</v>
      </c>
      <c r="AU105" s="86">
        <v>358</v>
      </c>
      <c r="AV105" s="77">
        <v>500</v>
      </c>
      <c r="AW105" s="76">
        <f t="shared" si="412"/>
        <v>500</v>
      </c>
      <c r="AX105" s="77">
        <v>150</v>
      </c>
      <c r="AY105" s="77">
        <v>361</v>
      </c>
      <c r="AZ105" s="77">
        <v>559</v>
      </c>
      <c r="BA105" s="77">
        <v>694</v>
      </c>
      <c r="BB105" s="76">
        <f t="shared" si="413"/>
        <v>694</v>
      </c>
      <c r="BC105" s="77">
        <v>53</v>
      </c>
      <c r="BD105" s="77">
        <v>31</v>
      </c>
      <c r="BE105" s="77">
        <v>48</v>
      </c>
      <c r="BF105" s="77">
        <v>528</v>
      </c>
      <c r="BG105" s="76">
        <f t="shared" si="414"/>
        <v>528</v>
      </c>
      <c r="BH105" s="77">
        <v>47</v>
      </c>
      <c r="BI105" s="693">
        <v>87</v>
      </c>
      <c r="BJ105" s="77">
        <v>145</v>
      </c>
      <c r="BK105" s="77">
        <v>317</v>
      </c>
      <c r="BL105" s="76">
        <f t="shared" si="415"/>
        <v>317</v>
      </c>
      <c r="BM105" s="77">
        <v>76</v>
      </c>
      <c r="BN105" s="693">
        <v>140</v>
      </c>
      <c r="BO105" s="77">
        <v>230</v>
      </c>
      <c r="BP105" s="77">
        <v>364</v>
      </c>
      <c r="BQ105" s="76">
        <f t="shared" si="416"/>
        <v>364</v>
      </c>
      <c r="BR105" s="77">
        <v>84</v>
      </c>
      <c r="BS105" s="693">
        <v>141</v>
      </c>
      <c r="BT105" s="77">
        <v>219</v>
      </c>
      <c r="BU105" s="77">
        <v>369</v>
      </c>
      <c r="BV105" s="76">
        <f t="shared" si="417"/>
        <v>369</v>
      </c>
      <c r="BW105" s="77">
        <v>52</v>
      </c>
      <c r="BX105" s="693">
        <v>129</v>
      </c>
      <c r="BY105" s="77">
        <v>190</v>
      </c>
      <c r="BZ105" s="77">
        <v>287</v>
      </c>
      <c r="CA105" s="76">
        <f t="shared" si="418"/>
        <v>287</v>
      </c>
      <c r="CB105" s="77">
        <v>60</v>
      </c>
      <c r="CC105" s="693">
        <v>112</v>
      </c>
      <c r="CD105" s="77">
        <v>158</v>
      </c>
      <c r="CE105" s="77">
        <v>247</v>
      </c>
      <c r="CF105" s="76">
        <f t="shared" si="419"/>
        <v>247</v>
      </c>
      <c r="CG105" s="693">
        <v>74</v>
      </c>
      <c r="CH105" s="693">
        <v>145</v>
      </c>
      <c r="CI105" s="693">
        <v>190</v>
      </c>
      <c r="CJ105" s="693">
        <v>334</v>
      </c>
      <c r="CK105" s="76">
        <f t="shared" si="420"/>
        <v>334</v>
      </c>
      <c r="CL105" s="77">
        <v>97</v>
      </c>
      <c r="CM105" s="77">
        <v>815</v>
      </c>
      <c r="CN105" s="77">
        <v>912</v>
      </c>
      <c r="CO105" s="77">
        <f>6493+1462</f>
        <v>7955</v>
      </c>
      <c r="CP105" s="76">
        <f t="shared" si="421"/>
        <v>7955</v>
      </c>
      <c r="CQ105" s="77">
        <f>35+306</f>
        <v>341</v>
      </c>
      <c r="CR105" s="77">
        <f>628-114</f>
        <v>514</v>
      </c>
      <c r="CS105" s="16">
        <f>951-283-82</f>
        <v>586</v>
      </c>
      <c r="CT105" s="77">
        <f>1233+3460+360</f>
        <v>5053</v>
      </c>
      <c r="CU105" s="76">
        <f t="shared" si="422"/>
        <v>5053</v>
      </c>
      <c r="CV105" s="77">
        <f>329+48+175</f>
        <v>552</v>
      </c>
      <c r="CW105" s="77">
        <f>612+42+260</f>
        <v>914</v>
      </c>
      <c r="CX105" s="77">
        <f>928+39+388</f>
        <v>1355</v>
      </c>
      <c r="CY105" s="77">
        <f>1215+37-6+364</f>
        <v>1610</v>
      </c>
      <c r="CZ105" s="76">
        <f t="shared" si="423"/>
        <v>1610</v>
      </c>
      <c r="DA105" s="77">
        <f>553-1+34</f>
        <v>586</v>
      </c>
      <c r="DB105" s="77">
        <f>862-3+33</f>
        <v>892</v>
      </c>
      <c r="DC105" s="77">
        <f>1204-4-21</f>
        <v>1179</v>
      </c>
      <c r="DD105" s="77">
        <f>1515+3</f>
        <v>1518</v>
      </c>
      <c r="DE105" s="76">
        <f t="shared" si="424"/>
        <v>1518</v>
      </c>
      <c r="DF105" s="77">
        <f>606+10</f>
        <v>616</v>
      </c>
      <c r="DG105" s="16">
        <f>953-34</f>
        <v>919</v>
      </c>
      <c r="DH105" s="593">
        <f>1315+3006+270</f>
        <v>4591</v>
      </c>
      <c r="DI105" s="1074">
        <f>4079+528+1601</f>
        <v>6208</v>
      </c>
      <c r="DJ105" s="76">
        <f t="shared" si="427"/>
        <v>6208</v>
      </c>
      <c r="DK105" s="1074">
        <f>418+3+99</f>
        <v>520</v>
      </c>
      <c r="DL105" s="1074">
        <f>793+162</f>
        <v>955</v>
      </c>
      <c r="DM105" s="1074">
        <f>1173+5140+217</f>
        <v>6530</v>
      </c>
      <c r="DN105" s="1074">
        <f>264+5283+1530</f>
        <v>7077</v>
      </c>
      <c r="DO105" s="76">
        <f t="shared" si="428"/>
        <v>7077</v>
      </c>
      <c r="DP105" s="1074">
        <f>45+466</f>
        <v>511</v>
      </c>
      <c r="DQ105" s="1086">
        <f>855+149</f>
        <v>1004</v>
      </c>
      <c r="DS105" s="77"/>
      <c r="DT105" s="93"/>
      <c r="DU105" s="1074"/>
      <c r="DX105" s="77"/>
      <c r="DY105" s="93"/>
      <c r="DZ105" s="93"/>
      <c r="EA105" s="93"/>
      <c r="EB105" s="93"/>
    </row>
    <row r="106" spans="1:132" s="105" customFormat="1" ht="12" customHeight="1">
      <c r="A106" s="68"/>
      <c r="B106" s="159" t="s">
        <v>340</v>
      </c>
      <c r="C106" s="76">
        <v>0</v>
      </c>
      <c r="D106" s="76">
        <v>0</v>
      </c>
      <c r="E106" s="76">
        <v>0</v>
      </c>
      <c r="F106" s="76">
        <v>0</v>
      </c>
      <c r="G106" s="76">
        <v>0</v>
      </c>
      <c r="H106" s="76">
        <v>0</v>
      </c>
      <c r="I106" s="76">
        <v>0</v>
      </c>
      <c r="J106" s="77">
        <v>0</v>
      </c>
      <c r="K106" s="77">
        <f>0</f>
        <v>0</v>
      </c>
      <c r="L106" s="77">
        <v>0</v>
      </c>
      <c r="M106" s="77">
        <f t="shared" si="405"/>
        <v>0</v>
      </c>
      <c r="N106" s="76">
        <f>0</f>
        <v>0</v>
      </c>
      <c r="O106" s="77">
        <v>-22</v>
      </c>
      <c r="P106" s="77">
        <v>-46</v>
      </c>
      <c r="Q106" s="77">
        <v>-46</v>
      </c>
      <c r="R106" s="77">
        <f t="shared" si="406"/>
        <v>-70</v>
      </c>
      <c r="S106" s="76">
        <v>-70</v>
      </c>
      <c r="T106" s="77">
        <v>-41</v>
      </c>
      <c r="U106" s="77">
        <v>-118</v>
      </c>
      <c r="V106" s="77">
        <v>-118</v>
      </c>
      <c r="W106" s="77">
        <f t="shared" si="407"/>
        <v>-395</v>
      </c>
      <c r="X106" s="76">
        <v>-395</v>
      </c>
      <c r="Y106" s="77">
        <v>-31</v>
      </c>
      <c r="Z106" s="77">
        <v>-107</v>
      </c>
      <c r="AA106" s="77">
        <v>-141</v>
      </c>
      <c r="AB106" s="77">
        <f t="shared" si="408"/>
        <v>-144</v>
      </c>
      <c r="AC106" s="76">
        <v>-144</v>
      </c>
      <c r="AD106" s="77">
        <v>-43</v>
      </c>
      <c r="AE106" s="77">
        <v>-45</v>
      </c>
      <c r="AF106" s="77">
        <v>-100</v>
      </c>
      <c r="AG106" s="77">
        <f t="shared" si="409"/>
        <v>-100</v>
      </c>
      <c r="AH106" s="76">
        <v>-100</v>
      </c>
      <c r="AI106" s="77">
        <v>-5</v>
      </c>
      <c r="AJ106" s="77">
        <v>-5</v>
      </c>
      <c r="AK106" s="77">
        <v>-5</v>
      </c>
      <c r="AL106" s="77">
        <v>-5</v>
      </c>
      <c r="AM106" s="76">
        <f t="shared" si="410"/>
        <v>-5</v>
      </c>
      <c r="AN106" s="77">
        <v>-8</v>
      </c>
      <c r="AO106" s="77">
        <v>-15</v>
      </c>
      <c r="AP106" s="77">
        <v>-17</v>
      </c>
      <c r="AQ106" s="77">
        <v>-19</v>
      </c>
      <c r="AR106" s="76">
        <f t="shared" si="411"/>
        <v>-19</v>
      </c>
      <c r="AS106" s="77">
        <v>-22</v>
      </c>
      <c r="AT106" s="77">
        <v>-32</v>
      </c>
      <c r="AU106" s="86">
        <v>-35</v>
      </c>
      <c r="AV106" s="77">
        <v>-36</v>
      </c>
      <c r="AW106" s="76">
        <f t="shared" si="412"/>
        <v>-36</v>
      </c>
      <c r="AX106" s="77">
        <v>-40</v>
      </c>
      <c r="AY106" s="77">
        <v>-39</v>
      </c>
      <c r="AZ106" s="77">
        <v>-43</v>
      </c>
      <c r="BA106" s="77">
        <v>-45</v>
      </c>
      <c r="BB106" s="76">
        <f t="shared" si="413"/>
        <v>-45</v>
      </c>
      <c r="BC106" s="77">
        <v>-23</v>
      </c>
      <c r="BD106" s="77">
        <v>-47</v>
      </c>
      <c r="BE106" s="77">
        <v>-86</v>
      </c>
      <c r="BF106" s="77">
        <v>-128</v>
      </c>
      <c r="BG106" s="76">
        <f t="shared" si="414"/>
        <v>-128</v>
      </c>
      <c r="BH106" s="77">
        <v>-68</v>
      </c>
      <c r="BI106" s="693">
        <v>-97</v>
      </c>
      <c r="BJ106" s="77">
        <v>-104</v>
      </c>
      <c r="BK106" s="77">
        <v>-114</v>
      </c>
      <c r="BL106" s="76">
        <f t="shared" si="415"/>
        <v>-114</v>
      </c>
      <c r="BM106" s="77">
        <v>-112</v>
      </c>
      <c r="BN106" s="693">
        <v>-124</v>
      </c>
      <c r="BO106" s="77">
        <v>-139</v>
      </c>
      <c r="BP106" s="77">
        <v>-157</v>
      </c>
      <c r="BQ106" s="76">
        <f t="shared" si="416"/>
        <v>-157</v>
      </c>
      <c r="BR106" s="77">
        <v>-44</v>
      </c>
      <c r="BS106" s="693">
        <v>0</v>
      </c>
      <c r="BT106" s="693">
        <v>0</v>
      </c>
      <c r="BU106" s="77">
        <v>0</v>
      </c>
      <c r="BV106" s="76">
        <f t="shared" si="417"/>
        <v>0</v>
      </c>
      <c r="BW106" s="77">
        <v>0</v>
      </c>
      <c r="BX106" s="693"/>
      <c r="BY106" s="77"/>
      <c r="BZ106" s="77"/>
      <c r="CA106" s="76">
        <f t="shared" si="418"/>
        <v>0</v>
      </c>
      <c r="CB106" s="77"/>
      <c r="CC106" s="693"/>
      <c r="CD106" s="77"/>
      <c r="CE106" s="77"/>
      <c r="CF106" s="76"/>
      <c r="CG106" s="693"/>
      <c r="CH106" s="693"/>
      <c r="CI106" s="693"/>
      <c r="CJ106" s="693"/>
      <c r="CK106" s="76"/>
      <c r="CL106" s="77"/>
      <c r="CM106" s="77"/>
      <c r="CN106" s="77"/>
      <c r="CO106" s="77"/>
      <c r="CP106" s="76"/>
      <c r="CQ106" s="77"/>
      <c r="CR106" s="77"/>
      <c r="CS106" s="77"/>
      <c r="CT106" s="77"/>
      <c r="CU106" s="76"/>
      <c r="CV106" s="77"/>
      <c r="CW106" s="77"/>
      <c r="CX106" s="77"/>
      <c r="CY106" s="77"/>
      <c r="CZ106" s="76"/>
      <c r="DA106" s="77"/>
      <c r="DB106" s="77"/>
      <c r="DC106" s="77"/>
      <c r="DD106" s="77"/>
      <c r="DE106" s="76"/>
      <c r="DF106" s="77"/>
      <c r="DG106" s="16"/>
      <c r="DH106" s="593"/>
      <c r="DI106" s="77"/>
      <c r="DJ106" s="76"/>
      <c r="DK106" s="77"/>
      <c r="DL106" s="16"/>
      <c r="DM106" s="16"/>
      <c r="DN106" s="77"/>
      <c r="DO106" s="76"/>
      <c r="DP106" s="77"/>
      <c r="DQ106" s="593"/>
      <c r="DS106" s="77"/>
      <c r="DT106" s="93"/>
      <c r="DU106" s="77"/>
      <c r="DX106" s="77"/>
      <c r="DY106" s="93"/>
      <c r="DZ106" s="93"/>
      <c r="EA106" s="93"/>
      <c r="EB106" s="93"/>
    </row>
    <row r="107" spans="1:132" s="105" customFormat="1" ht="12" customHeight="1">
      <c r="A107" s="68"/>
      <c r="B107" s="68" t="s">
        <v>147</v>
      </c>
      <c r="C107" s="79">
        <f t="shared" ref="C107:L107" si="429">SUM(C108:C120)</f>
        <v>-481</v>
      </c>
      <c r="D107" s="79">
        <f t="shared" si="429"/>
        <v>-528</v>
      </c>
      <c r="E107" s="79">
        <f t="shared" si="429"/>
        <v>2076</v>
      </c>
      <c r="F107" s="79">
        <f t="shared" si="429"/>
        <v>1483</v>
      </c>
      <c r="G107" s="79">
        <f t="shared" si="429"/>
        <v>-1161</v>
      </c>
      <c r="H107" s="79">
        <f t="shared" si="429"/>
        <v>111</v>
      </c>
      <c r="I107" s="79">
        <f t="shared" si="429"/>
        <v>28</v>
      </c>
      <c r="J107" s="80">
        <f t="shared" si="429"/>
        <v>-1125</v>
      </c>
      <c r="K107" s="80">
        <f t="shared" si="429"/>
        <v>-903</v>
      </c>
      <c r="L107" s="80">
        <f t="shared" si="429"/>
        <v>-1287</v>
      </c>
      <c r="M107" s="80">
        <f t="shared" si="405"/>
        <v>-1484</v>
      </c>
      <c r="N107" s="79">
        <f>SUM(N108:N120)</f>
        <v>-1484</v>
      </c>
      <c r="O107" s="80">
        <f>SUM(O108:O120)</f>
        <v>-23</v>
      </c>
      <c r="P107" s="80">
        <f>SUM(P108:P120)</f>
        <v>1126</v>
      </c>
      <c r="Q107" s="80">
        <f>SUM(Q108:Q120)</f>
        <v>146</v>
      </c>
      <c r="R107" s="80">
        <f t="shared" si="406"/>
        <v>1118</v>
      </c>
      <c r="S107" s="79">
        <f>SUM(S108:S120)</f>
        <v>1118</v>
      </c>
      <c r="T107" s="80">
        <f>SUM(T108:T120)</f>
        <v>598</v>
      </c>
      <c r="U107" s="80">
        <f>SUM(U108:U120)</f>
        <v>2458</v>
      </c>
      <c r="V107" s="80">
        <f>SUM(V108:V120)</f>
        <v>1253</v>
      </c>
      <c r="W107" s="80">
        <f t="shared" si="407"/>
        <v>2187</v>
      </c>
      <c r="X107" s="79">
        <f>SUM(X108:X120)</f>
        <v>2187</v>
      </c>
      <c r="Y107" s="80">
        <f>SUM(Y108:Y120)</f>
        <v>-804</v>
      </c>
      <c r="Z107" s="80">
        <f>SUM(Z108:Z120)</f>
        <v>1055</v>
      </c>
      <c r="AA107" s="80">
        <f>SUM(AA108:AA120)</f>
        <v>2567</v>
      </c>
      <c r="AB107" s="80">
        <f t="shared" si="408"/>
        <v>2675</v>
      </c>
      <c r="AC107" s="79">
        <f>SUM(AC108:AC120)</f>
        <v>2675</v>
      </c>
      <c r="AD107" s="80">
        <f>SUM(AD108:AD120)</f>
        <v>314</v>
      </c>
      <c r="AE107" s="80">
        <f>SUM(AE108:AE120)</f>
        <v>-1308</v>
      </c>
      <c r="AF107" s="80">
        <f>SUM(AF108:AF120)</f>
        <v>-2806</v>
      </c>
      <c r="AG107" s="80">
        <f t="shared" si="409"/>
        <v>-4902</v>
      </c>
      <c r="AH107" s="79">
        <f t="shared" ref="AH107:BM107" si="430">SUM(AH108:AH120)</f>
        <v>-4902</v>
      </c>
      <c r="AI107" s="80">
        <f t="shared" si="430"/>
        <v>-962</v>
      </c>
      <c r="AJ107" s="80">
        <f t="shared" si="430"/>
        <v>-1452</v>
      </c>
      <c r="AK107" s="80">
        <f t="shared" si="430"/>
        <v>679</v>
      </c>
      <c r="AL107" s="80">
        <f t="shared" si="430"/>
        <v>1910</v>
      </c>
      <c r="AM107" s="79">
        <f t="shared" si="430"/>
        <v>1910</v>
      </c>
      <c r="AN107" s="80">
        <f t="shared" si="430"/>
        <v>-1333</v>
      </c>
      <c r="AO107" s="80">
        <f t="shared" si="430"/>
        <v>-2382</v>
      </c>
      <c r="AP107" s="80">
        <f t="shared" si="430"/>
        <v>-1995</v>
      </c>
      <c r="AQ107" s="80">
        <f t="shared" si="430"/>
        <v>-3034</v>
      </c>
      <c r="AR107" s="79">
        <f t="shared" si="430"/>
        <v>-3034</v>
      </c>
      <c r="AS107" s="80">
        <f t="shared" si="430"/>
        <v>-2063</v>
      </c>
      <c r="AT107" s="80">
        <f t="shared" si="430"/>
        <v>-1922</v>
      </c>
      <c r="AU107" s="97">
        <f t="shared" si="430"/>
        <v>-3043</v>
      </c>
      <c r="AV107" s="80">
        <f t="shared" si="430"/>
        <v>-2135</v>
      </c>
      <c r="AW107" s="79">
        <f t="shared" si="430"/>
        <v>-2135</v>
      </c>
      <c r="AX107" s="80">
        <f t="shared" si="430"/>
        <v>-710</v>
      </c>
      <c r="AY107" s="80">
        <f t="shared" si="430"/>
        <v>-1462</v>
      </c>
      <c r="AZ107" s="80">
        <f t="shared" si="430"/>
        <v>-1621</v>
      </c>
      <c r="BA107" s="80">
        <f t="shared" si="430"/>
        <v>880</v>
      </c>
      <c r="BB107" s="79">
        <f t="shared" si="430"/>
        <v>880</v>
      </c>
      <c r="BC107" s="80">
        <f t="shared" si="430"/>
        <v>-1100</v>
      </c>
      <c r="BD107" s="80">
        <f t="shared" si="430"/>
        <v>843</v>
      </c>
      <c r="BE107" s="80">
        <f t="shared" si="430"/>
        <v>1995</v>
      </c>
      <c r="BF107" s="80">
        <f t="shared" si="430"/>
        <v>1078</v>
      </c>
      <c r="BG107" s="79">
        <f t="shared" si="430"/>
        <v>1078</v>
      </c>
      <c r="BH107" s="80">
        <f t="shared" si="430"/>
        <v>-337</v>
      </c>
      <c r="BI107" s="568">
        <f t="shared" si="430"/>
        <v>-696</v>
      </c>
      <c r="BJ107" s="568">
        <f t="shared" si="430"/>
        <v>-1803</v>
      </c>
      <c r="BK107" s="568">
        <f t="shared" si="430"/>
        <v>897</v>
      </c>
      <c r="BL107" s="79">
        <f t="shared" si="430"/>
        <v>897</v>
      </c>
      <c r="BM107" s="568">
        <f t="shared" si="430"/>
        <v>-1735</v>
      </c>
      <c r="BN107" s="568">
        <f t="shared" ref="BN107:DF107" si="431">SUM(BN108:BN120)</f>
        <v>-151</v>
      </c>
      <c r="BO107" s="568">
        <f t="shared" si="431"/>
        <v>392</v>
      </c>
      <c r="BP107" s="568">
        <f t="shared" si="431"/>
        <v>1795</v>
      </c>
      <c r="BQ107" s="79">
        <f t="shared" si="431"/>
        <v>1795</v>
      </c>
      <c r="BR107" s="568">
        <f t="shared" si="431"/>
        <v>-549</v>
      </c>
      <c r="BS107" s="568">
        <f t="shared" si="431"/>
        <v>2297</v>
      </c>
      <c r="BT107" s="568">
        <f t="shared" si="431"/>
        <v>2610</v>
      </c>
      <c r="BU107" s="568">
        <f t="shared" si="431"/>
        <v>3045</v>
      </c>
      <c r="BV107" s="79">
        <f t="shared" si="431"/>
        <v>3045</v>
      </c>
      <c r="BW107" s="568">
        <f t="shared" si="431"/>
        <v>42</v>
      </c>
      <c r="BX107" s="568">
        <f t="shared" si="431"/>
        <v>2589</v>
      </c>
      <c r="BY107" s="568">
        <f t="shared" si="431"/>
        <v>3468</v>
      </c>
      <c r="BZ107" s="568">
        <f t="shared" si="431"/>
        <v>2495</v>
      </c>
      <c r="CA107" s="79">
        <f t="shared" si="431"/>
        <v>2495</v>
      </c>
      <c r="CB107" s="568">
        <f t="shared" si="431"/>
        <v>38</v>
      </c>
      <c r="CC107" s="568">
        <f t="shared" si="431"/>
        <v>1890</v>
      </c>
      <c r="CD107" s="568">
        <f t="shared" si="431"/>
        <v>3516</v>
      </c>
      <c r="CE107" s="568">
        <f t="shared" si="431"/>
        <v>2284</v>
      </c>
      <c r="CF107" s="79">
        <f t="shared" si="431"/>
        <v>2284</v>
      </c>
      <c r="CG107" s="568">
        <f t="shared" si="431"/>
        <v>-178</v>
      </c>
      <c r="CH107" s="568">
        <f t="shared" si="431"/>
        <v>1656</v>
      </c>
      <c r="CI107" s="568">
        <f t="shared" si="431"/>
        <v>-2652</v>
      </c>
      <c r="CJ107" s="568">
        <f t="shared" si="431"/>
        <v>-4629</v>
      </c>
      <c r="CK107" s="79">
        <f t="shared" si="431"/>
        <v>-4629</v>
      </c>
      <c r="CL107" s="568">
        <f t="shared" si="431"/>
        <v>-4341</v>
      </c>
      <c r="CM107" s="568">
        <f t="shared" si="431"/>
        <v>-8776</v>
      </c>
      <c r="CN107" s="568">
        <f t="shared" si="431"/>
        <v>-13773</v>
      </c>
      <c r="CO107" s="568">
        <f t="shared" si="431"/>
        <v>-17140</v>
      </c>
      <c r="CP107" s="79">
        <f t="shared" si="431"/>
        <v>-17140</v>
      </c>
      <c r="CQ107" s="568">
        <f t="shared" si="431"/>
        <v>-4038</v>
      </c>
      <c r="CR107" s="568">
        <f t="shared" si="431"/>
        <v>-6006</v>
      </c>
      <c r="CS107" s="568">
        <f t="shared" si="431"/>
        <v>-6948</v>
      </c>
      <c r="CT107" s="568">
        <f t="shared" si="431"/>
        <v>-6977</v>
      </c>
      <c r="CU107" s="79">
        <f t="shared" ref="CU107" si="432">SUM(CU108:CU120)</f>
        <v>-6977</v>
      </c>
      <c r="CV107" s="568">
        <f t="shared" si="431"/>
        <v>-3286</v>
      </c>
      <c r="CW107" s="568">
        <f t="shared" si="431"/>
        <v>-4373</v>
      </c>
      <c r="CX107" s="568">
        <f t="shared" si="431"/>
        <v>1009</v>
      </c>
      <c r="CY107" s="568">
        <f t="shared" si="431"/>
        <v>4139</v>
      </c>
      <c r="CZ107" s="79">
        <f t="shared" si="431"/>
        <v>4139</v>
      </c>
      <c r="DA107" s="568">
        <f t="shared" si="431"/>
        <v>-1169</v>
      </c>
      <c r="DB107" s="568">
        <f t="shared" si="431"/>
        <v>934</v>
      </c>
      <c r="DC107" s="568">
        <f t="shared" si="431"/>
        <v>1673</v>
      </c>
      <c r="DD107" s="568">
        <f t="shared" si="431"/>
        <v>4089</v>
      </c>
      <c r="DE107" s="79">
        <f t="shared" ref="DE107" si="433">SUM(DE108:DE120)</f>
        <v>4089</v>
      </c>
      <c r="DF107" s="568">
        <f t="shared" si="431"/>
        <v>-4205</v>
      </c>
      <c r="DG107" s="568">
        <f t="shared" ref="DG107:DK107" si="434">SUM(DG108:DG120)</f>
        <v>-7530</v>
      </c>
      <c r="DH107" s="722">
        <f t="shared" si="434"/>
        <v>-6933</v>
      </c>
      <c r="DI107" s="568">
        <f t="shared" si="434"/>
        <v>-8768</v>
      </c>
      <c r="DJ107" s="79">
        <f t="shared" si="434"/>
        <v>-8768</v>
      </c>
      <c r="DK107" s="568">
        <f t="shared" si="434"/>
        <v>-2713</v>
      </c>
      <c r="DL107" s="568">
        <f t="shared" ref="DL107:DO107" si="435">SUM(DL108:DL120)</f>
        <v>-2847</v>
      </c>
      <c r="DM107" s="568">
        <f t="shared" si="435"/>
        <v>-2543</v>
      </c>
      <c r="DN107" s="568">
        <f t="shared" si="435"/>
        <v>-1002</v>
      </c>
      <c r="DO107" s="79">
        <f t="shared" si="435"/>
        <v>-1002</v>
      </c>
      <c r="DP107" s="568">
        <f t="shared" ref="DP107:DQ107" si="436">SUM(DP108:DP120)</f>
        <v>-1414</v>
      </c>
      <c r="DQ107" s="722">
        <f t="shared" si="436"/>
        <v>-756</v>
      </c>
      <c r="DS107" s="568"/>
      <c r="DT107" s="93"/>
      <c r="DU107" s="568"/>
      <c r="DX107" s="568"/>
      <c r="DY107" s="93"/>
      <c r="DZ107" s="93"/>
      <c r="EA107" s="93"/>
      <c r="EB107" s="93"/>
    </row>
    <row r="108" spans="1:132" s="105" customFormat="1" ht="12" customHeight="1">
      <c r="A108" s="68"/>
      <c r="B108" s="157" t="s">
        <v>90</v>
      </c>
      <c r="C108" s="76">
        <v>-251</v>
      </c>
      <c r="D108" s="76">
        <v>-167</v>
      </c>
      <c r="E108" s="76">
        <v>-225</v>
      </c>
      <c r="F108" s="76">
        <v>-768</v>
      </c>
      <c r="G108" s="76">
        <v>342</v>
      </c>
      <c r="H108" s="76">
        <v>-155</v>
      </c>
      <c r="I108" s="76">
        <v>357</v>
      </c>
      <c r="J108" s="77">
        <v>-378</v>
      </c>
      <c r="K108" s="77">
        <v>-119</v>
      </c>
      <c r="L108" s="77">
        <v>-738</v>
      </c>
      <c r="M108" s="77">
        <f t="shared" si="405"/>
        <v>-241</v>
      </c>
      <c r="N108" s="76">
        <v>-241</v>
      </c>
      <c r="O108" s="77">
        <v>-695</v>
      </c>
      <c r="P108" s="77">
        <v>-510</v>
      </c>
      <c r="Q108" s="77">
        <v>-346</v>
      </c>
      <c r="R108" s="77">
        <f t="shared" si="406"/>
        <v>-592</v>
      </c>
      <c r="S108" s="76">
        <v>-592</v>
      </c>
      <c r="T108" s="77">
        <v>78</v>
      </c>
      <c r="U108" s="77">
        <v>621</v>
      </c>
      <c r="V108" s="77">
        <v>166</v>
      </c>
      <c r="W108" s="77">
        <f t="shared" si="407"/>
        <v>-244</v>
      </c>
      <c r="X108" s="76">
        <v>-244</v>
      </c>
      <c r="Y108" s="77">
        <v>-231</v>
      </c>
      <c r="Z108" s="77">
        <v>-761</v>
      </c>
      <c r="AA108" s="77">
        <v>-358</v>
      </c>
      <c r="AB108" s="77">
        <f t="shared" si="408"/>
        <v>-392</v>
      </c>
      <c r="AC108" s="76">
        <v>-392</v>
      </c>
      <c r="AD108" s="77">
        <v>197</v>
      </c>
      <c r="AE108" s="77">
        <v>-129</v>
      </c>
      <c r="AF108" s="77">
        <v>-145</v>
      </c>
      <c r="AG108" s="77">
        <f t="shared" si="409"/>
        <v>564</v>
      </c>
      <c r="AH108" s="76">
        <v>564</v>
      </c>
      <c r="AI108" s="77">
        <v>-869</v>
      </c>
      <c r="AJ108" s="77">
        <v>-1215</v>
      </c>
      <c r="AK108" s="77">
        <v>-818</v>
      </c>
      <c r="AL108" s="77">
        <v>-391</v>
      </c>
      <c r="AM108" s="76">
        <f t="shared" si="410"/>
        <v>-391</v>
      </c>
      <c r="AN108" s="77">
        <v>-572</v>
      </c>
      <c r="AO108" s="77">
        <v>-827</v>
      </c>
      <c r="AP108" s="77">
        <v>-701</v>
      </c>
      <c r="AQ108" s="77">
        <v>8</v>
      </c>
      <c r="AR108" s="76">
        <f t="shared" si="411"/>
        <v>8</v>
      </c>
      <c r="AS108" s="77">
        <v>-633</v>
      </c>
      <c r="AT108" s="77">
        <v>-747</v>
      </c>
      <c r="AU108" s="86">
        <v>-911</v>
      </c>
      <c r="AV108" s="77">
        <v>-292</v>
      </c>
      <c r="AW108" s="76">
        <f t="shared" si="412"/>
        <v>-292</v>
      </c>
      <c r="AX108" s="77">
        <v>-729</v>
      </c>
      <c r="AY108" s="77">
        <v>-310</v>
      </c>
      <c r="AZ108" s="77">
        <v>150</v>
      </c>
      <c r="BA108" s="77">
        <v>-27</v>
      </c>
      <c r="BB108" s="76">
        <f t="shared" si="413"/>
        <v>-27</v>
      </c>
      <c r="BC108" s="77">
        <v>-437</v>
      </c>
      <c r="BD108" s="77">
        <v>-550</v>
      </c>
      <c r="BE108" s="77">
        <v>-1006</v>
      </c>
      <c r="BF108" s="77">
        <v>-879</v>
      </c>
      <c r="BG108" s="76">
        <f t="shared" si="414"/>
        <v>-879</v>
      </c>
      <c r="BH108" s="77">
        <v>-792</v>
      </c>
      <c r="BI108" s="594">
        <v>-1286</v>
      </c>
      <c r="BJ108" s="77">
        <v>-1385</v>
      </c>
      <c r="BK108" s="77">
        <v>-1328</v>
      </c>
      <c r="BL108" s="76">
        <f t="shared" si="415"/>
        <v>-1328</v>
      </c>
      <c r="BM108" s="77">
        <v>-389</v>
      </c>
      <c r="BN108" s="594">
        <v>-313</v>
      </c>
      <c r="BO108" s="77">
        <v>-1202</v>
      </c>
      <c r="BP108" s="77">
        <v>-1069</v>
      </c>
      <c r="BQ108" s="76">
        <f t="shared" si="416"/>
        <v>-1069</v>
      </c>
      <c r="BR108" s="77">
        <v>-1002</v>
      </c>
      <c r="BS108" s="594">
        <v>-503</v>
      </c>
      <c r="BT108" s="77">
        <v>-517</v>
      </c>
      <c r="BU108" s="77">
        <v>112</v>
      </c>
      <c r="BV108" s="76">
        <f t="shared" si="417"/>
        <v>112</v>
      </c>
      <c r="BW108" s="77">
        <v>-769</v>
      </c>
      <c r="BX108" s="594">
        <v>-912</v>
      </c>
      <c r="BY108" s="77">
        <v>-1983</v>
      </c>
      <c r="BZ108" s="77">
        <v>-1821</v>
      </c>
      <c r="CA108" s="76">
        <f t="shared" si="418"/>
        <v>-1821</v>
      </c>
      <c r="CB108" s="16">
        <f>92</f>
        <v>92</v>
      </c>
      <c r="CC108" s="594">
        <v>62</v>
      </c>
      <c r="CD108" s="77">
        <v>10</v>
      </c>
      <c r="CE108" s="77">
        <v>-795</v>
      </c>
      <c r="CF108" s="76">
        <f t="shared" si="419"/>
        <v>-795</v>
      </c>
      <c r="CG108" s="594">
        <v>206</v>
      </c>
      <c r="CH108" s="594">
        <v>588</v>
      </c>
      <c r="CI108" s="594">
        <v>315</v>
      </c>
      <c r="CJ108" s="594">
        <v>603</v>
      </c>
      <c r="CK108" s="76">
        <f t="shared" si="420"/>
        <v>603</v>
      </c>
      <c r="CL108" s="77">
        <v>-54</v>
      </c>
      <c r="CM108" s="77">
        <v>143</v>
      </c>
      <c r="CN108" s="77">
        <v>125</v>
      </c>
      <c r="CO108" s="77">
        <v>909</v>
      </c>
      <c r="CP108" s="76">
        <f t="shared" si="421"/>
        <v>909</v>
      </c>
      <c r="CQ108" s="77">
        <v>-394</v>
      </c>
      <c r="CR108" s="77">
        <v>-523</v>
      </c>
      <c r="CS108" s="77">
        <v>-280</v>
      </c>
      <c r="CT108" s="77">
        <v>-713</v>
      </c>
      <c r="CU108" s="76">
        <f t="shared" si="422"/>
        <v>-713</v>
      </c>
      <c r="CV108" s="77">
        <v>237</v>
      </c>
      <c r="CW108" s="77">
        <v>-350</v>
      </c>
      <c r="CX108" s="77">
        <v>-22</v>
      </c>
      <c r="CY108" s="77">
        <v>142</v>
      </c>
      <c r="CZ108" s="76">
        <f t="shared" si="423"/>
        <v>142</v>
      </c>
      <c r="DA108" s="77">
        <v>-341</v>
      </c>
      <c r="DB108" s="77">
        <v>-433</v>
      </c>
      <c r="DC108" s="77">
        <v>-523</v>
      </c>
      <c r="DD108" s="77">
        <f>-128</f>
        <v>-128</v>
      </c>
      <c r="DE108" s="76">
        <f t="shared" si="424"/>
        <v>-128</v>
      </c>
      <c r="DF108" s="77">
        <v>-328</v>
      </c>
      <c r="DG108" s="16">
        <v>-522</v>
      </c>
      <c r="DH108" s="593">
        <v>-275</v>
      </c>
      <c r="DI108" s="1074">
        <v>-37</v>
      </c>
      <c r="DJ108" s="76">
        <f t="shared" ref="DJ108" si="437">DI108</f>
        <v>-37</v>
      </c>
      <c r="DK108" s="1074">
        <v>-570</v>
      </c>
      <c r="DL108" s="1074">
        <v>-683</v>
      </c>
      <c r="DM108" s="1074">
        <v>-836</v>
      </c>
      <c r="DN108" s="1074">
        <v>-95</v>
      </c>
      <c r="DO108" s="76">
        <f t="shared" ref="DO108" si="438">DN108</f>
        <v>-95</v>
      </c>
      <c r="DP108" s="1074">
        <v>-509</v>
      </c>
      <c r="DQ108" s="1086">
        <v>-553</v>
      </c>
      <c r="DS108" s="77"/>
      <c r="DT108" s="93"/>
      <c r="DU108" s="1074"/>
      <c r="DX108" s="77"/>
      <c r="DY108" s="93"/>
      <c r="DZ108" s="93"/>
      <c r="EA108" s="93"/>
      <c r="EB108" s="93"/>
    </row>
    <row r="109" spans="1:132" s="105" customFormat="1" ht="12" customHeight="1">
      <c r="A109" s="68"/>
      <c r="B109" s="536" t="s">
        <v>593</v>
      </c>
      <c r="C109" s="76"/>
      <c r="D109" s="76"/>
      <c r="E109" s="76"/>
      <c r="F109" s="76"/>
      <c r="G109" s="76"/>
      <c r="H109" s="76"/>
      <c r="I109" s="76"/>
      <c r="J109" s="77"/>
      <c r="K109" s="77"/>
      <c r="L109" s="77"/>
      <c r="M109" s="77"/>
      <c r="N109" s="76"/>
      <c r="O109" s="77"/>
      <c r="P109" s="77"/>
      <c r="Q109" s="77"/>
      <c r="R109" s="77"/>
      <c r="S109" s="76"/>
      <c r="T109" s="77"/>
      <c r="U109" s="77"/>
      <c r="V109" s="77"/>
      <c r="W109" s="77"/>
      <c r="X109" s="76"/>
      <c r="Y109" s="77"/>
      <c r="Z109" s="77"/>
      <c r="AA109" s="77"/>
      <c r="AB109" s="77"/>
      <c r="AC109" s="76"/>
      <c r="AD109" s="77"/>
      <c r="AE109" s="77"/>
      <c r="AF109" s="77"/>
      <c r="AG109" s="77"/>
      <c r="AH109" s="76"/>
      <c r="AI109" s="77"/>
      <c r="AJ109" s="77"/>
      <c r="AK109" s="77"/>
      <c r="AL109" s="77"/>
      <c r="AM109" s="76"/>
      <c r="AN109" s="77"/>
      <c r="AO109" s="77"/>
      <c r="AP109" s="77"/>
      <c r="AQ109" s="77"/>
      <c r="AR109" s="76"/>
      <c r="AS109" s="77"/>
      <c r="AT109" s="77"/>
      <c r="AU109" s="86"/>
      <c r="AV109" s="77"/>
      <c r="AW109" s="76"/>
      <c r="AX109" s="77"/>
      <c r="AY109" s="77"/>
      <c r="AZ109" s="77"/>
      <c r="BA109" s="77"/>
      <c r="BB109" s="76"/>
      <c r="BC109" s="77"/>
      <c r="BD109" s="77"/>
      <c r="BE109" s="77"/>
      <c r="BF109" s="77"/>
      <c r="BG109" s="76"/>
      <c r="BH109" s="77"/>
      <c r="BI109" s="594"/>
      <c r="BJ109" s="77"/>
      <c r="BK109" s="77"/>
      <c r="BL109" s="76"/>
      <c r="BM109" s="77"/>
      <c r="BN109" s="594"/>
      <c r="BO109" s="77"/>
      <c r="BP109" s="77"/>
      <c r="BQ109" s="76"/>
      <c r="BR109" s="77"/>
      <c r="BS109" s="594"/>
      <c r="BT109" s="77"/>
      <c r="BU109" s="77"/>
      <c r="BV109" s="76"/>
      <c r="BW109" s="77"/>
      <c r="BX109" s="594"/>
      <c r="BY109" s="77"/>
      <c r="BZ109" s="77"/>
      <c r="CA109" s="76"/>
      <c r="CB109" s="16">
        <f>-1628</f>
        <v>-1628</v>
      </c>
      <c r="CC109" s="594">
        <v>-1675</v>
      </c>
      <c r="CD109" s="77">
        <v>-1732</v>
      </c>
      <c r="CE109" s="77">
        <v>-1826</v>
      </c>
      <c r="CF109" s="76">
        <f>+CE109</f>
        <v>-1826</v>
      </c>
      <c r="CG109" s="594">
        <v>-183</v>
      </c>
      <c r="CH109" s="594">
        <v>-222</v>
      </c>
      <c r="CI109" s="594">
        <v>-1053</v>
      </c>
      <c r="CJ109" s="594">
        <v>982</v>
      </c>
      <c r="CK109" s="76">
        <f>+CJ109</f>
        <v>982</v>
      </c>
      <c r="CL109" s="77">
        <v>-402</v>
      </c>
      <c r="CM109" s="77">
        <v>285</v>
      </c>
      <c r="CN109" s="77">
        <v>56</v>
      </c>
      <c r="CO109" s="77">
        <v>919</v>
      </c>
      <c r="CP109" s="76">
        <f>+CO109</f>
        <v>919</v>
      </c>
      <c r="CQ109" s="77">
        <v>-790</v>
      </c>
      <c r="CR109" s="77">
        <v>-1207</v>
      </c>
      <c r="CS109" s="77">
        <v>-2010</v>
      </c>
      <c r="CT109" s="77">
        <v>-586</v>
      </c>
      <c r="CU109" s="76">
        <f>+CT109</f>
        <v>-586</v>
      </c>
      <c r="CV109" s="77">
        <v>-356</v>
      </c>
      <c r="CW109" s="77">
        <v>-758</v>
      </c>
      <c r="CX109" s="77">
        <v>-678</v>
      </c>
      <c r="CY109" s="77">
        <v>6</v>
      </c>
      <c r="CZ109" s="76">
        <f>+CY109</f>
        <v>6</v>
      </c>
      <c r="DA109" s="77">
        <v>-1055</v>
      </c>
      <c r="DB109" s="77">
        <v>-721</v>
      </c>
      <c r="DC109" s="77">
        <v>-547</v>
      </c>
      <c r="DD109" s="77">
        <v>321</v>
      </c>
      <c r="DE109" s="76">
        <f>+DD109</f>
        <v>321</v>
      </c>
      <c r="DF109" s="77">
        <v>-1357</v>
      </c>
      <c r="DG109" s="16">
        <v>-1345</v>
      </c>
      <c r="DH109" s="593">
        <v>-1042</v>
      </c>
      <c r="DI109" s="1074">
        <v>-60</v>
      </c>
      <c r="DJ109" s="76">
        <f>+DI109</f>
        <v>-60</v>
      </c>
      <c r="DK109" s="1074">
        <v>-671</v>
      </c>
      <c r="DL109" s="1074">
        <v>-908</v>
      </c>
      <c r="DM109" s="1074">
        <v>-679</v>
      </c>
      <c r="DN109" s="1074">
        <v>-677</v>
      </c>
      <c r="DO109" s="76">
        <f>+DN109</f>
        <v>-677</v>
      </c>
      <c r="DP109" s="1074">
        <v>-635</v>
      </c>
      <c r="DQ109" s="1086">
        <v>-504</v>
      </c>
      <c r="DS109" s="77"/>
      <c r="DT109" s="93"/>
      <c r="DU109" s="1074"/>
      <c r="DX109" s="77"/>
      <c r="DY109" s="93"/>
      <c r="DZ109" s="93"/>
      <c r="EA109" s="93"/>
      <c r="EB109" s="93"/>
    </row>
    <row r="110" spans="1:132" s="105" customFormat="1" ht="12" customHeight="1">
      <c r="A110" s="68"/>
      <c r="B110" s="157" t="s">
        <v>65</v>
      </c>
      <c r="C110" s="76">
        <v>-139</v>
      </c>
      <c r="D110" s="76">
        <v>-324</v>
      </c>
      <c r="E110" s="76">
        <v>-36</v>
      </c>
      <c r="F110" s="76">
        <v>1387</v>
      </c>
      <c r="G110" s="76">
        <v>789</v>
      </c>
      <c r="H110" s="76">
        <v>-898</v>
      </c>
      <c r="I110" s="76">
        <v>341</v>
      </c>
      <c r="J110" s="77">
        <v>241</v>
      </c>
      <c r="K110" s="77">
        <v>9</v>
      </c>
      <c r="L110" s="77">
        <v>440</v>
      </c>
      <c r="M110" s="77">
        <f>N110</f>
        <v>659</v>
      </c>
      <c r="N110" s="76">
        <v>659</v>
      </c>
      <c r="O110" s="77">
        <v>101</v>
      </c>
      <c r="P110" s="77">
        <v>505</v>
      </c>
      <c r="Q110" s="77">
        <v>1501</v>
      </c>
      <c r="R110" s="77">
        <f>S110</f>
        <v>3562</v>
      </c>
      <c r="S110" s="76">
        <v>3562</v>
      </c>
      <c r="T110" s="77">
        <v>88</v>
      </c>
      <c r="U110" s="77">
        <v>338</v>
      </c>
      <c r="V110" s="77">
        <v>656</v>
      </c>
      <c r="W110" s="77">
        <f>X110</f>
        <v>1739</v>
      </c>
      <c r="X110" s="76">
        <v>1739</v>
      </c>
      <c r="Y110" s="77">
        <v>-330</v>
      </c>
      <c r="Z110" s="77">
        <v>68</v>
      </c>
      <c r="AA110" s="77">
        <v>747</v>
      </c>
      <c r="AB110" s="77">
        <f>AC110</f>
        <v>2369</v>
      </c>
      <c r="AC110" s="76">
        <v>2369</v>
      </c>
      <c r="AD110" s="77">
        <v>113</v>
      </c>
      <c r="AE110" s="77">
        <v>-1166</v>
      </c>
      <c r="AF110" s="77">
        <v>-2061</v>
      </c>
      <c r="AG110" s="77">
        <f>AH110</f>
        <v>-1120</v>
      </c>
      <c r="AH110" s="76">
        <v>-1120</v>
      </c>
      <c r="AI110" s="77">
        <v>-1210</v>
      </c>
      <c r="AJ110" s="77">
        <v>-1030</v>
      </c>
      <c r="AK110" s="77">
        <v>-961</v>
      </c>
      <c r="AL110" s="77">
        <v>-680</v>
      </c>
      <c r="AM110" s="76">
        <f>AL110</f>
        <v>-680</v>
      </c>
      <c r="AN110" s="77">
        <v>-221</v>
      </c>
      <c r="AO110" s="77">
        <v>-66</v>
      </c>
      <c r="AP110" s="77">
        <v>-303</v>
      </c>
      <c r="AQ110" s="77">
        <v>238</v>
      </c>
      <c r="AR110" s="76">
        <f>AQ110</f>
        <v>238</v>
      </c>
      <c r="AS110" s="77">
        <v>40</v>
      </c>
      <c r="AT110" s="77">
        <v>626</v>
      </c>
      <c r="AU110" s="86">
        <v>1996</v>
      </c>
      <c r="AV110" s="77">
        <v>3173</v>
      </c>
      <c r="AW110" s="76">
        <f>AV110</f>
        <v>3173</v>
      </c>
      <c r="AX110" s="77">
        <v>-160</v>
      </c>
      <c r="AY110" s="77">
        <v>-152</v>
      </c>
      <c r="AZ110" s="77">
        <v>123</v>
      </c>
      <c r="BA110" s="77">
        <v>1177</v>
      </c>
      <c r="BB110" s="76">
        <f>BA110</f>
        <v>1177</v>
      </c>
      <c r="BC110" s="77">
        <v>1833</v>
      </c>
      <c r="BD110" s="77">
        <v>1472</v>
      </c>
      <c r="BE110" s="77">
        <v>3543</v>
      </c>
      <c r="BF110" s="77">
        <v>3353</v>
      </c>
      <c r="BG110" s="76">
        <f>BF110</f>
        <v>3353</v>
      </c>
      <c r="BH110" s="77">
        <v>1085</v>
      </c>
      <c r="BI110" s="693">
        <v>1217</v>
      </c>
      <c r="BJ110" s="77">
        <v>1100</v>
      </c>
      <c r="BK110" s="77">
        <v>3145</v>
      </c>
      <c r="BL110" s="76">
        <f>BK110</f>
        <v>3145</v>
      </c>
      <c r="BM110" s="77">
        <v>-422</v>
      </c>
      <c r="BN110" s="693">
        <v>195</v>
      </c>
      <c r="BO110" s="77">
        <v>270</v>
      </c>
      <c r="BP110" s="77">
        <v>1192</v>
      </c>
      <c r="BQ110" s="76">
        <f>BP110</f>
        <v>1192</v>
      </c>
      <c r="BR110" s="77">
        <v>-435</v>
      </c>
      <c r="BS110" s="693">
        <v>-954</v>
      </c>
      <c r="BT110" s="77">
        <v>-1717</v>
      </c>
      <c r="BU110" s="77">
        <v>-493</v>
      </c>
      <c r="BV110" s="76">
        <f>BU110</f>
        <v>-493</v>
      </c>
      <c r="BW110" s="77">
        <v>249</v>
      </c>
      <c r="BX110" s="693">
        <v>1934</v>
      </c>
      <c r="BY110" s="77">
        <v>2828</v>
      </c>
      <c r="BZ110" s="77">
        <v>3570</v>
      </c>
      <c r="CA110" s="76">
        <f>BZ110</f>
        <v>3570</v>
      </c>
      <c r="CB110" s="77">
        <v>1917</v>
      </c>
      <c r="CC110" s="693">
        <v>2931</v>
      </c>
      <c r="CD110" s="77">
        <v>3457</v>
      </c>
      <c r="CE110" s="77">
        <v>2636</v>
      </c>
      <c r="CF110" s="76">
        <f>CE110</f>
        <v>2636</v>
      </c>
      <c r="CG110" s="693">
        <v>1857</v>
      </c>
      <c r="CH110" s="693">
        <v>1842</v>
      </c>
      <c r="CI110" s="693">
        <v>2355</v>
      </c>
      <c r="CJ110" s="693">
        <v>737</v>
      </c>
      <c r="CK110" s="76">
        <f>CJ110</f>
        <v>737</v>
      </c>
      <c r="CL110" s="77">
        <v>1337</v>
      </c>
      <c r="CM110" s="77">
        <v>1822</v>
      </c>
      <c r="CN110" s="77">
        <v>428</v>
      </c>
      <c r="CO110" s="77">
        <v>-1060</v>
      </c>
      <c r="CP110" s="76">
        <f>CO110</f>
        <v>-1060</v>
      </c>
      <c r="CQ110" s="77">
        <v>421</v>
      </c>
      <c r="CR110" s="77">
        <v>251</v>
      </c>
      <c r="CS110" s="77">
        <v>781</v>
      </c>
      <c r="CT110" s="77">
        <v>2505</v>
      </c>
      <c r="CU110" s="76">
        <f>CT110</f>
        <v>2505</v>
      </c>
      <c r="CV110" s="77">
        <v>-522</v>
      </c>
      <c r="CW110" s="77">
        <v>-907</v>
      </c>
      <c r="CX110" s="77">
        <v>204</v>
      </c>
      <c r="CY110" s="77">
        <v>108</v>
      </c>
      <c r="CZ110" s="76">
        <f>CY110</f>
        <v>108</v>
      </c>
      <c r="DA110" s="77">
        <v>1417</v>
      </c>
      <c r="DB110" s="77">
        <v>2228</v>
      </c>
      <c r="DC110" s="77">
        <v>2963</v>
      </c>
      <c r="DD110" s="77">
        <v>3365</v>
      </c>
      <c r="DE110" s="76">
        <f>DD110</f>
        <v>3365</v>
      </c>
      <c r="DF110" s="77">
        <v>2718</v>
      </c>
      <c r="DG110" s="16">
        <v>1886</v>
      </c>
      <c r="DH110" s="593">
        <v>1666</v>
      </c>
      <c r="DI110" s="1074">
        <v>4069</v>
      </c>
      <c r="DJ110" s="76">
        <f>DI110</f>
        <v>4069</v>
      </c>
      <c r="DK110" s="1074">
        <v>781</v>
      </c>
      <c r="DL110" s="1074">
        <v>-616</v>
      </c>
      <c r="DM110" s="1074">
        <v>-2065</v>
      </c>
      <c r="DN110" s="1074">
        <v>-723</v>
      </c>
      <c r="DO110" s="76">
        <f>DN110</f>
        <v>-723</v>
      </c>
      <c r="DP110" s="1074">
        <v>3181</v>
      </c>
      <c r="DQ110" s="1086">
        <v>4660</v>
      </c>
      <c r="DS110" s="77"/>
      <c r="DT110" s="93"/>
      <c r="DU110" s="1074"/>
      <c r="DX110" s="77"/>
      <c r="DY110" s="93"/>
      <c r="DZ110" s="93"/>
      <c r="EA110" s="93"/>
      <c r="EB110" s="93"/>
    </row>
    <row r="111" spans="1:132" s="105" customFormat="1" ht="12" customHeight="1">
      <c r="A111" s="68"/>
      <c r="B111" s="157" t="s">
        <v>53</v>
      </c>
      <c r="C111" s="76">
        <v>-1008</v>
      </c>
      <c r="D111" s="76">
        <v>618</v>
      </c>
      <c r="E111" s="76">
        <v>2030</v>
      </c>
      <c r="F111" s="76">
        <v>1097</v>
      </c>
      <c r="G111" s="76">
        <v>-19</v>
      </c>
      <c r="H111" s="76">
        <v>1510</v>
      </c>
      <c r="I111" s="76">
        <v>351</v>
      </c>
      <c r="J111" s="77">
        <v>-512</v>
      </c>
      <c r="K111" s="77">
        <v>276</v>
      </c>
      <c r="L111" s="77">
        <v>80</v>
      </c>
      <c r="M111" s="77">
        <f t="shared" si="405"/>
        <v>611</v>
      </c>
      <c r="N111" s="76">
        <v>611</v>
      </c>
      <c r="O111" s="77">
        <v>383</v>
      </c>
      <c r="P111" s="77">
        <v>454</v>
      </c>
      <c r="Q111" s="77">
        <v>-1050</v>
      </c>
      <c r="R111" s="77">
        <f t="shared" si="406"/>
        <v>-1965</v>
      </c>
      <c r="S111" s="76">
        <v>-1965</v>
      </c>
      <c r="T111" s="77">
        <v>387</v>
      </c>
      <c r="U111" s="77">
        <v>678</v>
      </c>
      <c r="V111" s="77">
        <v>520</v>
      </c>
      <c r="W111" s="77">
        <f t="shared" si="407"/>
        <v>444</v>
      </c>
      <c r="X111" s="76">
        <v>444</v>
      </c>
      <c r="Y111" s="77">
        <v>-298</v>
      </c>
      <c r="Z111" s="77">
        <v>-380</v>
      </c>
      <c r="AA111" s="77">
        <v>-100</v>
      </c>
      <c r="AB111" s="77">
        <f t="shared" si="408"/>
        <v>-1558</v>
      </c>
      <c r="AC111" s="76">
        <v>-1558</v>
      </c>
      <c r="AD111" s="77">
        <v>-604</v>
      </c>
      <c r="AE111" s="77">
        <v>-649</v>
      </c>
      <c r="AF111" s="77">
        <v>-1670</v>
      </c>
      <c r="AG111" s="77">
        <f t="shared" si="409"/>
        <v>-6168</v>
      </c>
      <c r="AH111" s="76">
        <v>-6168</v>
      </c>
      <c r="AI111" s="77">
        <v>-82</v>
      </c>
      <c r="AJ111" s="77">
        <v>-1593</v>
      </c>
      <c r="AK111" s="77">
        <v>-582</v>
      </c>
      <c r="AL111" s="77">
        <v>-1525</v>
      </c>
      <c r="AM111" s="76">
        <f t="shared" si="410"/>
        <v>-1525</v>
      </c>
      <c r="AN111" s="77">
        <v>-1833</v>
      </c>
      <c r="AO111" s="77">
        <v>-3425</v>
      </c>
      <c r="AP111" s="77">
        <v>-4686</v>
      </c>
      <c r="AQ111" s="77">
        <v>-7387</v>
      </c>
      <c r="AR111" s="76">
        <f t="shared" si="411"/>
        <v>-7387</v>
      </c>
      <c r="AS111" s="77">
        <v>-2622</v>
      </c>
      <c r="AT111" s="77">
        <v>-4889</v>
      </c>
      <c r="AU111" s="86">
        <v>-8245</v>
      </c>
      <c r="AV111" s="77">
        <v>-10012</v>
      </c>
      <c r="AW111" s="76">
        <f t="shared" si="412"/>
        <v>-10012</v>
      </c>
      <c r="AX111" s="77">
        <v>-497</v>
      </c>
      <c r="AY111" s="77">
        <v>-2737</v>
      </c>
      <c r="AZ111" s="77">
        <v>-4588</v>
      </c>
      <c r="BA111" s="77">
        <v>-5681</v>
      </c>
      <c r="BB111" s="76">
        <f t="shared" si="413"/>
        <v>-5681</v>
      </c>
      <c r="BC111" s="77">
        <v>-3000</v>
      </c>
      <c r="BD111" s="77">
        <v>-2614</v>
      </c>
      <c r="BE111" s="77">
        <v>-3631</v>
      </c>
      <c r="BF111" s="77">
        <v>-5562</v>
      </c>
      <c r="BG111" s="76">
        <f t="shared" si="414"/>
        <v>-5562</v>
      </c>
      <c r="BH111" s="77">
        <v>-2049</v>
      </c>
      <c r="BI111" s="693">
        <v>-3402</v>
      </c>
      <c r="BJ111" s="77">
        <v>-4425</v>
      </c>
      <c r="BK111" s="77">
        <v>-4330</v>
      </c>
      <c r="BL111" s="76">
        <f t="shared" si="415"/>
        <v>-4330</v>
      </c>
      <c r="BM111" s="77">
        <v>-1822</v>
      </c>
      <c r="BN111" s="693">
        <v>-2395</v>
      </c>
      <c r="BO111" s="77">
        <v>-2186</v>
      </c>
      <c r="BP111" s="77">
        <v>-1110</v>
      </c>
      <c r="BQ111" s="76">
        <f t="shared" si="416"/>
        <v>-1110</v>
      </c>
      <c r="BR111" s="77">
        <v>-56</v>
      </c>
      <c r="BS111" s="693">
        <v>3004</v>
      </c>
      <c r="BT111" s="77">
        <v>4334</v>
      </c>
      <c r="BU111" s="77">
        <v>3755</v>
      </c>
      <c r="BV111" s="76">
        <f t="shared" si="417"/>
        <v>3755</v>
      </c>
      <c r="BW111" s="77">
        <v>-31</v>
      </c>
      <c r="BX111" s="693">
        <v>877</v>
      </c>
      <c r="BY111" s="77">
        <v>254</v>
      </c>
      <c r="BZ111" s="77">
        <v>-1085</v>
      </c>
      <c r="CA111" s="76">
        <f t="shared" si="418"/>
        <v>-1085</v>
      </c>
      <c r="CB111" s="77">
        <v>283</v>
      </c>
      <c r="CC111" s="693">
        <v>408</v>
      </c>
      <c r="CD111" s="77">
        <v>-173</v>
      </c>
      <c r="CE111" s="77">
        <v>568</v>
      </c>
      <c r="CF111" s="76">
        <f t="shared" si="419"/>
        <v>568</v>
      </c>
      <c r="CG111" s="693">
        <v>-2725</v>
      </c>
      <c r="CH111" s="693">
        <v>-5233</v>
      </c>
      <c r="CI111" s="693">
        <v>-9565</v>
      </c>
      <c r="CJ111" s="693">
        <v>-12391</v>
      </c>
      <c r="CK111" s="76">
        <f t="shared" si="420"/>
        <v>-12391</v>
      </c>
      <c r="CL111" s="77">
        <v>-2973</v>
      </c>
      <c r="CM111" s="77">
        <v>-6741</v>
      </c>
      <c r="CN111" s="77">
        <v>-9653</v>
      </c>
      <c r="CO111" s="77">
        <v>-11002</v>
      </c>
      <c r="CP111" s="76">
        <f t="shared" si="421"/>
        <v>-11002</v>
      </c>
      <c r="CQ111" s="77">
        <v>-680</v>
      </c>
      <c r="CR111" s="77">
        <v>413</v>
      </c>
      <c r="CS111" s="77">
        <v>508</v>
      </c>
      <c r="CT111" s="77">
        <v>-1127</v>
      </c>
      <c r="CU111" s="76">
        <f t="shared" si="422"/>
        <v>-1127</v>
      </c>
      <c r="CV111" s="77">
        <v>-1203</v>
      </c>
      <c r="CW111" s="77">
        <v>-1260</v>
      </c>
      <c r="CX111" s="77">
        <v>-1164</v>
      </c>
      <c r="CY111" s="77">
        <v>420</v>
      </c>
      <c r="CZ111" s="76">
        <f t="shared" si="423"/>
        <v>420</v>
      </c>
      <c r="DA111" s="77">
        <v>-390</v>
      </c>
      <c r="DB111" s="77">
        <v>-241</v>
      </c>
      <c r="DC111" s="77">
        <v>-940</v>
      </c>
      <c r="DD111" s="77">
        <v>-1681</v>
      </c>
      <c r="DE111" s="76">
        <f t="shared" si="424"/>
        <v>-1681</v>
      </c>
      <c r="DF111" s="77">
        <v>-3778</v>
      </c>
      <c r="DG111" s="16">
        <v>-5937</v>
      </c>
      <c r="DH111" s="593">
        <v>-6854</v>
      </c>
      <c r="DI111" s="1074">
        <v>-12353</v>
      </c>
      <c r="DJ111" s="76">
        <f t="shared" ref="DJ111:DJ114" si="439">DI111</f>
        <v>-12353</v>
      </c>
      <c r="DK111" s="1074">
        <v>-1521</v>
      </c>
      <c r="DL111" s="1074">
        <v>-374</v>
      </c>
      <c r="DM111" s="1074">
        <v>-116</v>
      </c>
      <c r="DN111" s="1074">
        <v>-1501</v>
      </c>
      <c r="DO111" s="76">
        <f t="shared" ref="DO111:DO114" si="440">DN111</f>
        <v>-1501</v>
      </c>
      <c r="DP111" s="1074">
        <v>-2634</v>
      </c>
      <c r="DQ111" s="1086">
        <v>-3859</v>
      </c>
      <c r="DS111" s="77"/>
      <c r="DT111" s="93"/>
      <c r="DU111" s="1074"/>
      <c r="DX111" s="77"/>
      <c r="DY111" s="93"/>
      <c r="DZ111" s="93"/>
      <c r="EA111" s="93"/>
      <c r="EB111" s="93"/>
    </row>
    <row r="112" spans="1:132" s="105" customFormat="1" ht="12" customHeight="1">
      <c r="A112" s="68"/>
      <c r="B112" s="536" t="s">
        <v>263</v>
      </c>
      <c r="C112" s="76">
        <v>1490</v>
      </c>
      <c r="D112" s="76">
        <v>-806</v>
      </c>
      <c r="E112" s="76">
        <v>217</v>
      </c>
      <c r="F112" s="76">
        <v>-311</v>
      </c>
      <c r="G112" s="76">
        <v>490</v>
      </c>
      <c r="H112" s="76">
        <v>-823</v>
      </c>
      <c r="I112" s="76">
        <v>-147</v>
      </c>
      <c r="J112" s="77">
        <v>101</v>
      </c>
      <c r="K112" s="77">
        <v>435</v>
      </c>
      <c r="L112" s="77">
        <v>1367</v>
      </c>
      <c r="M112" s="77">
        <f t="shared" si="405"/>
        <v>862</v>
      </c>
      <c r="N112" s="76">
        <v>862</v>
      </c>
      <c r="O112" s="77">
        <v>496</v>
      </c>
      <c r="P112" s="77">
        <v>782</v>
      </c>
      <c r="Q112" s="77">
        <v>1521</v>
      </c>
      <c r="R112" s="77">
        <f t="shared" si="406"/>
        <v>1147</v>
      </c>
      <c r="S112" s="76">
        <v>1147</v>
      </c>
      <c r="T112" s="77">
        <v>271</v>
      </c>
      <c r="U112" s="77">
        <v>549</v>
      </c>
      <c r="V112" s="77">
        <v>-682</v>
      </c>
      <c r="W112" s="77">
        <f t="shared" si="407"/>
        <v>-744</v>
      </c>
      <c r="X112" s="76">
        <v>-744</v>
      </c>
      <c r="Y112" s="77">
        <v>98</v>
      </c>
      <c r="Z112" s="77">
        <v>842</v>
      </c>
      <c r="AA112" s="77">
        <v>470</v>
      </c>
      <c r="AB112" s="77">
        <f t="shared" si="408"/>
        <v>928</v>
      </c>
      <c r="AC112" s="76">
        <v>928</v>
      </c>
      <c r="AD112" s="77">
        <v>628</v>
      </c>
      <c r="AE112" s="77">
        <v>616</v>
      </c>
      <c r="AF112" s="77">
        <v>172</v>
      </c>
      <c r="AG112" s="77">
        <f t="shared" si="409"/>
        <v>872</v>
      </c>
      <c r="AH112" s="76">
        <v>872</v>
      </c>
      <c r="AI112" s="77">
        <v>475</v>
      </c>
      <c r="AJ112" s="77">
        <f>804</f>
        <v>804</v>
      </c>
      <c r="AK112" s="77">
        <f>1169</f>
        <v>1169</v>
      </c>
      <c r="AL112" s="77">
        <f>1141</f>
        <v>1141</v>
      </c>
      <c r="AM112" s="76">
        <f t="shared" si="410"/>
        <v>1141</v>
      </c>
      <c r="AN112" s="77">
        <f>225</f>
        <v>225</v>
      </c>
      <c r="AO112" s="77">
        <f>-129</f>
        <v>-129</v>
      </c>
      <c r="AP112" s="77">
        <f>235</f>
        <v>235</v>
      </c>
      <c r="AQ112" s="77">
        <f>313</f>
        <v>313</v>
      </c>
      <c r="AR112" s="76">
        <f t="shared" si="411"/>
        <v>313</v>
      </c>
      <c r="AS112" s="77">
        <f>969</f>
        <v>969</v>
      </c>
      <c r="AT112" s="77">
        <f>1134</f>
        <v>1134</v>
      </c>
      <c r="AU112" s="554">
        <f>1447</f>
        <v>1447</v>
      </c>
      <c r="AV112" s="77">
        <f>1164</f>
        <v>1164</v>
      </c>
      <c r="AW112" s="76">
        <f t="shared" si="412"/>
        <v>1164</v>
      </c>
      <c r="AX112" s="77">
        <f>506</f>
        <v>506</v>
      </c>
      <c r="AY112" s="77">
        <f>742</f>
        <v>742</v>
      </c>
      <c r="AZ112" s="77">
        <v>857</v>
      </c>
      <c r="BA112" s="77">
        <f>1199</f>
        <v>1199</v>
      </c>
      <c r="BB112" s="76">
        <f t="shared" si="413"/>
        <v>1199</v>
      </c>
      <c r="BC112" s="77">
        <f>654</f>
        <v>654</v>
      </c>
      <c r="BD112" s="77">
        <f>848</f>
        <v>848</v>
      </c>
      <c r="BE112" s="77">
        <f>943</f>
        <v>943</v>
      </c>
      <c r="BF112" s="77">
        <v>-298</v>
      </c>
      <c r="BG112" s="76">
        <f t="shared" si="414"/>
        <v>-298</v>
      </c>
      <c r="BH112" s="77">
        <f>1350</f>
        <v>1350</v>
      </c>
      <c r="BI112" s="693">
        <f>1783</f>
        <v>1783</v>
      </c>
      <c r="BJ112" s="77">
        <f>1819</f>
        <v>1819</v>
      </c>
      <c r="BK112" s="77">
        <f>1339</f>
        <v>1339</v>
      </c>
      <c r="BL112" s="76">
        <f t="shared" si="415"/>
        <v>1339</v>
      </c>
      <c r="BM112" s="16">
        <f>848</f>
        <v>848</v>
      </c>
      <c r="BN112" s="693">
        <f>888</f>
        <v>888</v>
      </c>
      <c r="BO112" s="16">
        <f>1058</f>
        <v>1058</v>
      </c>
      <c r="BP112" s="77">
        <f>-238</f>
        <v>-238</v>
      </c>
      <c r="BQ112" s="76">
        <f t="shared" si="416"/>
        <v>-238</v>
      </c>
      <c r="BR112" s="16">
        <f>960</f>
        <v>960</v>
      </c>
      <c r="BS112" s="693">
        <f>1221</f>
        <v>1221</v>
      </c>
      <c r="BT112" s="77">
        <v>1366</v>
      </c>
      <c r="BU112" s="77">
        <v>622</v>
      </c>
      <c r="BV112" s="76">
        <f t="shared" si="417"/>
        <v>622</v>
      </c>
      <c r="BW112" s="16">
        <v>616</v>
      </c>
      <c r="BX112" s="693">
        <v>419</v>
      </c>
      <c r="BY112" s="77">
        <v>778</v>
      </c>
      <c r="BZ112" s="77">
        <v>130</v>
      </c>
      <c r="CA112" s="76">
        <f t="shared" si="418"/>
        <v>130</v>
      </c>
      <c r="CB112" s="16">
        <v>591</v>
      </c>
      <c r="CC112" s="693">
        <v>682</v>
      </c>
      <c r="CD112" s="77">
        <v>1181</v>
      </c>
      <c r="CE112" s="77">
        <v>2</v>
      </c>
      <c r="CF112" s="76">
        <f t="shared" si="419"/>
        <v>2</v>
      </c>
      <c r="CG112" s="693">
        <v>1624</v>
      </c>
      <c r="CH112" s="693">
        <v>2002</v>
      </c>
      <c r="CI112" s="693">
        <v>1626</v>
      </c>
      <c r="CJ112" s="693">
        <v>1600</v>
      </c>
      <c r="CK112" s="76">
        <f t="shared" si="420"/>
        <v>1600</v>
      </c>
      <c r="CL112" s="77">
        <v>-1030</v>
      </c>
      <c r="CM112" s="77">
        <v>-3181</v>
      </c>
      <c r="CN112" s="77">
        <v>-3303</v>
      </c>
      <c r="CO112" s="77">
        <v>-5363</v>
      </c>
      <c r="CP112" s="76">
        <f t="shared" si="421"/>
        <v>-5363</v>
      </c>
      <c r="CQ112" s="77">
        <v>-819</v>
      </c>
      <c r="CR112" s="77">
        <v>-2035</v>
      </c>
      <c r="CS112" s="77">
        <v>-3565</v>
      </c>
      <c r="CT112" s="77">
        <v>-3783</v>
      </c>
      <c r="CU112" s="76">
        <f t="shared" si="422"/>
        <v>-3783</v>
      </c>
      <c r="CV112" s="77">
        <v>-369</v>
      </c>
      <c r="CW112" s="77">
        <v>395</v>
      </c>
      <c r="CX112" s="77">
        <v>590</v>
      </c>
      <c r="CY112" s="77">
        <v>838</v>
      </c>
      <c r="CZ112" s="76">
        <f t="shared" si="423"/>
        <v>838</v>
      </c>
      <c r="DA112" s="77">
        <v>231</v>
      </c>
      <c r="DB112" s="77">
        <v>852</v>
      </c>
      <c r="DC112" s="77">
        <v>982</v>
      </c>
      <c r="DD112" s="77">
        <v>1672</v>
      </c>
      <c r="DE112" s="76">
        <f t="shared" si="424"/>
        <v>1672</v>
      </c>
      <c r="DF112" s="77">
        <v>-264</v>
      </c>
      <c r="DG112" s="16">
        <v>-222</v>
      </c>
      <c r="DH112" s="593">
        <v>122</v>
      </c>
      <c r="DI112" s="1074">
        <v>-793</v>
      </c>
      <c r="DJ112" s="76">
        <f t="shared" si="439"/>
        <v>-793</v>
      </c>
      <c r="DK112" s="1074">
        <v>-95</v>
      </c>
      <c r="DL112" s="1074">
        <v>-46</v>
      </c>
      <c r="DM112" s="1074">
        <v>539</v>
      </c>
      <c r="DN112" s="1074">
        <v>724</v>
      </c>
      <c r="DO112" s="76">
        <f t="shared" si="440"/>
        <v>724</v>
      </c>
      <c r="DP112" s="1074">
        <v>1073</v>
      </c>
      <c r="DQ112" s="1086">
        <v>1381</v>
      </c>
      <c r="DS112" s="77"/>
      <c r="DT112" s="93"/>
      <c r="DU112" s="1074"/>
      <c r="DX112" s="77"/>
      <c r="DY112" s="93"/>
      <c r="DZ112" s="93"/>
      <c r="EA112" s="93"/>
      <c r="EB112" s="93"/>
    </row>
    <row r="113" spans="1:132" s="105" customFormat="1" ht="12" customHeight="1">
      <c r="A113" s="68"/>
      <c r="B113" s="536" t="s">
        <v>498</v>
      </c>
      <c r="C113" s="802"/>
      <c r="D113" s="802"/>
      <c r="E113" s="802"/>
      <c r="F113" s="802"/>
      <c r="G113" s="802"/>
      <c r="H113" s="802"/>
      <c r="I113" s="802"/>
      <c r="J113" s="77"/>
      <c r="K113" s="77"/>
      <c r="L113" s="77"/>
      <c r="M113" s="77"/>
      <c r="N113" s="802"/>
      <c r="O113" s="77"/>
      <c r="P113" s="77"/>
      <c r="Q113" s="77"/>
      <c r="R113" s="77"/>
      <c r="S113" s="802"/>
      <c r="T113" s="77"/>
      <c r="U113" s="77"/>
      <c r="V113" s="77"/>
      <c r="W113" s="77"/>
      <c r="X113" s="802"/>
      <c r="Y113" s="77"/>
      <c r="Z113" s="77"/>
      <c r="AA113" s="77"/>
      <c r="AB113" s="77"/>
      <c r="AC113" s="802"/>
      <c r="AD113" s="77"/>
      <c r="AE113" s="77"/>
      <c r="AF113" s="77"/>
      <c r="AG113" s="77"/>
      <c r="AH113" s="802"/>
      <c r="AI113" s="77"/>
      <c r="AJ113" s="77">
        <v>262</v>
      </c>
      <c r="AK113" s="77">
        <v>1091</v>
      </c>
      <c r="AL113" s="77">
        <v>1327</v>
      </c>
      <c r="AM113" s="76">
        <f t="shared" si="410"/>
        <v>1327</v>
      </c>
      <c r="AN113" s="77">
        <v>-136</v>
      </c>
      <c r="AO113" s="77">
        <v>266</v>
      </c>
      <c r="AP113" s="77">
        <v>397</v>
      </c>
      <c r="AQ113" s="77">
        <v>668</v>
      </c>
      <c r="AR113" s="76">
        <f t="shared" si="411"/>
        <v>668</v>
      </c>
      <c r="AS113" s="77">
        <v>-736</v>
      </c>
      <c r="AT113" s="77">
        <v>-268</v>
      </c>
      <c r="AU113" s="554">
        <v>-449</v>
      </c>
      <c r="AV113" s="77">
        <v>237</v>
      </c>
      <c r="AW113" s="76">
        <f t="shared" si="412"/>
        <v>237</v>
      </c>
      <c r="AX113" s="77">
        <v>-1032</v>
      </c>
      <c r="AY113" s="77">
        <v>-594</v>
      </c>
      <c r="AZ113" s="77">
        <v>-123</v>
      </c>
      <c r="BA113" s="77">
        <v>801</v>
      </c>
      <c r="BB113" s="76">
        <f t="shared" si="413"/>
        <v>801</v>
      </c>
      <c r="BC113" s="77">
        <v>-1133</v>
      </c>
      <c r="BD113" s="77">
        <v>-682</v>
      </c>
      <c r="BE113" s="77">
        <v>-338</v>
      </c>
      <c r="BF113" s="77">
        <v>883</v>
      </c>
      <c r="BG113" s="76">
        <f t="shared" si="414"/>
        <v>883</v>
      </c>
      <c r="BH113" s="77">
        <v>-1385</v>
      </c>
      <c r="BI113" s="693">
        <v>-913</v>
      </c>
      <c r="BJ113" s="77">
        <v>-1054</v>
      </c>
      <c r="BK113" s="77">
        <v>-1088</v>
      </c>
      <c r="BL113" s="76">
        <f t="shared" si="415"/>
        <v>-1088</v>
      </c>
      <c r="BM113" s="16">
        <v>-900</v>
      </c>
      <c r="BN113" s="693">
        <v>-177</v>
      </c>
      <c r="BO113" s="16">
        <v>-196</v>
      </c>
      <c r="BP113" s="77">
        <v>2</v>
      </c>
      <c r="BQ113" s="76">
        <f t="shared" si="416"/>
        <v>2</v>
      </c>
      <c r="BR113" s="16">
        <v>-467</v>
      </c>
      <c r="BS113" s="693">
        <v>-269</v>
      </c>
      <c r="BT113" s="77">
        <v>82</v>
      </c>
      <c r="BU113" s="77">
        <v>726</v>
      </c>
      <c r="BV113" s="76">
        <f t="shared" si="417"/>
        <v>726</v>
      </c>
      <c r="BW113" s="16">
        <v>-613</v>
      </c>
      <c r="BX113" s="693">
        <v>-680</v>
      </c>
      <c r="BY113" s="77">
        <v>112</v>
      </c>
      <c r="BZ113" s="77">
        <v>573</v>
      </c>
      <c r="CA113" s="76">
        <f t="shared" si="418"/>
        <v>573</v>
      </c>
      <c r="CB113" s="16">
        <v>-1337</v>
      </c>
      <c r="CC113" s="693">
        <v>-922</v>
      </c>
      <c r="CD113" s="77">
        <v>890</v>
      </c>
      <c r="CE113" s="77">
        <v>1117</v>
      </c>
      <c r="CF113" s="76">
        <f t="shared" si="419"/>
        <v>1117</v>
      </c>
      <c r="CG113" s="693">
        <v>-919</v>
      </c>
      <c r="CH113" s="693">
        <v>4959</v>
      </c>
      <c r="CI113" s="693">
        <v>5495</v>
      </c>
      <c r="CJ113" s="693">
        <v>7781</v>
      </c>
      <c r="CK113" s="76">
        <f t="shared" si="420"/>
        <v>7781</v>
      </c>
      <c r="CL113" s="77">
        <v>-583</v>
      </c>
      <c r="CM113" s="77">
        <v>514</v>
      </c>
      <c r="CN113" s="77">
        <v>967</v>
      </c>
      <c r="CO113" s="77">
        <v>1074</v>
      </c>
      <c r="CP113" s="76">
        <f t="shared" si="421"/>
        <v>1074</v>
      </c>
      <c r="CQ113" s="77">
        <v>-1615</v>
      </c>
      <c r="CR113" s="77">
        <v>-2613</v>
      </c>
      <c r="CS113" s="77">
        <v>-3168</v>
      </c>
      <c r="CT113" s="77">
        <v>-3687</v>
      </c>
      <c r="CU113" s="76">
        <f t="shared" si="422"/>
        <v>-3687</v>
      </c>
      <c r="CV113" s="77">
        <v>-594</v>
      </c>
      <c r="CW113" s="77">
        <v>-835</v>
      </c>
      <c r="CX113" s="77">
        <v>2416</v>
      </c>
      <c r="CY113" s="77">
        <v>2956</v>
      </c>
      <c r="CZ113" s="76">
        <f t="shared" si="423"/>
        <v>2956</v>
      </c>
      <c r="DA113" s="77">
        <v>-769</v>
      </c>
      <c r="DB113" s="77">
        <v>-399</v>
      </c>
      <c r="DC113" s="77">
        <v>-574</v>
      </c>
      <c r="DD113" s="77">
        <v>779</v>
      </c>
      <c r="DE113" s="76">
        <f t="shared" si="424"/>
        <v>779</v>
      </c>
      <c r="DF113" s="77">
        <v>-666</v>
      </c>
      <c r="DG113" s="16">
        <v>-443</v>
      </c>
      <c r="DH113" s="593">
        <v>327</v>
      </c>
      <c r="DI113" s="1074">
        <v>1563</v>
      </c>
      <c r="DJ113" s="76">
        <f t="shared" si="439"/>
        <v>1563</v>
      </c>
      <c r="DK113" s="1074">
        <v>-386</v>
      </c>
      <c r="DL113" s="1074">
        <v>-248</v>
      </c>
      <c r="DM113" s="1074">
        <v>574</v>
      </c>
      <c r="DN113" s="1074">
        <v>1341</v>
      </c>
      <c r="DO113" s="76">
        <f t="shared" si="440"/>
        <v>1341</v>
      </c>
      <c r="DP113" s="1074">
        <v>-1260</v>
      </c>
      <c r="DQ113" s="1086">
        <v>-1070</v>
      </c>
      <c r="DS113" s="77"/>
      <c r="DT113" s="803"/>
      <c r="DU113" s="1074"/>
      <c r="DX113" s="77"/>
      <c r="DY113" s="803"/>
      <c r="DZ113" s="803"/>
      <c r="EA113" s="803"/>
      <c r="EB113" s="803"/>
    </row>
    <row r="114" spans="1:132" s="105" customFormat="1" ht="12" customHeight="1">
      <c r="A114" s="68"/>
      <c r="B114" s="157" t="s">
        <v>91</v>
      </c>
      <c r="C114" s="76">
        <v>-451</v>
      </c>
      <c r="D114" s="76">
        <v>145</v>
      </c>
      <c r="E114" s="76">
        <v>462</v>
      </c>
      <c r="F114" s="76">
        <v>421</v>
      </c>
      <c r="G114" s="76">
        <v>-762</v>
      </c>
      <c r="H114" s="76">
        <v>905</v>
      </c>
      <c r="I114" s="76">
        <v>320</v>
      </c>
      <c r="J114" s="77">
        <v>380</v>
      </c>
      <c r="K114" s="77">
        <v>483</v>
      </c>
      <c r="L114" s="77">
        <v>1149</v>
      </c>
      <c r="M114" s="77">
        <f t="shared" si="405"/>
        <v>1086</v>
      </c>
      <c r="N114" s="76">
        <v>1086</v>
      </c>
      <c r="O114" s="77">
        <v>14</v>
      </c>
      <c r="P114" s="77">
        <v>298</v>
      </c>
      <c r="Q114" s="77">
        <v>548</v>
      </c>
      <c r="R114" s="77">
        <f t="shared" si="406"/>
        <v>628</v>
      </c>
      <c r="S114" s="76">
        <v>628</v>
      </c>
      <c r="T114" s="77">
        <v>310</v>
      </c>
      <c r="U114" s="77">
        <v>396</v>
      </c>
      <c r="V114" s="77">
        <v>757</v>
      </c>
      <c r="W114" s="77">
        <f t="shared" si="407"/>
        <v>933</v>
      </c>
      <c r="X114" s="76">
        <v>933</v>
      </c>
      <c r="Y114" s="77">
        <v>359</v>
      </c>
      <c r="Z114" s="77">
        <v>821</v>
      </c>
      <c r="AA114" s="77">
        <v>1195</v>
      </c>
      <c r="AB114" s="77">
        <f t="shared" si="408"/>
        <v>1290</v>
      </c>
      <c r="AC114" s="76">
        <v>1290</v>
      </c>
      <c r="AD114" s="77">
        <v>502</v>
      </c>
      <c r="AE114" s="77">
        <v>275</v>
      </c>
      <c r="AF114" s="77">
        <v>733</v>
      </c>
      <c r="AG114" s="77">
        <f t="shared" si="409"/>
        <v>744</v>
      </c>
      <c r="AH114" s="76">
        <v>744</v>
      </c>
      <c r="AI114" s="77">
        <v>534</v>
      </c>
      <c r="AJ114" s="77">
        <v>921</v>
      </c>
      <c r="AK114" s="77">
        <v>133</v>
      </c>
      <c r="AL114" s="77">
        <v>607</v>
      </c>
      <c r="AM114" s="76">
        <f t="shared" si="410"/>
        <v>607</v>
      </c>
      <c r="AN114" s="77">
        <v>429</v>
      </c>
      <c r="AO114" s="77">
        <v>760</v>
      </c>
      <c r="AP114" s="77">
        <v>1133</v>
      </c>
      <c r="AQ114" s="77">
        <v>822</v>
      </c>
      <c r="AR114" s="76">
        <f t="shared" si="411"/>
        <v>822</v>
      </c>
      <c r="AS114" s="77">
        <v>217</v>
      </c>
      <c r="AT114" s="77">
        <v>685</v>
      </c>
      <c r="AU114" s="86">
        <v>1314</v>
      </c>
      <c r="AV114" s="77">
        <v>1262</v>
      </c>
      <c r="AW114" s="76">
        <f t="shared" si="412"/>
        <v>1262</v>
      </c>
      <c r="AX114" s="77">
        <v>333</v>
      </c>
      <c r="AY114" s="77">
        <v>705</v>
      </c>
      <c r="AZ114" s="77">
        <v>1085</v>
      </c>
      <c r="BA114" s="77">
        <v>1605</v>
      </c>
      <c r="BB114" s="76">
        <f t="shared" si="413"/>
        <v>1605</v>
      </c>
      <c r="BC114" s="77">
        <v>214</v>
      </c>
      <c r="BD114" s="77">
        <v>608</v>
      </c>
      <c r="BE114" s="77">
        <v>1336</v>
      </c>
      <c r="BF114" s="77">
        <v>1445</v>
      </c>
      <c r="BG114" s="76">
        <f t="shared" si="414"/>
        <v>1445</v>
      </c>
      <c r="BH114" s="77">
        <v>455</v>
      </c>
      <c r="BI114" s="693">
        <v>394</v>
      </c>
      <c r="BJ114" s="77">
        <v>887</v>
      </c>
      <c r="BK114" s="77">
        <v>1325</v>
      </c>
      <c r="BL114" s="76">
        <f t="shared" si="415"/>
        <v>1325</v>
      </c>
      <c r="BM114" s="77">
        <v>443</v>
      </c>
      <c r="BN114" s="693">
        <v>482</v>
      </c>
      <c r="BO114" s="77">
        <v>824</v>
      </c>
      <c r="BP114" s="77">
        <v>477</v>
      </c>
      <c r="BQ114" s="76">
        <f t="shared" si="416"/>
        <v>477</v>
      </c>
      <c r="BR114" s="77">
        <v>273</v>
      </c>
      <c r="BS114" s="693">
        <v>-494</v>
      </c>
      <c r="BT114" s="77">
        <v>-725</v>
      </c>
      <c r="BU114" s="77">
        <v>-810</v>
      </c>
      <c r="BV114" s="76">
        <f t="shared" si="417"/>
        <v>-810</v>
      </c>
      <c r="BW114" s="77">
        <v>495</v>
      </c>
      <c r="BX114" s="693">
        <v>712</v>
      </c>
      <c r="BY114" s="77">
        <v>1465</v>
      </c>
      <c r="BZ114" s="77">
        <v>857</v>
      </c>
      <c r="CA114" s="76">
        <f t="shared" si="418"/>
        <v>857</v>
      </c>
      <c r="CB114" s="77">
        <v>348</v>
      </c>
      <c r="CC114" s="693">
        <v>269</v>
      </c>
      <c r="CD114" s="77">
        <v>-252</v>
      </c>
      <c r="CE114" s="77">
        <v>-180</v>
      </c>
      <c r="CF114" s="76">
        <f t="shared" si="419"/>
        <v>-180</v>
      </c>
      <c r="CG114" s="693">
        <v>116</v>
      </c>
      <c r="CH114" s="693">
        <v>-921</v>
      </c>
      <c r="CI114" s="693">
        <v>-989</v>
      </c>
      <c r="CJ114" s="693">
        <v>-2476</v>
      </c>
      <c r="CK114" s="76">
        <f t="shared" si="420"/>
        <v>-2476</v>
      </c>
      <c r="CL114" s="77">
        <v>-892</v>
      </c>
      <c r="CM114" s="77">
        <v>-1894</v>
      </c>
      <c r="CN114" s="77">
        <v>-2404</v>
      </c>
      <c r="CO114" s="77">
        <v>-2576</v>
      </c>
      <c r="CP114" s="76">
        <f t="shared" si="421"/>
        <v>-2576</v>
      </c>
      <c r="CQ114" s="77">
        <v>-34</v>
      </c>
      <c r="CR114" s="77">
        <v>-130</v>
      </c>
      <c r="CS114" s="77">
        <v>1011</v>
      </c>
      <c r="CT114" s="77">
        <v>733</v>
      </c>
      <c r="CU114" s="76">
        <f t="shared" si="422"/>
        <v>733</v>
      </c>
      <c r="CV114" s="77">
        <v>-403</v>
      </c>
      <c r="CW114" s="77">
        <v>-238</v>
      </c>
      <c r="CX114" s="77">
        <v>1382</v>
      </c>
      <c r="CY114" s="77">
        <v>1347</v>
      </c>
      <c r="CZ114" s="76">
        <f t="shared" si="423"/>
        <v>1347</v>
      </c>
      <c r="DA114" s="77">
        <v>-122</v>
      </c>
      <c r="DB114" s="77">
        <v>-424</v>
      </c>
      <c r="DC114" s="77">
        <v>73</v>
      </c>
      <c r="DD114" s="77">
        <v>44</v>
      </c>
      <c r="DE114" s="76">
        <f t="shared" si="424"/>
        <v>44</v>
      </c>
      <c r="DF114" s="77">
        <v>-59</v>
      </c>
      <c r="DG114" s="16">
        <v>-188</v>
      </c>
      <c r="DH114" s="593">
        <v>-282</v>
      </c>
      <c r="DI114" s="1074">
        <v>-567</v>
      </c>
      <c r="DJ114" s="76">
        <f t="shared" si="439"/>
        <v>-567</v>
      </c>
      <c r="DK114" s="1074">
        <v>26</v>
      </c>
      <c r="DL114" s="1074">
        <v>-3</v>
      </c>
      <c r="DM114" s="1074">
        <v>93</v>
      </c>
      <c r="DN114" s="1074">
        <v>115</v>
      </c>
      <c r="DO114" s="76">
        <f t="shared" si="440"/>
        <v>115</v>
      </c>
      <c r="DP114" s="1074">
        <v>-16</v>
      </c>
      <c r="DQ114" s="1086">
        <v>-20</v>
      </c>
      <c r="DS114" s="77"/>
      <c r="DT114" s="93"/>
      <c r="DU114" s="1074"/>
      <c r="DX114" s="77"/>
      <c r="DY114" s="93"/>
      <c r="DZ114" s="93"/>
      <c r="EA114" s="93"/>
      <c r="EB114" s="93"/>
    </row>
    <row r="115" spans="1:132" s="105" customFormat="1" ht="12" customHeight="1">
      <c r="A115" s="68"/>
      <c r="B115" s="157" t="s">
        <v>72</v>
      </c>
      <c r="C115" s="76">
        <v>0</v>
      </c>
      <c r="D115" s="76">
        <v>0</v>
      </c>
      <c r="E115" s="76">
        <v>0</v>
      </c>
      <c r="F115" s="76">
        <v>0</v>
      </c>
      <c r="G115" s="76">
        <v>0</v>
      </c>
      <c r="H115" s="76">
        <v>0</v>
      </c>
      <c r="I115" s="76">
        <v>0</v>
      </c>
      <c r="J115" s="77">
        <v>0</v>
      </c>
      <c r="K115" s="77">
        <v>-1</v>
      </c>
      <c r="L115" s="77">
        <v>-1</v>
      </c>
      <c r="M115" s="77">
        <f t="shared" si="405"/>
        <v>-1</v>
      </c>
      <c r="N115" s="76">
        <v>-1</v>
      </c>
      <c r="O115" s="77">
        <v>-30</v>
      </c>
      <c r="P115" s="77">
        <v>-426</v>
      </c>
      <c r="Q115" s="77">
        <f>-451+21-22</f>
        <v>-452</v>
      </c>
      <c r="R115" s="77">
        <f t="shared" si="406"/>
        <v>-476</v>
      </c>
      <c r="S115" s="76">
        <v>-476</v>
      </c>
      <c r="T115" s="77">
        <f>-17-5</f>
        <v>-22</v>
      </c>
      <c r="U115" s="77">
        <v>-16</v>
      </c>
      <c r="V115" s="77">
        <v>-45</v>
      </c>
      <c r="W115" s="77">
        <f t="shared" si="407"/>
        <v>-62</v>
      </c>
      <c r="X115" s="76">
        <v>-62</v>
      </c>
      <c r="Y115" s="77">
        <v>-3</v>
      </c>
      <c r="Z115" s="77">
        <v>-4</v>
      </c>
      <c r="AA115" s="77">
        <v>1</v>
      </c>
      <c r="AB115" s="77">
        <f t="shared" si="408"/>
        <v>71</v>
      </c>
      <c r="AC115" s="76">
        <v>71</v>
      </c>
      <c r="AD115" s="77">
        <v>-127</v>
      </c>
      <c r="AE115" s="77">
        <v>-149</v>
      </c>
      <c r="AF115" s="77">
        <v>-157</v>
      </c>
      <c r="AG115" s="77">
        <f t="shared" si="409"/>
        <v>-211</v>
      </c>
      <c r="AH115" s="76">
        <v>-211</v>
      </c>
      <c r="AI115" s="77">
        <v>-51</v>
      </c>
      <c r="AJ115" s="77">
        <v>-20</v>
      </c>
      <c r="AK115" s="77">
        <v>-3</v>
      </c>
      <c r="AL115" s="77">
        <v>-12</v>
      </c>
      <c r="AM115" s="76">
        <f t="shared" si="410"/>
        <v>-12</v>
      </c>
      <c r="AN115" s="77">
        <v>246</v>
      </c>
      <c r="AO115" s="77">
        <v>255</v>
      </c>
      <c r="AP115" s="77">
        <v>276</v>
      </c>
      <c r="AQ115" s="77">
        <v>328</v>
      </c>
      <c r="AR115" s="76">
        <f t="shared" si="411"/>
        <v>328</v>
      </c>
      <c r="AS115" s="77">
        <v>-66</v>
      </c>
      <c r="AT115" s="77">
        <v>54</v>
      </c>
      <c r="AU115" s="86">
        <v>107</v>
      </c>
      <c r="AV115" s="77">
        <v>127</v>
      </c>
      <c r="AW115" s="76">
        <f t="shared" ref="AW115:AW120" si="441">AV115</f>
        <v>127</v>
      </c>
      <c r="AX115" s="77">
        <v>-45</v>
      </c>
      <c r="AY115" s="77">
        <v>-15</v>
      </c>
      <c r="AZ115" s="77">
        <v>22</v>
      </c>
      <c r="BA115" s="77">
        <v>157</v>
      </c>
      <c r="BB115" s="76">
        <f>BA115</f>
        <v>157</v>
      </c>
      <c r="BC115" s="77">
        <v>-73</v>
      </c>
      <c r="BD115" s="77">
        <v>-60</v>
      </c>
      <c r="BE115" s="77">
        <v>-52</v>
      </c>
      <c r="BF115" s="77">
        <v>2</v>
      </c>
      <c r="BG115" s="76">
        <f>BF115</f>
        <v>2</v>
      </c>
      <c r="BH115" s="77">
        <v>-124</v>
      </c>
      <c r="BI115" s="693">
        <v>-88</v>
      </c>
      <c r="BJ115" s="77">
        <v>-42</v>
      </c>
      <c r="BK115" s="77">
        <v>36</v>
      </c>
      <c r="BL115" s="76">
        <f>BK115</f>
        <v>36</v>
      </c>
      <c r="BM115" s="77">
        <v>-82</v>
      </c>
      <c r="BN115" s="693">
        <v>-17</v>
      </c>
      <c r="BO115" s="77">
        <v>40</v>
      </c>
      <c r="BP115" s="77">
        <v>46</v>
      </c>
      <c r="BQ115" s="76">
        <f>BP115</f>
        <v>46</v>
      </c>
      <c r="BR115" s="77">
        <v>-116</v>
      </c>
      <c r="BS115" s="693">
        <v>-103</v>
      </c>
      <c r="BT115" s="77">
        <v>-67</v>
      </c>
      <c r="BU115" s="77">
        <v>-68</v>
      </c>
      <c r="BV115" s="76">
        <f>BU115</f>
        <v>-68</v>
      </c>
      <c r="BW115" s="77">
        <v>-72</v>
      </c>
      <c r="BX115" s="693">
        <v>-18</v>
      </c>
      <c r="BY115" s="77">
        <v>25</v>
      </c>
      <c r="BZ115" s="77">
        <v>94</v>
      </c>
      <c r="CA115" s="76">
        <f>BZ115</f>
        <v>94</v>
      </c>
      <c r="CB115" s="77">
        <v>-243</v>
      </c>
      <c r="CC115" s="693">
        <v>-65</v>
      </c>
      <c r="CD115" s="77">
        <v>1</v>
      </c>
      <c r="CE115" s="77">
        <v>87</v>
      </c>
      <c r="CF115" s="76">
        <f>CE115</f>
        <v>87</v>
      </c>
      <c r="CG115" s="693">
        <v>-281</v>
      </c>
      <c r="CH115" s="693">
        <v>-509</v>
      </c>
      <c r="CI115" s="693">
        <v>-577</v>
      </c>
      <c r="CJ115" s="693">
        <v>-621</v>
      </c>
      <c r="CK115" s="76">
        <f>CJ115</f>
        <v>-621</v>
      </c>
      <c r="CL115" s="77">
        <v>-69</v>
      </c>
      <c r="CM115" s="77">
        <v>-109</v>
      </c>
      <c r="CN115" s="77">
        <v>-149</v>
      </c>
      <c r="CO115" s="77">
        <v>-222</v>
      </c>
      <c r="CP115" s="76">
        <f>CO115</f>
        <v>-222</v>
      </c>
      <c r="CQ115" s="77">
        <v>-84</v>
      </c>
      <c r="CR115" s="77">
        <v>-127</v>
      </c>
      <c r="CS115" s="77">
        <v>-168</v>
      </c>
      <c r="CT115" s="77">
        <v>-206</v>
      </c>
      <c r="CU115" s="76">
        <f>CT115</f>
        <v>-206</v>
      </c>
      <c r="CV115" s="77">
        <v>96</v>
      </c>
      <c r="CW115" s="77">
        <v>-64</v>
      </c>
      <c r="CX115" s="77">
        <v>-114</v>
      </c>
      <c r="CY115" s="77">
        <v>-158</v>
      </c>
      <c r="CZ115" s="76">
        <f>CY115</f>
        <v>-158</v>
      </c>
      <c r="DA115" s="77">
        <v>-117</v>
      </c>
      <c r="DB115" s="77">
        <v>-180</v>
      </c>
      <c r="DC115" s="77">
        <v>-254</v>
      </c>
      <c r="DD115" s="77">
        <v>-313</v>
      </c>
      <c r="DE115" s="76">
        <f>DD115</f>
        <v>-313</v>
      </c>
      <c r="DF115" s="77">
        <v>-83</v>
      </c>
      <c r="DG115" s="16">
        <v>-148</v>
      </c>
      <c r="DH115" s="593">
        <v>-228</v>
      </c>
      <c r="DI115" s="1074">
        <v>-329</v>
      </c>
      <c r="DJ115" s="76">
        <f>DI115</f>
        <v>-329</v>
      </c>
      <c r="DK115" s="1074">
        <v>-151</v>
      </c>
      <c r="DL115" s="1074">
        <v>-212</v>
      </c>
      <c r="DM115" s="1074">
        <v>-294</v>
      </c>
      <c r="DN115" s="1074">
        <v>-346</v>
      </c>
      <c r="DO115" s="76">
        <f>DN115</f>
        <v>-346</v>
      </c>
      <c r="DP115" s="1074">
        <v>-49</v>
      </c>
      <c r="DQ115" s="1086">
        <v>-92</v>
      </c>
      <c r="DS115" s="77"/>
      <c r="DT115" s="93"/>
      <c r="DU115" s="1074"/>
      <c r="DX115" s="77"/>
      <c r="DY115" s="93"/>
      <c r="DZ115" s="93"/>
      <c r="EA115" s="93"/>
      <c r="EB115" s="93"/>
    </row>
    <row r="116" spans="1:132" s="105" customFormat="1" ht="12" customHeight="1">
      <c r="A116" s="68"/>
      <c r="B116" s="536" t="s">
        <v>92</v>
      </c>
      <c r="C116" s="76">
        <v>-4</v>
      </c>
      <c r="D116" s="76">
        <v>35</v>
      </c>
      <c r="E116" s="76">
        <v>46</v>
      </c>
      <c r="F116" s="76">
        <v>269</v>
      </c>
      <c r="G116" s="76">
        <f>-993+227</f>
        <v>-766</v>
      </c>
      <c r="H116" s="76">
        <f>-340+67</f>
        <v>-273</v>
      </c>
      <c r="I116" s="76">
        <f>-1728+311</f>
        <v>-1417</v>
      </c>
      <c r="J116" s="77">
        <f>-1002+57</f>
        <v>-945</v>
      </c>
      <c r="K116" s="77">
        <f>-2013+102</f>
        <v>-1911</v>
      </c>
      <c r="L116" s="77">
        <f>-3613+166</f>
        <v>-3447</v>
      </c>
      <c r="M116" s="77">
        <f t="shared" si="405"/>
        <v>-4141</v>
      </c>
      <c r="N116" s="76">
        <f>-4355+214</f>
        <v>-4141</v>
      </c>
      <c r="O116" s="77">
        <f>-455+24</f>
        <v>-431</v>
      </c>
      <c r="P116" s="77">
        <f>-460+46</f>
        <v>-414</v>
      </c>
      <c r="Q116" s="77">
        <f>-1832+11</f>
        <v>-1821</v>
      </c>
      <c r="R116" s="77">
        <f t="shared" si="406"/>
        <v>-1862</v>
      </c>
      <c r="S116" s="76">
        <v>-1862</v>
      </c>
      <c r="T116" s="77">
        <f>-503+33</f>
        <v>-470</v>
      </c>
      <c r="U116" s="77">
        <f>-506+69</f>
        <v>-437</v>
      </c>
      <c r="V116" s="77">
        <f>-520+73</f>
        <v>-447</v>
      </c>
      <c r="W116" s="77">
        <f t="shared" si="407"/>
        <v>-408</v>
      </c>
      <c r="X116" s="76">
        <f>-522+114</f>
        <v>-408</v>
      </c>
      <c r="Y116" s="77">
        <f>-509+3</f>
        <v>-506</v>
      </c>
      <c r="Z116" s="77">
        <f>-523+13</f>
        <v>-510</v>
      </c>
      <c r="AA116" s="77">
        <f>-563+23</f>
        <v>-540</v>
      </c>
      <c r="AB116" s="77">
        <f t="shared" si="408"/>
        <v>-1244</v>
      </c>
      <c r="AC116" s="76">
        <f>-580-664</f>
        <v>-1244</v>
      </c>
      <c r="AD116" s="77">
        <v>-419</v>
      </c>
      <c r="AE116" s="77">
        <v>-281</v>
      </c>
      <c r="AF116" s="77">
        <v>-159</v>
      </c>
      <c r="AG116" s="77">
        <f t="shared" si="409"/>
        <v>14</v>
      </c>
      <c r="AH116" s="76">
        <v>14</v>
      </c>
      <c r="AI116" s="77">
        <v>304</v>
      </c>
      <c r="AJ116" s="77">
        <v>586</v>
      </c>
      <c r="AK116" s="77">
        <v>819</v>
      </c>
      <c r="AL116" s="77">
        <v>1140</v>
      </c>
      <c r="AM116" s="76">
        <f t="shared" si="410"/>
        <v>1140</v>
      </c>
      <c r="AN116" s="77">
        <f>355-SUM(AN117:AN118)</f>
        <v>359</v>
      </c>
      <c r="AO116" s="77">
        <f>705-SUM(AO117:AO118)</f>
        <v>717</v>
      </c>
      <c r="AP116" s="77">
        <f>973-SUM(AP117:AP118)</f>
        <v>997</v>
      </c>
      <c r="AQ116" s="77">
        <f>1335-SUM(AQ117:AQ118)</f>
        <v>1370</v>
      </c>
      <c r="AR116" s="76">
        <f>AQ116</f>
        <v>1370</v>
      </c>
      <c r="AS116" s="77">
        <f>617-SUM(AS117:AS118)</f>
        <v>621</v>
      </c>
      <c r="AT116" s="77">
        <f>1199-SUM(AT117:AT118)</f>
        <v>1207</v>
      </c>
      <c r="AU116" s="86">
        <f>1445-SUM(AU117:AU118)</f>
        <v>1957</v>
      </c>
      <c r="AV116" s="77">
        <f>2126-SUM(AV117:AV118)</f>
        <v>2661</v>
      </c>
      <c r="AW116" s="76">
        <f t="shared" si="441"/>
        <v>2661</v>
      </c>
      <c r="AX116" s="77">
        <f>724-SUM(AX117:AX118)</f>
        <v>728</v>
      </c>
      <c r="AY116" s="77">
        <f>686-SUM(AY117:AY118)</f>
        <v>1457</v>
      </c>
      <c r="AZ116" s="77">
        <f>571-SUM(AZ117:AZ118)</f>
        <v>2095</v>
      </c>
      <c r="BA116" s="77">
        <f>1288-SUM(BA117:BA118)</f>
        <v>2838</v>
      </c>
      <c r="BB116" s="76">
        <f>BA116</f>
        <v>2838</v>
      </c>
      <c r="BC116" s="77">
        <f>821-SUM(BC117:BC118)</f>
        <v>821</v>
      </c>
      <c r="BD116" s="77">
        <f>1638-SUM(BD117:BD118)</f>
        <v>1651</v>
      </c>
      <c r="BE116" s="77">
        <f>954-SUM(BE117:BE118)</f>
        <v>2467</v>
      </c>
      <c r="BF116" s="77">
        <f>1720-SUM(BF117:BF118)</f>
        <v>3233</v>
      </c>
      <c r="BG116" s="76">
        <f>BF116</f>
        <v>3233</v>
      </c>
      <c r="BH116" s="77">
        <v>733</v>
      </c>
      <c r="BI116" s="693">
        <v>1118</v>
      </c>
      <c r="BJ116" s="77">
        <f>746-SUM(BJ117:BJ118)</f>
        <v>1496</v>
      </c>
      <c r="BK116" s="77">
        <f>1186-SUM(BK117:BK118)</f>
        <v>1936</v>
      </c>
      <c r="BL116" s="76">
        <f>BK116</f>
        <v>1936</v>
      </c>
      <c r="BM116" s="77">
        <v>608</v>
      </c>
      <c r="BN116" s="693">
        <v>1244</v>
      </c>
      <c r="BO116" s="77">
        <v>1837</v>
      </c>
      <c r="BP116" s="77">
        <v>2470</v>
      </c>
      <c r="BQ116" s="76">
        <f>BP116</f>
        <v>2470</v>
      </c>
      <c r="BR116" s="77">
        <v>79</v>
      </c>
      <c r="BS116" s="693">
        <v>181</v>
      </c>
      <c r="BT116" s="77">
        <v>144</v>
      </c>
      <c r="BU116" s="77">
        <v>153</v>
      </c>
      <c r="BV116" s="76">
        <f>BU116</f>
        <v>153</v>
      </c>
      <c r="BW116" s="77">
        <v>10</v>
      </c>
      <c r="BX116" s="693">
        <v>13</v>
      </c>
      <c r="BY116" s="77">
        <v>-550</v>
      </c>
      <c r="BZ116" s="77">
        <v>-582</v>
      </c>
      <c r="CA116" s="76">
        <f>BZ116</f>
        <v>-582</v>
      </c>
      <c r="CB116" s="77">
        <v>-50</v>
      </c>
      <c r="CC116" s="693">
        <v>-57</v>
      </c>
      <c r="CD116" s="77">
        <v>-89</v>
      </c>
      <c r="CE116" s="77">
        <v>-153</v>
      </c>
      <c r="CF116" s="76">
        <f>CE116</f>
        <v>-153</v>
      </c>
      <c r="CG116" s="693">
        <v>-188</v>
      </c>
      <c r="CH116" s="693">
        <v>-390</v>
      </c>
      <c r="CI116" s="693">
        <v>-570</v>
      </c>
      <c r="CJ116" s="693">
        <v>-777</v>
      </c>
      <c r="CK116" s="76">
        <f>CJ116</f>
        <v>-777</v>
      </c>
      <c r="CL116" s="77">
        <v>-179</v>
      </c>
      <c r="CM116" s="77">
        <v>-357</v>
      </c>
      <c r="CN116" s="77">
        <v>-556</v>
      </c>
      <c r="CO116" s="77">
        <v>-794</v>
      </c>
      <c r="CP116" s="76">
        <f>CO116</f>
        <v>-794</v>
      </c>
      <c r="CQ116" s="77">
        <v>-265</v>
      </c>
      <c r="CR116" s="77">
        <v>-576</v>
      </c>
      <c r="CS116" s="77">
        <v>-731</v>
      </c>
      <c r="CT116" s="77">
        <v>-972</v>
      </c>
      <c r="CU116" s="76">
        <f>CT116</f>
        <v>-972</v>
      </c>
      <c r="CV116" s="77">
        <v>-371</v>
      </c>
      <c r="CW116" s="77">
        <v>-695</v>
      </c>
      <c r="CX116" s="77">
        <v>-1053</v>
      </c>
      <c r="CY116" s="77">
        <v>-1378</v>
      </c>
      <c r="CZ116" s="76">
        <f>CY116</f>
        <v>-1378</v>
      </c>
      <c r="DA116" s="77">
        <v>-244</v>
      </c>
      <c r="DB116" s="77">
        <v>-520</v>
      </c>
      <c r="DC116" s="77">
        <v>-785</v>
      </c>
      <c r="DD116" s="77">
        <v>-1049</v>
      </c>
      <c r="DE116" s="76">
        <f>DD116</f>
        <v>-1049</v>
      </c>
      <c r="DF116" s="77">
        <v>-261</v>
      </c>
      <c r="DG116" s="16">
        <v>-491</v>
      </c>
      <c r="DH116" s="593">
        <v>-736</v>
      </c>
      <c r="DI116" s="1074">
        <v>-959</v>
      </c>
      <c r="DJ116" s="76">
        <f>DI116</f>
        <v>-959</v>
      </c>
      <c r="DK116" s="1074">
        <v>-150</v>
      </c>
      <c r="DL116" s="1074">
        <v>-292</v>
      </c>
      <c r="DM116" s="1074">
        <v>-436</v>
      </c>
      <c r="DN116" s="1074">
        <v>-593</v>
      </c>
      <c r="DO116" s="76">
        <f>DN116</f>
        <v>-593</v>
      </c>
      <c r="DP116" s="1074">
        <v>-22</v>
      </c>
      <c r="DQ116" s="1086">
        <v>-55</v>
      </c>
      <c r="DS116" s="77"/>
      <c r="DT116" s="93"/>
      <c r="DU116" s="1074"/>
      <c r="DX116" s="77"/>
      <c r="DY116" s="93"/>
      <c r="DZ116" s="93"/>
      <c r="EA116" s="93"/>
      <c r="EB116" s="93"/>
    </row>
    <row r="117" spans="1:132" s="105" customFormat="1" ht="12" customHeight="1">
      <c r="A117" s="68"/>
      <c r="B117" s="601" t="s">
        <v>457</v>
      </c>
      <c r="C117" s="76"/>
      <c r="D117" s="76"/>
      <c r="E117" s="76"/>
      <c r="F117" s="76"/>
      <c r="G117" s="76"/>
      <c r="H117" s="76"/>
      <c r="I117" s="76"/>
      <c r="J117" s="77"/>
      <c r="K117" s="77"/>
      <c r="L117" s="77"/>
      <c r="M117" s="77"/>
      <c r="N117" s="76"/>
      <c r="O117" s="77"/>
      <c r="P117" s="77"/>
      <c r="Q117" s="77"/>
      <c r="R117" s="77"/>
      <c r="S117" s="76"/>
      <c r="T117" s="77"/>
      <c r="U117" s="77"/>
      <c r="V117" s="77"/>
      <c r="W117" s="77"/>
      <c r="X117" s="76"/>
      <c r="Y117" s="77"/>
      <c r="Z117" s="77"/>
      <c r="AA117" s="77"/>
      <c r="AB117" s="77"/>
      <c r="AC117" s="76"/>
      <c r="AD117" s="77"/>
      <c r="AE117" s="77"/>
      <c r="AF117" s="77"/>
      <c r="AG117" s="77"/>
      <c r="AH117" s="76"/>
      <c r="AI117" s="77"/>
      <c r="AJ117" s="77"/>
      <c r="AK117" s="77"/>
      <c r="AL117" s="77"/>
      <c r="AM117" s="76"/>
      <c r="AN117" s="77">
        <v>-4</v>
      </c>
      <c r="AO117" s="77">
        <v>-8</v>
      </c>
      <c r="AP117" s="77">
        <v>-11</v>
      </c>
      <c r="AQ117" s="77">
        <v>-14</v>
      </c>
      <c r="AR117" s="76">
        <f>AQ117</f>
        <v>-14</v>
      </c>
      <c r="AS117" s="77">
        <v>-4</v>
      </c>
      <c r="AT117" s="77">
        <v>-8</v>
      </c>
      <c r="AU117" s="86">
        <v>-12</v>
      </c>
      <c r="AV117" s="77">
        <v>-16</v>
      </c>
      <c r="AW117" s="76">
        <f t="shared" si="441"/>
        <v>-16</v>
      </c>
      <c r="AX117" s="77">
        <v>-4</v>
      </c>
      <c r="AY117" s="77">
        <v>-8</v>
      </c>
      <c r="AZ117" s="77">
        <v>-11</v>
      </c>
      <c r="BA117" s="77">
        <v>-14</v>
      </c>
      <c r="BB117" s="76">
        <f>BA117</f>
        <v>-14</v>
      </c>
      <c r="BC117" s="77">
        <v>0</v>
      </c>
      <c r="BD117" s="77">
        <v>0</v>
      </c>
      <c r="BE117" s="77">
        <v>0</v>
      </c>
      <c r="BF117" s="77">
        <v>0</v>
      </c>
      <c r="BG117" s="76">
        <f>BF117</f>
        <v>0</v>
      </c>
      <c r="BH117" s="77">
        <v>0</v>
      </c>
      <c r="BI117" s="693">
        <v>0</v>
      </c>
      <c r="BJ117" s="77">
        <v>0</v>
      </c>
      <c r="BK117" s="77">
        <v>0</v>
      </c>
      <c r="BL117" s="76">
        <f>BK117</f>
        <v>0</v>
      </c>
      <c r="BM117" s="77"/>
      <c r="BN117" s="693"/>
      <c r="BO117" s="77"/>
      <c r="BP117" s="77"/>
      <c r="BQ117" s="76">
        <f>BP117</f>
        <v>0</v>
      </c>
      <c r="BR117" s="77"/>
      <c r="BS117" s="693"/>
      <c r="BT117" s="77"/>
      <c r="BU117" s="77"/>
      <c r="BV117" s="76">
        <f>BU117</f>
        <v>0</v>
      </c>
      <c r="BW117" s="77"/>
      <c r="BX117" s="693"/>
      <c r="BY117" s="77"/>
      <c r="BZ117" s="77"/>
      <c r="CA117" s="76">
        <f>BZ117</f>
        <v>0</v>
      </c>
      <c r="CB117" s="77"/>
      <c r="CC117" s="693"/>
      <c r="CD117" s="77"/>
      <c r="CE117" s="77"/>
      <c r="CF117" s="76"/>
      <c r="CG117" s="693"/>
      <c r="CH117" s="693"/>
      <c r="CI117" s="693"/>
      <c r="CJ117" s="693"/>
      <c r="CK117" s="76"/>
      <c r="CL117" s="77"/>
      <c r="CM117" s="77"/>
      <c r="CN117" s="77"/>
      <c r="CO117" s="77"/>
      <c r="CP117" s="76"/>
      <c r="CQ117" s="77"/>
      <c r="CR117" s="77"/>
      <c r="CS117" s="77"/>
      <c r="CT117" s="77"/>
      <c r="CU117" s="76"/>
      <c r="CV117" s="77"/>
      <c r="CW117" s="77"/>
      <c r="CX117" s="77"/>
      <c r="CY117" s="77"/>
      <c r="CZ117" s="76"/>
      <c r="DA117" s="77"/>
      <c r="DB117" s="77"/>
      <c r="DC117" s="77"/>
      <c r="DD117" s="77"/>
      <c r="DE117" s="76"/>
      <c r="DF117" s="77"/>
      <c r="DG117" s="16"/>
      <c r="DH117" s="593"/>
      <c r="DI117" s="77"/>
      <c r="DJ117" s="76"/>
      <c r="DK117" s="77"/>
      <c r="DL117" s="16"/>
      <c r="DM117" s="16"/>
      <c r="DN117" s="77"/>
      <c r="DO117" s="76"/>
      <c r="DP117" s="77"/>
      <c r="DQ117" s="593"/>
      <c r="DS117" s="77"/>
      <c r="DT117" s="93"/>
      <c r="DU117" s="77"/>
      <c r="DX117" s="77"/>
      <c r="DY117" s="93"/>
      <c r="DZ117" s="93"/>
      <c r="EA117" s="93"/>
      <c r="EB117" s="93"/>
    </row>
    <row r="118" spans="1:132" s="105" customFormat="1" ht="12" customHeight="1">
      <c r="A118" s="68"/>
      <c r="B118" s="601" t="s">
        <v>458</v>
      </c>
      <c r="C118" s="76"/>
      <c r="D118" s="76"/>
      <c r="E118" s="76"/>
      <c r="F118" s="76"/>
      <c r="G118" s="76"/>
      <c r="H118" s="76"/>
      <c r="I118" s="76"/>
      <c r="J118" s="77"/>
      <c r="K118" s="77"/>
      <c r="L118" s="77"/>
      <c r="M118" s="77"/>
      <c r="N118" s="76"/>
      <c r="O118" s="77"/>
      <c r="P118" s="77"/>
      <c r="Q118" s="77"/>
      <c r="R118" s="77"/>
      <c r="S118" s="76"/>
      <c r="T118" s="77"/>
      <c r="U118" s="77"/>
      <c r="V118" s="77"/>
      <c r="W118" s="77"/>
      <c r="X118" s="76"/>
      <c r="Y118" s="77"/>
      <c r="Z118" s="77"/>
      <c r="AA118" s="77"/>
      <c r="AB118" s="77"/>
      <c r="AC118" s="76"/>
      <c r="AD118" s="77"/>
      <c r="AE118" s="77"/>
      <c r="AF118" s="77"/>
      <c r="AG118" s="77"/>
      <c r="AH118" s="76"/>
      <c r="AI118" s="77"/>
      <c r="AJ118" s="77"/>
      <c r="AK118" s="77"/>
      <c r="AL118" s="77"/>
      <c r="AM118" s="76"/>
      <c r="AN118" s="77">
        <v>0</v>
      </c>
      <c r="AO118" s="77">
        <v>-4</v>
      </c>
      <c r="AP118" s="77">
        <v>-13</v>
      </c>
      <c r="AQ118" s="77">
        <v>-21</v>
      </c>
      <c r="AR118" s="76">
        <f>AQ118</f>
        <v>-21</v>
      </c>
      <c r="AS118" s="77">
        <v>0</v>
      </c>
      <c r="AT118" s="77">
        <v>0</v>
      </c>
      <c r="AU118" s="86">
        <v>-500</v>
      </c>
      <c r="AV118" s="77">
        <v>-519</v>
      </c>
      <c r="AW118" s="76">
        <f t="shared" si="441"/>
        <v>-519</v>
      </c>
      <c r="AX118" s="77">
        <v>0</v>
      </c>
      <c r="AY118" s="77">
        <v>-763</v>
      </c>
      <c r="AZ118" s="77">
        <v>-1513</v>
      </c>
      <c r="BA118" s="77">
        <v>-1536</v>
      </c>
      <c r="BB118" s="76">
        <f>BA118</f>
        <v>-1536</v>
      </c>
      <c r="BC118" s="77">
        <v>0</v>
      </c>
      <c r="BD118" s="77">
        <v>-13</v>
      </c>
      <c r="BE118" s="77">
        <v>-1513</v>
      </c>
      <c r="BF118" s="77">
        <v>-1513</v>
      </c>
      <c r="BG118" s="76">
        <f>BF118</f>
        <v>-1513</v>
      </c>
      <c r="BH118" s="77">
        <v>0</v>
      </c>
      <c r="BI118" s="693">
        <v>0</v>
      </c>
      <c r="BJ118" s="77">
        <v>-750</v>
      </c>
      <c r="BK118" s="77">
        <v>-750</v>
      </c>
      <c r="BL118" s="76">
        <f>BK118</f>
        <v>-750</v>
      </c>
      <c r="BM118" s="77"/>
      <c r="BN118" s="693"/>
      <c r="BO118" s="77"/>
      <c r="BP118" s="77"/>
      <c r="BQ118" s="76">
        <f>BP118</f>
        <v>0</v>
      </c>
      <c r="BR118" s="77"/>
      <c r="BS118" s="693"/>
      <c r="BT118" s="77"/>
      <c r="BU118" s="77"/>
      <c r="BV118" s="76">
        <f>BU118</f>
        <v>0</v>
      </c>
      <c r="BW118" s="77"/>
      <c r="BX118" s="693"/>
      <c r="BY118" s="77"/>
      <c r="BZ118" s="77"/>
      <c r="CA118" s="76">
        <f>BZ118</f>
        <v>0</v>
      </c>
      <c r="CB118" s="77"/>
      <c r="CC118" s="693"/>
      <c r="CD118" s="77"/>
      <c r="CE118" s="77"/>
      <c r="CF118" s="76"/>
      <c r="CG118" s="693"/>
      <c r="CH118" s="693"/>
      <c r="CI118" s="693"/>
      <c r="CJ118" s="693"/>
      <c r="CK118" s="76"/>
      <c r="CL118" s="77"/>
      <c r="CM118" s="77"/>
      <c r="CN118" s="77"/>
      <c r="CO118" s="77"/>
      <c r="CP118" s="76"/>
      <c r="CQ118" s="77"/>
      <c r="CR118" s="77"/>
      <c r="CS118" s="77"/>
      <c r="CT118" s="77"/>
      <c r="CU118" s="76"/>
      <c r="CV118" s="77"/>
      <c r="CW118" s="77"/>
      <c r="CX118" s="77"/>
      <c r="CY118" s="77"/>
      <c r="CZ118" s="76"/>
      <c r="DA118" s="77"/>
      <c r="DB118" s="77"/>
      <c r="DC118" s="77"/>
      <c r="DD118" s="77"/>
      <c r="DE118" s="76"/>
      <c r="DF118" s="77"/>
      <c r="DG118" s="16"/>
      <c r="DH118" s="593"/>
      <c r="DI118" s="77"/>
      <c r="DJ118" s="76"/>
      <c r="DK118" s="77"/>
      <c r="DL118" s="16"/>
      <c r="DM118" s="16"/>
      <c r="DN118" s="77"/>
      <c r="DO118" s="76"/>
      <c r="DP118" s="77"/>
      <c r="DQ118" s="593"/>
      <c r="DS118" s="77"/>
      <c r="DT118" s="93"/>
      <c r="DU118" s="77"/>
      <c r="DX118" s="77"/>
      <c r="DY118" s="93"/>
      <c r="DZ118" s="93"/>
      <c r="EA118" s="93"/>
      <c r="EB118" s="93"/>
    </row>
    <row r="119" spans="1:132" s="105" customFormat="1" ht="12" customHeight="1">
      <c r="A119" s="68"/>
      <c r="B119" s="157" t="s">
        <v>56</v>
      </c>
      <c r="C119" s="76">
        <v>0</v>
      </c>
      <c r="D119" s="76">
        <v>0</v>
      </c>
      <c r="E119" s="76">
        <v>0</v>
      </c>
      <c r="F119" s="76">
        <v>0</v>
      </c>
      <c r="G119" s="76">
        <v>0</v>
      </c>
      <c r="H119" s="76">
        <v>0</v>
      </c>
      <c r="I119" s="76">
        <v>0</v>
      </c>
      <c r="J119" s="77">
        <v>0</v>
      </c>
      <c r="K119" s="77">
        <v>0</v>
      </c>
      <c r="L119" s="77">
        <v>0</v>
      </c>
      <c r="M119" s="77">
        <f t="shared" si="405"/>
        <v>-421</v>
      </c>
      <c r="N119" s="76">
        <v>-421</v>
      </c>
      <c r="O119" s="77">
        <v>65</v>
      </c>
      <c r="P119" s="77">
        <v>501</v>
      </c>
      <c r="Q119" s="77">
        <v>510</v>
      </c>
      <c r="R119" s="77">
        <f t="shared" si="406"/>
        <v>619</v>
      </c>
      <c r="S119" s="76">
        <f>589+30</f>
        <v>619</v>
      </c>
      <c r="T119" s="77">
        <v>-20</v>
      </c>
      <c r="U119" s="77">
        <v>398</v>
      </c>
      <c r="V119" s="77">
        <v>515</v>
      </c>
      <c r="W119" s="77">
        <f t="shared" si="407"/>
        <v>718</v>
      </c>
      <c r="X119" s="76">
        <v>718</v>
      </c>
      <c r="Y119" s="77">
        <v>139</v>
      </c>
      <c r="Z119" s="77">
        <v>1107</v>
      </c>
      <c r="AA119" s="77">
        <v>1254</v>
      </c>
      <c r="AB119" s="77">
        <f t="shared" si="408"/>
        <v>1458</v>
      </c>
      <c r="AC119" s="76">
        <v>1458</v>
      </c>
      <c r="AD119" s="77">
        <v>72</v>
      </c>
      <c r="AE119" s="77">
        <v>278</v>
      </c>
      <c r="AF119" s="77">
        <v>628</v>
      </c>
      <c r="AG119" s="77">
        <f t="shared" si="409"/>
        <v>432</v>
      </c>
      <c r="AH119" s="76">
        <v>432</v>
      </c>
      <c r="AI119" s="77">
        <v>21</v>
      </c>
      <c r="AJ119" s="77">
        <v>-262</v>
      </c>
      <c r="AK119" s="77">
        <v>-204</v>
      </c>
      <c r="AL119" s="77">
        <v>104</v>
      </c>
      <c r="AM119" s="76">
        <f t="shared" si="410"/>
        <v>104</v>
      </c>
      <c r="AN119" s="77">
        <v>221</v>
      </c>
      <c r="AO119" s="77">
        <v>279</v>
      </c>
      <c r="AP119" s="77">
        <v>559</v>
      </c>
      <c r="AQ119" s="77">
        <v>717</v>
      </c>
      <c r="AR119" s="76">
        <f>AQ119</f>
        <v>717</v>
      </c>
      <c r="AS119" s="77">
        <v>102</v>
      </c>
      <c r="AT119" s="77">
        <v>210</v>
      </c>
      <c r="AU119" s="86">
        <v>171</v>
      </c>
      <c r="AV119" s="77">
        <v>-6</v>
      </c>
      <c r="AW119" s="76">
        <f t="shared" si="441"/>
        <v>-6</v>
      </c>
      <c r="AX119" s="77">
        <v>196</v>
      </c>
      <c r="AY119" s="77">
        <v>216</v>
      </c>
      <c r="AZ119" s="77">
        <v>254</v>
      </c>
      <c r="BA119" s="77">
        <v>407</v>
      </c>
      <c r="BB119" s="76">
        <f>BA119</f>
        <v>407</v>
      </c>
      <c r="BC119" s="77">
        <v>24</v>
      </c>
      <c r="BD119" s="77">
        <v>188</v>
      </c>
      <c r="BE119" s="77">
        <v>223</v>
      </c>
      <c r="BF119" s="77">
        <v>391</v>
      </c>
      <c r="BG119" s="76">
        <f>BF119</f>
        <v>391</v>
      </c>
      <c r="BH119" s="77">
        <v>408</v>
      </c>
      <c r="BI119" s="693">
        <v>466</v>
      </c>
      <c r="BJ119" s="77">
        <v>494</v>
      </c>
      <c r="BK119" s="77">
        <v>578</v>
      </c>
      <c r="BL119" s="76">
        <f>BK119</f>
        <v>578</v>
      </c>
      <c r="BM119" s="77">
        <v>31</v>
      </c>
      <c r="BN119" s="693">
        <v>19</v>
      </c>
      <c r="BO119" s="77">
        <v>45</v>
      </c>
      <c r="BP119" s="77">
        <v>167</v>
      </c>
      <c r="BQ119" s="76">
        <f>BP119</f>
        <v>167</v>
      </c>
      <c r="BR119" s="77">
        <v>276</v>
      </c>
      <c r="BS119" s="693">
        <v>275</v>
      </c>
      <c r="BT119" s="77">
        <v>-195</v>
      </c>
      <c r="BU119" s="77">
        <v>-696</v>
      </c>
      <c r="BV119" s="76">
        <f>BU119</f>
        <v>-696</v>
      </c>
      <c r="BW119" s="77">
        <v>232</v>
      </c>
      <c r="BX119" s="693">
        <v>343</v>
      </c>
      <c r="BY119" s="77">
        <v>635</v>
      </c>
      <c r="BZ119" s="77">
        <v>1017</v>
      </c>
      <c r="CA119" s="76">
        <f>BZ119</f>
        <v>1017</v>
      </c>
      <c r="CB119" s="77">
        <v>44</v>
      </c>
      <c r="CC119" s="693">
        <v>-97</v>
      </c>
      <c r="CD119" s="77">
        <v>-175</v>
      </c>
      <c r="CE119" s="77">
        <v>120</v>
      </c>
      <c r="CF119" s="76">
        <f>CE119</f>
        <v>120</v>
      </c>
      <c r="CG119" s="693">
        <v>152</v>
      </c>
      <c r="CH119" s="693">
        <v>347</v>
      </c>
      <c r="CI119" s="693">
        <v>391</v>
      </c>
      <c r="CJ119" s="693">
        <v>419</v>
      </c>
      <c r="CK119" s="76">
        <f>CJ119</f>
        <v>419</v>
      </c>
      <c r="CL119" s="77">
        <v>23</v>
      </c>
      <c r="CM119" s="77">
        <v>62</v>
      </c>
      <c r="CN119" s="77">
        <v>108</v>
      </c>
      <c r="CO119" s="77">
        <v>173</v>
      </c>
      <c r="CP119" s="76">
        <f>CO119</f>
        <v>173</v>
      </c>
      <c r="CQ119" s="77">
        <v>46</v>
      </c>
      <c r="CR119" s="77">
        <v>83</v>
      </c>
      <c r="CS119" s="77">
        <v>170</v>
      </c>
      <c r="CT119" s="77">
        <v>210</v>
      </c>
      <c r="CU119" s="76">
        <f>CT119</f>
        <v>210</v>
      </c>
      <c r="CV119" s="77">
        <v>18</v>
      </c>
      <c r="CW119" s="77">
        <v>50</v>
      </c>
      <c r="CX119" s="77">
        <v>76</v>
      </c>
      <c r="CY119" s="77">
        <v>142</v>
      </c>
      <c r="CZ119" s="76">
        <f>CY119</f>
        <v>142</v>
      </c>
      <c r="DA119" s="77">
        <v>101</v>
      </c>
      <c r="DB119" s="77">
        <v>419</v>
      </c>
      <c r="DC119" s="77">
        <v>472</v>
      </c>
      <c r="DD119" s="77">
        <v>571</v>
      </c>
      <c r="DE119" s="76">
        <f>DD119</f>
        <v>571</v>
      </c>
      <c r="DF119" s="77">
        <v>79</v>
      </c>
      <c r="DG119" s="16">
        <v>149</v>
      </c>
      <c r="DH119" s="593">
        <v>258</v>
      </c>
      <c r="DI119" s="1074">
        <v>512</v>
      </c>
      <c r="DJ119" s="76">
        <f>DI119</f>
        <v>512</v>
      </c>
      <c r="DK119" s="1074">
        <v>12</v>
      </c>
      <c r="DL119" s="1074">
        <v>185</v>
      </c>
      <c r="DM119" s="1074">
        <v>274</v>
      </c>
      <c r="DN119" s="1074">
        <v>274</v>
      </c>
      <c r="DO119" s="76">
        <f>DN119</f>
        <v>274</v>
      </c>
      <c r="DP119" s="1074">
        <v>-156</v>
      </c>
      <c r="DQ119" s="1086">
        <v>-137</v>
      </c>
      <c r="DS119" s="77"/>
      <c r="DT119" s="93"/>
      <c r="DU119" s="1074"/>
      <c r="DX119" s="77"/>
      <c r="DY119" s="93"/>
      <c r="DZ119" s="93"/>
      <c r="EA119" s="93"/>
      <c r="EB119" s="93"/>
    </row>
    <row r="120" spans="1:132" s="105" customFormat="1" ht="12" customHeight="1">
      <c r="A120" s="68"/>
      <c r="B120" s="157" t="s">
        <v>93</v>
      </c>
      <c r="C120" s="79">
        <f>-272+154</f>
        <v>-118</v>
      </c>
      <c r="D120" s="79">
        <f>-479+450</f>
        <v>-29</v>
      </c>
      <c r="E120" s="79">
        <f>-597+179</f>
        <v>-418</v>
      </c>
      <c r="F120" s="79">
        <f>100-712</f>
        <v>-612</v>
      </c>
      <c r="G120" s="79">
        <f>-367-1490+622</f>
        <v>-1235</v>
      </c>
      <c r="H120" s="79">
        <f>-75-80</f>
        <v>-155</v>
      </c>
      <c r="I120" s="79">
        <f>-10+233</f>
        <v>223</v>
      </c>
      <c r="J120" s="80">
        <f>-68+56</f>
        <v>-12</v>
      </c>
      <c r="K120" s="80">
        <f>-101-2+28</f>
        <v>-75</v>
      </c>
      <c r="L120" s="80">
        <f>-1-3-133</f>
        <v>-137</v>
      </c>
      <c r="M120" s="80">
        <f t="shared" si="405"/>
        <v>102</v>
      </c>
      <c r="N120" s="79">
        <f>135-3-30</f>
        <v>102</v>
      </c>
      <c r="O120" s="80">
        <f>20+54</f>
        <v>74</v>
      </c>
      <c r="P120" s="80">
        <f>-73+20-11</f>
        <v>-64</v>
      </c>
      <c r="Q120" s="80">
        <v>-265</v>
      </c>
      <c r="R120" s="80">
        <f t="shared" si="406"/>
        <v>57</v>
      </c>
      <c r="S120" s="79">
        <f>11+46</f>
        <v>57</v>
      </c>
      <c r="T120" s="80">
        <v>-24</v>
      </c>
      <c r="U120" s="80">
        <f>-16-53</f>
        <v>-69</v>
      </c>
      <c r="V120" s="80">
        <f>-179-8</f>
        <v>-187</v>
      </c>
      <c r="W120" s="80">
        <f t="shared" si="407"/>
        <v>-189</v>
      </c>
      <c r="X120" s="79">
        <v>-189</v>
      </c>
      <c r="Y120" s="80">
        <v>-32</v>
      </c>
      <c r="Z120" s="80">
        <v>-128</v>
      </c>
      <c r="AA120" s="80">
        <v>-102</v>
      </c>
      <c r="AB120" s="80">
        <f t="shared" si="408"/>
        <v>-247</v>
      </c>
      <c r="AC120" s="79">
        <v>-247</v>
      </c>
      <c r="AD120" s="80">
        <v>-48</v>
      </c>
      <c r="AE120" s="80">
        <v>-103</v>
      </c>
      <c r="AF120" s="80">
        <v>-147</v>
      </c>
      <c r="AG120" s="80">
        <f t="shared" si="409"/>
        <v>-29</v>
      </c>
      <c r="AH120" s="79">
        <v>-29</v>
      </c>
      <c r="AI120" s="80">
        <v>-84</v>
      </c>
      <c r="AJ120" s="80">
        <v>95</v>
      </c>
      <c r="AK120" s="80">
        <v>35</v>
      </c>
      <c r="AL120" s="80">
        <v>199</v>
      </c>
      <c r="AM120" s="79">
        <f t="shared" si="410"/>
        <v>199</v>
      </c>
      <c r="AN120" s="80">
        <v>-47</v>
      </c>
      <c r="AO120" s="80">
        <f>-200</f>
        <v>-200</v>
      </c>
      <c r="AP120" s="80">
        <v>122</v>
      </c>
      <c r="AQ120" s="80">
        <v>-76</v>
      </c>
      <c r="AR120" s="79">
        <f>AQ120</f>
        <v>-76</v>
      </c>
      <c r="AS120" s="80">
        <v>49</v>
      </c>
      <c r="AT120" s="80">
        <v>74</v>
      </c>
      <c r="AU120" s="97">
        <v>82</v>
      </c>
      <c r="AV120" s="80">
        <v>86</v>
      </c>
      <c r="AW120" s="79">
        <f t="shared" si="441"/>
        <v>86</v>
      </c>
      <c r="AX120" s="80">
        <v>-6</v>
      </c>
      <c r="AY120" s="80">
        <v>-3</v>
      </c>
      <c r="AZ120" s="80">
        <v>28</v>
      </c>
      <c r="BA120" s="80">
        <v>-46</v>
      </c>
      <c r="BB120" s="79">
        <f t="shared" si="413"/>
        <v>-46</v>
      </c>
      <c r="BC120" s="80">
        <v>-3</v>
      </c>
      <c r="BD120" s="80">
        <f>-5</f>
        <v>-5</v>
      </c>
      <c r="BE120" s="80">
        <v>23</v>
      </c>
      <c r="BF120" s="80">
        <v>23</v>
      </c>
      <c r="BG120" s="79">
        <f t="shared" si="414"/>
        <v>23</v>
      </c>
      <c r="BH120" s="80">
        <v>-18</v>
      </c>
      <c r="BI120" s="568">
        <v>15</v>
      </c>
      <c r="BJ120" s="80">
        <v>57</v>
      </c>
      <c r="BK120" s="80">
        <v>34</v>
      </c>
      <c r="BL120" s="79">
        <f t="shared" si="415"/>
        <v>34</v>
      </c>
      <c r="BM120" s="80">
        <v>-50</v>
      </c>
      <c r="BN120" s="568">
        <v>-77</v>
      </c>
      <c r="BO120" s="80">
        <v>-98</v>
      </c>
      <c r="BP120" s="80">
        <v>-142</v>
      </c>
      <c r="BQ120" s="79">
        <f t="shared" si="416"/>
        <v>-142</v>
      </c>
      <c r="BR120" s="80">
        <v>-61</v>
      </c>
      <c r="BS120" s="568">
        <v>-61</v>
      </c>
      <c r="BT120" s="80">
        <v>-95</v>
      </c>
      <c r="BU120" s="80">
        <v>-256</v>
      </c>
      <c r="BV120" s="79">
        <f t="shared" si="417"/>
        <v>-256</v>
      </c>
      <c r="BW120" s="80">
        <v>-75</v>
      </c>
      <c r="BX120" s="568">
        <v>-99</v>
      </c>
      <c r="BY120" s="80">
        <v>-96</v>
      </c>
      <c r="BZ120" s="80">
        <v>-258</v>
      </c>
      <c r="CA120" s="79">
        <f t="shared" si="418"/>
        <v>-258</v>
      </c>
      <c r="CB120" s="80">
        <f>124-103</f>
        <v>21</v>
      </c>
      <c r="CC120" s="568">
        <f>2+352</f>
        <v>354</v>
      </c>
      <c r="CD120" s="80">
        <f>403-5</f>
        <v>398</v>
      </c>
      <c r="CE120" s="80">
        <f>610+98</f>
        <v>708</v>
      </c>
      <c r="CF120" s="79">
        <f t="shared" si="419"/>
        <v>708</v>
      </c>
      <c r="CG120" s="568">
        <f>164-1</f>
        <v>163</v>
      </c>
      <c r="CH120" s="568">
        <f>-887+80</f>
        <v>-807</v>
      </c>
      <c r="CI120" s="568">
        <f>144-224</f>
        <v>-80</v>
      </c>
      <c r="CJ120" s="568">
        <f>196-682</f>
        <v>-486</v>
      </c>
      <c r="CK120" s="79">
        <f t="shared" si="420"/>
        <v>-486</v>
      </c>
      <c r="CL120" s="80">
        <f>153+328</f>
        <v>481</v>
      </c>
      <c r="CM120" s="80">
        <f>247+433</f>
        <v>680</v>
      </c>
      <c r="CN120" s="80">
        <f>289+319</f>
        <v>608</v>
      </c>
      <c r="CO120" s="80">
        <f>372+235+195</f>
        <v>802</v>
      </c>
      <c r="CP120" s="79">
        <f t="shared" si="421"/>
        <v>802</v>
      </c>
      <c r="CQ120" s="80">
        <f>153+23</f>
        <v>176</v>
      </c>
      <c r="CR120" s="80">
        <f>134+324</f>
        <v>458</v>
      </c>
      <c r="CS120" s="80">
        <f>225+279</f>
        <v>504</v>
      </c>
      <c r="CT120" s="80">
        <f>345+304</f>
        <v>649</v>
      </c>
      <c r="CU120" s="79">
        <f t="shared" si="422"/>
        <v>649</v>
      </c>
      <c r="CV120" s="80">
        <f>41+140</f>
        <v>181</v>
      </c>
      <c r="CW120" s="80">
        <f>144+145</f>
        <v>289</v>
      </c>
      <c r="CX120" s="80">
        <f>232-860</f>
        <v>-628</v>
      </c>
      <c r="CY120" s="80">
        <f>-591+307</f>
        <v>-284</v>
      </c>
      <c r="CZ120" s="79">
        <f t="shared" si="423"/>
        <v>-284</v>
      </c>
      <c r="DA120" s="80">
        <f>38+82</f>
        <v>120</v>
      </c>
      <c r="DB120" s="80">
        <f>313+40</f>
        <v>353</v>
      </c>
      <c r="DC120" s="80">
        <f>707+99</f>
        <v>806</v>
      </c>
      <c r="DD120" s="80">
        <f>119+389</f>
        <v>508</v>
      </c>
      <c r="DE120" s="79">
        <f t="shared" si="424"/>
        <v>508</v>
      </c>
      <c r="DF120" s="80">
        <f>-249+43</f>
        <v>-206</v>
      </c>
      <c r="DG120" s="80">
        <f>+-320+51</f>
        <v>-269</v>
      </c>
      <c r="DH120" s="272">
        <f>137-26</f>
        <v>111</v>
      </c>
      <c r="DI120" s="1075">
        <f>202-16</f>
        <v>186</v>
      </c>
      <c r="DJ120" s="79">
        <f t="shared" ref="DJ120" si="442">DI120</f>
        <v>186</v>
      </c>
      <c r="DK120" s="1075">
        <f>41-29</f>
        <v>12</v>
      </c>
      <c r="DL120" s="1075">
        <f>265+85</f>
        <v>350</v>
      </c>
      <c r="DM120" s="1075">
        <f>227+176</f>
        <v>403</v>
      </c>
      <c r="DN120" s="1075">
        <f>324+155</f>
        <v>479</v>
      </c>
      <c r="DO120" s="79">
        <f t="shared" ref="DO120" si="443">DN120</f>
        <v>479</v>
      </c>
      <c r="DP120" s="1075">
        <f>31-418</f>
        <v>-387</v>
      </c>
      <c r="DQ120" s="1108">
        <f>+-642+135</f>
        <v>-507</v>
      </c>
      <c r="DS120" s="80"/>
      <c r="DT120" s="93"/>
      <c r="DU120" s="1075"/>
      <c r="DX120" s="80"/>
      <c r="DY120" s="93"/>
      <c r="DZ120" s="93"/>
      <c r="EA120" s="93"/>
      <c r="EB120" s="93"/>
    </row>
    <row r="121" spans="1:132" s="277" customFormat="1" ht="12" customHeight="1">
      <c r="A121" s="74"/>
      <c r="B121" s="74" t="s">
        <v>342</v>
      </c>
      <c r="C121" s="71">
        <f t="shared" ref="C121:L121" si="444">SUM(C96:C107)</f>
        <v>2100</v>
      </c>
      <c r="D121" s="71">
        <f t="shared" si="444"/>
        <v>2367</v>
      </c>
      <c r="E121" s="71">
        <f t="shared" si="444"/>
        <v>6224</v>
      </c>
      <c r="F121" s="71">
        <f t="shared" si="444"/>
        <v>5942</v>
      </c>
      <c r="G121" s="71">
        <f t="shared" si="444"/>
        <v>3814</v>
      </c>
      <c r="H121" s="71">
        <f t="shared" si="444"/>
        <v>4375</v>
      </c>
      <c r="I121" s="71">
        <f t="shared" si="444"/>
        <v>3881</v>
      </c>
      <c r="J121" s="72">
        <f t="shared" si="444"/>
        <v>95</v>
      </c>
      <c r="K121" s="72">
        <f t="shared" si="444"/>
        <v>1544</v>
      </c>
      <c r="L121" s="72">
        <f t="shared" si="444"/>
        <v>2219</v>
      </c>
      <c r="M121" s="72">
        <f t="shared" si="405"/>
        <v>3458</v>
      </c>
      <c r="N121" s="71">
        <f>SUM(N96:N107)</f>
        <v>3458</v>
      </c>
      <c r="O121" s="72">
        <f>SUM(O96:O107)</f>
        <v>1393</v>
      </c>
      <c r="P121" s="72">
        <f>SUM(P96:P107)</f>
        <v>4050</v>
      </c>
      <c r="Q121" s="72">
        <f>SUM(Q96:Q107)</f>
        <v>4552</v>
      </c>
      <c r="R121" s="72">
        <f t="shared" si="406"/>
        <v>7000</v>
      </c>
      <c r="S121" s="71">
        <f>SUM(S96:S107)</f>
        <v>7000</v>
      </c>
      <c r="T121" s="72">
        <f>SUM(T96:T107)</f>
        <v>2055</v>
      </c>
      <c r="U121" s="72">
        <f>SUM(U96:U107)</f>
        <v>4498</v>
      </c>
      <c r="V121" s="72">
        <f>SUM(V96:V107)</f>
        <v>5058</v>
      </c>
      <c r="W121" s="72">
        <f t="shared" si="407"/>
        <v>7499</v>
      </c>
      <c r="X121" s="71">
        <f>SUM(X96:X107)</f>
        <v>7499</v>
      </c>
      <c r="Y121" s="72">
        <f>SUM(Y96:Y107)</f>
        <v>728</v>
      </c>
      <c r="Z121" s="72">
        <f>SUM(Z96:Z107)</f>
        <v>4362</v>
      </c>
      <c r="AA121" s="72">
        <f>SUM(AA96:AA107)</f>
        <v>7691</v>
      </c>
      <c r="AB121" s="72">
        <f t="shared" si="408"/>
        <v>9584</v>
      </c>
      <c r="AC121" s="71">
        <f>SUM(AC96:AC107)</f>
        <v>9584</v>
      </c>
      <c r="AD121" s="72">
        <f>SUM(AD96:AD107)</f>
        <v>1933</v>
      </c>
      <c r="AE121" s="72">
        <f>SUM(AE96:AE107)</f>
        <v>1682</v>
      </c>
      <c r="AF121" s="72">
        <f>SUM(AF96:AF107)</f>
        <v>1240</v>
      </c>
      <c r="AG121" s="72">
        <f t="shared" si="409"/>
        <v>-401</v>
      </c>
      <c r="AH121" s="71">
        <f t="shared" ref="AH121:BM121" si="445">SUM(AH96:AH107)</f>
        <v>-401</v>
      </c>
      <c r="AI121" s="72">
        <f t="shared" si="445"/>
        <v>193</v>
      </c>
      <c r="AJ121" s="72">
        <f t="shared" si="445"/>
        <v>1194</v>
      </c>
      <c r="AK121" s="72">
        <f t="shared" si="445"/>
        <v>2391</v>
      </c>
      <c r="AL121" s="72">
        <f t="shared" si="445"/>
        <v>5603</v>
      </c>
      <c r="AM121" s="71">
        <f t="shared" si="445"/>
        <v>5603</v>
      </c>
      <c r="AN121" s="72">
        <f t="shared" si="445"/>
        <v>-285</v>
      </c>
      <c r="AO121" s="72">
        <f t="shared" si="445"/>
        <v>-19</v>
      </c>
      <c r="AP121" s="72">
        <f t="shared" si="445"/>
        <v>1836</v>
      </c>
      <c r="AQ121" s="72">
        <f t="shared" si="445"/>
        <v>2952</v>
      </c>
      <c r="AR121" s="71">
        <f t="shared" si="445"/>
        <v>2952</v>
      </c>
      <c r="AS121" s="72">
        <f t="shared" si="445"/>
        <v>-953</v>
      </c>
      <c r="AT121" s="72">
        <f t="shared" si="445"/>
        <v>643</v>
      </c>
      <c r="AU121" s="90">
        <f t="shared" si="445"/>
        <v>1092</v>
      </c>
      <c r="AV121" s="72">
        <f t="shared" si="445"/>
        <v>4023</v>
      </c>
      <c r="AW121" s="71">
        <f t="shared" si="445"/>
        <v>4023</v>
      </c>
      <c r="AX121" s="72">
        <f t="shared" si="445"/>
        <v>837</v>
      </c>
      <c r="AY121" s="72">
        <f t="shared" si="445"/>
        <v>1745</v>
      </c>
      <c r="AZ121" s="72">
        <f t="shared" si="445"/>
        <v>3341</v>
      </c>
      <c r="BA121" s="72">
        <f t="shared" si="445"/>
        <v>7508</v>
      </c>
      <c r="BB121" s="71">
        <f t="shared" si="445"/>
        <v>7508</v>
      </c>
      <c r="BC121" s="72">
        <f t="shared" si="445"/>
        <v>524</v>
      </c>
      <c r="BD121" s="72">
        <f t="shared" si="445"/>
        <v>3991</v>
      </c>
      <c r="BE121" s="72">
        <f t="shared" si="445"/>
        <v>6799</v>
      </c>
      <c r="BF121" s="72">
        <f t="shared" si="445"/>
        <v>8179</v>
      </c>
      <c r="BG121" s="71">
        <f t="shared" si="445"/>
        <v>8179</v>
      </c>
      <c r="BH121" s="72">
        <f t="shared" si="445"/>
        <v>1112</v>
      </c>
      <c r="BI121" s="597">
        <f t="shared" si="445"/>
        <v>2921</v>
      </c>
      <c r="BJ121" s="597">
        <f t="shared" si="445"/>
        <v>3860</v>
      </c>
      <c r="BK121" s="597">
        <f t="shared" si="445"/>
        <v>8858</v>
      </c>
      <c r="BL121" s="71">
        <f t="shared" si="445"/>
        <v>8858</v>
      </c>
      <c r="BM121" s="597">
        <f t="shared" si="445"/>
        <v>88</v>
      </c>
      <c r="BN121" s="597">
        <f t="shared" ref="BN121:DF121" si="446">SUM(BN96:BN107)</f>
        <v>3385</v>
      </c>
      <c r="BO121" s="597">
        <f t="shared" si="446"/>
        <v>6244</v>
      </c>
      <c r="BP121" s="597">
        <f t="shared" si="446"/>
        <v>9363</v>
      </c>
      <c r="BQ121" s="71">
        <f t="shared" si="446"/>
        <v>9363</v>
      </c>
      <c r="BR121" s="597">
        <f t="shared" si="446"/>
        <v>1231</v>
      </c>
      <c r="BS121" s="597">
        <f t="shared" si="446"/>
        <v>4465</v>
      </c>
      <c r="BT121" s="597">
        <f t="shared" si="446"/>
        <v>7667</v>
      </c>
      <c r="BU121" s="597">
        <f t="shared" si="446"/>
        <v>10499</v>
      </c>
      <c r="BV121" s="71">
        <f t="shared" si="446"/>
        <v>10499</v>
      </c>
      <c r="BW121" s="597">
        <f t="shared" si="446"/>
        <v>2094</v>
      </c>
      <c r="BX121" s="597">
        <f t="shared" si="446"/>
        <v>7044</v>
      </c>
      <c r="BY121" s="597">
        <f t="shared" si="446"/>
        <v>10440</v>
      </c>
      <c r="BZ121" s="597">
        <f t="shared" si="446"/>
        <v>13344</v>
      </c>
      <c r="CA121" s="71">
        <f t="shared" si="446"/>
        <v>13344</v>
      </c>
      <c r="CB121" s="597">
        <f t="shared" si="446"/>
        <v>3136</v>
      </c>
      <c r="CC121" s="597">
        <f t="shared" si="446"/>
        <v>7816</v>
      </c>
      <c r="CD121" s="597">
        <f t="shared" si="446"/>
        <v>12375</v>
      </c>
      <c r="CE121" s="597">
        <f t="shared" si="446"/>
        <v>15322</v>
      </c>
      <c r="CF121" s="71">
        <f t="shared" si="446"/>
        <v>15322</v>
      </c>
      <c r="CG121" s="597">
        <f t="shared" si="446"/>
        <v>2788</v>
      </c>
      <c r="CH121" s="597">
        <f t="shared" si="446"/>
        <v>2198</v>
      </c>
      <c r="CI121" s="597">
        <f t="shared" si="446"/>
        <v>-226</v>
      </c>
      <c r="CJ121" s="597">
        <f t="shared" si="446"/>
        <v>-2446</v>
      </c>
      <c r="CK121" s="71">
        <f t="shared" si="446"/>
        <v>-2446</v>
      </c>
      <c r="CL121" s="597">
        <f t="shared" si="446"/>
        <v>-4302</v>
      </c>
      <c r="CM121" s="597">
        <f t="shared" si="446"/>
        <v>-9582</v>
      </c>
      <c r="CN121" s="597">
        <f t="shared" si="446"/>
        <v>-14401</v>
      </c>
      <c r="CO121" s="597">
        <f t="shared" si="446"/>
        <v>-18410</v>
      </c>
      <c r="CP121" s="71">
        <f t="shared" si="446"/>
        <v>-18410</v>
      </c>
      <c r="CQ121" s="597">
        <f t="shared" si="446"/>
        <v>-3387</v>
      </c>
      <c r="CR121" s="597">
        <f t="shared" si="446"/>
        <v>-3870</v>
      </c>
      <c r="CS121" s="597">
        <f t="shared" si="446"/>
        <v>-4132</v>
      </c>
      <c r="CT121" s="597">
        <f t="shared" si="446"/>
        <v>-3416</v>
      </c>
      <c r="CU121" s="71">
        <f t="shared" ref="CU121" si="447">SUM(CU96:CU107)</f>
        <v>-3416</v>
      </c>
      <c r="CV121" s="597">
        <f t="shared" si="446"/>
        <v>-3216</v>
      </c>
      <c r="CW121" s="597">
        <f t="shared" si="446"/>
        <v>-3135</v>
      </c>
      <c r="CX121" s="597">
        <f t="shared" si="446"/>
        <v>55</v>
      </c>
      <c r="CY121" s="597">
        <f t="shared" si="446"/>
        <v>3512</v>
      </c>
      <c r="CZ121" s="71">
        <f t="shared" si="446"/>
        <v>3512</v>
      </c>
      <c r="DA121" s="597">
        <f t="shared" si="446"/>
        <v>-318</v>
      </c>
      <c r="DB121" s="597">
        <f t="shared" si="446"/>
        <v>2557</v>
      </c>
      <c r="DC121" s="597">
        <f t="shared" si="446"/>
        <v>2579</v>
      </c>
      <c r="DD121" s="597">
        <f t="shared" si="446"/>
        <v>5960</v>
      </c>
      <c r="DE121" s="71">
        <f t="shared" ref="DE121" si="448">SUM(DE96:DE107)</f>
        <v>5960</v>
      </c>
      <c r="DF121" s="597">
        <f t="shared" si="446"/>
        <v>-3362</v>
      </c>
      <c r="DG121" s="597">
        <f t="shared" ref="DG121:DK121" si="449">SUM(DG96:DG107)</f>
        <v>-7285</v>
      </c>
      <c r="DH121" s="1065">
        <f t="shared" si="449"/>
        <v>-8630</v>
      </c>
      <c r="DI121" s="597">
        <f t="shared" si="449"/>
        <v>-12080</v>
      </c>
      <c r="DJ121" s="71">
        <f t="shared" si="449"/>
        <v>-12080</v>
      </c>
      <c r="DK121" s="597">
        <f t="shared" si="449"/>
        <v>-1616</v>
      </c>
      <c r="DL121" s="597">
        <f t="shared" ref="DL121:DO121" si="450">SUM(DL96:DL107)</f>
        <v>-1389</v>
      </c>
      <c r="DM121" s="597">
        <f t="shared" si="450"/>
        <v>-266</v>
      </c>
      <c r="DN121" s="597">
        <f t="shared" si="450"/>
        <v>1065</v>
      </c>
      <c r="DO121" s="71">
        <f t="shared" si="450"/>
        <v>1065</v>
      </c>
      <c r="DP121" s="597">
        <f t="shared" ref="DP121:DQ121" si="451">SUM(DP96:DP107)</f>
        <v>-179</v>
      </c>
      <c r="DQ121" s="1065">
        <f t="shared" si="451"/>
        <v>1185</v>
      </c>
      <c r="DS121" s="597"/>
      <c r="DT121" s="85"/>
      <c r="DU121" s="597"/>
      <c r="DX121" s="597"/>
      <c r="DY121" s="85"/>
      <c r="DZ121" s="85"/>
      <c r="EA121" s="85"/>
      <c r="EB121" s="85"/>
    </row>
    <row r="122" spans="1:132" s="105" customFormat="1" ht="12" customHeight="1">
      <c r="A122" s="68"/>
      <c r="B122" s="68" t="s">
        <v>141</v>
      </c>
      <c r="C122" s="76">
        <v>-1391</v>
      </c>
      <c r="D122" s="76">
        <v>-1584</v>
      </c>
      <c r="E122" s="76">
        <v>-1236</v>
      </c>
      <c r="F122" s="76">
        <v>-932</v>
      </c>
      <c r="G122" s="76">
        <v>-1068</v>
      </c>
      <c r="H122" s="76">
        <v>-1001</v>
      </c>
      <c r="I122" s="76">
        <v>-741</v>
      </c>
      <c r="J122" s="77">
        <v>-182</v>
      </c>
      <c r="K122" s="77">
        <v>-294</v>
      </c>
      <c r="L122" s="77">
        <v>-626</v>
      </c>
      <c r="M122" s="77">
        <f t="shared" si="405"/>
        <v>-978</v>
      </c>
      <c r="N122" s="76">
        <v>-978</v>
      </c>
      <c r="O122" s="77">
        <v>-307</v>
      </c>
      <c r="P122" s="77">
        <v>-787</v>
      </c>
      <c r="Q122" s="77">
        <v>-1074</v>
      </c>
      <c r="R122" s="77">
        <f t="shared" si="406"/>
        <v>-1547</v>
      </c>
      <c r="S122" s="76">
        <v>-1547</v>
      </c>
      <c r="T122" s="77">
        <v>-412</v>
      </c>
      <c r="U122" s="77">
        <v>-745</v>
      </c>
      <c r="V122" s="77">
        <v>-1093</v>
      </c>
      <c r="W122" s="77">
        <f t="shared" si="407"/>
        <v>-1681</v>
      </c>
      <c r="X122" s="76">
        <v>-1681</v>
      </c>
      <c r="Y122" s="77">
        <v>-451</v>
      </c>
      <c r="Z122" s="77">
        <v>-865</v>
      </c>
      <c r="AA122" s="77">
        <v>-1282</v>
      </c>
      <c r="AB122" s="77">
        <f t="shared" si="408"/>
        <v>-1731</v>
      </c>
      <c r="AC122" s="76">
        <v>-1731</v>
      </c>
      <c r="AD122" s="77">
        <v>-409</v>
      </c>
      <c r="AE122" s="77">
        <v>-807</v>
      </c>
      <c r="AF122" s="77">
        <v>-1229</v>
      </c>
      <c r="AG122" s="77">
        <f t="shared" si="409"/>
        <v>-1674</v>
      </c>
      <c r="AH122" s="76">
        <v>-1674</v>
      </c>
      <c r="AI122" s="77">
        <v>-442</v>
      </c>
      <c r="AJ122" s="77">
        <v>-736</v>
      </c>
      <c r="AK122" s="77">
        <v>-965</v>
      </c>
      <c r="AL122" s="77">
        <v>-1186</v>
      </c>
      <c r="AM122" s="76">
        <f t="shared" si="410"/>
        <v>-1186</v>
      </c>
      <c r="AN122" s="77">
        <v>-186</v>
      </c>
      <c r="AO122" s="77">
        <v>-443</v>
      </c>
      <c r="AP122" s="77">
        <v>-725</v>
      </c>
      <c r="AQ122" s="77">
        <v>-1125</v>
      </c>
      <c r="AR122" s="76">
        <f t="shared" si="411"/>
        <v>-1125</v>
      </c>
      <c r="AS122" s="77">
        <v>-417</v>
      </c>
      <c r="AT122" s="77">
        <v>-762</v>
      </c>
      <c r="AU122" s="86">
        <v>-1142</v>
      </c>
      <c r="AV122" s="77">
        <v>-1713</v>
      </c>
      <c r="AW122" s="76">
        <f t="shared" si="412"/>
        <v>-1713</v>
      </c>
      <c r="AX122" s="77">
        <v>-424</v>
      </c>
      <c r="AY122" s="77">
        <v>-780</v>
      </c>
      <c r="AZ122" s="77">
        <v>-1208</v>
      </c>
      <c r="BA122" s="77">
        <v>-1703</v>
      </c>
      <c r="BB122" s="76">
        <f t="shared" si="413"/>
        <v>-1703</v>
      </c>
      <c r="BC122" s="77">
        <v>-521</v>
      </c>
      <c r="BD122" s="77">
        <v>-976</v>
      </c>
      <c r="BE122" s="77">
        <v>-1460</v>
      </c>
      <c r="BF122" s="77">
        <v>-2098</v>
      </c>
      <c r="BG122" s="76">
        <f t="shared" si="414"/>
        <v>-2098</v>
      </c>
      <c r="BH122" s="77">
        <v>-497</v>
      </c>
      <c r="BI122" s="693">
        <v>-946</v>
      </c>
      <c r="BJ122" s="77">
        <v>-1568</v>
      </c>
      <c r="BK122" s="77">
        <v>-2236</v>
      </c>
      <c r="BL122" s="76">
        <f t="shared" si="415"/>
        <v>-2236</v>
      </c>
      <c r="BM122" s="77">
        <v>-574</v>
      </c>
      <c r="BN122" s="693">
        <v>-1266</v>
      </c>
      <c r="BO122" s="77">
        <v>-1827</v>
      </c>
      <c r="BP122" s="77">
        <v>-2450</v>
      </c>
      <c r="BQ122" s="76">
        <f t="shared" si="416"/>
        <v>-2450</v>
      </c>
      <c r="BR122" s="77">
        <v>-748</v>
      </c>
      <c r="BS122" s="693">
        <v>-1419</v>
      </c>
      <c r="BT122" s="77">
        <v>-2014</v>
      </c>
      <c r="BU122" s="77">
        <v>-2613</v>
      </c>
      <c r="BV122" s="76">
        <f t="shared" si="417"/>
        <v>-2613</v>
      </c>
      <c r="BW122" s="77">
        <v>-466</v>
      </c>
      <c r="BX122" s="693">
        <v>-905</v>
      </c>
      <c r="BY122" s="77">
        <v>-1304</v>
      </c>
      <c r="BZ122" s="77">
        <v>-1739</v>
      </c>
      <c r="CA122" s="76">
        <f t="shared" si="418"/>
        <v>-1739</v>
      </c>
      <c r="CB122" s="77">
        <v>-394</v>
      </c>
      <c r="CC122" s="693">
        <v>-770</v>
      </c>
      <c r="CD122" s="77">
        <v>-1227</v>
      </c>
      <c r="CE122" s="77">
        <v>-1722</v>
      </c>
      <c r="CF122" s="76">
        <f t="shared" si="419"/>
        <v>-1722</v>
      </c>
      <c r="CG122" s="693">
        <v>-501</v>
      </c>
      <c r="CH122" s="693">
        <v>-922</v>
      </c>
      <c r="CI122" s="693">
        <v>-1387</v>
      </c>
      <c r="CJ122" s="693">
        <v>-1834</v>
      </c>
      <c r="CK122" s="76">
        <f t="shared" si="420"/>
        <v>-1834</v>
      </c>
      <c r="CL122" s="77">
        <v>-428</v>
      </c>
      <c r="CM122" s="77">
        <v>-776</v>
      </c>
      <c r="CN122" s="77">
        <v>-1038</v>
      </c>
      <c r="CO122" s="77">
        <v>-1303</v>
      </c>
      <c r="CP122" s="76">
        <f t="shared" si="421"/>
        <v>-1303</v>
      </c>
      <c r="CQ122" s="77">
        <v>-291</v>
      </c>
      <c r="CR122" s="77">
        <v>-513</v>
      </c>
      <c r="CS122" s="77">
        <v>-758</v>
      </c>
      <c r="CT122" s="77">
        <v>-980</v>
      </c>
      <c r="CU122" s="76">
        <f t="shared" si="422"/>
        <v>-980</v>
      </c>
      <c r="CV122" s="77">
        <v>-349</v>
      </c>
      <c r="CW122" s="77">
        <v>-612</v>
      </c>
      <c r="CX122" s="77">
        <v>-896</v>
      </c>
      <c r="CY122" s="77">
        <v>-1222</v>
      </c>
      <c r="CZ122" s="76">
        <f t="shared" si="423"/>
        <v>-1222</v>
      </c>
      <c r="DA122" s="77">
        <v>-468</v>
      </c>
      <c r="DB122" s="77">
        <v>-764</v>
      </c>
      <c r="DC122" s="77">
        <v>-1096</v>
      </c>
      <c r="DD122" s="77">
        <v>-1527</v>
      </c>
      <c r="DE122" s="76">
        <f t="shared" si="424"/>
        <v>-1527</v>
      </c>
      <c r="DF122" s="77">
        <v>-567</v>
      </c>
      <c r="DG122" s="16">
        <v>-971</v>
      </c>
      <c r="DH122" s="593">
        <v>-1582</v>
      </c>
      <c r="DI122" s="1074">
        <v>-2230</v>
      </c>
      <c r="DJ122" s="76">
        <f t="shared" ref="DJ122:DJ127" si="452">DI122</f>
        <v>-2230</v>
      </c>
      <c r="DK122" s="1074">
        <v>-674</v>
      </c>
      <c r="DL122" s="1074">
        <v>-1101</v>
      </c>
      <c r="DM122" s="1074">
        <v>-1986</v>
      </c>
      <c r="DN122" s="1074">
        <v>-2942</v>
      </c>
      <c r="DO122" s="76">
        <f t="shared" ref="DO122:DO127" si="453">DN122</f>
        <v>-2942</v>
      </c>
      <c r="DP122" s="1074">
        <v>-1275</v>
      </c>
      <c r="DQ122" s="1086">
        <v>-2008</v>
      </c>
      <c r="DS122" s="77"/>
      <c r="DT122" s="93"/>
      <c r="DU122" s="1074"/>
      <c r="DX122" s="77"/>
      <c r="DY122" s="93"/>
      <c r="DZ122" s="93"/>
      <c r="EA122" s="93"/>
      <c r="EB122" s="93"/>
    </row>
    <row r="123" spans="1:132" s="105" customFormat="1" ht="12" customHeight="1">
      <c r="A123" s="68"/>
      <c r="B123" s="68" t="s">
        <v>142</v>
      </c>
      <c r="C123" s="76">
        <v>0</v>
      </c>
      <c r="D123" s="76">
        <v>0</v>
      </c>
      <c r="E123" s="76">
        <v>0</v>
      </c>
      <c r="F123" s="76">
        <v>0</v>
      </c>
      <c r="G123" s="76">
        <v>0</v>
      </c>
      <c r="H123" s="76">
        <v>0</v>
      </c>
      <c r="I123" s="76">
        <v>0</v>
      </c>
      <c r="J123" s="77">
        <v>0</v>
      </c>
      <c r="K123" s="77">
        <v>0</v>
      </c>
      <c r="L123" s="77">
        <v>0</v>
      </c>
      <c r="M123" s="77">
        <f t="shared" si="405"/>
        <v>0</v>
      </c>
      <c r="N123" s="76">
        <v>0</v>
      </c>
      <c r="O123" s="77">
        <v>29</v>
      </c>
      <c r="P123" s="77">
        <v>19</v>
      </c>
      <c r="Q123" s="77">
        <v>17</v>
      </c>
      <c r="R123" s="77">
        <f t="shared" si="406"/>
        <v>51</v>
      </c>
      <c r="S123" s="76">
        <v>51</v>
      </c>
      <c r="T123" s="77">
        <v>0</v>
      </c>
      <c r="U123" s="77">
        <v>23</v>
      </c>
      <c r="V123" s="77">
        <v>86</v>
      </c>
      <c r="W123" s="77">
        <f t="shared" si="407"/>
        <v>225</v>
      </c>
      <c r="X123" s="76">
        <v>225</v>
      </c>
      <c r="Y123" s="77">
        <v>0</v>
      </c>
      <c r="Z123" s="77">
        <v>17</v>
      </c>
      <c r="AA123" s="77">
        <v>22</v>
      </c>
      <c r="AB123" s="77">
        <f t="shared" si="408"/>
        <v>59</v>
      </c>
      <c r="AC123" s="76">
        <v>59</v>
      </c>
      <c r="AD123" s="77">
        <v>9</v>
      </c>
      <c r="AE123" s="77">
        <v>16</v>
      </c>
      <c r="AF123" s="77">
        <v>16</v>
      </c>
      <c r="AG123" s="77">
        <f t="shared" si="409"/>
        <v>34</v>
      </c>
      <c r="AH123" s="76">
        <v>34</v>
      </c>
      <c r="AI123" s="77">
        <v>25</v>
      </c>
      <c r="AJ123" s="77">
        <v>23</v>
      </c>
      <c r="AK123" s="77">
        <v>25</v>
      </c>
      <c r="AL123" s="77">
        <v>27</v>
      </c>
      <c r="AM123" s="76">
        <f t="shared" si="410"/>
        <v>27</v>
      </c>
      <c r="AN123" s="77">
        <v>3</v>
      </c>
      <c r="AO123" s="77">
        <v>22</v>
      </c>
      <c r="AP123" s="77">
        <v>47</v>
      </c>
      <c r="AQ123" s="77">
        <v>63</v>
      </c>
      <c r="AR123" s="76">
        <f t="shared" si="411"/>
        <v>63</v>
      </c>
      <c r="AS123" s="77">
        <v>14</v>
      </c>
      <c r="AT123" s="77">
        <v>19</v>
      </c>
      <c r="AU123" s="86">
        <v>54</v>
      </c>
      <c r="AV123" s="77">
        <v>94</v>
      </c>
      <c r="AW123" s="76">
        <f t="shared" si="412"/>
        <v>94</v>
      </c>
      <c r="AX123" s="77">
        <v>4</v>
      </c>
      <c r="AY123" s="77">
        <v>16</v>
      </c>
      <c r="AZ123" s="77">
        <v>29</v>
      </c>
      <c r="BA123" s="77">
        <v>97</v>
      </c>
      <c r="BB123" s="76">
        <f t="shared" si="413"/>
        <v>97</v>
      </c>
      <c r="BC123" s="77">
        <v>33</v>
      </c>
      <c r="BD123" s="77">
        <v>44</v>
      </c>
      <c r="BE123" s="77">
        <v>47</v>
      </c>
      <c r="BF123" s="77">
        <v>51</v>
      </c>
      <c r="BG123" s="76">
        <f t="shared" si="414"/>
        <v>51</v>
      </c>
      <c r="BH123" s="77">
        <v>15</v>
      </c>
      <c r="BI123" s="693">
        <v>17</v>
      </c>
      <c r="BJ123" s="77">
        <v>27</v>
      </c>
      <c r="BK123" s="77">
        <v>34</v>
      </c>
      <c r="BL123" s="76">
        <f t="shared" si="415"/>
        <v>34</v>
      </c>
      <c r="BM123" s="77">
        <v>0</v>
      </c>
      <c r="BN123" s="693">
        <v>20</v>
      </c>
      <c r="BO123" s="77">
        <v>24</v>
      </c>
      <c r="BP123" s="77">
        <v>42</v>
      </c>
      <c r="BQ123" s="76">
        <f t="shared" si="416"/>
        <v>42</v>
      </c>
      <c r="BR123" s="77">
        <v>11</v>
      </c>
      <c r="BS123" s="693">
        <v>13</v>
      </c>
      <c r="BT123" s="77">
        <v>14</v>
      </c>
      <c r="BU123" s="77">
        <v>38</v>
      </c>
      <c r="BV123" s="76">
        <f t="shared" si="417"/>
        <v>38</v>
      </c>
      <c r="BW123" s="77">
        <v>9</v>
      </c>
      <c r="BX123" s="693">
        <v>25</v>
      </c>
      <c r="BY123" s="77">
        <v>30</v>
      </c>
      <c r="BZ123" s="77">
        <v>92</v>
      </c>
      <c r="CA123" s="76">
        <f t="shared" si="418"/>
        <v>92</v>
      </c>
      <c r="CB123" s="77">
        <v>27</v>
      </c>
      <c r="CC123" s="693">
        <v>41</v>
      </c>
      <c r="CD123" s="77">
        <v>117</v>
      </c>
      <c r="CE123" s="77">
        <v>120</v>
      </c>
      <c r="CF123" s="76">
        <f t="shared" si="419"/>
        <v>120</v>
      </c>
      <c r="CG123" s="693">
        <v>110</v>
      </c>
      <c r="CH123" s="693">
        <v>331</v>
      </c>
      <c r="CI123" s="693">
        <v>334</v>
      </c>
      <c r="CJ123" s="693">
        <v>334</v>
      </c>
      <c r="CK123" s="76">
        <f t="shared" si="420"/>
        <v>334</v>
      </c>
      <c r="CL123" s="77">
        <v>58</v>
      </c>
      <c r="CM123" s="77">
        <v>96</v>
      </c>
      <c r="CN123" s="77">
        <v>275</v>
      </c>
      <c r="CO123" s="77">
        <v>296</v>
      </c>
      <c r="CP123" s="76">
        <f t="shared" si="421"/>
        <v>296</v>
      </c>
      <c r="CQ123" s="77">
        <v>2</v>
      </c>
      <c r="CR123" s="77">
        <v>51</v>
      </c>
      <c r="CS123" s="77">
        <v>385</v>
      </c>
      <c r="CT123" s="77">
        <v>529</v>
      </c>
      <c r="CU123" s="76">
        <f t="shared" si="422"/>
        <v>529</v>
      </c>
      <c r="CV123" s="77">
        <v>8</v>
      </c>
      <c r="CW123" s="77">
        <v>16</v>
      </c>
      <c r="CX123" s="77">
        <v>19</v>
      </c>
      <c r="CY123" s="77">
        <v>35</v>
      </c>
      <c r="CZ123" s="76">
        <f t="shared" si="423"/>
        <v>35</v>
      </c>
      <c r="DA123" s="77">
        <v>5</v>
      </c>
      <c r="DB123" s="77">
        <v>13</v>
      </c>
      <c r="DC123" s="77">
        <v>19</v>
      </c>
      <c r="DD123" s="77">
        <v>27</v>
      </c>
      <c r="DE123" s="76">
        <f t="shared" si="424"/>
        <v>27</v>
      </c>
      <c r="DF123" s="77">
        <v>11</v>
      </c>
      <c r="DG123" s="16">
        <v>30</v>
      </c>
      <c r="DH123" s="593">
        <v>46</v>
      </c>
      <c r="DI123" s="1074">
        <v>49</v>
      </c>
      <c r="DJ123" s="76">
        <f t="shared" si="452"/>
        <v>49</v>
      </c>
      <c r="DK123" s="1074">
        <v>3</v>
      </c>
      <c r="DL123" s="1074">
        <v>4</v>
      </c>
      <c r="DM123" s="1074">
        <v>5</v>
      </c>
      <c r="DN123" s="1074">
        <v>82</v>
      </c>
      <c r="DO123" s="76">
        <f t="shared" si="453"/>
        <v>82</v>
      </c>
      <c r="DP123" s="1074">
        <v>2</v>
      </c>
      <c r="DQ123" s="1086">
        <v>3</v>
      </c>
      <c r="DS123" s="77"/>
      <c r="DT123" s="93"/>
      <c r="DU123" s="1074"/>
      <c r="DX123" s="77"/>
      <c r="DY123" s="93"/>
      <c r="DZ123" s="93"/>
      <c r="EA123" s="93"/>
      <c r="EB123" s="93"/>
    </row>
    <row r="124" spans="1:132" s="105" customFormat="1" ht="12" customHeight="1">
      <c r="A124" s="68"/>
      <c r="B124" s="68" t="s">
        <v>143</v>
      </c>
      <c r="C124" s="76">
        <v>0</v>
      </c>
      <c r="D124" s="76">
        <v>0</v>
      </c>
      <c r="E124" s="76">
        <v>0</v>
      </c>
      <c r="F124" s="76">
        <v>-5727</v>
      </c>
      <c r="G124" s="76">
        <v>-22</v>
      </c>
      <c r="H124" s="76">
        <v>-22</v>
      </c>
      <c r="I124" s="76">
        <v>289</v>
      </c>
      <c r="J124" s="77">
        <v>0</v>
      </c>
      <c r="K124" s="77">
        <f>-36</f>
        <v>-36</v>
      </c>
      <c r="L124" s="77">
        <v>-36</v>
      </c>
      <c r="M124" s="77">
        <f t="shared" si="405"/>
        <v>-34</v>
      </c>
      <c r="N124" s="76">
        <v>-34</v>
      </c>
      <c r="O124" s="77">
        <v>0</v>
      </c>
      <c r="P124" s="77">
        <v>0</v>
      </c>
      <c r="Q124" s="77">
        <v>-164</v>
      </c>
      <c r="R124" s="77">
        <f t="shared" si="406"/>
        <v>-172</v>
      </c>
      <c r="S124" s="76">
        <v>-172</v>
      </c>
      <c r="T124" s="77">
        <v>0</v>
      </c>
      <c r="U124" s="77">
        <v>-111</v>
      </c>
      <c r="V124" s="77">
        <v>-1854</v>
      </c>
      <c r="W124" s="77">
        <f t="shared" si="407"/>
        <v>-1854</v>
      </c>
      <c r="X124" s="76">
        <v>-1854</v>
      </c>
      <c r="Y124" s="77">
        <v>-75</v>
      </c>
      <c r="Z124" s="77">
        <v>-75</v>
      </c>
      <c r="AA124" s="77">
        <v>-75</v>
      </c>
      <c r="AB124" s="77">
        <f t="shared" si="408"/>
        <v>-75</v>
      </c>
      <c r="AC124" s="76">
        <v>-75</v>
      </c>
      <c r="AD124" s="77">
        <v>-40</v>
      </c>
      <c r="AE124" s="77">
        <v>-94</v>
      </c>
      <c r="AF124" s="77">
        <v>-490</v>
      </c>
      <c r="AG124" s="77">
        <f t="shared" si="409"/>
        <v>-964</v>
      </c>
      <c r="AH124" s="76">
        <v>-964</v>
      </c>
      <c r="AI124" s="77">
        <v>-30</v>
      </c>
      <c r="AJ124" s="77">
        <v>-47</v>
      </c>
      <c r="AK124" s="77">
        <v>-639</v>
      </c>
      <c r="AL124" s="77">
        <v>-639</v>
      </c>
      <c r="AM124" s="76">
        <f t="shared" si="410"/>
        <v>-639</v>
      </c>
      <c r="AN124" s="77">
        <v>-24</v>
      </c>
      <c r="AO124" s="77">
        <v>-24</v>
      </c>
      <c r="AP124" s="77">
        <v>-867</v>
      </c>
      <c r="AQ124" s="77">
        <v>-932</v>
      </c>
      <c r="AR124" s="76">
        <f t="shared" si="411"/>
        <v>-932</v>
      </c>
      <c r="AS124" s="77">
        <v>-16</v>
      </c>
      <c r="AT124" s="77">
        <v>-16</v>
      </c>
      <c r="AU124" s="86">
        <v>-42</v>
      </c>
      <c r="AV124" s="77">
        <v>-42</v>
      </c>
      <c r="AW124" s="76">
        <f t="shared" si="412"/>
        <v>-42</v>
      </c>
      <c r="AX124" s="77"/>
      <c r="AY124" s="77">
        <v>-18</v>
      </c>
      <c r="AZ124" s="77">
        <v>-18</v>
      </c>
      <c r="BA124" s="77">
        <v>-124</v>
      </c>
      <c r="BB124" s="76">
        <f t="shared" si="413"/>
        <v>-124</v>
      </c>
      <c r="BC124" s="77">
        <v>-26</v>
      </c>
      <c r="BD124" s="77">
        <v>-26</v>
      </c>
      <c r="BE124" s="77">
        <v>-26</v>
      </c>
      <c r="BF124" s="77">
        <v>-26</v>
      </c>
      <c r="BG124" s="76">
        <f t="shared" si="414"/>
        <v>-26</v>
      </c>
      <c r="BH124" s="77">
        <v>0</v>
      </c>
      <c r="BI124" s="693">
        <v>-163</v>
      </c>
      <c r="BJ124" s="77">
        <v>-163</v>
      </c>
      <c r="BK124" s="77">
        <v>-163</v>
      </c>
      <c r="BL124" s="76">
        <f t="shared" si="415"/>
        <v>-163</v>
      </c>
      <c r="BM124" s="77">
        <v>0</v>
      </c>
      <c r="BN124" s="693">
        <v>-23</v>
      </c>
      <c r="BO124" s="77">
        <v>-23</v>
      </c>
      <c r="BP124" s="77">
        <v>-31</v>
      </c>
      <c r="BQ124" s="76">
        <f t="shared" si="416"/>
        <v>-31</v>
      </c>
      <c r="BR124" s="77">
        <v>0</v>
      </c>
      <c r="BS124" s="693">
        <v>0</v>
      </c>
      <c r="BT124" s="693">
        <v>0</v>
      </c>
      <c r="BU124" s="77">
        <v>-297</v>
      </c>
      <c r="BV124" s="76">
        <f t="shared" si="417"/>
        <v>-297</v>
      </c>
      <c r="BW124" s="77">
        <v>0</v>
      </c>
      <c r="BX124" s="693">
        <v>0</v>
      </c>
      <c r="BY124" s="77">
        <v>0</v>
      </c>
      <c r="BZ124" s="77">
        <v>-324</v>
      </c>
      <c r="CA124" s="76">
        <f t="shared" si="418"/>
        <v>-324</v>
      </c>
      <c r="CB124" s="77"/>
      <c r="CC124" s="693"/>
      <c r="CD124" s="77">
        <v>-250</v>
      </c>
      <c r="CE124" s="77">
        <v>-3230</v>
      </c>
      <c r="CF124" s="76">
        <f t="shared" si="419"/>
        <v>-3230</v>
      </c>
      <c r="CG124" s="693">
        <v>-276</v>
      </c>
      <c r="CH124" s="693">
        <v>-492</v>
      </c>
      <c r="CI124" s="693">
        <v>-492</v>
      </c>
      <c r="CJ124" s="693">
        <f>-455+464</f>
        <v>9</v>
      </c>
      <c r="CK124" s="76">
        <f t="shared" si="420"/>
        <v>9</v>
      </c>
      <c r="CL124" s="77"/>
      <c r="CM124" s="77"/>
      <c r="CN124" s="77"/>
      <c r="CO124" s="77"/>
      <c r="CP124" s="76">
        <f t="shared" si="421"/>
        <v>0</v>
      </c>
      <c r="CQ124" s="77"/>
      <c r="CR124" s="77"/>
      <c r="CS124" s="77">
        <v>-6</v>
      </c>
      <c r="CT124" s="77">
        <v>-6</v>
      </c>
      <c r="CU124" s="76">
        <f t="shared" si="422"/>
        <v>-6</v>
      </c>
      <c r="CV124" s="77"/>
      <c r="CW124" s="77"/>
      <c r="CX124" s="77"/>
      <c r="CY124" s="77"/>
      <c r="CZ124" s="76">
        <f t="shared" si="423"/>
        <v>0</v>
      </c>
      <c r="DA124" s="77"/>
      <c r="DB124" s="77"/>
      <c r="DC124" s="77">
        <v>-19</v>
      </c>
      <c r="DD124" s="77">
        <v>-70</v>
      </c>
      <c r="DE124" s="76">
        <f t="shared" si="424"/>
        <v>-70</v>
      </c>
      <c r="DF124" s="77"/>
      <c r="DG124" s="16"/>
      <c r="DH124" s="593">
        <v>-50</v>
      </c>
      <c r="DI124" s="1074">
        <v>-50</v>
      </c>
      <c r="DJ124" s="76">
        <f t="shared" si="452"/>
        <v>-50</v>
      </c>
      <c r="DK124" s="77"/>
      <c r="DL124" s="16"/>
      <c r="DM124" s="1074">
        <v>35</v>
      </c>
      <c r="DN124" s="1074">
        <v>-1248</v>
      </c>
      <c r="DO124" s="76">
        <f t="shared" si="453"/>
        <v>-1248</v>
      </c>
      <c r="DP124" s="1074">
        <v>0</v>
      </c>
      <c r="DQ124" s="593"/>
      <c r="DS124" s="77"/>
      <c r="DT124" s="93"/>
      <c r="DU124" s="77"/>
      <c r="DX124" s="77"/>
      <c r="DY124" s="93"/>
      <c r="DZ124" s="93"/>
      <c r="EA124" s="93"/>
      <c r="EB124" s="93"/>
    </row>
    <row r="125" spans="1:132" s="105" customFormat="1" ht="12" customHeight="1">
      <c r="A125" s="68"/>
      <c r="B125" s="68" t="s">
        <v>94</v>
      </c>
      <c r="C125" s="76">
        <v>0</v>
      </c>
      <c r="D125" s="76">
        <v>0</v>
      </c>
      <c r="E125" s="76">
        <v>0</v>
      </c>
      <c r="F125" s="76">
        <v>0</v>
      </c>
      <c r="G125" s="76">
        <v>0</v>
      </c>
      <c r="H125" s="76">
        <v>-505</v>
      </c>
      <c r="I125" s="76">
        <v>-102</v>
      </c>
      <c r="J125" s="77">
        <v>-14</v>
      </c>
      <c r="K125" s="77">
        <f>-38</f>
        <v>-38</v>
      </c>
      <c r="L125" s="77">
        <v>-1349</v>
      </c>
      <c r="M125" s="77">
        <f t="shared" si="405"/>
        <v>-4142</v>
      </c>
      <c r="N125" s="76">
        <v>-4142</v>
      </c>
      <c r="O125" s="77">
        <v>-822</v>
      </c>
      <c r="P125" s="77">
        <v>-1430</v>
      </c>
      <c r="Q125" s="77">
        <v>-2162</v>
      </c>
      <c r="R125" s="77">
        <f t="shared" si="406"/>
        <v>-2866</v>
      </c>
      <c r="S125" s="76">
        <v>-2866</v>
      </c>
      <c r="T125" s="77">
        <v>-542</v>
      </c>
      <c r="U125" s="77">
        <v>-1047</v>
      </c>
      <c r="V125" s="77">
        <v>-1591</v>
      </c>
      <c r="W125" s="77">
        <f t="shared" si="407"/>
        <v>-2815</v>
      </c>
      <c r="X125" s="76">
        <v>-2815</v>
      </c>
      <c r="Y125" s="77">
        <v>-947</v>
      </c>
      <c r="Z125" s="77">
        <v>-1838</v>
      </c>
      <c r="AA125" s="77">
        <v>-2673</v>
      </c>
      <c r="AB125" s="77">
        <f t="shared" si="408"/>
        <v>-5710</v>
      </c>
      <c r="AC125" s="76">
        <v>-5710</v>
      </c>
      <c r="AD125" s="77">
        <v>-2958</v>
      </c>
      <c r="AE125" s="77">
        <v>-5606</v>
      </c>
      <c r="AF125" s="77">
        <v>-6372</v>
      </c>
      <c r="AG125" s="77">
        <f t="shared" si="409"/>
        <v>-6673</v>
      </c>
      <c r="AH125" s="76">
        <v>-6673</v>
      </c>
      <c r="AI125" s="77">
        <v>-200</v>
      </c>
      <c r="AJ125" s="77">
        <v>-372</v>
      </c>
      <c r="AK125" s="77">
        <v>-728</v>
      </c>
      <c r="AL125" s="77">
        <v>-2629</v>
      </c>
      <c r="AM125" s="76">
        <f t="shared" si="410"/>
        <v>-2629</v>
      </c>
      <c r="AN125" s="77">
        <v>-4744</v>
      </c>
      <c r="AO125" s="77">
        <v>-7101</v>
      </c>
      <c r="AP125" s="77">
        <v>-12745</v>
      </c>
      <c r="AQ125" s="77">
        <v>-15548</v>
      </c>
      <c r="AR125" s="76">
        <f t="shared" si="411"/>
        <v>-15548</v>
      </c>
      <c r="AS125" s="77">
        <v>-1644</v>
      </c>
      <c r="AT125" s="77">
        <v>-4454</v>
      </c>
      <c r="AU125" s="86">
        <v>-6089</v>
      </c>
      <c r="AV125" s="77">
        <v>-6796</v>
      </c>
      <c r="AW125" s="76">
        <f t="shared" si="412"/>
        <v>-6796</v>
      </c>
      <c r="AX125" s="77">
        <v>-3718</v>
      </c>
      <c r="AY125" s="77">
        <v>-6396</v>
      </c>
      <c r="AZ125" s="77">
        <v>-10331</v>
      </c>
      <c r="BA125" s="77">
        <v>-12921</v>
      </c>
      <c r="BB125" s="76">
        <f t="shared" si="413"/>
        <v>-12921</v>
      </c>
      <c r="BC125" s="77">
        <v>-2955</v>
      </c>
      <c r="BD125" s="77">
        <v>-7045</v>
      </c>
      <c r="BE125" s="77">
        <v>-9640</v>
      </c>
      <c r="BF125" s="77">
        <v>-15394</v>
      </c>
      <c r="BG125" s="76">
        <f t="shared" si="414"/>
        <v>-15394</v>
      </c>
      <c r="BH125" s="77">
        <v>-2737</v>
      </c>
      <c r="BI125" s="693">
        <v>-5657</v>
      </c>
      <c r="BJ125" s="77">
        <v>-7874</v>
      </c>
      <c r="BK125" s="77">
        <v>-8617</v>
      </c>
      <c r="BL125" s="76">
        <f t="shared" si="415"/>
        <v>-8617</v>
      </c>
      <c r="BM125" s="77">
        <v>-807</v>
      </c>
      <c r="BN125" s="693">
        <v>-1205</v>
      </c>
      <c r="BO125" s="77">
        <v>-1341</v>
      </c>
      <c r="BP125" s="77">
        <v>-2036</v>
      </c>
      <c r="BQ125" s="76">
        <f t="shared" si="416"/>
        <v>-2036</v>
      </c>
      <c r="BR125" s="77">
        <v>-204</v>
      </c>
      <c r="BS125" s="693">
        <v>-657</v>
      </c>
      <c r="BT125" s="77">
        <v>-928</v>
      </c>
      <c r="BU125" s="77">
        <v>-1719</v>
      </c>
      <c r="BV125" s="76">
        <f t="shared" si="417"/>
        <v>-1719</v>
      </c>
      <c r="BW125" s="77">
        <v>-605</v>
      </c>
      <c r="BX125" s="693">
        <v>-1820</v>
      </c>
      <c r="BY125" s="77">
        <v>-2847</v>
      </c>
      <c r="BZ125" s="77">
        <v>-3601</v>
      </c>
      <c r="CA125" s="76">
        <f t="shared" si="418"/>
        <v>-3601</v>
      </c>
      <c r="CB125" s="77">
        <v>-249</v>
      </c>
      <c r="CC125" s="693">
        <v>-1537</v>
      </c>
      <c r="CD125" s="77">
        <v>-2145</v>
      </c>
      <c r="CE125" s="77">
        <v>-2607</v>
      </c>
      <c r="CF125" s="76">
        <f t="shared" si="419"/>
        <v>-2607</v>
      </c>
      <c r="CG125" s="693">
        <v>-457</v>
      </c>
      <c r="CH125" s="693">
        <v>-496</v>
      </c>
      <c r="CI125" s="693">
        <v>-1439</v>
      </c>
      <c r="CJ125" s="693">
        <v>-1658</v>
      </c>
      <c r="CK125" s="76">
        <f t="shared" si="420"/>
        <v>-1658</v>
      </c>
      <c r="CL125" s="77">
        <v>-244</v>
      </c>
      <c r="CM125" s="77">
        <v>-12557</v>
      </c>
      <c r="CN125" s="77">
        <v>-25846</v>
      </c>
      <c r="CO125" s="77">
        <v>-37616</v>
      </c>
      <c r="CP125" s="76">
        <f t="shared" si="421"/>
        <v>-37616</v>
      </c>
      <c r="CQ125" s="77">
        <v>-9688</v>
      </c>
      <c r="CR125" s="77">
        <v>-20108</v>
      </c>
      <c r="CS125" s="77">
        <v>-27902</v>
      </c>
      <c r="CT125" s="77">
        <v>-35713</v>
      </c>
      <c r="CU125" s="76">
        <f t="shared" si="422"/>
        <v>-35713</v>
      </c>
      <c r="CV125" s="77">
        <v>-1732</v>
      </c>
      <c r="CW125" s="77">
        <v>-2471</v>
      </c>
      <c r="CX125" s="77">
        <v>-2773</v>
      </c>
      <c r="CY125" s="77">
        <v>-5051</v>
      </c>
      <c r="CZ125" s="76">
        <f t="shared" si="423"/>
        <v>-5051</v>
      </c>
      <c r="DA125" s="77">
        <v>-3561</v>
      </c>
      <c r="DB125" s="77">
        <v>-9496</v>
      </c>
      <c r="DC125" s="77">
        <v>-14485</v>
      </c>
      <c r="DD125" s="77">
        <v>-16448</v>
      </c>
      <c r="DE125" s="76">
        <f t="shared" si="424"/>
        <v>-16448</v>
      </c>
      <c r="DF125" s="77">
        <v>-243</v>
      </c>
      <c r="DG125" s="16">
        <v>-1617</v>
      </c>
      <c r="DH125" s="593">
        <v>-1751</v>
      </c>
      <c r="DI125" s="1074">
        <v>-13856</v>
      </c>
      <c r="DJ125" s="76">
        <f t="shared" si="452"/>
        <v>-13856</v>
      </c>
      <c r="DK125" s="1074">
        <v>-8797</v>
      </c>
      <c r="DL125" s="1074">
        <v>-21581</v>
      </c>
      <c r="DM125" s="1074">
        <v>-36337</v>
      </c>
      <c r="DN125" s="1074">
        <v>-51938</v>
      </c>
      <c r="DO125" s="76">
        <f t="shared" si="453"/>
        <v>-51938</v>
      </c>
      <c r="DP125" s="1074">
        <v>-9265</v>
      </c>
      <c r="DQ125" s="1086">
        <v>-19444</v>
      </c>
      <c r="DS125" s="77"/>
      <c r="DT125" s="93"/>
      <c r="DU125" s="1074"/>
      <c r="DX125" s="77"/>
      <c r="DY125" s="93"/>
      <c r="DZ125" s="93"/>
      <c r="EA125" s="93"/>
      <c r="EB125" s="93"/>
    </row>
    <row r="126" spans="1:132" s="105" customFormat="1" ht="12" customHeight="1">
      <c r="A126" s="68"/>
      <c r="B126" s="68" t="s">
        <v>95</v>
      </c>
      <c r="C126" s="76">
        <v>0</v>
      </c>
      <c r="D126" s="76">
        <v>0</v>
      </c>
      <c r="E126" s="76">
        <v>0</v>
      </c>
      <c r="F126" s="76">
        <v>0</v>
      </c>
      <c r="G126" s="76">
        <v>0</v>
      </c>
      <c r="H126" s="76">
        <v>140</v>
      </c>
      <c r="I126" s="76">
        <v>255</v>
      </c>
      <c r="J126" s="77">
        <v>75</v>
      </c>
      <c r="K126" s="77">
        <v>119</v>
      </c>
      <c r="L126" s="77">
        <f>151</f>
        <v>151</v>
      </c>
      <c r="M126" s="77">
        <f t="shared" si="405"/>
        <v>1400</v>
      </c>
      <c r="N126" s="76">
        <v>1400</v>
      </c>
      <c r="O126" s="77">
        <v>748</v>
      </c>
      <c r="P126" s="77">
        <v>1377</v>
      </c>
      <c r="Q126" s="77">
        <v>2094</v>
      </c>
      <c r="R126" s="77">
        <f t="shared" si="406"/>
        <v>2725</v>
      </c>
      <c r="S126" s="76">
        <v>2725</v>
      </c>
      <c r="T126" s="77">
        <v>641</v>
      </c>
      <c r="U126" s="77">
        <v>1126</v>
      </c>
      <c r="V126" s="77">
        <v>1775</v>
      </c>
      <c r="W126" s="77">
        <f t="shared" si="407"/>
        <v>2850</v>
      </c>
      <c r="X126" s="76">
        <v>2850</v>
      </c>
      <c r="Y126" s="77">
        <v>848</v>
      </c>
      <c r="Z126" s="77">
        <v>1611</v>
      </c>
      <c r="AA126" s="77">
        <v>2563</v>
      </c>
      <c r="AB126" s="77">
        <f t="shared" si="408"/>
        <v>3817</v>
      </c>
      <c r="AC126" s="76">
        <v>3817</v>
      </c>
      <c r="AD126" s="77">
        <v>3630</v>
      </c>
      <c r="AE126" s="77">
        <v>6238</v>
      </c>
      <c r="AF126" s="77">
        <v>8399</v>
      </c>
      <c r="AG126" s="77">
        <f t="shared" si="409"/>
        <v>11343</v>
      </c>
      <c r="AH126" s="76">
        <v>11343</v>
      </c>
      <c r="AI126" s="77">
        <v>49</v>
      </c>
      <c r="AJ126" s="77">
        <v>286</v>
      </c>
      <c r="AK126" s="77">
        <v>606</v>
      </c>
      <c r="AL126" s="77">
        <v>1041</v>
      </c>
      <c r="AM126" s="76">
        <f t="shared" si="410"/>
        <v>1041</v>
      </c>
      <c r="AN126" s="77">
        <v>910</v>
      </c>
      <c r="AO126" s="77">
        <v>3557</v>
      </c>
      <c r="AP126" s="77">
        <v>7657</v>
      </c>
      <c r="AQ126" s="77">
        <v>12425</v>
      </c>
      <c r="AR126" s="76">
        <f t="shared" si="411"/>
        <v>12425</v>
      </c>
      <c r="AS126" s="77">
        <v>4701</v>
      </c>
      <c r="AT126" s="77">
        <v>5902</v>
      </c>
      <c r="AU126" s="86">
        <v>8006</v>
      </c>
      <c r="AV126" s="77">
        <v>10757</v>
      </c>
      <c r="AW126" s="76">
        <f t="shared" si="412"/>
        <v>10757</v>
      </c>
      <c r="AX126" s="77">
        <v>1135</v>
      </c>
      <c r="AY126" s="77">
        <v>3596</v>
      </c>
      <c r="AZ126" s="77">
        <v>6941</v>
      </c>
      <c r="BA126" s="77">
        <v>10901</v>
      </c>
      <c r="BB126" s="76">
        <f t="shared" si="413"/>
        <v>10901</v>
      </c>
      <c r="BC126" s="77">
        <v>2655</v>
      </c>
      <c r="BD126" s="77">
        <v>4632</v>
      </c>
      <c r="BE126" s="77">
        <v>6997</v>
      </c>
      <c r="BF126" s="77">
        <v>12453</v>
      </c>
      <c r="BG126" s="76">
        <f t="shared" si="414"/>
        <v>12453</v>
      </c>
      <c r="BH126" s="77">
        <v>3625</v>
      </c>
      <c r="BI126" s="693">
        <v>8030</v>
      </c>
      <c r="BJ126" s="77">
        <v>10608</v>
      </c>
      <c r="BK126" s="77">
        <v>13416</v>
      </c>
      <c r="BL126" s="76">
        <f t="shared" si="415"/>
        <v>13416</v>
      </c>
      <c r="BM126" s="77">
        <v>1159</v>
      </c>
      <c r="BN126" s="693">
        <v>2040</v>
      </c>
      <c r="BO126" s="77">
        <v>2169</v>
      </c>
      <c r="BP126" s="77">
        <v>2590</v>
      </c>
      <c r="BQ126" s="76">
        <f t="shared" si="416"/>
        <v>2590</v>
      </c>
      <c r="BR126" s="77">
        <v>493</v>
      </c>
      <c r="BS126" s="693">
        <v>705</v>
      </c>
      <c r="BT126" s="77">
        <v>956</v>
      </c>
      <c r="BU126" s="77">
        <v>1209</v>
      </c>
      <c r="BV126" s="76">
        <f t="shared" si="417"/>
        <v>1209</v>
      </c>
      <c r="BW126" s="77">
        <v>803</v>
      </c>
      <c r="BX126" s="693">
        <v>1441</v>
      </c>
      <c r="BY126" s="77">
        <v>2612</v>
      </c>
      <c r="BZ126" s="77">
        <v>3639</v>
      </c>
      <c r="CA126" s="76">
        <f t="shared" si="418"/>
        <v>3639</v>
      </c>
      <c r="CB126" s="77">
        <v>752</v>
      </c>
      <c r="CC126" s="693">
        <v>1028</v>
      </c>
      <c r="CD126" s="77">
        <v>1369</v>
      </c>
      <c r="CE126" s="77">
        <v>2898</v>
      </c>
      <c r="CF126" s="76">
        <f t="shared" si="419"/>
        <v>2898</v>
      </c>
      <c r="CG126" s="693">
        <v>366</v>
      </c>
      <c r="CH126" s="693">
        <v>758</v>
      </c>
      <c r="CI126" s="693">
        <v>967</v>
      </c>
      <c r="CJ126" s="693">
        <v>1759</v>
      </c>
      <c r="CK126" s="76">
        <f t="shared" si="420"/>
        <v>1759</v>
      </c>
      <c r="CL126" s="77">
        <v>227</v>
      </c>
      <c r="CM126" s="77">
        <v>543</v>
      </c>
      <c r="CN126" s="77">
        <v>9772</v>
      </c>
      <c r="CO126" s="77">
        <v>20275</v>
      </c>
      <c r="CP126" s="76">
        <f t="shared" si="421"/>
        <v>20275</v>
      </c>
      <c r="CQ126" s="77">
        <v>12738</v>
      </c>
      <c r="CR126" s="77">
        <v>24989</v>
      </c>
      <c r="CS126" s="77">
        <v>35664</v>
      </c>
      <c r="CT126" s="77">
        <v>45489</v>
      </c>
      <c r="CU126" s="76">
        <f t="shared" si="422"/>
        <v>45489</v>
      </c>
      <c r="CV126" s="77">
        <v>5037</v>
      </c>
      <c r="CW126" s="77">
        <v>9296</v>
      </c>
      <c r="CX126" s="77">
        <v>10182</v>
      </c>
      <c r="CY126" s="77">
        <v>10619</v>
      </c>
      <c r="CZ126" s="76">
        <f t="shared" si="423"/>
        <v>10619</v>
      </c>
      <c r="DA126" s="77">
        <v>2203</v>
      </c>
      <c r="DB126" s="77">
        <v>5567</v>
      </c>
      <c r="DC126" s="77">
        <v>10497</v>
      </c>
      <c r="DD126" s="77">
        <v>15739</v>
      </c>
      <c r="DE126" s="76">
        <f t="shared" si="424"/>
        <v>15739</v>
      </c>
      <c r="DF126" s="77">
        <v>2907</v>
      </c>
      <c r="DG126" s="16">
        <v>3173</v>
      </c>
      <c r="DH126" s="593">
        <v>4546</v>
      </c>
      <c r="DI126" s="1074">
        <v>4743</v>
      </c>
      <c r="DJ126" s="76">
        <f t="shared" si="452"/>
        <v>4743</v>
      </c>
      <c r="DK126" s="1074">
        <v>7750</v>
      </c>
      <c r="DL126" s="1074">
        <v>18847</v>
      </c>
      <c r="DM126" s="1074">
        <v>32674</v>
      </c>
      <c r="DN126" s="1074">
        <v>46628</v>
      </c>
      <c r="DO126" s="76">
        <f t="shared" si="453"/>
        <v>46628</v>
      </c>
      <c r="DP126" s="1074">
        <v>16256</v>
      </c>
      <c r="DQ126" s="1086">
        <v>25090</v>
      </c>
      <c r="DS126" s="77"/>
      <c r="DT126" s="93"/>
      <c r="DU126" s="1074"/>
      <c r="DX126" s="77"/>
      <c r="DY126" s="93"/>
      <c r="DZ126" s="93"/>
      <c r="EA126" s="93"/>
      <c r="EB126" s="93"/>
    </row>
    <row r="127" spans="1:132" s="105" customFormat="1" ht="12" customHeight="1">
      <c r="A127" s="68"/>
      <c r="B127" s="68" t="s">
        <v>93</v>
      </c>
      <c r="C127" s="79">
        <f>-1889+1030</f>
        <v>-859</v>
      </c>
      <c r="D127" s="79">
        <f>-2660+1418</f>
        <v>-1242</v>
      </c>
      <c r="E127" s="79">
        <f>-2398+1842+359</f>
        <v>-197</v>
      </c>
      <c r="F127" s="79">
        <f>-2571+1433+169</f>
        <v>-969</v>
      </c>
      <c r="G127" s="79">
        <f>-5073+1297+152</f>
        <v>-3624</v>
      </c>
      <c r="H127" s="79">
        <f>-3090+900+157</f>
        <v>-2033</v>
      </c>
      <c r="I127" s="79">
        <f>-2189+1242+186</f>
        <v>-761</v>
      </c>
      <c r="J127" s="80">
        <f>-293+157+67</f>
        <v>-69</v>
      </c>
      <c r="K127" s="80">
        <f>-395+150+106+90+1581</f>
        <v>1532</v>
      </c>
      <c r="L127" s="80">
        <f>182-477+421+127+1867</f>
        <v>2120</v>
      </c>
      <c r="M127" s="80">
        <f t="shared" si="405"/>
        <v>2385</v>
      </c>
      <c r="N127" s="79">
        <f>174+194+2017</f>
        <v>2385</v>
      </c>
      <c r="O127" s="80">
        <f>76+1</f>
        <v>77</v>
      </c>
      <c r="P127" s="80">
        <v>1028</v>
      </c>
      <c r="Q127" s="80">
        <f>1693+2</f>
        <v>1695</v>
      </c>
      <c r="R127" s="80">
        <f t="shared" si="406"/>
        <v>1711</v>
      </c>
      <c r="S127" s="79">
        <f>1709+2</f>
        <v>1711</v>
      </c>
      <c r="T127" s="80">
        <v>117</v>
      </c>
      <c r="U127" s="80">
        <v>108</v>
      </c>
      <c r="V127" s="80">
        <v>109</v>
      </c>
      <c r="W127" s="80">
        <f t="shared" si="407"/>
        <v>89</v>
      </c>
      <c r="X127" s="79">
        <f>-34+123</f>
        <v>89</v>
      </c>
      <c r="Y127" s="80">
        <v>-56</v>
      </c>
      <c r="Z127" s="80">
        <v>-62</v>
      </c>
      <c r="AA127" s="80">
        <v>-152</v>
      </c>
      <c r="AB127" s="80">
        <f t="shared" si="408"/>
        <v>-182</v>
      </c>
      <c r="AC127" s="79">
        <v>-182</v>
      </c>
      <c r="AD127" s="80">
        <v>-95</v>
      </c>
      <c r="AE127" s="80">
        <v>-148</v>
      </c>
      <c r="AF127" s="80">
        <v>-151</v>
      </c>
      <c r="AG127" s="80">
        <f t="shared" si="409"/>
        <v>-178</v>
      </c>
      <c r="AH127" s="79">
        <v>-178</v>
      </c>
      <c r="AI127" s="80"/>
      <c r="AJ127" s="80"/>
      <c r="AK127" s="80">
        <v>-448</v>
      </c>
      <c r="AL127" s="80">
        <f>-448+40</f>
        <v>-408</v>
      </c>
      <c r="AM127" s="79">
        <f t="shared" si="410"/>
        <v>-408</v>
      </c>
      <c r="AN127" s="80"/>
      <c r="AO127" s="80">
        <f>40+57</f>
        <v>97</v>
      </c>
      <c r="AP127" s="80">
        <f>40+115-2</f>
        <v>153</v>
      </c>
      <c r="AQ127" s="80">
        <f>82+206-2</f>
        <v>286</v>
      </c>
      <c r="AR127" s="79">
        <f t="shared" si="411"/>
        <v>286</v>
      </c>
      <c r="AS127" s="80">
        <v>69</v>
      </c>
      <c r="AT127" s="80">
        <v>69</v>
      </c>
      <c r="AU127" s="97">
        <v>69</v>
      </c>
      <c r="AV127" s="80">
        <v>69</v>
      </c>
      <c r="AW127" s="79">
        <f t="shared" si="412"/>
        <v>69</v>
      </c>
      <c r="AX127" s="80">
        <v>0</v>
      </c>
      <c r="AY127" s="80">
        <v>-6</v>
      </c>
      <c r="AZ127" s="80">
        <v>-6</v>
      </c>
      <c r="BA127" s="80">
        <v>-7</v>
      </c>
      <c r="BB127" s="79">
        <f t="shared" si="413"/>
        <v>-7</v>
      </c>
      <c r="BC127" s="80"/>
      <c r="BD127" s="80"/>
      <c r="BE127" s="80"/>
      <c r="BF127" s="80">
        <v>-140</v>
      </c>
      <c r="BG127" s="79">
        <f t="shared" si="414"/>
        <v>-140</v>
      </c>
      <c r="BH127" s="80"/>
      <c r="BI127" s="568"/>
      <c r="BJ127" s="80">
        <v>4</v>
      </c>
      <c r="BK127" s="80">
        <v>33</v>
      </c>
      <c r="BL127" s="79">
        <f t="shared" si="415"/>
        <v>33</v>
      </c>
      <c r="BM127" s="80">
        <v>8</v>
      </c>
      <c r="BN127" s="568">
        <v>22</v>
      </c>
      <c r="BO127" s="80">
        <v>33</v>
      </c>
      <c r="BP127" s="80">
        <v>39</v>
      </c>
      <c r="BQ127" s="79">
        <f t="shared" si="416"/>
        <v>39</v>
      </c>
      <c r="BR127" s="80">
        <v>10</v>
      </c>
      <c r="BS127" s="568">
        <v>8</v>
      </c>
      <c r="BT127" s="80">
        <v>8</v>
      </c>
      <c r="BU127" s="80">
        <v>2</v>
      </c>
      <c r="BV127" s="79">
        <f t="shared" si="417"/>
        <v>2</v>
      </c>
      <c r="BW127" s="80">
        <v>-3</v>
      </c>
      <c r="BX127" s="568">
        <f>4-131</f>
        <v>-127</v>
      </c>
      <c r="BY127" s="80">
        <f>-131+4</f>
        <v>-127</v>
      </c>
      <c r="BZ127" s="80">
        <f>-131+2</f>
        <v>-129</v>
      </c>
      <c r="CA127" s="79">
        <f t="shared" si="418"/>
        <v>-129</v>
      </c>
      <c r="CB127" s="80">
        <f>-20+3</f>
        <v>-17</v>
      </c>
      <c r="CC127" s="568">
        <f>-56-1</f>
        <v>-57</v>
      </c>
      <c r="CD127" s="80">
        <f>-56-5</f>
        <v>-61</v>
      </c>
      <c r="CE127" s="80">
        <f>-69-11</f>
        <v>-80</v>
      </c>
      <c r="CF127" s="79">
        <f t="shared" si="419"/>
        <v>-80</v>
      </c>
      <c r="CG127" s="568">
        <v>-9</v>
      </c>
      <c r="CH127" s="568">
        <f>-20-12</f>
        <v>-32</v>
      </c>
      <c r="CI127" s="568">
        <f>-20-10</f>
        <v>-30</v>
      </c>
      <c r="CJ127" s="568">
        <f>-127-13</f>
        <v>-140</v>
      </c>
      <c r="CK127" s="79">
        <f t="shared" si="420"/>
        <v>-140</v>
      </c>
      <c r="CL127" s="80">
        <v>8</v>
      </c>
      <c r="CM127" s="80">
        <v>8</v>
      </c>
      <c r="CN127" s="80">
        <v>14</v>
      </c>
      <c r="CO127" s="80">
        <v>-18</v>
      </c>
      <c r="CP127" s="79">
        <f t="shared" si="421"/>
        <v>-18</v>
      </c>
      <c r="CQ127" s="80">
        <v>3</v>
      </c>
      <c r="CR127" s="80">
        <v>4</v>
      </c>
      <c r="CS127" s="80">
        <v>6</v>
      </c>
      <c r="CT127" s="80">
        <v>5</v>
      </c>
      <c r="CU127" s="79">
        <f t="shared" si="422"/>
        <v>5</v>
      </c>
      <c r="CV127" s="80">
        <v>1</v>
      </c>
      <c r="CW127" s="80">
        <v>2</v>
      </c>
      <c r="CX127" s="80">
        <v>-11</v>
      </c>
      <c r="CY127" s="80">
        <v>-11</v>
      </c>
      <c r="CZ127" s="79">
        <f t="shared" si="423"/>
        <v>-11</v>
      </c>
      <c r="DA127" s="80">
        <v>-2</v>
      </c>
      <c r="DB127" s="80">
        <v>-158</v>
      </c>
      <c r="DC127" s="80">
        <v>-157</v>
      </c>
      <c r="DD127" s="80">
        <v>-158</v>
      </c>
      <c r="DE127" s="79">
        <f t="shared" si="424"/>
        <v>-158</v>
      </c>
      <c r="DF127" s="80">
        <v>-34</v>
      </c>
      <c r="DG127" s="80">
        <f>+-486-88-17-50</f>
        <v>-641</v>
      </c>
      <c r="DH127" s="272">
        <f>+-494+40-88-14</f>
        <v>-556</v>
      </c>
      <c r="DI127" s="1075">
        <f>+-694+40-88-11+124</f>
        <v>-629</v>
      </c>
      <c r="DJ127" s="79">
        <f t="shared" si="452"/>
        <v>-629</v>
      </c>
      <c r="DK127" s="1075">
        <v>1</v>
      </c>
      <c r="DL127" s="1075">
        <f>35-150</f>
        <v>-115</v>
      </c>
      <c r="DM127" s="1075">
        <v>-292</v>
      </c>
      <c r="DN127" s="1075">
        <f>1-9+2-662+10585</f>
        <v>9917</v>
      </c>
      <c r="DO127" s="79">
        <f t="shared" si="453"/>
        <v>9917</v>
      </c>
      <c r="DP127" s="1075">
        <f>-3-4</f>
        <v>-7</v>
      </c>
      <c r="DQ127" s="1108">
        <f>+-11-1</f>
        <v>-12</v>
      </c>
      <c r="DS127" s="80"/>
      <c r="DT127" s="93"/>
      <c r="DU127" s="1075"/>
      <c r="DX127" s="80"/>
      <c r="DY127" s="93"/>
      <c r="DZ127" s="93"/>
      <c r="EA127" s="93"/>
      <c r="EB127" s="93"/>
    </row>
    <row r="128" spans="1:132" s="277" customFormat="1" ht="12" customHeight="1">
      <c r="A128" s="74"/>
      <c r="B128" s="74" t="s">
        <v>343</v>
      </c>
      <c r="C128" s="71">
        <f t="shared" ref="C128:L128" si="454">SUM(C122:C127)</f>
        <v>-2250</v>
      </c>
      <c r="D128" s="71">
        <f t="shared" si="454"/>
        <v>-2826</v>
      </c>
      <c r="E128" s="71">
        <f t="shared" si="454"/>
        <v>-1433</v>
      </c>
      <c r="F128" s="71">
        <f t="shared" si="454"/>
        <v>-7628</v>
      </c>
      <c r="G128" s="71">
        <f t="shared" si="454"/>
        <v>-4714</v>
      </c>
      <c r="H128" s="71">
        <f t="shared" si="454"/>
        <v>-3421</v>
      </c>
      <c r="I128" s="71">
        <f t="shared" si="454"/>
        <v>-1060</v>
      </c>
      <c r="J128" s="72">
        <f t="shared" si="454"/>
        <v>-190</v>
      </c>
      <c r="K128" s="72">
        <f t="shared" si="454"/>
        <v>1283</v>
      </c>
      <c r="L128" s="72">
        <f t="shared" si="454"/>
        <v>260</v>
      </c>
      <c r="M128" s="72">
        <f t="shared" si="405"/>
        <v>-1369</v>
      </c>
      <c r="N128" s="71">
        <f>SUM(N122:N127)</f>
        <v>-1369</v>
      </c>
      <c r="O128" s="72">
        <f>SUM(O122:O127)</f>
        <v>-275</v>
      </c>
      <c r="P128" s="72">
        <f>SUM(P122:P127)</f>
        <v>207</v>
      </c>
      <c r="Q128" s="72">
        <f>SUM(Q122:Q127)</f>
        <v>406</v>
      </c>
      <c r="R128" s="72">
        <f t="shared" si="406"/>
        <v>-98</v>
      </c>
      <c r="S128" s="71">
        <f>SUM(S122:S127)</f>
        <v>-98</v>
      </c>
      <c r="T128" s="72">
        <f>SUM(T122:T127)</f>
        <v>-196</v>
      </c>
      <c r="U128" s="72">
        <f>SUM(U122:U127)</f>
        <v>-646</v>
      </c>
      <c r="V128" s="72">
        <f>SUM(V122:V127)</f>
        <v>-2568</v>
      </c>
      <c r="W128" s="72">
        <f t="shared" si="407"/>
        <v>-3186</v>
      </c>
      <c r="X128" s="71">
        <f>SUM(X122:X127)</f>
        <v>-3186</v>
      </c>
      <c r="Y128" s="72">
        <f>SUM(Y122:Y127)</f>
        <v>-681</v>
      </c>
      <c r="Z128" s="72">
        <f>SUM(Z122:Z127)</f>
        <v>-1212</v>
      </c>
      <c r="AA128" s="72">
        <f>SUM(AA122:AA127)</f>
        <v>-1597</v>
      </c>
      <c r="AB128" s="72">
        <f t="shared" si="408"/>
        <v>-3822</v>
      </c>
      <c r="AC128" s="71">
        <f>SUM(AC122:AC127)</f>
        <v>-3822</v>
      </c>
      <c r="AD128" s="72">
        <f>SUM(AD122:AD127)</f>
        <v>137</v>
      </c>
      <c r="AE128" s="72">
        <f>SUM(AE122:AE127)</f>
        <v>-401</v>
      </c>
      <c r="AF128" s="72">
        <f>SUM(AF122:AF127)</f>
        <v>173</v>
      </c>
      <c r="AG128" s="72">
        <f t="shared" si="409"/>
        <v>1888</v>
      </c>
      <c r="AH128" s="71">
        <f t="shared" ref="AH128:AP128" si="455">SUM(AH122:AH127)</f>
        <v>1888</v>
      </c>
      <c r="AI128" s="72">
        <f t="shared" si="455"/>
        <v>-598</v>
      </c>
      <c r="AJ128" s="72">
        <f t="shared" si="455"/>
        <v>-846</v>
      </c>
      <c r="AK128" s="72">
        <f t="shared" si="455"/>
        <v>-2149</v>
      </c>
      <c r="AL128" s="72">
        <f t="shared" si="455"/>
        <v>-3794</v>
      </c>
      <c r="AM128" s="71">
        <f t="shared" si="455"/>
        <v>-3794</v>
      </c>
      <c r="AN128" s="72">
        <f t="shared" si="455"/>
        <v>-4041</v>
      </c>
      <c r="AO128" s="72">
        <f t="shared" si="455"/>
        <v>-3892</v>
      </c>
      <c r="AP128" s="72">
        <f t="shared" si="455"/>
        <v>-6480</v>
      </c>
      <c r="AQ128" s="72">
        <f t="shared" ref="AQ128:DF128" si="456">SUM(AQ122:AQ127)</f>
        <v>-4831</v>
      </c>
      <c r="AR128" s="71">
        <f t="shared" si="456"/>
        <v>-4831</v>
      </c>
      <c r="AS128" s="72">
        <f t="shared" si="456"/>
        <v>2707</v>
      </c>
      <c r="AT128" s="72">
        <f t="shared" si="456"/>
        <v>758</v>
      </c>
      <c r="AU128" s="90">
        <f t="shared" si="456"/>
        <v>856</v>
      </c>
      <c r="AV128" s="72">
        <f t="shared" si="456"/>
        <v>2369</v>
      </c>
      <c r="AW128" s="71">
        <f t="shared" si="456"/>
        <v>2369</v>
      </c>
      <c r="AX128" s="72">
        <f t="shared" si="456"/>
        <v>-3003</v>
      </c>
      <c r="AY128" s="72">
        <f t="shared" si="456"/>
        <v>-3588</v>
      </c>
      <c r="AZ128" s="72">
        <f t="shared" si="456"/>
        <v>-4593</v>
      </c>
      <c r="BA128" s="72">
        <f t="shared" si="456"/>
        <v>-3757</v>
      </c>
      <c r="BB128" s="71">
        <f>SUM(BB122:BB127)</f>
        <v>-3757</v>
      </c>
      <c r="BC128" s="72">
        <f t="shared" si="456"/>
        <v>-814</v>
      </c>
      <c r="BD128" s="72">
        <f t="shared" si="456"/>
        <v>-3371</v>
      </c>
      <c r="BE128" s="72">
        <f t="shared" si="456"/>
        <v>-4082</v>
      </c>
      <c r="BF128" s="72">
        <f t="shared" si="456"/>
        <v>-5154</v>
      </c>
      <c r="BG128" s="71">
        <f>SUM(BG122:BG127)</f>
        <v>-5154</v>
      </c>
      <c r="BH128" s="72">
        <f t="shared" si="456"/>
        <v>406</v>
      </c>
      <c r="BI128" s="597">
        <f t="shared" si="456"/>
        <v>1281</v>
      </c>
      <c r="BJ128" s="597">
        <f t="shared" si="456"/>
        <v>1034</v>
      </c>
      <c r="BK128" s="597">
        <f t="shared" si="456"/>
        <v>2467</v>
      </c>
      <c r="BL128" s="71">
        <f>SUM(BL122:BL127)</f>
        <v>2467</v>
      </c>
      <c r="BM128" s="597">
        <f t="shared" si="456"/>
        <v>-214</v>
      </c>
      <c r="BN128" s="597">
        <f t="shared" si="456"/>
        <v>-412</v>
      </c>
      <c r="BO128" s="597">
        <f t="shared" si="456"/>
        <v>-965</v>
      </c>
      <c r="BP128" s="597">
        <f t="shared" si="456"/>
        <v>-1846</v>
      </c>
      <c r="BQ128" s="71">
        <f>SUM(BQ122:BQ127)</f>
        <v>-1846</v>
      </c>
      <c r="BR128" s="597">
        <f t="shared" si="456"/>
        <v>-438</v>
      </c>
      <c r="BS128" s="597">
        <f t="shared" si="456"/>
        <v>-1350</v>
      </c>
      <c r="BT128" s="597">
        <f t="shared" si="456"/>
        <v>-1964</v>
      </c>
      <c r="BU128" s="597">
        <f t="shared" si="456"/>
        <v>-3380</v>
      </c>
      <c r="BV128" s="71">
        <f>SUM(BV122:BV127)</f>
        <v>-3380</v>
      </c>
      <c r="BW128" s="597">
        <f t="shared" si="456"/>
        <v>-262</v>
      </c>
      <c r="BX128" s="597">
        <f t="shared" si="456"/>
        <v>-1386</v>
      </c>
      <c r="BY128" s="597">
        <f t="shared" si="456"/>
        <v>-1636</v>
      </c>
      <c r="BZ128" s="597">
        <f t="shared" si="456"/>
        <v>-2062</v>
      </c>
      <c r="CA128" s="71">
        <f>SUM(CA122:CA127)</f>
        <v>-2062</v>
      </c>
      <c r="CB128" s="597">
        <f t="shared" si="456"/>
        <v>119</v>
      </c>
      <c r="CC128" s="597">
        <f t="shared" si="456"/>
        <v>-1295</v>
      </c>
      <c r="CD128" s="597">
        <f t="shared" si="456"/>
        <v>-2197</v>
      </c>
      <c r="CE128" s="597">
        <f t="shared" si="456"/>
        <v>-4621</v>
      </c>
      <c r="CF128" s="71">
        <f>SUM(CF122:CF127)</f>
        <v>-4621</v>
      </c>
      <c r="CG128" s="597">
        <f t="shared" si="456"/>
        <v>-767</v>
      </c>
      <c r="CH128" s="597">
        <f t="shared" si="456"/>
        <v>-853</v>
      </c>
      <c r="CI128" s="597">
        <f t="shared" si="456"/>
        <v>-2047</v>
      </c>
      <c r="CJ128" s="597">
        <f t="shared" si="456"/>
        <v>-1530</v>
      </c>
      <c r="CK128" s="71">
        <f>SUM(CK122:CK127)</f>
        <v>-1530</v>
      </c>
      <c r="CL128" s="597">
        <f t="shared" si="456"/>
        <v>-379</v>
      </c>
      <c r="CM128" s="597">
        <f t="shared" si="456"/>
        <v>-12686</v>
      </c>
      <c r="CN128" s="597">
        <f t="shared" si="456"/>
        <v>-16823</v>
      </c>
      <c r="CO128" s="597">
        <f t="shared" si="456"/>
        <v>-18366</v>
      </c>
      <c r="CP128" s="71">
        <f>SUM(CP122:CP127)</f>
        <v>-18366</v>
      </c>
      <c r="CQ128" s="597">
        <f t="shared" si="456"/>
        <v>2764</v>
      </c>
      <c r="CR128" s="597">
        <f t="shared" si="456"/>
        <v>4423</v>
      </c>
      <c r="CS128" s="597">
        <f t="shared" si="456"/>
        <v>7389</v>
      </c>
      <c r="CT128" s="597">
        <f t="shared" si="456"/>
        <v>9324</v>
      </c>
      <c r="CU128" s="71">
        <f>SUM(CU122:CU127)</f>
        <v>9324</v>
      </c>
      <c r="CV128" s="597">
        <f t="shared" si="456"/>
        <v>2965</v>
      </c>
      <c r="CW128" s="597">
        <f t="shared" si="456"/>
        <v>6231</v>
      </c>
      <c r="CX128" s="597">
        <f t="shared" si="456"/>
        <v>6521</v>
      </c>
      <c r="CY128" s="597">
        <f t="shared" si="456"/>
        <v>4370</v>
      </c>
      <c r="CZ128" s="71">
        <f>SUM(CZ122:CZ127)</f>
        <v>4370</v>
      </c>
      <c r="DA128" s="597">
        <f t="shared" si="456"/>
        <v>-1823</v>
      </c>
      <c r="DB128" s="597">
        <f t="shared" si="456"/>
        <v>-4838</v>
      </c>
      <c r="DC128" s="597">
        <f t="shared" si="456"/>
        <v>-5241</v>
      </c>
      <c r="DD128" s="597">
        <f t="shared" si="456"/>
        <v>-2437</v>
      </c>
      <c r="DE128" s="71">
        <f>SUM(DE122:DE127)</f>
        <v>-2437</v>
      </c>
      <c r="DF128" s="597">
        <f t="shared" si="456"/>
        <v>2074</v>
      </c>
      <c r="DG128" s="597">
        <f t="shared" ref="DG128:DI128" si="457">SUM(DG122:DG127)</f>
        <v>-26</v>
      </c>
      <c r="DH128" s="1065">
        <f t="shared" si="457"/>
        <v>653</v>
      </c>
      <c r="DI128" s="597">
        <f t="shared" si="457"/>
        <v>-11973</v>
      </c>
      <c r="DJ128" s="71">
        <f>SUM(DJ122:DJ127)</f>
        <v>-11973</v>
      </c>
      <c r="DK128" s="597">
        <f t="shared" ref="DK128:DN128" si="458">SUM(DK122:DK127)</f>
        <v>-1717</v>
      </c>
      <c r="DL128" s="597">
        <f t="shared" si="458"/>
        <v>-3946</v>
      </c>
      <c r="DM128" s="597">
        <f t="shared" si="458"/>
        <v>-5901</v>
      </c>
      <c r="DN128" s="597">
        <f t="shared" si="458"/>
        <v>499</v>
      </c>
      <c r="DO128" s="71">
        <f>SUM(DO122:DO127)</f>
        <v>499</v>
      </c>
      <c r="DP128" s="597">
        <f t="shared" ref="DP128:DQ128" si="459">SUM(DP122:DP127)</f>
        <v>5711</v>
      </c>
      <c r="DQ128" s="1065">
        <f t="shared" si="459"/>
        <v>3629</v>
      </c>
      <c r="DS128" s="597"/>
      <c r="DT128" s="85"/>
      <c r="DU128" s="597"/>
      <c r="DX128" s="597"/>
      <c r="DY128" s="85"/>
      <c r="DZ128" s="85"/>
      <c r="EA128" s="85"/>
      <c r="EB128" s="85"/>
    </row>
    <row r="129" spans="1:132" s="105" customFormat="1" ht="12" customHeight="1">
      <c r="A129" s="68"/>
      <c r="B129" s="68" t="s">
        <v>128</v>
      </c>
      <c r="C129" s="76">
        <v>232</v>
      </c>
      <c r="D129" s="76">
        <v>811</v>
      </c>
      <c r="E129" s="76">
        <v>437</v>
      </c>
      <c r="F129" s="76">
        <v>2687</v>
      </c>
      <c r="G129" s="76">
        <v>4567</v>
      </c>
      <c r="H129" s="76">
        <v>2814</v>
      </c>
      <c r="I129" s="76">
        <v>2042</v>
      </c>
      <c r="J129" s="77">
        <v>0</v>
      </c>
      <c r="K129" s="77">
        <v>0</v>
      </c>
      <c r="L129" s="77">
        <v>0</v>
      </c>
      <c r="M129" s="77">
        <f t="shared" si="405"/>
        <v>0</v>
      </c>
      <c r="N129" s="76">
        <v>0</v>
      </c>
      <c r="O129" s="77">
        <v>0</v>
      </c>
      <c r="P129" s="77">
        <v>0</v>
      </c>
      <c r="Q129" s="77">
        <v>0</v>
      </c>
      <c r="R129" s="77">
        <f t="shared" si="406"/>
        <v>0</v>
      </c>
      <c r="S129" s="76">
        <v>0</v>
      </c>
      <c r="T129" s="77">
        <v>0</v>
      </c>
      <c r="U129" s="77">
        <v>1</v>
      </c>
      <c r="V129" s="77">
        <v>1</v>
      </c>
      <c r="W129" s="77">
        <f t="shared" si="407"/>
        <v>1</v>
      </c>
      <c r="X129" s="76">
        <v>1</v>
      </c>
      <c r="Y129" s="77">
        <v>0</v>
      </c>
      <c r="Z129" s="77">
        <v>10</v>
      </c>
      <c r="AA129" s="77">
        <v>28</v>
      </c>
      <c r="AB129" s="77">
        <f t="shared" si="408"/>
        <v>40</v>
      </c>
      <c r="AC129" s="76">
        <v>40</v>
      </c>
      <c r="AD129" s="77">
        <v>5</v>
      </c>
      <c r="AE129" s="77">
        <v>5</v>
      </c>
      <c r="AF129" s="77">
        <v>5</v>
      </c>
      <c r="AG129" s="77">
        <f t="shared" si="409"/>
        <v>13</v>
      </c>
      <c r="AH129" s="76">
        <v>13</v>
      </c>
      <c r="AI129" s="77">
        <v>1827</v>
      </c>
      <c r="AJ129" s="77">
        <v>1843</v>
      </c>
      <c r="AK129" s="77">
        <v>3772</v>
      </c>
      <c r="AL129" s="77">
        <v>5961</v>
      </c>
      <c r="AM129" s="76">
        <f t="shared" si="410"/>
        <v>5961</v>
      </c>
      <c r="AN129" s="77">
        <v>19</v>
      </c>
      <c r="AO129" s="77">
        <v>26</v>
      </c>
      <c r="AP129" s="77">
        <v>30</v>
      </c>
      <c r="AQ129" s="77">
        <v>41</v>
      </c>
      <c r="AR129" s="76">
        <f t="shared" si="411"/>
        <v>41</v>
      </c>
      <c r="AS129" s="77">
        <v>14</v>
      </c>
      <c r="AT129" s="77">
        <v>36</v>
      </c>
      <c r="AU129" s="86">
        <v>789</v>
      </c>
      <c r="AV129" s="77">
        <v>799</v>
      </c>
      <c r="AW129" s="76">
        <f t="shared" si="412"/>
        <v>799</v>
      </c>
      <c r="AX129" s="77">
        <v>20</v>
      </c>
      <c r="AY129" s="77">
        <v>24</v>
      </c>
      <c r="AZ129" s="77">
        <v>34</v>
      </c>
      <c r="BA129" s="77">
        <v>60</v>
      </c>
      <c r="BB129" s="76">
        <f t="shared" si="413"/>
        <v>60</v>
      </c>
      <c r="BC129" s="77">
        <v>15</v>
      </c>
      <c r="BD129" s="77">
        <v>531</v>
      </c>
      <c r="BE129" s="77">
        <v>547</v>
      </c>
      <c r="BF129" s="77">
        <v>571</v>
      </c>
      <c r="BG129" s="76">
        <f t="shared" si="414"/>
        <v>571</v>
      </c>
      <c r="BH129" s="77">
        <v>51</v>
      </c>
      <c r="BI129" s="693">
        <v>85</v>
      </c>
      <c r="BJ129" s="77">
        <v>105</v>
      </c>
      <c r="BK129" s="77">
        <v>962</v>
      </c>
      <c r="BL129" s="76">
        <f t="shared" si="415"/>
        <v>962</v>
      </c>
      <c r="BM129" s="77">
        <v>761</v>
      </c>
      <c r="BN129" s="693">
        <v>761</v>
      </c>
      <c r="BO129" s="77">
        <v>761</v>
      </c>
      <c r="BP129" s="77">
        <v>1746</v>
      </c>
      <c r="BQ129" s="76">
        <f t="shared" si="416"/>
        <v>1746</v>
      </c>
      <c r="BR129" s="77">
        <v>115</v>
      </c>
      <c r="BS129" s="693">
        <v>1323</v>
      </c>
      <c r="BT129" s="77">
        <v>1323</v>
      </c>
      <c r="BU129" s="77">
        <v>1325</v>
      </c>
      <c r="BV129" s="76">
        <f t="shared" si="417"/>
        <v>1325</v>
      </c>
      <c r="BW129" s="77">
        <v>872</v>
      </c>
      <c r="BX129" s="693">
        <v>874</v>
      </c>
      <c r="BY129" s="77">
        <v>876</v>
      </c>
      <c r="BZ129" s="77">
        <v>2077</v>
      </c>
      <c r="CA129" s="76">
        <f t="shared" si="418"/>
        <v>2077</v>
      </c>
      <c r="CB129" s="77">
        <v>2687</v>
      </c>
      <c r="CC129" s="693">
        <v>3648</v>
      </c>
      <c r="CD129" s="77">
        <v>4696</v>
      </c>
      <c r="CE129" s="77">
        <v>8548</v>
      </c>
      <c r="CF129" s="76">
        <f t="shared" si="419"/>
        <v>8548</v>
      </c>
      <c r="CG129" s="693">
        <v>5237</v>
      </c>
      <c r="CH129" s="693">
        <v>11670</v>
      </c>
      <c r="CI129" s="693">
        <v>19621</v>
      </c>
      <c r="CJ129" s="693">
        <v>25389</v>
      </c>
      <c r="CK129" s="76">
        <f t="shared" si="420"/>
        <v>25389</v>
      </c>
      <c r="CL129" s="77">
        <v>17433</v>
      </c>
      <c r="CM129" s="77">
        <v>42302</v>
      </c>
      <c r="CN129" s="77">
        <v>42362</v>
      </c>
      <c r="CO129" s="77">
        <v>47248</v>
      </c>
      <c r="CP129" s="76">
        <f t="shared" si="421"/>
        <v>47248</v>
      </c>
      <c r="CQ129" s="77">
        <v>9814</v>
      </c>
      <c r="CR129" s="77">
        <v>9826</v>
      </c>
      <c r="CS129" s="77">
        <v>9822</v>
      </c>
      <c r="CT129" s="77">
        <v>9795</v>
      </c>
      <c r="CU129" s="76">
        <f t="shared" si="422"/>
        <v>9795</v>
      </c>
      <c r="CV129" s="77">
        <v>2</v>
      </c>
      <c r="CW129" s="77">
        <v>15</v>
      </c>
      <c r="CX129" s="77">
        <v>19</v>
      </c>
      <c r="CY129" s="77">
        <v>34</v>
      </c>
      <c r="CZ129" s="76">
        <f t="shared" si="423"/>
        <v>34</v>
      </c>
      <c r="DA129" s="77">
        <v>17</v>
      </c>
      <c r="DB129" s="77">
        <v>38</v>
      </c>
      <c r="DC129" s="77">
        <v>55</v>
      </c>
      <c r="DD129" s="77">
        <v>75</v>
      </c>
      <c r="DE129" s="76">
        <f t="shared" si="424"/>
        <v>75</v>
      </c>
      <c r="DF129" s="77">
        <v>27</v>
      </c>
      <c r="DG129" s="16">
        <v>10089</v>
      </c>
      <c r="DH129" s="593">
        <v>10120</v>
      </c>
      <c r="DI129" s="1074">
        <v>10161</v>
      </c>
      <c r="DJ129" s="76">
        <f t="shared" ref="DJ129:DJ131" si="460">DI129</f>
        <v>10161</v>
      </c>
      <c r="DK129" s="1074">
        <v>29</v>
      </c>
      <c r="DL129" s="1074">
        <v>98</v>
      </c>
      <c r="DM129" s="1074">
        <v>138</v>
      </c>
      <c r="DN129" s="1074">
        <v>165</v>
      </c>
      <c r="DO129" s="76">
        <f t="shared" ref="DO129:DO131" si="461">DN129</f>
        <v>165</v>
      </c>
      <c r="DP129" s="1074">
        <v>24</v>
      </c>
      <c r="DQ129" s="1086">
        <v>35</v>
      </c>
      <c r="DS129" s="77"/>
      <c r="DT129" s="93"/>
      <c r="DU129" s="1074"/>
      <c r="DX129" s="77"/>
      <c r="DY129" s="93"/>
      <c r="DZ129" s="93"/>
      <c r="EA129" s="93"/>
      <c r="EB129" s="93"/>
    </row>
    <row r="130" spans="1:132" s="105" customFormat="1" ht="12" customHeight="1">
      <c r="A130" s="68"/>
      <c r="B130" s="68" t="s">
        <v>96</v>
      </c>
      <c r="C130" s="76">
        <v>-867</v>
      </c>
      <c r="D130" s="76">
        <v>-693</v>
      </c>
      <c r="E130" s="76">
        <v>-676</v>
      </c>
      <c r="F130" s="76">
        <v>-620</v>
      </c>
      <c r="G130" s="76">
        <v>-1124</v>
      </c>
      <c r="H130" s="76">
        <v>-1564</v>
      </c>
      <c r="I130" s="76">
        <v>-2024</v>
      </c>
      <c r="J130" s="77">
        <v>-471</v>
      </c>
      <c r="K130" s="77">
        <v>-728</v>
      </c>
      <c r="L130" s="77">
        <v>-2066</v>
      </c>
      <c r="M130" s="77">
        <f t="shared" si="405"/>
        <v>-2208</v>
      </c>
      <c r="N130" s="76">
        <v>-2208</v>
      </c>
      <c r="O130" s="77">
        <v>-372</v>
      </c>
      <c r="P130" s="77">
        <v>-1160</v>
      </c>
      <c r="Q130" s="77">
        <v>-1270</v>
      </c>
      <c r="R130" s="77">
        <f t="shared" si="406"/>
        <v>-1378</v>
      </c>
      <c r="S130" s="76">
        <v>-1378</v>
      </c>
      <c r="T130" s="77">
        <v>-29</v>
      </c>
      <c r="U130" s="77">
        <v>-627</v>
      </c>
      <c r="V130" s="77">
        <v>-1098</v>
      </c>
      <c r="W130" s="77">
        <f t="shared" si="407"/>
        <v>-1681</v>
      </c>
      <c r="X130" s="76">
        <v>-1681</v>
      </c>
      <c r="Y130" s="77">
        <v>-817</v>
      </c>
      <c r="Z130" s="77">
        <v>-893</v>
      </c>
      <c r="AA130" s="77">
        <v>-1007</v>
      </c>
      <c r="AB130" s="77">
        <f t="shared" si="408"/>
        <v>-1406</v>
      </c>
      <c r="AC130" s="76">
        <v>-1406</v>
      </c>
      <c r="AD130" s="77">
        <v>-32</v>
      </c>
      <c r="AE130" s="77">
        <v>-154</v>
      </c>
      <c r="AF130" s="77">
        <v>-616</v>
      </c>
      <c r="AG130" s="77">
        <f t="shared" si="409"/>
        <v>-738</v>
      </c>
      <c r="AH130" s="76">
        <v>-738</v>
      </c>
      <c r="AI130" s="77">
        <v>-71</v>
      </c>
      <c r="AJ130" s="77">
        <v>-218</v>
      </c>
      <c r="AK130" s="77">
        <v>-256</v>
      </c>
      <c r="AL130" s="77">
        <v>-551</v>
      </c>
      <c r="AM130" s="76">
        <f t="shared" si="410"/>
        <v>-551</v>
      </c>
      <c r="AN130" s="77">
        <v>-51</v>
      </c>
      <c r="AO130" s="77">
        <v>-88</v>
      </c>
      <c r="AP130" s="77">
        <v>-655</v>
      </c>
      <c r="AQ130" s="77">
        <v>-689</v>
      </c>
      <c r="AR130" s="76">
        <f t="shared" si="411"/>
        <v>-689</v>
      </c>
      <c r="AS130" s="77">
        <v>-812</v>
      </c>
      <c r="AT130" s="77">
        <v>-851</v>
      </c>
      <c r="AU130" s="86">
        <v>-895</v>
      </c>
      <c r="AV130" s="77">
        <v>-930</v>
      </c>
      <c r="AW130" s="76">
        <f t="shared" si="412"/>
        <v>-930</v>
      </c>
      <c r="AX130" s="77">
        <v>-811</v>
      </c>
      <c r="AY130" s="77">
        <v>-1233</v>
      </c>
      <c r="AZ130" s="77">
        <v>-1273</v>
      </c>
      <c r="BA130" s="77">
        <v>-2076</v>
      </c>
      <c r="BB130" s="76">
        <f t="shared" si="413"/>
        <v>-2076</v>
      </c>
      <c r="BC130" s="77">
        <v>-1262</v>
      </c>
      <c r="BD130" s="77">
        <v>-1361</v>
      </c>
      <c r="BE130" s="77">
        <v>-1397</v>
      </c>
      <c r="BF130" s="77">
        <v>-1434</v>
      </c>
      <c r="BG130" s="76">
        <f t="shared" si="414"/>
        <v>-1434</v>
      </c>
      <c r="BH130" s="77">
        <v>-757</v>
      </c>
      <c r="BI130" s="693">
        <v>-854</v>
      </c>
      <c r="BJ130" s="77">
        <v>-910</v>
      </c>
      <c r="BK130" s="77">
        <v>-1601</v>
      </c>
      <c r="BL130" s="76">
        <f t="shared" si="415"/>
        <v>-1601</v>
      </c>
      <c r="BM130" s="77">
        <v>-813</v>
      </c>
      <c r="BN130" s="693">
        <v>-846</v>
      </c>
      <c r="BO130" s="77">
        <v>-864</v>
      </c>
      <c r="BP130" s="77">
        <v>-885</v>
      </c>
      <c r="BQ130" s="76">
        <f t="shared" si="416"/>
        <v>-885</v>
      </c>
      <c r="BR130" s="77">
        <v>-128</v>
      </c>
      <c r="BS130" s="693">
        <v>-267</v>
      </c>
      <c r="BT130" s="77">
        <v>-836</v>
      </c>
      <c r="BU130" s="77">
        <v>-1359</v>
      </c>
      <c r="BV130" s="76">
        <f t="shared" si="417"/>
        <v>-1359</v>
      </c>
      <c r="BW130" s="77">
        <v>-34</v>
      </c>
      <c r="BX130" s="693">
        <v>-56</v>
      </c>
      <c r="BY130" s="77">
        <v>-83</v>
      </c>
      <c r="BZ130" s="77">
        <v>-953</v>
      </c>
      <c r="CA130" s="76">
        <f t="shared" si="418"/>
        <v>-953</v>
      </c>
      <c r="CB130" s="77">
        <v>-1371</v>
      </c>
      <c r="CC130" s="693">
        <v>-2708</v>
      </c>
      <c r="CD130" s="77">
        <v>-4029</v>
      </c>
      <c r="CE130" s="77">
        <v>-7183</v>
      </c>
      <c r="CF130" s="76">
        <f t="shared" si="419"/>
        <v>-7183</v>
      </c>
      <c r="CG130" s="693">
        <v>-4374</v>
      </c>
      <c r="CH130" s="693">
        <v>-6422</v>
      </c>
      <c r="CI130" s="693">
        <v>-8978</v>
      </c>
      <c r="CJ130" s="693">
        <v>-12171</v>
      </c>
      <c r="CK130" s="76">
        <f t="shared" si="420"/>
        <v>-12171</v>
      </c>
      <c r="CL130" s="77">
        <v>-5854</v>
      </c>
      <c r="CM130" s="77">
        <v>-8265</v>
      </c>
      <c r="CN130" s="77">
        <v>-8792</v>
      </c>
      <c r="CO130" s="77">
        <v>-10998</v>
      </c>
      <c r="CP130" s="76">
        <f t="shared" si="421"/>
        <v>-10998</v>
      </c>
      <c r="CQ130" s="77">
        <v>-9847</v>
      </c>
      <c r="CR130" s="77">
        <v>-9882</v>
      </c>
      <c r="CS130" s="77">
        <v>-11049</v>
      </c>
      <c r="CT130" s="77">
        <v>-15371</v>
      </c>
      <c r="CU130" s="76">
        <f t="shared" si="422"/>
        <v>-15371</v>
      </c>
      <c r="CV130" s="77">
        <v>-396</v>
      </c>
      <c r="CW130" s="77">
        <v>-1013</v>
      </c>
      <c r="CX130" s="77">
        <v>-1038</v>
      </c>
      <c r="CY130" s="77">
        <v>-1310</v>
      </c>
      <c r="CZ130" s="76">
        <f t="shared" si="423"/>
        <v>-1310</v>
      </c>
      <c r="DA130" s="77">
        <v>-1699</v>
      </c>
      <c r="DB130" s="77">
        <v>-5123</v>
      </c>
      <c r="DC130" s="77">
        <v>-5181</v>
      </c>
      <c r="DD130" s="77">
        <v>-5216</v>
      </c>
      <c r="DE130" s="76">
        <f t="shared" si="424"/>
        <v>-5216</v>
      </c>
      <c r="DF130" s="77">
        <v>-4442</v>
      </c>
      <c r="DG130" s="16">
        <v>-4481</v>
      </c>
      <c r="DH130" s="593">
        <v>-4824</v>
      </c>
      <c r="DI130" s="1074">
        <v>-8673</v>
      </c>
      <c r="DJ130" s="76">
        <f t="shared" si="460"/>
        <v>-8673</v>
      </c>
      <c r="DK130" s="1074">
        <v>-295</v>
      </c>
      <c r="DL130" s="1074">
        <v>-677</v>
      </c>
      <c r="DM130" s="1074">
        <v>-721</v>
      </c>
      <c r="DN130" s="1074">
        <v>-3621</v>
      </c>
      <c r="DO130" s="76">
        <f t="shared" si="461"/>
        <v>-3621</v>
      </c>
      <c r="DP130" s="1074">
        <v>-6950</v>
      </c>
      <c r="DQ130" s="1086">
        <v>-8376</v>
      </c>
      <c r="DS130" s="77"/>
      <c r="DT130" s="93"/>
      <c r="DU130" s="1074"/>
      <c r="DX130" s="77"/>
      <c r="DY130" s="93"/>
      <c r="DZ130" s="93"/>
      <c r="EA130" s="93"/>
      <c r="EB130" s="93"/>
    </row>
    <row r="131" spans="1:132" s="105" customFormat="1" ht="12" customHeight="1">
      <c r="A131" s="68"/>
      <c r="B131" s="68" t="s">
        <v>97</v>
      </c>
      <c r="C131" s="76">
        <v>166</v>
      </c>
      <c r="D131" s="76">
        <v>65</v>
      </c>
      <c r="E131" s="76">
        <v>93</v>
      </c>
      <c r="F131" s="76">
        <v>136</v>
      </c>
      <c r="G131" s="76">
        <v>79</v>
      </c>
      <c r="H131" s="76">
        <v>67</v>
      </c>
      <c r="I131" s="76">
        <v>33</v>
      </c>
      <c r="J131" s="77">
        <v>26</v>
      </c>
      <c r="K131" s="77">
        <v>-32</v>
      </c>
      <c r="L131" s="77">
        <v>65</v>
      </c>
      <c r="M131" s="77">
        <f t="shared" si="405"/>
        <v>90</v>
      </c>
      <c r="N131" s="76">
        <v>90</v>
      </c>
      <c r="O131" s="77">
        <v>61</v>
      </c>
      <c r="P131" s="77">
        <v>169</v>
      </c>
      <c r="Q131" s="77">
        <v>274</v>
      </c>
      <c r="R131" s="77">
        <f t="shared" si="406"/>
        <v>348</v>
      </c>
      <c r="S131" s="76">
        <v>348</v>
      </c>
      <c r="T131" s="77">
        <v>139</v>
      </c>
      <c r="U131" s="77">
        <v>203</v>
      </c>
      <c r="V131" s="77">
        <v>227</v>
      </c>
      <c r="W131" s="77">
        <f t="shared" si="407"/>
        <v>294</v>
      </c>
      <c r="X131" s="76">
        <v>294</v>
      </c>
      <c r="Y131" s="77">
        <v>91</v>
      </c>
      <c r="Z131" s="77">
        <v>151</v>
      </c>
      <c r="AA131" s="77">
        <v>196</v>
      </c>
      <c r="AB131" s="77">
        <f t="shared" si="408"/>
        <v>209</v>
      </c>
      <c r="AC131" s="76">
        <v>209</v>
      </c>
      <c r="AD131" s="77">
        <v>15</v>
      </c>
      <c r="AE131" s="77">
        <v>41</v>
      </c>
      <c r="AF131" s="77">
        <v>43</v>
      </c>
      <c r="AG131" s="77">
        <f t="shared" si="409"/>
        <v>44</v>
      </c>
      <c r="AH131" s="76">
        <v>44</v>
      </c>
      <c r="AI131" s="77">
        <v>0</v>
      </c>
      <c r="AJ131" s="77">
        <v>7</v>
      </c>
      <c r="AK131" s="77">
        <v>8</v>
      </c>
      <c r="AL131" s="77">
        <v>10</v>
      </c>
      <c r="AM131" s="76">
        <f t="shared" si="410"/>
        <v>10</v>
      </c>
      <c r="AN131" s="77">
        <v>23</v>
      </c>
      <c r="AO131" s="77">
        <v>61</v>
      </c>
      <c r="AP131" s="77">
        <v>71</v>
      </c>
      <c r="AQ131" s="77">
        <v>87</v>
      </c>
      <c r="AR131" s="76">
        <f t="shared" si="411"/>
        <v>87</v>
      </c>
      <c r="AS131" s="77">
        <v>24</v>
      </c>
      <c r="AT131" s="77">
        <v>80</v>
      </c>
      <c r="AU131" s="86">
        <v>106</v>
      </c>
      <c r="AV131" s="77">
        <v>114</v>
      </c>
      <c r="AW131" s="76">
        <f t="shared" si="412"/>
        <v>114</v>
      </c>
      <c r="AX131" s="77">
        <v>28</v>
      </c>
      <c r="AY131" s="77">
        <v>71</v>
      </c>
      <c r="AZ131" s="77">
        <v>96</v>
      </c>
      <c r="BA131" s="77">
        <v>120</v>
      </c>
      <c r="BB131" s="76">
        <f t="shared" si="413"/>
        <v>120</v>
      </c>
      <c r="BC131" s="77">
        <v>76</v>
      </c>
      <c r="BD131" s="77">
        <v>484</v>
      </c>
      <c r="BE131" s="77">
        <v>871</v>
      </c>
      <c r="BF131" s="77">
        <v>1097</v>
      </c>
      <c r="BG131" s="76">
        <f t="shared" si="414"/>
        <v>1097</v>
      </c>
      <c r="BH131" s="77">
        <v>109</v>
      </c>
      <c r="BI131" s="693">
        <v>261</v>
      </c>
      <c r="BJ131" s="77">
        <v>293</v>
      </c>
      <c r="BK131" s="77">
        <v>343</v>
      </c>
      <c r="BL131" s="76">
        <f t="shared" si="415"/>
        <v>343</v>
      </c>
      <c r="BM131" s="77">
        <v>231</v>
      </c>
      <c r="BN131" s="693">
        <v>276</v>
      </c>
      <c r="BO131" s="77">
        <v>331</v>
      </c>
      <c r="BP131" s="77">
        <v>399</v>
      </c>
      <c r="BQ131" s="76">
        <f t="shared" si="416"/>
        <v>399</v>
      </c>
      <c r="BR131" s="77">
        <v>42</v>
      </c>
      <c r="BS131" s="693">
        <v>147</v>
      </c>
      <c r="BT131" s="77">
        <v>192</v>
      </c>
      <c r="BU131" s="77">
        <v>321</v>
      </c>
      <c r="BV131" s="76">
        <f t="shared" si="417"/>
        <v>321</v>
      </c>
      <c r="BW131" s="77">
        <v>174</v>
      </c>
      <c r="BX131" s="693">
        <v>240</v>
      </c>
      <c r="BY131" s="77">
        <v>291</v>
      </c>
      <c r="BZ131" s="77">
        <v>311</v>
      </c>
      <c r="CA131" s="76">
        <f t="shared" si="418"/>
        <v>311</v>
      </c>
      <c r="CB131" s="77">
        <v>51</v>
      </c>
      <c r="CC131" s="693">
        <v>61</v>
      </c>
      <c r="CD131" s="77">
        <v>70</v>
      </c>
      <c r="CE131" s="77">
        <f>81</f>
        <v>81</v>
      </c>
      <c r="CF131" s="76">
        <f t="shared" si="419"/>
        <v>81</v>
      </c>
      <c r="CG131" s="693">
        <v>42</v>
      </c>
      <c r="CH131" s="693">
        <v>47</v>
      </c>
      <c r="CI131" s="693">
        <v>51</v>
      </c>
      <c r="CJ131" s="693">
        <v>58</v>
      </c>
      <c r="CK131" s="76">
        <f t="shared" si="420"/>
        <v>58</v>
      </c>
      <c r="CL131" s="77">
        <v>21</v>
      </c>
      <c r="CM131" s="77">
        <v>27</v>
      </c>
      <c r="CN131" s="77">
        <v>31</v>
      </c>
      <c r="CO131" s="77">
        <v>36</v>
      </c>
      <c r="CP131" s="76">
        <f t="shared" si="421"/>
        <v>36</v>
      </c>
      <c r="CQ131" s="77">
        <v>23</v>
      </c>
      <c r="CR131" s="77">
        <v>29</v>
      </c>
      <c r="CS131" s="77">
        <v>36</v>
      </c>
      <c r="CT131" s="77">
        <v>42</v>
      </c>
      <c r="CU131" s="76">
        <f t="shared" si="422"/>
        <v>42</v>
      </c>
      <c r="CV131" s="77">
        <v>30</v>
      </c>
      <c r="CW131" s="77">
        <v>34</v>
      </c>
      <c r="CX131" s="77">
        <v>39</v>
      </c>
      <c r="CY131" s="77">
        <v>50</v>
      </c>
      <c r="CZ131" s="76">
        <f t="shared" si="423"/>
        <v>50</v>
      </c>
      <c r="DA131" s="77">
        <v>44</v>
      </c>
      <c r="DB131" s="77">
        <v>44</v>
      </c>
      <c r="DC131" s="77">
        <v>45</v>
      </c>
      <c r="DD131" s="77">
        <v>45</v>
      </c>
      <c r="DE131" s="76">
        <f t="shared" si="424"/>
        <v>45</v>
      </c>
      <c r="DF131" s="77"/>
      <c r="DG131" s="16">
        <v>0</v>
      </c>
      <c r="DH131" s="593">
        <v>0</v>
      </c>
      <c r="DI131" s="1074">
        <v>0</v>
      </c>
      <c r="DJ131" s="76">
        <f t="shared" si="460"/>
        <v>0</v>
      </c>
      <c r="DK131" s="77"/>
      <c r="DL131" s="1074">
        <v>0</v>
      </c>
      <c r="DM131" s="1074">
        <v>0</v>
      </c>
      <c r="DN131" s="1074">
        <v>0</v>
      </c>
      <c r="DO131" s="76">
        <f t="shared" si="461"/>
        <v>0</v>
      </c>
      <c r="DP131" s="1074">
        <v>0</v>
      </c>
      <c r="DQ131" s="1086">
        <v>0</v>
      </c>
      <c r="DS131" s="77"/>
      <c r="DT131" s="93"/>
      <c r="DU131" s="77"/>
      <c r="DX131" s="77"/>
      <c r="DY131" s="93"/>
      <c r="DZ131" s="93"/>
      <c r="EA131" s="93"/>
      <c r="EB131" s="93"/>
    </row>
    <row r="132" spans="1:132" s="105" customFormat="1" ht="12" customHeight="1">
      <c r="A132" s="68"/>
      <c r="B132" s="68" t="s">
        <v>340</v>
      </c>
      <c r="C132" s="76">
        <v>0</v>
      </c>
      <c r="D132" s="76">
        <v>0</v>
      </c>
      <c r="E132" s="76">
        <v>0</v>
      </c>
      <c r="F132" s="76">
        <v>0</v>
      </c>
      <c r="G132" s="76">
        <v>0</v>
      </c>
      <c r="H132" s="76">
        <v>0</v>
      </c>
      <c r="I132" s="76">
        <v>0</v>
      </c>
      <c r="J132" s="77">
        <v>0</v>
      </c>
      <c r="K132" s="77">
        <v>0</v>
      </c>
      <c r="L132" s="77">
        <v>0</v>
      </c>
      <c r="M132" s="77">
        <f t="shared" si="405"/>
        <v>0</v>
      </c>
      <c r="N132" s="76">
        <v>0</v>
      </c>
      <c r="O132" s="77">
        <v>22</v>
      </c>
      <c r="P132" s="77">
        <v>46</v>
      </c>
      <c r="Q132" s="77">
        <v>46</v>
      </c>
      <c r="R132" s="77">
        <f t="shared" si="406"/>
        <v>70</v>
      </c>
      <c r="S132" s="76">
        <v>70</v>
      </c>
      <c r="T132" s="77">
        <v>41</v>
      </c>
      <c r="U132" s="77">
        <v>118</v>
      </c>
      <c r="V132" s="77">
        <v>118</v>
      </c>
      <c r="W132" s="77">
        <f t="shared" si="407"/>
        <v>395</v>
      </c>
      <c r="X132" s="76">
        <v>395</v>
      </c>
      <c r="Y132" s="77">
        <v>31</v>
      </c>
      <c r="Z132" s="77">
        <v>107</v>
      </c>
      <c r="AA132" s="77">
        <v>141</v>
      </c>
      <c r="AB132" s="77">
        <f t="shared" si="408"/>
        <v>144</v>
      </c>
      <c r="AC132" s="76">
        <v>144</v>
      </c>
      <c r="AD132" s="77">
        <v>43</v>
      </c>
      <c r="AE132" s="77">
        <v>45</v>
      </c>
      <c r="AF132" s="77">
        <v>100</v>
      </c>
      <c r="AG132" s="77">
        <f t="shared" si="409"/>
        <v>100</v>
      </c>
      <c r="AH132" s="76">
        <v>100</v>
      </c>
      <c r="AI132" s="77">
        <v>5</v>
      </c>
      <c r="AJ132" s="77">
        <v>5</v>
      </c>
      <c r="AK132" s="77">
        <v>5</v>
      </c>
      <c r="AL132" s="77">
        <v>5</v>
      </c>
      <c r="AM132" s="76">
        <f t="shared" si="410"/>
        <v>5</v>
      </c>
      <c r="AN132" s="77">
        <v>8</v>
      </c>
      <c r="AO132" s="77">
        <v>15</v>
      </c>
      <c r="AP132" s="77">
        <v>17</v>
      </c>
      <c r="AQ132" s="77">
        <v>19</v>
      </c>
      <c r="AR132" s="76">
        <f t="shared" si="411"/>
        <v>19</v>
      </c>
      <c r="AS132" s="77">
        <v>22</v>
      </c>
      <c r="AT132" s="77">
        <v>32</v>
      </c>
      <c r="AU132" s="86">
        <v>35</v>
      </c>
      <c r="AV132" s="77">
        <v>36</v>
      </c>
      <c r="AW132" s="76">
        <f t="shared" si="412"/>
        <v>36</v>
      </c>
      <c r="AX132" s="77">
        <v>40</v>
      </c>
      <c r="AY132" s="77">
        <v>39</v>
      </c>
      <c r="AZ132" s="77">
        <v>43</v>
      </c>
      <c r="BA132" s="77">
        <v>45</v>
      </c>
      <c r="BB132" s="76">
        <f t="shared" si="413"/>
        <v>45</v>
      </c>
      <c r="BC132" s="77">
        <v>23</v>
      </c>
      <c r="BD132" s="77">
        <v>47</v>
      </c>
      <c r="BE132" s="77">
        <v>86</v>
      </c>
      <c r="BF132" s="77">
        <v>128</v>
      </c>
      <c r="BG132" s="76">
        <f t="shared" si="414"/>
        <v>128</v>
      </c>
      <c r="BH132" s="77">
        <v>68</v>
      </c>
      <c r="BI132" s="693">
        <v>97</v>
      </c>
      <c r="BJ132" s="77">
        <v>104</v>
      </c>
      <c r="BK132" s="77">
        <v>114</v>
      </c>
      <c r="BL132" s="76">
        <f t="shared" si="415"/>
        <v>114</v>
      </c>
      <c r="BM132" s="77">
        <v>112</v>
      </c>
      <c r="BN132" s="693">
        <v>124</v>
      </c>
      <c r="BO132" s="77">
        <v>139</v>
      </c>
      <c r="BP132" s="77">
        <v>157</v>
      </c>
      <c r="BQ132" s="76">
        <f t="shared" si="416"/>
        <v>157</v>
      </c>
      <c r="BR132" s="77">
        <v>44</v>
      </c>
      <c r="BS132" s="693">
        <v>0</v>
      </c>
      <c r="BT132" s="693">
        <v>0</v>
      </c>
      <c r="BU132" s="77">
        <v>0</v>
      </c>
      <c r="BV132" s="76">
        <f t="shared" si="417"/>
        <v>0</v>
      </c>
      <c r="BW132" s="77">
        <v>0</v>
      </c>
      <c r="BX132" s="693">
        <v>0</v>
      </c>
      <c r="BY132" s="77">
        <v>0</v>
      </c>
      <c r="BZ132" s="77">
        <v>0</v>
      </c>
      <c r="CA132" s="76">
        <f t="shared" si="418"/>
        <v>0</v>
      </c>
      <c r="CB132" s="77"/>
      <c r="CC132" s="693"/>
      <c r="CD132" s="77"/>
      <c r="CE132" s="77"/>
      <c r="CF132" s="76"/>
      <c r="CG132" s="693"/>
      <c r="CH132" s="693"/>
      <c r="CI132" s="693"/>
      <c r="CJ132" s="693"/>
      <c r="CK132" s="76"/>
      <c r="CL132" s="77"/>
      <c r="CM132" s="77"/>
      <c r="CN132" s="77"/>
      <c r="CO132" s="77"/>
      <c r="CP132" s="76"/>
      <c r="CQ132" s="77"/>
      <c r="CR132" s="77"/>
      <c r="CS132" s="77"/>
      <c r="CT132" s="77"/>
      <c r="CU132" s="76"/>
      <c r="CV132" s="77"/>
      <c r="CW132" s="77"/>
      <c r="CX132" s="77"/>
      <c r="CY132" s="77"/>
      <c r="CZ132" s="76"/>
      <c r="DA132" s="77"/>
      <c r="DB132" s="77"/>
      <c r="DC132" s="77"/>
      <c r="DD132" s="77"/>
      <c r="DE132" s="76"/>
      <c r="DF132" s="77"/>
      <c r="DG132" s="16"/>
      <c r="DH132" s="593"/>
      <c r="DI132" s="77"/>
      <c r="DJ132" s="76"/>
      <c r="DK132" s="77"/>
      <c r="DL132" s="16"/>
      <c r="DM132" s="16"/>
      <c r="DN132" s="77"/>
      <c r="DO132" s="76"/>
      <c r="DP132" s="77"/>
      <c r="DQ132" s="593"/>
      <c r="DS132" s="77"/>
      <c r="DT132" s="93"/>
      <c r="DU132" s="77"/>
      <c r="DX132" s="77"/>
      <c r="DY132" s="93"/>
      <c r="DZ132" s="93"/>
      <c r="EA132" s="93"/>
      <c r="EB132" s="93"/>
    </row>
    <row r="133" spans="1:132" s="105" customFormat="1" ht="12" customHeight="1">
      <c r="A133" s="68"/>
      <c r="B133" s="68" t="s">
        <v>341</v>
      </c>
      <c r="C133" s="76">
        <v>0</v>
      </c>
      <c r="D133" s="76">
        <v>0</v>
      </c>
      <c r="E133" s="76">
        <v>0</v>
      </c>
      <c r="F133" s="76">
        <v>0</v>
      </c>
      <c r="G133" s="76">
        <v>0</v>
      </c>
      <c r="H133" s="76">
        <v>0</v>
      </c>
      <c r="I133" s="76">
        <v>0</v>
      </c>
      <c r="J133" s="77">
        <v>0</v>
      </c>
      <c r="K133" s="77">
        <v>0</v>
      </c>
      <c r="L133" s="77">
        <v>0</v>
      </c>
      <c r="M133" s="77">
        <f t="shared" si="405"/>
        <v>0</v>
      </c>
      <c r="N133" s="76">
        <v>0</v>
      </c>
      <c r="O133" s="77">
        <v>0</v>
      </c>
      <c r="P133" s="77">
        <v>0</v>
      </c>
      <c r="Q133" s="77">
        <v>0</v>
      </c>
      <c r="R133" s="77">
        <f t="shared" si="406"/>
        <v>0</v>
      </c>
      <c r="S133" s="76">
        <v>0</v>
      </c>
      <c r="T133" s="77">
        <v>0</v>
      </c>
      <c r="U133" s="77">
        <v>0</v>
      </c>
      <c r="V133" s="77">
        <v>0</v>
      </c>
      <c r="W133" s="77">
        <f t="shared" si="407"/>
        <v>0</v>
      </c>
      <c r="X133" s="76">
        <v>0</v>
      </c>
      <c r="Y133" s="77">
        <v>0</v>
      </c>
      <c r="Z133" s="77">
        <v>0</v>
      </c>
      <c r="AA133" s="77">
        <v>0</v>
      </c>
      <c r="AB133" s="77">
        <f t="shared" si="408"/>
        <v>0</v>
      </c>
      <c r="AC133" s="76">
        <v>0</v>
      </c>
      <c r="AD133" s="77">
        <v>0</v>
      </c>
      <c r="AE133" s="77">
        <v>0</v>
      </c>
      <c r="AF133" s="77">
        <v>-81</v>
      </c>
      <c r="AG133" s="77">
        <f t="shared" si="409"/>
        <v>-135</v>
      </c>
      <c r="AH133" s="76">
        <v>-135</v>
      </c>
      <c r="AI133" s="77">
        <v>-15</v>
      </c>
      <c r="AJ133" s="77">
        <v>-17</v>
      </c>
      <c r="AK133" s="77">
        <v>-19</v>
      </c>
      <c r="AL133" s="77">
        <v>-21</v>
      </c>
      <c r="AM133" s="76">
        <f t="shared" si="410"/>
        <v>-21</v>
      </c>
      <c r="AN133" s="77">
        <v>-15</v>
      </c>
      <c r="AO133" s="77">
        <v>-18</v>
      </c>
      <c r="AP133" s="77">
        <v>-26</v>
      </c>
      <c r="AQ133" s="77">
        <v>-30</v>
      </c>
      <c r="AR133" s="76">
        <f t="shared" si="411"/>
        <v>-30</v>
      </c>
      <c r="AS133" s="77">
        <v>-15</v>
      </c>
      <c r="AT133" s="77">
        <v>-18</v>
      </c>
      <c r="AU133" s="86">
        <v>-21</v>
      </c>
      <c r="AV133" s="77">
        <v>-24</v>
      </c>
      <c r="AW133" s="76">
        <f t="shared" si="412"/>
        <v>-24</v>
      </c>
      <c r="AX133" s="77">
        <v>-64</v>
      </c>
      <c r="AY133" s="77">
        <v>-68</v>
      </c>
      <c r="AZ133" s="77">
        <v>-72</v>
      </c>
      <c r="BA133" s="77">
        <v>-76</v>
      </c>
      <c r="BB133" s="76">
        <f t="shared" si="413"/>
        <v>-76</v>
      </c>
      <c r="BC133" s="77">
        <v>-52</v>
      </c>
      <c r="BD133" s="77">
        <v>-57</v>
      </c>
      <c r="BE133" s="77">
        <v>-60</v>
      </c>
      <c r="BF133" s="77">
        <v>-63</v>
      </c>
      <c r="BG133" s="76">
        <f t="shared" si="414"/>
        <v>-63</v>
      </c>
      <c r="BH133" s="77">
        <v>-84</v>
      </c>
      <c r="BI133" s="693">
        <v>-88</v>
      </c>
      <c r="BJ133" s="77">
        <v>-94</v>
      </c>
      <c r="BK133" s="77">
        <v>-98</v>
      </c>
      <c r="BL133" s="76">
        <f t="shared" si="415"/>
        <v>-98</v>
      </c>
      <c r="BM133" s="77">
        <v>-87</v>
      </c>
      <c r="BN133" s="693">
        <v>-90</v>
      </c>
      <c r="BO133" s="77">
        <v>-93</v>
      </c>
      <c r="BP133" s="77">
        <v>-96</v>
      </c>
      <c r="BQ133" s="76">
        <f t="shared" si="416"/>
        <v>-96</v>
      </c>
      <c r="BR133" s="77">
        <v>-76</v>
      </c>
      <c r="BS133" s="693">
        <v>-79</v>
      </c>
      <c r="BT133" s="77">
        <v>-83</v>
      </c>
      <c r="BU133" s="77">
        <v>-93</v>
      </c>
      <c r="BV133" s="76">
        <f t="shared" si="417"/>
        <v>-93</v>
      </c>
      <c r="BW133" s="77">
        <v>-107</v>
      </c>
      <c r="BX133" s="693">
        <v>-112</v>
      </c>
      <c r="BY133" s="77">
        <v>-118</v>
      </c>
      <c r="BZ133" s="77">
        <v>-132</v>
      </c>
      <c r="CA133" s="76">
        <f t="shared" si="418"/>
        <v>-132</v>
      </c>
      <c r="CB133" s="77">
        <v>-226</v>
      </c>
      <c r="CC133" s="693">
        <v>-236</v>
      </c>
      <c r="CD133" s="77">
        <v>-247</v>
      </c>
      <c r="CE133" s="77">
        <v>-257</v>
      </c>
      <c r="CF133" s="76">
        <f t="shared" si="419"/>
        <v>-257</v>
      </c>
      <c r="CG133" s="693">
        <v>-233</v>
      </c>
      <c r="CH133" s="693">
        <v>-238</v>
      </c>
      <c r="CI133" s="693">
        <v>-241</v>
      </c>
      <c r="CJ133" s="693">
        <v>-248</v>
      </c>
      <c r="CK133" s="76">
        <f t="shared" si="420"/>
        <v>-248</v>
      </c>
      <c r="CL133" s="77">
        <v>-162</v>
      </c>
      <c r="CM133" s="77">
        <v>-164</v>
      </c>
      <c r="CN133" s="77">
        <v>-169</v>
      </c>
      <c r="CO133" s="77">
        <v>-173</v>
      </c>
      <c r="CP133" s="76">
        <f t="shared" si="421"/>
        <v>-173</v>
      </c>
      <c r="CQ133" s="77">
        <v>-38</v>
      </c>
      <c r="CR133" s="77">
        <v>-40</v>
      </c>
      <c r="CS133" s="77">
        <v>-47</v>
      </c>
      <c r="CT133" s="77">
        <v>-66</v>
      </c>
      <c r="CU133" s="76">
        <f t="shared" si="422"/>
        <v>-66</v>
      </c>
      <c r="CV133" s="77">
        <v>-2</v>
      </c>
      <c r="CW133" s="77">
        <v>-34</v>
      </c>
      <c r="CX133" s="77">
        <v>-36</v>
      </c>
      <c r="CY133" s="77">
        <v>-40</v>
      </c>
      <c r="CZ133" s="76">
        <f t="shared" si="423"/>
        <v>-40</v>
      </c>
      <c r="DA133" s="77">
        <v>-42</v>
      </c>
      <c r="DB133" s="77">
        <v>-48</v>
      </c>
      <c r="DC133" s="77">
        <v>-52</v>
      </c>
      <c r="DD133" s="77">
        <v>-408</v>
      </c>
      <c r="DE133" s="76">
        <f t="shared" si="424"/>
        <v>-408</v>
      </c>
      <c r="DF133" s="77">
        <v>-65</v>
      </c>
      <c r="DG133" s="16">
        <v>-67</v>
      </c>
      <c r="DH133" s="593">
        <v>-73</v>
      </c>
      <c r="DI133" s="1074">
        <v>-83</v>
      </c>
      <c r="DJ133" s="76">
        <f t="shared" ref="DJ133:DJ136" si="462">DI133</f>
        <v>-83</v>
      </c>
      <c r="DK133" s="1074">
        <v>-14</v>
      </c>
      <c r="DL133" s="1074">
        <v>-18</v>
      </c>
      <c r="DM133" s="1074">
        <v>-28</v>
      </c>
      <c r="DN133" s="1074">
        <v>-34</v>
      </c>
      <c r="DO133" s="76">
        <f t="shared" ref="DO133:DO136" si="463">DN133</f>
        <v>-34</v>
      </c>
      <c r="DP133" s="1074">
        <v>-31</v>
      </c>
      <c r="DQ133" s="1086">
        <v>-32</v>
      </c>
      <c r="DS133" s="77"/>
      <c r="DT133" s="93"/>
      <c r="DU133" s="1074"/>
      <c r="DX133" s="77"/>
      <c r="DY133" s="93"/>
      <c r="DZ133" s="93"/>
      <c r="EA133" s="93"/>
      <c r="EB133" s="93"/>
    </row>
    <row r="134" spans="1:132" s="105" customFormat="1" ht="12" customHeight="1">
      <c r="A134" s="68"/>
      <c r="B134" s="68" t="s">
        <v>98</v>
      </c>
      <c r="C134" s="76">
        <v>-141</v>
      </c>
      <c r="D134" s="76">
        <v>-1397</v>
      </c>
      <c r="E134" s="76">
        <v>-2937</v>
      </c>
      <c r="F134" s="76">
        <v>-2357</v>
      </c>
      <c r="G134" s="76">
        <v>-2417</v>
      </c>
      <c r="H134" s="76">
        <v>0</v>
      </c>
      <c r="I134" s="76">
        <v>0</v>
      </c>
      <c r="J134" s="77">
        <v>0</v>
      </c>
      <c r="K134" s="77">
        <v>-204</v>
      </c>
      <c r="L134" s="77">
        <v>-319</v>
      </c>
      <c r="M134" s="77">
        <f t="shared" si="405"/>
        <v>-752</v>
      </c>
      <c r="N134" s="76">
        <v>-752</v>
      </c>
      <c r="O134" s="77">
        <v>-495</v>
      </c>
      <c r="P134" s="77">
        <v>-1140</v>
      </c>
      <c r="Q134" s="77">
        <v>-2045</v>
      </c>
      <c r="R134" s="77">
        <f t="shared" si="406"/>
        <v>-2877</v>
      </c>
      <c r="S134" s="76">
        <v>-2877</v>
      </c>
      <c r="T134" s="77">
        <v>-404</v>
      </c>
      <c r="U134" s="77">
        <v>-929</v>
      </c>
      <c r="V134" s="77">
        <v>-1254</v>
      </c>
      <c r="W134" s="77">
        <f t="shared" si="407"/>
        <v>-1698</v>
      </c>
      <c r="X134" s="76">
        <v>-1698</v>
      </c>
      <c r="Y134" s="77">
        <v>-360</v>
      </c>
      <c r="Z134" s="77">
        <v>-946</v>
      </c>
      <c r="AA134" s="77">
        <v>-1817</v>
      </c>
      <c r="AB134" s="77">
        <f t="shared" si="408"/>
        <v>-2775</v>
      </c>
      <c r="AC134" s="76">
        <v>-2775</v>
      </c>
      <c r="AD134" s="77">
        <v>-1158</v>
      </c>
      <c r="AE134" s="77">
        <v>-2064</v>
      </c>
      <c r="AF134" s="77">
        <v>-2583</v>
      </c>
      <c r="AG134" s="77">
        <f t="shared" si="409"/>
        <v>-2937</v>
      </c>
      <c r="AH134" s="76">
        <v>-2937</v>
      </c>
      <c r="AI134" s="77">
        <v>-50</v>
      </c>
      <c r="AJ134" s="77">
        <v>-50</v>
      </c>
      <c r="AK134" s="77">
        <v>-50</v>
      </c>
      <c r="AL134" s="77">
        <v>-50</v>
      </c>
      <c r="AM134" s="76">
        <f t="shared" si="410"/>
        <v>-50</v>
      </c>
      <c r="AN134" s="77">
        <v>0</v>
      </c>
      <c r="AO134" s="77">
        <v>0</v>
      </c>
      <c r="AP134" s="77"/>
      <c r="AQ134" s="77"/>
      <c r="AR134" s="76">
        <f t="shared" si="411"/>
        <v>0</v>
      </c>
      <c r="AS134" s="77">
        <v>0</v>
      </c>
      <c r="AT134" s="77">
        <v>0</v>
      </c>
      <c r="AU134" s="86">
        <v>0</v>
      </c>
      <c r="AV134" s="77">
        <v>0</v>
      </c>
      <c r="AW134" s="76">
        <f t="shared" si="412"/>
        <v>0</v>
      </c>
      <c r="AX134" s="77"/>
      <c r="AY134" s="77"/>
      <c r="AZ134" s="77"/>
      <c r="BA134" s="77"/>
      <c r="BB134" s="76">
        <f t="shared" si="413"/>
        <v>0</v>
      </c>
      <c r="BC134" s="77"/>
      <c r="BD134" s="77">
        <v>-1000</v>
      </c>
      <c r="BE134" s="77">
        <v>-1799</v>
      </c>
      <c r="BF134" s="77">
        <v>-2801</v>
      </c>
      <c r="BG134" s="76">
        <f t="shared" si="414"/>
        <v>-2801</v>
      </c>
      <c r="BH134" s="77">
        <v>-2500</v>
      </c>
      <c r="BI134" s="693">
        <v>-3998</v>
      </c>
      <c r="BJ134" s="77">
        <v>-5000</v>
      </c>
      <c r="BK134" s="77">
        <v>-6001</v>
      </c>
      <c r="BL134" s="76">
        <f t="shared" si="415"/>
        <v>-6001</v>
      </c>
      <c r="BM134" s="77">
        <v>-2500</v>
      </c>
      <c r="BN134" s="693">
        <v>-4501</v>
      </c>
      <c r="BO134" s="77">
        <v>-6001</v>
      </c>
      <c r="BP134" s="77">
        <v>-6751</v>
      </c>
      <c r="BQ134" s="76">
        <f t="shared" si="416"/>
        <v>-6751</v>
      </c>
      <c r="BR134" s="77">
        <v>-3501</v>
      </c>
      <c r="BS134" s="693">
        <v>-5501</v>
      </c>
      <c r="BT134" s="77">
        <v>-6501</v>
      </c>
      <c r="BU134" s="77">
        <v>-7001</v>
      </c>
      <c r="BV134" s="76">
        <f t="shared" si="417"/>
        <v>-7001</v>
      </c>
      <c r="BW134" s="77">
        <v>-2500</v>
      </c>
      <c r="BX134" s="693">
        <v>-5000</v>
      </c>
      <c r="BY134" s="77">
        <v>-7500</v>
      </c>
      <c r="BZ134" s="77">
        <v>-9236</v>
      </c>
      <c r="CA134" s="76">
        <f t="shared" si="418"/>
        <v>-9236</v>
      </c>
      <c r="CB134" s="77">
        <v>-3000</v>
      </c>
      <c r="CC134" s="693">
        <v>-5965</v>
      </c>
      <c r="CD134" s="77">
        <v>-8415</v>
      </c>
      <c r="CE134" s="77">
        <v>-9000</v>
      </c>
      <c r="CF134" s="76">
        <f t="shared" si="419"/>
        <v>-9000</v>
      </c>
      <c r="CG134" s="693">
        <v>-2341</v>
      </c>
      <c r="CH134" s="693">
        <v>-2651</v>
      </c>
      <c r="CI134" s="693">
        <v>-2651</v>
      </c>
      <c r="CJ134" s="693">
        <v>-2651</v>
      </c>
      <c r="CK134" s="76">
        <f t="shared" si="420"/>
        <v>-2651</v>
      </c>
      <c r="CL134" s="77">
        <v>0</v>
      </c>
      <c r="CM134" s="77">
        <v>0</v>
      </c>
      <c r="CN134" s="77">
        <v>0</v>
      </c>
      <c r="CO134" s="77"/>
      <c r="CP134" s="76">
        <f t="shared" si="421"/>
        <v>0</v>
      </c>
      <c r="CQ134" s="77"/>
      <c r="CR134" s="77"/>
      <c r="CS134" s="16"/>
      <c r="CT134" s="77"/>
      <c r="CU134" s="76">
        <f t="shared" si="422"/>
        <v>0</v>
      </c>
      <c r="CV134" s="77"/>
      <c r="CW134" s="77"/>
      <c r="CX134" s="77"/>
      <c r="CY134" s="77"/>
      <c r="CZ134" s="76">
        <f t="shared" si="423"/>
        <v>0</v>
      </c>
      <c r="DA134" s="77"/>
      <c r="DB134" s="77"/>
      <c r="DC134" s="77"/>
      <c r="DD134" s="77"/>
      <c r="DE134" s="76">
        <f t="shared" si="424"/>
        <v>0</v>
      </c>
      <c r="DF134" s="77"/>
      <c r="DG134" s="16"/>
      <c r="DH134" s="593"/>
      <c r="DI134" s="1074">
        <f>18200+5657</f>
        <v>23857</v>
      </c>
      <c r="DJ134" s="76">
        <f t="shared" si="462"/>
        <v>23857</v>
      </c>
      <c r="DK134" s="77"/>
      <c r="DL134" s="16"/>
      <c r="DM134" s="16"/>
      <c r="DN134" s="1074">
        <v>0</v>
      </c>
      <c r="DO134" s="76">
        <f t="shared" si="463"/>
        <v>0</v>
      </c>
      <c r="DP134" s="1074">
        <v>0</v>
      </c>
      <c r="DQ134" s="593"/>
      <c r="DS134" s="77"/>
      <c r="DT134" s="93"/>
      <c r="DU134" s="77"/>
      <c r="DX134" s="77"/>
      <c r="DY134" s="93"/>
      <c r="DZ134" s="93"/>
      <c r="EA134" s="93"/>
      <c r="EB134" s="93"/>
    </row>
    <row r="135" spans="1:132" s="105" customFormat="1" ht="12" customHeight="1">
      <c r="A135" s="68"/>
      <c r="B135" s="68" t="s">
        <v>99</v>
      </c>
      <c r="C135" s="76">
        <v>-557</v>
      </c>
      <c r="D135" s="76">
        <v>-564</v>
      </c>
      <c r="E135" s="76">
        <v>-537</v>
      </c>
      <c r="F135" s="76">
        <v>-504</v>
      </c>
      <c r="G135" s="76">
        <v>-582</v>
      </c>
      <c r="H135" s="76">
        <v>-571</v>
      </c>
      <c r="I135" s="76">
        <v>-572</v>
      </c>
      <c r="J135" s="77">
        <v>-143</v>
      </c>
      <c r="K135" s="77">
        <v>-312</v>
      </c>
      <c r="L135" s="77">
        <v>-480</v>
      </c>
      <c r="M135" s="77">
        <f t="shared" si="405"/>
        <v>-648</v>
      </c>
      <c r="N135" s="76">
        <v>-648</v>
      </c>
      <c r="O135" s="77">
        <v>-208</v>
      </c>
      <c r="P135" s="77">
        <v>-415</v>
      </c>
      <c r="Q135" s="77">
        <v>-620</v>
      </c>
      <c r="R135" s="77">
        <f t="shared" si="406"/>
        <v>-820</v>
      </c>
      <c r="S135" s="76">
        <v>-820</v>
      </c>
      <c r="T135" s="77">
        <v>-240</v>
      </c>
      <c r="U135" s="77">
        <v>-481</v>
      </c>
      <c r="V135" s="77">
        <v>-719</v>
      </c>
      <c r="W135" s="77">
        <f t="shared" si="407"/>
        <v>-956</v>
      </c>
      <c r="X135" s="76">
        <v>-956</v>
      </c>
      <c r="Y135" s="77">
        <v>-276</v>
      </c>
      <c r="Z135" s="77">
        <v>-552</v>
      </c>
      <c r="AA135" s="77">
        <v>-826</v>
      </c>
      <c r="AB135" s="77">
        <f t="shared" si="408"/>
        <v>-1096</v>
      </c>
      <c r="AC135" s="76">
        <v>-1096</v>
      </c>
      <c r="AD135" s="77">
        <v>-306</v>
      </c>
      <c r="AE135" s="77">
        <v>-606</v>
      </c>
      <c r="AF135" s="77">
        <v>-901</v>
      </c>
      <c r="AG135" s="77">
        <f t="shared" si="409"/>
        <v>-1192</v>
      </c>
      <c r="AH135" s="76">
        <v>-1192</v>
      </c>
      <c r="AI135" s="77">
        <v>-305</v>
      </c>
      <c r="AJ135" s="77">
        <v>-610</v>
      </c>
      <c r="AK135" s="77">
        <v>-915</v>
      </c>
      <c r="AL135" s="77">
        <v>-1220</v>
      </c>
      <c r="AM135" s="76">
        <f t="shared" si="410"/>
        <v>-1220</v>
      </c>
      <c r="AN135" s="77">
        <v>-318</v>
      </c>
      <c r="AO135" s="77">
        <v>-637</v>
      </c>
      <c r="AP135" s="77">
        <v>-945</v>
      </c>
      <c r="AQ135" s="77">
        <v>-1253</v>
      </c>
      <c r="AR135" s="76">
        <f t="shared" si="411"/>
        <v>-1253</v>
      </c>
      <c r="AS135" s="77">
        <v>-309</v>
      </c>
      <c r="AT135" s="77">
        <v>-620</v>
      </c>
      <c r="AU135" s="86">
        <v>-932</v>
      </c>
      <c r="AV135" s="77">
        <v>-1244</v>
      </c>
      <c r="AW135" s="76">
        <f t="shared" si="412"/>
        <v>-1244</v>
      </c>
      <c r="AX135" s="77">
        <v>-328</v>
      </c>
      <c r="AY135" s="77">
        <v>-658</v>
      </c>
      <c r="AZ135" s="77">
        <v>-990</v>
      </c>
      <c r="BA135" s="77">
        <v>-1322</v>
      </c>
      <c r="BB135" s="76">
        <f t="shared" si="413"/>
        <v>-1322</v>
      </c>
      <c r="BC135" s="77">
        <v>-367</v>
      </c>
      <c r="BD135" s="77">
        <v>-735</v>
      </c>
      <c r="BE135" s="77">
        <v>-1102</v>
      </c>
      <c r="BF135" s="77">
        <v>-1467</v>
      </c>
      <c r="BG135" s="76">
        <f t="shared" si="414"/>
        <v>-1467</v>
      </c>
      <c r="BH135" s="77">
        <v>-540</v>
      </c>
      <c r="BI135" s="693">
        <v>-1071</v>
      </c>
      <c r="BJ135" s="77">
        <v>-1596</v>
      </c>
      <c r="BK135" s="77">
        <v>-2115</v>
      </c>
      <c r="BL135" s="76">
        <f t="shared" si="415"/>
        <v>-2115</v>
      </c>
      <c r="BM135" s="77">
        <v>-639</v>
      </c>
      <c r="BN135" s="693">
        <v>-1264</v>
      </c>
      <c r="BO135" s="77">
        <v>-1882</v>
      </c>
      <c r="BP135" s="77">
        <v>-2490</v>
      </c>
      <c r="BQ135" s="76">
        <f t="shared" si="416"/>
        <v>-2490</v>
      </c>
      <c r="BR135" s="77">
        <v>-717</v>
      </c>
      <c r="BS135" s="693">
        <v>-1408</v>
      </c>
      <c r="BT135" s="77">
        <v>-2084</v>
      </c>
      <c r="BU135" s="77">
        <v>-2756</v>
      </c>
      <c r="BV135" s="76">
        <f t="shared" si="417"/>
        <v>-2756</v>
      </c>
      <c r="BW135" s="77">
        <v>-868</v>
      </c>
      <c r="BX135" s="693">
        <v>-1720</v>
      </c>
      <c r="BY135" s="77">
        <v>-2575</v>
      </c>
      <c r="BZ135" s="77">
        <v>-3417</v>
      </c>
      <c r="CA135" s="76">
        <f t="shared" si="418"/>
        <v>-3417</v>
      </c>
      <c r="CB135" s="77">
        <v>-1006</v>
      </c>
      <c r="CC135" s="693">
        <v>-1997</v>
      </c>
      <c r="CD135" s="77">
        <v>-2976</v>
      </c>
      <c r="CE135" s="77">
        <v>-3946</v>
      </c>
      <c r="CF135" s="76">
        <f t="shared" si="419"/>
        <v>-3946</v>
      </c>
      <c r="CG135" s="693">
        <v>-1161</v>
      </c>
      <c r="CH135" s="693">
        <v>-2317</v>
      </c>
      <c r="CI135" s="693">
        <v>-3473</v>
      </c>
      <c r="CJ135" s="693">
        <v>-4630</v>
      </c>
      <c r="CK135" s="76">
        <f t="shared" si="420"/>
        <v>-4630</v>
      </c>
      <c r="CL135" s="77">
        <v>-1158</v>
      </c>
      <c r="CM135" s="77">
        <v>-1158</v>
      </c>
      <c r="CN135" s="77">
        <v>-1158</v>
      </c>
      <c r="CO135" s="77">
        <v>-1158</v>
      </c>
      <c r="CP135" s="76">
        <f t="shared" si="421"/>
        <v>-1158</v>
      </c>
      <c r="CQ135" s="77"/>
      <c r="CR135" s="77"/>
      <c r="CS135" s="77"/>
      <c r="CT135" s="77"/>
      <c r="CU135" s="76">
        <f t="shared" si="422"/>
        <v>0</v>
      </c>
      <c r="CV135" s="77"/>
      <c r="CW135" s="77"/>
      <c r="CX135" s="77"/>
      <c r="CY135" s="77"/>
      <c r="CZ135" s="76">
        <f t="shared" si="423"/>
        <v>0</v>
      </c>
      <c r="DA135" s="77"/>
      <c r="DB135" s="77"/>
      <c r="DC135" s="77"/>
      <c r="DD135" s="77"/>
      <c r="DE135" s="76">
        <f t="shared" si="424"/>
        <v>0</v>
      </c>
      <c r="DF135" s="77"/>
      <c r="DG135" s="16"/>
      <c r="DH135" s="593"/>
      <c r="DI135" s="77"/>
      <c r="DJ135" s="76">
        <f t="shared" si="462"/>
        <v>0</v>
      </c>
      <c r="DK135" s="1074">
        <v>-72</v>
      </c>
      <c r="DL135" s="1074">
        <v>-158</v>
      </c>
      <c r="DM135" s="1074">
        <v>-244</v>
      </c>
      <c r="DN135" s="1074">
        <v>-331</v>
      </c>
      <c r="DO135" s="76">
        <f t="shared" si="463"/>
        <v>-331</v>
      </c>
      <c r="DP135" s="1074">
        <v>-86</v>
      </c>
      <c r="DQ135" s="1086">
        <v>-172</v>
      </c>
      <c r="DS135" s="77"/>
      <c r="DT135" s="93"/>
      <c r="DU135" s="1074"/>
      <c r="DX135" s="77"/>
      <c r="DY135" s="93"/>
      <c r="DZ135" s="93"/>
      <c r="EA135" s="93"/>
      <c r="EB135" s="93"/>
    </row>
    <row r="136" spans="1:132" s="105" customFormat="1" ht="12" customHeight="1">
      <c r="A136" s="68"/>
      <c r="B136" s="68" t="s">
        <v>100</v>
      </c>
      <c r="C136" s="79">
        <v>268</v>
      </c>
      <c r="D136" s="79">
        <v>0</v>
      </c>
      <c r="E136" s="79">
        <v>0</v>
      </c>
      <c r="F136" s="79">
        <v>0</v>
      </c>
      <c r="G136" s="79">
        <v>0</v>
      </c>
      <c r="H136" s="79">
        <v>0</v>
      </c>
      <c r="I136" s="79">
        <v>0</v>
      </c>
      <c r="J136" s="80">
        <v>0</v>
      </c>
      <c r="K136" s="80">
        <v>0</v>
      </c>
      <c r="L136" s="80">
        <v>0</v>
      </c>
      <c r="M136" s="80">
        <f t="shared" si="405"/>
        <v>0</v>
      </c>
      <c r="N136" s="79">
        <v>0</v>
      </c>
      <c r="O136" s="80">
        <v>0</v>
      </c>
      <c r="P136" s="80">
        <v>0</v>
      </c>
      <c r="Q136" s="80">
        <v>0</v>
      </c>
      <c r="R136" s="80">
        <f t="shared" si="406"/>
        <v>0</v>
      </c>
      <c r="S136" s="79">
        <v>0</v>
      </c>
      <c r="T136" s="80">
        <v>0</v>
      </c>
      <c r="U136" s="80">
        <v>0</v>
      </c>
      <c r="V136" s="80">
        <v>0</v>
      </c>
      <c r="W136" s="80">
        <f t="shared" si="407"/>
        <v>0</v>
      </c>
      <c r="X136" s="79">
        <v>0</v>
      </c>
      <c r="Y136" s="80">
        <v>0</v>
      </c>
      <c r="Z136" s="80">
        <v>0</v>
      </c>
      <c r="AA136" s="80">
        <v>0</v>
      </c>
      <c r="AB136" s="80">
        <f t="shared" si="408"/>
        <v>0</v>
      </c>
      <c r="AC136" s="79">
        <v>0</v>
      </c>
      <c r="AD136" s="80">
        <v>0</v>
      </c>
      <c r="AE136" s="80">
        <v>0</v>
      </c>
      <c r="AF136" s="80">
        <v>-210</v>
      </c>
      <c r="AG136" s="80">
        <f t="shared" si="409"/>
        <v>-357</v>
      </c>
      <c r="AH136" s="79">
        <f>-357</f>
        <v>-357</v>
      </c>
      <c r="AI136" s="80">
        <v>0</v>
      </c>
      <c r="AJ136" s="80">
        <v>0</v>
      </c>
      <c r="AK136" s="80"/>
      <c r="AL136" s="80">
        <v>-40</v>
      </c>
      <c r="AM136" s="79">
        <f t="shared" si="410"/>
        <v>-40</v>
      </c>
      <c r="AN136" s="80">
        <f>-13</f>
        <v>-13</v>
      </c>
      <c r="AO136" s="80">
        <v>-137</v>
      </c>
      <c r="AP136" s="80">
        <v>-137</v>
      </c>
      <c r="AQ136" s="80">
        <v>-137</v>
      </c>
      <c r="AR136" s="79">
        <f t="shared" si="411"/>
        <v>-137</v>
      </c>
      <c r="AS136" s="80">
        <v>-392</v>
      </c>
      <c r="AT136" s="80">
        <v>-406</v>
      </c>
      <c r="AU136" s="97">
        <v>-436</v>
      </c>
      <c r="AV136" s="80">
        <v>-451</v>
      </c>
      <c r="AW136" s="79">
        <f t="shared" si="412"/>
        <v>-451</v>
      </c>
      <c r="AX136" s="80">
        <v>-72</v>
      </c>
      <c r="AY136" s="80">
        <v>-72</v>
      </c>
      <c r="AZ136" s="80">
        <v>-72</v>
      </c>
      <c r="BA136" s="80">
        <v>-228</v>
      </c>
      <c r="BB136" s="79">
        <f t="shared" si="413"/>
        <v>-228</v>
      </c>
      <c r="BC136" s="80">
        <v>-138</v>
      </c>
      <c r="BD136" s="80">
        <v>-139</v>
      </c>
      <c r="BE136" s="80">
        <v>-139</v>
      </c>
      <c r="BF136" s="80">
        <f>-280</f>
        <v>-280</v>
      </c>
      <c r="BG136" s="79">
        <f t="shared" si="414"/>
        <v>-280</v>
      </c>
      <c r="BH136" s="80">
        <f>-12-3</f>
        <v>-15</v>
      </c>
      <c r="BI136" s="568">
        <f>-12-184</f>
        <v>-196</v>
      </c>
      <c r="BJ136" s="80">
        <f>-184-12</f>
        <v>-196</v>
      </c>
      <c r="BK136" s="80">
        <f>-12-185</f>
        <v>-197</v>
      </c>
      <c r="BL136" s="79">
        <f t="shared" si="415"/>
        <v>-197</v>
      </c>
      <c r="BM136" s="80">
        <v>0</v>
      </c>
      <c r="BN136" s="568">
        <v>0</v>
      </c>
      <c r="BO136" s="568">
        <v>0</v>
      </c>
      <c r="BP136" s="80">
        <v>0</v>
      </c>
      <c r="BQ136" s="79">
        <f t="shared" si="416"/>
        <v>0</v>
      </c>
      <c r="BR136" s="80">
        <v>0</v>
      </c>
      <c r="BS136" s="568">
        <v>-24</v>
      </c>
      <c r="BT136" s="80">
        <v>-24</v>
      </c>
      <c r="BU136" s="80">
        <v>-24</v>
      </c>
      <c r="BV136" s="79">
        <f t="shared" si="417"/>
        <v>-24</v>
      </c>
      <c r="BW136" s="80">
        <v>0</v>
      </c>
      <c r="BX136" s="80">
        <v>0</v>
      </c>
      <c r="BY136" s="80">
        <v>0</v>
      </c>
      <c r="BZ136" s="80">
        <v>0</v>
      </c>
      <c r="CA136" s="79">
        <f t="shared" si="418"/>
        <v>0</v>
      </c>
      <c r="CB136" s="80">
        <v>20</v>
      </c>
      <c r="CC136" s="568">
        <v>20</v>
      </c>
      <c r="CD136" s="80">
        <v>35</v>
      </c>
      <c r="CE136" s="80">
        <v>35</v>
      </c>
      <c r="CF136" s="79">
        <f t="shared" si="419"/>
        <v>35</v>
      </c>
      <c r="CG136" s="568">
        <v>7</v>
      </c>
      <c r="CH136" s="568">
        <v>7</v>
      </c>
      <c r="CI136" s="568">
        <v>7</v>
      </c>
      <c r="CJ136" s="568">
        <f>7-15</f>
        <v>-8</v>
      </c>
      <c r="CK136" s="79">
        <f t="shared" si="420"/>
        <v>-8</v>
      </c>
      <c r="CL136" s="80">
        <v>0</v>
      </c>
      <c r="CM136" s="80">
        <v>0</v>
      </c>
      <c r="CN136" s="80">
        <v>0</v>
      </c>
      <c r="CO136" s="80"/>
      <c r="CP136" s="79">
        <f t="shared" si="421"/>
        <v>0</v>
      </c>
      <c r="CQ136" s="80"/>
      <c r="CR136" s="80"/>
      <c r="CS136" s="80"/>
      <c r="CT136" s="80"/>
      <c r="CU136" s="79">
        <f t="shared" si="422"/>
        <v>0</v>
      </c>
      <c r="CV136" s="80"/>
      <c r="CW136" s="80"/>
      <c r="CX136" s="80"/>
      <c r="CY136" s="80"/>
      <c r="CZ136" s="79">
        <f t="shared" si="423"/>
        <v>0</v>
      </c>
      <c r="DA136" s="80"/>
      <c r="DB136" s="80">
        <f>-4+3</f>
        <v>-1</v>
      </c>
      <c r="DC136" s="80">
        <f>2+3</f>
        <v>5</v>
      </c>
      <c r="DD136" s="80">
        <v>17</v>
      </c>
      <c r="DE136" s="79">
        <f t="shared" si="424"/>
        <v>17</v>
      </c>
      <c r="DF136" s="80">
        <v>18</v>
      </c>
      <c r="DG136" s="80">
        <v>-3</v>
      </c>
      <c r="DH136" s="272">
        <v>15</v>
      </c>
      <c r="DI136" s="1075">
        <v>-53</v>
      </c>
      <c r="DJ136" s="79">
        <f t="shared" si="462"/>
        <v>-53</v>
      </c>
      <c r="DK136" s="1075">
        <v>14</v>
      </c>
      <c r="DL136" s="1075">
        <v>30</v>
      </c>
      <c r="DM136" s="1075">
        <v>43</v>
      </c>
      <c r="DN136" s="1075">
        <v>58</v>
      </c>
      <c r="DO136" s="79">
        <f t="shared" si="463"/>
        <v>58</v>
      </c>
      <c r="DP136" s="1075">
        <v>15</v>
      </c>
      <c r="DQ136" s="1108">
        <v>32</v>
      </c>
      <c r="DS136" s="80"/>
      <c r="DT136" s="93"/>
      <c r="DU136" s="1075"/>
      <c r="DX136" s="80"/>
      <c r="DY136" s="93"/>
      <c r="DZ136" s="93"/>
      <c r="EA136" s="93"/>
      <c r="EB136" s="93"/>
    </row>
    <row r="137" spans="1:132" s="277" customFormat="1" ht="12" customHeight="1">
      <c r="A137" s="74"/>
      <c r="B137" s="74" t="s">
        <v>344</v>
      </c>
      <c r="C137" s="71">
        <f t="shared" ref="C137:L137" si="464">SUM(C129:C136)</f>
        <v>-899</v>
      </c>
      <c r="D137" s="71">
        <f t="shared" si="464"/>
        <v>-1778</v>
      </c>
      <c r="E137" s="71">
        <f t="shared" si="464"/>
        <v>-3620</v>
      </c>
      <c r="F137" s="71">
        <f t="shared" si="464"/>
        <v>-658</v>
      </c>
      <c r="G137" s="71">
        <f t="shared" si="464"/>
        <v>523</v>
      </c>
      <c r="H137" s="71">
        <f t="shared" si="464"/>
        <v>746</v>
      </c>
      <c r="I137" s="71">
        <f t="shared" si="464"/>
        <v>-521</v>
      </c>
      <c r="J137" s="72">
        <f t="shared" si="464"/>
        <v>-588</v>
      </c>
      <c r="K137" s="72">
        <f t="shared" si="464"/>
        <v>-1276</v>
      </c>
      <c r="L137" s="72">
        <f t="shared" si="464"/>
        <v>-2800</v>
      </c>
      <c r="M137" s="72">
        <f t="shared" si="405"/>
        <v>-3518</v>
      </c>
      <c r="N137" s="71">
        <f>SUM(N129:N136)</f>
        <v>-3518</v>
      </c>
      <c r="O137" s="72">
        <f>SUM(O129:O136)</f>
        <v>-992</v>
      </c>
      <c r="P137" s="72">
        <f>SUM(P129:P136)</f>
        <v>-2500</v>
      </c>
      <c r="Q137" s="72">
        <f>SUM(Q129:Q136)</f>
        <v>-3615</v>
      </c>
      <c r="R137" s="72">
        <f t="shared" si="406"/>
        <v>-4657</v>
      </c>
      <c r="S137" s="71">
        <f>SUM(S129:S136)</f>
        <v>-4657</v>
      </c>
      <c r="T137" s="72">
        <f>SUM(T129:T136)</f>
        <v>-493</v>
      </c>
      <c r="U137" s="72">
        <f>SUM(U129:U136)</f>
        <v>-1715</v>
      </c>
      <c r="V137" s="72">
        <f>SUM(V129:V136)</f>
        <v>-2725</v>
      </c>
      <c r="W137" s="72">
        <f t="shared" si="407"/>
        <v>-3645</v>
      </c>
      <c r="X137" s="71">
        <f>SUM(X129:X136)</f>
        <v>-3645</v>
      </c>
      <c r="Y137" s="72">
        <f>SUM(Y129:Y136)</f>
        <v>-1331</v>
      </c>
      <c r="Z137" s="72">
        <f>SUM(Z129:Z136)</f>
        <v>-2123</v>
      </c>
      <c r="AA137" s="72">
        <f>SUM(AA129:AA136)</f>
        <v>-3285</v>
      </c>
      <c r="AB137" s="72">
        <f t="shared" si="408"/>
        <v>-4884</v>
      </c>
      <c r="AC137" s="71">
        <f>SUM(AC129:AC136)</f>
        <v>-4884</v>
      </c>
      <c r="AD137" s="72">
        <f>SUM(AD129:AD136)</f>
        <v>-1433</v>
      </c>
      <c r="AE137" s="72">
        <f>SUM(AE129:AE136)</f>
        <v>-2733</v>
      </c>
      <c r="AF137" s="72">
        <f>SUM(AF129:AF136)</f>
        <v>-4243</v>
      </c>
      <c r="AG137" s="72">
        <f t="shared" si="409"/>
        <v>-5202</v>
      </c>
      <c r="AH137" s="71">
        <f t="shared" ref="AH137:AP137" si="465">SUM(AH129:AH136)</f>
        <v>-5202</v>
      </c>
      <c r="AI137" s="72">
        <f t="shared" si="465"/>
        <v>1391</v>
      </c>
      <c r="AJ137" s="72">
        <f t="shared" si="465"/>
        <v>960</v>
      </c>
      <c r="AK137" s="72">
        <f t="shared" si="465"/>
        <v>2545</v>
      </c>
      <c r="AL137" s="72">
        <f t="shared" si="465"/>
        <v>4094</v>
      </c>
      <c r="AM137" s="71">
        <f t="shared" si="465"/>
        <v>4094</v>
      </c>
      <c r="AN137" s="72">
        <f t="shared" si="465"/>
        <v>-347</v>
      </c>
      <c r="AO137" s="72">
        <f t="shared" si="465"/>
        <v>-778</v>
      </c>
      <c r="AP137" s="72">
        <f t="shared" si="465"/>
        <v>-1645</v>
      </c>
      <c r="AQ137" s="72">
        <f t="shared" ref="AQ137:BH137" si="466">SUM(AQ129:AQ136)</f>
        <v>-1962</v>
      </c>
      <c r="AR137" s="71">
        <f t="shared" si="466"/>
        <v>-1962</v>
      </c>
      <c r="AS137" s="72">
        <f t="shared" si="466"/>
        <v>-1468</v>
      </c>
      <c r="AT137" s="72">
        <f t="shared" si="466"/>
        <v>-1747</v>
      </c>
      <c r="AU137" s="90">
        <f t="shared" si="466"/>
        <v>-1354</v>
      </c>
      <c r="AV137" s="72">
        <f t="shared" si="466"/>
        <v>-1700</v>
      </c>
      <c r="AW137" s="71">
        <f t="shared" si="466"/>
        <v>-1700</v>
      </c>
      <c r="AX137" s="72">
        <f t="shared" si="466"/>
        <v>-1187</v>
      </c>
      <c r="AY137" s="72">
        <f t="shared" si="466"/>
        <v>-1897</v>
      </c>
      <c r="AZ137" s="72">
        <f t="shared" si="466"/>
        <v>-2234</v>
      </c>
      <c r="BA137" s="72">
        <f t="shared" si="466"/>
        <v>-3477</v>
      </c>
      <c r="BB137" s="71">
        <f>SUM(BB129:BB136)</f>
        <v>-3477</v>
      </c>
      <c r="BC137" s="72">
        <f t="shared" si="466"/>
        <v>-1705</v>
      </c>
      <c r="BD137" s="72">
        <f t="shared" si="466"/>
        <v>-2230</v>
      </c>
      <c r="BE137" s="72">
        <f t="shared" si="466"/>
        <v>-2993</v>
      </c>
      <c r="BF137" s="72">
        <f t="shared" si="466"/>
        <v>-4249</v>
      </c>
      <c r="BG137" s="71">
        <f>SUM(BG129:BG136)</f>
        <v>-4249</v>
      </c>
      <c r="BH137" s="72">
        <f t="shared" si="466"/>
        <v>-3668</v>
      </c>
      <c r="BI137" s="597">
        <f t="shared" ref="BI137:DF137" si="467">SUM(BI129:BI136)</f>
        <v>-5764</v>
      </c>
      <c r="BJ137" s="597">
        <f t="shared" si="467"/>
        <v>-7294</v>
      </c>
      <c r="BK137" s="597">
        <f t="shared" si="467"/>
        <v>-8593</v>
      </c>
      <c r="BL137" s="71">
        <f t="shared" si="467"/>
        <v>-8593</v>
      </c>
      <c r="BM137" s="597">
        <f t="shared" si="467"/>
        <v>-2935</v>
      </c>
      <c r="BN137" s="597">
        <f t="shared" si="467"/>
        <v>-5540</v>
      </c>
      <c r="BO137" s="597">
        <f t="shared" si="467"/>
        <v>-7609</v>
      </c>
      <c r="BP137" s="597">
        <f t="shared" si="467"/>
        <v>-7920</v>
      </c>
      <c r="BQ137" s="71">
        <f t="shared" ref="BQ137" si="468">SUM(BQ129:BQ136)</f>
        <v>-7920</v>
      </c>
      <c r="BR137" s="597">
        <f t="shared" si="467"/>
        <v>-4221</v>
      </c>
      <c r="BS137" s="597">
        <f t="shared" si="467"/>
        <v>-5809</v>
      </c>
      <c r="BT137" s="597">
        <f t="shared" si="467"/>
        <v>-8013</v>
      </c>
      <c r="BU137" s="597">
        <f t="shared" si="467"/>
        <v>-9587</v>
      </c>
      <c r="BV137" s="71">
        <f t="shared" si="467"/>
        <v>-9587</v>
      </c>
      <c r="BW137" s="597">
        <f t="shared" si="467"/>
        <v>-2463</v>
      </c>
      <c r="BX137" s="597">
        <f t="shared" si="467"/>
        <v>-5774</v>
      </c>
      <c r="BY137" s="597">
        <f t="shared" si="467"/>
        <v>-9109</v>
      </c>
      <c r="BZ137" s="597">
        <f t="shared" si="467"/>
        <v>-11350</v>
      </c>
      <c r="CA137" s="71">
        <f t="shared" ref="CA137" si="469">SUM(CA129:CA136)</f>
        <v>-11350</v>
      </c>
      <c r="CB137" s="597">
        <f t="shared" si="467"/>
        <v>-2845</v>
      </c>
      <c r="CC137" s="597">
        <f t="shared" si="467"/>
        <v>-7177</v>
      </c>
      <c r="CD137" s="597">
        <f t="shared" si="467"/>
        <v>-10866</v>
      </c>
      <c r="CE137" s="597">
        <f t="shared" si="467"/>
        <v>-11722</v>
      </c>
      <c r="CF137" s="71">
        <f t="shared" si="467"/>
        <v>-11722</v>
      </c>
      <c r="CG137" s="597">
        <f t="shared" si="467"/>
        <v>-2823</v>
      </c>
      <c r="CH137" s="597">
        <f t="shared" si="467"/>
        <v>96</v>
      </c>
      <c r="CI137" s="597">
        <f t="shared" si="467"/>
        <v>4336</v>
      </c>
      <c r="CJ137" s="597">
        <f t="shared" si="467"/>
        <v>5739</v>
      </c>
      <c r="CK137" s="71">
        <f t="shared" ref="CK137" si="470">SUM(CK129:CK136)</f>
        <v>5739</v>
      </c>
      <c r="CL137" s="597">
        <f t="shared" si="467"/>
        <v>10280</v>
      </c>
      <c r="CM137" s="597">
        <f t="shared" si="467"/>
        <v>32742</v>
      </c>
      <c r="CN137" s="597">
        <f t="shared" si="467"/>
        <v>32274</v>
      </c>
      <c r="CO137" s="597">
        <f t="shared" si="467"/>
        <v>34955</v>
      </c>
      <c r="CP137" s="71">
        <f t="shared" si="467"/>
        <v>34955</v>
      </c>
      <c r="CQ137" s="597">
        <f t="shared" si="467"/>
        <v>-48</v>
      </c>
      <c r="CR137" s="597">
        <f t="shared" si="467"/>
        <v>-67</v>
      </c>
      <c r="CS137" s="597">
        <f t="shared" si="467"/>
        <v>-1238</v>
      </c>
      <c r="CT137" s="597">
        <f t="shared" si="467"/>
        <v>-5600</v>
      </c>
      <c r="CU137" s="71">
        <f t="shared" ref="CU137" si="471">SUM(CU129:CU136)</f>
        <v>-5600</v>
      </c>
      <c r="CV137" s="597">
        <f t="shared" si="467"/>
        <v>-366</v>
      </c>
      <c r="CW137" s="597">
        <f t="shared" si="467"/>
        <v>-998</v>
      </c>
      <c r="CX137" s="597">
        <f t="shared" si="467"/>
        <v>-1016</v>
      </c>
      <c r="CY137" s="597">
        <f t="shared" si="467"/>
        <v>-1266</v>
      </c>
      <c r="CZ137" s="71">
        <f t="shared" si="467"/>
        <v>-1266</v>
      </c>
      <c r="DA137" s="597">
        <f t="shared" si="467"/>
        <v>-1680</v>
      </c>
      <c r="DB137" s="597">
        <f t="shared" si="467"/>
        <v>-5090</v>
      </c>
      <c r="DC137" s="597">
        <f t="shared" si="467"/>
        <v>-5128</v>
      </c>
      <c r="DD137" s="597">
        <f t="shared" si="467"/>
        <v>-5487</v>
      </c>
      <c r="DE137" s="71">
        <f t="shared" ref="DE137" si="472">SUM(DE129:DE136)</f>
        <v>-5487</v>
      </c>
      <c r="DF137" s="597">
        <f t="shared" si="467"/>
        <v>-4462</v>
      </c>
      <c r="DG137" s="597">
        <f t="shared" ref="DG137:DK137" si="473">SUM(DG129:DG136)</f>
        <v>5538</v>
      </c>
      <c r="DH137" s="1065">
        <f t="shared" si="473"/>
        <v>5238</v>
      </c>
      <c r="DI137" s="597">
        <f t="shared" si="473"/>
        <v>25209</v>
      </c>
      <c r="DJ137" s="71">
        <f t="shared" si="473"/>
        <v>25209</v>
      </c>
      <c r="DK137" s="597">
        <f t="shared" si="473"/>
        <v>-338</v>
      </c>
      <c r="DL137" s="597">
        <f t="shared" ref="DL137:DO137" si="474">SUM(DL129:DL136)</f>
        <v>-725</v>
      </c>
      <c r="DM137" s="597">
        <f t="shared" si="474"/>
        <v>-812</v>
      </c>
      <c r="DN137" s="597">
        <f t="shared" si="474"/>
        <v>-3763</v>
      </c>
      <c r="DO137" s="71">
        <f t="shared" si="474"/>
        <v>-3763</v>
      </c>
      <c r="DP137" s="597">
        <f t="shared" ref="DP137:DQ137" si="475">SUM(DP129:DP136)</f>
        <v>-7028</v>
      </c>
      <c r="DQ137" s="1065">
        <f t="shared" si="475"/>
        <v>-8513</v>
      </c>
      <c r="DS137" s="597"/>
      <c r="DT137" s="85"/>
      <c r="DU137" s="597"/>
      <c r="DX137" s="597"/>
      <c r="DY137" s="85"/>
      <c r="DZ137" s="85"/>
      <c r="EA137" s="85"/>
      <c r="EB137" s="85"/>
    </row>
    <row r="138" spans="1:132" s="105" customFormat="1" ht="12" customHeight="1">
      <c r="A138" s="68"/>
      <c r="B138" s="68" t="s">
        <v>129</v>
      </c>
      <c r="C138" s="79">
        <v>0</v>
      </c>
      <c r="D138" s="79">
        <v>0</v>
      </c>
      <c r="E138" s="79">
        <v>0</v>
      </c>
      <c r="F138" s="79">
        <v>0</v>
      </c>
      <c r="G138" s="79">
        <v>0</v>
      </c>
      <c r="H138" s="79">
        <v>0</v>
      </c>
      <c r="I138" s="79">
        <v>0</v>
      </c>
      <c r="J138" s="80">
        <v>0</v>
      </c>
      <c r="K138" s="80">
        <v>0</v>
      </c>
      <c r="L138" s="80">
        <v>0</v>
      </c>
      <c r="M138" s="80">
        <f t="shared" si="405"/>
        <v>0</v>
      </c>
      <c r="N138" s="79">
        <v>0</v>
      </c>
      <c r="O138" s="80">
        <v>0</v>
      </c>
      <c r="P138" s="80">
        <v>0</v>
      </c>
      <c r="Q138" s="80">
        <v>0</v>
      </c>
      <c r="R138" s="80">
        <f t="shared" si="406"/>
        <v>-37</v>
      </c>
      <c r="S138" s="79">
        <v>-37</v>
      </c>
      <c r="T138" s="80">
        <v>3</v>
      </c>
      <c r="U138" s="80">
        <v>18</v>
      </c>
      <c r="V138" s="80">
        <v>21</v>
      </c>
      <c r="W138" s="80">
        <f t="shared" si="407"/>
        <v>38</v>
      </c>
      <c r="X138" s="79">
        <v>38</v>
      </c>
      <c r="Y138" s="80">
        <v>2</v>
      </c>
      <c r="Z138" s="80">
        <v>11</v>
      </c>
      <c r="AA138" s="80">
        <v>21</v>
      </c>
      <c r="AB138" s="80">
        <f t="shared" si="408"/>
        <v>46</v>
      </c>
      <c r="AC138" s="79">
        <v>46</v>
      </c>
      <c r="AD138" s="80">
        <v>28</v>
      </c>
      <c r="AE138" s="80">
        <v>29</v>
      </c>
      <c r="AF138" s="80">
        <v>-26</v>
      </c>
      <c r="AG138" s="80">
        <f t="shared" si="409"/>
        <v>-59</v>
      </c>
      <c r="AH138" s="79">
        <v>-59</v>
      </c>
      <c r="AI138" s="80">
        <v>-17</v>
      </c>
      <c r="AJ138" s="80">
        <v>23</v>
      </c>
      <c r="AK138" s="80">
        <v>40</v>
      </c>
      <c r="AL138" s="80">
        <v>44</v>
      </c>
      <c r="AM138" s="79">
        <f t="shared" si="410"/>
        <v>44</v>
      </c>
      <c r="AN138" s="80">
        <v>-25</v>
      </c>
      <c r="AO138" s="80">
        <v>-58</v>
      </c>
      <c r="AP138" s="80">
        <v>-62</v>
      </c>
      <c r="AQ138" s="80">
        <v>-15</v>
      </c>
      <c r="AR138" s="79">
        <f t="shared" si="411"/>
        <v>-15</v>
      </c>
      <c r="AS138" s="80">
        <v>25</v>
      </c>
      <c r="AT138" s="80">
        <v>37</v>
      </c>
      <c r="AU138" s="97">
        <v>1</v>
      </c>
      <c r="AV138" s="80">
        <v>-2</v>
      </c>
      <c r="AW138" s="79">
        <f t="shared" si="412"/>
        <v>-2</v>
      </c>
      <c r="AX138" s="80">
        <v>22</v>
      </c>
      <c r="AY138" s="80">
        <v>-4</v>
      </c>
      <c r="AZ138" s="80">
        <v>19</v>
      </c>
      <c r="BA138" s="80">
        <v>18</v>
      </c>
      <c r="BB138" s="79">
        <f t="shared" si="413"/>
        <v>18</v>
      </c>
      <c r="BC138" s="80">
        <v>-11</v>
      </c>
      <c r="BD138" s="80">
        <v>-37</v>
      </c>
      <c r="BE138" s="80">
        <v>-24</v>
      </c>
      <c r="BF138" s="80">
        <v>-29</v>
      </c>
      <c r="BG138" s="79">
        <f t="shared" si="414"/>
        <v>-29</v>
      </c>
      <c r="BH138" s="80">
        <v>4</v>
      </c>
      <c r="BI138" s="568">
        <v>7</v>
      </c>
      <c r="BJ138" s="80">
        <v>-33</v>
      </c>
      <c r="BK138" s="80">
        <v>-87</v>
      </c>
      <c r="BL138" s="79">
        <f t="shared" si="415"/>
        <v>-87</v>
      </c>
      <c r="BM138" s="80">
        <v>-17</v>
      </c>
      <c r="BN138" s="568">
        <v>-9</v>
      </c>
      <c r="BO138" s="80">
        <v>-20</v>
      </c>
      <c r="BP138" s="80">
        <v>-28</v>
      </c>
      <c r="BQ138" s="79">
        <f t="shared" si="416"/>
        <v>-28</v>
      </c>
      <c r="BR138" s="80">
        <v>12</v>
      </c>
      <c r="BS138" s="568">
        <v>-3</v>
      </c>
      <c r="BT138" s="80">
        <v>-6</v>
      </c>
      <c r="BU138" s="80">
        <v>-33</v>
      </c>
      <c r="BV138" s="79">
        <f t="shared" si="417"/>
        <v>-33</v>
      </c>
      <c r="BW138" s="80">
        <v>20</v>
      </c>
      <c r="BX138" s="568">
        <v>52</v>
      </c>
      <c r="BY138" s="80">
        <v>73</v>
      </c>
      <c r="BZ138" s="80">
        <v>80</v>
      </c>
      <c r="CA138" s="79">
        <f t="shared" si="418"/>
        <v>80</v>
      </c>
      <c r="CB138" s="80">
        <v>8</v>
      </c>
      <c r="CC138" s="568">
        <v>-36</v>
      </c>
      <c r="CD138" s="80">
        <f>-37-54</f>
        <v>-91</v>
      </c>
      <c r="CE138" s="80">
        <v>-53</v>
      </c>
      <c r="CF138" s="79">
        <f t="shared" si="419"/>
        <v>-53</v>
      </c>
      <c r="CG138" s="568">
        <v>1</v>
      </c>
      <c r="CH138" s="568">
        <f>-2+91</f>
        <v>89</v>
      </c>
      <c r="CI138" s="568">
        <f>-27+91</f>
        <v>64</v>
      </c>
      <c r="CJ138" s="568">
        <f>-5+86</f>
        <v>81</v>
      </c>
      <c r="CK138" s="79">
        <f t="shared" si="420"/>
        <v>81</v>
      </c>
      <c r="CL138" s="80">
        <v>-47</v>
      </c>
      <c r="CM138" s="80">
        <f>-11+44</f>
        <v>33</v>
      </c>
      <c r="CN138" s="80">
        <f>26</f>
        <v>26</v>
      </c>
      <c r="CO138" s="80">
        <v>85</v>
      </c>
      <c r="CP138" s="79">
        <f t="shared" si="421"/>
        <v>85</v>
      </c>
      <c r="CQ138" s="80">
        <f>-18-4</f>
        <v>-22</v>
      </c>
      <c r="CR138" s="80">
        <f>-14+47</f>
        <v>33</v>
      </c>
      <c r="CS138" s="80">
        <f>-34+27</f>
        <v>-7</v>
      </c>
      <c r="CT138" s="80">
        <v>-39</v>
      </c>
      <c r="CU138" s="79">
        <f t="shared" si="422"/>
        <v>-39</v>
      </c>
      <c r="CV138" s="80">
        <f>-3-23</f>
        <v>-26</v>
      </c>
      <c r="CW138" s="80">
        <v>-71</v>
      </c>
      <c r="CX138" s="80">
        <v>-134</v>
      </c>
      <c r="CY138" s="80">
        <v>-73</v>
      </c>
      <c r="CZ138" s="79">
        <f t="shared" si="423"/>
        <v>-73</v>
      </c>
      <c r="DA138" s="80">
        <v>10</v>
      </c>
      <c r="DB138" s="80">
        <v>2</v>
      </c>
      <c r="DC138" s="80">
        <v>-22</v>
      </c>
      <c r="DD138" s="80">
        <v>30</v>
      </c>
      <c r="DE138" s="79">
        <f t="shared" si="424"/>
        <v>30</v>
      </c>
      <c r="DF138" s="80">
        <v>-28</v>
      </c>
      <c r="DG138" s="80">
        <v>-25</v>
      </c>
      <c r="DH138" s="272">
        <v>8</v>
      </c>
      <c r="DI138" s="1075">
        <v>-47</v>
      </c>
      <c r="DJ138" s="79">
        <f t="shared" ref="DJ138" si="476">DI138</f>
        <v>-47</v>
      </c>
      <c r="DK138" s="1075">
        <v>12</v>
      </c>
      <c r="DL138" s="1075">
        <v>34</v>
      </c>
      <c r="DM138" s="1075">
        <v>39</v>
      </c>
      <c r="DN138" s="1075">
        <v>40</v>
      </c>
      <c r="DO138" s="79">
        <f t="shared" ref="DO138" si="477">DN138</f>
        <v>40</v>
      </c>
      <c r="DP138" s="1075">
        <v>1</v>
      </c>
      <c r="DQ138" s="1108">
        <v>2</v>
      </c>
      <c r="DS138" s="80"/>
      <c r="DT138" s="93"/>
      <c r="DU138" s="1075"/>
      <c r="DX138" s="80"/>
      <c r="DY138" s="93"/>
      <c r="DZ138" s="93"/>
      <c r="EA138" s="93"/>
      <c r="EB138" s="93"/>
    </row>
    <row r="139" spans="1:132" s="277" customFormat="1" ht="12" customHeight="1">
      <c r="A139" s="74"/>
      <c r="B139" s="74" t="s">
        <v>101</v>
      </c>
      <c r="C139" s="71">
        <f t="shared" ref="C139:L139" si="478">C138+C137+C128+C121</f>
        <v>-1049</v>
      </c>
      <c r="D139" s="71">
        <f t="shared" si="478"/>
        <v>-2237</v>
      </c>
      <c r="E139" s="71">
        <f t="shared" si="478"/>
        <v>1171</v>
      </c>
      <c r="F139" s="71">
        <f t="shared" si="478"/>
        <v>-2344</v>
      </c>
      <c r="G139" s="71">
        <f t="shared" si="478"/>
        <v>-377</v>
      </c>
      <c r="H139" s="71">
        <f t="shared" si="478"/>
        <v>1700</v>
      </c>
      <c r="I139" s="71">
        <f t="shared" si="478"/>
        <v>2300</v>
      </c>
      <c r="J139" s="72">
        <f t="shared" si="478"/>
        <v>-683</v>
      </c>
      <c r="K139" s="72">
        <f t="shared" si="478"/>
        <v>1551</v>
      </c>
      <c r="L139" s="72">
        <f t="shared" si="478"/>
        <v>-321</v>
      </c>
      <c r="M139" s="72">
        <f t="shared" si="405"/>
        <v>-1429</v>
      </c>
      <c r="N139" s="71">
        <f>N138+N137+N128+N121</f>
        <v>-1429</v>
      </c>
      <c r="O139" s="72">
        <f>O138+O137+O128+O121</f>
        <v>126</v>
      </c>
      <c r="P139" s="72">
        <f>P138+P137+P128+P121</f>
        <v>1757</v>
      </c>
      <c r="Q139" s="72">
        <f>Q138+Q137+Q128+Q121</f>
        <v>1343</v>
      </c>
      <c r="R139" s="72">
        <f t="shared" si="406"/>
        <v>2208</v>
      </c>
      <c r="S139" s="71">
        <f>S138+S137+S128+S121</f>
        <v>2208</v>
      </c>
      <c r="T139" s="72">
        <f>T138+T137+T128+T121</f>
        <v>1369</v>
      </c>
      <c r="U139" s="72">
        <f>U138+U137+U128+U121</f>
        <v>2155</v>
      </c>
      <c r="V139" s="72">
        <f>V138+V137+V128+V121</f>
        <v>-214</v>
      </c>
      <c r="W139" s="72">
        <f t="shared" si="407"/>
        <v>706</v>
      </c>
      <c r="X139" s="71">
        <f>X138+X137+X128+X121</f>
        <v>706</v>
      </c>
      <c r="Y139" s="72">
        <f>Y138+Y137+Y128+Y121</f>
        <v>-1282</v>
      </c>
      <c r="Z139" s="72">
        <f>Z138+Z137+Z128+Z121</f>
        <v>1038</v>
      </c>
      <c r="AA139" s="72">
        <f>AA138+AA137+AA128+AA121</f>
        <v>2830</v>
      </c>
      <c r="AB139" s="72">
        <f t="shared" si="408"/>
        <v>924</v>
      </c>
      <c r="AC139" s="71">
        <f>AC138+AC137+AC128+AC121</f>
        <v>924</v>
      </c>
      <c r="AD139" s="72">
        <f>AD138+AD137+AD128+AD121</f>
        <v>665</v>
      </c>
      <c r="AE139" s="72">
        <f>AE138+AE137+AE128+AE121</f>
        <v>-1423</v>
      </c>
      <c r="AF139" s="72">
        <f>AF138+AF137+AF128+AF121</f>
        <v>-2856</v>
      </c>
      <c r="AG139" s="72">
        <f t="shared" si="409"/>
        <v>-3774</v>
      </c>
      <c r="AH139" s="71">
        <f t="shared" ref="AH139:AP139" si="479">AH138+AH137+AH128+AH121</f>
        <v>-3774</v>
      </c>
      <c r="AI139" s="72">
        <f t="shared" si="479"/>
        <v>969</v>
      </c>
      <c r="AJ139" s="72">
        <f t="shared" si="479"/>
        <v>1331</v>
      </c>
      <c r="AK139" s="72">
        <f t="shared" si="479"/>
        <v>2827</v>
      </c>
      <c r="AL139" s="72">
        <f t="shared" si="479"/>
        <v>5947</v>
      </c>
      <c r="AM139" s="71">
        <f t="shared" si="479"/>
        <v>5947</v>
      </c>
      <c r="AN139" s="72">
        <f t="shared" si="479"/>
        <v>-4698</v>
      </c>
      <c r="AO139" s="72">
        <f t="shared" si="479"/>
        <v>-4747</v>
      </c>
      <c r="AP139" s="72">
        <f t="shared" si="479"/>
        <v>-6351</v>
      </c>
      <c r="AQ139" s="72">
        <f t="shared" ref="AQ139:AZ139" si="480">AQ138+AQ137+AQ128+AQ121</f>
        <v>-3856</v>
      </c>
      <c r="AR139" s="71">
        <f t="shared" si="480"/>
        <v>-3856</v>
      </c>
      <c r="AS139" s="72">
        <f t="shared" si="480"/>
        <v>311</v>
      </c>
      <c r="AT139" s="72">
        <f t="shared" si="480"/>
        <v>-309</v>
      </c>
      <c r="AU139" s="90">
        <f t="shared" si="480"/>
        <v>595</v>
      </c>
      <c r="AV139" s="72">
        <f t="shared" si="480"/>
        <v>4690</v>
      </c>
      <c r="AW139" s="71">
        <f t="shared" si="480"/>
        <v>4690</v>
      </c>
      <c r="AX139" s="72">
        <f t="shared" si="480"/>
        <v>-3331</v>
      </c>
      <c r="AY139" s="72">
        <f t="shared" si="480"/>
        <v>-3744</v>
      </c>
      <c r="AZ139" s="72">
        <f t="shared" si="480"/>
        <v>-3467</v>
      </c>
      <c r="BA139" s="72">
        <f t="shared" ref="BA139:BH139" si="481">BA138+BA137+BA128+BA121</f>
        <v>292</v>
      </c>
      <c r="BB139" s="71">
        <f t="shared" si="481"/>
        <v>292</v>
      </c>
      <c r="BC139" s="72">
        <f t="shared" si="481"/>
        <v>-2006</v>
      </c>
      <c r="BD139" s="72">
        <f t="shared" si="481"/>
        <v>-1647</v>
      </c>
      <c r="BE139" s="72">
        <f t="shared" si="481"/>
        <v>-300</v>
      </c>
      <c r="BF139" s="72">
        <f t="shared" si="481"/>
        <v>-1253</v>
      </c>
      <c r="BG139" s="71">
        <f t="shared" si="481"/>
        <v>-1253</v>
      </c>
      <c r="BH139" s="72">
        <f t="shared" si="481"/>
        <v>-2146</v>
      </c>
      <c r="BI139" s="597">
        <f t="shared" ref="BI139:BV139" si="482">BI138+BI137+BI128+BI121</f>
        <v>-1555</v>
      </c>
      <c r="BJ139" s="597">
        <f t="shared" si="482"/>
        <v>-2433</v>
      </c>
      <c r="BK139" s="597">
        <f t="shared" si="482"/>
        <v>2645</v>
      </c>
      <c r="BL139" s="71">
        <f t="shared" si="482"/>
        <v>2645</v>
      </c>
      <c r="BM139" s="597">
        <f t="shared" si="482"/>
        <v>-3078</v>
      </c>
      <c r="BN139" s="597">
        <f t="shared" si="482"/>
        <v>-2576</v>
      </c>
      <c r="BO139" s="597">
        <f t="shared" si="482"/>
        <v>-2350</v>
      </c>
      <c r="BP139" s="597">
        <f t="shared" si="482"/>
        <v>-431</v>
      </c>
      <c r="BQ139" s="71">
        <f t="shared" ref="BQ139" si="483">BQ138+BQ137+BQ128+BQ121</f>
        <v>-431</v>
      </c>
      <c r="BR139" s="597">
        <f t="shared" si="482"/>
        <v>-3416</v>
      </c>
      <c r="BS139" s="597">
        <f t="shared" si="482"/>
        <v>-2697</v>
      </c>
      <c r="BT139" s="597">
        <f t="shared" si="482"/>
        <v>-2316</v>
      </c>
      <c r="BU139" s="597">
        <f t="shared" si="482"/>
        <v>-2501</v>
      </c>
      <c r="BV139" s="71">
        <f t="shared" si="482"/>
        <v>-2501</v>
      </c>
      <c r="BW139" s="597">
        <f t="shared" ref="BW139:CC139" si="484">BW138+BW137+BW128+BW121</f>
        <v>-611</v>
      </c>
      <c r="BX139" s="597">
        <f t="shared" si="484"/>
        <v>-64</v>
      </c>
      <c r="BY139" s="597">
        <f t="shared" si="484"/>
        <v>-232</v>
      </c>
      <c r="BZ139" s="597">
        <f t="shared" si="484"/>
        <v>12</v>
      </c>
      <c r="CA139" s="71">
        <f t="shared" si="484"/>
        <v>12</v>
      </c>
      <c r="CB139" s="597">
        <f t="shared" si="484"/>
        <v>418</v>
      </c>
      <c r="CC139" s="597">
        <f t="shared" si="484"/>
        <v>-692</v>
      </c>
      <c r="CD139" s="597">
        <f t="shared" ref="CD139:CF139" si="485">CD138+CD137+CD128+CD121</f>
        <v>-779</v>
      </c>
      <c r="CE139" s="597">
        <f t="shared" si="485"/>
        <v>-1074</v>
      </c>
      <c r="CF139" s="71">
        <f t="shared" si="485"/>
        <v>-1074</v>
      </c>
      <c r="CG139" s="597">
        <f t="shared" ref="CG139:CP139" si="486">CG138+CG137+CG128+CG121</f>
        <v>-801</v>
      </c>
      <c r="CH139" s="597">
        <f t="shared" si="486"/>
        <v>1530</v>
      </c>
      <c r="CI139" s="597">
        <f t="shared" si="486"/>
        <v>2127</v>
      </c>
      <c r="CJ139" s="597">
        <f t="shared" si="486"/>
        <v>1844</v>
      </c>
      <c r="CK139" s="71">
        <f t="shared" ref="CK139" si="487">CK138+CK137+CK128+CK121</f>
        <v>1844</v>
      </c>
      <c r="CL139" s="597">
        <f t="shared" si="486"/>
        <v>5552</v>
      </c>
      <c r="CM139" s="597">
        <f t="shared" si="486"/>
        <v>10507</v>
      </c>
      <c r="CN139" s="597">
        <f t="shared" si="486"/>
        <v>1076</v>
      </c>
      <c r="CO139" s="597">
        <f t="shared" si="486"/>
        <v>-1736</v>
      </c>
      <c r="CP139" s="71">
        <f t="shared" si="486"/>
        <v>-1736</v>
      </c>
      <c r="CQ139" s="597">
        <f t="shared" ref="CQ139:CU139" si="488">CQ138+CQ137+CQ128+CQ121</f>
        <v>-693</v>
      </c>
      <c r="CR139" s="597">
        <f t="shared" si="488"/>
        <v>519</v>
      </c>
      <c r="CS139" s="597">
        <f t="shared" si="488"/>
        <v>2012</v>
      </c>
      <c r="CT139" s="597">
        <f t="shared" si="488"/>
        <v>269</v>
      </c>
      <c r="CU139" s="71">
        <f t="shared" si="488"/>
        <v>269</v>
      </c>
      <c r="CV139" s="597">
        <f t="shared" ref="CV139:CX139" si="489">CV138+CV137+CV128+CV121</f>
        <v>-643</v>
      </c>
      <c r="CW139" s="597">
        <f t="shared" si="489"/>
        <v>2027</v>
      </c>
      <c r="CX139" s="597">
        <f t="shared" si="489"/>
        <v>5426</v>
      </c>
      <c r="CY139" s="597">
        <f t="shared" ref="CY139:CZ139" si="490">CY138+CY137+CY128+CY121</f>
        <v>6543</v>
      </c>
      <c r="CZ139" s="71">
        <f t="shared" si="490"/>
        <v>6543</v>
      </c>
      <c r="DA139" s="597">
        <f t="shared" ref="DA139:DC139" si="491">DA138+DA137+DA128+DA121</f>
        <v>-3811</v>
      </c>
      <c r="DB139" s="597">
        <f t="shared" si="491"/>
        <v>-7369</v>
      </c>
      <c r="DC139" s="597">
        <f t="shared" si="491"/>
        <v>-7812</v>
      </c>
      <c r="DD139" s="597">
        <f t="shared" ref="DD139" si="492">DD138+DD137+DD128+DD121</f>
        <v>-1934</v>
      </c>
      <c r="DE139" s="71">
        <f t="shared" ref="DE139:DI139" si="493">DE138+DE137+DE128+DE121</f>
        <v>-1934</v>
      </c>
      <c r="DF139" s="597">
        <f t="shared" si="493"/>
        <v>-5778</v>
      </c>
      <c r="DG139" s="597">
        <f t="shared" si="493"/>
        <v>-1798</v>
      </c>
      <c r="DH139" s="1065">
        <f t="shared" si="493"/>
        <v>-2731</v>
      </c>
      <c r="DI139" s="597">
        <f t="shared" si="493"/>
        <v>1109</v>
      </c>
      <c r="DJ139" s="71">
        <f t="shared" ref="DJ139:DN139" si="494">DJ138+DJ137+DJ128+DJ121</f>
        <v>1109</v>
      </c>
      <c r="DK139" s="597">
        <f t="shared" si="494"/>
        <v>-3659</v>
      </c>
      <c r="DL139" s="597">
        <f t="shared" si="494"/>
        <v>-6026</v>
      </c>
      <c r="DM139" s="597">
        <f t="shared" si="494"/>
        <v>-6940</v>
      </c>
      <c r="DN139" s="597">
        <f t="shared" si="494"/>
        <v>-2159</v>
      </c>
      <c r="DO139" s="71">
        <f t="shared" ref="DO139:DQ139" si="495">DO138+DO137+DO128+DO121</f>
        <v>-2159</v>
      </c>
      <c r="DP139" s="597">
        <f t="shared" si="495"/>
        <v>-1495</v>
      </c>
      <c r="DQ139" s="1065">
        <f t="shared" si="495"/>
        <v>-3697</v>
      </c>
      <c r="DS139" s="597"/>
      <c r="DT139" s="85"/>
      <c r="DU139" s="597"/>
      <c r="DX139" s="597"/>
      <c r="DY139" s="85"/>
      <c r="DZ139" s="85"/>
      <c r="EA139" s="85"/>
      <c r="EB139" s="85"/>
    </row>
    <row r="140" spans="1:132" s="278" customFormat="1" ht="12" customHeight="1">
      <c r="A140" s="121"/>
      <c r="B140" s="121" t="s">
        <v>102</v>
      </c>
      <c r="C140" s="17">
        <v>5469</v>
      </c>
      <c r="D140" s="17">
        <v>4420</v>
      </c>
      <c r="E140" s="17">
        <v>2183</v>
      </c>
      <c r="F140" s="17">
        <v>3354</v>
      </c>
      <c r="G140" s="17">
        <v>1010</v>
      </c>
      <c r="H140" s="17">
        <v>633</v>
      </c>
      <c r="I140" s="17">
        <v>2333</v>
      </c>
      <c r="J140" s="16">
        <v>4633</v>
      </c>
      <c r="K140" s="16">
        <v>4633</v>
      </c>
      <c r="L140" s="16">
        <v>4633</v>
      </c>
      <c r="M140" s="16">
        <f t="shared" si="405"/>
        <v>4633</v>
      </c>
      <c r="N140" s="17">
        <v>4633</v>
      </c>
      <c r="O140" s="16">
        <v>3204</v>
      </c>
      <c r="P140" s="16">
        <v>3204</v>
      </c>
      <c r="Q140" s="16">
        <v>3204</v>
      </c>
      <c r="R140" s="16">
        <f t="shared" si="406"/>
        <v>3204</v>
      </c>
      <c r="S140" s="17">
        <v>3204</v>
      </c>
      <c r="T140" s="16">
        <v>5412</v>
      </c>
      <c r="U140" s="16">
        <v>5412</v>
      </c>
      <c r="V140" s="16">
        <v>5412</v>
      </c>
      <c r="W140" s="16">
        <f t="shared" si="407"/>
        <v>5412</v>
      </c>
      <c r="X140" s="17">
        <v>5412</v>
      </c>
      <c r="Y140" s="16">
        <v>6118</v>
      </c>
      <c r="Z140" s="16">
        <v>6118</v>
      </c>
      <c r="AA140" s="16">
        <v>6118</v>
      </c>
      <c r="AB140" s="16">
        <f t="shared" si="408"/>
        <v>6118</v>
      </c>
      <c r="AC140" s="17">
        <v>6118</v>
      </c>
      <c r="AD140" s="16">
        <v>7042</v>
      </c>
      <c r="AE140" s="16">
        <v>7042</v>
      </c>
      <c r="AF140" s="16">
        <v>7042</v>
      </c>
      <c r="AG140" s="16">
        <f t="shared" si="409"/>
        <v>7042</v>
      </c>
      <c r="AH140" s="17">
        <v>7042</v>
      </c>
      <c r="AI140" s="16">
        <v>3268</v>
      </c>
      <c r="AJ140" s="16">
        <v>3268</v>
      </c>
      <c r="AK140" s="16">
        <v>3268</v>
      </c>
      <c r="AL140" s="16">
        <f>AH141</f>
        <v>3268</v>
      </c>
      <c r="AM140" s="17">
        <f>AH141</f>
        <v>3268</v>
      </c>
      <c r="AN140" s="16">
        <f>AM141</f>
        <v>9215</v>
      </c>
      <c r="AO140" s="16">
        <f>AM141</f>
        <v>9215</v>
      </c>
      <c r="AP140" s="16">
        <f>AM141</f>
        <v>9215</v>
      </c>
      <c r="AQ140" s="16">
        <f>AL141</f>
        <v>9215</v>
      </c>
      <c r="AR140" s="17">
        <f>AM141</f>
        <v>9215</v>
      </c>
      <c r="AS140" s="16">
        <f>AR141</f>
        <v>5359</v>
      </c>
      <c r="AT140" s="16">
        <f>AR141</f>
        <v>5359</v>
      </c>
      <c r="AU140" s="554">
        <f>AR141</f>
        <v>5359</v>
      </c>
      <c r="AV140" s="16">
        <f>AR141</f>
        <v>5359</v>
      </c>
      <c r="AW140" s="17">
        <f>AR141</f>
        <v>5359</v>
      </c>
      <c r="AX140" s="16">
        <f>AW141</f>
        <v>10049</v>
      </c>
      <c r="AY140" s="16">
        <f>AW141</f>
        <v>10049</v>
      </c>
      <c r="AZ140" s="554">
        <f>AW141</f>
        <v>10049</v>
      </c>
      <c r="BA140" s="16">
        <f>AW141</f>
        <v>10049</v>
      </c>
      <c r="BB140" s="17">
        <f>AW141</f>
        <v>10049</v>
      </c>
      <c r="BC140" s="16">
        <f>BB141</f>
        <v>10341</v>
      </c>
      <c r="BD140" s="16">
        <f>BB141</f>
        <v>10341</v>
      </c>
      <c r="BE140" s="16">
        <f>BB141</f>
        <v>10341</v>
      </c>
      <c r="BF140" s="16">
        <f>BB141</f>
        <v>10341</v>
      </c>
      <c r="BG140" s="17">
        <f>BB141</f>
        <v>10341</v>
      </c>
      <c r="BH140" s="16">
        <f>BG141</f>
        <v>9088</v>
      </c>
      <c r="BI140" s="693">
        <f>BG141</f>
        <v>9088</v>
      </c>
      <c r="BJ140" s="693">
        <f>BG141</f>
        <v>9088</v>
      </c>
      <c r="BK140" s="693">
        <f>BH141</f>
        <v>6942</v>
      </c>
      <c r="BL140" s="17">
        <f>BG141</f>
        <v>9088</v>
      </c>
      <c r="BM140" s="693">
        <f>BL141</f>
        <v>11733</v>
      </c>
      <c r="BN140" s="693">
        <f>BL141</f>
        <v>11733</v>
      </c>
      <c r="BO140" s="693">
        <f>BL141</f>
        <v>11733</v>
      </c>
      <c r="BP140" s="693">
        <f>BL141</f>
        <v>11733</v>
      </c>
      <c r="BQ140" s="17">
        <f>BL141</f>
        <v>11733</v>
      </c>
      <c r="BR140" s="693">
        <f>+BQ141</f>
        <v>11302</v>
      </c>
      <c r="BS140" s="693">
        <f>+BQ141</f>
        <v>11302</v>
      </c>
      <c r="BT140" s="693">
        <f>BS140</f>
        <v>11302</v>
      </c>
      <c r="BU140" s="693">
        <f>BT140</f>
        <v>11302</v>
      </c>
      <c r="BV140" s="17">
        <f>BQ141</f>
        <v>11302</v>
      </c>
      <c r="BW140" s="693">
        <f>BV141</f>
        <v>8801</v>
      </c>
      <c r="BX140" s="693">
        <f>BW140</f>
        <v>8801</v>
      </c>
      <c r="BY140" s="693">
        <f>BX140</f>
        <v>8801</v>
      </c>
      <c r="BZ140" s="693">
        <f>BY140</f>
        <v>8801</v>
      </c>
      <c r="CA140" s="17">
        <f>BV141</f>
        <v>8801</v>
      </c>
      <c r="CB140" s="693">
        <f>CA141</f>
        <v>8813</v>
      </c>
      <c r="CC140" s="693">
        <f>CB140</f>
        <v>8813</v>
      </c>
      <c r="CD140" s="693">
        <f>CC140</f>
        <v>8813</v>
      </c>
      <c r="CE140" s="693">
        <f>CD140</f>
        <v>8813</v>
      </c>
      <c r="CF140" s="17">
        <f>CA141</f>
        <v>8813</v>
      </c>
      <c r="CG140" s="693">
        <f>CF141</f>
        <v>7739</v>
      </c>
      <c r="CH140" s="693">
        <f>CG141</f>
        <v>6938</v>
      </c>
      <c r="CI140" s="693">
        <f>CH141</f>
        <v>8468</v>
      </c>
      <c r="CJ140" s="693">
        <f>CI141</f>
        <v>10595</v>
      </c>
      <c r="CK140" s="17">
        <f>CF141</f>
        <v>7739</v>
      </c>
      <c r="CL140" s="693">
        <f>CK141</f>
        <v>9583</v>
      </c>
      <c r="CM140" s="693">
        <f>CL140</f>
        <v>9583</v>
      </c>
      <c r="CN140" s="693">
        <f>CM140</f>
        <v>9583</v>
      </c>
      <c r="CO140" s="693">
        <f>CN140</f>
        <v>9583</v>
      </c>
      <c r="CP140" s="17">
        <f>CK141</f>
        <v>9583</v>
      </c>
      <c r="CQ140" s="693">
        <f>CP141</f>
        <v>7847</v>
      </c>
      <c r="CR140" s="693">
        <f>CQ140</f>
        <v>7847</v>
      </c>
      <c r="CS140" s="693">
        <f>CR140</f>
        <v>7847</v>
      </c>
      <c r="CT140" s="693">
        <f>CS140</f>
        <v>7847</v>
      </c>
      <c r="CU140" s="17">
        <f>CP141</f>
        <v>7847</v>
      </c>
      <c r="CV140" s="693">
        <f>CU141</f>
        <v>8116</v>
      </c>
      <c r="CW140" s="693">
        <f>+CU141</f>
        <v>8116</v>
      </c>
      <c r="CX140" s="693">
        <f>+CV141</f>
        <v>7473</v>
      </c>
      <c r="CY140" s="693">
        <f>+CW141</f>
        <v>10143</v>
      </c>
      <c r="CZ140" s="17">
        <f>CU141</f>
        <v>8116</v>
      </c>
      <c r="DA140" s="693">
        <f>+CY141</f>
        <v>16686</v>
      </c>
      <c r="DB140" s="693">
        <v>14647</v>
      </c>
      <c r="DC140" s="693">
        <v>14647</v>
      </c>
      <c r="DD140" s="693">
        <v>14647</v>
      </c>
      <c r="DE140" s="17">
        <f>CZ141</f>
        <v>14659</v>
      </c>
      <c r="DF140" s="693">
        <f>+DD141</f>
        <v>12713</v>
      </c>
      <c r="DG140" s="693">
        <f>+DF140</f>
        <v>12713</v>
      </c>
      <c r="DH140" s="703">
        <v>12713</v>
      </c>
      <c r="DI140" s="1077">
        <v>12713</v>
      </c>
      <c r="DJ140" s="17">
        <f>DE141</f>
        <v>12725</v>
      </c>
      <c r="DK140" s="693">
        <f>+DJ141</f>
        <v>13822</v>
      </c>
      <c r="DL140" s="693">
        <f>+DJ141</f>
        <v>13822</v>
      </c>
      <c r="DM140" s="693">
        <f>+DJ141</f>
        <v>13822</v>
      </c>
      <c r="DN140" s="693">
        <f>+DJ141</f>
        <v>13822</v>
      </c>
      <c r="DO140" s="17">
        <f>DJ141</f>
        <v>13822</v>
      </c>
      <c r="DP140" s="693">
        <f>+DO141</f>
        <v>11663</v>
      </c>
      <c r="DQ140" s="703">
        <f>+DO141</f>
        <v>11663</v>
      </c>
      <c r="DS140" s="693"/>
      <c r="DT140" s="14"/>
      <c r="DU140" s="693"/>
      <c r="DX140" s="693"/>
      <c r="DY140" s="14"/>
      <c r="DZ140" s="14"/>
      <c r="EA140" s="14"/>
      <c r="EB140" s="14"/>
    </row>
    <row r="141" spans="1:132" s="278" customFormat="1" ht="12" customHeight="1">
      <c r="A141" s="121"/>
      <c r="B141" s="121" t="s">
        <v>103</v>
      </c>
      <c r="C141" s="17">
        <f t="shared" ref="C141:L141" si="496">C140+C139</f>
        <v>4420</v>
      </c>
      <c r="D141" s="17">
        <f t="shared" si="496"/>
        <v>2183</v>
      </c>
      <c r="E141" s="17">
        <f t="shared" si="496"/>
        <v>3354</v>
      </c>
      <c r="F141" s="17">
        <f t="shared" si="496"/>
        <v>1010</v>
      </c>
      <c r="G141" s="17">
        <f t="shared" si="496"/>
        <v>633</v>
      </c>
      <c r="H141" s="17">
        <f t="shared" si="496"/>
        <v>2333</v>
      </c>
      <c r="I141" s="17">
        <f t="shared" si="496"/>
        <v>4633</v>
      </c>
      <c r="J141" s="16">
        <f t="shared" si="496"/>
        <v>3950</v>
      </c>
      <c r="K141" s="16">
        <f t="shared" si="496"/>
        <v>6184</v>
      </c>
      <c r="L141" s="16">
        <f t="shared" si="496"/>
        <v>4312</v>
      </c>
      <c r="M141" s="16">
        <f t="shared" si="405"/>
        <v>3204</v>
      </c>
      <c r="N141" s="17">
        <f>N140+N139</f>
        <v>3204</v>
      </c>
      <c r="O141" s="16">
        <f>O140+O139</f>
        <v>3330</v>
      </c>
      <c r="P141" s="16">
        <f>P140+P139</f>
        <v>4961</v>
      </c>
      <c r="Q141" s="16">
        <f>Q140+Q139</f>
        <v>4547</v>
      </c>
      <c r="R141" s="16">
        <f t="shared" si="406"/>
        <v>5412</v>
      </c>
      <c r="S141" s="17">
        <f>S140+S139</f>
        <v>5412</v>
      </c>
      <c r="T141" s="16">
        <f>T140+T139</f>
        <v>6781</v>
      </c>
      <c r="U141" s="16">
        <f>U140+U139</f>
        <v>7567</v>
      </c>
      <c r="V141" s="16">
        <f>V140+V139</f>
        <v>5198</v>
      </c>
      <c r="W141" s="16">
        <f t="shared" si="407"/>
        <v>6118</v>
      </c>
      <c r="X141" s="17">
        <f>X140+X139</f>
        <v>6118</v>
      </c>
      <c r="Y141" s="16">
        <f>Y140+Y139</f>
        <v>4836</v>
      </c>
      <c r="Z141" s="16">
        <f>Z140+Z139</f>
        <v>7156</v>
      </c>
      <c r="AA141" s="16">
        <f>AA140+AA139</f>
        <v>8948</v>
      </c>
      <c r="AB141" s="16">
        <f t="shared" si="408"/>
        <v>7042</v>
      </c>
      <c r="AC141" s="17">
        <f>AC140+AC139</f>
        <v>7042</v>
      </c>
      <c r="AD141" s="16">
        <f>AD140+AD139</f>
        <v>7707</v>
      </c>
      <c r="AE141" s="16">
        <f>AE140+AE139</f>
        <v>5619</v>
      </c>
      <c r="AF141" s="16">
        <f>AF140+AF139</f>
        <v>4186</v>
      </c>
      <c r="AG141" s="16">
        <f t="shared" si="409"/>
        <v>3268</v>
      </c>
      <c r="AH141" s="17">
        <f t="shared" ref="AH141:AP141" si="497">AH140+AH139</f>
        <v>3268</v>
      </c>
      <c r="AI141" s="16">
        <f t="shared" si="497"/>
        <v>4237</v>
      </c>
      <c r="AJ141" s="16">
        <f t="shared" si="497"/>
        <v>4599</v>
      </c>
      <c r="AK141" s="16">
        <f t="shared" si="497"/>
        <v>6095</v>
      </c>
      <c r="AL141" s="16">
        <f t="shared" si="497"/>
        <v>9215</v>
      </c>
      <c r="AM141" s="17">
        <f t="shared" si="497"/>
        <v>9215</v>
      </c>
      <c r="AN141" s="16">
        <f t="shared" si="497"/>
        <v>4517</v>
      </c>
      <c r="AO141" s="16">
        <f t="shared" si="497"/>
        <v>4468</v>
      </c>
      <c r="AP141" s="16">
        <f t="shared" si="497"/>
        <v>2864</v>
      </c>
      <c r="AQ141" s="16">
        <f t="shared" ref="AQ141:AW141" si="498">AQ140+AQ139</f>
        <v>5359</v>
      </c>
      <c r="AR141" s="17">
        <f t="shared" si="498"/>
        <v>5359</v>
      </c>
      <c r="AS141" s="16">
        <f t="shared" si="498"/>
        <v>5670</v>
      </c>
      <c r="AT141" s="16">
        <f t="shared" si="498"/>
        <v>5050</v>
      </c>
      <c r="AU141" s="554">
        <f t="shared" si="498"/>
        <v>5954</v>
      </c>
      <c r="AV141" s="16">
        <f t="shared" si="498"/>
        <v>10049</v>
      </c>
      <c r="AW141" s="17">
        <f t="shared" si="498"/>
        <v>10049</v>
      </c>
      <c r="AX141" s="16">
        <f t="shared" ref="AX141:BH141" si="499">AX140+AX139</f>
        <v>6718</v>
      </c>
      <c r="AY141" s="16">
        <f t="shared" si="499"/>
        <v>6305</v>
      </c>
      <c r="AZ141" s="554">
        <f t="shared" si="499"/>
        <v>6582</v>
      </c>
      <c r="BA141" s="16">
        <f t="shared" si="499"/>
        <v>10341</v>
      </c>
      <c r="BB141" s="17">
        <f t="shared" si="499"/>
        <v>10341</v>
      </c>
      <c r="BC141" s="16">
        <f t="shared" si="499"/>
        <v>8335</v>
      </c>
      <c r="BD141" s="16">
        <f t="shared" si="499"/>
        <v>8694</v>
      </c>
      <c r="BE141" s="16">
        <f t="shared" si="499"/>
        <v>10041</v>
      </c>
      <c r="BF141" s="16">
        <f t="shared" si="499"/>
        <v>9088</v>
      </c>
      <c r="BG141" s="17">
        <f t="shared" ref="BG141" si="500">BG140+BG139</f>
        <v>9088</v>
      </c>
      <c r="BH141" s="16">
        <f t="shared" si="499"/>
        <v>6942</v>
      </c>
      <c r="BI141" s="693">
        <f t="shared" ref="BI141:BJ141" si="501">BI140+BI139</f>
        <v>7533</v>
      </c>
      <c r="BJ141" s="693">
        <f t="shared" si="501"/>
        <v>6655</v>
      </c>
      <c r="BK141" s="693">
        <f t="shared" ref="BK141:BL141" si="502">BK140+BK139</f>
        <v>9587</v>
      </c>
      <c r="BL141" s="17">
        <f t="shared" si="502"/>
        <v>11733</v>
      </c>
      <c r="BM141" s="693">
        <f t="shared" ref="BM141:BQ141" si="503">BM140+BM139</f>
        <v>8655</v>
      </c>
      <c r="BN141" s="693">
        <f t="shared" si="503"/>
        <v>9157</v>
      </c>
      <c r="BO141" s="693">
        <f t="shared" si="503"/>
        <v>9383</v>
      </c>
      <c r="BP141" s="693">
        <f t="shared" si="503"/>
        <v>11302</v>
      </c>
      <c r="BQ141" s="17">
        <f t="shared" si="503"/>
        <v>11302</v>
      </c>
      <c r="BR141" s="693">
        <f>+BR139+BR140</f>
        <v>7886</v>
      </c>
      <c r="BS141" s="693">
        <f>+BS139+BS140</f>
        <v>8605</v>
      </c>
      <c r="BT141" s="693">
        <f>+BT139+BT140</f>
        <v>8986</v>
      </c>
      <c r="BU141" s="693">
        <f>+BU139+BU140</f>
        <v>8801</v>
      </c>
      <c r="BV141" s="17">
        <f t="shared" ref="BV141" si="504">BV140+BV139</f>
        <v>8801</v>
      </c>
      <c r="BW141" s="693">
        <f>+BW139+BW140</f>
        <v>8190</v>
      </c>
      <c r="BX141" s="693">
        <f>+BX139+BX140</f>
        <v>8737</v>
      </c>
      <c r="BY141" s="693">
        <f>+BY139+BY140</f>
        <v>8569</v>
      </c>
      <c r="BZ141" s="693">
        <f>+BZ139+BZ140</f>
        <v>8813</v>
      </c>
      <c r="CA141" s="17">
        <f t="shared" ref="CA141" si="505">CA140+CA139</f>
        <v>8813</v>
      </c>
      <c r="CB141" s="693">
        <f>+CB139+CB140</f>
        <v>9231</v>
      </c>
      <c r="CC141" s="693">
        <f>+CC139+CC140</f>
        <v>8121</v>
      </c>
      <c r="CD141" s="693">
        <f>+CD139+CD140</f>
        <v>8034</v>
      </c>
      <c r="CE141" s="693">
        <f>+CE139+CE140</f>
        <v>7739</v>
      </c>
      <c r="CF141" s="17">
        <f t="shared" ref="CF141" si="506">CF140+CF139</f>
        <v>7739</v>
      </c>
      <c r="CG141" s="693">
        <f>+CG139+CG140</f>
        <v>6938</v>
      </c>
      <c r="CH141" s="693">
        <f>+CH139+CH140</f>
        <v>8468</v>
      </c>
      <c r="CI141" s="693">
        <f>+CI139+CI140</f>
        <v>10595</v>
      </c>
      <c r="CJ141" s="693">
        <f>+CJ139+CJ140</f>
        <v>12439</v>
      </c>
      <c r="CK141" s="17">
        <f t="shared" ref="CK141" si="507">CK140+CK139</f>
        <v>9583</v>
      </c>
      <c r="CL141" s="693">
        <f>+CL139+CL140</f>
        <v>15135</v>
      </c>
      <c r="CM141" s="693">
        <f>+CM139+CM140</f>
        <v>20090</v>
      </c>
      <c r="CN141" s="693">
        <f>+CN139+CN140</f>
        <v>10659</v>
      </c>
      <c r="CO141" s="693">
        <f>+CO139+CO140</f>
        <v>7847</v>
      </c>
      <c r="CP141" s="17">
        <f t="shared" ref="CP141" si="508">CP140+CP139</f>
        <v>7847</v>
      </c>
      <c r="CQ141" s="693">
        <f>+CQ139+CQ140</f>
        <v>7154</v>
      </c>
      <c r="CR141" s="693">
        <f>+CR139+CR140</f>
        <v>8366</v>
      </c>
      <c r="CS141" s="693">
        <f>+CS139+CS140</f>
        <v>9859</v>
      </c>
      <c r="CT141" s="693">
        <f>+CT139+CT140</f>
        <v>8116</v>
      </c>
      <c r="CU141" s="17">
        <f t="shared" ref="CU141" si="509">CU140+CU139</f>
        <v>8116</v>
      </c>
      <c r="CV141" s="693">
        <f>+CV139+CV140</f>
        <v>7473</v>
      </c>
      <c r="CW141" s="693">
        <f>+CW139+CW140</f>
        <v>10143</v>
      </c>
      <c r="CX141" s="693">
        <f>+CX139+CX140</f>
        <v>12899</v>
      </c>
      <c r="CY141" s="693">
        <f>+CY139+CY140</f>
        <v>16686</v>
      </c>
      <c r="CZ141" s="17">
        <f t="shared" ref="CZ141" si="510">CZ140+CZ139</f>
        <v>14659</v>
      </c>
      <c r="DA141" s="693">
        <f>+DA139+DA140</f>
        <v>12875</v>
      </c>
      <c r="DB141" s="693">
        <f>+DB139+DB140</f>
        <v>7278</v>
      </c>
      <c r="DC141" s="693">
        <f>+DC139+DC140</f>
        <v>6835</v>
      </c>
      <c r="DD141" s="693">
        <f>+DD139+DD140</f>
        <v>12713</v>
      </c>
      <c r="DE141" s="17">
        <f t="shared" ref="DE141" si="511">DE140+DE139</f>
        <v>12725</v>
      </c>
      <c r="DF141" s="693">
        <f>+DF139+DF140</f>
        <v>6935</v>
      </c>
      <c r="DG141" s="693">
        <f>+DG139+DG140</f>
        <v>10915</v>
      </c>
      <c r="DH141" s="703">
        <f>+DH139+DH140</f>
        <v>9982</v>
      </c>
      <c r="DI141" s="693">
        <f>+DI139+DI140</f>
        <v>13822</v>
      </c>
      <c r="DJ141" s="17">
        <v>13822</v>
      </c>
      <c r="DK141" s="693">
        <f>+DK139+DK140</f>
        <v>10163</v>
      </c>
      <c r="DL141" s="693">
        <f>+DL139+DL140</f>
        <v>7796</v>
      </c>
      <c r="DM141" s="693">
        <f>+DM139+DM140</f>
        <v>6882</v>
      </c>
      <c r="DN141" s="693">
        <f>+DN139+DN140</f>
        <v>11663</v>
      </c>
      <c r="DO141" s="17">
        <f t="shared" ref="DO141" si="512">DO140+DO139</f>
        <v>11663</v>
      </c>
      <c r="DP141" s="693">
        <f>+DP139+DP140</f>
        <v>10168</v>
      </c>
      <c r="DQ141" s="703">
        <f>+DQ139+DQ140</f>
        <v>7966</v>
      </c>
      <c r="DS141" s="693"/>
      <c r="DT141" s="14"/>
      <c r="DU141" s="693"/>
      <c r="DX141" s="693"/>
      <c r="DY141" s="14"/>
      <c r="DZ141" s="14"/>
      <c r="EA141" s="14"/>
      <c r="EB141" s="14"/>
    </row>
    <row r="142" spans="1:132" s="103" customFormat="1">
      <c r="A142" s="68"/>
      <c r="B142" s="68"/>
      <c r="C142" s="76"/>
      <c r="D142" s="76"/>
      <c r="E142" s="76"/>
      <c r="F142" s="76"/>
      <c r="G142" s="76"/>
      <c r="H142" s="76"/>
      <c r="I142" s="76"/>
      <c r="J142" s="77"/>
      <c r="K142" s="77"/>
      <c r="L142" s="77"/>
      <c r="M142" s="77"/>
      <c r="N142" s="76"/>
      <c r="O142" s="77"/>
      <c r="P142" s="77"/>
      <c r="Q142" s="77"/>
      <c r="R142" s="77"/>
      <c r="S142" s="76"/>
      <c r="T142" s="77"/>
      <c r="U142" s="77"/>
      <c r="V142" s="77"/>
      <c r="W142" s="77"/>
      <c r="X142" s="76"/>
      <c r="Y142" s="77"/>
      <c r="Z142" s="77"/>
      <c r="AA142" s="77"/>
      <c r="AB142" s="77"/>
      <c r="AC142" s="76"/>
      <c r="AD142" s="77"/>
      <c r="AE142" s="77"/>
      <c r="AF142" s="77"/>
      <c r="AG142" s="77"/>
      <c r="AH142" s="76"/>
      <c r="AI142" s="77"/>
      <c r="AJ142" s="77"/>
      <c r="AK142" s="77"/>
      <c r="AL142" s="77"/>
      <c r="AM142" s="76"/>
      <c r="AN142" s="77"/>
      <c r="AO142" s="77"/>
      <c r="AP142" s="77"/>
      <c r="AQ142" s="77"/>
      <c r="AR142" s="76"/>
      <c r="AS142" s="77"/>
      <c r="AT142" s="77"/>
      <c r="AU142" s="77"/>
      <c r="AV142" s="77"/>
      <c r="AW142" s="76"/>
      <c r="AX142" s="77"/>
      <c r="AY142" s="77"/>
      <c r="AZ142" s="77"/>
      <c r="BA142" s="77"/>
      <c r="BB142" s="76"/>
      <c r="BC142" s="77"/>
      <c r="BD142" s="77"/>
      <c r="BE142" s="77"/>
      <c r="BF142" s="77"/>
      <c r="BG142" s="76"/>
      <c r="BH142" s="77"/>
      <c r="BI142" s="693"/>
      <c r="BJ142" s="77"/>
      <c r="BK142" s="77"/>
      <c r="BL142" s="76"/>
      <c r="BM142" s="77"/>
      <c r="BN142" s="693"/>
      <c r="BO142" s="77"/>
      <c r="BP142" s="77"/>
      <c r="BQ142" s="76"/>
      <c r="BR142" s="77"/>
      <c r="BS142" s="693"/>
      <c r="BT142" s="77"/>
      <c r="BU142" s="77"/>
      <c r="BV142" s="76"/>
      <c r="BW142" s="77"/>
      <c r="BX142" s="693"/>
      <c r="BY142" s="77"/>
      <c r="BZ142" s="77"/>
      <c r="CA142" s="76"/>
      <c r="CB142" s="77"/>
      <c r="CC142" s="693"/>
      <c r="CD142" s="77"/>
      <c r="CE142" s="77"/>
      <c r="CF142" s="76"/>
      <c r="CG142" s="693"/>
      <c r="CH142" s="693"/>
      <c r="CI142" s="693"/>
      <c r="CJ142" s="693"/>
      <c r="CK142" s="76"/>
      <c r="CL142" s="77"/>
      <c r="CM142" s="77"/>
      <c r="CN142" s="77"/>
      <c r="CO142" s="77"/>
      <c r="CP142" s="76"/>
      <c r="CQ142" s="77"/>
      <c r="CR142" s="77"/>
      <c r="CS142" s="77"/>
      <c r="CT142" s="77"/>
      <c r="CU142" s="76"/>
      <c r="CV142" s="77"/>
      <c r="CW142" s="77"/>
      <c r="CX142" s="77"/>
      <c r="CY142" s="77"/>
      <c r="CZ142" s="76"/>
      <c r="DA142" s="77"/>
      <c r="DB142" s="77"/>
      <c r="DC142" s="77"/>
      <c r="DD142" s="77"/>
      <c r="DE142" s="76"/>
      <c r="DG142" s="593"/>
      <c r="DH142" s="593"/>
      <c r="DI142" s="77"/>
      <c r="DJ142" s="76"/>
      <c r="DN142" s="77"/>
      <c r="DO142" s="76"/>
      <c r="DP142" s="77"/>
      <c r="DS142" s="77"/>
      <c r="DT142" s="76"/>
      <c r="DX142" s="77"/>
      <c r="DY142" s="76"/>
      <c r="DZ142" s="76"/>
      <c r="EA142" s="76"/>
      <c r="EB142" s="76"/>
    </row>
    <row r="143" spans="1:132" s="103" customFormat="1" ht="3" customHeight="1">
      <c r="A143" s="148"/>
      <c r="B143" s="148"/>
      <c r="C143" s="83"/>
      <c r="D143" s="83"/>
      <c r="E143" s="83"/>
      <c r="F143" s="83"/>
      <c r="G143" s="83"/>
      <c r="H143" s="83"/>
      <c r="I143" s="83"/>
      <c r="J143" s="84"/>
      <c r="K143" s="84"/>
      <c r="L143" s="84"/>
      <c r="M143" s="84"/>
      <c r="N143" s="83"/>
      <c r="O143" s="84"/>
      <c r="P143" s="84"/>
      <c r="Q143" s="84"/>
      <c r="R143" s="84"/>
      <c r="S143" s="83"/>
      <c r="T143" s="84"/>
      <c r="U143" s="84"/>
      <c r="V143" s="84"/>
      <c r="W143" s="84"/>
      <c r="X143" s="83"/>
      <c r="Y143" s="84"/>
      <c r="Z143" s="84"/>
      <c r="AA143" s="84"/>
      <c r="AB143" s="84"/>
      <c r="AC143" s="83"/>
      <c r="AD143" s="84"/>
      <c r="AE143" s="84"/>
      <c r="AF143" s="84" t="str">
        <f>IF(ROUND(AF141,2)=ROUND(AF47,2),"","check")</f>
        <v/>
      </c>
      <c r="AG143" s="84" t="str">
        <f>IF(ROUND(AG141,2)=ROUND(AG47,2),"","check")</f>
        <v/>
      </c>
      <c r="AH143" s="83" t="str">
        <f>IF(ROUND(AH141,2)=ROUND(AH47,2),"","check")</f>
        <v/>
      </c>
      <c r="AI143" s="84" t="str">
        <f>IF(ROUND(AI141,2)=ROUND(AI47,2),"","check")</f>
        <v/>
      </c>
      <c r="AJ143" s="84"/>
      <c r="AK143" s="84"/>
      <c r="AL143" s="84"/>
      <c r="AM143" s="83"/>
      <c r="AN143" s="84"/>
      <c r="AO143" s="84"/>
      <c r="AP143" s="84"/>
      <c r="AQ143" s="84"/>
      <c r="AR143" s="83"/>
      <c r="AS143" s="84"/>
      <c r="AT143" s="84"/>
      <c r="AU143" s="84"/>
      <c r="AV143" s="84"/>
      <c r="AW143" s="83"/>
      <c r="AX143" s="84"/>
      <c r="AY143" s="84"/>
      <c r="AZ143" s="84"/>
      <c r="BA143" s="84"/>
      <c r="BB143" s="83"/>
      <c r="BC143" s="84"/>
      <c r="BD143" s="84"/>
      <c r="BE143" s="84"/>
      <c r="BF143" s="84"/>
      <c r="BG143" s="83"/>
      <c r="BH143" s="84"/>
      <c r="BI143" s="701"/>
      <c r="BJ143" s="84"/>
      <c r="BK143" s="84"/>
      <c r="BL143" s="83"/>
      <c r="BM143" s="84"/>
      <c r="BN143" s="701"/>
      <c r="BO143" s="84"/>
      <c r="BP143" s="84"/>
      <c r="BQ143" s="83"/>
      <c r="BR143" s="84"/>
      <c r="BS143" s="701"/>
      <c r="BT143" s="84"/>
      <c r="BU143" s="84"/>
      <c r="BV143" s="83"/>
      <c r="BW143" s="84"/>
      <c r="BX143" s="701"/>
      <c r="BY143" s="84"/>
      <c r="BZ143" s="84"/>
      <c r="CA143" s="83"/>
      <c r="CB143" s="84"/>
      <c r="CC143" s="701"/>
      <c r="CD143" s="84"/>
      <c r="CE143" s="84"/>
      <c r="CF143" s="83"/>
      <c r="CG143" s="701"/>
      <c r="CH143" s="701"/>
      <c r="CI143" s="701"/>
      <c r="CJ143" s="701"/>
      <c r="CK143" s="83"/>
      <c r="CL143" s="84"/>
      <c r="CM143" s="84"/>
      <c r="CN143" s="84"/>
      <c r="CO143" s="84"/>
      <c r="CP143" s="83"/>
      <c r="CQ143" s="84"/>
      <c r="CR143" s="84"/>
      <c r="CS143" s="84"/>
      <c r="CT143" s="84"/>
      <c r="CU143" s="83"/>
      <c r="CV143" s="84"/>
      <c r="CW143" s="84"/>
      <c r="CX143" s="84"/>
      <c r="CY143" s="84"/>
      <c r="CZ143" s="83"/>
      <c r="DA143" s="84"/>
      <c r="DB143" s="84"/>
      <c r="DC143" s="84"/>
      <c r="DD143" s="84"/>
      <c r="DE143" s="83"/>
      <c r="DF143" s="84"/>
      <c r="DG143" s="1047"/>
      <c r="DH143" s="1047"/>
      <c r="DI143" s="84"/>
      <c r="DJ143" s="83"/>
      <c r="DK143" s="84"/>
      <c r="DL143" s="84"/>
      <c r="DM143" s="84"/>
      <c r="DN143" s="84"/>
      <c r="DO143" s="83"/>
      <c r="DP143" s="84"/>
      <c r="DQ143" s="84"/>
      <c r="DR143" s="84"/>
      <c r="DS143" s="84"/>
      <c r="DT143" s="83"/>
      <c r="DU143" s="84"/>
      <c r="DV143" s="84"/>
      <c r="DW143" s="84"/>
      <c r="DX143" s="84"/>
      <c r="DY143" s="83"/>
      <c r="DZ143" s="83"/>
      <c r="EA143" s="83"/>
      <c r="EB143" s="83"/>
    </row>
    <row r="144" spans="1:132" s="103" customFormat="1" ht="16.5" customHeight="1">
      <c r="A144" s="98"/>
      <c r="B144" s="98"/>
      <c r="C144" s="76" t="str">
        <f t="shared" ref="C144:AK144" si="513">IF(ROUND(C141,0)=ROUND(C47,0),"","check")</f>
        <v/>
      </c>
      <c r="D144" s="76" t="str">
        <f t="shared" si="513"/>
        <v/>
      </c>
      <c r="E144" s="76" t="str">
        <f t="shared" si="513"/>
        <v/>
      </c>
      <c r="F144" s="76" t="str">
        <f t="shared" si="513"/>
        <v/>
      </c>
      <c r="G144" s="76" t="str">
        <f t="shared" si="513"/>
        <v/>
      </c>
      <c r="H144" s="76" t="str">
        <f t="shared" si="513"/>
        <v/>
      </c>
      <c r="I144" s="76" t="str">
        <f t="shared" si="513"/>
        <v/>
      </c>
      <c r="J144" s="103" t="str">
        <f t="shared" si="513"/>
        <v/>
      </c>
      <c r="K144" s="103" t="str">
        <f t="shared" si="513"/>
        <v/>
      </c>
      <c r="L144" s="103" t="str">
        <f t="shared" si="513"/>
        <v/>
      </c>
      <c r="M144" s="103" t="str">
        <f t="shared" si="513"/>
        <v/>
      </c>
      <c r="N144" s="76" t="str">
        <f t="shared" si="513"/>
        <v/>
      </c>
      <c r="O144" s="103" t="str">
        <f t="shared" si="513"/>
        <v/>
      </c>
      <c r="P144" s="103" t="str">
        <f t="shared" si="513"/>
        <v/>
      </c>
      <c r="Q144" s="103" t="str">
        <f t="shared" si="513"/>
        <v/>
      </c>
      <c r="R144" s="103" t="str">
        <f t="shared" si="513"/>
        <v/>
      </c>
      <c r="S144" s="76" t="str">
        <f t="shared" si="513"/>
        <v/>
      </c>
      <c r="T144" s="103" t="str">
        <f t="shared" si="513"/>
        <v/>
      </c>
      <c r="U144" s="103" t="str">
        <f t="shared" si="513"/>
        <v/>
      </c>
      <c r="V144" s="103" t="str">
        <f t="shared" si="513"/>
        <v/>
      </c>
      <c r="W144" s="103" t="str">
        <f t="shared" si="513"/>
        <v/>
      </c>
      <c r="X144" s="76" t="str">
        <f t="shared" si="513"/>
        <v/>
      </c>
      <c r="Y144" s="103" t="str">
        <f t="shared" si="513"/>
        <v/>
      </c>
      <c r="Z144" s="103" t="str">
        <f t="shared" si="513"/>
        <v/>
      </c>
      <c r="AA144" s="103" t="str">
        <f t="shared" si="513"/>
        <v/>
      </c>
      <c r="AB144" s="103" t="str">
        <f t="shared" si="513"/>
        <v/>
      </c>
      <c r="AC144" s="76" t="str">
        <f t="shared" si="513"/>
        <v/>
      </c>
      <c r="AD144" s="103" t="str">
        <f t="shared" si="513"/>
        <v/>
      </c>
      <c r="AE144" s="103" t="str">
        <f t="shared" si="513"/>
        <v/>
      </c>
      <c r="AF144" s="103" t="str">
        <f t="shared" si="513"/>
        <v/>
      </c>
      <c r="AG144" s="103" t="str">
        <f t="shared" si="513"/>
        <v/>
      </c>
      <c r="AH144" s="76" t="str">
        <f t="shared" si="513"/>
        <v/>
      </c>
      <c r="AI144" s="103" t="str">
        <f t="shared" si="513"/>
        <v/>
      </c>
      <c r="AJ144" s="103" t="str">
        <f t="shared" si="513"/>
        <v/>
      </c>
      <c r="AK144" s="103" t="str">
        <f t="shared" si="513"/>
        <v/>
      </c>
      <c r="AM144" s="76"/>
      <c r="AR144" s="76"/>
      <c r="AW144" s="76"/>
      <c r="BB144" s="76"/>
      <c r="BG144" s="76"/>
      <c r="BI144" s="703"/>
      <c r="BL144" s="76"/>
      <c r="BN144" s="703"/>
      <c r="BQ144" s="76"/>
      <c r="BS144" s="703"/>
      <c r="BV144" s="76"/>
      <c r="BX144" s="703"/>
      <c r="CA144" s="76"/>
      <c r="CC144" s="703"/>
      <c r="CF144" s="76"/>
      <c r="CG144" s="703"/>
      <c r="CH144" s="703"/>
      <c r="CI144" s="703"/>
      <c r="CJ144" s="703"/>
      <c r="CK144" s="76"/>
      <c r="CP144" s="76"/>
      <c r="CU144" s="76"/>
      <c r="CZ144" s="76"/>
      <c r="DE144" s="76"/>
      <c r="DG144" s="593"/>
      <c r="DH144" s="593"/>
      <c r="DJ144" s="76"/>
      <c r="DO144" s="76"/>
      <c r="DT144" s="76"/>
      <c r="DY144" s="76"/>
      <c r="DZ144" s="76"/>
      <c r="EA144" s="76"/>
      <c r="EB144" s="76"/>
    </row>
    <row r="145" spans="1:132" s="103" customFormat="1" ht="12" customHeight="1">
      <c r="A145" s="68"/>
      <c r="B145" s="164" t="s">
        <v>104</v>
      </c>
      <c r="C145" s="76"/>
      <c r="D145" s="76"/>
      <c r="E145" s="76"/>
      <c r="F145" s="76"/>
      <c r="G145" s="76"/>
      <c r="H145" s="76"/>
      <c r="I145" s="76"/>
      <c r="J145" s="77"/>
      <c r="K145" s="77"/>
      <c r="L145" s="77"/>
      <c r="M145" s="77"/>
      <c r="N145" s="76"/>
      <c r="O145" s="77"/>
      <c r="P145" s="77"/>
      <c r="Q145" s="77"/>
      <c r="R145" s="77"/>
      <c r="S145" s="76"/>
      <c r="T145" s="77"/>
      <c r="U145" s="77"/>
      <c r="V145" s="77"/>
      <c r="W145" s="77"/>
      <c r="X145" s="76"/>
      <c r="Y145" s="77"/>
      <c r="Z145" s="77"/>
      <c r="AA145" s="77"/>
      <c r="AB145" s="77"/>
      <c r="AC145" s="76"/>
      <c r="AD145" s="77"/>
      <c r="AE145" s="77"/>
      <c r="AF145" s="77"/>
      <c r="AG145" s="77"/>
      <c r="AH145" s="76"/>
      <c r="AI145" s="77"/>
      <c r="AJ145" s="77"/>
      <c r="AK145" s="77"/>
      <c r="AL145" s="77"/>
      <c r="AM145" s="76"/>
      <c r="AN145" s="77"/>
      <c r="AO145" s="77"/>
      <c r="AP145" s="77"/>
      <c r="AQ145" s="77"/>
      <c r="AR145" s="76"/>
      <c r="AS145" s="77"/>
      <c r="AT145" s="77"/>
      <c r="AU145" s="77"/>
      <c r="AV145" s="77"/>
      <c r="AW145" s="76"/>
      <c r="AX145" s="77"/>
      <c r="AY145" s="77"/>
      <c r="AZ145" s="77"/>
      <c r="BA145" s="77"/>
      <c r="BB145" s="76"/>
      <c r="BC145" s="77"/>
      <c r="BD145" s="77"/>
      <c r="BE145" s="77"/>
      <c r="BF145" s="77"/>
      <c r="BG145" s="76"/>
      <c r="BH145" s="77"/>
      <c r="BI145" s="693"/>
      <c r="BJ145" s="77"/>
      <c r="BK145" s="77"/>
      <c r="BL145" s="76"/>
      <c r="BM145" s="77"/>
      <c r="BN145" s="693"/>
      <c r="BO145" s="77"/>
      <c r="BP145" s="77"/>
      <c r="BQ145" s="76"/>
      <c r="BR145" s="77"/>
      <c r="BS145" s="693"/>
      <c r="BT145" s="77"/>
      <c r="BU145" s="77"/>
      <c r="BV145" s="76"/>
      <c r="BW145" s="77"/>
      <c r="BX145" s="693"/>
      <c r="BY145" s="77"/>
      <c r="BZ145" s="77"/>
      <c r="CA145" s="76"/>
      <c r="CB145" s="77"/>
      <c r="CC145" s="693"/>
      <c r="CD145" s="77"/>
      <c r="CE145" s="77"/>
      <c r="CF145" s="76"/>
      <c r="CG145" s="693"/>
      <c r="CH145" s="693"/>
      <c r="CI145" s="693"/>
      <c r="CJ145" s="693"/>
      <c r="CK145" s="76"/>
      <c r="CL145" s="77"/>
      <c r="CM145" s="77"/>
      <c r="CN145" s="77"/>
      <c r="CO145" s="77"/>
      <c r="CP145" s="76"/>
      <c r="CQ145" s="77"/>
      <c r="CR145" s="77"/>
      <c r="CS145" s="77"/>
      <c r="CT145" s="77"/>
      <c r="CU145" s="76"/>
      <c r="CV145" s="77"/>
      <c r="CW145" s="77"/>
      <c r="CX145" s="77"/>
      <c r="CY145" s="77"/>
      <c r="CZ145" s="76"/>
      <c r="DA145" s="77"/>
      <c r="DB145" s="77"/>
      <c r="DC145" s="77"/>
      <c r="DD145" s="77"/>
      <c r="DE145" s="76"/>
      <c r="DG145" s="593"/>
      <c r="DH145" s="593"/>
      <c r="DI145" s="77"/>
      <c r="DJ145" s="76"/>
      <c r="DN145" s="77"/>
      <c r="DO145" s="76"/>
      <c r="DP145" s="77"/>
      <c r="DS145" s="77"/>
      <c r="DT145" s="76"/>
      <c r="DX145" s="77"/>
      <c r="DY145" s="76"/>
      <c r="DZ145" s="76"/>
      <c r="EA145" s="76"/>
      <c r="EB145" s="76"/>
    </row>
    <row r="146" spans="1:132" s="103" customFormat="1" ht="12" customHeight="1">
      <c r="A146" s="68"/>
      <c r="B146" s="68"/>
      <c r="C146" s="76"/>
      <c r="D146" s="76"/>
      <c r="E146" s="76"/>
      <c r="F146" s="76"/>
      <c r="G146" s="76"/>
      <c r="H146" s="76"/>
      <c r="I146" s="76"/>
      <c r="J146" s="77"/>
      <c r="K146" s="77"/>
      <c r="L146" s="77"/>
      <c r="M146" s="77"/>
      <c r="N146" s="76"/>
      <c r="O146" s="77"/>
      <c r="P146" s="77"/>
      <c r="Q146" s="77"/>
      <c r="R146" s="77"/>
      <c r="S146" s="76"/>
      <c r="T146" s="77"/>
      <c r="U146" s="77"/>
      <c r="V146" s="77"/>
      <c r="W146" s="77"/>
      <c r="X146" s="76"/>
      <c r="Y146" s="77"/>
      <c r="Z146" s="77"/>
      <c r="AA146" s="77"/>
      <c r="AB146" s="77"/>
      <c r="AC146" s="76"/>
      <c r="AD146" s="77"/>
      <c r="AE146" s="77"/>
      <c r="AF146" s="77"/>
      <c r="AG146" s="77"/>
      <c r="AH146" s="76"/>
      <c r="AI146" s="77"/>
      <c r="AJ146" s="77"/>
      <c r="AK146" s="77"/>
      <c r="AL146" s="77"/>
      <c r="AM146" s="76"/>
      <c r="AN146" s="77"/>
      <c r="AO146" s="77"/>
      <c r="AP146" s="77"/>
      <c r="AQ146" s="77"/>
      <c r="AR146" s="76"/>
      <c r="AS146" s="77"/>
      <c r="AT146" s="77"/>
      <c r="AU146" s="77"/>
      <c r="AV146" s="77"/>
      <c r="AW146" s="76"/>
      <c r="AX146" s="77"/>
      <c r="AY146" s="77"/>
      <c r="AZ146" s="77"/>
      <c r="BA146" s="77"/>
      <c r="BB146" s="76"/>
      <c r="BC146" s="77"/>
      <c r="BD146" s="77"/>
      <c r="BE146" s="77"/>
      <c r="BF146" s="77"/>
      <c r="BG146" s="76"/>
      <c r="BH146" s="77"/>
      <c r="BI146" s="693"/>
      <c r="BJ146" s="77"/>
      <c r="BK146" s="77"/>
      <c r="BL146" s="76"/>
      <c r="BM146" s="77"/>
      <c r="BN146" s="693"/>
      <c r="BO146" s="77"/>
      <c r="BP146" s="77"/>
      <c r="BQ146" s="76"/>
      <c r="BR146" s="77"/>
      <c r="BS146" s="693"/>
      <c r="BT146" s="77"/>
      <c r="BU146" s="77"/>
      <c r="BV146" s="76"/>
      <c r="BW146" s="77"/>
      <c r="BX146" s="693"/>
      <c r="BY146" s="77"/>
      <c r="BZ146" s="77"/>
      <c r="CA146" s="76"/>
      <c r="CB146" s="77"/>
      <c r="CC146" s="693"/>
      <c r="CD146" s="77"/>
      <c r="CE146" s="77"/>
      <c r="CF146" s="76"/>
      <c r="CG146" s="693"/>
      <c r="CH146" s="693"/>
      <c r="CI146" s="693"/>
      <c r="CJ146" s="693"/>
      <c r="CK146" s="76"/>
      <c r="CL146" s="77"/>
      <c r="CM146" s="77"/>
      <c r="CN146" s="77"/>
      <c r="CO146" s="77"/>
      <c r="CP146" s="76"/>
      <c r="CQ146" s="77"/>
      <c r="CR146" s="77"/>
      <c r="CS146" s="77"/>
      <c r="CT146" s="77"/>
      <c r="CU146" s="76"/>
      <c r="CV146" s="77"/>
      <c r="CW146" s="77"/>
      <c r="CX146" s="77"/>
      <c r="CY146" s="77"/>
      <c r="CZ146" s="76"/>
      <c r="DA146" s="77"/>
      <c r="DB146" s="77"/>
      <c r="DC146" s="77"/>
      <c r="DD146" s="77"/>
      <c r="DE146" s="76"/>
      <c r="DG146" s="593"/>
      <c r="DH146" s="593"/>
      <c r="DI146" s="77"/>
      <c r="DJ146" s="76"/>
      <c r="DN146" s="77"/>
      <c r="DO146" s="76"/>
      <c r="DP146" s="77"/>
      <c r="DS146" s="77"/>
      <c r="DT146" s="76"/>
      <c r="DX146" s="77"/>
      <c r="DY146" s="76"/>
      <c r="DZ146" s="76"/>
      <c r="EA146" s="76"/>
      <c r="EB146" s="76"/>
    </row>
    <row r="147" spans="1:132" s="103" customFormat="1" ht="12" customHeight="1">
      <c r="A147" s="68"/>
      <c r="B147" s="74" t="s">
        <v>113</v>
      </c>
      <c r="C147" s="76"/>
      <c r="D147" s="76"/>
      <c r="E147" s="76"/>
      <c r="F147" s="76"/>
      <c r="G147" s="76"/>
      <c r="H147" s="76"/>
      <c r="I147" s="76"/>
      <c r="J147" s="77"/>
      <c r="K147" s="77"/>
      <c r="L147" s="77"/>
      <c r="M147" s="77"/>
      <c r="N147" s="76"/>
      <c r="O147" s="77"/>
      <c r="P147" s="77"/>
      <c r="Q147" s="77"/>
      <c r="R147" s="77"/>
      <c r="S147" s="76"/>
      <c r="T147" s="77"/>
      <c r="U147" s="77"/>
      <c r="V147" s="77"/>
      <c r="W147" s="77"/>
      <c r="X147" s="76"/>
      <c r="Y147" s="77"/>
      <c r="Z147" s="77"/>
      <c r="AA147" s="77"/>
      <c r="AB147" s="77"/>
      <c r="AC147" s="76"/>
      <c r="AD147" s="77"/>
      <c r="AE147" s="77"/>
      <c r="AF147" s="77"/>
      <c r="AG147" s="77"/>
      <c r="AH147" s="76"/>
      <c r="AI147" s="77"/>
      <c r="AJ147" s="77"/>
      <c r="AK147" s="77"/>
      <c r="AL147" s="77"/>
      <c r="AM147" s="76"/>
      <c r="AN147" s="77"/>
      <c r="AO147" s="77"/>
      <c r="AP147" s="77"/>
      <c r="AQ147" s="77"/>
      <c r="AR147" s="76"/>
      <c r="AS147" s="77"/>
      <c r="AT147" s="77"/>
      <c r="AU147" s="77"/>
      <c r="AV147" s="77"/>
      <c r="AW147" s="76"/>
      <c r="AX147" s="77"/>
      <c r="AY147" s="77"/>
      <c r="AZ147" s="77"/>
      <c r="BA147" s="77"/>
      <c r="BB147" s="76"/>
      <c r="BC147" s="77"/>
      <c r="BD147" s="77"/>
      <c r="BE147" s="77"/>
      <c r="BF147" s="77"/>
      <c r="BG147" s="76"/>
      <c r="BH147" s="77"/>
      <c r="BI147" s="693"/>
      <c r="BJ147" s="77"/>
      <c r="BK147" s="77"/>
      <c r="BL147" s="76"/>
      <c r="BM147" s="77"/>
      <c r="BN147" s="693"/>
      <c r="BO147" s="77"/>
      <c r="BP147" s="77"/>
      <c r="BQ147" s="76"/>
      <c r="BR147" s="77"/>
      <c r="BS147" s="693"/>
      <c r="BT147" s="77"/>
      <c r="BU147" s="77"/>
      <c r="BV147" s="76"/>
      <c r="BW147" s="86"/>
      <c r="BX147" s="554"/>
      <c r="BY147" s="86"/>
      <c r="BZ147" s="86"/>
      <c r="CA147" s="871"/>
      <c r="CB147" s="77"/>
      <c r="CC147" s="693"/>
      <c r="CD147" s="77"/>
      <c r="CE147" s="77"/>
      <c r="CF147" s="76"/>
      <c r="CG147" s="693"/>
      <c r="CH147" s="693"/>
      <c r="CI147" s="693"/>
      <c r="CJ147" s="693"/>
      <c r="CK147" s="76"/>
      <c r="CL147" s="77"/>
      <c r="CM147" s="77"/>
      <c r="CN147" s="77"/>
      <c r="CO147" s="77"/>
      <c r="CP147" s="76"/>
      <c r="CQ147" s="77"/>
      <c r="CR147" s="77"/>
      <c r="CS147" s="77"/>
      <c r="CT147" s="77"/>
      <c r="CU147" s="76"/>
      <c r="CV147" s="77"/>
      <c r="CW147" s="77"/>
      <c r="CX147" s="77"/>
      <c r="CY147" s="77"/>
      <c r="CZ147" s="76"/>
      <c r="DA147" s="77"/>
      <c r="DB147" s="77"/>
      <c r="DC147" s="77"/>
      <c r="DD147" s="77"/>
      <c r="DE147" s="76"/>
      <c r="DG147" s="593"/>
      <c r="DH147" s="593"/>
      <c r="DI147" s="77"/>
      <c r="DJ147" s="76"/>
      <c r="DN147" s="77"/>
      <c r="DO147" s="76"/>
      <c r="DP147" s="77"/>
      <c r="DS147" s="77"/>
      <c r="DT147" s="76"/>
      <c r="DX147" s="77"/>
      <c r="DY147" s="76"/>
      <c r="DZ147" s="76"/>
      <c r="EA147" s="76"/>
      <c r="EB147" s="76"/>
    </row>
    <row r="148" spans="1:132" s="103" customFormat="1" ht="12" customHeight="1">
      <c r="A148" s="68"/>
      <c r="B148" s="121" t="s">
        <v>105</v>
      </c>
      <c r="C148" s="76"/>
      <c r="D148" s="76"/>
      <c r="E148" s="76"/>
      <c r="F148" s="76"/>
      <c r="G148" s="76"/>
      <c r="H148" s="76"/>
      <c r="I148" s="76"/>
      <c r="J148" s="77"/>
      <c r="K148" s="77"/>
      <c r="L148" s="77"/>
      <c r="M148" s="77"/>
      <c r="N148" s="76"/>
      <c r="O148" s="77"/>
      <c r="P148" s="77"/>
      <c r="Q148" s="77"/>
      <c r="R148" s="77"/>
      <c r="S148" s="76"/>
      <c r="T148" s="77"/>
      <c r="U148" s="77"/>
      <c r="V148" s="77"/>
      <c r="W148" s="77"/>
      <c r="X148" s="76"/>
      <c r="Y148" s="77"/>
      <c r="Z148" s="77"/>
      <c r="AA148" s="77"/>
      <c r="AB148" s="77"/>
      <c r="AC148" s="76"/>
      <c r="AD148" s="77"/>
      <c r="AE148" s="77"/>
      <c r="AF148" s="77"/>
      <c r="AG148" s="77"/>
      <c r="AH148" s="76"/>
      <c r="AI148" s="77"/>
      <c r="AJ148" s="77"/>
      <c r="AK148" s="77"/>
      <c r="AL148" s="77"/>
      <c r="AM148" s="76"/>
      <c r="AN148" s="77"/>
      <c r="AO148" s="77"/>
      <c r="AP148" s="77"/>
      <c r="AQ148" s="77"/>
      <c r="AR148" s="76"/>
      <c r="AS148" s="77"/>
      <c r="AT148" s="77"/>
      <c r="AU148" s="77"/>
      <c r="AV148" s="77"/>
      <c r="AW148" s="76"/>
      <c r="AX148" s="77"/>
      <c r="AY148" s="77"/>
      <c r="AZ148" s="77"/>
      <c r="BA148" s="77"/>
      <c r="BB148" s="76"/>
      <c r="BC148" s="77"/>
      <c r="BD148" s="77"/>
      <c r="BE148" s="77"/>
      <c r="BF148" s="77"/>
      <c r="BG148" s="76"/>
      <c r="BH148" s="77"/>
      <c r="BI148" s="693"/>
      <c r="BJ148" s="77"/>
      <c r="BK148" s="77"/>
      <c r="BL148" s="76"/>
      <c r="BM148" s="77"/>
      <c r="BN148" s="693"/>
      <c r="BO148" s="77"/>
      <c r="BP148" s="77"/>
      <c r="BQ148" s="76"/>
      <c r="BR148" s="77">
        <v>12787</v>
      </c>
      <c r="BS148" s="693">
        <v>15643</v>
      </c>
      <c r="BT148" s="77">
        <v>15200</v>
      </c>
      <c r="BU148" s="77">
        <v>14382</v>
      </c>
      <c r="BV148" s="76">
        <f t="shared" ref="BV148:BV153" si="514">SUM(BR148:BU148)</f>
        <v>58012</v>
      </c>
      <c r="BW148" s="86">
        <v>12953</v>
      </c>
      <c r="BX148" s="554">
        <v>14280</v>
      </c>
      <c r="BY148" s="86">
        <v>15393</v>
      </c>
      <c r="BZ148" s="86">
        <v>15388</v>
      </c>
      <c r="CA148" s="871">
        <f t="shared" ref="CA148:CA153" si="515">SUM(BW148:BZ148)</f>
        <v>58014</v>
      </c>
      <c r="CB148" s="16">
        <v>12945</v>
      </c>
      <c r="CC148" s="693">
        <v>13952</v>
      </c>
      <c r="CD148" s="16">
        <v>14071</v>
      </c>
      <c r="CE148" s="16">
        <v>16531</v>
      </c>
      <c r="CF148" s="871">
        <f t="shared" ref="CF148:CF153" si="516">SUM(CB148:CE148)</f>
        <v>57499</v>
      </c>
      <c r="CG148" s="693">
        <v>11822</v>
      </c>
      <c r="CH148" s="693">
        <v>4722</v>
      </c>
      <c r="CI148" s="693">
        <v>8249</v>
      </c>
      <c r="CJ148" s="693">
        <v>7462</v>
      </c>
      <c r="CK148" s="871">
        <f t="shared" ref="CK148:CK153" si="517">SUM(CG148:CJ148)</f>
        <v>32255</v>
      </c>
      <c r="CL148" s="77">
        <v>6205</v>
      </c>
      <c r="CM148" s="16">
        <v>1633</v>
      </c>
      <c r="CN148" s="16">
        <v>3596</v>
      </c>
      <c r="CO148" s="77">
        <v>4728</v>
      </c>
      <c r="CP148" s="871">
        <f t="shared" ref="CP148:CP153" si="518">SUM(CL148:CO148)</f>
        <v>16162</v>
      </c>
      <c r="CQ148" s="77">
        <v>4269</v>
      </c>
      <c r="CR148" s="77">
        <v>6015</v>
      </c>
      <c r="CS148" s="16">
        <v>4459</v>
      </c>
      <c r="CT148" s="16">
        <v>4750</v>
      </c>
      <c r="CU148" s="871">
        <f t="shared" ref="CU148:CU153" si="519">SUM(CQ148:CT148)</f>
        <v>19493</v>
      </c>
      <c r="CV148" s="16">
        <v>4161</v>
      </c>
      <c r="CW148" s="16">
        <v>6219</v>
      </c>
      <c r="CX148" s="16">
        <v>6263</v>
      </c>
      <c r="CY148" s="16">
        <v>9224</v>
      </c>
      <c r="CZ148" s="871">
        <f t="shared" ref="CZ148:CZ153" si="520">SUM(CV148:CY148)</f>
        <v>25867</v>
      </c>
      <c r="DA148" s="77">
        <v>6704</v>
      </c>
      <c r="DB148" s="77">
        <v>8840</v>
      </c>
      <c r="DC148" s="77">
        <v>7876</v>
      </c>
      <c r="DD148" s="77">
        <v>10481</v>
      </c>
      <c r="DE148" s="871">
        <f t="shared" ref="DE148:DE153" si="521">SUM(DA148:DD148)</f>
        <v>33901</v>
      </c>
      <c r="DF148" s="103">
        <v>4653</v>
      </c>
      <c r="DG148" s="16">
        <v>6003</v>
      </c>
      <c r="DH148" s="593">
        <v>7443</v>
      </c>
      <c r="DI148" s="1074">
        <v>4762</v>
      </c>
      <c r="DJ148" s="871">
        <f t="shared" ref="DJ148:DJ153" si="522">SUM(DF148:DI148)</f>
        <v>22861</v>
      </c>
      <c r="DK148" s="1086">
        <v>8147</v>
      </c>
      <c r="DL148" s="1074">
        <v>10874</v>
      </c>
      <c r="DM148" s="1074">
        <v>11094</v>
      </c>
      <c r="DN148" s="1074">
        <v>11379</v>
      </c>
      <c r="DO148" s="871">
        <f t="shared" ref="DO148:DO153" si="523">SUM(DK148:DN148)</f>
        <v>41494</v>
      </c>
      <c r="DP148" s="1074">
        <v>9203</v>
      </c>
      <c r="DQ148" s="580">
        <v>11751</v>
      </c>
      <c r="DS148" s="77"/>
      <c r="DT148" s="76"/>
      <c r="DU148" s="1086"/>
      <c r="DX148" s="77"/>
      <c r="DY148" s="76"/>
      <c r="DZ148" s="76"/>
      <c r="EA148" s="76"/>
      <c r="EB148" s="76"/>
    </row>
    <row r="149" spans="1:132" s="103" customFormat="1" ht="12" customHeight="1">
      <c r="A149" s="68"/>
      <c r="B149" s="121" t="s">
        <v>391</v>
      </c>
      <c r="C149" s="76"/>
      <c r="D149" s="76"/>
      <c r="E149" s="76"/>
      <c r="F149" s="76"/>
      <c r="G149" s="76"/>
      <c r="H149" s="76"/>
      <c r="I149" s="76"/>
      <c r="J149" s="77"/>
      <c r="K149" s="77"/>
      <c r="L149" s="77"/>
      <c r="M149" s="77"/>
      <c r="N149" s="76"/>
      <c r="O149" s="77"/>
      <c r="P149" s="77"/>
      <c r="Q149" s="77"/>
      <c r="R149" s="77"/>
      <c r="S149" s="76"/>
      <c r="T149" s="77"/>
      <c r="U149" s="77"/>
      <c r="V149" s="77"/>
      <c r="W149" s="77"/>
      <c r="X149" s="76"/>
      <c r="Y149" s="77"/>
      <c r="Z149" s="77"/>
      <c r="AA149" s="77"/>
      <c r="AB149" s="77"/>
      <c r="AC149" s="76"/>
      <c r="AD149" s="77"/>
      <c r="AE149" s="77"/>
      <c r="AF149" s="77"/>
      <c r="AG149" s="77"/>
      <c r="AH149" s="76"/>
      <c r="AI149" s="77"/>
      <c r="AJ149" s="77"/>
      <c r="AK149" s="77"/>
      <c r="AL149" s="77"/>
      <c r="AM149" s="76"/>
      <c r="AN149" s="77"/>
      <c r="AO149" s="77"/>
      <c r="AP149" s="77"/>
      <c r="AQ149" s="77"/>
      <c r="AR149" s="76"/>
      <c r="AS149" s="77"/>
      <c r="AT149" s="77"/>
      <c r="AU149" s="77"/>
      <c r="AV149" s="77"/>
      <c r="AW149" s="76"/>
      <c r="AX149" s="77"/>
      <c r="AY149" s="77"/>
      <c r="AZ149" s="77"/>
      <c r="BA149" s="77"/>
      <c r="BB149" s="76"/>
      <c r="BC149" s="77"/>
      <c r="BD149" s="77"/>
      <c r="BE149" s="77"/>
      <c r="BF149" s="77"/>
      <c r="BG149" s="76"/>
      <c r="BH149" s="77"/>
      <c r="BI149" s="693"/>
      <c r="BJ149" s="77"/>
      <c r="BK149" s="77"/>
      <c r="BL149" s="76"/>
      <c r="BM149" s="77"/>
      <c r="BN149" s="693"/>
      <c r="BO149" s="77"/>
      <c r="BP149" s="77"/>
      <c r="BQ149" s="76"/>
      <c r="BR149" s="693">
        <v>6136</v>
      </c>
      <c r="BS149" s="77">
        <v>5394</v>
      </c>
      <c r="BT149" s="77">
        <v>5751</v>
      </c>
      <c r="BU149" s="77">
        <v>5282</v>
      </c>
      <c r="BV149" s="76">
        <f t="shared" si="514"/>
        <v>22563</v>
      </c>
      <c r="BW149" s="554">
        <v>5112</v>
      </c>
      <c r="BX149" s="554">
        <v>5142</v>
      </c>
      <c r="BY149" s="86">
        <v>5050</v>
      </c>
      <c r="BZ149" s="86">
        <v>5257</v>
      </c>
      <c r="CA149" s="871">
        <f t="shared" si="515"/>
        <v>20561</v>
      </c>
      <c r="CB149" s="16">
        <v>6481</v>
      </c>
      <c r="CC149" s="693">
        <v>6100</v>
      </c>
      <c r="CD149" s="16">
        <v>6937</v>
      </c>
      <c r="CE149" s="16">
        <v>6874</v>
      </c>
      <c r="CF149" s="871">
        <f t="shared" si="516"/>
        <v>26392</v>
      </c>
      <c r="CG149" s="693">
        <v>6611</v>
      </c>
      <c r="CH149" s="693">
        <v>6612</v>
      </c>
      <c r="CI149" s="693">
        <v>7002</v>
      </c>
      <c r="CJ149" s="693">
        <v>5962</v>
      </c>
      <c r="CK149" s="871">
        <f t="shared" si="517"/>
        <v>26187</v>
      </c>
      <c r="CL149" s="77">
        <v>6042</v>
      </c>
      <c r="CM149" s="77">
        <v>6588</v>
      </c>
      <c r="CN149" s="77">
        <v>6848</v>
      </c>
      <c r="CO149" s="77">
        <v>6779</v>
      </c>
      <c r="CP149" s="871">
        <f t="shared" si="518"/>
        <v>26257</v>
      </c>
      <c r="CQ149" s="77">
        <v>7185</v>
      </c>
      <c r="CR149" s="77">
        <v>6876</v>
      </c>
      <c r="CS149" s="77">
        <v>6617</v>
      </c>
      <c r="CT149" s="77">
        <v>5862</v>
      </c>
      <c r="CU149" s="871">
        <f t="shared" si="519"/>
        <v>26540</v>
      </c>
      <c r="CV149" s="77">
        <v>5483</v>
      </c>
      <c r="CW149" s="77">
        <v>6191</v>
      </c>
      <c r="CX149" s="77">
        <v>5307</v>
      </c>
      <c r="CY149" s="77">
        <v>6181</v>
      </c>
      <c r="CZ149" s="871">
        <f t="shared" si="520"/>
        <v>23162</v>
      </c>
      <c r="DA149" s="77">
        <v>6539</v>
      </c>
      <c r="DB149" s="77">
        <v>6167</v>
      </c>
      <c r="DC149" s="77">
        <v>5481</v>
      </c>
      <c r="DD149" s="77">
        <v>6746</v>
      </c>
      <c r="DE149" s="871">
        <f t="shared" si="521"/>
        <v>24933</v>
      </c>
      <c r="DF149" s="103">
        <v>6950</v>
      </c>
      <c r="DG149" s="16">
        <v>6021</v>
      </c>
      <c r="DH149" s="593">
        <v>5536</v>
      </c>
      <c r="DI149" s="1074">
        <v>5411</v>
      </c>
      <c r="DJ149" s="871">
        <f t="shared" si="522"/>
        <v>23918</v>
      </c>
      <c r="DK149" s="1086">
        <v>6298</v>
      </c>
      <c r="DL149" s="1074">
        <v>6617</v>
      </c>
      <c r="DM149" s="1074">
        <v>6902</v>
      </c>
      <c r="DN149" s="1074">
        <v>7417</v>
      </c>
      <c r="DO149" s="871">
        <f t="shared" si="523"/>
        <v>27234</v>
      </c>
      <c r="DP149" s="1074">
        <v>7599</v>
      </c>
      <c r="DQ149" s="1086">
        <v>7483</v>
      </c>
      <c r="DS149" s="77"/>
      <c r="DT149" s="76"/>
      <c r="DU149" s="1086"/>
      <c r="DX149" s="77"/>
      <c r="DY149" s="76"/>
      <c r="DZ149" s="76"/>
      <c r="EA149" s="76"/>
      <c r="EB149" s="76"/>
    </row>
    <row r="150" spans="1:132" s="105" customFormat="1" ht="12" hidden="1" customHeight="1">
      <c r="A150" s="68"/>
      <c r="B150" s="829" t="s">
        <v>105</v>
      </c>
      <c r="C150" s="252">
        <v>26929</v>
      </c>
      <c r="D150" s="252">
        <v>35545</v>
      </c>
      <c r="E150" s="252">
        <v>38409</v>
      </c>
      <c r="F150" s="252">
        <v>31171</v>
      </c>
      <c r="G150" s="252">
        <v>35056</v>
      </c>
      <c r="H150" s="252">
        <v>28387</v>
      </c>
      <c r="I150" s="252">
        <v>22408</v>
      </c>
      <c r="J150" s="253">
        <v>5330</v>
      </c>
      <c r="K150" s="253">
        <v>5671</v>
      </c>
      <c r="L150" s="253">
        <v>4638</v>
      </c>
      <c r="M150" s="253">
        <f>N150-L150-K150-J150</f>
        <v>5398</v>
      </c>
      <c r="N150" s="252">
        <v>21037</v>
      </c>
      <c r="O150" s="253">
        <v>5076</v>
      </c>
      <c r="P150" s="253">
        <v>6806</v>
      </c>
      <c r="Q150" s="253">
        <v>4913</v>
      </c>
      <c r="R150" s="253">
        <f>S150-SUM(O150:Q150)</f>
        <v>5856</v>
      </c>
      <c r="S150" s="252">
        <v>22651</v>
      </c>
      <c r="T150" s="253">
        <v>7053</v>
      </c>
      <c r="U150" s="253">
        <v>7113</v>
      </c>
      <c r="V150" s="253">
        <v>6693</v>
      </c>
      <c r="W150" s="253">
        <f>X150-SUM(T150:V150)</f>
        <v>7606</v>
      </c>
      <c r="X150" s="252">
        <v>28465</v>
      </c>
      <c r="Y150" s="253">
        <v>7555</v>
      </c>
      <c r="Z150" s="253">
        <v>8707</v>
      </c>
      <c r="AA150" s="253">
        <v>8258</v>
      </c>
      <c r="AB150" s="253">
        <f>AC150-SUM(Y150:AA150)</f>
        <v>8866</v>
      </c>
      <c r="AC150" s="252">
        <v>33386</v>
      </c>
      <c r="AD150" s="253">
        <v>8161</v>
      </c>
      <c r="AE150" s="253">
        <v>8567</v>
      </c>
      <c r="AF150" s="253">
        <v>6946</v>
      </c>
      <c r="AG150" s="253">
        <f>AH150-AF150-AE150-AD150</f>
        <v>4589</v>
      </c>
      <c r="AH150" s="252">
        <v>28263</v>
      </c>
      <c r="AI150" s="253">
        <v>8554</v>
      </c>
      <c r="AJ150" s="253">
        <v>8431</v>
      </c>
      <c r="AK150" s="253">
        <v>7883</v>
      </c>
      <c r="AL150" s="253">
        <v>9183</v>
      </c>
      <c r="AM150" s="252">
        <f>SUM(AI150:AL150)</f>
        <v>34051</v>
      </c>
      <c r="AN150" s="253">
        <v>7468</v>
      </c>
      <c r="AO150" s="253">
        <v>7433</v>
      </c>
      <c r="AP150" s="253">
        <v>8749</v>
      </c>
      <c r="AQ150" s="253">
        <v>8184</v>
      </c>
      <c r="AR150" s="252">
        <f>SUM(AN150:AQ150)</f>
        <v>31834</v>
      </c>
      <c r="AS150" s="253">
        <v>7118</v>
      </c>
      <c r="AT150" s="253">
        <v>8843</v>
      </c>
      <c r="AU150" s="830">
        <v>9515</v>
      </c>
      <c r="AV150" s="831">
        <v>10695</v>
      </c>
      <c r="AW150" s="252">
        <f>SUM(AS150:AV150)</f>
        <v>36171</v>
      </c>
      <c r="AX150" s="253">
        <v>10937</v>
      </c>
      <c r="AY150" s="253">
        <v>11843</v>
      </c>
      <c r="AZ150" s="253">
        <v>12186</v>
      </c>
      <c r="BA150" s="831">
        <v>14161</v>
      </c>
      <c r="BB150" s="252">
        <f>SUM(AX150:BA150)</f>
        <v>49127</v>
      </c>
      <c r="BC150" s="831">
        <v>10690</v>
      </c>
      <c r="BD150" s="253">
        <v>13624</v>
      </c>
      <c r="BE150" s="253">
        <v>13987</v>
      </c>
      <c r="BF150" s="831">
        <v>14680.3</v>
      </c>
      <c r="BG150" s="252">
        <f>SUM(BC150:BF150)</f>
        <v>52981.3</v>
      </c>
      <c r="BH150" s="831">
        <v>12737</v>
      </c>
      <c r="BI150" s="832">
        <v>14304</v>
      </c>
      <c r="BJ150" s="253">
        <v>16110</v>
      </c>
      <c r="BK150" s="831">
        <v>16839</v>
      </c>
      <c r="BL150" s="252">
        <f>SUM(BH150:BK150)</f>
        <v>59990</v>
      </c>
      <c r="BM150" s="831">
        <v>15381</v>
      </c>
      <c r="BN150" s="832">
        <v>16877</v>
      </c>
      <c r="BO150" s="253">
        <v>17692</v>
      </c>
      <c r="BP150" s="831">
        <v>16098</v>
      </c>
      <c r="BQ150" s="252">
        <f>SUM(BM150:BP150)</f>
        <v>66048</v>
      </c>
      <c r="BR150" s="833">
        <v>14399</v>
      </c>
      <c r="BS150" s="834">
        <v>17456</v>
      </c>
      <c r="BT150" s="253">
        <v>16973</v>
      </c>
      <c r="BU150" s="831">
        <v>16241</v>
      </c>
      <c r="BV150" s="252">
        <f t="shared" si="514"/>
        <v>65069</v>
      </c>
      <c r="BW150" s="833">
        <v>14305</v>
      </c>
      <c r="BX150" s="834">
        <v>15713</v>
      </c>
      <c r="BY150" s="830"/>
      <c r="BZ150" s="833"/>
      <c r="CA150" s="903">
        <f t="shared" si="515"/>
        <v>30018</v>
      </c>
      <c r="CB150" s="955"/>
      <c r="CC150" s="956"/>
      <c r="CD150" s="957"/>
      <c r="CE150" s="955"/>
      <c r="CF150" s="903">
        <f t="shared" si="516"/>
        <v>0</v>
      </c>
      <c r="CG150" s="832"/>
      <c r="CH150" s="832"/>
      <c r="CI150" s="832"/>
      <c r="CJ150" s="832"/>
      <c r="CK150" s="903">
        <f t="shared" si="517"/>
        <v>0</v>
      </c>
      <c r="CL150" s="831"/>
      <c r="CM150" s="831"/>
      <c r="CN150" s="831"/>
      <c r="CO150" s="831"/>
      <c r="CP150" s="903">
        <f t="shared" si="518"/>
        <v>0</v>
      </c>
      <c r="CQ150" s="831"/>
      <c r="CR150" s="831"/>
      <c r="CS150" s="831"/>
      <c r="CT150" s="831"/>
      <c r="CU150" s="903">
        <f t="shared" si="519"/>
        <v>0</v>
      </c>
      <c r="CV150" s="831"/>
      <c r="CW150" s="831"/>
      <c r="CX150" s="831"/>
      <c r="CY150" s="831"/>
      <c r="CZ150" s="903">
        <f t="shared" si="520"/>
        <v>0</v>
      </c>
      <c r="DA150" s="831"/>
      <c r="DB150" s="831"/>
      <c r="DC150" s="831"/>
      <c r="DD150" s="831"/>
      <c r="DE150" s="903">
        <f t="shared" si="521"/>
        <v>0</v>
      </c>
      <c r="DF150" s="1017"/>
      <c r="DG150" s="1048"/>
      <c r="DH150" s="1048"/>
      <c r="DI150" s="831"/>
      <c r="DJ150" s="903">
        <f t="shared" si="522"/>
        <v>0</v>
      </c>
      <c r="DK150" s="1017"/>
      <c r="DL150" s="1048"/>
      <c r="DM150" s="1048"/>
      <c r="DN150" s="831"/>
      <c r="DO150" s="903">
        <f t="shared" si="523"/>
        <v>0</v>
      </c>
      <c r="DP150" s="831"/>
      <c r="DQ150" s="1048"/>
      <c r="DR150" s="1017"/>
      <c r="DS150" s="831"/>
      <c r="DT150" s="835"/>
      <c r="DU150" s="1017"/>
      <c r="DV150" s="1017"/>
      <c r="DW150" s="1017"/>
      <c r="DX150" s="831"/>
      <c r="DY150" s="835"/>
      <c r="DZ150" s="835"/>
      <c r="EA150" s="835"/>
      <c r="EB150" s="835"/>
    </row>
    <row r="151" spans="1:132" s="105" customFormat="1" ht="12" hidden="1" customHeight="1">
      <c r="A151" s="68"/>
      <c r="B151" s="159" t="s">
        <v>106</v>
      </c>
      <c r="C151" s="76"/>
      <c r="D151" s="76"/>
      <c r="E151" s="76"/>
      <c r="F151" s="76"/>
      <c r="G151" s="76"/>
      <c r="H151" s="76"/>
      <c r="I151" s="76"/>
      <c r="J151" s="77"/>
      <c r="K151" s="77"/>
      <c r="L151" s="77"/>
      <c r="M151" s="77"/>
      <c r="N151" s="76">
        <v>12835</v>
      </c>
      <c r="O151" s="77">
        <v>3214</v>
      </c>
      <c r="P151" s="77">
        <v>3511</v>
      </c>
      <c r="Q151" s="77">
        <v>3031</v>
      </c>
      <c r="R151" s="77">
        <f>S151-SUM(O151:Q151)</f>
        <v>3754</v>
      </c>
      <c r="S151" s="76">
        <v>13510</v>
      </c>
      <c r="T151" s="77">
        <v>3147</v>
      </c>
      <c r="U151" s="77">
        <v>3411</v>
      </c>
      <c r="V151" s="77">
        <v>3474</v>
      </c>
      <c r="W151" s="77">
        <f>X151-SUM(T151:V151)</f>
        <v>4318</v>
      </c>
      <c r="X151" s="76">
        <v>14350</v>
      </c>
      <c r="Y151" s="77">
        <v>3281</v>
      </c>
      <c r="Z151" s="77">
        <v>3422</v>
      </c>
      <c r="AA151" s="77">
        <v>3360</v>
      </c>
      <c r="AB151" s="77">
        <f>AC151-SUM(Y151:AA151)</f>
        <v>3622</v>
      </c>
      <c r="AC151" s="76">
        <v>13685</v>
      </c>
      <c r="AD151" s="77">
        <v>3202</v>
      </c>
      <c r="AE151" s="77">
        <v>3265</v>
      </c>
      <c r="AF151" s="77">
        <v>3777</v>
      </c>
      <c r="AG151" s="86">
        <v>3166</v>
      </c>
      <c r="AH151" s="76">
        <v>13492</v>
      </c>
      <c r="AI151" s="77">
        <v>3010</v>
      </c>
      <c r="AJ151" s="77">
        <v>3363</v>
      </c>
      <c r="AK151" s="77">
        <v>3951</v>
      </c>
      <c r="AL151" s="77">
        <v>3733</v>
      </c>
      <c r="AM151" s="76">
        <f>SUM(AI151:AL151)</f>
        <v>14057</v>
      </c>
      <c r="AN151" s="77">
        <v>3241</v>
      </c>
      <c r="AO151" s="77">
        <v>3580</v>
      </c>
      <c r="AP151" s="77">
        <v>3790</v>
      </c>
      <c r="AQ151" s="77">
        <v>3627</v>
      </c>
      <c r="AR151" s="76">
        <f>SUM(AN151:AQ151)</f>
        <v>14238</v>
      </c>
      <c r="AS151" s="77">
        <v>3392</v>
      </c>
      <c r="AT151" s="77">
        <v>3642</v>
      </c>
      <c r="AU151" s="86">
        <v>3964</v>
      </c>
      <c r="AV151" s="562">
        <v>3949</v>
      </c>
      <c r="AW151" s="76">
        <f>SUM(AS151:AV151)</f>
        <v>14947</v>
      </c>
      <c r="AX151" s="77">
        <v>4308</v>
      </c>
      <c r="AY151" s="77">
        <v>4130</v>
      </c>
      <c r="AZ151" s="77">
        <v>3789</v>
      </c>
      <c r="BA151" s="562">
        <v>4157</v>
      </c>
      <c r="BB151" s="76">
        <f>SUM(AX151:BA151)</f>
        <v>16384</v>
      </c>
      <c r="BC151" s="562">
        <v>4109</v>
      </c>
      <c r="BD151" s="77">
        <v>3889</v>
      </c>
      <c r="BE151" s="77">
        <v>3543</v>
      </c>
      <c r="BF151" s="562">
        <v>4395</v>
      </c>
      <c r="BG151" s="76">
        <f>SUM(BC151:BF151)</f>
        <v>15936</v>
      </c>
      <c r="BH151" s="562">
        <v>3458</v>
      </c>
      <c r="BI151" s="704">
        <v>3523</v>
      </c>
      <c r="BJ151" s="77">
        <v>3537</v>
      </c>
      <c r="BK151" s="562">
        <v>2993</v>
      </c>
      <c r="BL151" s="76">
        <f>SUM(BH151:BK151)</f>
        <v>13511</v>
      </c>
      <c r="BM151" s="562">
        <v>2744</v>
      </c>
      <c r="BN151" s="704">
        <v>3488</v>
      </c>
      <c r="BO151" s="77">
        <v>4051</v>
      </c>
      <c r="BP151" s="562">
        <v>3199</v>
      </c>
      <c r="BQ151" s="76">
        <f>SUM(BM151:BP151)</f>
        <v>13482</v>
      </c>
      <c r="BR151" s="745">
        <v>3659</v>
      </c>
      <c r="BS151" s="798">
        <v>2979</v>
      </c>
      <c r="BT151" s="77">
        <v>3260</v>
      </c>
      <c r="BU151" s="562">
        <v>2617</v>
      </c>
      <c r="BV151" s="76">
        <f t="shared" si="514"/>
        <v>12515</v>
      </c>
      <c r="BW151" s="745">
        <v>2636</v>
      </c>
      <c r="BX151" s="798">
        <v>2904</v>
      </c>
      <c r="BY151" s="86"/>
      <c r="BZ151" s="745"/>
      <c r="CA151" s="871">
        <f t="shared" si="515"/>
        <v>5540</v>
      </c>
      <c r="CB151" s="958"/>
      <c r="CC151" s="959"/>
      <c r="CD151" s="960"/>
      <c r="CE151" s="958"/>
      <c r="CF151" s="871">
        <f t="shared" si="516"/>
        <v>0</v>
      </c>
      <c r="CG151" s="704"/>
      <c r="CH151" s="704"/>
      <c r="CI151" s="704"/>
      <c r="CJ151" s="704"/>
      <c r="CK151" s="871">
        <f t="shared" si="517"/>
        <v>0</v>
      </c>
      <c r="CL151" s="562"/>
      <c r="CM151" s="562"/>
      <c r="CN151" s="562"/>
      <c r="CO151" s="562"/>
      <c r="CP151" s="871">
        <f t="shared" si="518"/>
        <v>0</v>
      </c>
      <c r="CQ151" s="562"/>
      <c r="CR151" s="562"/>
      <c r="CS151" s="562"/>
      <c r="CT151" s="562"/>
      <c r="CU151" s="871">
        <f t="shared" si="519"/>
        <v>0</v>
      </c>
      <c r="CV151" s="562"/>
      <c r="CW151" s="562"/>
      <c r="CX151" s="562"/>
      <c r="CY151" s="562"/>
      <c r="CZ151" s="871">
        <f t="shared" si="520"/>
        <v>0</v>
      </c>
      <c r="DA151" s="562"/>
      <c r="DB151" s="562"/>
      <c r="DC151" s="562"/>
      <c r="DD151" s="562"/>
      <c r="DE151" s="871">
        <f t="shared" si="521"/>
        <v>0</v>
      </c>
      <c r="DG151" s="744"/>
      <c r="DH151" s="1049"/>
      <c r="DI151" s="562"/>
      <c r="DJ151" s="871">
        <f t="shared" si="522"/>
        <v>0</v>
      </c>
      <c r="DL151" s="744"/>
      <c r="DM151" s="744"/>
      <c r="DN151" s="562"/>
      <c r="DO151" s="871">
        <f t="shared" si="523"/>
        <v>0</v>
      </c>
      <c r="DP151" s="562"/>
      <c r="DQ151" s="1049"/>
      <c r="DS151" s="562"/>
      <c r="DT151" s="93"/>
      <c r="DX151" s="562"/>
      <c r="DY151" s="93"/>
      <c r="DZ151" s="93"/>
      <c r="EA151" s="93"/>
      <c r="EB151" s="93"/>
    </row>
    <row r="152" spans="1:132" s="105" customFormat="1" ht="12" hidden="1" customHeight="1">
      <c r="A152" s="68"/>
      <c r="B152" s="159" t="s">
        <v>107</v>
      </c>
      <c r="C152" s="76"/>
      <c r="D152" s="76"/>
      <c r="E152" s="76"/>
      <c r="F152" s="76"/>
      <c r="G152" s="76"/>
      <c r="H152" s="76"/>
      <c r="I152" s="76"/>
      <c r="J152" s="77"/>
      <c r="K152" s="77"/>
      <c r="L152" s="77"/>
      <c r="M152" s="77"/>
      <c r="N152" s="76">
        <v>13023</v>
      </c>
      <c r="O152" s="77">
        <v>3222</v>
      </c>
      <c r="P152" s="77">
        <v>3110</v>
      </c>
      <c r="Q152" s="77">
        <v>3036</v>
      </c>
      <c r="R152" s="77">
        <f>S152-SUM(O152:Q152)</f>
        <v>2886</v>
      </c>
      <c r="S152" s="76">
        <v>12254</v>
      </c>
      <c r="T152" s="77">
        <v>2752</v>
      </c>
      <c r="U152" s="77">
        <v>2947</v>
      </c>
      <c r="V152" s="77">
        <v>2856</v>
      </c>
      <c r="W152" s="77">
        <f>X152-SUM(T152:V152)</f>
        <v>3425</v>
      </c>
      <c r="X152" s="76">
        <v>11980</v>
      </c>
      <c r="Y152" s="77">
        <v>2856</v>
      </c>
      <c r="Z152" s="77">
        <v>2943</v>
      </c>
      <c r="AA152" s="77">
        <v>3006</v>
      </c>
      <c r="AB152" s="77">
        <f>AC152-SUM(Y152:AA152)</f>
        <v>2891</v>
      </c>
      <c r="AC152" s="76">
        <v>11696</v>
      </c>
      <c r="AD152" s="77">
        <v>2694</v>
      </c>
      <c r="AE152" s="77">
        <v>2804</v>
      </c>
      <c r="AF152" s="77">
        <v>2984</v>
      </c>
      <c r="AG152" s="86">
        <v>2869</v>
      </c>
      <c r="AH152" s="76">
        <v>11338</v>
      </c>
      <c r="AI152" s="77">
        <v>2678</v>
      </c>
      <c r="AJ152" s="77">
        <v>3103</v>
      </c>
      <c r="AK152" s="77">
        <v>2711</v>
      </c>
      <c r="AL152" s="77">
        <v>2385</v>
      </c>
      <c r="AM152" s="76">
        <f>SUM(AI152:AL152)</f>
        <v>10877</v>
      </c>
      <c r="AN152" s="77">
        <v>2323</v>
      </c>
      <c r="AO152" s="77">
        <v>2354</v>
      </c>
      <c r="AP152" s="77">
        <v>2344</v>
      </c>
      <c r="AQ152" s="77">
        <v>2434</v>
      </c>
      <c r="AR152" s="76">
        <f>SUM(AN152:AQ152)</f>
        <v>9455</v>
      </c>
      <c r="AS152" s="77">
        <v>2349</v>
      </c>
      <c r="AT152" s="77">
        <v>2081</v>
      </c>
      <c r="AU152" s="86">
        <v>2276</v>
      </c>
      <c r="AV152" s="562">
        <v>1967</v>
      </c>
      <c r="AW152" s="76">
        <f>SUM(AS152:AV152)</f>
        <v>8673</v>
      </c>
      <c r="AX152" s="77">
        <v>1795</v>
      </c>
      <c r="AY152" s="77">
        <v>1887</v>
      </c>
      <c r="AZ152" s="77">
        <v>1990</v>
      </c>
      <c r="BA152" s="562">
        <v>1912</v>
      </c>
      <c r="BB152" s="76">
        <f>SUM(AX152:BA152)</f>
        <v>7584</v>
      </c>
      <c r="BC152" s="562">
        <v>1960</v>
      </c>
      <c r="BD152" s="77">
        <v>2049</v>
      </c>
      <c r="BE152" s="77">
        <v>2231</v>
      </c>
      <c r="BF152" s="562">
        <v>2272</v>
      </c>
      <c r="BG152" s="76">
        <f>SUM(BC152:BF152)</f>
        <v>8512</v>
      </c>
      <c r="BH152" s="562">
        <v>1876</v>
      </c>
      <c r="BI152" s="704">
        <v>1920</v>
      </c>
      <c r="BJ152" s="77">
        <v>2027</v>
      </c>
      <c r="BK152" s="562">
        <v>2180</v>
      </c>
      <c r="BL152" s="76">
        <f>SUM(BH152:BK152)</f>
        <v>8003</v>
      </c>
      <c r="BM152" s="562">
        <v>1732</v>
      </c>
      <c r="BN152" s="704">
        <v>1938</v>
      </c>
      <c r="BO152" s="77">
        <v>2127</v>
      </c>
      <c r="BP152" s="562">
        <v>1954</v>
      </c>
      <c r="BQ152" s="76">
        <f>SUM(BM152:BP152)</f>
        <v>7751</v>
      </c>
      <c r="BR152" s="745">
        <v>1735</v>
      </c>
      <c r="BS152" s="798">
        <v>1810</v>
      </c>
      <c r="BT152" s="77">
        <v>1701</v>
      </c>
      <c r="BU152" s="562">
        <v>1800</v>
      </c>
      <c r="BV152" s="76">
        <f t="shared" si="514"/>
        <v>7046</v>
      </c>
      <c r="BW152" s="745">
        <v>1564</v>
      </c>
      <c r="BX152" s="798">
        <v>1674</v>
      </c>
      <c r="BY152" s="86"/>
      <c r="BZ152" s="745"/>
      <c r="CA152" s="871">
        <f t="shared" si="515"/>
        <v>3238</v>
      </c>
      <c r="CB152" s="958"/>
      <c r="CC152" s="959"/>
      <c r="CD152" s="960"/>
      <c r="CE152" s="958"/>
      <c r="CF152" s="871">
        <f t="shared" si="516"/>
        <v>0</v>
      </c>
      <c r="CG152" s="704"/>
      <c r="CH152" s="704"/>
      <c r="CI152" s="704"/>
      <c r="CJ152" s="704"/>
      <c r="CK152" s="871">
        <f t="shared" si="517"/>
        <v>0</v>
      </c>
      <c r="CL152" s="562"/>
      <c r="CM152" s="562"/>
      <c r="CN152" s="562"/>
      <c r="CO152" s="562"/>
      <c r="CP152" s="871">
        <f t="shared" si="518"/>
        <v>0</v>
      </c>
      <c r="CQ152" s="562"/>
      <c r="CR152" s="562"/>
      <c r="CS152" s="562"/>
      <c r="CT152" s="562"/>
      <c r="CU152" s="871">
        <f t="shared" si="519"/>
        <v>0</v>
      </c>
      <c r="CV152" s="562"/>
      <c r="CW152" s="562"/>
      <c r="CX152" s="562"/>
      <c r="CY152" s="562"/>
      <c r="CZ152" s="871">
        <f t="shared" si="520"/>
        <v>0</v>
      </c>
      <c r="DA152" s="562"/>
      <c r="DB152" s="562"/>
      <c r="DC152" s="562"/>
      <c r="DD152" s="562"/>
      <c r="DE152" s="871">
        <f t="shared" si="521"/>
        <v>0</v>
      </c>
      <c r="DG152" s="744"/>
      <c r="DH152" s="1049"/>
      <c r="DI152" s="562"/>
      <c r="DJ152" s="871">
        <f t="shared" si="522"/>
        <v>0</v>
      </c>
      <c r="DL152" s="744"/>
      <c r="DM152" s="744"/>
      <c r="DN152" s="562"/>
      <c r="DO152" s="871">
        <f t="shared" si="523"/>
        <v>0</v>
      </c>
      <c r="DP152" s="562"/>
      <c r="DQ152" s="1049"/>
      <c r="DS152" s="562"/>
      <c r="DT152" s="93"/>
      <c r="DX152" s="562"/>
      <c r="DY152" s="93"/>
      <c r="DZ152" s="93"/>
      <c r="EA152" s="93"/>
      <c r="EB152" s="93"/>
    </row>
    <row r="153" spans="1:132" s="105" customFormat="1" ht="12" hidden="1" customHeight="1">
      <c r="A153" s="68"/>
      <c r="B153" s="836" t="s">
        <v>108</v>
      </c>
      <c r="C153" s="76"/>
      <c r="D153" s="76"/>
      <c r="E153" s="76"/>
      <c r="F153" s="76"/>
      <c r="G153" s="76"/>
      <c r="H153" s="76"/>
      <c r="I153" s="76"/>
      <c r="J153" s="103"/>
      <c r="K153" s="103"/>
      <c r="L153" s="103"/>
      <c r="M153" s="103"/>
      <c r="N153" s="76">
        <v>4881</v>
      </c>
      <c r="O153" s="103">
        <v>1170</v>
      </c>
      <c r="P153" s="103">
        <v>1183</v>
      </c>
      <c r="Q153" s="103">
        <v>1401</v>
      </c>
      <c r="R153" s="103">
        <f>S153-SUM(O153:Q153)</f>
        <v>1588</v>
      </c>
      <c r="S153" s="76">
        <v>5342</v>
      </c>
      <c r="T153" s="103">
        <v>1287</v>
      </c>
      <c r="U153" s="103">
        <v>1416</v>
      </c>
      <c r="V153" s="103">
        <v>1462</v>
      </c>
      <c r="W153" s="103">
        <f>X153-SUM(T153:V153)</f>
        <v>1944</v>
      </c>
      <c r="X153" s="76">
        <v>6109</v>
      </c>
      <c r="Y153" s="103">
        <v>1584</v>
      </c>
      <c r="Z153" s="103">
        <v>1616</v>
      </c>
      <c r="AA153" s="103">
        <v>1642</v>
      </c>
      <c r="AB153" s="103">
        <f>AC153-SUM(Y153:AA153)</f>
        <v>1857</v>
      </c>
      <c r="AC153" s="76">
        <v>6699</v>
      </c>
      <c r="AD153" s="103">
        <v>1679</v>
      </c>
      <c r="AE153" s="103">
        <v>1865</v>
      </c>
      <c r="AF153" s="103">
        <v>1736</v>
      </c>
      <c r="AG153" s="288">
        <v>2016</v>
      </c>
      <c r="AH153" s="76">
        <v>7217</v>
      </c>
      <c r="AI153" s="103">
        <v>2032</v>
      </c>
      <c r="AJ153" s="103">
        <v>2184</v>
      </c>
      <c r="AK153" s="103">
        <v>2082</v>
      </c>
      <c r="AL153" s="103">
        <v>2429</v>
      </c>
      <c r="AM153" s="76">
        <f>SUM(AI153:AL153)</f>
        <v>8727</v>
      </c>
      <c r="AN153" s="103">
        <v>2049</v>
      </c>
      <c r="AO153" s="103">
        <v>2049</v>
      </c>
      <c r="AP153" s="103">
        <v>2048</v>
      </c>
      <c r="AQ153" s="103">
        <v>2104</v>
      </c>
      <c r="AR153" s="76">
        <f>SUM(AN153:AQ153)</f>
        <v>8250</v>
      </c>
      <c r="AS153" s="103">
        <v>1876</v>
      </c>
      <c r="AT153" s="103">
        <v>1965</v>
      </c>
      <c r="AU153" s="288">
        <v>1960</v>
      </c>
      <c r="AV153" s="837">
        <v>2555</v>
      </c>
      <c r="AW153" s="76">
        <f>SUM(AS153:AV153)</f>
        <v>8356</v>
      </c>
      <c r="AX153" s="103">
        <v>2130</v>
      </c>
      <c r="AY153" s="103">
        <v>2175</v>
      </c>
      <c r="AZ153" s="103">
        <v>2060</v>
      </c>
      <c r="BA153" s="837">
        <v>2274</v>
      </c>
      <c r="BB153" s="76">
        <f>SUM(AX153:BA153)</f>
        <v>8639</v>
      </c>
      <c r="BC153" s="837">
        <v>2041</v>
      </c>
      <c r="BD153" s="103">
        <v>2248</v>
      </c>
      <c r="BE153" s="103">
        <v>2272</v>
      </c>
      <c r="BF153" s="837">
        <v>2188</v>
      </c>
      <c r="BG153" s="76">
        <f>SUM(BC153:BF153)</f>
        <v>8749</v>
      </c>
      <c r="BH153" s="837">
        <v>2299</v>
      </c>
      <c r="BI153" s="838">
        <v>2304</v>
      </c>
      <c r="BJ153" s="103">
        <v>2349</v>
      </c>
      <c r="BK153" s="837">
        <v>2415</v>
      </c>
      <c r="BL153" s="76">
        <f>SUM(BH153:BK153)</f>
        <v>9367</v>
      </c>
      <c r="BM153" s="837">
        <v>2233</v>
      </c>
      <c r="BN153" s="838">
        <v>2118</v>
      </c>
      <c r="BO153" s="103">
        <v>2172</v>
      </c>
      <c r="BP153" s="837">
        <v>2632</v>
      </c>
      <c r="BQ153" s="76">
        <f>SUM(BM153:BP153)</f>
        <v>9155</v>
      </c>
      <c r="BR153" s="839">
        <v>2562</v>
      </c>
      <c r="BS153" s="840">
        <v>2385</v>
      </c>
      <c r="BT153" s="103">
        <v>2547</v>
      </c>
      <c r="BU153" s="837">
        <v>2443</v>
      </c>
      <c r="BV153" s="76">
        <f t="shared" si="514"/>
        <v>9937</v>
      </c>
      <c r="BW153" s="839">
        <v>2332</v>
      </c>
      <c r="BX153" s="840">
        <v>2308</v>
      </c>
      <c r="BY153" s="288"/>
      <c r="BZ153" s="839"/>
      <c r="CA153" s="871">
        <f t="shared" si="515"/>
        <v>4640</v>
      </c>
      <c r="CB153" s="961"/>
      <c r="CC153" s="962"/>
      <c r="CD153" s="963"/>
      <c r="CE153" s="961"/>
      <c r="CF153" s="871">
        <f t="shared" si="516"/>
        <v>0</v>
      </c>
      <c r="CG153" s="838"/>
      <c r="CH153" s="838"/>
      <c r="CI153" s="838"/>
      <c r="CJ153" s="838"/>
      <c r="CK153" s="871">
        <f t="shared" si="517"/>
        <v>0</v>
      </c>
      <c r="CL153" s="837"/>
      <c r="CM153" s="837"/>
      <c r="CN153" s="837"/>
      <c r="CO153" s="837"/>
      <c r="CP153" s="871">
        <f t="shared" si="518"/>
        <v>0</v>
      </c>
      <c r="CQ153" s="837"/>
      <c r="CR153" s="837"/>
      <c r="CS153" s="837"/>
      <c r="CT153" s="837"/>
      <c r="CU153" s="871">
        <f t="shared" si="519"/>
        <v>0</v>
      </c>
      <c r="CV153" s="837"/>
      <c r="CW153" s="837"/>
      <c r="CX153" s="837"/>
      <c r="CY153" s="837"/>
      <c r="CZ153" s="871">
        <f t="shared" si="520"/>
        <v>0</v>
      </c>
      <c r="DA153" s="837"/>
      <c r="DB153" s="837"/>
      <c r="DC153" s="837"/>
      <c r="DD153" s="837"/>
      <c r="DE153" s="871">
        <f t="shared" si="521"/>
        <v>0</v>
      </c>
      <c r="DG153" s="1049"/>
      <c r="DH153" s="1049"/>
      <c r="DI153" s="837"/>
      <c r="DJ153" s="871">
        <f t="shared" si="522"/>
        <v>0</v>
      </c>
      <c r="DL153" s="1049"/>
      <c r="DM153" s="1049"/>
      <c r="DN153" s="837"/>
      <c r="DO153" s="871">
        <f t="shared" si="523"/>
        <v>0</v>
      </c>
      <c r="DP153" s="837"/>
      <c r="DQ153" s="1049"/>
      <c r="DS153" s="837"/>
      <c r="DT153" s="93"/>
      <c r="DX153" s="837"/>
      <c r="DY153" s="93"/>
      <c r="DZ153" s="93"/>
      <c r="EA153" s="93"/>
      <c r="EB153" s="93"/>
    </row>
    <row r="154" spans="1:132" s="105" customFormat="1" ht="12" hidden="1" customHeight="1">
      <c r="A154" s="68"/>
      <c r="B154" s="159" t="s">
        <v>130</v>
      </c>
      <c r="C154" s="76"/>
      <c r="D154" s="76"/>
      <c r="E154" s="76"/>
      <c r="F154" s="76"/>
      <c r="G154" s="76">
        <v>9575</v>
      </c>
      <c r="H154" s="76">
        <v>10569</v>
      </c>
      <c r="I154" s="76">
        <v>10766</v>
      </c>
      <c r="J154" s="77">
        <v>3021</v>
      </c>
      <c r="K154" s="77">
        <v>2666</v>
      </c>
      <c r="L154" s="77">
        <v>3077</v>
      </c>
      <c r="M154" s="77">
        <f>N154-L154-K154-J154</f>
        <v>2630</v>
      </c>
      <c r="N154" s="76">
        <v>11394</v>
      </c>
      <c r="O154" s="77">
        <v>2693</v>
      </c>
      <c r="P154" s="77">
        <v>3078</v>
      </c>
      <c r="Q154" s="77">
        <v>2574</v>
      </c>
      <c r="R154" s="77">
        <f>S154-Q154-P154-O154</f>
        <v>3099</v>
      </c>
      <c r="S154" s="76">
        <v>11444</v>
      </c>
      <c r="T154" s="77"/>
      <c r="U154" s="77"/>
      <c r="V154" s="77"/>
      <c r="W154" s="77"/>
      <c r="X154" s="76"/>
      <c r="Y154" s="77"/>
      <c r="Z154" s="77"/>
      <c r="AA154" s="77"/>
      <c r="AB154" s="77"/>
      <c r="AC154" s="76"/>
      <c r="AD154" s="77"/>
      <c r="AE154" s="77"/>
      <c r="AF154" s="77"/>
      <c r="AG154" s="77"/>
      <c r="AH154" s="76"/>
      <c r="AI154" s="77"/>
      <c r="AJ154" s="77"/>
      <c r="AK154" s="77"/>
      <c r="AL154" s="75"/>
      <c r="AM154" s="76"/>
      <c r="AN154" s="77"/>
      <c r="AO154" s="77"/>
      <c r="AP154" s="77"/>
      <c r="AQ154" s="75"/>
      <c r="AR154" s="76"/>
      <c r="AS154" s="77"/>
      <c r="AT154" s="77"/>
      <c r="AU154" s="77"/>
      <c r="AV154" s="562"/>
      <c r="AW154" s="76"/>
      <c r="AX154" s="77"/>
      <c r="AY154" s="77"/>
      <c r="AZ154" s="77"/>
      <c r="BA154" s="562"/>
      <c r="BB154" s="76"/>
      <c r="BC154" s="562"/>
      <c r="BD154" s="77"/>
      <c r="BE154" s="77"/>
      <c r="BF154" s="562"/>
      <c r="BG154" s="76"/>
      <c r="BH154" s="562"/>
      <c r="BI154" s="704"/>
      <c r="BJ154" s="77"/>
      <c r="BK154" s="562"/>
      <c r="BL154" s="76"/>
      <c r="BM154" s="562"/>
      <c r="BN154" s="704"/>
      <c r="BO154" s="77"/>
      <c r="BP154" s="562"/>
      <c r="BQ154" s="76"/>
      <c r="BR154" s="562"/>
      <c r="BS154" s="798"/>
      <c r="BT154" s="77"/>
      <c r="BU154" s="562"/>
      <c r="BV154" s="76"/>
      <c r="BW154" s="745"/>
      <c r="BX154" s="798"/>
      <c r="BY154" s="86"/>
      <c r="BZ154" s="745"/>
      <c r="CA154" s="871"/>
      <c r="CB154" s="958"/>
      <c r="CC154" s="959"/>
      <c r="CD154" s="960"/>
      <c r="CE154" s="958"/>
      <c r="CF154" s="871"/>
      <c r="CG154" s="704"/>
      <c r="CH154" s="704"/>
      <c r="CI154" s="704"/>
      <c r="CJ154" s="704"/>
      <c r="CK154" s="871"/>
      <c r="CL154" s="562"/>
      <c r="CM154" s="562"/>
      <c r="CN154" s="562"/>
      <c r="CO154" s="562"/>
      <c r="CP154" s="871"/>
      <c r="CQ154" s="562"/>
      <c r="CR154" s="562"/>
      <c r="CS154" s="562"/>
      <c r="CT154" s="562"/>
      <c r="CU154" s="871"/>
      <c r="CV154" s="562"/>
      <c r="CW154" s="562"/>
      <c r="CX154" s="562"/>
      <c r="CY154" s="562"/>
      <c r="CZ154" s="871"/>
      <c r="DA154" s="562"/>
      <c r="DB154" s="562"/>
      <c r="DC154" s="562"/>
      <c r="DD154" s="562"/>
      <c r="DE154" s="871"/>
      <c r="DG154" s="744"/>
      <c r="DH154" s="1049"/>
      <c r="DI154" s="562"/>
      <c r="DJ154" s="871"/>
      <c r="DL154" s="744"/>
      <c r="DM154" s="744"/>
      <c r="DN154" s="562"/>
      <c r="DO154" s="871"/>
      <c r="DP154" s="562"/>
      <c r="DQ154" s="1049"/>
      <c r="DS154" s="562"/>
      <c r="DT154" s="93"/>
      <c r="DX154" s="562"/>
      <c r="DY154" s="93"/>
      <c r="DZ154" s="93"/>
      <c r="EA154" s="93"/>
      <c r="EB154" s="93"/>
    </row>
    <row r="155" spans="1:132" s="105" customFormat="1" ht="12" hidden="1" customHeight="1">
      <c r="A155" s="68"/>
      <c r="B155" s="159" t="s">
        <v>131</v>
      </c>
      <c r="C155" s="76"/>
      <c r="D155" s="76"/>
      <c r="E155" s="76"/>
      <c r="F155" s="76"/>
      <c r="G155" s="76">
        <v>5972</v>
      </c>
      <c r="H155" s="76">
        <v>8113</v>
      </c>
      <c r="I155" s="76">
        <v>9384</v>
      </c>
      <c r="J155" s="77">
        <v>2481</v>
      </c>
      <c r="K155" s="77">
        <v>2725</v>
      </c>
      <c r="L155" s="77">
        <v>3233</v>
      </c>
      <c r="M155" s="77">
        <f>N155-L155-K155-J155</f>
        <v>2993</v>
      </c>
      <c r="N155" s="76">
        <v>11432</v>
      </c>
      <c r="O155" s="77">
        <v>2878</v>
      </c>
      <c r="P155" s="77">
        <v>2759</v>
      </c>
      <c r="Q155" s="77">
        <v>2737</v>
      </c>
      <c r="R155" s="77">
        <f>S155-Q155-P155-O155</f>
        <v>2890</v>
      </c>
      <c r="S155" s="76">
        <v>11264</v>
      </c>
      <c r="T155" s="77"/>
      <c r="U155" s="77"/>
      <c r="V155" s="77"/>
      <c r="W155" s="77"/>
      <c r="X155" s="76"/>
      <c r="Y155" s="77"/>
      <c r="Z155" s="77"/>
      <c r="AA155" s="77"/>
      <c r="AB155" s="77"/>
      <c r="AC155" s="76"/>
      <c r="AD155" s="77"/>
      <c r="AE155" s="77"/>
      <c r="AF155" s="77"/>
      <c r="AG155" s="77"/>
      <c r="AH155" s="76"/>
      <c r="AI155" s="77"/>
      <c r="AJ155" s="77"/>
      <c r="AK155" s="77"/>
      <c r="AL155" s="75"/>
      <c r="AM155" s="76"/>
      <c r="AN155" s="77"/>
      <c r="AO155" s="77"/>
      <c r="AP155" s="77"/>
      <c r="AQ155" s="75"/>
      <c r="AR155" s="76"/>
      <c r="AS155" s="77"/>
      <c r="AT155" s="77"/>
      <c r="AU155" s="77"/>
      <c r="AV155" s="562"/>
      <c r="AW155" s="76"/>
      <c r="AX155" s="77"/>
      <c r="AY155" s="77"/>
      <c r="AZ155" s="77"/>
      <c r="BA155" s="562"/>
      <c r="BB155" s="76"/>
      <c r="BC155" s="562"/>
      <c r="BD155" s="77"/>
      <c r="BE155" s="77"/>
      <c r="BF155" s="562"/>
      <c r="BG155" s="76"/>
      <c r="BH155" s="562"/>
      <c r="BI155" s="704"/>
      <c r="BJ155" s="77"/>
      <c r="BK155" s="562"/>
      <c r="BL155" s="76"/>
      <c r="BM155" s="562"/>
      <c r="BN155" s="704"/>
      <c r="BO155" s="77"/>
      <c r="BP155" s="562"/>
      <c r="BQ155" s="76"/>
      <c r="BR155" s="562"/>
      <c r="BS155" s="798"/>
      <c r="BT155" s="77"/>
      <c r="BU155" s="562"/>
      <c r="BV155" s="76"/>
      <c r="BW155" s="745"/>
      <c r="BX155" s="798"/>
      <c r="BY155" s="86"/>
      <c r="BZ155" s="745"/>
      <c r="CA155" s="871"/>
      <c r="CB155" s="958"/>
      <c r="CC155" s="959"/>
      <c r="CD155" s="960"/>
      <c r="CE155" s="958"/>
      <c r="CF155" s="871"/>
      <c r="CG155" s="704"/>
      <c r="CH155" s="704"/>
      <c r="CI155" s="704"/>
      <c r="CJ155" s="704"/>
      <c r="CK155" s="871"/>
      <c r="CL155" s="562"/>
      <c r="CM155" s="562"/>
      <c r="CN155" s="562"/>
      <c r="CO155" s="562"/>
      <c r="CP155" s="871"/>
      <c r="CQ155" s="562"/>
      <c r="CR155" s="562"/>
      <c r="CS155" s="562"/>
      <c r="CT155" s="562"/>
      <c r="CU155" s="871"/>
      <c r="CV155" s="562"/>
      <c r="CW155" s="562"/>
      <c r="CX155" s="562"/>
      <c r="CY155" s="562"/>
      <c r="CZ155" s="871"/>
      <c r="DA155" s="562"/>
      <c r="DB155" s="562"/>
      <c r="DC155" s="562"/>
      <c r="DD155" s="562"/>
      <c r="DE155" s="871"/>
      <c r="DG155" s="744"/>
      <c r="DH155" s="1049"/>
      <c r="DI155" s="562"/>
      <c r="DJ155" s="871"/>
      <c r="DL155" s="744"/>
      <c r="DM155" s="744"/>
      <c r="DN155" s="562"/>
      <c r="DO155" s="871"/>
      <c r="DP155" s="562"/>
      <c r="DQ155" s="1049"/>
      <c r="DS155" s="562"/>
      <c r="DT155" s="93"/>
      <c r="DX155" s="562"/>
      <c r="DY155" s="93"/>
      <c r="DZ155" s="93"/>
      <c r="EA155" s="93"/>
      <c r="EB155" s="93"/>
    </row>
    <row r="156" spans="1:132" s="105" customFormat="1" ht="12" hidden="1" customHeight="1">
      <c r="A156" s="68"/>
      <c r="B156" s="159" t="s">
        <v>125</v>
      </c>
      <c r="C156" s="76"/>
      <c r="D156" s="76"/>
      <c r="E156" s="76"/>
      <c r="F156" s="76"/>
      <c r="G156" s="76">
        <v>2931</v>
      </c>
      <c r="H156" s="76">
        <v>3484</v>
      </c>
      <c r="I156" s="76">
        <v>4219</v>
      </c>
      <c r="J156" s="77">
        <v>1107</v>
      </c>
      <c r="K156" s="77">
        <v>1099</v>
      </c>
      <c r="L156" s="77">
        <v>1127</v>
      </c>
      <c r="M156" s="77">
        <f>N156-L156-K156-J156</f>
        <v>1337</v>
      </c>
      <c r="N156" s="76">
        <v>4670</v>
      </c>
      <c r="O156" s="77">
        <v>1170</v>
      </c>
      <c r="P156" s="77">
        <v>1183</v>
      </c>
      <c r="Q156" s="77">
        <v>1401</v>
      </c>
      <c r="R156" s="77">
        <f>S156-Q156-P156-O156</f>
        <v>1588</v>
      </c>
      <c r="S156" s="76">
        <v>5342</v>
      </c>
      <c r="T156" s="77"/>
      <c r="U156" s="77"/>
      <c r="V156" s="77"/>
      <c r="W156" s="77"/>
      <c r="X156" s="76"/>
      <c r="Y156" s="77"/>
      <c r="Z156" s="77"/>
      <c r="AA156" s="77"/>
      <c r="AB156" s="77"/>
      <c r="AC156" s="76"/>
      <c r="AD156" s="77"/>
      <c r="AE156" s="77"/>
      <c r="AF156" s="77"/>
      <c r="AG156" s="77"/>
      <c r="AH156" s="76"/>
      <c r="AI156" s="77"/>
      <c r="AJ156" s="77"/>
      <c r="AK156" s="77"/>
      <c r="AL156" s="75"/>
      <c r="AM156" s="76"/>
      <c r="AN156" s="77"/>
      <c r="AO156" s="77"/>
      <c r="AP156" s="77"/>
      <c r="AQ156" s="75"/>
      <c r="AR156" s="76"/>
      <c r="AS156" s="77"/>
      <c r="AT156" s="77"/>
      <c r="AU156" s="77"/>
      <c r="AV156" s="562"/>
      <c r="AW156" s="76"/>
      <c r="AX156" s="77"/>
      <c r="AY156" s="77"/>
      <c r="AZ156" s="77"/>
      <c r="BA156" s="562"/>
      <c r="BB156" s="76"/>
      <c r="BC156" s="562"/>
      <c r="BD156" s="77"/>
      <c r="BE156" s="77"/>
      <c r="BF156" s="562"/>
      <c r="BG156" s="76"/>
      <c r="BH156" s="562"/>
      <c r="BI156" s="704"/>
      <c r="BJ156" s="77"/>
      <c r="BK156" s="562"/>
      <c r="BL156" s="76"/>
      <c r="BM156" s="562"/>
      <c r="BN156" s="704"/>
      <c r="BO156" s="77"/>
      <c r="BP156" s="562"/>
      <c r="BQ156" s="76"/>
      <c r="BR156" s="562"/>
      <c r="BS156" s="798"/>
      <c r="BT156" s="77"/>
      <c r="BU156" s="562"/>
      <c r="BV156" s="76"/>
      <c r="BW156" s="745"/>
      <c r="BX156" s="798"/>
      <c r="BY156" s="86"/>
      <c r="BZ156" s="745"/>
      <c r="CA156" s="871"/>
      <c r="CB156" s="958"/>
      <c r="CC156" s="959"/>
      <c r="CD156" s="960"/>
      <c r="CE156" s="958"/>
      <c r="CF156" s="871"/>
      <c r="CG156" s="704"/>
      <c r="CH156" s="704"/>
      <c r="CI156" s="704"/>
      <c r="CJ156" s="704"/>
      <c r="CK156" s="871"/>
      <c r="CL156" s="562"/>
      <c r="CM156" s="562"/>
      <c r="CN156" s="562"/>
      <c r="CO156" s="562"/>
      <c r="CP156" s="871"/>
      <c r="CQ156" s="562"/>
      <c r="CR156" s="562"/>
      <c r="CS156" s="562"/>
      <c r="CT156" s="562"/>
      <c r="CU156" s="871"/>
      <c r="CV156" s="562"/>
      <c r="CW156" s="562"/>
      <c r="CX156" s="562"/>
      <c r="CY156" s="562"/>
      <c r="CZ156" s="871"/>
      <c r="DA156" s="562"/>
      <c r="DB156" s="562"/>
      <c r="DC156" s="562"/>
      <c r="DD156" s="562"/>
      <c r="DE156" s="871"/>
      <c r="DG156" s="744"/>
      <c r="DH156" s="1049"/>
      <c r="DI156" s="562"/>
      <c r="DJ156" s="871"/>
      <c r="DL156" s="744"/>
      <c r="DM156" s="744"/>
      <c r="DN156" s="562"/>
      <c r="DO156" s="871"/>
      <c r="DP156" s="562"/>
      <c r="DQ156" s="1049"/>
      <c r="DS156" s="562"/>
      <c r="DT156" s="93"/>
      <c r="DX156" s="562"/>
      <c r="DY156" s="93"/>
      <c r="DZ156" s="93"/>
      <c r="EA156" s="93"/>
      <c r="EB156" s="93"/>
    </row>
    <row r="157" spans="1:132" s="105" customFormat="1" ht="12" hidden="1" customHeight="1">
      <c r="A157" s="68"/>
      <c r="B157" s="161" t="s">
        <v>132</v>
      </c>
      <c r="C157" s="87"/>
      <c r="D157" s="87"/>
      <c r="E157" s="87"/>
      <c r="F157" s="87"/>
      <c r="G157" s="87">
        <v>4337</v>
      </c>
      <c r="H157" s="87">
        <v>2791</v>
      </c>
      <c r="I157" s="87">
        <v>2992</v>
      </c>
      <c r="J157" s="88">
        <v>808</v>
      </c>
      <c r="K157" s="88">
        <v>672</v>
      </c>
      <c r="L157" s="88">
        <v>822</v>
      </c>
      <c r="M157" s="88">
        <f>N157-L157-K157-J157</f>
        <v>667</v>
      </c>
      <c r="N157" s="87">
        <v>2969</v>
      </c>
      <c r="O157" s="88">
        <v>802</v>
      </c>
      <c r="P157" s="88">
        <v>722</v>
      </c>
      <c r="Q157" s="88">
        <v>669</v>
      </c>
      <c r="R157" s="88">
        <f>S157-Q157-P157-O157</f>
        <v>548</v>
      </c>
      <c r="S157" s="87">
        <v>2741</v>
      </c>
      <c r="T157" s="88"/>
      <c r="U157" s="88"/>
      <c r="V157" s="88"/>
      <c r="W157" s="88"/>
      <c r="X157" s="87"/>
      <c r="Y157" s="88"/>
      <c r="Z157" s="88"/>
      <c r="AA157" s="88"/>
      <c r="AB157" s="88"/>
      <c r="AC157" s="87"/>
      <c r="AD157" s="88"/>
      <c r="AE157" s="88"/>
      <c r="AF157" s="88"/>
      <c r="AG157" s="89"/>
      <c r="AH157" s="87"/>
      <c r="AI157" s="88"/>
      <c r="AJ157" s="88"/>
      <c r="AK157" s="88"/>
      <c r="AL157" s="173"/>
      <c r="AM157" s="87"/>
      <c r="AN157" s="88"/>
      <c r="AO157" s="88"/>
      <c r="AP157" s="88"/>
      <c r="AQ157" s="173"/>
      <c r="AR157" s="87"/>
      <c r="AS157" s="88"/>
      <c r="AT157" s="88"/>
      <c r="AU157" s="88"/>
      <c r="AV157" s="563"/>
      <c r="AW157" s="87"/>
      <c r="AX157" s="88"/>
      <c r="AY157" s="88"/>
      <c r="AZ157" s="88"/>
      <c r="BA157" s="563"/>
      <c r="BB157" s="87"/>
      <c r="BC157" s="563"/>
      <c r="BD157" s="88"/>
      <c r="BE157" s="88"/>
      <c r="BF157" s="563"/>
      <c r="BG157" s="87"/>
      <c r="BH157" s="563"/>
      <c r="BI157" s="705"/>
      <c r="BJ157" s="88"/>
      <c r="BK157" s="563"/>
      <c r="BL157" s="87"/>
      <c r="BM157" s="563"/>
      <c r="BN157" s="705"/>
      <c r="BO157" s="88"/>
      <c r="BP157" s="563"/>
      <c r="BQ157" s="87"/>
      <c r="BR157" s="563"/>
      <c r="BS157" s="799"/>
      <c r="BT157" s="88"/>
      <c r="BU157" s="563"/>
      <c r="BV157" s="87"/>
      <c r="BW157" s="746"/>
      <c r="BX157" s="799"/>
      <c r="BY157" s="89"/>
      <c r="BZ157" s="746"/>
      <c r="CA157" s="904"/>
      <c r="CB157" s="964"/>
      <c r="CC157" s="965"/>
      <c r="CD157" s="966"/>
      <c r="CE157" s="964"/>
      <c r="CF157" s="904"/>
      <c r="CG157" s="705"/>
      <c r="CH157" s="705"/>
      <c r="CI157" s="705"/>
      <c r="CJ157" s="705"/>
      <c r="CK157" s="904"/>
      <c r="CL157" s="563"/>
      <c r="CM157" s="563"/>
      <c r="CN157" s="563"/>
      <c r="CO157" s="563"/>
      <c r="CP157" s="904"/>
      <c r="CQ157" s="563"/>
      <c r="CR157" s="563"/>
      <c r="CS157" s="563"/>
      <c r="CT157" s="563"/>
      <c r="CU157" s="904"/>
      <c r="CV157" s="563"/>
      <c r="CW157" s="563"/>
      <c r="CX157" s="563"/>
      <c r="CY157" s="563"/>
      <c r="CZ157" s="904"/>
      <c r="DA157" s="563"/>
      <c r="DB157" s="563"/>
      <c r="DC157" s="563"/>
      <c r="DD157" s="563"/>
      <c r="DE157" s="904"/>
      <c r="DF157" s="173"/>
      <c r="DG157" s="1050"/>
      <c r="DH157" s="1050"/>
      <c r="DI157" s="563"/>
      <c r="DJ157" s="904"/>
      <c r="DK157" s="173"/>
      <c r="DL157" s="1050"/>
      <c r="DM157" s="1050"/>
      <c r="DN157" s="563"/>
      <c r="DO157" s="904"/>
      <c r="DP157" s="563"/>
      <c r="DQ157" s="1050"/>
      <c r="DR157" s="173"/>
      <c r="DS157" s="563"/>
      <c r="DT157" s="172"/>
      <c r="DU157" s="173"/>
      <c r="DV157" s="173"/>
      <c r="DW157" s="173"/>
      <c r="DX157" s="563"/>
      <c r="DY157" s="172"/>
      <c r="DZ157" s="172"/>
      <c r="EA157" s="172"/>
      <c r="EB157" s="172"/>
    </row>
    <row r="158" spans="1:132" s="105" customFormat="1" ht="12" hidden="1" customHeight="1">
      <c r="A158" s="68"/>
      <c r="B158" s="159" t="s">
        <v>133</v>
      </c>
      <c r="C158" s="76"/>
      <c r="D158" s="76">
        <v>12990</v>
      </c>
      <c r="E158" s="76">
        <v>12220</v>
      </c>
      <c r="F158" s="76">
        <v>12197</v>
      </c>
      <c r="G158" s="76">
        <v>12451</v>
      </c>
      <c r="H158" s="76">
        <v>13990</v>
      </c>
      <c r="I158" s="76"/>
      <c r="J158" s="77"/>
      <c r="K158" s="77"/>
      <c r="L158" s="77"/>
      <c r="M158" s="77"/>
      <c r="N158" s="76"/>
      <c r="O158" s="77"/>
      <c r="P158" s="77"/>
      <c r="Q158" s="77"/>
      <c r="R158" s="77"/>
      <c r="S158" s="76"/>
      <c r="T158" s="77"/>
      <c r="U158" s="77"/>
      <c r="V158" s="77"/>
      <c r="W158" s="77"/>
      <c r="X158" s="76"/>
      <c r="Y158" s="77"/>
      <c r="Z158" s="77"/>
      <c r="AA158" s="77"/>
      <c r="AB158" s="77"/>
      <c r="AC158" s="76"/>
      <c r="AD158" s="77"/>
      <c r="AE158" s="77"/>
      <c r="AF158" s="77"/>
      <c r="AG158" s="77"/>
      <c r="AH158" s="76"/>
      <c r="AI158" s="77"/>
      <c r="AJ158" s="77"/>
      <c r="AK158" s="77"/>
      <c r="AL158" s="75"/>
      <c r="AM158" s="76"/>
      <c r="AN158" s="77"/>
      <c r="AO158" s="77"/>
      <c r="AP158" s="77"/>
      <c r="AQ158" s="75"/>
      <c r="AR158" s="76"/>
      <c r="AS158" s="77"/>
      <c r="AT158" s="77"/>
      <c r="AU158" s="77"/>
      <c r="AV158" s="562"/>
      <c r="AW158" s="76"/>
      <c r="AX158" s="77"/>
      <c r="AY158" s="77"/>
      <c r="AZ158" s="77"/>
      <c r="BA158" s="562"/>
      <c r="BB158" s="76"/>
      <c r="BC158" s="562"/>
      <c r="BD158" s="77"/>
      <c r="BE158" s="77"/>
      <c r="BF158" s="562"/>
      <c r="BG158" s="76"/>
      <c r="BH158" s="562"/>
      <c r="BI158" s="704"/>
      <c r="BJ158" s="77"/>
      <c r="BK158" s="562"/>
      <c r="BL158" s="76"/>
      <c r="BM158" s="562"/>
      <c r="BN158" s="704"/>
      <c r="BO158" s="77"/>
      <c r="BP158" s="562"/>
      <c r="BQ158" s="76"/>
      <c r="BR158" s="562"/>
      <c r="BS158" s="798"/>
      <c r="BT158" s="77"/>
      <c r="BU158" s="562"/>
      <c r="BV158" s="76"/>
      <c r="BW158" s="745"/>
      <c r="BX158" s="798"/>
      <c r="BY158" s="86"/>
      <c r="BZ158" s="745"/>
      <c r="CA158" s="871"/>
      <c r="CB158" s="958"/>
      <c r="CC158" s="959"/>
      <c r="CD158" s="960"/>
      <c r="CE158" s="958"/>
      <c r="CF158" s="871"/>
      <c r="CG158" s="704"/>
      <c r="CH158" s="704"/>
      <c r="CI158" s="704"/>
      <c r="CJ158" s="704"/>
      <c r="CK158" s="871"/>
      <c r="CL158" s="562"/>
      <c r="CM158" s="562"/>
      <c r="CN158" s="562"/>
      <c r="CO158" s="562"/>
      <c r="CP158" s="871"/>
      <c r="CQ158" s="562"/>
      <c r="CR158" s="562"/>
      <c r="CS158" s="562"/>
      <c r="CT158" s="562"/>
      <c r="CU158" s="871"/>
      <c r="CV158" s="562"/>
      <c r="CW158" s="562"/>
      <c r="CX158" s="562"/>
      <c r="CY158" s="562"/>
      <c r="CZ158" s="871"/>
      <c r="DA158" s="562"/>
      <c r="DB158" s="562"/>
      <c r="DC158" s="562"/>
      <c r="DD158" s="562"/>
      <c r="DE158" s="871"/>
      <c r="DG158" s="744"/>
      <c r="DH158" s="1049"/>
      <c r="DI158" s="562"/>
      <c r="DJ158" s="871"/>
      <c r="DL158" s="744"/>
      <c r="DM158" s="744"/>
      <c r="DN158" s="562"/>
      <c r="DO158" s="871"/>
      <c r="DP158" s="562"/>
      <c r="DQ158" s="1049"/>
      <c r="DS158" s="562"/>
      <c r="DT158" s="93"/>
      <c r="DX158" s="562"/>
      <c r="DY158" s="93"/>
      <c r="DZ158" s="93"/>
      <c r="EA158" s="93"/>
      <c r="EB158" s="93"/>
    </row>
    <row r="159" spans="1:132" s="105" customFormat="1" ht="12" hidden="1" customHeight="1">
      <c r="A159" s="68"/>
      <c r="B159" s="161" t="s">
        <v>134</v>
      </c>
      <c r="C159" s="87"/>
      <c r="D159" s="87">
        <v>6889</v>
      </c>
      <c r="E159" s="87">
        <v>6831</v>
      </c>
      <c r="F159" s="87">
        <v>8039</v>
      </c>
      <c r="G159" s="87">
        <v>10364</v>
      </c>
      <c r="H159" s="87">
        <v>10967</v>
      </c>
      <c r="I159" s="87"/>
      <c r="J159" s="88"/>
      <c r="K159" s="88"/>
      <c r="L159" s="88"/>
      <c r="M159" s="88"/>
      <c r="N159" s="87"/>
      <c r="O159" s="88"/>
      <c r="P159" s="88"/>
      <c r="Q159" s="88"/>
      <c r="R159" s="88"/>
      <c r="S159" s="87"/>
      <c r="T159" s="88"/>
      <c r="U159" s="88"/>
      <c r="V159" s="88"/>
      <c r="W159" s="88"/>
      <c r="X159" s="87"/>
      <c r="Y159" s="88"/>
      <c r="Z159" s="88"/>
      <c r="AA159" s="88"/>
      <c r="AB159" s="88"/>
      <c r="AC159" s="87"/>
      <c r="AD159" s="88"/>
      <c r="AE159" s="88"/>
      <c r="AF159" s="88"/>
      <c r="AG159" s="88"/>
      <c r="AH159" s="87"/>
      <c r="AI159" s="88"/>
      <c r="AJ159" s="88"/>
      <c r="AK159" s="88"/>
      <c r="AL159" s="173"/>
      <c r="AM159" s="87"/>
      <c r="AN159" s="88"/>
      <c r="AO159" s="88"/>
      <c r="AP159" s="88"/>
      <c r="AQ159" s="173"/>
      <c r="AR159" s="87"/>
      <c r="AS159" s="88"/>
      <c r="AT159" s="88"/>
      <c r="AU159" s="88"/>
      <c r="AV159" s="563"/>
      <c r="AW159" s="87"/>
      <c r="AX159" s="88"/>
      <c r="AY159" s="88"/>
      <c r="AZ159" s="88"/>
      <c r="BA159" s="563"/>
      <c r="BB159" s="87"/>
      <c r="BC159" s="563"/>
      <c r="BD159" s="88"/>
      <c r="BE159" s="88"/>
      <c r="BF159" s="563"/>
      <c r="BG159" s="87"/>
      <c r="BH159" s="563"/>
      <c r="BI159" s="705"/>
      <c r="BJ159" s="88"/>
      <c r="BK159" s="563"/>
      <c r="BL159" s="87"/>
      <c r="BM159" s="563"/>
      <c r="BN159" s="705"/>
      <c r="BO159" s="88"/>
      <c r="BP159" s="563"/>
      <c r="BQ159" s="87"/>
      <c r="BR159" s="563"/>
      <c r="BS159" s="799"/>
      <c r="BT159" s="88"/>
      <c r="BU159" s="563"/>
      <c r="BV159" s="87"/>
      <c r="BW159" s="746"/>
      <c r="BX159" s="799"/>
      <c r="BY159" s="89"/>
      <c r="BZ159" s="746"/>
      <c r="CA159" s="904"/>
      <c r="CB159" s="964"/>
      <c r="CC159" s="965"/>
      <c r="CD159" s="966"/>
      <c r="CE159" s="964"/>
      <c r="CF159" s="904"/>
      <c r="CG159" s="705"/>
      <c r="CH159" s="705"/>
      <c r="CI159" s="705"/>
      <c r="CJ159" s="705"/>
      <c r="CK159" s="904"/>
      <c r="CL159" s="563"/>
      <c r="CM159" s="563"/>
      <c r="CN159" s="563"/>
      <c r="CO159" s="563"/>
      <c r="CP159" s="904"/>
      <c r="CQ159" s="563"/>
      <c r="CR159" s="563"/>
      <c r="CS159" s="563"/>
      <c r="CT159" s="563"/>
      <c r="CU159" s="904"/>
      <c r="CV159" s="563"/>
      <c r="CW159" s="563"/>
      <c r="CX159" s="563"/>
      <c r="CY159" s="563"/>
      <c r="CZ159" s="904"/>
      <c r="DA159" s="563"/>
      <c r="DB159" s="563"/>
      <c r="DC159" s="563"/>
      <c r="DD159" s="563"/>
      <c r="DE159" s="904"/>
      <c r="DF159" s="173"/>
      <c r="DG159" s="1050"/>
      <c r="DH159" s="1050"/>
      <c r="DI159" s="563"/>
      <c r="DJ159" s="904"/>
      <c r="DK159" s="173"/>
      <c r="DL159" s="1050"/>
      <c r="DM159" s="1050"/>
      <c r="DN159" s="563"/>
      <c r="DO159" s="904"/>
      <c r="DP159" s="563"/>
      <c r="DQ159" s="1050"/>
      <c r="DR159" s="173"/>
      <c r="DS159" s="563"/>
      <c r="DT159" s="172"/>
      <c r="DU159" s="173"/>
      <c r="DV159" s="173"/>
      <c r="DW159" s="173"/>
      <c r="DX159" s="563"/>
      <c r="DY159" s="172"/>
      <c r="DZ159" s="172"/>
      <c r="EA159" s="172"/>
      <c r="EB159" s="172"/>
    </row>
    <row r="160" spans="1:132" s="105" customFormat="1" ht="12" hidden="1" customHeight="1">
      <c r="A160" s="68"/>
      <c r="B160" s="68" t="s">
        <v>391</v>
      </c>
      <c r="C160" s="76">
        <v>18125</v>
      </c>
      <c r="D160" s="76">
        <f>SUM(D158:D159)</f>
        <v>19879</v>
      </c>
      <c r="E160" s="76">
        <f>SUM(E158:E159)</f>
        <v>19051</v>
      </c>
      <c r="F160" s="76">
        <f>SUM(F158:F159)</f>
        <v>20236</v>
      </c>
      <c r="G160" s="76">
        <f>SUM(G158:G159)</f>
        <v>22815</v>
      </c>
      <c r="H160" s="76">
        <f>SUM(H158:H159)</f>
        <v>24957</v>
      </c>
      <c r="I160" s="76">
        <f>SUM(I154:I157)</f>
        <v>27361</v>
      </c>
      <c r="J160" s="77">
        <f>SUM(J154:J157)</f>
        <v>7417</v>
      </c>
      <c r="K160" s="77">
        <f>SUM(K154:K157)</f>
        <v>7162</v>
      </c>
      <c r="L160" s="77">
        <f>SUM(L154:L157)</f>
        <v>8259</v>
      </c>
      <c r="M160" s="77">
        <f>N160-L160-K160-J160</f>
        <v>7627</v>
      </c>
      <c r="N160" s="76">
        <f>SUM(N154:N157)</f>
        <v>30465</v>
      </c>
      <c r="O160" s="77">
        <f>SUM(O154:O157)</f>
        <v>7543</v>
      </c>
      <c r="P160" s="77">
        <f>SUM(P154:P157)</f>
        <v>7742</v>
      </c>
      <c r="Q160" s="77">
        <f>SUM(Q154:Q157)</f>
        <v>7381</v>
      </c>
      <c r="R160" s="77">
        <f>S160-Q160-P160-O160</f>
        <v>8125</v>
      </c>
      <c r="S160" s="76">
        <f>SUM(S154:S157)</f>
        <v>30791</v>
      </c>
      <c r="T160" s="77">
        <f>SUM(T151:T153)</f>
        <v>7186</v>
      </c>
      <c r="U160" s="77">
        <f t="shared" ref="U160:AS160" si="524">SUM(U151:U153)</f>
        <v>7774</v>
      </c>
      <c r="V160" s="77">
        <f t="shared" si="524"/>
        <v>7792</v>
      </c>
      <c r="W160" s="77">
        <f t="shared" si="524"/>
        <v>9687</v>
      </c>
      <c r="X160" s="76">
        <f t="shared" si="524"/>
        <v>32439</v>
      </c>
      <c r="Y160" s="77">
        <f t="shared" si="524"/>
        <v>7721</v>
      </c>
      <c r="Z160" s="77">
        <f t="shared" si="524"/>
        <v>7981</v>
      </c>
      <c r="AA160" s="77">
        <f t="shared" si="524"/>
        <v>8008</v>
      </c>
      <c r="AB160" s="77">
        <f t="shared" si="524"/>
        <v>8370</v>
      </c>
      <c r="AC160" s="76">
        <f t="shared" si="524"/>
        <v>32080</v>
      </c>
      <c r="AD160" s="77">
        <f t="shared" si="524"/>
        <v>7575</v>
      </c>
      <c r="AE160" s="77">
        <f t="shared" si="524"/>
        <v>7934</v>
      </c>
      <c r="AF160" s="77">
        <f t="shared" si="524"/>
        <v>8497</v>
      </c>
      <c r="AG160" s="77">
        <f t="shared" si="524"/>
        <v>8051</v>
      </c>
      <c r="AH160" s="76">
        <f t="shared" si="524"/>
        <v>32047</v>
      </c>
      <c r="AI160" s="77">
        <f t="shared" si="524"/>
        <v>7720</v>
      </c>
      <c r="AJ160" s="77">
        <f t="shared" si="524"/>
        <v>8650</v>
      </c>
      <c r="AK160" s="77">
        <f t="shared" si="524"/>
        <v>8744</v>
      </c>
      <c r="AL160" s="77">
        <f t="shared" si="524"/>
        <v>8547</v>
      </c>
      <c r="AM160" s="76">
        <f>SUM(AI160:AL160)</f>
        <v>33661</v>
      </c>
      <c r="AN160" s="77">
        <f t="shared" si="524"/>
        <v>7613</v>
      </c>
      <c r="AO160" s="77">
        <f t="shared" si="524"/>
        <v>7983</v>
      </c>
      <c r="AP160" s="77">
        <f t="shared" si="524"/>
        <v>8182</v>
      </c>
      <c r="AQ160" s="77">
        <f t="shared" si="524"/>
        <v>8165</v>
      </c>
      <c r="AR160" s="76">
        <f>SUM(AN160:AQ160)</f>
        <v>31943</v>
      </c>
      <c r="AS160" s="77">
        <f t="shared" si="524"/>
        <v>7617</v>
      </c>
      <c r="AT160" s="77">
        <f>SUM(AT151:AT153)</f>
        <v>7688</v>
      </c>
      <c r="AU160" s="77">
        <f>SUM(AU151:AU153)</f>
        <v>8200</v>
      </c>
      <c r="AV160" s="562">
        <f>SUM(AV151:AV153)</f>
        <v>8471</v>
      </c>
      <c r="AW160" s="76">
        <f>SUM(AS160:AV160)</f>
        <v>31976</v>
      </c>
      <c r="AX160" s="77">
        <f>SUM(AX151:AX153)</f>
        <v>8233</v>
      </c>
      <c r="AY160" s="77">
        <f>SUM(AY151:AY153)</f>
        <v>8192</v>
      </c>
      <c r="AZ160" s="77">
        <f>SUM(AZ151:AZ153)</f>
        <v>7839</v>
      </c>
      <c r="BA160" s="77">
        <f>SUM(BA151:BA153)</f>
        <v>8343</v>
      </c>
      <c r="BB160" s="76">
        <f>SUM(AX160:BA160)</f>
        <v>32607</v>
      </c>
      <c r="BC160" s="77">
        <f>SUM(BC151:BC153)</f>
        <v>8110</v>
      </c>
      <c r="BD160" s="77">
        <f>SUM(BD151:BD153)</f>
        <v>8186</v>
      </c>
      <c r="BE160" s="77">
        <f>SUM(BE151:BE153)</f>
        <v>8046</v>
      </c>
      <c r="BF160" s="77">
        <f>SUM(BF151:BF153)</f>
        <v>8855</v>
      </c>
      <c r="BG160" s="76">
        <f>SUM(BC160:BF160)</f>
        <v>33197</v>
      </c>
      <c r="BH160" s="77">
        <f>SUM(BH151:BH153)</f>
        <v>7633</v>
      </c>
      <c r="BI160" s="594">
        <f>SUM(BI151:BI153)</f>
        <v>7747</v>
      </c>
      <c r="BJ160" s="594">
        <f>SUM(BJ151:BJ153)</f>
        <v>7913</v>
      </c>
      <c r="BK160" s="594">
        <f>SUM(BK151:BK153)</f>
        <v>7588</v>
      </c>
      <c r="BL160" s="76">
        <f>SUM(BH160:BK160)</f>
        <v>30881</v>
      </c>
      <c r="BM160" s="594">
        <f>SUM(BM151:BM153)</f>
        <v>6709</v>
      </c>
      <c r="BN160" s="594">
        <f>SUM(BN151:BN153)</f>
        <v>7544</v>
      </c>
      <c r="BO160" s="594">
        <f>SUM(BO151:BO153)</f>
        <v>8350</v>
      </c>
      <c r="BP160" s="594">
        <f>SUM(BP151:BP153)</f>
        <v>7785</v>
      </c>
      <c r="BQ160" s="76">
        <f>SUM(BM160:BP160)</f>
        <v>30388</v>
      </c>
      <c r="BR160" s="594">
        <f>SUM(BR151:BR153)</f>
        <v>7956</v>
      </c>
      <c r="BS160" s="86">
        <f>SUM(BS151:BS153)</f>
        <v>7174</v>
      </c>
      <c r="BT160" s="86">
        <f>SUM(BT151:BT153)</f>
        <v>7508</v>
      </c>
      <c r="BU160" s="86">
        <f>SUM(BU151:BU153)</f>
        <v>6860</v>
      </c>
      <c r="BV160" s="76">
        <f>SUM(BR160:BU160)</f>
        <v>29498</v>
      </c>
      <c r="BW160" s="86">
        <f>SUM(BW151:BW153)</f>
        <v>6532</v>
      </c>
      <c r="BX160" s="86">
        <f>SUM(BX151:BX153)</f>
        <v>6886</v>
      </c>
      <c r="BY160" s="86"/>
      <c r="BZ160" s="86"/>
      <c r="CA160" s="871">
        <f>SUM(BW160:BZ160)</f>
        <v>13418</v>
      </c>
      <c r="CB160" s="967"/>
      <c r="CC160" s="967"/>
      <c r="CD160" s="967"/>
      <c r="CE160" s="967"/>
      <c r="CF160" s="871">
        <f>SUM(CB160:CE160)</f>
        <v>0</v>
      </c>
      <c r="CG160" s="594"/>
      <c r="CH160" s="594"/>
      <c r="CI160" s="594"/>
      <c r="CJ160" s="594"/>
      <c r="CK160" s="871">
        <f>SUM(CG160:CJ160)</f>
        <v>0</v>
      </c>
      <c r="CL160" s="594"/>
      <c r="CM160" s="594"/>
      <c r="CN160" s="594"/>
      <c r="CO160" s="594"/>
      <c r="CP160" s="871">
        <f>SUM(CL160:CO160)</f>
        <v>0</v>
      </c>
      <c r="CQ160" s="594"/>
      <c r="CR160" s="594"/>
      <c r="CS160" s="594"/>
      <c r="CT160" s="594"/>
      <c r="CU160" s="871">
        <f>SUM(CQ160:CT160)</f>
        <v>0</v>
      </c>
      <c r="CV160" s="594"/>
      <c r="CW160" s="594"/>
      <c r="CX160" s="594"/>
      <c r="CY160" s="594"/>
      <c r="CZ160" s="871">
        <f>SUM(CV160:CY160)</f>
        <v>0</v>
      </c>
      <c r="DA160" s="594"/>
      <c r="DB160" s="594"/>
      <c r="DC160" s="594"/>
      <c r="DD160" s="594"/>
      <c r="DE160" s="871">
        <f>SUM(DA160:DD160)</f>
        <v>0</v>
      </c>
      <c r="DG160" s="693"/>
      <c r="DH160" s="703"/>
      <c r="DI160" s="594"/>
      <c r="DJ160" s="871">
        <f>SUM(DF160:DI160)</f>
        <v>0</v>
      </c>
      <c r="DL160" s="693"/>
      <c r="DM160" s="693"/>
      <c r="DN160" s="594"/>
      <c r="DO160" s="871">
        <f>SUM(DK160:DN160)</f>
        <v>0</v>
      </c>
      <c r="DP160" s="594"/>
      <c r="DQ160" s="703"/>
      <c r="DS160" s="594"/>
      <c r="DT160" s="93"/>
      <c r="DX160" s="594"/>
      <c r="DY160" s="93"/>
      <c r="DZ160" s="93"/>
      <c r="EA160" s="93"/>
      <c r="EB160" s="93"/>
    </row>
    <row r="161" spans="1:132" s="105" customFormat="1" ht="12" customHeight="1">
      <c r="A161" s="68"/>
      <c r="B161" s="828" t="s">
        <v>575</v>
      </c>
      <c r="C161" s="76"/>
      <c r="D161" s="76"/>
      <c r="E161" s="76"/>
      <c r="F161" s="76"/>
      <c r="G161" s="76"/>
      <c r="H161" s="76"/>
      <c r="I161" s="76"/>
      <c r="J161" s="77"/>
      <c r="K161" s="77"/>
      <c r="L161" s="77"/>
      <c r="M161" s="77"/>
      <c r="N161" s="76"/>
      <c r="O161" s="77"/>
      <c r="P161" s="77"/>
      <c r="Q161" s="77"/>
      <c r="R161" s="77"/>
      <c r="S161" s="76"/>
      <c r="T161" s="77"/>
      <c r="U161" s="77"/>
      <c r="V161" s="77"/>
      <c r="W161" s="77"/>
      <c r="X161" s="76"/>
      <c r="Y161" s="77"/>
      <c r="Z161" s="77"/>
      <c r="AA161" s="77"/>
      <c r="AB161" s="77"/>
      <c r="AC161" s="76"/>
      <c r="AD161" s="77"/>
      <c r="AE161" s="77"/>
      <c r="AF161" s="77"/>
      <c r="AG161" s="77"/>
      <c r="AH161" s="76"/>
      <c r="AI161" s="77"/>
      <c r="AJ161" s="77"/>
      <c r="AK161" s="77"/>
      <c r="AL161" s="77"/>
      <c r="AM161" s="76"/>
      <c r="AN161" s="77"/>
      <c r="AO161" s="77"/>
      <c r="AP161" s="77"/>
      <c r="AQ161" s="77"/>
      <c r="AR161" s="76"/>
      <c r="AS161" s="77"/>
      <c r="AT161" s="77"/>
      <c r="AU161" s="77"/>
      <c r="AV161" s="562"/>
      <c r="AW161" s="76"/>
      <c r="AX161" s="77"/>
      <c r="AY161" s="77"/>
      <c r="AZ161" s="77"/>
      <c r="BA161" s="77"/>
      <c r="BB161" s="76"/>
      <c r="BC161" s="77"/>
      <c r="BD161" s="77"/>
      <c r="BE161" s="77"/>
      <c r="BF161" s="77"/>
      <c r="BG161" s="76"/>
      <c r="BH161" s="77"/>
      <c r="BI161" s="594"/>
      <c r="BJ161" s="594"/>
      <c r="BK161" s="594"/>
      <c r="BL161" s="76"/>
      <c r="BM161" s="594"/>
      <c r="BN161" s="594"/>
      <c r="BO161" s="594"/>
      <c r="BP161" s="594"/>
      <c r="BQ161" s="76"/>
      <c r="BR161" s="594">
        <v>3421</v>
      </c>
      <c r="BS161" s="86">
        <v>3581</v>
      </c>
      <c r="BT161" s="86">
        <v>3506</v>
      </c>
      <c r="BU161" s="86">
        <v>3417</v>
      </c>
      <c r="BV161" s="76">
        <f>SUM(BR161:BU161)</f>
        <v>13925</v>
      </c>
      <c r="BW161" s="86">
        <v>3653</v>
      </c>
      <c r="BX161" s="86">
        <v>3552</v>
      </c>
      <c r="BY161" s="86">
        <v>3579</v>
      </c>
      <c r="BZ161" s="86">
        <v>3797</v>
      </c>
      <c r="CA161" s="871">
        <f>SUM(BW161:BZ161)</f>
        <v>14581</v>
      </c>
      <c r="CB161" s="693">
        <v>3950</v>
      </c>
      <c r="CC161" s="693">
        <v>4097</v>
      </c>
      <c r="CD161" s="693">
        <v>4101</v>
      </c>
      <c r="CE161" s="693">
        <v>4908</v>
      </c>
      <c r="CF161" s="871">
        <f>SUM(CB161:CE161)</f>
        <v>17056</v>
      </c>
      <c r="CG161" s="594">
        <v>4619</v>
      </c>
      <c r="CH161" s="594">
        <v>4543</v>
      </c>
      <c r="CI161" s="594">
        <v>4658</v>
      </c>
      <c r="CJ161" s="594">
        <v>4648</v>
      </c>
      <c r="CK161" s="871">
        <f>SUM(CG161:CJ161)</f>
        <v>18468</v>
      </c>
      <c r="CL161" s="594">
        <v>4628</v>
      </c>
      <c r="CM161" s="594">
        <v>3488</v>
      </c>
      <c r="CN161" s="594">
        <v>3694</v>
      </c>
      <c r="CO161" s="594">
        <v>3733</v>
      </c>
      <c r="CP161" s="871">
        <f>SUM(CL161:CO161)</f>
        <v>15543</v>
      </c>
      <c r="CQ161" s="594">
        <v>3749</v>
      </c>
      <c r="CR161" s="594">
        <v>4067</v>
      </c>
      <c r="CS161" s="594">
        <v>4221</v>
      </c>
      <c r="CT161" s="594">
        <v>4291</v>
      </c>
      <c r="CU161" s="871">
        <f>SUM(CQ161:CT161)</f>
        <v>16328</v>
      </c>
      <c r="CV161" s="594">
        <v>4314</v>
      </c>
      <c r="CW161" s="594">
        <v>4298</v>
      </c>
      <c r="CX161" s="594">
        <v>4432</v>
      </c>
      <c r="CY161" s="594">
        <v>4567</v>
      </c>
      <c r="CZ161" s="871">
        <f>SUM(CV161:CY161)</f>
        <v>17611</v>
      </c>
      <c r="DA161" s="594">
        <v>4720</v>
      </c>
      <c r="DB161" s="594">
        <v>4746</v>
      </c>
      <c r="DC161" s="594">
        <v>4812</v>
      </c>
      <c r="DD161" s="594">
        <v>4849</v>
      </c>
      <c r="DE161" s="871">
        <f>SUM(DA161:DD161)</f>
        <v>19127</v>
      </c>
      <c r="DF161" s="105">
        <v>5045</v>
      </c>
      <c r="DG161" s="693">
        <v>4889</v>
      </c>
      <c r="DH161" s="703">
        <v>4901</v>
      </c>
      <c r="DI161" s="1077">
        <v>5119</v>
      </c>
      <c r="DJ161" s="871">
        <f>SUM(DF161:DI161)</f>
        <v>19954</v>
      </c>
      <c r="DK161" s="1086">
        <v>5063</v>
      </c>
      <c r="DL161" s="1077">
        <v>5281</v>
      </c>
      <c r="DM161" s="1077">
        <v>5370</v>
      </c>
      <c r="DN161" s="1077">
        <v>5209</v>
      </c>
      <c r="DO161" s="871">
        <f>SUM(DK161:DN161)</f>
        <v>20923</v>
      </c>
      <c r="DP161" s="1077">
        <v>5370</v>
      </c>
      <c r="DQ161" s="1111">
        <v>5344</v>
      </c>
      <c r="DS161" s="594"/>
      <c r="DT161" s="93"/>
      <c r="DU161" s="1086"/>
      <c r="DX161" s="594"/>
      <c r="DY161" s="93"/>
      <c r="DZ161" s="93"/>
      <c r="EA161" s="93"/>
      <c r="EB161" s="93"/>
    </row>
    <row r="162" spans="1:132" s="105" customFormat="1" ht="12" customHeight="1">
      <c r="A162" s="68"/>
      <c r="B162" s="68" t="s">
        <v>144</v>
      </c>
      <c r="C162" s="76">
        <v>746</v>
      </c>
      <c r="D162" s="76">
        <v>730</v>
      </c>
      <c r="E162" s="76">
        <v>837</v>
      </c>
      <c r="F162" s="76">
        <v>758</v>
      </c>
      <c r="G162" s="76">
        <v>863</v>
      </c>
      <c r="H162" s="76">
        <v>994</v>
      </c>
      <c r="I162" s="76">
        <v>1221</v>
      </c>
      <c r="J162" s="77">
        <v>307</v>
      </c>
      <c r="K162" s="77">
        <v>229</v>
      </c>
      <c r="L162" s="77">
        <v>253</v>
      </c>
      <c r="M162" s="77">
        <f>N162-L162-K162-J162</f>
        <v>170</v>
      </c>
      <c r="N162" s="76">
        <v>959</v>
      </c>
      <c r="O162" s="77">
        <v>237</v>
      </c>
      <c r="P162" s="77">
        <v>264</v>
      </c>
      <c r="Q162" s="77">
        <v>230</v>
      </c>
      <c r="R162" s="77">
        <f>S162-Q162-P162-O162</f>
        <v>235</v>
      </c>
      <c r="S162" s="76">
        <v>966</v>
      </c>
      <c r="T162" s="77">
        <v>237</v>
      </c>
      <c r="U162" s="77">
        <v>243</v>
      </c>
      <c r="V162" s="77">
        <v>304</v>
      </c>
      <c r="W162" s="77">
        <f>X162-V162-U162-T162</f>
        <v>241</v>
      </c>
      <c r="X162" s="76">
        <v>1025</v>
      </c>
      <c r="Y162" s="77">
        <v>213</v>
      </c>
      <c r="Z162" s="77">
        <v>209</v>
      </c>
      <c r="AA162" s="77">
        <v>197</v>
      </c>
      <c r="AB162" s="77">
        <f>AC162-AA162-Z162-Y162</f>
        <v>196</v>
      </c>
      <c r="AC162" s="76">
        <v>815</v>
      </c>
      <c r="AD162" s="77">
        <v>185</v>
      </c>
      <c r="AE162" s="77">
        <v>179</v>
      </c>
      <c r="AF162" s="77">
        <v>171</v>
      </c>
      <c r="AG162" s="77">
        <f>AH162-AF162-AE162-AD162</f>
        <v>168</v>
      </c>
      <c r="AH162" s="76">
        <v>703</v>
      </c>
      <c r="AI162" s="77">
        <v>163</v>
      </c>
      <c r="AJ162" s="77">
        <v>167</v>
      </c>
      <c r="AK162" s="77">
        <v>166</v>
      </c>
      <c r="AL162" s="77">
        <v>164</v>
      </c>
      <c r="AM162" s="76">
        <f>SUM(AI162:AL162)</f>
        <v>660</v>
      </c>
      <c r="AN162" s="77">
        <v>162</v>
      </c>
      <c r="AO162" s="77">
        <v>162</v>
      </c>
      <c r="AP162" s="77">
        <v>170</v>
      </c>
      <c r="AQ162" s="77">
        <v>145</v>
      </c>
      <c r="AR162" s="76">
        <f>SUM(AN162:AQ162)</f>
        <v>639</v>
      </c>
      <c r="AS162" s="77">
        <v>143</v>
      </c>
      <c r="AT162" s="77">
        <v>147</v>
      </c>
      <c r="AU162" s="86">
        <v>126</v>
      </c>
      <c r="AV162" s="562">
        <v>116</v>
      </c>
      <c r="AW162" s="76">
        <f>SUM(AS162:AV162)</f>
        <v>532</v>
      </c>
      <c r="AX162" s="77">
        <v>125</v>
      </c>
      <c r="AY162" s="77">
        <v>99</v>
      </c>
      <c r="AZ162" s="77">
        <v>101</v>
      </c>
      <c r="BA162" s="562">
        <v>116</v>
      </c>
      <c r="BB162" s="76">
        <f>SUM(AX162:BA162)</f>
        <v>441</v>
      </c>
      <c r="BC162" s="562">
        <v>105</v>
      </c>
      <c r="BD162" s="77">
        <v>104</v>
      </c>
      <c r="BE162" s="77">
        <v>94</v>
      </c>
      <c r="BF162" s="562">
        <v>105</v>
      </c>
      <c r="BG162" s="76">
        <f>SUM(BC162:BF162)</f>
        <v>408</v>
      </c>
      <c r="BH162" s="562">
        <v>82</v>
      </c>
      <c r="BI162" s="704">
        <v>90</v>
      </c>
      <c r="BJ162" s="77">
        <v>91</v>
      </c>
      <c r="BK162" s="562">
        <v>153</v>
      </c>
      <c r="BL162" s="76">
        <f>SUM(BH162:BK162)</f>
        <v>416</v>
      </c>
      <c r="BM162" s="562">
        <v>86</v>
      </c>
      <c r="BN162" s="704">
        <v>115</v>
      </c>
      <c r="BO162" s="77">
        <v>114</v>
      </c>
      <c r="BP162" s="562">
        <v>98</v>
      </c>
      <c r="BQ162" s="76">
        <f>SUM(BM162:BP162)</f>
        <v>413</v>
      </c>
      <c r="BR162" s="562">
        <v>64</v>
      </c>
      <c r="BS162" s="798">
        <v>84</v>
      </c>
      <c r="BT162" s="77">
        <v>63</v>
      </c>
      <c r="BU162" s="562">
        <v>87</v>
      </c>
      <c r="BV162" s="76">
        <f>SUM(BR162:BU162)</f>
        <v>298</v>
      </c>
      <c r="BW162" s="745">
        <v>92</v>
      </c>
      <c r="BX162" s="798">
        <v>72</v>
      </c>
      <c r="BY162" s="86">
        <v>70</v>
      </c>
      <c r="BZ162" s="745">
        <v>73</v>
      </c>
      <c r="CA162" s="871">
        <f>SUM(BW162:BZ162)</f>
        <v>307</v>
      </c>
      <c r="CB162" s="744">
        <v>65</v>
      </c>
      <c r="CC162" s="704">
        <v>72</v>
      </c>
      <c r="CD162" s="16">
        <v>77</v>
      </c>
      <c r="CE162" s="744">
        <v>60</v>
      </c>
      <c r="CF162" s="871">
        <f>SUM(CB162:CE162)</f>
        <v>274</v>
      </c>
      <c r="CG162" s="704">
        <v>66</v>
      </c>
      <c r="CH162" s="704">
        <v>75</v>
      </c>
      <c r="CI162" s="704">
        <v>66</v>
      </c>
      <c r="CJ162" s="704">
        <v>37</v>
      </c>
      <c r="CK162" s="871">
        <f>SUM(CG162:CJ162)</f>
        <v>244</v>
      </c>
      <c r="CL162" s="562">
        <v>65</v>
      </c>
      <c r="CM162" s="562">
        <v>69</v>
      </c>
      <c r="CN162" s="562">
        <v>71</v>
      </c>
      <c r="CO162" s="562">
        <v>56</v>
      </c>
      <c r="CP162" s="871">
        <f>SUM(CL162:CO162)</f>
        <v>261</v>
      </c>
      <c r="CQ162" s="562">
        <v>60</v>
      </c>
      <c r="CR162" s="562">
        <v>78</v>
      </c>
      <c r="CS162" s="562">
        <v>71</v>
      </c>
      <c r="CT162" s="562">
        <v>63</v>
      </c>
      <c r="CU162" s="871">
        <f>SUM(CQ162:CT162)</f>
        <v>272</v>
      </c>
      <c r="CV162" s="562">
        <v>46</v>
      </c>
      <c r="CW162" s="562">
        <v>52</v>
      </c>
      <c r="CX162" s="562">
        <v>52</v>
      </c>
      <c r="CY162" s="562">
        <v>49</v>
      </c>
      <c r="CZ162" s="871">
        <f>SUM(CV162:CY162)</f>
        <v>199</v>
      </c>
      <c r="DA162" s="562"/>
      <c r="DB162" s="562"/>
      <c r="DC162" s="562"/>
      <c r="DD162" s="562"/>
      <c r="DE162" s="871">
        <f>SUM(DA162:DD162)</f>
        <v>0</v>
      </c>
      <c r="DG162" s="744"/>
      <c r="DH162" s="1049"/>
      <c r="DI162" s="562"/>
      <c r="DJ162" s="871">
        <f>SUM(DF162:DI162)</f>
        <v>0</v>
      </c>
      <c r="DL162" s="744"/>
      <c r="DM162" s="744"/>
      <c r="DN162" s="562"/>
      <c r="DO162" s="871">
        <f>SUM(DK162:DN162)</f>
        <v>0</v>
      </c>
      <c r="DP162" s="562"/>
      <c r="DQ162" s="1049"/>
      <c r="DS162" s="562"/>
      <c r="DT162" s="93"/>
      <c r="DX162" s="562"/>
      <c r="DY162" s="93"/>
      <c r="DZ162" s="93"/>
      <c r="EA162" s="93"/>
      <c r="EB162" s="93"/>
    </row>
    <row r="163" spans="1:132" s="105" customFormat="1" ht="12" customHeight="1">
      <c r="A163" s="68"/>
      <c r="B163" s="68" t="s">
        <v>93</v>
      </c>
      <c r="C163" s="76">
        <v>0</v>
      </c>
      <c r="D163" s="76">
        <v>0</v>
      </c>
      <c r="E163" s="76">
        <v>0</v>
      </c>
      <c r="F163" s="76">
        <v>0</v>
      </c>
      <c r="G163" s="76">
        <v>365</v>
      </c>
      <c r="H163" s="76">
        <v>544</v>
      </c>
      <c r="I163" s="76">
        <v>870</v>
      </c>
      <c r="J163" s="77">
        <v>134</v>
      </c>
      <c r="K163" s="77">
        <v>131</v>
      </c>
      <c r="L163" s="77">
        <v>145</v>
      </c>
      <c r="M163" s="77">
        <f>N163-L163-K163-J163</f>
        <v>139</v>
      </c>
      <c r="N163" s="76">
        <v>549</v>
      </c>
      <c r="O163" s="77">
        <v>129</v>
      </c>
      <c r="P163" s="77">
        <v>528</v>
      </c>
      <c r="Q163" s="77">
        <v>142</v>
      </c>
      <c r="R163" s="77">
        <f>S163-Q163-P163-O163</f>
        <v>173</v>
      </c>
      <c r="S163" s="76">
        <v>972</v>
      </c>
      <c r="T163" s="77">
        <v>87</v>
      </c>
      <c r="U163" s="77">
        <v>71</v>
      </c>
      <c r="V163" s="77">
        <v>60</v>
      </c>
      <c r="W163" s="77">
        <f>X163-V163-U163-T163</f>
        <v>81</v>
      </c>
      <c r="X163" s="76">
        <v>299</v>
      </c>
      <c r="Y163" s="77">
        <v>72</v>
      </c>
      <c r="Z163" s="77">
        <v>72</v>
      </c>
      <c r="AA163" s="77">
        <v>74</v>
      </c>
      <c r="AB163" s="77">
        <f>AC163-AA163-Z163-Y163</f>
        <v>62</v>
      </c>
      <c r="AC163" s="76">
        <v>280</v>
      </c>
      <c r="AD163" s="77">
        <v>75</v>
      </c>
      <c r="AE163" s="77">
        <v>152</v>
      </c>
      <c r="AF163" s="77">
        <v>300</v>
      </c>
      <c r="AG163" s="77">
        <f>AH163-AF163-AE163-AD163</f>
        <v>40</v>
      </c>
      <c r="AH163" s="76">
        <v>567</v>
      </c>
      <c r="AI163" s="77">
        <v>39</v>
      </c>
      <c r="AJ163" s="77">
        <v>35</v>
      </c>
      <c r="AK163" s="77">
        <v>51</v>
      </c>
      <c r="AL163" s="77">
        <v>40</v>
      </c>
      <c r="AM163" s="76">
        <f>SUM(AI163:AL163)</f>
        <v>165</v>
      </c>
      <c r="AN163" s="77">
        <v>36</v>
      </c>
      <c r="AO163" s="77">
        <v>44</v>
      </c>
      <c r="AP163" s="77">
        <v>27</v>
      </c>
      <c r="AQ163" s="77">
        <v>31</v>
      </c>
      <c r="AR163" s="76">
        <f>SUM(AN163:AQ163)</f>
        <v>138</v>
      </c>
      <c r="AS163" s="77">
        <v>36</v>
      </c>
      <c r="AT163" s="77">
        <v>38</v>
      </c>
      <c r="AU163" s="86">
        <v>33</v>
      </c>
      <c r="AV163" s="562">
        <v>31</v>
      </c>
      <c r="AW163" s="76">
        <f>SUM(AS163:AV163)</f>
        <v>138</v>
      </c>
      <c r="AX163" s="77">
        <v>24</v>
      </c>
      <c r="AY163" s="77">
        <v>42</v>
      </c>
      <c r="AZ163" s="77">
        <v>27</v>
      </c>
      <c r="BA163" s="562">
        <v>40</v>
      </c>
      <c r="BB163" s="76">
        <f>SUM(AX163:BA163)</f>
        <v>133</v>
      </c>
      <c r="BC163" s="562">
        <v>27</v>
      </c>
      <c r="BD163" s="77">
        <v>27</v>
      </c>
      <c r="BE163" s="77">
        <v>26</v>
      </c>
      <c r="BF163" s="562">
        <v>22</v>
      </c>
      <c r="BG163" s="76">
        <f>SUM(BC163:BF163)</f>
        <v>102</v>
      </c>
      <c r="BH163" s="562">
        <v>20</v>
      </c>
      <c r="BI163" s="704">
        <v>22</v>
      </c>
      <c r="BJ163" s="77"/>
      <c r="BK163" s="562"/>
      <c r="BL163" s="76">
        <f>SUM(BH163:BK163)</f>
        <v>42</v>
      </c>
      <c r="BM163" s="562"/>
      <c r="BN163" s="704"/>
      <c r="BO163" s="77"/>
      <c r="BP163" s="562"/>
      <c r="BQ163" s="76">
        <f>SUM(BM163:BP163)</f>
        <v>0</v>
      </c>
      <c r="BR163" s="562"/>
      <c r="BS163" s="798"/>
      <c r="BT163" s="77"/>
      <c r="BU163" s="562"/>
      <c r="BV163" s="76">
        <f>SUM(BR163:BU163)</f>
        <v>0</v>
      </c>
      <c r="BW163" s="745"/>
      <c r="BX163" s="798"/>
      <c r="BY163" s="86"/>
      <c r="BZ163" s="745"/>
      <c r="CA163" s="871">
        <f>SUM(BW163:BZ163)</f>
        <v>0</v>
      </c>
      <c r="CB163" s="958"/>
      <c r="CC163" s="959"/>
      <c r="CD163" s="960"/>
      <c r="CE163" s="958"/>
      <c r="CF163" s="871"/>
      <c r="CG163" s="704"/>
      <c r="CH163" s="704"/>
      <c r="CI163" s="704"/>
      <c r="CJ163" s="704"/>
      <c r="CK163" s="871"/>
      <c r="CL163" s="562"/>
      <c r="CM163" s="562"/>
      <c r="CN163" s="562"/>
      <c r="CO163" s="562"/>
      <c r="CP163" s="871"/>
      <c r="CQ163" s="562"/>
      <c r="CR163" s="562"/>
      <c r="CS163" s="562"/>
      <c r="CT163" s="562"/>
      <c r="CU163" s="871"/>
      <c r="CV163" s="562"/>
      <c r="CW163" s="562"/>
      <c r="CX163" s="562"/>
      <c r="CY163" s="562"/>
      <c r="CZ163" s="871"/>
      <c r="DA163" s="562"/>
      <c r="DB163" s="562"/>
      <c r="DC163" s="562"/>
      <c r="DD163" s="562"/>
      <c r="DE163" s="871"/>
      <c r="DG163" s="744"/>
      <c r="DH163" s="1049"/>
      <c r="DI163" s="562"/>
      <c r="DJ163" s="871"/>
      <c r="DL163" s="744"/>
      <c r="DM163" s="744"/>
      <c r="DN163" s="562"/>
      <c r="DO163" s="871"/>
      <c r="DP163" s="562"/>
      <c r="DQ163" s="1049"/>
      <c r="DS163" s="562"/>
      <c r="DT163" s="93"/>
      <c r="DX163" s="562"/>
      <c r="DY163" s="93"/>
      <c r="DZ163" s="93"/>
      <c r="EA163" s="93"/>
      <c r="EB163" s="93"/>
    </row>
    <row r="164" spans="1:132" s="105" customFormat="1" ht="12" customHeight="1">
      <c r="A164" s="68"/>
      <c r="B164" s="68" t="s">
        <v>109</v>
      </c>
      <c r="C164" s="79">
        <v>0</v>
      </c>
      <c r="D164" s="79">
        <v>0</v>
      </c>
      <c r="E164" s="79">
        <v>-304</v>
      </c>
      <c r="F164" s="79">
        <v>-844</v>
      </c>
      <c r="G164" s="79">
        <v>-901</v>
      </c>
      <c r="H164" s="79">
        <v>-813</v>
      </c>
      <c r="I164" s="79">
        <v>-1375</v>
      </c>
      <c r="J164" s="80">
        <v>-229</v>
      </c>
      <c r="K164" s="80">
        <v>-105</v>
      </c>
      <c r="L164" s="80">
        <v>-143</v>
      </c>
      <c r="M164" s="80">
        <f>N164-L164-K164-J164</f>
        <v>-76</v>
      </c>
      <c r="N164" s="79">
        <v>-553</v>
      </c>
      <c r="O164" s="80">
        <v>2</v>
      </c>
      <c r="P164" s="80">
        <v>-312</v>
      </c>
      <c r="Q164" s="80">
        <v>-37</v>
      </c>
      <c r="R164" s="80">
        <f>S164-Q164-P164-O164</f>
        <v>-188</v>
      </c>
      <c r="S164" s="79">
        <v>-535</v>
      </c>
      <c r="T164" s="80">
        <v>-299</v>
      </c>
      <c r="U164" s="80">
        <v>-215</v>
      </c>
      <c r="V164" s="80">
        <v>-110</v>
      </c>
      <c r="W164" s="80">
        <f>X164-V164-U164-T164</f>
        <v>-74</v>
      </c>
      <c r="X164" s="79">
        <v>-698</v>
      </c>
      <c r="Y164" s="80">
        <v>-196</v>
      </c>
      <c r="Z164" s="80">
        <v>59</v>
      </c>
      <c r="AA164" s="80">
        <v>-20</v>
      </c>
      <c r="AB164" s="80">
        <f>AC164-AA164-Z164-Y164</f>
        <v>-17</v>
      </c>
      <c r="AC164" s="79">
        <v>-174</v>
      </c>
      <c r="AD164" s="80">
        <v>-6</v>
      </c>
      <c r="AE164" s="80">
        <v>130</v>
      </c>
      <c r="AF164" s="80">
        <v>-621</v>
      </c>
      <c r="AG164" s="80">
        <f>AH164-AF164-AE164-AD164</f>
        <v>-174</v>
      </c>
      <c r="AH164" s="79">
        <v>-671</v>
      </c>
      <c r="AI164" s="80">
        <v>26</v>
      </c>
      <c r="AJ164" s="80">
        <v>-129</v>
      </c>
      <c r="AK164" s="80">
        <v>-156</v>
      </c>
      <c r="AL164" s="80">
        <v>3</v>
      </c>
      <c r="AM164" s="79">
        <f>SUM(AI164:AL164)</f>
        <v>-256</v>
      </c>
      <c r="AN164" s="80">
        <v>-63</v>
      </c>
      <c r="AO164" s="80">
        <v>-49</v>
      </c>
      <c r="AP164" s="80">
        <v>-161</v>
      </c>
      <c r="AQ164" s="80">
        <v>25</v>
      </c>
      <c r="AR164" s="79">
        <f>SUM(AN164:AQ164)</f>
        <v>-248</v>
      </c>
      <c r="AS164" s="80">
        <v>-4</v>
      </c>
      <c r="AT164" s="80">
        <v>-173</v>
      </c>
      <c r="AU164" s="97">
        <v>-147</v>
      </c>
      <c r="AV164" s="562">
        <v>242</v>
      </c>
      <c r="AW164" s="79">
        <f>SUM(AS164:AV164)</f>
        <v>-82</v>
      </c>
      <c r="AX164" s="80">
        <v>64</v>
      </c>
      <c r="AY164" s="80">
        <v>-171</v>
      </c>
      <c r="AZ164" s="80">
        <v>-145</v>
      </c>
      <c r="BA164" s="562">
        <v>-358</v>
      </c>
      <c r="BB164" s="79">
        <f>SUM(AX164:BA164)</f>
        <v>-610</v>
      </c>
      <c r="BC164" s="562">
        <v>-39</v>
      </c>
      <c r="BD164" s="80">
        <v>-126</v>
      </c>
      <c r="BE164" s="80">
        <v>-23</v>
      </c>
      <c r="BF164" s="565">
        <v>123</v>
      </c>
      <c r="BG164" s="79">
        <f>SUM(BC164:BF164)</f>
        <v>-65</v>
      </c>
      <c r="BH164" s="562">
        <v>-7</v>
      </c>
      <c r="BI164" s="704">
        <v>-118</v>
      </c>
      <c r="BJ164" s="80">
        <v>-330</v>
      </c>
      <c r="BK164" s="565">
        <v>-112</v>
      </c>
      <c r="BL164" s="79">
        <f>SUM(BH164:BK164)</f>
        <v>-567</v>
      </c>
      <c r="BM164" s="562">
        <v>-27</v>
      </c>
      <c r="BN164" s="704">
        <v>7</v>
      </c>
      <c r="BO164" s="80">
        <v>-307</v>
      </c>
      <c r="BP164" s="565">
        <v>-408</v>
      </c>
      <c r="BQ164" s="79">
        <f>SUM(BM164:BP164)</f>
        <v>-735</v>
      </c>
      <c r="BR164" s="562">
        <v>224</v>
      </c>
      <c r="BS164" s="798">
        <v>53</v>
      </c>
      <c r="BT164" s="80">
        <v>-622</v>
      </c>
      <c r="BU164" s="565">
        <v>118</v>
      </c>
      <c r="BV164" s="79">
        <f>SUM(BR164:BU164)</f>
        <v>-227</v>
      </c>
      <c r="BW164" s="747">
        <v>151</v>
      </c>
      <c r="BX164" s="747">
        <v>5</v>
      </c>
      <c r="BY164" s="97">
        <v>131</v>
      </c>
      <c r="BZ164" s="747">
        <v>255</v>
      </c>
      <c r="CA164" s="872">
        <f>SUM(BW164:BZ164)</f>
        <v>542</v>
      </c>
      <c r="CB164" s="565">
        <v>-59</v>
      </c>
      <c r="CC164" s="706">
        <v>37</v>
      </c>
      <c r="CD164" s="80">
        <v>-40</v>
      </c>
      <c r="CE164" s="565">
        <v>-32</v>
      </c>
      <c r="CF164" s="872">
        <f>SUM(CB164:CE164)</f>
        <v>-94</v>
      </c>
      <c r="CG164" s="706">
        <v>-201</v>
      </c>
      <c r="CH164" s="706">
        <v>-201</v>
      </c>
      <c r="CI164" s="706">
        <v>5</v>
      </c>
      <c r="CJ164" s="706">
        <v>-198</v>
      </c>
      <c r="CK164" s="872">
        <f>SUM(CG164:CJ164)</f>
        <v>-595</v>
      </c>
      <c r="CL164" s="565">
        <v>-32</v>
      </c>
      <c r="CM164" s="565">
        <v>29</v>
      </c>
      <c r="CN164" s="565">
        <v>-70</v>
      </c>
      <c r="CO164" s="565">
        <v>8</v>
      </c>
      <c r="CP164" s="872">
        <f>SUM(CL164:CO164)</f>
        <v>-65</v>
      </c>
      <c r="CQ164" s="565">
        <v>-46</v>
      </c>
      <c r="CR164" s="565">
        <v>-38</v>
      </c>
      <c r="CS164" s="565">
        <v>-90</v>
      </c>
      <c r="CT164" s="565">
        <v>-173</v>
      </c>
      <c r="CU164" s="872">
        <f>SUM(CQ164:CT164)</f>
        <v>-347</v>
      </c>
      <c r="CV164" s="565">
        <v>-13</v>
      </c>
      <c r="CW164" s="565">
        <v>-79</v>
      </c>
      <c r="CX164" s="565">
        <v>-98</v>
      </c>
      <c r="CY164" s="565">
        <v>-41</v>
      </c>
      <c r="CZ164" s="872">
        <f>SUM(CV164:CY164)</f>
        <v>-231</v>
      </c>
      <c r="DA164" s="565">
        <v>-42</v>
      </c>
      <c r="DB164" s="565">
        <v>-2</v>
      </c>
      <c r="DC164" s="562">
        <v>-65</v>
      </c>
      <c r="DD164" s="565">
        <v>-58</v>
      </c>
      <c r="DE164" s="872">
        <f>SUM(DA164:DD164)</f>
        <v>-167</v>
      </c>
      <c r="DF164" s="105">
        <v>-79</v>
      </c>
      <c r="DG164" s="565">
        <v>-47</v>
      </c>
      <c r="DH164" s="1049">
        <v>-40</v>
      </c>
      <c r="DI164" s="1079">
        <v>-50</v>
      </c>
      <c r="DJ164" s="872">
        <f>SUM(DF164:DI164)</f>
        <v>-216</v>
      </c>
      <c r="DK164" s="1087">
        <v>-12</v>
      </c>
      <c r="DL164" s="1079">
        <v>-23</v>
      </c>
      <c r="DM164" s="1079">
        <v>-96</v>
      </c>
      <c r="DN164" s="1079">
        <v>-57</v>
      </c>
      <c r="DO164" s="872">
        <f>SUM(DK164:DN164)</f>
        <v>-188</v>
      </c>
      <c r="DP164" s="1079">
        <v>45</v>
      </c>
      <c r="DQ164" s="1114">
        <v>-18</v>
      </c>
      <c r="DS164" s="565"/>
      <c r="DT164" s="93"/>
      <c r="DU164" s="1087"/>
      <c r="DX164" s="565"/>
      <c r="DY164" s="93"/>
      <c r="DZ164" s="93"/>
      <c r="EA164" s="93"/>
      <c r="EB164" s="93"/>
    </row>
    <row r="165" spans="1:132" s="277" customFormat="1" ht="12" customHeight="1">
      <c r="A165" s="74"/>
      <c r="B165" s="74" t="s">
        <v>110</v>
      </c>
      <c r="C165" s="71">
        <f t="shared" ref="C165:L165" si="525">SUM(C162:C164)+C160+C150</f>
        <v>45800</v>
      </c>
      <c r="D165" s="71">
        <f t="shared" si="525"/>
        <v>56154</v>
      </c>
      <c r="E165" s="71">
        <f t="shared" si="525"/>
        <v>57993</v>
      </c>
      <c r="F165" s="71">
        <f t="shared" si="525"/>
        <v>51321</v>
      </c>
      <c r="G165" s="71">
        <f t="shared" si="525"/>
        <v>58198</v>
      </c>
      <c r="H165" s="71">
        <f t="shared" si="525"/>
        <v>54069</v>
      </c>
      <c r="I165" s="71">
        <f t="shared" si="525"/>
        <v>50485</v>
      </c>
      <c r="J165" s="72">
        <f t="shared" si="525"/>
        <v>12959</v>
      </c>
      <c r="K165" s="72">
        <f t="shared" si="525"/>
        <v>13088</v>
      </c>
      <c r="L165" s="72">
        <f t="shared" si="525"/>
        <v>13152</v>
      </c>
      <c r="M165" s="72">
        <f>N165-L165-K165-J165</f>
        <v>13258</v>
      </c>
      <c r="N165" s="71">
        <f>SUM(N162:N164)+N160+N150</f>
        <v>52457</v>
      </c>
      <c r="O165" s="72">
        <f>SUM(O162:O164)+O160+O150</f>
        <v>12987</v>
      </c>
      <c r="P165" s="72">
        <f>SUM(P162:P164)+P160+P150</f>
        <v>15028</v>
      </c>
      <c r="Q165" s="72">
        <f>SUM(Q162:Q164)+Q160+Q150</f>
        <v>12629</v>
      </c>
      <c r="R165" s="72">
        <f>S165-Q165-P165-O165</f>
        <v>14201</v>
      </c>
      <c r="S165" s="71">
        <f>SUM(S162:S164)+S160+S150</f>
        <v>54845</v>
      </c>
      <c r="T165" s="72">
        <f>SUM(T162:T164)+T160+T150</f>
        <v>14264</v>
      </c>
      <c r="U165" s="72">
        <f>SUM(U162:U164)+U160+U150</f>
        <v>14986</v>
      </c>
      <c r="V165" s="72">
        <f>SUM(V162:V164)+V160+V150</f>
        <v>14739</v>
      </c>
      <c r="W165" s="72">
        <f>X165-V165-U165-T165</f>
        <v>17541</v>
      </c>
      <c r="X165" s="71">
        <f>SUM(X162:X164)+X160+X150</f>
        <v>61530</v>
      </c>
      <c r="Y165" s="72">
        <f>SUM(Y162:Y164)+Y160+Y150</f>
        <v>15365</v>
      </c>
      <c r="Z165" s="72">
        <f>SUM(Z162:Z164)+Z160+Z150</f>
        <v>17028</v>
      </c>
      <c r="AA165" s="72">
        <f>SUM(AA162:AA164)+AA160+AA150</f>
        <v>16517</v>
      </c>
      <c r="AB165" s="72">
        <f>AC165-AA165-Z165-Y165</f>
        <v>17477</v>
      </c>
      <c r="AC165" s="71">
        <f>SUM(AC162:AC164)+AC160+AC150</f>
        <v>66387</v>
      </c>
      <c r="AD165" s="72">
        <f>SUM(AD162:AD164)+AD160+AD150</f>
        <v>15990</v>
      </c>
      <c r="AE165" s="72">
        <f>SUM(AE162:AE164)+AE160+AE150</f>
        <v>16962</v>
      </c>
      <c r="AF165" s="72">
        <f>SUM(AF162:AF164)+AF160+AF150</f>
        <v>15293</v>
      </c>
      <c r="AG165" s="72">
        <f>AH165-AF165-AE165-AD165</f>
        <v>12664</v>
      </c>
      <c r="AH165" s="71">
        <f t="shared" ref="AH165:BP165" si="526">SUM(AH162:AH164)+AH160+AH150</f>
        <v>60909</v>
      </c>
      <c r="AI165" s="72">
        <f t="shared" si="526"/>
        <v>16502</v>
      </c>
      <c r="AJ165" s="72">
        <f t="shared" si="526"/>
        <v>17154</v>
      </c>
      <c r="AK165" s="72">
        <f t="shared" si="526"/>
        <v>16688</v>
      </c>
      <c r="AL165" s="72">
        <f t="shared" si="526"/>
        <v>17937</v>
      </c>
      <c r="AM165" s="71">
        <f t="shared" si="526"/>
        <v>68281</v>
      </c>
      <c r="AN165" s="72">
        <f t="shared" si="526"/>
        <v>15216</v>
      </c>
      <c r="AO165" s="72">
        <f t="shared" si="526"/>
        <v>15573</v>
      </c>
      <c r="AP165" s="72">
        <f t="shared" si="526"/>
        <v>16967</v>
      </c>
      <c r="AQ165" s="72">
        <f t="shared" si="526"/>
        <v>16550</v>
      </c>
      <c r="AR165" s="71">
        <f>SUM(AR162:AR164)+AR160+AR150</f>
        <v>64306</v>
      </c>
      <c r="AS165" s="72">
        <f t="shared" si="526"/>
        <v>14910</v>
      </c>
      <c r="AT165" s="72">
        <f t="shared" si="526"/>
        <v>16543</v>
      </c>
      <c r="AU165" s="72">
        <f t="shared" si="526"/>
        <v>17727</v>
      </c>
      <c r="AV165" s="564">
        <f t="shared" si="526"/>
        <v>19555</v>
      </c>
      <c r="AW165" s="71">
        <f>SUM(AW162:AW164)+AW160+AW150</f>
        <v>68735</v>
      </c>
      <c r="AX165" s="72">
        <f t="shared" si="526"/>
        <v>19383</v>
      </c>
      <c r="AY165" s="72">
        <f t="shared" si="526"/>
        <v>20005</v>
      </c>
      <c r="AZ165" s="72">
        <f t="shared" si="526"/>
        <v>20008</v>
      </c>
      <c r="BA165" s="72">
        <f t="shared" si="526"/>
        <v>22302</v>
      </c>
      <c r="BB165" s="71">
        <f>SUM(BB162:BB164)+BB160+BB150</f>
        <v>81698</v>
      </c>
      <c r="BC165" s="72">
        <f t="shared" si="526"/>
        <v>18893</v>
      </c>
      <c r="BD165" s="72">
        <f t="shared" si="526"/>
        <v>21815</v>
      </c>
      <c r="BE165" s="72">
        <f t="shared" si="526"/>
        <v>22130</v>
      </c>
      <c r="BF165" s="72">
        <f t="shared" si="526"/>
        <v>23785.3</v>
      </c>
      <c r="BG165" s="71">
        <f>SUM(BG162:BG164)+BG160+BG150</f>
        <v>86623.3</v>
      </c>
      <c r="BH165" s="72">
        <f t="shared" si="526"/>
        <v>20465</v>
      </c>
      <c r="BI165" s="597">
        <f t="shared" si="526"/>
        <v>22045</v>
      </c>
      <c r="BJ165" s="597">
        <f t="shared" si="526"/>
        <v>23784</v>
      </c>
      <c r="BK165" s="597">
        <f t="shared" si="526"/>
        <v>24468</v>
      </c>
      <c r="BL165" s="71">
        <f>SUM(BL162:BL164)+BL160+BL150</f>
        <v>90762</v>
      </c>
      <c r="BM165" s="597">
        <f t="shared" si="526"/>
        <v>22149</v>
      </c>
      <c r="BN165" s="597">
        <f t="shared" si="526"/>
        <v>24543</v>
      </c>
      <c r="BO165" s="597">
        <f t="shared" si="526"/>
        <v>25849</v>
      </c>
      <c r="BP165" s="597">
        <f t="shared" si="526"/>
        <v>23573</v>
      </c>
      <c r="BQ165" s="71">
        <f>SUM(BQ162:BQ164)+BQ160+BQ150</f>
        <v>96114</v>
      </c>
      <c r="BR165" s="597">
        <f t="shared" ref="BR165:BX165" si="527">SUM(BR148:BR149,BR161:BR164)</f>
        <v>22632</v>
      </c>
      <c r="BS165" s="597">
        <f t="shared" si="527"/>
        <v>24755</v>
      </c>
      <c r="BT165" s="597">
        <f t="shared" si="527"/>
        <v>23898</v>
      </c>
      <c r="BU165" s="597">
        <f t="shared" si="527"/>
        <v>23286</v>
      </c>
      <c r="BV165" s="71">
        <f t="shared" si="527"/>
        <v>94571</v>
      </c>
      <c r="BW165" s="90">
        <f t="shared" si="527"/>
        <v>21961</v>
      </c>
      <c r="BX165" s="90">
        <f t="shared" si="527"/>
        <v>23051</v>
      </c>
      <c r="BY165" s="90">
        <f>SUM(BY148:BY149,BY161:BY164)</f>
        <v>24223</v>
      </c>
      <c r="BZ165" s="90">
        <f>SUM(BZ148:BZ149,BZ161:BZ164)</f>
        <v>24770</v>
      </c>
      <c r="CA165" s="874">
        <f t="shared" ref="CA165" si="528">SUM(CA148:CA149,CA161:CA164)</f>
        <v>94005</v>
      </c>
      <c r="CB165" s="90">
        <f>SUM(CB148:CB149,CB161:CB164)</f>
        <v>23382</v>
      </c>
      <c r="CC165" s="90">
        <f>SUM(CC148:CC149,CC161:CC164)</f>
        <v>24258</v>
      </c>
      <c r="CD165" s="90">
        <f>SUM(CD148:CD149,CD161:CD164)</f>
        <v>25146</v>
      </c>
      <c r="CE165" s="90">
        <f>SUM(CE148:CE149,CE161:CE164)</f>
        <v>28341</v>
      </c>
      <c r="CF165" s="874">
        <f t="shared" ref="CF165" si="529">SUM(CF148:CF149,CF161:CF164)</f>
        <v>101127</v>
      </c>
      <c r="CG165" s="90">
        <f>SUM(CG148:CG149,CG161:CG164)</f>
        <v>22917</v>
      </c>
      <c r="CH165" s="90">
        <f>SUM(CH148:CH149,CH161:CH164)</f>
        <v>15751</v>
      </c>
      <c r="CI165" s="90">
        <f>SUM(CI148:CI149,CI161:CI164)</f>
        <v>19980</v>
      </c>
      <c r="CJ165" s="90">
        <f>SUM(CJ148:CJ149,CJ161:CJ164)</f>
        <v>17911</v>
      </c>
      <c r="CK165" s="874">
        <f t="shared" ref="CK165" si="530">SUM(CK148:CK149,CK161:CK164)</f>
        <v>76559</v>
      </c>
      <c r="CL165" s="90">
        <f>SUM(CL148:CL149,CL161:CL164)</f>
        <v>16908</v>
      </c>
      <c r="CM165" s="90">
        <f>SUM(CM148:CM149,CM161:CM164)</f>
        <v>11807</v>
      </c>
      <c r="CN165" s="90">
        <f>SUM(CN148:CN149,CN161:CN164)</f>
        <v>14139</v>
      </c>
      <c r="CO165" s="90">
        <f>SUM(CO148:CO149,CO161:CO164)</f>
        <v>15304</v>
      </c>
      <c r="CP165" s="874">
        <f t="shared" ref="CP165" si="531">SUM(CP148:CP149,CP161:CP164)</f>
        <v>58158</v>
      </c>
      <c r="CQ165" s="90">
        <f>SUM(CQ148:CQ149,CQ161:CQ164)</f>
        <v>15217</v>
      </c>
      <c r="CR165" s="90">
        <f>SUM(CR148:CR149,CR161:CR164)</f>
        <v>16998</v>
      </c>
      <c r="CS165" s="90">
        <f>SUM(CS148:CS149,CS161:CS164)</f>
        <v>15278</v>
      </c>
      <c r="CT165" s="90">
        <f>SUM(CT148:CT149,CT161:CT164)</f>
        <v>14793</v>
      </c>
      <c r="CU165" s="874">
        <f t="shared" ref="CU165" si="532">SUM(CU148:CU149,CU161:CU164)</f>
        <v>62286</v>
      </c>
      <c r="CV165" s="90">
        <f>SUM(CV148:CV149,CV161:CV164)</f>
        <v>13991</v>
      </c>
      <c r="CW165" s="90">
        <f>SUM(CW148:CW149,CW161:CW164)</f>
        <v>16681</v>
      </c>
      <c r="CX165" s="90">
        <f>SUM(CX148:CX149,CX161:CX164)</f>
        <v>15956</v>
      </c>
      <c r="CY165" s="90">
        <f>SUM(CY148:CY149,CY161:CY164)</f>
        <v>19980</v>
      </c>
      <c r="CZ165" s="874">
        <f t="shared" ref="CZ165" si="533">SUM(CZ148:CZ149,CZ161:CZ164)</f>
        <v>66608</v>
      </c>
      <c r="DA165" s="90">
        <f>SUM(DA148:DA149,DA161:DA164)</f>
        <v>17921</v>
      </c>
      <c r="DB165" s="90">
        <f>SUM(DB148:DB149,DB161:DB164)</f>
        <v>19751</v>
      </c>
      <c r="DC165" s="90">
        <f>SUM(DC148:DC149,DC161:DC164)</f>
        <v>18104</v>
      </c>
      <c r="DD165" s="90">
        <f>SUM(DD148:DD149,DD161:DD164)</f>
        <v>22018</v>
      </c>
      <c r="DE165" s="874">
        <f t="shared" ref="DE165" si="534">SUM(DE148:DE149,DE161:DE164)</f>
        <v>77794</v>
      </c>
      <c r="DF165" s="90">
        <f>SUM(DF148:DF149,DF161:DF164)</f>
        <v>16569</v>
      </c>
      <c r="DG165" s="90">
        <f>SUM(DG148:DG149,DG161:DG164)</f>
        <v>16866</v>
      </c>
      <c r="DH165" s="1066">
        <f>SUM(DH148:DH149,DH161:DH164)</f>
        <v>17840</v>
      </c>
      <c r="DI165" s="90">
        <f>SUM(DI148:DI149,DI161:DI164)</f>
        <v>15242</v>
      </c>
      <c r="DJ165" s="874">
        <f t="shared" ref="DJ165" si="535">SUM(DJ148:DJ149,DJ161:DJ164)</f>
        <v>66517</v>
      </c>
      <c r="DK165" s="90">
        <f>SUM(DK148:DK149,DK161:DK164)</f>
        <v>19496</v>
      </c>
      <c r="DL165" s="90">
        <f>SUM(DL148:DL149,DL161:DL164)</f>
        <v>22749</v>
      </c>
      <c r="DM165" s="90">
        <f>SUM(DM148:DM149,DM161:DM164)</f>
        <v>23270</v>
      </c>
      <c r="DN165" s="90">
        <f>SUM(DN148:DN149,DN161:DN164)</f>
        <v>23948</v>
      </c>
      <c r="DO165" s="874">
        <f t="shared" ref="DO165" si="536">SUM(DO148:DO149,DO161:DO164)</f>
        <v>89463</v>
      </c>
      <c r="DP165" s="90">
        <f>SUM(DP148:DP149,DP161:DP164)</f>
        <v>22217</v>
      </c>
      <c r="DQ165" s="1066">
        <f>SUM(DQ148:DQ149,DQ161:DQ164)</f>
        <v>24560</v>
      </c>
      <c r="DS165" s="597"/>
      <c r="DT165" s="85"/>
      <c r="DU165" s="90"/>
      <c r="DX165" s="597"/>
      <c r="DY165" s="85"/>
      <c r="DZ165" s="85"/>
      <c r="EA165" s="85"/>
      <c r="EB165" s="85"/>
    </row>
    <row r="166" spans="1:132" s="105" customFormat="1" ht="12" customHeight="1">
      <c r="A166" s="68"/>
      <c r="B166" s="68"/>
      <c r="C166" s="76"/>
      <c r="D166" s="76"/>
      <c r="E166" s="76"/>
      <c r="F166" s="76"/>
      <c r="G166" s="76"/>
      <c r="H166" s="76"/>
      <c r="I166" s="76"/>
      <c r="J166" s="77"/>
      <c r="K166" s="77"/>
      <c r="L166" s="77"/>
      <c r="M166" s="77"/>
      <c r="N166" s="76"/>
      <c r="O166" s="77"/>
      <c r="P166" s="77"/>
      <c r="Q166" s="77"/>
      <c r="R166" s="77"/>
      <c r="S166" s="76"/>
      <c r="T166" s="77"/>
      <c r="U166" s="77"/>
      <c r="V166" s="77"/>
      <c r="W166" s="77"/>
      <c r="X166" s="76"/>
      <c r="Y166" s="77"/>
      <c r="Z166" s="77"/>
      <c r="AA166" s="77"/>
      <c r="AB166" s="77"/>
      <c r="AC166" s="76"/>
      <c r="AD166" s="77"/>
      <c r="AE166" s="77"/>
      <c r="AF166" s="77"/>
      <c r="AG166" s="77"/>
      <c r="AH166" s="76"/>
      <c r="AI166" s="77"/>
      <c r="AJ166" s="77"/>
      <c r="AK166" s="77"/>
      <c r="AL166" s="77"/>
      <c r="AM166" s="93"/>
      <c r="AN166" s="77"/>
      <c r="AO166" s="77"/>
      <c r="AP166" s="77"/>
      <c r="AQ166" s="77"/>
      <c r="AR166" s="93"/>
      <c r="AS166" s="77"/>
      <c r="AT166" s="77"/>
      <c r="AU166" s="77"/>
      <c r="AV166" s="562"/>
      <c r="AW166" s="93"/>
      <c r="AX166" s="77"/>
      <c r="AY166" s="77"/>
      <c r="AZ166" s="77"/>
      <c r="BA166" s="562"/>
      <c r="BB166" s="93"/>
      <c r="BC166" s="562"/>
      <c r="BD166" s="77"/>
      <c r="BE166" s="77"/>
      <c r="BF166" s="562"/>
      <c r="BG166" s="93"/>
      <c r="BH166" s="562"/>
      <c r="BI166" s="693"/>
      <c r="BJ166" s="77"/>
      <c r="BK166" s="562"/>
      <c r="BL166" s="93"/>
      <c r="BM166" s="562"/>
      <c r="BN166" s="693"/>
      <c r="BO166" s="77"/>
      <c r="BP166" s="562"/>
      <c r="BQ166" s="93"/>
      <c r="BR166" s="562"/>
      <c r="BS166" s="554"/>
      <c r="BT166" s="77"/>
      <c r="BU166" s="562"/>
      <c r="BV166" s="93"/>
      <c r="BW166" s="745"/>
      <c r="BX166" s="554"/>
      <c r="BY166" s="86"/>
      <c r="BZ166" s="745"/>
      <c r="CA166" s="905"/>
      <c r="CB166" s="562"/>
      <c r="CC166" s="693"/>
      <c r="CD166" s="77"/>
      <c r="CE166" s="562"/>
      <c r="CF166" s="93"/>
      <c r="CG166" s="693"/>
      <c r="CH166" s="693"/>
      <c r="CI166" s="693"/>
      <c r="CJ166" s="693"/>
      <c r="CK166" s="93"/>
      <c r="CL166" s="562"/>
      <c r="CM166" s="562"/>
      <c r="CN166" s="562"/>
      <c r="CO166" s="562"/>
      <c r="CP166" s="93"/>
      <c r="CQ166" s="562"/>
      <c r="CR166" s="562"/>
      <c r="CS166" s="562"/>
      <c r="CT166" s="562"/>
      <c r="CU166" s="93"/>
      <c r="CV166" s="562"/>
      <c r="CW166" s="562"/>
      <c r="CX166" s="562"/>
      <c r="CY166" s="562"/>
      <c r="CZ166" s="93"/>
      <c r="DA166" s="562"/>
      <c r="DB166" s="562"/>
      <c r="DC166" s="562"/>
      <c r="DD166" s="562"/>
      <c r="DE166" s="93"/>
      <c r="DG166" s="744"/>
      <c r="DH166" s="1049"/>
      <c r="DI166" s="562"/>
      <c r="DJ166" s="93"/>
      <c r="DL166" s="744"/>
      <c r="DM166" s="744"/>
      <c r="DN166" s="562"/>
      <c r="DO166" s="93"/>
      <c r="DP166" s="562"/>
      <c r="DQ166" s="1049"/>
      <c r="DS166" s="562"/>
      <c r="DT166" s="93"/>
      <c r="DX166" s="562"/>
      <c r="DY166" s="93"/>
      <c r="DZ166" s="93"/>
      <c r="EA166" s="93"/>
      <c r="EB166" s="93"/>
    </row>
    <row r="167" spans="1:132" s="105" customFormat="1" ht="12" customHeight="1">
      <c r="A167" s="68"/>
      <c r="B167" s="74" t="s">
        <v>111</v>
      </c>
      <c r="C167" s="76"/>
      <c r="D167" s="76"/>
      <c r="E167" s="76"/>
      <c r="F167" s="76"/>
      <c r="G167" s="76"/>
      <c r="H167" s="76"/>
      <c r="I167" s="76"/>
      <c r="J167" s="77"/>
      <c r="K167" s="77"/>
      <c r="L167" s="77"/>
      <c r="M167" s="77"/>
      <c r="N167" s="76"/>
      <c r="O167" s="77"/>
      <c r="P167" s="77"/>
      <c r="Q167" s="77"/>
      <c r="R167" s="77"/>
      <c r="S167" s="76"/>
      <c r="T167" s="77"/>
      <c r="U167" s="77"/>
      <c r="V167" s="77"/>
      <c r="W167" s="77"/>
      <c r="X167" s="76"/>
      <c r="Y167" s="77"/>
      <c r="Z167" s="77"/>
      <c r="AA167" s="77"/>
      <c r="AB167" s="77"/>
      <c r="AC167" s="76"/>
      <c r="AD167" s="77"/>
      <c r="AE167" s="77"/>
      <c r="AF167" s="77"/>
      <c r="AG167" s="77"/>
      <c r="AH167" s="76"/>
      <c r="AI167" s="77"/>
      <c r="AJ167" s="77"/>
      <c r="AK167" s="77"/>
      <c r="AL167" s="77"/>
      <c r="AM167" s="93"/>
      <c r="AN167" s="77"/>
      <c r="AO167" s="77"/>
      <c r="AP167" s="77"/>
      <c r="AQ167" s="77"/>
      <c r="AR167" s="93"/>
      <c r="AS167" s="77"/>
      <c r="AT167" s="77"/>
      <c r="AU167" s="77"/>
      <c r="AV167" s="562"/>
      <c r="AW167" s="93"/>
      <c r="AX167" s="77"/>
      <c r="AY167" s="77"/>
      <c r="AZ167" s="77"/>
      <c r="BA167" s="562"/>
      <c r="BB167" s="93"/>
      <c r="BC167" s="562"/>
      <c r="BD167" s="77"/>
      <c r="BE167" s="77"/>
      <c r="BF167" s="562"/>
      <c r="BG167" s="93"/>
      <c r="BH167" s="562"/>
      <c r="BI167" s="693"/>
      <c r="BJ167" s="77"/>
      <c r="BK167" s="562"/>
      <c r="BL167" s="93"/>
      <c r="BM167" s="562"/>
      <c r="BN167" s="693"/>
      <c r="BO167" s="77"/>
      <c r="BP167" s="562"/>
      <c r="BQ167" s="93"/>
      <c r="BR167" s="745"/>
      <c r="BS167" s="554"/>
      <c r="BT167" s="77"/>
      <c r="BU167" s="562"/>
      <c r="BV167" s="93"/>
      <c r="BW167" s="745"/>
      <c r="BX167" s="554"/>
      <c r="BY167" s="86"/>
      <c r="BZ167" s="745"/>
      <c r="CA167" s="905"/>
      <c r="CB167" s="562"/>
      <c r="CC167" s="693"/>
      <c r="CD167" s="77"/>
      <c r="CE167" s="562"/>
      <c r="CF167" s="93"/>
      <c r="CG167" s="693"/>
      <c r="CH167" s="693"/>
      <c r="CI167" s="693"/>
      <c r="CJ167" s="693"/>
      <c r="CK167" s="93"/>
      <c r="CL167" s="562"/>
      <c r="CM167" s="562"/>
      <c r="CN167" s="562"/>
      <c r="CO167" s="562"/>
      <c r="CP167" s="93"/>
      <c r="CQ167" s="562"/>
      <c r="CR167" s="562"/>
      <c r="CS167" s="562"/>
      <c r="CT167" s="562"/>
      <c r="CU167" s="93"/>
      <c r="CV167" s="562"/>
      <c r="CW167" s="562"/>
      <c r="CX167" s="562"/>
      <c r="CY167" s="562"/>
      <c r="CZ167" s="93"/>
      <c r="DA167" s="562"/>
      <c r="DB167" s="562"/>
      <c r="DC167" s="562"/>
      <c r="DD167" s="562"/>
      <c r="DE167" s="93"/>
      <c r="DG167" s="744"/>
      <c r="DH167" s="1049"/>
      <c r="DI167" s="562"/>
      <c r="DJ167" s="93"/>
      <c r="DL167" s="744"/>
      <c r="DM167" s="744"/>
      <c r="DN167" s="562"/>
      <c r="DO167" s="93"/>
      <c r="DP167" s="562"/>
      <c r="DQ167" s="1049"/>
      <c r="DS167" s="562"/>
      <c r="DT167" s="93"/>
      <c r="DX167" s="562"/>
      <c r="DY167" s="93"/>
      <c r="DZ167" s="93"/>
      <c r="EA167" s="93"/>
      <c r="EB167" s="93"/>
    </row>
    <row r="168" spans="1:132" s="105" customFormat="1" ht="12" customHeight="1">
      <c r="A168" s="68"/>
      <c r="B168" s="68" t="s">
        <v>105</v>
      </c>
      <c r="C168" s="76"/>
      <c r="D168" s="76"/>
      <c r="E168" s="76"/>
      <c r="F168" s="76"/>
      <c r="G168" s="76"/>
      <c r="H168" s="76"/>
      <c r="I168" s="76"/>
      <c r="J168" s="77"/>
      <c r="K168" s="77"/>
      <c r="L168" s="77"/>
      <c r="M168" s="77"/>
      <c r="N168" s="76"/>
      <c r="O168" s="77"/>
      <c r="P168" s="77"/>
      <c r="Q168" s="77"/>
      <c r="R168" s="77"/>
      <c r="S168" s="76"/>
      <c r="T168" s="77"/>
      <c r="U168" s="77"/>
      <c r="V168" s="77"/>
      <c r="W168" s="77"/>
      <c r="X168" s="76"/>
      <c r="Y168" s="77"/>
      <c r="Z168" s="77"/>
      <c r="AA168" s="77"/>
      <c r="AB168" s="77"/>
      <c r="AC168" s="76"/>
      <c r="AD168" s="77"/>
      <c r="AE168" s="77"/>
      <c r="AF168" s="77"/>
      <c r="AG168" s="77"/>
      <c r="AH168" s="76"/>
      <c r="AI168" s="77"/>
      <c r="AJ168" s="77"/>
      <c r="AK168" s="77"/>
      <c r="AL168" s="77"/>
      <c r="AM168" s="93"/>
      <c r="AN168" s="77"/>
      <c r="AO168" s="77"/>
      <c r="AP168" s="77"/>
      <c r="AQ168" s="77"/>
      <c r="AR168" s="93"/>
      <c r="AS168" s="77"/>
      <c r="AT168" s="77"/>
      <c r="AU168" s="77"/>
      <c r="AV168" s="562"/>
      <c r="AW168" s="93"/>
      <c r="AX168" s="77"/>
      <c r="AY168" s="77"/>
      <c r="AZ168" s="77"/>
      <c r="BA168" s="562"/>
      <c r="BB168" s="93"/>
      <c r="BC168" s="562"/>
      <c r="BD168" s="77"/>
      <c r="BE168" s="77"/>
      <c r="BF168" s="562"/>
      <c r="BG168" s="93"/>
      <c r="BH168" s="562"/>
      <c r="BI168" s="693"/>
      <c r="BJ168" s="77"/>
      <c r="BK168" s="562"/>
      <c r="BL168" s="93"/>
      <c r="BM168" s="562"/>
      <c r="BN168" s="693"/>
      <c r="BO168" s="77"/>
      <c r="BP168" s="562"/>
      <c r="BQ168" s="93"/>
      <c r="BR168" s="745">
        <v>792</v>
      </c>
      <c r="BS168" s="554">
        <v>-1281</v>
      </c>
      <c r="BT168" s="77">
        <v>1293</v>
      </c>
      <c r="BU168" s="562">
        <v>1191</v>
      </c>
      <c r="BV168" s="76">
        <f t="shared" ref="BV168:BV169" si="537">SUM(BR168:BU168)</f>
        <v>1995</v>
      </c>
      <c r="BW168" s="745">
        <v>870</v>
      </c>
      <c r="BX168" s="554">
        <v>1282</v>
      </c>
      <c r="BY168" s="86">
        <v>1513</v>
      </c>
      <c r="BZ168" s="745">
        <v>1787</v>
      </c>
      <c r="CA168" s="871">
        <f t="shared" ref="CA168:CA169" si="538">SUM(BW168:BZ168)</f>
        <v>5452</v>
      </c>
      <c r="CB168" s="744">
        <v>1412</v>
      </c>
      <c r="CC168" s="693">
        <v>1785</v>
      </c>
      <c r="CD168" s="16">
        <v>2033</v>
      </c>
      <c r="CE168" s="744">
        <v>2600</v>
      </c>
      <c r="CF168" s="871">
        <f t="shared" ref="CF168:CF169" si="539">SUM(CB168:CE168)</f>
        <v>7830</v>
      </c>
      <c r="CG168" s="693">
        <v>1173</v>
      </c>
      <c r="CH168" s="693">
        <v>-4946</v>
      </c>
      <c r="CI168" s="693">
        <v>-40</v>
      </c>
      <c r="CJ168" s="693">
        <v>-2844</v>
      </c>
      <c r="CK168" s="871">
        <f t="shared" ref="CK168:CK169" si="540">SUM(CG168:CJ168)</f>
        <v>-6657</v>
      </c>
      <c r="CL168" s="562">
        <v>-2068</v>
      </c>
      <c r="CM168" s="562">
        <v>-2762</v>
      </c>
      <c r="CN168" s="562">
        <v>-1369</v>
      </c>
      <c r="CO168" s="562">
        <v>-7648</v>
      </c>
      <c r="CP168" s="871">
        <f t="shared" ref="CP168:CP169" si="541">SUM(CL168:CO168)</f>
        <v>-13847</v>
      </c>
      <c r="CQ168" s="562">
        <v>-856</v>
      </c>
      <c r="CR168" s="562">
        <v>-472</v>
      </c>
      <c r="CS168" s="562">
        <v>-693</v>
      </c>
      <c r="CT168" s="562">
        <v>-4454</v>
      </c>
      <c r="CU168" s="871">
        <f t="shared" ref="CU168:CU169" si="542">SUM(CQ168:CT168)</f>
        <v>-6475</v>
      </c>
      <c r="CV168" s="562">
        <v>-859</v>
      </c>
      <c r="CW168" s="562">
        <v>-242</v>
      </c>
      <c r="CX168" s="562">
        <v>-643</v>
      </c>
      <c r="CY168" s="744">
        <v>-626</v>
      </c>
      <c r="CZ168" s="871">
        <f t="shared" ref="CZ168:CZ169" si="543">SUM(CV168:CY168)</f>
        <v>-2370</v>
      </c>
      <c r="DA168" s="562">
        <v>-615</v>
      </c>
      <c r="DB168" s="562">
        <v>-383</v>
      </c>
      <c r="DC168" s="562">
        <v>-678</v>
      </c>
      <c r="DD168" s="562">
        <v>41</v>
      </c>
      <c r="DE168" s="871">
        <f t="shared" ref="DE168:DE169" si="544">SUM(DA168:DD168)</f>
        <v>-1635</v>
      </c>
      <c r="DF168" s="105">
        <v>-1143</v>
      </c>
      <c r="DG168" s="744">
        <v>-715</v>
      </c>
      <c r="DH168" s="1049">
        <v>-4021</v>
      </c>
      <c r="DI168" s="1080">
        <v>-2090</v>
      </c>
      <c r="DJ168" s="871">
        <f t="shared" ref="DJ168:DJ169" si="545">SUM(DF168:DI168)</f>
        <v>-7969</v>
      </c>
      <c r="DK168" s="1074">
        <v>-537</v>
      </c>
      <c r="DL168" s="1074">
        <v>-557</v>
      </c>
      <c r="DM168" s="1074">
        <v>-5353</v>
      </c>
      <c r="DN168" s="1074">
        <v>-632</v>
      </c>
      <c r="DO168" s="871">
        <f t="shared" ref="DO168:DO169" si="546">SUM(DK168:DN168)</f>
        <v>-7079</v>
      </c>
      <c r="DP168" s="1074">
        <v>-563</v>
      </c>
      <c r="DQ168" s="1086">
        <v>-322</v>
      </c>
      <c r="DS168" s="562"/>
      <c r="DT168" s="93"/>
      <c r="DU168" s="1086"/>
      <c r="DX168" s="562"/>
      <c r="DY168" s="93"/>
      <c r="DZ168" s="93"/>
      <c r="EA168" s="93"/>
      <c r="EB168" s="93"/>
    </row>
    <row r="169" spans="1:132" s="105" customFormat="1" ht="12" customHeight="1">
      <c r="A169" s="68"/>
      <c r="B169" s="68" t="s">
        <v>391</v>
      </c>
      <c r="C169" s="76"/>
      <c r="D169" s="76"/>
      <c r="E169" s="76"/>
      <c r="F169" s="76"/>
      <c r="G169" s="76"/>
      <c r="H169" s="76"/>
      <c r="I169" s="76"/>
      <c r="J169" s="77"/>
      <c r="K169" s="77"/>
      <c r="L169" s="77"/>
      <c r="M169" s="77"/>
      <c r="N169" s="76"/>
      <c r="O169" s="77"/>
      <c r="P169" s="77"/>
      <c r="Q169" s="77"/>
      <c r="R169" s="77"/>
      <c r="S169" s="76"/>
      <c r="T169" s="77"/>
      <c r="U169" s="77"/>
      <c r="V169" s="77"/>
      <c r="W169" s="77"/>
      <c r="X169" s="76"/>
      <c r="Y169" s="77"/>
      <c r="Z169" s="77"/>
      <c r="AA169" s="77"/>
      <c r="AB169" s="77"/>
      <c r="AC169" s="76"/>
      <c r="AD169" s="77"/>
      <c r="AE169" s="77"/>
      <c r="AF169" s="77"/>
      <c r="AG169" s="77"/>
      <c r="AH169" s="76"/>
      <c r="AI169" s="77"/>
      <c r="AJ169" s="77"/>
      <c r="AK169" s="77"/>
      <c r="AL169" s="77"/>
      <c r="AM169" s="93"/>
      <c r="AN169" s="77"/>
      <c r="AO169" s="77"/>
      <c r="AP169" s="77"/>
      <c r="AQ169" s="77"/>
      <c r="AR169" s="93"/>
      <c r="AS169" s="77"/>
      <c r="AT169" s="77"/>
      <c r="AU169" s="77"/>
      <c r="AV169" s="562"/>
      <c r="AW169" s="93"/>
      <c r="AX169" s="77"/>
      <c r="AY169" s="77"/>
      <c r="AZ169" s="77"/>
      <c r="BA169" s="562"/>
      <c r="BB169" s="93"/>
      <c r="BC169" s="562"/>
      <c r="BD169" s="77"/>
      <c r="BE169" s="77"/>
      <c r="BF169" s="562"/>
      <c r="BG169" s="93"/>
      <c r="BH169" s="562"/>
      <c r="BI169" s="693"/>
      <c r="BJ169" s="77"/>
      <c r="BK169" s="562"/>
      <c r="BL169" s="93"/>
      <c r="BM169" s="562"/>
      <c r="BN169" s="693"/>
      <c r="BO169" s="77"/>
      <c r="BP169" s="562"/>
      <c r="BQ169" s="93"/>
      <c r="BR169" s="745">
        <v>517</v>
      </c>
      <c r="BS169" s="554">
        <v>362</v>
      </c>
      <c r="BT169" s="77">
        <v>564</v>
      </c>
      <c r="BU169" s="562">
        <v>523</v>
      </c>
      <c r="BV169" s="76">
        <f t="shared" si="537"/>
        <v>1966</v>
      </c>
      <c r="BW169" s="745">
        <v>549</v>
      </c>
      <c r="BX169" s="554">
        <v>614</v>
      </c>
      <c r="BY169" s="86">
        <v>486</v>
      </c>
      <c r="BZ169" s="745">
        <v>544</v>
      </c>
      <c r="CA169" s="871">
        <f t="shared" si="538"/>
        <v>2193</v>
      </c>
      <c r="CB169" s="744">
        <v>757</v>
      </c>
      <c r="CC169" s="693">
        <v>376</v>
      </c>
      <c r="CD169" s="16">
        <v>-247</v>
      </c>
      <c r="CE169" s="744">
        <v>771</v>
      </c>
      <c r="CF169" s="871">
        <f t="shared" si="539"/>
        <v>1657</v>
      </c>
      <c r="CG169" s="693">
        <v>847</v>
      </c>
      <c r="CH169" s="693">
        <v>975</v>
      </c>
      <c r="CI169" s="693">
        <v>754</v>
      </c>
      <c r="CJ169" s="693">
        <v>31</v>
      </c>
      <c r="CK169" s="871">
        <f t="shared" si="540"/>
        <v>2607</v>
      </c>
      <c r="CL169" s="562">
        <v>-191</v>
      </c>
      <c r="CM169" s="562">
        <v>600</v>
      </c>
      <c r="CN169" s="562">
        <v>628</v>
      </c>
      <c r="CO169" s="562">
        <v>502</v>
      </c>
      <c r="CP169" s="871">
        <f t="shared" si="541"/>
        <v>1539</v>
      </c>
      <c r="CQ169" s="562">
        <v>405</v>
      </c>
      <c r="CR169" s="562">
        <v>958</v>
      </c>
      <c r="CS169" s="562">
        <v>436</v>
      </c>
      <c r="CT169" s="562">
        <v>-255</v>
      </c>
      <c r="CU169" s="871">
        <f t="shared" si="542"/>
        <v>1544</v>
      </c>
      <c r="CV169" s="562">
        <v>-929</v>
      </c>
      <c r="CW169" s="562">
        <v>71</v>
      </c>
      <c r="CX169" s="562">
        <v>-2798</v>
      </c>
      <c r="CY169" s="562">
        <v>112</v>
      </c>
      <c r="CZ169" s="871">
        <f t="shared" si="543"/>
        <v>-3544</v>
      </c>
      <c r="DA169" s="562">
        <v>-212</v>
      </c>
      <c r="DB169" s="562">
        <v>-527</v>
      </c>
      <c r="DC169" s="562">
        <v>-924</v>
      </c>
      <c r="DD169" s="562">
        <v>-101</v>
      </c>
      <c r="DE169" s="871">
        <f t="shared" si="544"/>
        <v>-1764</v>
      </c>
      <c r="DF169" s="105">
        <v>151</v>
      </c>
      <c r="DG169" s="744">
        <v>-913</v>
      </c>
      <c r="DH169" s="1049">
        <v>-2384</v>
      </c>
      <c r="DI169" s="1080">
        <v>-2267</v>
      </c>
      <c r="DJ169" s="871">
        <f t="shared" si="545"/>
        <v>-5413</v>
      </c>
      <c r="DK169" s="1074">
        <v>155</v>
      </c>
      <c r="DL169" s="1074">
        <v>110</v>
      </c>
      <c r="DM169" s="1074">
        <v>114</v>
      </c>
      <c r="DN169" s="1074">
        <v>-507</v>
      </c>
      <c r="DO169" s="871">
        <f t="shared" si="546"/>
        <v>-128</v>
      </c>
      <c r="DP169" s="1074">
        <v>233</v>
      </c>
      <c r="DQ169" s="1086">
        <v>-15</v>
      </c>
      <c r="DS169" s="562"/>
      <c r="DT169" s="93"/>
      <c r="DU169" s="1086"/>
      <c r="DX169" s="562"/>
      <c r="DY169" s="93"/>
      <c r="DZ169" s="93"/>
      <c r="EA169" s="93"/>
      <c r="EB169" s="93"/>
    </row>
    <row r="170" spans="1:132" s="105" customFormat="1" ht="12" hidden="1" customHeight="1">
      <c r="A170" s="68"/>
      <c r="B170" s="829" t="s">
        <v>105</v>
      </c>
      <c r="C170" s="252">
        <v>-1837</v>
      </c>
      <c r="D170" s="252">
        <v>63</v>
      </c>
      <c r="E170" s="252">
        <v>2016</v>
      </c>
      <c r="F170" s="252">
        <v>2736</v>
      </c>
      <c r="G170" s="252">
        <v>2632</v>
      </c>
      <c r="H170" s="252">
        <v>2847</v>
      </c>
      <c r="I170" s="252">
        <v>707</v>
      </c>
      <c r="J170" s="253">
        <v>352</v>
      </c>
      <c r="K170" s="253">
        <v>382</v>
      </c>
      <c r="L170" s="253">
        <v>168</v>
      </c>
      <c r="M170" s="253">
        <f>N170-L170-K170-J170</f>
        <v>-149</v>
      </c>
      <c r="N170" s="252">
        <v>753</v>
      </c>
      <c r="O170" s="253">
        <v>389</v>
      </c>
      <c r="P170" s="253">
        <v>475</v>
      </c>
      <c r="Q170" s="253">
        <v>238</v>
      </c>
      <c r="R170" s="253">
        <f t="shared" ref="R170:R177" si="547">S170-Q170-P170-O170</f>
        <v>330</v>
      </c>
      <c r="S170" s="252">
        <v>1432</v>
      </c>
      <c r="T170" s="253">
        <v>703</v>
      </c>
      <c r="U170" s="253">
        <v>719</v>
      </c>
      <c r="V170" s="253">
        <v>646</v>
      </c>
      <c r="W170" s="253">
        <f>X170-V170-U170-T170</f>
        <v>665</v>
      </c>
      <c r="X170" s="252">
        <v>2733</v>
      </c>
      <c r="Y170" s="253">
        <v>706</v>
      </c>
      <c r="Z170" s="253">
        <v>960</v>
      </c>
      <c r="AA170" s="253">
        <v>945</v>
      </c>
      <c r="AB170" s="253">
        <f>AC170-AA170-Z170-Y170</f>
        <v>973</v>
      </c>
      <c r="AC170" s="252">
        <v>3584</v>
      </c>
      <c r="AD170" s="253">
        <v>983</v>
      </c>
      <c r="AE170" s="253">
        <v>777</v>
      </c>
      <c r="AF170" s="253">
        <v>394</v>
      </c>
      <c r="AG170" s="253">
        <f>AH170-AF170-AE170-AD170</f>
        <v>-968</v>
      </c>
      <c r="AH170" s="252">
        <v>1186</v>
      </c>
      <c r="AI170" s="253">
        <v>417</v>
      </c>
      <c r="AJ170" s="253">
        <v>817</v>
      </c>
      <c r="AK170" s="253">
        <v>-2837</v>
      </c>
      <c r="AL170" s="253">
        <v>1020</v>
      </c>
      <c r="AM170" s="252">
        <f>SUM(AI170:AL170)</f>
        <v>-583</v>
      </c>
      <c r="AN170" s="253">
        <v>679</v>
      </c>
      <c r="AO170" s="253">
        <v>683</v>
      </c>
      <c r="AP170" s="253">
        <v>1017</v>
      </c>
      <c r="AQ170" s="253">
        <v>627</v>
      </c>
      <c r="AR170" s="252">
        <f>SUM(AN170:AQ170)</f>
        <v>3006</v>
      </c>
      <c r="AS170" s="253">
        <v>509</v>
      </c>
      <c r="AT170" s="253">
        <v>920</v>
      </c>
      <c r="AU170" s="830">
        <v>1085</v>
      </c>
      <c r="AV170" s="831">
        <v>981</v>
      </c>
      <c r="AW170" s="252">
        <f>SUM(AS170:AV170)</f>
        <v>3495</v>
      </c>
      <c r="AX170" s="253">
        <v>1081</v>
      </c>
      <c r="AY170" s="253">
        <v>1211</v>
      </c>
      <c r="AZ170" s="253">
        <v>1153</v>
      </c>
      <c r="BA170" s="831">
        <v>1266</v>
      </c>
      <c r="BB170" s="252">
        <f>SUM(AX170:BA170)</f>
        <v>4711</v>
      </c>
      <c r="BC170" s="831">
        <v>1219</v>
      </c>
      <c r="BD170" s="253">
        <v>1453</v>
      </c>
      <c r="BE170" s="253">
        <v>1617</v>
      </c>
      <c r="BF170" s="831">
        <v>1506.3</v>
      </c>
      <c r="BG170" s="252">
        <f>SUM(BC170:BF170)</f>
        <v>5795.3</v>
      </c>
      <c r="BH170" s="831">
        <v>1502</v>
      </c>
      <c r="BI170" s="832">
        <v>1550</v>
      </c>
      <c r="BJ170" s="253">
        <v>1797</v>
      </c>
      <c r="BK170" s="831">
        <v>1562</v>
      </c>
      <c r="BL170" s="252">
        <f>SUM(BH170:BK170)</f>
        <v>6411</v>
      </c>
      <c r="BM170" s="831">
        <v>1617</v>
      </c>
      <c r="BN170" s="832">
        <v>1206</v>
      </c>
      <c r="BO170" s="253">
        <v>1768</v>
      </c>
      <c r="BP170" s="831">
        <v>566</v>
      </c>
      <c r="BQ170" s="252">
        <f>SUM(BM170:BP170)</f>
        <v>5157</v>
      </c>
      <c r="BR170" s="833">
        <v>1033</v>
      </c>
      <c r="BS170" s="834">
        <v>-973</v>
      </c>
      <c r="BT170" s="253">
        <v>1597</v>
      </c>
      <c r="BU170" s="831">
        <v>1473</v>
      </c>
      <c r="BV170" s="252">
        <f>SUM(BR170:BU170)</f>
        <v>3130</v>
      </c>
      <c r="BW170" s="833">
        <v>1215</v>
      </c>
      <c r="BX170" s="834">
        <v>1567</v>
      </c>
      <c r="BY170" s="830"/>
      <c r="BZ170" s="833"/>
      <c r="CA170" s="903">
        <f>SUM(BW170:BZ170)</f>
        <v>2782</v>
      </c>
      <c r="CB170" s="955"/>
      <c r="CC170" s="956"/>
      <c r="CD170" s="957"/>
      <c r="CE170" s="955"/>
      <c r="CF170" s="903">
        <f>SUM(CB170:CE170)</f>
        <v>0</v>
      </c>
      <c r="CG170" s="832"/>
      <c r="CH170" s="832"/>
      <c r="CI170" s="832"/>
      <c r="CJ170" s="832"/>
      <c r="CK170" s="903">
        <f>SUM(CG170:CJ170)</f>
        <v>0</v>
      </c>
      <c r="CL170" s="831"/>
      <c r="CM170" s="831"/>
      <c r="CN170" s="831"/>
      <c r="CO170" s="831"/>
      <c r="CP170" s="903">
        <f>SUM(CL170:CO170)</f>
        <v>0</v>
      </c>
      <c r="CQ170" s="831"/>
      <c r="CR170" s="831"/>
      <c r="CS170" s="831"/>
      <c r="CT170" s="831"/>
      <c r="CU170" s="903">
        <f>SUM(CQ170:CT170)</f>
        <v>0</v>
      </c>
      <c r="CV170" s="831"/>
      <c r="CW170" s="831"/>
      <c r="CX170" s="831"/>
      <c r="CY170" s="831"/>
      <c r="CZ170" s="903">
        <f>SUM(CV170:CY170)</f>
        <v>0</v>
      </c>
      <c r="DA170" s="831"/>
      <c r="DB170" s="831"/>
      <c r="DC170" s="831"/>
      <c r="DD170" s="831"/>
      <c r="DE170" s="903">
        <f>SUM(DA170:DD170)</f>
        <v>0</v>
      </c>
      <c r="DF170" s="1017"/>
      <c r="DG170" s="1048"/>
      <c r="DH170" s="1048"/>
      <c r="DI170" s="831"/>
      <c r="DJ170" s="903">
        <f>SUM(DF170:DI170)</f>
        <v>0</v>
      </c>
      <c r="DK170" s="1074"/>
      <c r="DL170" s="1074"/>
      <c r="DM170" s="1074"/>
      <c r="DN170" s="1074"/>
      <c r="DO170" s="903">
        <f>SUM(DK170:DN170)</f>
        <v>0</v>
      </c>
      <c r="DP170" s="1074"/>
      <c r="DQ170" s="1115"/>
      <c r="DR170" s="1017"/>
      <c r="DS170" s="831"/>
      <c r="DT170" s="835"/>
      <c r="DU170" s="1086"/>
      <c r="DV170" s="1017"/>
      <c r="DW170" s="1017"/>
      <c r="DX170" s="831"/>
      <c r="DY170" s="835"/>
      <c r="DZ170" s="835"/>
      <c r="EA170" s="835"/>
      <c r="EB170" s="835"/>
    </row>
    <row r="171" spans="1:132" s="105" customFormat="1" ht="12" hidden="1" customHeight="1">
      <c r="A171" s="68"/>
      <c r="B171" s="159" t="s">
        <v>106</v>
      </c>
      <c r="C171" s="76"/>
      <c r="D171" s="76"/>
      <c r="E171" s="76"/>
      <c r="F171" s="76"/>
      <c r="G171" s="76"/>
      <c r="H171" s="76"/>
      <c r="I171" s="76"/>
      <c r="J171" s="77"/>
      <c r="K171" s="77"/>
      <c r="L171" s="77"/>
      <c r="M171" s="77"/>
      <c r="N171" s="76">
        <v>1697</v>
      </c>
      <c r="O171" s="77">
        <v>384</v>
      </c>
      <c r="P171" s="77">
        <v>443</v>
      </c>
      <c r="Q171" s="77">
        <v>407</v>
      </c>
      <c r="R171" s="77">
        <f t="shared" si="547"/>
        <v>521</v>
      </c>
      <c r="S171" s="76">
        <v>1755</v>
      </c>
      <c r="T171" s="77">
        <v>475</v>
      </c>
      <c r="U171" s="77">
        <v>-5</v>
      </c>
      <c r="V171" s="77">
        <v>472</v>
      </c>
      <c r="W171" s="77">
        <f>X171-V171-U171-T171</f>
        <v>296</v>
      </c>
      <c r="X171" s="76">
        <v>1238</v>
      </c>
      <c r="Y171" s="77">
        <v>422</v>
      </c>
      <c r="Z171" s="77">
        <v>406</v>
      </c>
      <c r="AA171" s="77">
        <v>404</v>
      </c>
      <c r="AB171" s="77">
        <f>AC171-AA171-Z171-Y171</f>
        <v>397</v>
      </c>
      <c r="AC171" s="76">
        <v>1629</v>
      </c>
      <c r="AD171" s="77">
        <v>384</v>
      </c>
      <c r="AE171" s="77">
        <v>157</v>
      </c>
      <c r="AF171" s="77">
        <v>373</v>
      </c>
      <c r="AG171" s="77">
        <f>AH171-AF171-AE171-AD171</f>
        <v>362</v>
      </c>
      <c r="AH171" s="76">
        <v>1276</v>
      </c>
      <c r="AI171" s="77">
        <v>282</v>
      </c>
      <c r="AJ171" s="77">
        <v>392</v>
      </c>
      <c r="AK171" s="77">
        <v>486</v>
      </c>
      <c r="AL171" s="77">
        <v>353</v>
      </c>
      <c r="AM171" s="76">
        <f>SUM(AI171:AL171)</f>
        <v>1513</v>
      </c>
      <c r="AN171" s="77">
        <v>267</v>
      </c>
      <c r="AO171" s="77">
        <v>356</v>
      </c>
      <c r="AP171" s="77">
        <v>312</v>
      </c>
      <c r="AQ171" s="77">
        <v>323</v>
      </c>
      <c r="AR171" s="76">
        <f>SUM(AN171:AQ171)</f>
        <v>1258</v>
      </c>
      <c r="AS171" s="77">
        <v>369</v>
      </c>
      <c r="AT171" s="77">
        <v>386</v>
      </c>
      <c r="AU171" s="86">
        <v>397</v>
      </c>
      <c r="AV171" s="562">
        <v>374</v>
      </c>
      <c r="AW171" s="76">
        <f>SUM(AS171:AV171)</f>
        <v>1526</v>
      </c>
      <c r="AX171" s="77">
        <v>437</v>
      </c>
      <c r="AY171" s="77">
        <v>363</v>
      </c>
      <c r="AZ171" s="77">
        <v>445</v>
      </c>
      <c r="BA171" s="562">
        <v>336</v>
      </c>
      <c r="BB171" s="76">
        <f>SUM(AX171:BA171)</f>
        <v>1581</v>
      </c>
      <c r="BC171" s="562">
        <v>430</v>
      </c>
      <c r="BD171" s="77">
        <v>373</v>
      </c>
      <c r="BE171" s="77">
        <v>221</v>
      </c>
      <c r="BF171" s="562">
        <v>441</v>
      </c>
      <c r="BG171" s="76">
        <f>SUM(BC171:BF171)</f>
        <v>1465</v>
      </c>
      <c r="BH171" s="562">
        <v>332</v>
      </c>
      <c r="BI171" s="704">
        <v>165</v>
      </c>
      <c r="BJ171" s="77">
        <v>440</v>
      </c>
      <c r="BK171" s="562">
        <v>367</v>
      </c>
      <c r="BL171" s="76">
        <f>SUM(BH171:BK171)</f>
        <v>1304</v>
      </c>
      <c r="BM171" s="562">
        <v>261</v>
      </c>
      <c r="BN171" s="704">
        <v>123</v>
      </c>
      <c r="BO171" s="77">
        <v>496</v>
      </c>
      <c r="BP171" s="562">
        <v>438</v>
      </c>
      <c r="BQ171" s="76">
        <f>SUM(BM171:BP171)</f>
        <v>1318</v>
      </c>
      <c r="BR171" s="745">
        <v>334</v>
      </c>
      <c r="BS171" s="798">
        <v>175</v>
      </c>
      <c r="BT171" s="77">
        <v>434</v>
      </c>
      <c r="BU171" s="562">
        <v>288</v>
      </c>
      <c r="BV171" s="76">
        <f>SUM(BR171:BU171)</f>
        <v>1231</v>
      </c>
      <c r="BW171" s="745">
        <v>321</v>
      </c>
      <c r="BX171" s="798">
        <v>382</v>
      </c>
      <c r="BY171" s="86"/>
      <c r="BZ171" s="745"/>
      <c r="CA171" s="871">
        <f>SUM(BW171:BZ171)</f>
        <v>703</v>
      </c>
      <c r="CB171" s="958"/>
      <c r="CC171" s="959"/>
      <c r="CD171" s="960"/>
      <c r="CE171" s="958"/>
      <c r="CF171" s="871">
        <f>SUM(CB171:CE171)</f>
        <v>0</v>
      </c>
      <c r="CG171" s="704"/>
      <c r="CH171" s="704"/>
      <c r="CI171" s="704"/>
      <c r="CJ171" s="704"/>
      <c r="CK171" s="871">
        <f>SUM(CG171:CJ171)</f>
        <v>0</v>
      </c>
      <c r="CL171" s="562"/>
      <c r="CM171" s="562"/>
      <c r="CN171" s="562"/>
      <c r="CO171" s="562"/>
      <c r="CP171" s="871">
        <f>SUM(CL171:CO171)</f>
        <v>0</v>
      </c>
      <c r="CQ171" s="562"/>
      <c r="CR171" s="562"/>
      <c r="CS171" s="562"/>
      <c r="CT171" s="562"/>
      <c r="CU171" s="871">
        <f>SUM(CQ171:CT171)</f>
        <v>0</v>
      </c>
      <c r="CV171" s="562"/>
      <c r="CW171" s="562"/>
      <c r="CX171" s="562"/>
      <c r="CY171" s="562"/>
      <c r="CZ171" s="871">
        <f>SUM(CV171:CY171)</f>
        <v>0</v>
      </c>
      <c r="DA171" s="562"/>
      <c r="DB171" s="562"/>
      <c r="DC171" s="562"/>
      <c r="DD171" s="562"/>
      <c r="DE171" s="871">
        <f>SUM(DA171:DD171)</f>
        <v>0</v>
      </c>
      <c r="DG171" s="744"/>
      <c r="DH171" s="1049"/>
      <c r="DI171" s="562"/>
      <c r="DJ171" s="871">
        <f>SUM(DF171:DI171)</f>
        <v>0</v>
      </c>
      <c r="DK171" s="1074"/>
      <c r="DL171" s="1074"/>
      <c r="DM171" s="1074"/>
      <c r="DN171" s="1074"/>
      <c r="DO171" s="871">
        <f>SUM(DK171:DN171)</f>
        <v>0</v>
      </c>
      <c r="DP171" s="1074"/>
      <c r="DQ171" s="1086"/>
      <c r="DS171" s="562"/>
      <c r="DT171" s="93"/>
      <c r="DU171" s="1086"/>
      <c r="DX171" s="562"/>
      <c r="DY171" s="93"/>
      <c r="DZ171" s="93"/>
      <c r="EA171" s="93"/>
      <c r="EB171" s="93"/>
    </row>
    <row r="172" spans="1:132" s="105" customFormat="1" ht="12" hidden="1" customHeight="1">
      <c r="A172" s="68"/>
      <c r="B172" s="159" t="s">
        <v>107</v>
      </c>
      <c r="C172" s="76"/>
      <c r="D172" s="76"/>
      <c r="E172" s="76"/>
      <c r="F172" s="76"/>
      <c r="G172" s="76"/>
      <c r="H172" s="76"/>
      <c r="I172" s="76"/>
      <c r="J172" s="77"/>
      <c r="K172" s="77"/>
      <c r="L172" s="77"/>
      <c r="M172" s="77"/>
      <c r="N172" s="76">
        <v>577</v>
      </c>
      <c r="O172" s="77">
        <v>296</v>
      </c>
      <c r="P172" s="77">
        <v>200</v>
      </c>
      <c r="Q172" s="77">
        <v>712</v>
      </c>
      <c r="R172" s="77">
        <f t="shared" si="547"/>
        <v>191</v>
      </c>
      <c r="S172" s="76">
        <v>1399</v>
      </c>
      <c r="T172" s="77">
        <v>152</v>
      </c>
      <c r="U172" s="77">
        <v>109</v>
      </c>
      <c r="V172" s="77">
        <v>228</v>
      </c>
      <c r="W172" s="77">
        <f>X172-V172-U172-T172</f>
        <v>469</v>
      </c>
      <c r="X172" s="76">
        <v>958</v>
      </c>
      <c r="Y172" s="77">
        <v>162</v>
      </c>
      <c r="Z172" s="77">
        <v>256</v>
      </c>
      <c r="AA172" s="77">
        <v>178</v>
      </c>
      <c r="AB172" s="77">
        <f>AC172-AA172-Z172-Y172</f>
        <v>295</v>
      </c>
      <c r="AC172" s="76">
        <v>891</v>
      </c>
      <c r="AD172" s="77">
        <v>267</v>
      </c>
      <c r="AE172" s="77">
        <v>237</v>
      </c>
      <c r="AF172" s="77">
        <v>301</v>
      </c>
      <c r="AG172" s="77">
        <f>AH172-AF172-AE172-AD172</f>
        <v>228</v>
      </c>
      <c r="AH172" s="76">
        <v>1033</v>
      </c>
      <c r="AI172" s="77">
        <v>207</v>
      </c>
      <c r="AJ172" s="77">
        <v>239</v>
      </c>
      <c r="AK172" s="77">
        <v>252</v>
      </c>
      <c r="AL172" s="77">
        <v>141</v>
      </c>
      <c r="AM172" s="76">
        <f>SUM(AI172:AL172)</f>
        <v>839</v>
      </c>
      <c r="AN172" s="77">
        <v>174</v>
      </c>
      <c r="AO172" s="77">
        <v>167</v>
      </c>
      <c r="AP172" s="77">
        <v>152</v>
      </c>
      <c r="AQ172" s="77">
        <v>218</v>
      </c>
      <c r="AR172" s="76">
        <f>SUM(AN172:AQ172)</f>
        <v>711</v>
      </c>
      <c r="AS172" s="77">
        <v>143</v>
      </c>
      <c r="AT172" s="77">
        <v>198</v>
      </c>
      <c r="AU172" s="86">
        <v>179</v>
      </c>
      <c r="AV172" s="562">
        <v>170</v>
      </c>
      <c r="AW172" s="76">
        <f>SUM(AS172:AV172)</f>
        <v>690</v>
      </c>
      <c r="AX172" s="77">
        <v>73</v>
      </c>
      <c r="AY172" s="77">
        <v>126</v>
      </c>
      <c r="AZ172" s="77">
        <v>161</v>
      </c>
      <c r="BA172" s="562">
        <v>118</v>
      </c>
      <c r="BB172" s="76">
        <f>SUM(AX172:BA172)</f>
        <v>478</v>
      </c>
      <c r="BC172" s="562">
        <v>156</v>
      </c>
      <c r="BD172" s="77">
        <v>137</v>
      </c>
      <c r="BE172" s="77">
        <v>193</v>
      </c>
      <c r="BF172" s="562">
        <v>233</v>
      </c>
      <c r="BG172" s="76">
        <f>SUM(BC172:BF172)</f>
        <v>719</v>
      </c>
      <c r="BH172" s="562">
        <v>168</v>
      </c>
      <c r="BI172" s="704">
        <v>150</v>
      </c>
      <c r="BJ172" s="77">
        <v>189</v>
      </c>
      <c r="BK172" s="562">
        <v>191</v>
      </c>
      <c r="BL172" s="76">
        <f>SUM(BH172:BK172)</f>
        <v>698</v>
      </c>
      <c r="BM172" s="562">
        <v>167</v>
      </c>
      <c r="BN172" s="704">
        <v>151</v>
      </c>
      <c r="BO172" s="77">
        <v>245</v>
      </c>
      <c r="BP172" s="562">
        <v>163</v>
      </c>
      <c r="BQ172" s="76">
        <f>SUM(BM172:BP172)</f>
        <v>726</v>
      </c>
      <c r="BR172" s="745">
        <v>148</v>
      </c>
      <c r="BS172" s="798">
        <v>153</v>
      </c>
      <c r="BT172" s="77">
        <v>35</v>
      </c>
      <c r="BU172" s="562">
        <v>157</v>
      </c>
      <c r="BV172" s="76">
        <f>SUM(BR172:BU172)</f>
        <v>493</v>
      </c>
      <c r="BW172" s="745">
        <v>98</v>
      </c>
      <c r="BX172" s="798">
        <v>152</v>
      </c>
      <c r="BY172" s="86"/>
      <c r="BZ172" s="745"/>
      <c r="CA172" s="871">
        <f>SUM(BW172:BZ172)</f>
        <v>250</v>
      </c>
      <c r="CB172" s="958"/>
      <c r="CC172" s="959"/>
      <c r="CD172" s="960"/>
      <c r="CE172" s="958"/>
      <c r="CF172" s="871">
        <f>SUM(CB172:CE172)</f>
        <v>0</v>
      </c>
      <c r="CG172" s="704"/>
      <c r="CH172" s="704"/>
      <c r="CI172" s="704"/>
      <c r="CJ172" s="704"/>
      <c r="CK172" s="871">
        <f>SUM(CG172:CJ172)</f>
        <v>0</v>
      </c>
      <c r="CL172" s="562"/>
      <c r="CM172" s="562"/>
      <c r="CN172" s="562"/>
      <c r="CO172" s="562"/>
      <c r="CP172" s="871">
        <f>SUM(CL172:CO172)</f>
        <v>0</v>
      </c>
      <c r="CQ172" s="562"/>
      <c r="CR172" s="562"/>
      <c r="CS172" s="562"/>
      <c r="CT172" s="562"/>
      <c r="CU172" s="871">
        <f>SUM(CQ172:CT172)</f>
        <v>0</v>
      </c>
      <c r="CV172" s="562"/>
      <c r="CW172" s="562"/>
      <c r="CX172" s="562"/>
      <c r="CY172" s="562"/>
      <c r="CZ172" s="871">
        <f>SUM(CV172:CY172)</f>
        <v>0</v>
      </c>
      <c r="DA172" s="562"/>
      <c r="DB172" s="562"/>
      <c r="DC172" s="562"/>
      <c r="DD172" s="562"/>
      <c r="DE172" s="871">
        <f>SUM(DA172:DD172)</f>
        <v>0</v>
      </c>
      <c r="DG172" s="744"/>
      <c r="DH172" s="1049"/>
      <c r="DI172" s="562"/>
      <c r="DJ172" s="871">
        <f>SUM(DF172:DI172)</f>
        <v>0</v>
      </c>
      <c r="DK172" s="1074"/>
      <c r="DL172" s="1074"/>
      <c r="DM172" s="1074"/>
      <c r="DN172" s="1074"/>
      <c r="DO172" s="871">
        <f>SUM(DK172:DN172)</f>
        <v>0</v>
      </c>
      <c r="DP172" s="1074"/>
      <c r="DQ172" s="1086"/>
      <c r="DS172" s="562"/>
      <c r="DT172" s="93"/>
      <c r="DU172" s="1086"/>
      <c r="DX172" s="562"/>
      <c r="DY172" s="93"/>
      <c r="DZ172" s="93"/>
      <c r="EA172" s="93"/>
      <c r="EB172" s="93"/>
    </row>
    <row r="173" spans="1:132" s="105" customFormat="1" ht="12" hidden="1" customHeight="1">
      <c r="A173" s="68"/>
      <c r="B173" s="161" t="s">
        <v>108</v>
      </c>
      <c r="C173" s="87"/>
      <c r="D173" s="87"/>
      <c r="E173" s="87"/>
      <c r="F173" s="87"/>
      <c r="G173" s="87"/>
      <c r="H173" s="87"/>
      <c r="I173" s="87"/>
      <c r="J173" s="88"/>
      <c r="K173" s="88"/>
      <c r="L173" s="88"/>
      <c r="M173" s="88"/>
      <c r="N173" s="87">
        <v>662</v>
      </c>
      <c r="O173" s="88">
        <v>170</v>
      </c>
      <c r="P173" s="88">
        <v>178</v>
      </c>
      <c r="Q173" s="88">
        <v>192</v>
      </c>
      <c r="R173" s="88">
        <f t="shared" si="547"/>
        <v>225</v>
      </c>
      <c r="S173" s="87">
        <v>765</v>
      </c>
      <c r="T173" s="88">
        <v>190</v>
      </c>
      <c r="U173" s="88">
        <v>205</v>
      </c>
      <c r="V173" s="88">
        <v>179</v>
      </c>
      <c r="W173" s="88">
        <f>X173-V173-U173-T173</f>
        <v>262</v>
      </c>
      <c r="X173" s="87">
        <v>836</v>
      </c>
      <c r="Y173" s="88">
        <v>200</v>
      </c>
      <c r="Z173" s="88">
        <v>192</v>
      </c>
      <c r="AA173" s="88">
        <v>242</v>
      </c>
      <c r="AB173" s="88">
        <f>AC173-AA173-Z173-Y173</f>
        <v>286</v>
      </c>
      <c r="AC173" s="87">
        <v>920</v>
      </c>
      <c r="AD173" s="88">
        <v>209</v>
      </c>
      <c r="AE173" s="88">
        <v>243</v>
      </c>
      <c r="AF173" s="88">
        <v>180</v>
      </c>
      <c r="AG173" s="89">
        <f>AH173-AF173-AE173-AD173</f>
        <v>291</v>
      </c>
      <c r="AH173" s="87">
        <v>923</v>
      </c>
      <c r="AI173" s="88">
        <v>220</v>
      </c>
      <c r="AJ173" s="88">
        <v>245</v>
      </c>
      <c r="AK173" s="88">
        <v>147</v>
      </c>
      <c r="AL173" s="88">
        <v>335</v>
      </c>
      <c r="AM173" s="87">
        <f>SUM(AI173:AL173)</f>
        <v>947</v>
      </c>
      <c r="AN173" s="88">
        <v>223</v>
      </c>
      <c r="AO173" s="88">
        <v>188</v>
      </c>
      <c r="AP173" s="88">
        <v>220</v>
      </c>
      <c r="AQ173" s="88">
        <v>275</v>
      </c>
      <c r="AR173" s="87">
        <f>SUM(AN173:AQ173)</f>
        <v>906</v>
      </c>
      <c r="AS173" s="88">
        <v>159</v>
      </c>
      <c r="AT173" s="88">
        <v>214</v>
      </c>
      <c r="AU173" s="89">
        <v>248</v>
      </c>
      <c r="AV173" s="563">
        <v>321</v>
      </c>
      <c r="AW173" s="87">
        <f>SUM(AS173:AV173)</f>
        <v>942</v>
      </c>
      <c r="AX173" s="88">
        <v>232</v>
      </c>
      <c r="AY173" s="88">
        <v>259</v>
      </c>
      <c r="AZ173" s="88">
        <v>221</v>
      </c>
      <c r="BA173" s="563">
        <v>297</v>
      </c>
      <c r="BB173" s="87">
        <f>SUM(AX173:BA173)</f>
        <v>1009</v>
      </c>
      <c r="BC173" s="563">
        <v>246</v>
      </c>
      <c r="BD173" s="88">
        <v>266</v>
      </c>
      <c r="BE173" s="88">
        <v>259</v>
      </c>
      <c r="BF173" s="563">
        <v>280</v>
      </c>
      <c r="BG173" s="87">
        <f>SUM(BC173:BF173)</f>
        <v>1051</v>
      </c>
      <c r="BH173" s="563">
        <v>278</v>
      </c>
      <c r="BI173" s="705">
        <v>267</v>
      </c>
      <c r="BJ173" s="88">
        <v>227</v>
      </c>
      <c r="BK173" s="563">
        <v>359</v>
      </c>
      <c r="BL173" s="87">
        <f>SUM(BH173:BK173)</f>
        <v>1131</v>
      </c>
      <c r="BM173" s="563">
        <v>315</v>
      </c>
      <c r="BN173" s="705">
        <v>272</v>
      </c>
      <c r="BO173" s="88">
        <v>281</v>
      </c>
      <c r="BP173" s="563">
        <v>362</v>
      </c>
      <c r="BQ173" s="87">
        <f>SUM(BM173:BP173)</f>
        <v>1230</v>
      </c>
      <c r="BR173" s="746">
        <v>340</v>
      </c>
      <c r="BS173" s="799">
        <v>265</v>
      </c>
      <c r="BT173" s="88">
        <v>315</v>
      </c>
      <c r="BU173" s="563">
        <v>364</v>
      </c>
      <c r="BV173" s="87">
        <f>SUM(BR173:BU173)</f>
        <v>1284</v>
      </c>
      <c r="BW173" s="746">
        <v>318</v>
      </c>
      <c r="BX173" s="799">
        <v>356</v>
      </c>
      <c r="BY173" s="89"/>
      <c r="BZ173" s="746"/>
      <c r="CA173" s="904">
        <f>SUM(BW173:BZ173)</f>
        <v>674</v>
      </c>
      <c r="CB173" s="964"/>
      <c r="CC173" s="965"/>
      <c r="CD173" s="966"/>
      <c r="CE173" s="964"/>
      <c r="CF173" s="904">
        <f>SUM(CB173:CE173)</f>
        <v>0</v>
      </c>
      <c r="CG173" s="705"/>
      <c r="CH173" s="705"/>
      <c r="CI173" s="705"/>
      <c r="CJ173" s="705"/>
      <c r="CK173" s="904">
        <f>SUM(CG173:CJ173)</f>
        <v>0</v>
      </c>
      <c r="CL173" s="563"/>
      <c r="CM173" s="563"/>
      <c r="CN173" s="563"/>
      <c r="CO173" s="563"/>
      <c r="CP173" s="904">
        <f>SUM(CL173:CO173)</f>
        <v>0</v>
      </c>
      <c r="CQ173" s="563"/>
      <c r="CR173" s="563"/>
      <c r="CS173" s="563"/>
      <c r="CT173" s="563"/>
      <c r="CU173" s="904">
        <f>SUM(CQ173:CT173)</f>
        <v>0</v>
      </c>
      <c r="CV173" s="563"/>
      <c r="CW173" s="563"/>
      <c r="CX173" s="563"/>
      <c r="CY173" s="563"/>
      <c r="CZ173" s="904">
        <f>SUM(CV173:CY173)</f>
        <v>0</v>
      </c>
      <c r="DA173" s="563"/>
      <c r="DB173" s="563"/>
      <c r="DC173" s="563"/>
      <c r="DD173" s="563"/>
      <c r="DE173" s="904">
        <f>SUM(DA173:DD173)</f>
        <v>0</v>
      </c>
      <c r="DF173" s="173"/>
      <c r="DG173" s="1050"/>
      <c r="DH173" s="1050"/>
      <c r="DI173" s="563"/>
      <c r="DJ173" s="904">
        <f>SUM(DF173:DI173)</f>
        <v>0</v>
      </c>
      <c r="DK173" s="1074"/>
      <c r="DL173" s="1074"/>
      <c r="DM173" s="1074"/>
      <c r="DN173" s="1074"/>
      <c r="DO173" s="904">
        <f>SUM(DK173:DN173)</f>
        <v>0</v>
      </c>
      <c r="DP173" s="1074"/>
      <c r="DQ173" s="1116"/>
      <c r="DR173" s="173"/>
      <c r="DS173" s="563"/>
      <c r="DT173" s="172"/>
      <c r="DU173" s="1086"/>
      <c r="DV173" s="173"/>
      <c r="DW173" s="173"/>
      <c r="DX173" s="563"/>
      <c r="DY173" s="172"/>
      <c r="DZ173" s="172"/>
      <c r="EA173" s="172"/>
      <c r="EB173" s="172"/>
    </row>
    <row r="174" spans="1:132" s="105" customFormat="1" ht="12" hidden="1" customHeight="1">
      <c r="A174" s="68"/>
      <c r="B174" s="159" t="s">
        <v>130</v>
      </c>
      <c r="C174" s="76"/>
      <c r="D174" s="76"/>
      <c r="E174" s="76"/>
      <c r="F174" s="76"/>
      <c r="G174" s="76">
        <v>1032</v>
      </c>
      <c r="H174" s="76">
        <v>1269</v>
      </c>
      <c r="I174" s="76">
        <v>1422</v>
      </c>
      <c r="J174" s="77">
        <v>476</v>
      </c>
      <c r="K174" s="77">
        <v>384</v>
      </c>
      <c r="L174" s="77">
        <v>484</v>
      </c>
      <c r="M174" s="77">
        <f>N174-L174-K174-J174</f>
        <v>292</v>
      </c>
      <c r="N174" s="76">
        <v>1636</v>
      </c>
      <c r="O174" s="77">
        <v>370</v>
      </c>
      <c r="P174" s="77">
        <v>441</v>
      </c>
      <c r="Q174" s="77">
        <v>385</v>
      </c>
      <c r="R174" s="77">
        <f t="shared" si="547"/>
        <v>511</v>
      </c>
      <c r="S174" s="76">
        <v>1707</v>
      </c>
      <c r="T174" s="77"/>
      <c r="U174" s="77"/>
      <c r="V174" s="77"/>
      <c r="W174" s="77"/>
      <c r="X174" s="76"/>
      <c r="Y174" s="77"/>
      <c r="Z174" s="77"/>
      <c r="AA174" s="77"/>
      <c r="AB174" s="77"/>
      <c r="AC174" s="76"/>
      <c r="AD174" s="77"/>
      <c r="AE174" s="77"/>
      <c r="AF174" s="77"/>
      <c r="AG174" s="77"/>
      <c r="AH174" s="76"/>
      <c r="AI174" s="77"/>
      <c r="AJ174" s="77"/>
      <c r="AK174" s="77"/>
      <c r="AL174" s="77"/>
      <c r="AM174" s="93"/>
      <c r="AN174" s="77"/>
      <c r="AO174" s="77"/>
      <c r="AP174" s="77"/>
      <c r="AQ174" s="77"/>
      <c r="AR174" s="93"/>
      <c r="AS174" s="77"/>
      <c r="AT174" s="77"/>
      <c r="AU174" s="77"/>
      <c r="AV174" s="562"/>
      <c r="AW174" s="93"/>
      <c r="AX174" s="77"/>
      <c r="AY174" s="77"/>
      <c r="AZ174" s="77"/>
      <c r="BA174" s="562"/>
      <c r="BB174" s="93"/>
      <c r="BC174" s="562"/>
      <c r="BD174" s="77"/>
      <c r="BE174" s="77"/>
      <c r="BF174" s="562"/>
      <c r="BG174" s="93"/>
      <c r="BH174" s="562"/>
      <c r="BI174" s="704"/>
      <c r="BJ174" s="77"/>
      <c r="BK174" s="562"/>
      <c r="BL174" s="93"/>
      <c r="BM174" s="562"/>
      <c r="BN174" s="704"/>
      <c r="BO174" s="77"/>
      <c r="BP174" s="562"/>
      <c r="BQ174" s="93"/>
      <c r="BR174" s="745"/>
      <c r="BS174" s="798"/>
      <c r="BT174" s="77"/>
      <c r="BU174" s="562"/>
      <c r="BV174" s="93"/>
      <c r="BW174" s="745"/>
      <c r="BX174" s="798"/>
      <c r="BY174" s="86"/>
      <c r="BZ174" s="745"/>
      <c r="CA174" s="905"/>
      <c r="CB174" s="958"/>
      <c r="CC174" s="959"/>
      <c r="CD174" s="960"/>
      <c r="CE174" s="958"/>
      <c r="CF174" s="905"/>
      <c r="CG174" s="704"/>
      <c r="CH174" s="704"/>
      <c r="CI174" s="704"/>
      <c r="CJ174" s="704"/>
      <c r="CK174" s="905"/>
      <c r="CL174" s="562"/>
      <c r="CM174" s="562"/>
      <c r="CN174" s="562"/>
      <c r="CO174" s="562"/>
      <c r="CP174" s="905"/>
      <c r="CQ174" s="562"/>
      <c r="CR174" s="562"/>
      <c r="CS174" s="562"/>
      <c r="CT174" s="562"/>
      <c r="CU174" s="905"/>
      <c r="CV174" s="562"/>
      <c r="CW174" s="562"/>
      <c r="CX174" s="562"/>
      <c r="CY174" s="562"/>
      <c r="CZ174" s="905"/>
      <c r="DA174" s="562"/>
      <c r="DB174" s="562"/>
      <c r="DC174" s="562"/>
      <c r="DD174" s="562"/>
      <c r="DE174" s="905"/>
      <c r="DG174" s="744"/>
      <c r="DH174" s="1049"/>
      <c r="DI174" s="562"/>
      <c r="DJ174" s="905"/>
      <c r="DK174" s="1074"/>
      <c r="DL174" s="1074"/>
      <c r="DM174" s="1074"/>
      <c r="DN174" s="1074"/>
      <c r="DO174" s="905"/>
      <c r="DP174" s="1074"/>
      <c r="DQ174" s="1086"/>
      <c r="DS174" s="562"/>
      <c r="DT174" s="93"/>
      <c r="DU174" s="1086"/>
      <c r="DX174" s="562"/>
      <c r="DY174" s="93"/>
      <c r="DZ174" s="93"/>
      <c r="EA174" s="93"/>
      <c r="EB174" s="93"/>
    </row>
    <row r="175" spans="1:132" s="105" customFormat="1" ht="12" hidden="1" customHeight="1">
      <c r="A175" s="68"/>
      <c r="B175" s="159" t="s">
        <v>131</v>
      </c>
      <c r="C175" s="76"/>
      <c r="D175" s="76"/>
      <c r="E175" s="76"/>
      <c r="F175" s="76"/>
      <c r="G175" s="76">
        <v>482</v>
      </c>
      <c r="H175" s="76">
        <v>546</v>
      </c>
      <c r="I175" s="76">
        <v>626</v>
      </c>
      <c r="J175" s="77">
        <v>181</v>
      </c>
      <c r="K175" s="77">
        <v>225</v>
      </c>
      <c r="L175" s="77">
        <v>303</v>
      </c>
      <c r="M175" s="77">
        <f>N175-L175-K175-J175</f>
        <v>284</v>
      </c>
      <c r="N175" s="76">
        <v>993</v>
      </c>
      <c r="O175" s="77">
        <v>213</v>
      </c>
      <c r="P175" s="77">
        <v>167</v>
      </c>
      <c r="Q175" s="77">
        <v>93</v>
      </c>
      <c r="R175" s="77">
        <f t="shared" si="547"/>
        <v>165</v>
      </c>
      <c r="S175" s="76">
        <v>638</v>
      </c>
      <c r="T175" s="77"/>
      <c r="U175" s="77"/>
      <c r="V175" s="77"/>
      <c r="W175" s="77"/>
      <c r="X175" s="76"/>
      <c r="Y175" s="77"/>
      <c r="Z175" s="77"/>
      <c r="AA175" s="77"/>
      <c r="AB175" s="77"/>
      <c r="AC175" s="76"/>
      <c r="AD175" s="77"/>
      <c r="AE175" s="77"/>
      <c r="AF175" s="77"/>
      <c r="AG175" s="77"/>
      <c r="AH175" s="76"/>
      <c r="AI175" s="77"/>
      <c r="AJ175" s="77"/>
      <c r="AK175" s="77"/>
      <c r="AL175" s="77"/>
      <c r="AM175" s="93"/>
      <c r="AN175" s="77"/>
      <c r="AO175" s="77"/>
      <c r="AP175" s="77"/>
      <c r="AQ175" s="77"/>
      <c r="AR175" s="93"/>
      <c r="AS175" s="77"/>
      <c r="AT175" s="77"/>
      <c r="AU175" s="77"/>
      <c r="AV175" s="562"/>
      <c r="AW175" s="93"/>
      <c r="AX175" s="77"/>
      <c r="AY175" s="77"/>
      <c r="AZ175" s="77"/>
      <c r="BA175" s="562"/>
      <c r="BB175" s="93"/>
      <c r="BC175" s="562"/>
      <c r="BD175" s="77"/>
      <c r="BE175" s="77"/>
      <c r="BF175" s="562"/>
      <c r="BG175" s="93"/>
      <c r="BH175" s="562"/>
      <c r="BI175" s="704"/>
      <c r="BJ175" s="77"/>
      <c r="BK175" s="562"/>
      <c r="BL175" s="93"/>
      <c r="BM175" s="562"/>
      <c r="BN175" s="704"/>
      <c r="BO175" s="77"/>
      <c r="BP175" s="562"/>
      <c r="BQ175" s="93"/>
      <c r="BR175" s="745"/>
      <c r="BS175" s="798"/>
      <c r="BT175" s="77"/>
      <c r="BU175" s="562"/>
      <c r="BV175" s="93"/>
      <c r="BW175" s="745"/>
      <c r="BX175" s="798"/>
      <c r="BY175" s="86"/>
      <c r="BZ175" s="745"/>
      <c r="CA175" s="905"/>
      <c r="CB175" s="958"/>
      <c r="CC175" s="959"/>
      <c r="CD175" s="960"/>
      <c r="CE175" s="958"/>
      <c r="CF175" s="905"/>
      <c r="CG175" s="704"/>
      <c r="CH175" s="704"/>
      <c r="CI175" s="704"/>
      <c r="CJ175" s="704"/>
      <c r="CK175" s="905"/>
      <c r="CL175" s="562"/>
      <c r="CM175" s="562"/>
      <c r="CN175" s="562"/>
      <c r="CO175" s="562"/>
      <c r="CP175" s="905"/>
      <c r="CQ175" s="562"/>
      <c r="CR175" s="562"/>
      <c r="CS175" s="562"/>
      <c r="CT175" s="562"/>
      <c r="CU175" s="905"/>
      <c r="CV175" s="562"/>
      <c r="CW175" s="562"/>
      <c r="CX175" s="562"/>
      <c r="CY175" s="562"/>
      <c r="CZ175" s="905"/>
      <c r="DA175" s="562"/>
      <c r="DB175" s="562"/>
      <c r="DC175" s="562"/>
      <c r="DD175" s="562"/>
      <c r="DE175" s="905"/>
      <c r="DG175" s="744"/>
      <c r="DH175" s="1049"/>
      <c r="DI175" s="562"/>
      <c r="DJ175" s="905"/>
      <c r="DK175" s="1074"/>
      <c r="DL175" s="1074"/>
      <c r="DM175" s="1074"/>
      <c r="DN175" s="1074"/>
      <c r="DO175" s="905"/>
      <c r="DP175" s="1074"/>
      <c r="DQ175" s="1086"/>
      <c r="DS175" s="562"/>
      <c r="DT175" s="93"/>
      <c r="DU175" s="1086"/>
      <c r="DX175" s="562"/>
      <c r="DY175" s="93"/>
      <c r="DZ175" s="93"/>
      <c r="EA175" s="93"/>
      <c r="EB175" s="93"/>
    </row>
    <row r="176" spans="1:132" s="105" customFormat="1" ht="12" hidden="1" customHeight="1">
      <c r="A176" s="68"/>
      <c r="B176" s="159" t="s">
        <v>125</v>
      </c>
      <c r="C176" s="76"/>
      <c r="D176" s="76"/>
      <c r="E176" s="76"/>
      <c r="F176" s="76"/>
      <c r="G176" s="76">
        <v>304</v>
      </c>
      <c r="H176" s="76">
        <v>376</v>
      </c>
      <c r="I176" s="76">
        <v>472</v>
      </c>
      <c r="J176" s="77">
        <v>144</v>
      </c>
      <c r="K176" s="77">
        <v>137</v>
      </c>
      <c r="L176" s="77">
        <v>182</v>
      </c>
      <c r="M176" s="77">
        <f>N176-L176-K176-J176</f>
        <v>175</v>
      </c>
      <c r="N176" s="76">
        <v>638</v>
      </c>
      <c r="O176" s="77">
        <v>169</v>
      </c>
      <c r="P176" s="77">
        <v>179</v>
      </c>
      <c r="Q176" s="77">
        <v>192</v>
      </c>
      <c r="R176" s="77">
        <f t="shared" si="547"/>
        <v>225</v>
      </c>
      <c r="S176" s="76">
        <v>765</v>
      </c>
      <c r="T176" s="77"/>
      <c r="U176" s="77"/>
      <c r="V176" s="77"/>
      <c r="W176" s="77"/>
      <c r="X176" s="76"/>
      <c r="Y176" s="77"/>
      <c r="Z176" s="77"/>
      <c r="AA176" s="77"/>
      <c r="AB176" s="77"/>
      <c r="AC176" s="76"/>
      <c r="AD176" s="77"/>
      <c r="AE176" s="77"/>
      <c r="AF176" s="77"/>
      <c r="AG176" s="77"/>
      <c r="AH176" s="76"/>
      <c r="AI176" s="77"/>
      <c r="AJ176" s="77"/>
      <c r="AK176" s="77"/>
      <c r="AL176" s="77"/>
      <c r="AM176" s="93"/>
      <c r="AN176" s="77"/>
      <c r="AO176" s="77"/>
      <c r="AP176" s="77"/>
      <c r="AQ176" s="77"/>
      <c r="AR176" s="93"/>
      <c r="AS176" s="77"/>
      <c r="AT176" s="77"/>
      <c r="AU176" s="77"/>
      <c r="AV176" s="562"/>
      <c r="AW176" s="93"/>
      <c r="AX176" s="77"/>
      <c r="AY176" s="77"/>
      <c r="AZ176" s="77"/>
      <c r="BA176" s="562"/>
      <c r="BB176" s="93"/>
      <c r="BC176" s="562"/>
      <c r="BD176" s="77"/>
      <c r="BE176" s="77"/>
      <c r="BF176" s="562"/>
      <c r="BG176" s="93"/>
      <c r="BH176" s="562"/>
      <c r="BI176" s="704"/>
      <c r="BJ176" s="77"/>
      <c r="BK176" s="562"/>
      <c r="BL176" s="93"/>
      <c r="BM176" s="562"/>
      <c r="BN176" s="704"/>
      <c r="BO176" s="77"/>
      <c r="BP176" s="562"/>
      <c r="BQ176" s="93"/>
      <c r="BR176" s="745"/>
      <c r="BS176" s="798"/>
      <c r="BT176" s="77"/>
      <c r="BU176" s="562"/>
      <c r="BV176" s="93"/>
      <c r="BW176" s="745"/>
      <c r="BX176" s="798"/>
      <c r="BY176" s="86"/>
      <c r="BZ176" s="745"/>
      <c r="CA176" s="905"/>
      <c r="CB176" s="958"/>
      <c r="CC176" s="959"/>
      <c r="CD176" s="960"/>
      <c r="CE176" s="958"/>
      <c r="CF176" s="905"/>
      <c r="CG176" s="704"/>
      <c r="CH176" s="704"/>
      <c r="CI176" s="704"/>
      <c r="CJ176" s="704"/>
      <c r="CK176" s="905"/>
      <c r="CL176" s="562"/>
      <c r="CM176" s="562"/>
      <c r="CN176" s="562"/>
      <c r="CO176" s="562"/>
      <c r="CP176" s="905"/>
      <c r="CQ176" s="562"/>
      <c r="CR176" s="562"/>
      <c r="CS176" s="562"/>
      <c r="CT176" s="562"/>
      <c r="CU176" s="905"/>
      <c r="CV176" s="562"/>
      <c r="CW176" s="562"/>
      <c r="CX176" s="562"/>
      <c r="CY176" s="562"/>
      <c r="CZ176" s="905"/>
      <c r="DA176" s="562"/>
      <c r="DB176" s="562"/>
      <c r="DC176" s="562"/>
      <c r="DD176" s="562"/>
      <c r="DE176" s="905"/>
      <c r="DG176" s="744"/>
      <c r="DH176" s="1049"/>
      <c r="DI176" s="562"/>
      <c r="DJ176" s="905"/>
      <c r="DK176" s="1074"/>
      <c r="DL176" s="1074"/>
      <c r="DM176" s="1074"/>
      <c r="DN176" s="1074"/>
      <c r="DO176" s="905"/>
      <c r="DP176" s="1074"/>
      <c r="DQ176" s="1086"/>
      <c r="DS176" s="562"/>
      <c r="DT176" s="93"/>
      <c r="DU176" s="1086"/>
      <c r="DX176" s="562"/>
      <c r="DY176" s="93"/>
      <c r="DZ176" s="93"/>
      <c r="EA176" s="93"/>
      <c r="EB176" s="93"/>
    </row>
    <row r="177" spans="1:132" s="105" customFormat="1" ht="12" hidden="1" customHeight="1">
      <c r="A177" s="68"/>
      <c r="B177" s="161" t="s">
        <v>132</v>
      </c>
      <c r="C177" s="87"/>
      <c r="D177" s="87"/>
      <c r="E177" s="87"/>
      <c r="F177" s="87"/>
      <c r="G177" s="87">
        <v>147</v>
      </c>
      <c r="H177" s="87">
        <v>-182</v>
      </c>
      <c r="I177" s="87">
        <v>-1754</v>
      </c>
      <c r="J177" s="88">
        <v>-63</v>
      </c>
      <c r="K177" s="88">
        <v>-50</v>
      </c>
      <c r="L177" s="88">
        <v>-153</v>
      </c>
      <c r="M177" s="88">
        <f>N177-L177-K177-J177</f>
        <v>-76</v>
      </c>
      <c r="N177" s="87">
        <v>-342</v>
      </c>
      <c r="O177" s="88">
        <v>95</v>
      </c>
      <c r="P177" s="88">
        <v>29</v>
      </c>
      <c r="Q177" s="88">
        <v>633</v>
      </c>
      <c r="R177" s="88">
        <f t="shared" si="547"/>
        <v>23</v>
      </c>
      <c r="S177" s="87">
        <v>780</v>
      </c>
      <c r="T177" s="88"/>
      <c r="U177" s="88"/>
      <c r="V177" s="88"/>
      <c r="W177" s="88"/>
      <c r="X177" s="87"/>
      <c r="Y177" s="88"/>
      <c r="Z177" s="88"/>
      <c r="AA177" s="88"/>
      <c r="AB177" s="88"/>
      <c r="AC177" s="87"/>
      <c r="AD177" s="88"/>
      <c r="AE177" s="88"/>
      <c r="AF177" s="88"/>
      <c r="AG177" s="89"/>
      <c r="AH177" s="87"/>
      <c r="AI177" s="88"/>
      <c r="AJ177" s="88"/>
      <c r="AK177" s="88"/>
      <c r="AL177" s="88"/>
      <c r="AM177" s="172"/>
      <c r="AN177" s="88"/>
      <c r="AO177" s="88"/>
      <c r="AP177" s="88"/>
      <c r="AQ177" s="88"/>
      <c r="AR177" s="172"/>
      <c r="AS177" s="88"/>
      <c r="AT177" s="88"/>
      <c r="AU177" s="88"/>
      <c r="AV177" s="563"/>
      <c r="AW177" s="172"/>
      <c r="AX177" s="88"/>
      <c r="AY177" s="88"/>
      <c r="AZ177" s="88"/>
      <c r="BA177" s="563"/>
      <c r="BB177" s="172"/>
      <c r="BC177" s="563"/>
      <c r="BD177" s="88"/>
      <c r="BE177" s="88"/>
      <c r="BF177" s="563"/>
      <c r="BG177" s="172"/>
      <c r="BH177" s="563"/>
      <c r="BI177" s="705"/>
      <c r="BJ177" s="88"/>
      <c r="BK177" s="563"/>
      <c r="BL177" s="172"/>
      <c r="BM177" s="563"/>
      <c r="BN177" s="705"/>
      <c r="BO177" s="88"/>
      <c r="BP177" s="563"/>
      <c r="BQ177" s="172"/>
      <c r="BR177" s="746"/>
      <c r="BS177" s="799"/>
      <c r="BT177" s="88"/>
      <c r="BU177" s="563"/>
      <c r="BV177" s="172"/>
      <c r="BW177" s="746"/>
      <c r="BX177" s="799"/>
      <c r="BY177" s="89"/>
      <c r="BZ177" s="746"/>
      <c r="CA177" s="906"/>
      <c r="CB177" s="964"/>
      <c r="CC177" s="965"/>
      <c r="CD177" s="966"/>
      <c r="CE177" s="964"/>
      <c r="CF177" s="906"/>
      <c r="CG177" s="705"/>
      <c r="CH177" s="705"/>
      <c r="CI177" s="705"/>
      <c r="CJ177" s="705"/>
      <c r="CK177" s="906"/>
      <c r="CL177" s="563"/>
      <c r="CM177" s="563"/>
      <c r="CN177" s="563"/>
      <c r="CO177" s="563"/>
      <c r="CP177" s="906"/>
      <c r="CQ177" s="563"/>
      <c r="CR177" s="563"/>
      <c r="CS177" s="563"/>
      <c r="CT177" s="563"/>
      <c r="CU177" s="906"/>
      <c r="CV177" s="563"/>
      <c r="CW177" s="563"/>
      <c r="CX177" s="563"/>
      <c r="CY177" s="563"/>
      <c r="CZ177" s="906"/>
      <c r="DA177" s="563"/>
      <c r="DB177" s="563"/>
      <c r="DC177" s="563"/>
      <c r="DD177" s="563"/>
      <c r="DE177" s="906"/>
      <c r="DF177" s="173"/>
      <c r="DG177" s="1050"/>
      <c r="DH177" s="1050"/>
      <c r="DI177" s="563"/>
      <c r="DJ177" s="906"/>
      <c r="DK177" s="1074"/>
      <c r="DL177" s="1074"/>
      <c r="DM177" s="1074"/>
      <c r="DN177" s="1074"/>
      <c r="DO177" s="906"/>
      <c r="DP177" s="1074"/>
      <c r="DQ177" s="1116"/>
      <c r="DR177" s="173"/>
      <c r="DS177" s="563"/>
      <c r="DT177" s="172"/>
      <c r="DU177" s="1086"/>
      <c r="DV177" s="173"/>
      <c r="DW177" s="173"/>
      <c r="DX177" s="563"/>
      <c r="DY177" s="172"/>
      <c r="DZ177" s="172"/>
      <c r="EA177" s="172"/>
      <c r="EB177" s="172"/>
    </row>
    <row r="178" spans="1:132" s="105" customFormat="1" ht="12" hidden="1" customHeight="1">
      <c r="A178" s="68"/>
      <c r="B178" s="159" t="s">
        <v>133</v>
      </c>
      <c r="C178" s="76"/>
      <c r="D178" s="76">
        <v>1283</v>
      </c>
      <c r="E178" s="76">
        <v>1193</v>
      </c>
      <c r="F178" s="76">
        <v>1271</v>
      </c>
      <c r="G178" s="76">
        <v>1346</v>
      </c>
      <c r="H178" s="76">
        <v>1652</v>
      </c>
      <c r="I178" s="76"/>
      <c r="J178" s="77"/>
      <c r="K178" s="77"/>
      <c r="L178" s="77"/>
      <c r="M178" s="77"/>
      <c r="N178" s="76"/>
      <c r="O178" s="77"/>
      <c r="P178" s="77"/>
      <c r="Q178" s="77"/>
      <c r="R178" s="77"/>
      <c r="S178" s="76"/>
      <c r="T178" s="77"/>
      <c r="U178" s="77"/>
      <c r="V178" s="77"/>
      <c r="W178" s="77"/>
      <c r="X178" s="76"/>
      <c r="Y178" s="77"/>
      <c r="Z178" s="77"/>
      <c r="AA178" s="77"/>
      <c r="AB178" s="77"/>
      <c r="AC178" s="76"/>
      <c r="AD178" s="77"/>
      <c r="AE178" s="77"/>
      <c r="AF178" s="77"/>
      <c r="AG178" s="77"/>
      <c r="AH178" s="76"/>
      <c r="AI178" s="77"/>
      <c r="AJ178" s="77"/>
      <c r="AK178" s="77"/>
      <c r="AL178" s="77"/>
      <c r="AM178" s="93"/>
      <c r="AN178" s="77"/>
      <c r="AO178" s="77"/>
      <c r="AP178" s="77"/>
      <c r="AQ178" s="77"/>
      <c r="AR178" s="93"/>
      <c r="AS178" s="77"/>
      <c r="AT178" s="77"/>
      <c r="AU178" s="77"/>
      <c r="AV178" s="562"/>
      <c r="AW178" s="93"/>
      <c r="AX178" s="77"/>
      <c r="AY178" s="77"/>
      <c r="AZ178" s="77"/>
      <c r="BA178" s="562"/>
      <c r="BB178" s="93"/>
      <c r="BC178" s="562"/>
      <c r="BD178" s="77"/>
      <c r="BE178" s="77"/>
      <c r="BF178" s="562"/>
      <c r="BG178" s="93"/>
      <c r="BH178" s="562"/>
      <c r="BI178" s="704"/>
      <c r="BJ178" s="77"/>
      <c r="BK178" s="562"/>
      <c r="BL178" s="93"/>
      <c r="BM178" s="562"/>
      <c r="BN178" s="704"/>
      <c r="BO178" s="77"/>
      <c r="BP178" s="562"/>
      <c r="BQ178" s="93"/>
      <c r="BR178" s="745"/>
      <c r="BS178" s="798"/>
      <c r="BT178" s="77"/>
      <c r="BU178" s="562"/>
      <c r="BV178" s="93"/>
      <c r="BW178" s="745"/>
      <c r="BX178" s="798"/>
      <c r="BY178" s="86"/>
      <c r="BZ178" s="745"/>
      <c r="CA178" s="905"/>
      <c r="CB178" s="958"/>
      <c r="CC178" s="959"/>
      <c r="CD178" s="960"/>
      <c r="CE178" s="958"/>
      <c r="CF178" s="905"/>
      <c r="CG178" s="704"/>
      <c r="CH178" s="704"/>
      <c r="CI178" s="704"/>
      <c r="CJ178" s="704"/>
      <c r="CK178" s="905"/>
      <c r="CL178" s="562"/>
      <c r="CM178" s="562"/>
      <c r="CN178" s="562"/>
      <c r="CO178" s="562"/>
      <c r="CP178" s="905"/>
      <c r="CQ178" s="562"/>
      <c r="CR178" s="562"/>
      <c r="CS178" s="562"/>
      <c r="CT178" s="562"/>
      <c r="CU178" s="905"/>
      <c r="CV178" s="562"/>
      <c r="CW178" s="562"/>
      <c r="CX178" s="562"/>
      <c r="CY178" s="562"/>
      <c r="CZ178" s="905"/>
      <c r="DA178" s="562"/>
      <c r="DB178" s="562"/>
      <c r="DC178" s="562"/>
      <c r="DD178" s="562"/>
      <c r="DE178" s="905"/>
      <c r="DG178" s="744"/>
      <c r="DH178" s="1049"/>
      <c r="DI178" s="562"/>
      <c r="DJ178" s="905"/>
      <c r="DK178" s="1074"/>
      <c r="DL178" s="1074"/>
      <c r="DM178" s="1074"/>
      <c r="DN178" s="1074"/>
      <c r="DO178" s="905"/>
      <c r="DP178" s="1074"/>
      <c r="DQ178" s="1086"/>
      <c r="DS178" s="562"/>
      <c r="DT178" s="93"/>
      <c r="DU178" s="1086"/>
      <c r="DX178" s="562"/>
      <c r="DY178" s="93"/>
      <c r="DZ178" s="93"/>
      <c r="EA178" s="93"/>
      <c r="EB178" s="93"/>
    </row>
    <row r="179" spans="1:132" s="105" customFormat="1" ht="12" hidden="1" customHeight="1">
      <c r="A179" s="68"/>
      <c r="B179" s="161" t="s">
        <v>134</v>
      </c>
      <c r="C179" s="87"/>
      <c r="D179" s="87">
        <v>248</v>
      </c>
      <c r="E179" s="87">
        <v>415</v>
      </c>
      <c r="F179" s="87">
        <v>-323</v>
      </c>
      <c r="G179" s="87">
        <v>619</v>
      </c>
      <c r="H179" s="87">
        <v>357</v>
      </c>
      <c r="I179" s="87"/>
      <c r="J179" s="88"/>
      <c r="K179" s="88"/>
      <c r="L179" s="88"/>
      <c r="M179" s="88"/>
      <c r="N179" s="87"/>
      <c r="O179" s="88"/>
      <c r="P179" s="88"/>
      <c r="Q179" s="88"/>
      <c r="R179" s="88"/>
      <c r="S179" s="87"/>
      <c r="T179" s="88"/>
      <c r="U179" s="88"/>
      <c r="V179" s="88"/>
      <c r="W179" s="88"/>
      <c r="X179" s="87"/>
      <c r="Y179" s="88"/>
      <c r="Z179" s="88"/>
      <c r="AA179" s="88"/>
      <c r="AB179" s="88"/>
      <c r="AC179" s="87"/>
      <c r="AD179" s="88"/>
      <c r="AE179" s="88"/>
      <c r="AF179" s="88"/>
      <c r="AG179" s="88"/>
      <c r="AH179" s="87"/>
      <c r="AI179" s="88"/>
      <c r="AJ179" s="88"/>
      <c r="AK179" s="88"/>
      <c r="AL179" s="88"/>
      <c r="AM179" s="172"/>
      <c r="AN179" s="88"/>
      <c r="AO179" s="88"/>
      <c r="AP179" s="88"/>
      <c r="AQ179" s="88"/>
      <c r="AR179" s="172"/>
      <c r="AS179" s="88"/>
      <c r="AT179" s="88"/>
      <c r="AU179" s="88"/>
      <c r="AV179" s="563"/>
      <c r="AW179" s="172"/>
      <c r="AX179" s="88"/>
      <c r="AY179" s="88"/>
      <c r="AZ179" s="88"/>
      <c r="BA179" s="563"/>
      <c r="BB179" s="172"/>
      <c r="BC179" s="563"/>
      <c r="BD179" s="88"/>
      <c r="BE179" s="88"/>
      <c r="BF179" s="563"/>
      <c r="BG179" s="172"/>
      <c r="BH179" s="563"/>
      <c r="BI179" s="705"/>
      <c r="BJ179" s="88"/>
      <c r="BK179" s="563"/>
      <c r="BL179" s="172"/>
      <c r="BM179" s="563"/>
      <c r="BN179" s="705"/>
      <c r="BO179" s="88"/>
      <c r="BP179" s="563"/>
      <c r="BQ179" s="172"/>
      <c r="BR179" s="746"/>
      <c r="BS179" s="799"/>
      <c r="BT179" s="88"/>
      <c r="BU179" s="563"/>
      <c r="BV179" s="172"/>
      <c r="BW179" s="746"/>
      <c r="BX179" s="799"/>
      <c r="BY179" s="89"/>
      <c r="BZ179" s="746"/>
      <c r="CA179" s="906"/>
      <c r="CB179" s="964"/>
      <c r="CC179" s="965"/>
      <c r="CD179" s="966"/>
      <c r="CE179" s="964"/>
      <c r="CF179" s="906"/>
      <c r="CG179" s="705"/>
      <c r="CH179" s="705"/>
      <c r="CI179" s="705"/>
      <c r="CJ179" s="705"/>
      <c r="CK179" s="906"/>
      <c r="CL179" s="563"/>
      <c r="CM179" s="563"/>
      <c r="CN179" s="563"/>
      <c r="CO179" s="563"/>
      <c r="CP179" s="906"/>
      <c r="CQ179" s="563"/>
      <c r="CR179" s="563"/>
      <c r="CS179" s="563"/>
      <c r="CT179" s="563"/>
      <c r="CU179" s="906"/>
      <c r="CV179" s="563"/>
      <c r="CW179" s="563"/>
      <c r="CX179" s="563"/>
      <c r="CY179" s="563"/>
      <c r="CZ179" s="906"/>
      <c r="DA179" s="563"/>
      <c r="DB179" s="563"/>
      <c r="DC179" s="563"/>
      <c r="DD179" s="563"/>
      <c r="DE179" s="906"/>
      <c r="DF179" s="173"/>
      <c r="DG179" s="1050"/>
      <c r="DH179" s="1050"/>
      <c r="DI179" s="563"/>
      <c r="DJ179" s="906"/>
      <c r="DK179" s="1074"/>
      <c r="DL179" s="1074"/>
      <c r="DM179" s="1074"/>
      <c r="DN179" s="1074"/>
      <c r="DO179" s="906"/>
      <c r="DP179" s="1074"/>
      <c r="DQ179" s="1116"/>
      <c r="DR179" s="173"/>
      <c r="DS179" s="563"/>
      <c r="DT179" s="172"/>
      <c r="DU179" s="1086"/>
      <c r="DV179" s="173"/>
      <c r="DW179" s="173"/>
      <c r="DX179" s="563"/>
      <c r="DY179" s="172"/>
      <c r="DZ179" s="172"/>
      <c r="EA179" s="172"/>
      <c r="EB179" s="172"/>
    </row>
    <row r="180" spans="1:132" s="105" customFormat="1" ht="12" hidden="1" customHeight="1">
      <c r="A180" s="68"/>
      <c r="B180" s="68" t="s">
        <v>391</v>
      </c>
      <c r="C180" s="76">
        <v>1317</v>
      </c>
      <c r="D180" s="76">
        <f>SUM(D178:D179)</f>
        <v>1531</v>
      </c>
      <c r="E180" s="76">
        <f>SUM(E178:E179)</f>
        <v>1608</v>
      </c>
      <c r="F180" s="76">
        <f>SUM(F178:F179)</f>
        <v>948</v>
      </c>
      <c r="G180" s="76">
        <f>SUM(G178:G179)</f>
        <v>1965</v>
      </c>
      <c r="H180" s="76">
        <f>SUM(H178:H179)</f>
        <v>2009</v>
      </c>
      <c r="I180" s="76">
        <f t="shared" ref="I180:N180" si="548">SUM(I174:I177)</f>
        <v>766</v>
      </c>
      <c r="J180" s="77">
        <f t="shared" si="548"/>
        <v>738</v>
      </c>
      <c r="K180" s="77">
        <f t="shared" si="548"/>
        <v>696</v>
      </c>
      <c r="L180" s="77">
        <f t="shared" si="548"/>
        <v>816</v>
      </c>
      <c r="M180" s="77">
        <f>N180-L180-K180-J180</f>
        <v>675</v>
      </c>
      <c r="N180" s="76">
        <f t="shared" si="548"/>
        <v>2925</v>
      </c>
      <c r="O180" s="77">
        <f>SUM(O174:O177)</f>
        <v>847</v>
      </c>
      <c r="P180" s="77">
        <f>SUM(P174:P177)</f>
        <v>816</v>
      </c>
      <c r="Q180" s="77">
        <f>SUM(Q174:Q177)</f>
        <v>1303</v>
      </c>
      <c r="R180" s="77">
        <f>S180-Q180-P180-O180</f>
        <v>924</v>
      </c>
      <c r="S180" s="76">
        <f>SUM(S174:S177)</f>
        <v>3890</v>
      </c>
      <c r="T180" s="77">
        <f>SUM(T171:T173)</f>
        <v>817</v>
      </c>
      <c r="U180" s="77">
        <f t="shared" ref="U180:BX180" si="549">SUM(U171:U173)</f>
        <v>309</v>
      </c>
      <c r="V180" s="77">
        <f t="shared" si="549"/>
        <v>879</v>
      </c>
      <c r="W180" s="77">
        <f t="shared" si="549"/>
        <v>1027</v>
      </c>
      <c r="X180" s="76">
        <f t="shared" si="549"/>
        <v>3032</v>
      </c>
      <c r="Y180" s="77">
        <f t="shared" si="549"/>
        <v>784</v>
      </c>
      <c r="Z180" s="77">
        <f t="shared" si="549"/>
        <v>854</v>
      </c>
      <c r="AA180" s="77">
        <f t="shared" si="549"/>
        <v>824</v>
      </c>
      <c r="AB180" s="77">
        <f t="shared" si="549"/>
        <v>978</v>
      </c>
      <c r="AC180" s="76">
        <f t="shared" si="549"/>
        <v>3440</v>
      </c>
      <c r="AD180" s="77">
        <f t="shared" si="549"/>
        <v>860</v>
      </c>
      <c r="AE180" s="86">
        <f t="shared" si="549"/>
        <v>637</v>
      </c>
      <c r="AF180" s="77">
        <f t="shared" si="549"/>
        <v>854</v>
      </c>
      <c r="AG180" s="77">
        <f t="shared" si="549"/>
        <v>881</v>
      </c>
      <c r="AH180" s="76">
        <f t="shared" si="549"/>
        <v>3232</v>
      </c>
      <c r="AI180" s="77">
        <f t="shared" si="549"/>
        <v>709</v>
      </c>
      <c r="AJ180" s="77">
        <f t="shared" si="549"/>
        <v>876</v>
      </c>
      <c r="AK180" s="77">
        <f t="shared" si="549"/>
        <v>885</v>
      </c>
      <c r="AL180" s="77">
        <f t="shared" si="549"/>
        <v>829</v>
      </c>
      <c r="AM180" s="76">
        <f t="shared" si="549"/>
        <v>3299</v>
      </c>
      <c r="AN180" s="77">
        <f t="shared" si="549"/>
        <v>664</v>
      </c>
      <c r="AO180" s="77">
        <f t="shared" si="549"/>
        <v>711</v>
      </c>
      <c r="AP180" s="77">
        <f t="shared" si="549"/>
        <v>684</v>
      </c>
      <c r="AQ180" s="77">
        <f t="shared" si="549"/>
        <v>816</v>
      </c>
      <c r="AR180" s="76">
        <f>SUM(AR171:AR173)</f>
        <v>2875</v>
      </c>
      <c r="AS180" s="77">
        <f t="shared" si="549"/>
        <v>671</v>
      </c>
      <c r="AT180" s="77">
        <f t="shared" si="549"/>
        <v>798</v>
      </c>
      <c r="AU180" s="77">
        <f t="shared" si="549"/>
        <v>824</v>
      </c>
      <c r="AV180" s="562">
        <f t="shared" si="549"/>
        <v>865</v>
      </c>
      <c r="AW180" s="76">
        <f>SUM(AW171:AW173)</f>
        <v>3158</v>
      </c>
      <c r="AX180" s="77">
        <f t="shared" si="549"/>
        <v>742</v>
      </c>
      <c r="AY180" s="77">
        <f t="shared" si="549"/>
        <v>748</v>
      </c>
      <c r="AZ180" s="77">
        <f t="shared" si="549"/>
        <v>827</v>
      </c>
      <c r="BA180" s="77">
        <f t="shared" si="549"/>
        <v>751</v>
      </c>
      <c r="BB180" s="76">
        <f>SUM(BB171:BB173)</f>
        <v>3068</v>
      </c>
      <c r="BC180" s="77">
        <f t="shared" si="549"/>
        <v>832</v>
      </c>
      <c r="BD180" s="77">
        <f t="shared" si="549"/>
        <v>776</v>
      </c>
      <c r="BE180" s="77">
        <f t="shared" si="549"/>
        <v>673</v>
      </c>
      <c r="BF180" s="77">
        <f t="shared" si="549"/>
        <v>954</v>
      </c>
      <c r="BG180" s="76">
        <f>SUM(BG171:BG173)</f>
        <v>3235</v>
      </c>
      <c r="BH180" s="77">
        <f t="shared" si="549"/>
        <v>778</v>
      </c>
      <c r="BI180" s="594">
        <f t="shared" si="549"/>
        <v>582</v>
      </c>
      <c r="BJ180" s="594">
        <f t="shared" si="549"/>
        <v>856</v>
      </c>
      <c r="BK180" s="594">
        <f t="shared" si="549"/>
        <v>917</v>
      </c>
      <c r="BL180" s="76">
        <f>SUM(BL171:BL173)</f>
        <v>3133</v>
      </c>
      <c r="BM180" s="594">
        <f t="shared" si="549"/>
        <v>743</v>
      </c>
      <c r="BN180" s="594">
        <f t="shared" si="549"/>
        <v>546</v>
      </c>
      <c r="BO180" s="594">
        <f t="shared" si="549"/>
        <v>1022</v>
      </c>
      <c r="BP180" s="594">
        <f t="shared" si="549"/>
        <v>963</v>
      </c>
      <c r="BQ180" s="76">
        <f>SUM(BQ171:BQ173)</f>
        <v>3274</v>
      </c>
      <c r="BR180" s="86">
        <f t="shared" si="549"/>
        <v>822</v>
      </c>
      <c r="BS180" s="86">
        <f t="shared" si="549"/>
        <v>593</v>
      </c>
      <c r="BT180" s="86">
        <f t="shared" si="549"/>
        <v>784</v>
      </c>
      <c r="BU180" s="86">
        <f t="shared" si="549"/>
        <v>809</v>
      </c>
      <c r="BV180" s="76">
        <f>SUM(BV171:BV173)</f>
        <v>3008</v>
      </c>
      <c r="BW180" s="86">
        <f t="shared" si="549"/>
        <v>737</v>
      </c>
      <c r="BX180" s="86">
        <f t="shared" si="549"/>
        <v>890</v>
      </c>
      <c r="BY180" s="86"/>
      <c r="BZ180" s="86"/>
      <c r="CA180" s="871">
        <f>SUM(CA171:CA173)</f>
        <v>1627</v>
      </c>
      <c r="CB180" s="967"/>
      <c r="CC180" s="967"/>
      <c r="CD180" s="967"/>
      <c r="CE180" s="967"/>
      <c r="CF180" s="871">
        <f>SUM(CF171:CF173)</f>
        <v>0</v>
      </c>
      <c r="CG180" s="594"/>
      <c r="CH180" s="594"/>
      <c r="CI180" s="594"/>
      <c r="CJ180" s="594"/>
      <c r="CK180" s="871">
        <f>SUM(CK171:CK173)</f>
        <v>0</v>
      </c>
      <c r="CL180" s="594"/>
      <c r="CM180" s="594"/>
      <c r="CN180" s="594"/>
      <c r="CO180" s="594"/>
      <c r="CP180" s="871">
        <f>SUM(CP171:CP173)</f>
        <v>0</v>
      </c>
      <c r="CQ180" s="594"/>
      <c r="CR180" s="594"/>
      <c r="CS180" s="594"/>
      <c r="CT180" s="594"/>
      <c r="CU180" s="871">
        <f>SUM(CU171:CU173)</f>
        <v>0</v>
      </c>
      <c r="CV180" s="594"/>
      <c r="CW180" s="594"/>
      <c r="CX180" s="594"/>
      <c r="CY180" s="594"/>
      <c r="CZ180" s="871">
        <f>SUM(CZ171:CZ173)</f>
        <v>0</v>
      </c>
      <c r="DA180" s="594"/>
      <c r="DB180" s="594"/>
      <c r="DC180" s="594"/>
      <c r="DD180" s="594"/>
      <c r="DE180" s="871">
        <f>SUM(DE171:DE173)</f>
        <v>0</v>
      </c>
      <c r="DG180" s="693"/>
      <c r="DH180" s="703"/>
      <c r="DI180" s="594"/>
      <c r="DJ180" s="871">
        <f>SUM(DJ171:DJ173)</f>
        <v>0</v>
      </c>
      <c r="DK180" s="1074"/>
      <c r="DL180" s="1074"/>
      <c r="DM180" s="1074"/>
      <c r="DN180" s="1074"/>
      <c r="DO180" s="871">
        <f>SUM(DO171:DO173)</f>
        <v>0</v>
      </c>
      <c r="DP180" s="1074"/>
      <c r="DQ180" s="1086"/>
      <c r="DS180" s="594"/>
      <c r="DT180" s="93"/>
      <c r="DU180" s="1086"/>
      <c r="DX180" s="594"/>
      <c r="DY180" s="93"/>
      <c r="DZ180" s="93"/>
      <c r="EA180" s="93"/>
      <c r="EB180" s="93"/>
    </row>
    <row r="181" spans="1:132" s="105" customFormat="1" ht="12" customHeight="1">
      <c r="A181" s="68"/>
      <c r="B181" s="828" t="s">
        <v>575</v>
      </c>
      <c r="C181" s="76"/>
      <c r="D181" s="76"/>
      <c r="E181" s="76"/>
      <c r="F181" s="76"/>
      <c r="G181" s="76"/>
      <c r="H181" s="76"/>
      <c r="I181" s="76"/>
      <c r="J181" s="77"/>
      <c r="K181" s="77"/>
      <c r="L181" s="77"/>
      <c r="M181" s="77"/>
      <c r="N181" s="76"/>
      <c r="O181" s="77"/>
      <c r="P181" s="77"/>
      <c r="Q181" s="77"/>
      <c r="R181" s="77"/>
      <c r="S181" s="76"/>
      <c r="T181" s="77"/>
      <c r="U181" s="77"/>
      <c r="V181" s="77"/>
      <c r="W181" s="77"/>
      <c r="X181" s="76"/>
      <c r="Y181" s="77"/>
      <c r="Z181" s="77"/>
      <c r="AA181" s="77"/>
      <c r="AB181" s="77"/>
      <c r="AC181" s="76"/>
      <c r="AD181" s="77"/>
      <c r="AE181" s="86"/>
      <c r="AF181" s="77"/>
      <c r="AG181" s="77"/>
      <c r="AH181" s="76"/>
      <c r="AI181" s="77"/>
      <c r="AJ181" s="77"/>
      <c r="AK181" s="77"/>
      <c r="AL181" s="77"/>
      <c r="AM181" s="76"/>
      <c r="AN181" s="77"/>
      <c r="AO181" s="77"/>
      <c r="AP181" s="77"/>
      <c r="AQ181" s="77"/>
      <c r="AR181" s="76"/>
      <c r="AS181" s="77"/>
      <c r="AT181" s="77"/>
      <c r="AU181" s="77"/>
      <c r="AV181" s="562"/>
      <c r="AW181" s="76"/>
      <c r="AX181" s="77"/>
      <c r="AY181" s="77"/>
      <c r="AZ181" s="77"/>
      <c r="BA181" s="77"/>
      <c r="BB181" s="76"/>
      <c r="BC181" s="77"/>
      <c r="BD181" s="77"/>
      <c r="BE181" s="77"/>
      <c r="BF181" s="77"/>
      <c r="BG181" s="76"/>
      <c r="BH181" s="77"/>
      <c r="BI181" s="594"/>
      <c r="BJ181" s="594"/>
      <c r="BK181" s="594"/>
      <c r="BL181" s="76"/>
      <c r="BM181" s="594"/>
      <c r="BN181" s="594"/>
      <c r="BO181" s="594"/>
      <c r="BP181" s="594"/>
      <c r="BQ181" s="76"/>
      <c r="BR181" s="86">
        <v>546</v>
      </c>
      <c r="BS181" s="86">
        <v>539</v>
      </c>
      <c r="BT181" s="86">
        <v>524</v>
      </c>
      <c r="BU181" s="86">
        <v>568</v>
      </c>
      <c r="BV181" s="76">
        <f>SUM(BR181:BU181)</f>
        <v>2177</v>
      </c>
      <c r="BW181" s="86">
        <v>623</v>
      </c>
      <c r="BX181" s="86">
        <v>569</v>
      </c>
      <c r="BY181" s="86">
        <v>495</v>
      </c>
      <c r="BZ181" s="86">
        <v>559</v>
      </c>
      <c r="CA181" s="871">
        <f>SUM(BW181:BZ181)</f>
        <v>2246</v>
      </c>
      <c r="CB181" s="693">
        <v>647</v>
      </c>
      <c r="CC181" s="693">
        <v>604</v>
      </c>
      <c r="CD181" s="693">
        <v>548</v>
      </c>
      <c r="CE181" s="693">
        <v>737</v>
      </c>
      <c r="CF181" s="871">
        <f>SUM(CB181:CE181)</f>
        <v>2536</v>
      </c>
      <c r="CG181" s="594">
        <v>653</v>
      </c>
      <c r="CH181" s="594">
        <v>687</v>
      </c>
      <c r="CI181" s="594">
        <v>673</v>
      </c>
      <c r="CJ181" s="594">
        <v>684</v>
      </c>
      <c r="CK181" s="871">
        <f>SUM(CG181:CJ181)</f>
        <v>2697</v>
      </c>
      <c r="CL181" s="594">
        <v>708</v>
      </c>
      <c r="CM181" s="594">
        <v>-672</v>
      </c>
      <c r="CN181" s="594">
        <v>271</v>
      </c>
      <c r="CO181" s="594">
        <v>143</v>
      </c>
      <c r="CP181" s="871">
        <f>SUM(CL181:CO181)</f>
        <v>450</v>
      </c>
      <c r="CQ181" s="594">
        <v>441</v>
      </c>
      <c r="CR181" s="594">
        <v>531</v>
      </c>
      <c r="CS181" s="594">
        <v>644</v>
      </c>
      <c r="CT181" s="594">
        <v>401</v>
      </c>
      <c r="CU181" s="871">
        <f>SUM(CQ181:CT181)</f>
        <v>2017</v>
      </c>
      <c r="CV181" s="594">
        <v>632</v>
      </c>
      <c r="CW181" s="594">
        <v>728</v>
      </c>
      <c r="CX181" s="594">
        <v>733</v>
      </c>
      <c r="CY181" s="594">
        <v>634</v>
      </c>
      <c r="CZ181" s="871">
        <f>SUM(CV181:CY181)</f>
        <v>2727</v>
      </c>
      <c r="DA181" s="594">
        <v>847</v>
      </c>
      <c r="DB181" s="594">
        <v>856</v>
      </c>
      <c r="DC181" s="594">
        <v>784</v>
      </c>
      <c r="DD181" s="594">
        <v>842</v>
      </c>
      <c r="DE181" s="871">
        <f>SUM(DA181:DD181)</f>
        <v>3329</v>
      </c>
      <c r="DF181" s="105">
        <v>916</v>
      </c>
      <c r="DG181" s="693">
        <v>870</v>
      </c>
      <c r="DH181" s="703">
        <v>834</v>
      </c>
      <c r="DI181" s="1077">
        <v>998</v>
      </c>
      <c r="DJ181" s="871">
        <f>SUM(DF181:DI181)</f>
        <v>3618</v>
      </c>
      <c r="DK181" s="1074">
        <v>943</v>
      </c>
      <c r="DL181" s="1074">
        <v>1049</v>
      </c>
      <c r="DM181" s="1074">
        <v>938</v>
      </c>
      <c r="DN181" s="1074">
        <v>10544</v>
      </c>
      <c r="DO181" s="871">
        <f>SUM(DK181:DN181)</f>
        <v>13474</v>
      </c>
      <c r="DP181" s="1074">
        <v>971</v>
      </c>
      <c r="DQ181" s="1086">
        <v>968</v>
      </c>
      <c r="DS181" s="594"/>
      <c r="DT181" s="93"/>
      <c r="DU181" s="1086"/>
      <c r="DX181" s="594"/>
      <c r="DY181" s="93"/>
      <c r="DZ181" s="93"/>
      <c r="EA181" s="93"/>
      <c r="EB181" s="93"/>
    </row>
    <row r="182" spans="1:132" s="105" customFormat="1" ht="12" customHeight="1">
      <c r="A182" s="68"/>
      <c r="B182" s="68" t="s">
        <v>144</v>
      </c>
      <c r="C182" s="76">
        <v>381</v>
      </c>
      <c r="D182" s="76">
        <v>367</v>
      </c>
      <c r="E182" s="76">
        <v>492</v>
      </c>
      <c r="F182" s="76">
        <v>494</v>
      </c>
      <c r="G182" s="76">
        <v>596</v>
      </c>
      <c r="H182" s="76">
        <v>482</v>
      </c>
      <c r="I182" s="76">
        <v>143</v>
      </c>
      <c r="J182" s="77">
        <v>87</v>
      </c>
      <c r="K182" s="77">
        <v>15</v>
      </c>
      <c r="L182" s="77">
        <v>60</v>
      </c>
      <c r="M182" s="77">
        <f>N182-L182-K182-J182</f>
        <v>21</v>
      </c>
      <c r="N182" s="76">
        <v>183</v>
      </c>
      <c r="O182" s="77">
        <v>44</v>
      </c>
      <c r="P182" s="77">
        <v>112</v>
      </c>
      <c r="Q182" s="77">
        <v>28</v>
      </c>
      <c r="R182" s="77">
        <f>S182-Q182-P182-O182</f>
        <v>48</v>
      </c>
      <c r="S182" s="76">
        <v>232</v>
      </c>
      <c r="T182" s="77">
        <v>70</v>
      </c>
      <c r="U182" s="77">
        <v>62</v>
      </c>
      <c r="V182" s="77">
        <v>122</v>
      </c>
      <c r="W182" s="77">
        <f>X182-V182-U182-T182</f>
        <v>37</v>
      </c>
      <c r="X182" s="76">
        <v>291</v>
      </c>
      <c r="Y182" s="77">
        <v>73</v>
      </c>
      <c r="Z182" s="77">
        <v>70</v>
      </c>
      <c r="AA182" s="77">
        <v>61</v>
      </c>
      <c r="AB182" s="77">
        <f>AC182-AA182-Z182-Y182</f>
        <v>30</v>
      </c>
      <c r="AC182" s="76">
        <v>234</v>
      </c>
      <c r="AD182" s="77">
        <v>61</v>
      </c>
      <c r="AE182" s="86">
        <v>45</v>
      </c>
      <c r="AF182" s="77">
        <v>37</v>
      </c>
      <c r="AG182" s="77">
        <f>AH182-AF182-AE182-AD182</f>
        <v>19</v>
      </c>
      <c r="AH182" s="76">
        <v>162</v>
      </c>
      <c r="AI182" s="77">
        <v>37</v>
      </c>
      <c r="AJ182" s="77">
        <v>36</v>
      </c>
      <c r="AK182" s="77">
        <v>39</v>
      </c>
      <c r="AL182" s="77">
        <v>14</v>
      </c>
      <c r="AM182" s="76">
        <f>SUM(AI182:AL182)</f>
        <v>126</v>
      </c>
      <c r="AN182" s="77">
        <v>46</v>
      </c>
      <c r="AO182" s="77">
        <v>55</v>
      </c>
      <c r="AP182" s="77">
        <v>45</v>
      </c>
      <c r="AQ182" s="77">
        <v>6</v>
      </c>
      <c r="AR182" s="76">
        <f>SUM(AN182:AQ182)</f>
        <v>152</v>
      </c>
      <c r="AS182" s="77">
        <v>52</v>
      </c>
      <c r="AT182" s="77">
        <v>62</v>
      </c>
      <c r="AU182" s="86">
        <v>19</v>
      </c>
      <c r="AV182" s="562">
        <v>-8</v>
      </c>
      <c r="AW182" s="76">
        <f>SUM(AS182:AV182)</f>
        <v>125</v>
      </c>
      <c r="AX182" s="77">
        <v>38</v>
      </c>
      <c r="AY182" s="77">
        <v>31</v>
      </c>
      <c r="AZ182" s="77">
        <v>33</v>
      </c>
      <c r="BA182" s="562">
        <v>-20</v>
      </c>
      <c r="BB182" s="76">
        <f>SUM(AX182:BA182)</f>
        <v>82</v>
      </c>
      <c r="BC182" s="562">
        <v>44</v>
      </c>
      <c r="BD182" s="77">
        <v>19</v>
      </c>
      <c r="BE182" s="77">
        <v>35</v>
      </c>
      <c r="BF182" s="562">
        <v>9</v>
      </c>
      <c r="BG182" s="76">
        <f>SUM(BC182:BF182)</f>
        <v>107</v>
      </c>
      <c r="BH182" s="562">
        <v>44</v>
      </c>
      <c r="BI182" s="704">
        <v>33</v>
      </c>
      <c r="BJ182" s="77">
        <v>-11</v>
      </c>
      <c r="BK182" s="562">
        <v>26</v>
      </c>
      <c r="BL182" s="76">
        <f>SUM(BH182:BK182)</f>
        <v>92</v>
      </c>
      <c r="BM182" s="562">
        <v>20</v>
      </c>
      <c r="BN182" s="704">
        <v>11</v>
      </c>
      <c r="BO182" s="77">
        <v>10</v>
      </c>
      <c r="BP182" s="744">
        <v>9</v>
      </c>
      <c r="BQ182" s="76">
        <f>SUM(BM182:BP182)</f>
        <v>50</v>
      </c>
      <c r="BR182" s="745">
        <v>5</v>
      </c>
      <c r="BS182" s="798">
        <v>18</v>
      </c>
      <c r="BT182" s="77">
        <v>13</v>
      </c>
      <c r="BU182" s="562">
        <v>23</v>
      </c>
      <c r="BV182" s="76">
        <f>SUM(BR182:BU182)</f>
        <v>59</v>
      </c>
      <c r="BW182" s="745">
        <v>39</v>
      </c>
      <c r="BX182" s="798">
        <v>25</v>
      </c>
      <c r="BY182" s="86">
        <v>23</v>
      </c>
      <c r="BZ182" s="745">
        <v>27</v>
      </c>
      <c r="CA182" s="871">
        <f>SUM(BW182:BZ182)</f>
        <v>114</v>
      </c>
      <c r="CB182" s="744">
        <v>20</v>
      </c>
      <c r="CC182" s="704">
        <v>24</v>
      </c>
      <c r="CD182" s="16">
        <v>27</v>
      </c>
      <c r="CE182" s="744">
        <v>8</v>
      </c>
      <c r="CF182" s="871">
        <f>SUM(CB182:CE182)</f>
        <v>79</v>
      </c>
      <c r="CG182" s="704">
        <v>20</v>
      </c>
      <c r="CH182" s="704">
        <v>37</v>
      </c>
      <c r="CI182" s="704">
        <v>29</v>
      </c>
      <c r="CJ182" s="704">
        <v>-58</v>
      </c>
      <c r="CK182" s="871">
        <f>SUM(CG182:CJ182)</f>
        <v>28</v>
      </c>
      <c r="CL182" s="562">
        <v>24</v>
      </c>
      <c r="CM182" s="562">
        <v>-7</v>
      </c>
      <c r="CN182" s="562">
        <v>30</v>
      </c>
      <c r="CO182" s="562">
        <v>16</v>
      </c>
      <c r="CP182" s="871">
        <f>SUM(CL182:CO182)</f>
        <v>63</v>
      </c>
      <c r="CQ182" s="562">
        <v>21</v>
      </c>
      <c r="CR182" s="562">
        <v>36</v>
      </c>
      <c r="CS182" s="562">
        <v>42</v>
      </c>
      <c r="CT182" s="562">
        <v>7</v>
      </c>
      <c r="CU182" s="871">
        <f>SUM(CQ182:CT182)</f>
        <v>106</v>
      </c>
      <c r="CV182" s="562">
        <v>-36</v>
      </c>
      <c r="CW182" s="562">
        <v>27</v>
      </c>
      <c r="CX182" s="562">
        <v>23</v>
      </c>
      <c r="CY182" s="562">
        <v>15</v>
      </c>
      <c r="CZ182" s="871">
        <f>SUM(CV182:CY182)</f>
        <v>29</v>
      </c>
      <c r="DA182" s="562"/>
      <c r="DB182" s="562"/>
      <c r="DC182" s="562"/>
      <c r="DD182" s="562"/>
      <c r="DE182" s="871">
        <f>SUM(DA182:DD182)</f>
        <v>0</v>
      </c>
      <c r="DG182" s="744"/>
      <c r="DH182" s="1049"/>
      <c r="DI182" s="562"/>
      <c r="DJ182" s="871">
        <f>SUM(DF182:DI182)</f>
        <v>0</v>
      </c>
      <c r="DL182" s="744"/>
      <c r="DM182" s="744"/>
      <c r="DN182" s="562"/>
      <c r="DO182" s="871">
        <f>SUM(DK182:DN182)</f>
        <v>0</v>
      </c>
      <c r="DP182" s="562"/>
      <c r="DQ182" s="1049"/>
      <c r="DS182" s="562"/>
      <c r="DT182" s="93"/>
      <c r="DX182" s="562"/>
      <c r="DY182" s="93"/>
      <c r="DZ182" s="93"/>
      <c r="EA182" s="93"/>
      <c r="EB182" s="93"/>
    </row>
    <row r="183" spans="1:132" s="105" customFormat="1" ht="12" customHeight="1">
      <c r="A183" s="68"/>
      <c r="B183" s="49" t="s">
        <v>317</v>
      </c>
      <c r="C183" s="71">
        <f t="shared" ref="C183:BP183" si="550">SUM(C170+C180+C182)</f>
        <v>-139</v>
      </c>
      <c r="D183" s="71">
        <f t="shared" si="550"/>
        <v>1961</v>
      </c>
      <c r="E183" s="71">
        <f t="shared" si="550"/>
        <v>4116</v>
      </c>
      <c r="F183" s="71">
        <f t="shared" si="550"/>
        <v>4178</v>
      </c>
      <c r="G183" s="71">
        <f t="shared" si="550"/>
        <v>5193</v>
      </c>
      <c r="H183" s="71">
        <f t="shared" si="550"/>
        <v>5338</v>
      </c>
      <c r="I183" s="71">
        <f t="shared" si="550"/>
        <v>1616</v>
      </c>
      <c r="J183" s="72">
        <f t="shared" si="550"/>
        <v>1177</v>
      </c>
      <c r="K183" s="72">
        <f t="shared" si="550"/>
        <v>1093</v>
      </c>
      <c r="L183" s="72">
        <f t="shared" si="550"/>
        <v>1044</v>
      </c>
      <c r="M183" s="72">
        <f t="shared" si="550"/>
        <v>547</v>
      </c>
      <c r="N183" s="71">
        <f t="shared" si="550"/>
        <v>3861</v>
      </c>
      <c r="O183" s="72">
        <f t="shared" si="550"/>
        <v>1280</v>
      </c>
      <c r="P183" s="72">
        <f t="shared" si="550"/>
        <v>1403</v>
      </c>
      <c r="Q183" s="72">
        <f t="shared" si="550"/>
        <v>1569</v>
      </c>
      <c r="R183" s="72">
        <f t="shared" si="550"/>
        <v>1302</v>
      </c>
      <c r="S183" s="71">
        <f t="shared" si="550"/>
        <v>5554</v>
      </c>
      <c r="T183" s="72">
        <f t="shared" si="550"/>
        <v>1590</v>
      </c>
      <c r="U183" s="72">
        <f t="shared" si="550"/>
        <v>1090</v>
      </c>
      <c r="V183" s="72">
        <f t="shared" si="550"/>
        <v>1647</v>
      </c>
      <c r="W183" s="72">
        <f t="shared" si="550"/>
        <v>1729</v>
      </c>
      <c r="X183" s="71">
        <f t="shared" si="550"/>
        <v>6056</v>
      </c>
      <c r="Y183" s="72">
        <f t="shared" si="550"/>
        <v>1563</v>
      </c>
      <c r="Z183" s="72">
        <f t="shared" si="550"/>
        <v>1884</v>
      </c>
      <c r="AA183" s="72">
        <f t="shared" si="550"/>
        <v>1830</v>
      </c>
      <c r="AB183" s="72">
        <f t="shared" si="550"/>
        <v>1981</v>
      </c>
      <c r="AC183" s="71">
        <f t="shared" si="550"/>
        <v>7258</v>
      </c>
      <c r="AD183" s="72">
        <f t="shared" si="550"/>
        <v>1904</v>
      </c>
      <c r="AE183" s="90">
        <f t="shared" si="550"/>
        <v>1459</v>
      </c>
      <c r="AF183" s="72">
        <f t="shared" si="550"/>
        <v>1285</v>
      </c>
      <c r="AG183" s="72">
        <f t="shared" si="550"/>
        <v>-68</v>
      </c>
      <c r="AH183" s="71">
        <f t="shared" si="550"/>
        <v>4580</v>
      </c>
      <c r="AI183" s="72">
        <f t="shared" si="550"/>
        <v>1163</v>
      </c>
      <c r="AJ183" s="72">
        <f t="shared" si="550"/>
        <v>1729</v>
      </c>
      <c r="AK183" s="72">
        <f t="shared" si="550"/>
        <v>-1913</v>
      </c>
      <c r="AL183" s="72">
        <f t="shared" si="550"/>
        <v>1863</v>
      </c>
      <c r="AM183" s="71">
        <f t="shared" si="550"/>
        <v>2842</v>
      </c>
      <c r="AN183" s="72">
        <f t="shared" si="550"/>
        <v>1389</v>
      </c>
      <c r="AO183" s="72">
        <f t="shared" si="550"/>
        <v>1449</v>
      </c>
      <c r="AP183" s="72">
        <f t="shared" si="550"/>
        <v>1746</v>
      </c>
      <c r="AQ183" s="72">
        <f t="shared" si="550"/>
        <v>1449</v>
      </c>
      <c r="AR183" s="71">
        <f>SUM(AR170+AR180+AR182)</f>
        <v>6033</v>
      </c>
      <c r="AS183" s="72">
        <f t="shared" si="550"/>
        <v>1232</v>
      </c>
      <c r="AT183" s="72">
        <f t="shared" si="550"/>
        <v>1780</v>
      </c>
      <c r="AU183" s="72">
        <f t="shared" si="550"/>
        <v>1928</v>
      </c>
      <c r="AV183" s="564">
        <f t="shared" si="550"/>
        <v>1838</v>
      </c>
      <c r="AW183" s="71">
        <f>SUM(AW170+AW180+AW182)</f>
        <v>6778</v>
      </c>
      <c r="AX183" s="72">
        <f t="shared" si="550"/>
        <v>1861</v>
      </c>
      <c r="AY183" s="72">
        <f t="shared" si="550"/>
        <v>1990</v>
      </c>
      <c r="AZ183" s="72">
        <f t="shared" si="550"/>
        <v>2013</v>
      </c>
      <c r="BA183" s="72">
        <f t="shared" si="550"/>
        <v>1997</v>
      </c>
      <c r="BB183" s="71">
        <f>SUM(BB170+BB180+BB182)</f>
        <v>7861</v>
      </c>
      <c r="BC183" s="72">
        <f t="shared" si="550"/>
        <v>2095</v>
      </c>
      <c r="BD183" s="72">
        <f t="shared" si="550"/>
        <v>2248</v>
      </c>
      <c r="BE183" s="72">
        <f t="shared" si="550"/>
        <v>2325</v>
      </c>
      <c r="BF183" s="72">
        <f t="shared" si="550"/>
        <v>2469.3000000000002</v>
      </c>
      <c r="BG183" s="71">
        <f>SUM(BG170+BG180+BG182)</f>
        <v>9137.2999999999993</v>
      </c>
      <c r="BH183" s="72">
        <f t="shared" si="550"/>
        <v>2324</v>
      </c>
      <c r="BI183" s="597">
        <f t="shared" si="550"/>
        <v>2165</v>
      </c>
      <c r="BJ183" s="597">
        <f t="shared" si="550"/>
        <v>2642</v>
      </c>
      <c r="BK183" s="597">
        <f t="shared" si="550"/>
        <v>2505</v>
      </c>
      <c r="BL183" s="71">
        <f>SUM(BL170+BL180+BL182)</f>
        <v>9636</v>
      </c>
      <c r="BM183" s="597">
        <f t="shared" si="550"/>
        <v>2380</v>
      </c>
      <c r="BN183" s="597">
        <f t="shared" si="550"/>
        <v>1763</v>
      </c>
      <c r="BO183" s="597">
        <f t="shared" si="550"/>
        <v>2800</v>
      </c>
      <c r="BP183" s="597">
        <f t="shared" si="550"/>
        <v>1538</v>
      </c>
      <c r="BQ183" s="71">
        <f>SUM(BQ170+BQ180+BQ182)</f>
        <v>8481</v>
      </c>
      <c r="BR183" s="90">
        <f>BR168+BR169+BR181+BR182</f>
        <v>1860</v>
      </c>
      <c r="BS183" s="90">
        <f t="shared" ref="BS183" si="551">BS168+BS169+BS181+BS182</f>
        <v>-362</v>
      </c>
      <c r="BT183" s="90">
        <f t="shared" ref="BT183" si="552">BT168+BT169+BT181+BT182</f>
        <v>2394</v>
      </c>
      <c r="BU183" s="90">
        <f t="shared" ref="BU183" si="553">BU168+BU169+BU181+BU182</f>
        <v>2305</v>
      </c>
      <c r="BV183" s="71">
        <f>SUM(BV168,BV169,BV181,BV182)</f>
        <v>6197</v>
      </c>
      <c r="BW183" s="90">
        <f>BW168+BW169+BW181+BW182</f>
        <v>2081</v>
      </c>
      <c r="BX183" s="90">
        <f t="shared" ref="BX183:DF183" si="554">BX168+BX169+BX181+BX182</f>
        <v>2490</v>
      </c>
      <c r="BY183" s="90">
        <f t="shared" si="554"/>
        <v>2517</v>
      </c>
      <c r="BZ183" s="90">
        <f t="shared" si="554"/>
        <v>2917</v>
      </c>
      <c r="CA183" s="874">
        <f>SUM(CA168,CA169,CA181,CA182)</f>
        <v>10005</v>
      </c>
      <c r="CB183" s="90">
        <f t="shared" si="554"/>
        <v>2836</v>
      </c>
      <c r="CC183" s="90">
        <f t="shared" si="554"/>
        <v>2789</v>
      </c>
      <c r="CD183" s="90">
        <f t="shared" si="554"/>
        <v>2361</v>
      </c>
      <c r="CE183" s="90">
        <f t="shared" si="554"/>
        <v>4116</v>
      </c>
      <c r="CF183" s="874">
        <f>SUM(CF168,CF169,CF181,CF182)</f>
        <v>12102</v>
      </c>
      <c r="CG183" s="90">
        <f t="shared" si="554"/>
        <v>2693</v>
      </c>
      <c r="CH183" s="90">
        <f t="shared" si="554"/>
        <v>-3247</v>
      </c>
      <c r="CI183" s="90">
        <f t="shared" si="554"/>
        <v>1416</v>
      </c>
      <c r="CJ183" s="90">
        <f t="shared" si="554"/>
        <v>-2187</v>
      </c>
      <c r="CK183" s="874">
        <f>SUM(CK168,CK169,CK181,CK182)</f>
        <v>-1325</v>
      </c>
      <c r="CL183" s="90">
        <f t="shared" si="554"/>
        <v>-1527</v>
      </c>
      <c r="CM183" s="90">
        <f t="shared" si="554"/>
        <v>-2841</v>
      </c>
      <c r="CN183" s="90">
        <f t="shared" si="554"/>
        <v>-440</v>
      </c>
      <c r="CO183" s="90">
        <f t="shared" si="554"/>
        <v>-6987</v>
      </c>
      <c r="CP183" s="874">
        <f>SUM(CP168,CP169,CP181,CP182)</f>
        <v>-11795</v>
      </c>
      <c r="CQ183" s="90">
        <f t="shared" si="554"/>
        <v>11</v>
      </c>
      <c r="CR183" s="90">
        <f t="shared" si="554"/>
        <v>1053</v>
      </c>
      <c r="CS183" s="90">
        <f t="shared" si="554"/>
        <v>429</v>
      </c>
      <c r="CT183" s="90">
        <f t="shared" si="554"/>
        <v>-4301</v>
      </c>
      <c r="CU183" s="874">
        <f>SUM(CU168,CU169,CU181,CU182)</f>
        <v>-2808</v>
      </c>
      <c r="CV183" s="90">
        <f t="shared" si="554"/>
        <v>-1192</v>
      </c>
      <c r="CW183" s="90">
        <f t="shared" si="554"/>
        <v>584</v>
      </c>
      <c r="CX183" s="90">
        <f t="shared" si="554"/>
        <v>-2685</v>
      </c>
      <c r="CY183" s="90">
        <f t="shared" si="554"/>
        <v>135</v>
      </c>
      <c r="CZ183" s="874">
        <f>SUM(CZ168,CZ169,CZ181,CZ182)</f>
        <v>-3158</v>
      </c>
      <c r="DA183" s="90">
        <f t="shared" si="554"/>
        <v>20</v>
      </c>
      <c r="DB183" s="90">
        <f t="shared" si="554"/>
        <v>-54</v>
      </c>
      <c r="DC183" s="90">
        <f t="shared" si="554"/>
        <v>-818</v>
      </c>
      <c r="DD183" s="90">
        <f t="shared" si="554"/>
        <v>782</v>
      </c>
      <c r="DE183" s="874">
        <f>SUM(DE168,DE169,DE181,DE182)</f>
        <v>-70</v>
      </c>
      <c r="DF183" s="90">
        <f t="shared" si="554"/>
        <v>-76</v>
      </c>
      <c r="DG183" s="90">
        <f t="shared" ref="DG183:DI183" si="555">DG168+DG169+DG181+DG182</f>
        <v>-758</v>
      </c>
      <c r="DH183" s="1066">
        <f t="shared" si="555"/>
        <v>-5571</v>
      </c>
      <c r="DI183" s="90">
        <f t="shared" si="555"/>
        <v>-3359</v>
      </c>
      <c r="DJ183" s="874">
        <f>SUM(DJ168,DJ169,DJ181,DJ182)</f>
        <v>-9764</v>
      </c>
      <c r="DK183" s="90">
        <f t="shared" ref="DK183:DN183" si="556">DK168+DK169+DK181+DK182</f>
        <v>561</v>
      </c>
      <c r="DL183" s="90">
        <f t="shared" si="556"/>
        <v>602</v>
      </c>
      <c r="DM183" s="90">
        <f t="shared" si="556"/>
        <v>-4301</v>
      </c>
      <c r="DN183" s="90">
        <f t="shared" si="556"/>
        <v>9405</v>
      </c>
      <c r="DO183" s="874">
        <f>SUM(DO168,DO169,DO181,DO182)</f>
        <v>6267</v>
      </c>
      <c r="DP183" s="90">
        <f t="shared" ref="DP183:DQ183" si="557">DP168+DP169+DP181+DP182</f>
        <v>641</v>
      </c>
      <c r="DQ183" s="1066">
        <f t="shared" si="557"/>
        <v>631</v>
      </c>
      <c r="DS183" s="597"/>
      <c r="DT183" s="93"/>
      <c r="DU183" s="90"/>
      <c r="DX183" s="597"/>
      <c r="DY183" s="93"/>
      <c r="DZ183" s="93"/>
      <c r="EA183" s="93"/>
      <c r="EB183" s="93"/>
    </row>
    <row r="184" spans="1:132" s="105" customFormat="1" ht="12" customHeight="1">
      <c r="A184" s="68"/>
      <c r="B184" s="68" t="s">
        <v>93</v>
      </c>
      <c r="C184" s="76">
        <v>0</v>
      </c>
      <c r="D184" s="76">
        <v>0</v>
      </c>
      <c r="E184" s="76">
        <v>0</v>
      </c>
      <c r="F184" s="76">
        <v>0</v>
      </c>
      <c r="G184" s="76">
        <v>-388</v>
      </c>
      <c r="H184" s="76">
        <v>-424</v>
      </c>
      <c r="I184" s="76">
        <v>-380</v>
      </c>
      <c r="J184" s="77">
        <v>-104</v>
      </c>
      <c r="K184" s="77">
        <v>-124</v>
      </c>
      <c r="L184" s="77">
        <v>-145</v>
      </c>
      <c r="M184" s="77">
        <f>N184-L184-K184-J184</f>
        <v>-162</v>
      </c>
      <c r="N184" s="76">
        <v>-535</v>
      </c>
      <c r="O184" s="77">
        <v>-72</v>
      </c>
      <c r="P184" s="77">
        <v>-105</v>
      </c>
      <c r="Q184" s="77">
        <v>-97</v>
      </c>
      <c r="R184" s="77">
        <f>S184-Q184-P184-O184</f>
        <v>-60</v>
      </c>
      <c r="S184" s="76">
        <v>-334</v>
      </c>
      <c r="T184" s="77">
        <v>-61</v>
      </c>
      <c r="U184" s="77">
        <v>-90</v>
      </c>
      <c r="V184" s="77">
        <v>-494</v>
      </c>
      <c r="W184" s="77">
        <f>X184-V184-U184-T184</f>
        <v>-93</v>
      </c>
      <c r="X184" s="76">
        <v>-738</v>
      </c>
      <c r="Y184" s="77">
        <v>-2</v>
      </c>
      <c r="Z184" s="77">
        <v>-30</v>
      </c>
      <c r="AA184" s="77">
        <v>-46</v>
      </c>
      <c r="AB184" s="77">
        <f>AC184-AA184-Z184-Y184</f>
        <v>-165</v>
      </c>
      <c r="AC184" s="76">
        <v>-243</v>
      </c>
      <c r="AD184" s="77">
        <v>-50</v>
      </c>
      <c r="AE184" s="86">
        <v>-135</v>
      </c>
      <c r="AF184" s="77">
        <v>-48</v>
      </c>
      <c r="AG184" s="77">
        <f>AH184-AF184-AE184-AD184</f>
        <v>-74</v>
      </c>
      <c r="AH184" s="76">
        <v>-307</v>
      </c>
      <c r="AI184" s="77">
        <v>-23</v>
      </c>
      <c r="AJ184" s="77">
        <v>-46</v>
      </c>
      <c r="AK184" s="77">
        <v>-36</v>
      </c>
      <c r="AL184" s="77">
        <v>-47</v>
      </c>
      <c r="AM184" s="76">
        <f t="shared" ref="AM184:AM189" si="558">SUM(AI184:AL184)</f>
        <v>-152</v>
      </c>
      <c r="AN184" s="77">
        <v>-50</v>
      </c>
      <c r="AO184" s="77">
        <v>-72</v>
      </c>
      <c r="AP184" s="77">
        <v>-132</v>
      </c>
      <c r="AQ184" s="77">
        <v>-73</v>
      </c>
      <c r="AR184" s="76">
        <f t="shared" ref="AR184:AR189" si="559">SUM(AN184:AQ184)</f>
        <v>-327</v>
      </c>
      <c r="AS184" s="77">
        <v>-22</v>
      </c>
      <c r="AT184" s="77">
        <v>-58</v>
      </c>
      <c r="AU184" s="86">
        <v>92</v>
      </c>
      <c r="AV184" s="562">
        <v>43</v>
      </c>
      <c r="AW184" s="76">
        <f t="shared" ref="AW184:AW189" si="560">SUM(AS184:AV184)</f>
        <v>55</v>
      </c>
      <c r="AX184" s="77">
        <v>-79</v>
      </c>
      <c r="AY184" s="77">
        <v>-50</v>
      </c>
      <c r="AZ184" s="77">
        <v>-74</v>
      </c>
      <c r="BA184" s="562">
        <v>44</v>
      </c>
      <c r="BB184" s="76">
        <f t="shared" ref="BB184:BB189" si="561">SUM(AX184:BA184)</f>
        <v>-159</v>
      </c>
      <c r="BC184" s="562">
        <v>-58</v>
      </c>
      <c r="BD184" s="77">
        <v>-43</v>
      </c>
      <c r="BE184" s="77">
        <v>44</v>
      </c>
      <c r="BF184" s="562">
        <v>-99</v>
      </c>
      <c r="BG184" s="76">
        <f t="shared" ref="BG184:BG189" si="562">SUM(BC184:BF184)</f>
        <v>-156</v>
      </c>
      <c r="BH184" s="562">
        <v>-62</v>
      </c>
      <c r="BI184" s="704">
        <v>-48</v>
      </c>
      <c r="BJ184" s="77">
        <v>-19</v>
      </c>
      <c r="BK184" s="562"/>
      <c r="BL184" s="76">
        <f t="shared" ref="BL184:BL189" si="563">SUM(BH184:BK184)</f>
        <v>-129</v>
      </c>
      <c r="BM184" s="562"/>
      <c r="BN184" s="704"/>
      <c r="BO184" s="77">
        <v>-21</v>
      </c>
      <c r="BP184" s="562"/>
      <c r="BQ184" s="76">
        <f t="shared" ref="BQ184:BQ189" si="564">SUM(BM184:BP184)</f>
        <v>-21</v>
      </c>
      <c r="BR184" s="745"/>
      <c r="BS184" s="704"/>
      <c r="BT184" s="77"/>
      <c r="BU184" s="562"/>
      <c r="BV184" s="76">
        <f t="shared" ref="BV184:BV189" si="565">SUM(BR184:BU184)</f>
        <v>0</v>
      </c>
      <c r="BW184" s="745"/>
      <c r="BX184" s="798"/>
      <c r="BY184" s="86"/>
      <c r="BZ184" s="745"/>
      <c r="CA184" s="871">
        <f t="shared" ref="CA184:CA189" si="566">SUM(BW184:BZ184)</f>
        <v>0</v>
      </c>
      <c r="CB184" s="562"/>
      <c r="CC184" s="704"/>
      <c r="CD184" s="77"/>
      <c r="CE184" s="562"/>
      <c r="CF184" s="871"/>
      <c r="CG184" s="704"/>
      <c r="CH184" s="704"/>
      <c r="CI184" s="704"/>
      <c r="CJ184" s="704"/>
      <c r="CK184" s="871"/>
      <c r="CL184" s="562"/>
      <c r="CM184" s="562"/>
      <c r="CN184" s="562"/>
      <c r="CO184" s="562"/>
      <c r="CP184" s="871"/>
      <c r="CQ184" s="562"/>
      <c r="CR184" s="562"/>
      <c r="CS184" s="562"/>
      <c r="CT184" s="562"/>
      <c r="CU184" s="871"/>
      <c r="CV184" s="562"/>
      <c r="CW184" s="562"/>
      <c r="CX184" s="562"/>
      <c r="CY184" s="562"/>
      <c r="CZ184" s="871"/>
      <c r="DA184" s="562"/>
      <c r="DB184" s="562"/>
      <c r="DC184" s="562"/>
      <c r="DD184" s="562"/>
      <c r="DE184" s="871"/>
      <c r="DG184" s="744"/>
      <c r="DH184" s="1049"/>
      <c r="DI184" s="562"/>
      <c r="DJ184" s="871"/>
      <c r="DL184" s="744"/>
      <c r="DM184" s="744"/>
      <c r="DN184" s="562"/>
      <c r="DO184" s="871"/>
      <c r="DP184" s="562"/>
      <c r="DQ184" s="1049"/>
      <c r="DS184" s="562"/>
      <c r="DT184" s="93"/>
      <c r="DX184" s="562"/>
      <c r="DY184" s="93"/>
      <c r="DZ184" s="93"/>
      <c r="EA184" s="93"/>
      <c r="EB184" s="93"/>
    </row>
    <row r="185" spans="1:132" s="105" customFormat="1" ht="12" customHeight="1">
      <c r="A185" s="68"/>
      <c r="B185" s="536" t="s">
        <v>587</v>
      </c>
      <c r="C185" s="76"/>
      <c r="D185" s="76"/>
      <c r="E185" s="76"/>
      <c r="F185" s="76"/>
      <c r="G185" s="76"/>
      <c r="H185" s="76"/>
      <c r="I185" s="76">
        <v>206</v>
      </c>
      <c r="J185" s="77"/>
      <c r="K185" s="77"/>
      <c r="L185" s="77"/>
      <c r="M185" s="77"/>
      <c r="N185" s="76">
        <v>-258</v>
      </c>
      <c r="O185" s="77">
        <v>-163</v>
      </c>
      <c r="P185" s="77">
        <f>-64-30</f>
        <v>-94</v>
      </c>
      <c r="Q185" s="77">
        <f>-316+19</f>
        <v>-297</v>
      </c>
      <c r="R185" s="77">
        <f>S185-SUM(O185:Q185)</f>
        <v>-297</v>
      </c>
      <c r="S185" s="76">
        <v>-851</v>
      </c>
      <c r="T185" s="77">
        <v>-118</v>
      </c>
      <c r="U185" s="77">
        <f>-78-13</f>
        <v>-91</v>
      </c>
      <c r="V185" s="77">
        <f>-122-31</f>
        <v>-153</v>
      </c>
      <c r="W185" s="77">
        <f>X185-SUM(T185:V185)</f>
        <v>-110</v>
      </c>
      <c r="X185" s="76">
        <v>-472</v>
      </c>
      <c r="Y185" s="77">
        <v>-162</v>
      </c>
      <c r="Z185" s="77">
        <v>-168</v>
      </c>
      <c r="AA185" s="77">
        <v>-183</v>
      </c>
      <c r="AB185" s="77">
        <f>AC185-SUM(Y185:AA185)</f>
        <v>-173</v>
      </c>
      <c r="AC185" s="76">
        <v>-686</v>
      </c>
      <c r="AD185" s="77">
        <v>-87</v>
      </c>
      <c r="AE185" s="86">
        <v>-96</v>
      </c>
      <c r="AF185" s="77">
        <v>-71</v>
      </c>
      <c r="AG185" s="77">
        <f>AH185-SUM(AD185:AF185)</f>
        <v>-33</v>
      </c>
      <c r="AH185" s="76">
        <v>-287</v>
      </c>
      <c r="AI185" s="77">
        <f>23-23</f>
        <v>0</v>
      </c>
      <c r="AJ185" s="77">
        <f>22-21</f>
        <v>1</v>
      </c>
      <c r="AK185" s="77">
        <f>24-17</f>
        <v>7</v>
      </c>
      <c r="AL185" s="77">
        <f>41-32</f>
        <v>9</v>
      </c>
      <c r="AM185" s="76">
        <f t="shared" si="558"/>
        <v>17</v>
      </c>
      <c r="AN185" s="77">
        <f>21-11</f>
        <v>10</v>
      </c>
      <c r="AO185" s="77">
        <f>22-13</f>
        <v>9</v>
      </c>
      <c r="AP185" s="77">
        <f>21-12</f>
        <v>9</v>
      </c>
      <c r="AQ185" s="77">
        <f>-33</f>
        <v>-33</v>
      </c>
      <c r="AR185" s="76">
        <f t="shared" si="559"/>
        <v>-5</v>
      </c>
      <c r="AS185" s="77">
        <v>-95</v>
      </c>
      <c r="AT185" s="77">
        <f>-63-14</f>
        <v>-77</v>
      </c>
      <c r="AU185" s="86">
        <f>+-58+-175</f>
        <v>-233</v>
      </c>
      <c r="AV185" s="562">
        <f>-53-40</f>
        <v>-93</v>
      </c>
      <c r="AW185" s="76">
        <f t="shared" si="560"/>
        <v>-498</v>
      </c>
      <c r="AX185" s="77">
        <f>+-189-19</f>
        <v>-208</v>
      </c>
      <c r="AY185" s="77">
        <f>+-215+-30</f>
        <v>-245</v>
      </c>
      <c r="AZ185" s="77">
        <f>-204+-30</f>
        <v>-234</v>
      </c>
      <c r="BA185" s="562">
        <f>+-179-33</f>
        <v>-212</v>
      </c>
      <c r="BB185" s="76">
        <f t="shared" si="561"/>
        <v>-899</v>
      </c>
      <c r="BC185" s="562">
        <f>-358+19</f>
        <v>-339</v>
      </c>
      <c r="BD185" s="77">
        <f>-331+19</f>
        <v>-312</v>
      </c>
      <c r="BE185" s="77">
        <f>-356+16</f>
        <v>-340</v>
      </c>
      <c r="BF185" s="562">
        <f>-329+6</f>
        <v>-323</v>
      </c>
      <c r="BG185" s="76">
        <f t="shared" si="562"/>
        <v>-1314</v>
      </c>
      <c r="BH185" s="562">
        <f>-576+23</f>
        <v>-553</v>
      </c>
      <c r="BI185" s="704">
        <f>-228+24</f>
        <v>-204</v>
      </c>
      <c r="BJ185" s="77">
        <f>-331+20</f>
        <v>-311</v>
      </c>
      <c r="BK185" s="562">
        <f>-334+15</f>
        <v>-319</v>
      </c>
      <c r="BL185" s="76">
        <f t="shared" si="563"/>
        <v>-1387</v>
      </c>
      <c r="BM185" s="562">
        <f>-152+39</f>
        <v>-113</v>
      </c>
      <c r="BN185" s="704">
        <f>-57+27</f>
        <v>-30</v>
      </c>
      <c r="BO185" s="77">
        <f>-84+27</f>
        <v>-57</v>
      </c>
      <c r="BP185" s="562">
        <f>-128+30</f>
        <v>-98</v>
      </c>
      <c r="BQ185" s="76">
        <f t="shared" si="564"/>
        <v>-298</v>
      </c>
      <c r="BR185" s="745">
        <f>45+49</f>
        <v>94</v>
      </c>
      <c r="BS185" s="704">
        <f>34+35</f>
        <v>69</v>
      </c>
      <c r="BT185" s="77">
        <f>50+38</f>
        <v>88</v>
      </c>
      <c r="BU185" s="562">
        <f>88+31</f>
        <v>119</v>
      </c>
      <c r="BV185" s="76">
        <f t="shared" si="565"/>
        <v>370</v>
      </c>
      <c r="BW185" s="745">
        <f>262+84</f>
        <v>346</v>
      </c>
      <c r="BX185" s="798">
        <f>278+79</f>
        <v>357</v>
      </c>
      <c r="BY185" s="86">
        <f>271+75</f>
        <v>346</v>
      </c>
      <c r="BZ185" s="798">
        <f>316+73</f>
        <v>389</v>
      </c>
      <c r="CA185" s="871">
        <f t="shared" si="566"/>
        <v>1438</v>
      </c>
      <c r="CB185" s="744">
        <f>283+82</f>
        <v>365</v>
      </c>
      <c r="CC185" s="704">
        <v>317</v>
      </c>
      <c r="CD185" s="16">
        <v>337</v>
      </c>
      <c r="CE185" s="744">
        <f>225+83</f>
        <v>308</v>
      </c>
      <c r="CF185" s="875">
        <f t="shared" ref="CF185:CF189" si="567">SUM(CB185:CE185)</f>
        <v>1327</v>
      </c>
      <c r="CG185" s="704">
        <v>364</v>
      </c>
      <c r="CH185" s="704">
        <v>365</v>
      </c>
      <c r="CI185" s="704">
        <f>274+90</f>
        <v>364</v>
      </c>
      <c r="CJ185" s="704">
        <f>248+74</f>
        <v>322</v>
      </c>
      <c r="CK185" s="875">
        <f t="shared" ref="CK185:CK189" si="568">SUM(CG185:CJ185)</f>
        <v>1415</v>
      </c>
      <c r="CL185" s="562">
        <f>255+92</f>
        <v>347</v>
      </c>
      <c r="CM185" s="562">
        <v>355</v>
      </c>
      <c r="CN185" s="562">
        <f>260+93</f>
        <v>353</v>
      </c>
      <c r="CO185" s="562">
        <v>328</v>
      </c>
      <c r="CP185" s="875">
        <f t="shared" ref="CP185:CP189" si="569">SUM(CL185:CO185)</f>
        <v>1383</v>
      </c>
      <c r="CQ185" s="562">
        <v>270</v>
      </c>
      <c r="CR185" s="562">
        <v>268</v>
      </c>
      <c r="CS185" s="562">
        <v>270</v>
      </c>
      <c r="CT185" s="562">
        <v>365</v>
      </c>
      <c r="CU185" s="875">
        <f t="shared" ref="CU185:CU189" si="570">SUM(CQ185:CT185)</f>
        <v>1173</v>
      </c>
      <c r="CV185" s="562">
        <v>283</v>
      </c>
      <c r="CW185" s="562">
        <v>284</v>
      </c>
      <c r="CX185" s="562">
        <v>279</v>
      </c>
      <c r="CY185" s="562">
        <v>297</v>
      </c>
      <c r="CZ185" s="875">
        <f t="shared" ref="CZ185:CZ189" si="571">SUM(CV185:CY185)</f>
        <v>1143</v>
      </c>
      <c r="DA185" s="562">
        <v>291</v>
      </c>
      <c r="DB185" s="562">
        <v>291</v>
      </c>
      <c r="DC185" s="562">
        <v>281</v>
      </c>
      <c r="DD185" s="562">
        <v>193</v>
      </c>
      <c r="DE185" s="875">
        <f t="shared" ref="DE185:DE189" si="572">SUM(DA185:DD185)</f>
        <v>1056</v>
      </c>
      <c r="DF185" s="105">
        <v>302</v>
      </c>
      <c r="DG185" s="744">
        <v>302</v>
      </c>
      <c r="DH185" s="1049">
        <v>228</v>
      </c>
      <c r="DI185" s="1080">
        <v>272</v>
      </c>
      <c r="DJ185" s="875">
        <f t="shared" ref="DJ185:DJ189" si="573">SUM(DF185:DI185)</f>
        <v>1104</v>
      </c>
      <c r="DK185" s="1087">
        <v>262</v>
      </c>
      <c r="DL185" s="1080">
        <v>257</v>
      </c>
      <c r="DM185" s="1080">
        <v>268</v>
      </c>
      <c r="DN185" s="1080">
        <v>258</v>
      </c>
      <c r="DO185" s="875">
        <f t="shared" ref="DO185:DO189" si="574">SUM(DK185:DN185)</f>
        <v>1045</v>
      </c>
      <c r="DP185" s="1080">
        <v>155</v>
      </c>
      <c r="DQ185" s="1113">
        <v>155</v>
      </c>
      <c r="DS185" s="562"/>
      <c r="DT185" s="93"/>
      <c r="DU185" s="1087"/>
      <c r="DV185" s="1081"/>
      <c r="DX185" s="562"/>
      <c r="DY185" s="93"/>
      <c r="DZ185" s="93"/>
      <c r="EA185" s="93"/>
      <c r="EB185" s="93"/>
    </row>
    <row r="186" spans="1:132" s="105" customFormat="1" ht="12" customHeight="1">
      <c r="A186" s="68"/>
      <c r="B186" s="157" t="s">
        <v>268</v>
      </c>
      <c r="C186" s="76"/>
      <c r="D186" s="76"/>
      <c r="E186" s="76"/>
      <c r="F186" s="76"/>
      <c r="G186" s="76"/>
      <c r="H186" s="76"/>
      <c r="I186" s="76">
        <v>-456</v>
      </c>
      <c r="J186" s="77">
        <v>-119</v>
      </c>
      <c r="K186" s="77">
        <v>-164</v>
      </c>
      <c r="L186" s="77">
        <v>-166</v>
      </c>
      <c r="M186" s="77">
        <f>N186-SUM(J186:L186)</f>
        <v>-127</v>
      </c>
      <c r="N186" s="76">
        <v>-576</v>
      </c>
      <c r="O186" s="77">
        <v>-245</v>
      </c>
      <c r="P186" s="77">
        <v>-250</v>
      </c>
      <c r="Q186" s="77">
        <v>-288</v>
      </c>
      <c r="R186" s="77">
        <f>S186-SUM(O186:Q186)</f>
        <v>-69</v>
      </c>
      <c r="S186" s="76">
        <v>-852</v>
      </c>
      <c r="T186" s="77">
        <v>-202</v>
      </c>
      <c r="U186" s="77">
        <v>-250</v>
      </c>
      <c r="V186" s="77">
        <v>-101</v>
      </c>
      <c r="W186" s="77">
        <f>X186-SUM(T186:V186)</f>
        <v>-127</v>
      </c>
      <c r="X186" s="76">
        <v>-680</v>
      </c>
      <c r="Y186" s="77">
        <v>-36</v>
      </c>
      <c r="Z186" s="77">
        <v>-133</v>
      </c>
      <c r="AA186" s="77">
        <v>-58</v>
      </c>
      <c r="AB186" s="77">
        <f>AC186-SUM(Y186:AA186)</f>
        <v>-6</v>
      </c>
      <c r="AC186" s="76">
        <v>-233</v>
      </c>
      <c r="AD186" s="77">
        <v>-30</v>
      </c>
      <c r="AE186" s="86">
        <v>-15</v>
      </c>
      <c r="AF186" s="77">
        <v>-70</v>
      </c>
      <c r="AG186" s="77">
        <f>AH186-SUM(AD186:AF186)</f>
        <v>-34</v>
      </c>
      <c r="AH186" s="76">
        <v>-149</v>
      </c>
      <c r="AI186" s="77">
        <v>-57</v>
      </c>
      <c r="AJ186" s="77">
        <v>-59</v>
      </c>
      <c r="AK186" s="77">
        <v>-24</v>
      </c>
      <c r="AL186" s="77">
        <v>-49</v>
      </c>
      <c r="AM186" s="76">
        <f t="shared" si="558"/>
        <v>-189</v>
      </c>
      <c r="AN186" s="77">
        <v>-47</v>
      </c>
      <c r="AO186" s="77">
        <v>-43</v>
      </c>
      <c r="AP186" s="77">
        <v>-22</v>
      </c>
      <c r="AQ186" s="77">
        <v>-24</v>
      </c>
      <c r="AR186" s="76">
        <f t="shared" si="559"/>
        <v>-136</v>
      </c>
      <c r="AS186" s="77">
        <v>-22</v>
      </c>
      <c r="AT186" s="77">
        <v>-22</v>
      </c>
      <c r="AU186" s="86">
        <v>-19</v>
      </c>
      <c r="AV186" s="562">
        <v>-20</v>
      </c>
      <c r="AW186" s="76">
        <f t="shared" si="560"/>
        <v>-83</v>
      </c>
      <c r="AX186" s="77">
        <v>-22</v>
      </c>
      <c r="AY186" s="77">
        <v>-19</v>
      </c>
      <c r="AZ186" s="77">
        <v>-23</v>
      </c>
      <c r="BA186" s="562">
        <v>-17</v>
      </c>
      <c r="BB186" s="76">
        <f t="shared" si="561"/>
        <v>-81</v>
      </c>
      <c r="BC186" s="562">
        <v>-31</v>
      </c>
      <c r="BD186" s="77">
        <v>-22</v>
      </c>
      <c r="BE186" s="77">
        <v>-21</v>
      </c>
      <c r="BF186" s="562">
        <v>-21</v>
      </c>
      <c r="BG186" s="76">
        <f t="shared" si="562"/>
        <v>-95</v>
      </c>
      <c r="BH186" s="562">
        <v>-24</v>
      </c>
      <c r="BI186" s="704">
        <v>-20</v>
      </c>
      <c r="BJ186" s="77">
        <v>-22</v>
      </c>
      <c r="BK186" s="562">
        <v>-1</v>
      </c>
      <c r="BL186" s="76">
        <f t="shared" si="563"/>
        <v>-67</v>
      </c>
      <c r="BM186" s="562">
        <v>-21</v>
      </c>
      <c r="BN186" s="704">
        <v>-16</v>
      </c>
      <c r="BO186" s="77">
        <v>-20</v>
      </c>
      <c r="BP186" s="562">
        <v>-19</v>
      </c>
      <c r="BQ186" s="76">
        <f t="shared" si="564"/>
        <v>-76</v>
      </c>
      <c r="BR186" s="745">
        <v>-23</v>
      </c>
      <c r="BS186" s="704">
        <v>-18</v>
      </c>
      <c r="BT186" s="77">
        <v>-9</v>
      </c>
      <c r="BU186" s="562">
        <v>-16</v>
      </c>
      <c r="BV186" s="76">
        <f t="shared" si="565"/>
        <v>-66</v>
      </c>
      <c r="BW186" s="745">
        <v>-21</v>
      </c>
      <c r="BX186" s="798">
        <v>-25</v>
      </c>
      <c r="BY186" s="86">
        <v>-21</v>
      </c>
      <c r="BZ186" s="745">
        <v>-10</v>
      </c>
      <c r="CA186" s="871">
        <f t="shared" si="566"/>
        <v>-77</v>
      </c>
      <c r="CB186" s="744">
        <v>-18</v>
      </c>
      <c r="CC186" s="704">
        <v>-18</v>
      </c>
      <c r="CD186" s="16">
        <v>-24</v>
      </c>
      <c r="CE186" s="744">
        <v>-16</v>
      </c>
      <c r="CF186" s="871">
        <f t="shared" si="567"/>
        <v>-76</v>
      </c>
      <c r="CG186" s="704">
        <v>-14</v>
      </c>
      <c r="CH186" s="704">
        <v>-22</v>
      </c>
      <c r="CI186" s="704">
        <v>-21</v>
      </c>
      <c r="CJ186" s="704">
        <v>-8</v>
      </c>
      <c r="CK186" s="871">
        <f t="shared" si="568"/>
        <v>-65</v>
      </c>
      <c r="CL186" s="562">
        <v>-18</v>
      </c>
      <c r="CM186" s="562">
        <v>-25</v>
      </c>
      <c r="CN186" s="562">
        <v>-37</v>
      </c>
      <c r="CO186" s="562">
        <v>-40</v>
      </c>
      <c r="CP186" s="871">
        <f t="shared" si="569"/>
        <v>-120</v>
      </c>
      <c r="CQ186" s="562">
        <v>-128</v>
      </c>
      <c r="CR186" s="562">
        <v>-14</v>
      </c>
      <c r="CS186" s="562">
        <v>-29</v>
      </c>
      <c r="CT186" s="562">
        <v>-3</v>
      </c>
      <c r="CU186" s="871">
        <f t="shared" si="570"/>
        <v>-174</v>
      </c>
      <c r="CV186" s="562">
        <v>-83</v>
      </c>
      <c r="CW186" s="562">
        <v>-25</v>
      </c>
      <c r="CX186" s="562">
        <v>44</v>
      </c>
      <c r="CY186" s="562">
        <v>-50</v>
      </c>
      <c r="CZ186" s="871">
        <f t="shared" si="571"/>
        <v>-114</v>
      </c>
      <c r="DA186" s="562">
        <v>-52</v>
      </c>
      <c r="DB186" s="562">
        <v>14</v>
      </c>
      <c r="DC186" s="1038">
        <v>5</v>
      </c>
      <c r="DD186" s="562">
        <v>95</v>
      </c>
      <c r="DE186" s="871">
        <f t="shared" si="572"/>
        <v>62</v>
      </c>
      <c r="DF186" s="105">
        <v>10</v>
      </c>
      <c r="DG186" s="744">
        <v>43</v>
      </c>
      <c r="DH186" s="838">
        <v>65</v>
      </c>
      <c r="DI186" s="1080">
        <v>53</v>
      </c>
      <c r="DJ186" s="871">
        <f t="shared" si="573"/>
        <v>171</v>
      </c>
      <c r="DK186" s="1087">
        <v>-30</v>
      </c>
      <c r="DL186" s="1080">
        <v>-21</v>
      </c>
      <c r="DM186" s="1080">
        <v>11</v>
      </c>
      <c r="DN186" s="1080">
        <v>-9</v>
      </c>
      <c r="DO186" s="871">
        <f t="shared" si="574"/>
        <v>-49</v>
      </c>
      <c r="DP186" s="1080">
        <v>-55</v>
      </c>
      <c r="DQ186" s="1113">
        <v>3</v>
      </c>
      <c r="DS186" s="562"/>
      <c r="DT186" s="93"/>
      <c r="DU186" s="1087"/>
      <c r="DX186" s="562"/>
      <c r="DY186" s="93"/>
      <c r="DZ186" s="93"/>
      <c r="EA186" s="93"/>
      <c r="EB186" s="93"/>
    </row>
    <row r="187" spans="1:132" s="105" customFormat="1" ht="12" customHeight="1">
      <c r="A187" s="68"/>
      <c r="B187" s="157" t="s">
        <v>269</v>
      </c>
      <c r="C187" s="76"/>
      <c r="D187" s="76"/>
      <c r="E187" s="76"/>
      <c r="F187" s="76"/>
      <c r="G187" s="76"/>
      <c r="H187" s="76"/>
      <c r="I187" s="76">
        <v>-68</v>
      </c>
      <c r="J187" s="77"/>
      <c r="K187" s="77"/>
      <c r="L187" s="77"/>
      <c r="M187" s="77"/>
      <c r="N187" s="76">
        <v>-72</v>
      </c>
      <c r="O187" s="77">
        <v>-87</v>
      </c>
      <c r="P187" s="77">
        <v>-47</v>
      </c>
      <c r="Q187" s="77">
        <v>-14</v>
      </c>
      <c r="R187" s="77">
        <f>S187-SUM(O187:Q187)</f>
        <v>-117</v>
      </c>
      <c r="S187" s="76">
        <v>-265</v>
      </c>
      <c r="T187" s="77">
        <v>-109</v>
      </c>
      <c r="U187" s="77">
        <v>-38</v>
      </c>
      <c r="V187" s="77">
        <v>16</v>
      </c>
      <c r="W187" s="77">
        <f>X187-SUM(T187:V187)</f>
        <v>-80</v>
      </c>
      <c r="X187" s="76">
        <v>-211</v>
      </c>
      <c r="Y187" s="77">
        <v>-10</v>
      </c>
      <c r="Z187" s="77">
        <v>-53</v>
      </c>
      <c r="AA187" s="77">
        <v>-54</v>
      </c>
      <c r="AB187" s="77">
        <f>AC187-SUM(Y187:AA187)</f>
        <v>66</v>
      </c>
      <c r="AC187" s="76">
        <v>-51</v>
      </c>
      <c r="AD187" s="77">
        <v>61</v>
      </c>
      <c r="AE187" s="86">
        <v>20</v>
      </c>
      <c r="AF187" s="77">
        <v>55</v>
      </c>
      <c r="AG187" s="77">
        <f>AH187-SUM(AD187:AF187)</f>
        <v>87</v>
      </c>
      <c r="AH187" s="76">
        <v>223</v>
      </c>
      <c r="AI187" s="77">
        <v>23</v>
      </c>
      <c r="AJ187" s="77">
        <v>-69</v>
      </c>
      <c r="AK187" s="77">
        <v>-88</v>
      </c>
      <c r="AL187" s="77">
        <v>-24</v>
      </c>
      <c r="AM187" s="76">
        <f t="shared" si="558"/>
        <v>-158</v>
      </c>
      <c r="AN187" s="77">
        <v>-81</v>
      </c>
      <c r="AO187" s="77">
        <v>44</v>
      </c>
      <c r="AP187" s="77">
        <v>-47</v>
      </c>
      <c r="AQ187" s="77">
        <v>-28</v>
      </c>
      <c r="AR187" s="76">
        <f t="shared" si="559"/>
        <v>-112</v>
      </c>
      <c r="AS187" s="77">
        <v>-50</v>
      </c>
      <c r="AT187" s="77">
        <v>-10</v>
      </c>
      <c r="AU187" s="86">
        <v>64</v>
      </c>
      <c r="AV187" s="562">
        <v>-65</v>
      </c>
      <c r="AW187" s="76">
        <f t="shared" si="560"/>
        <v>-61</v>
      </c>
      <c r="AX187" s="77">
        <v>-36</v>
      </c>
      <c r="AY187" s="77">
        <v>2</v>
      </c>
      <c r="AZ187" s="77">
        <v>-15</v>
      </c>
      <c r="BA187" s="562">
        <v>-26</v>
      </c>
      <c r="BB187" s="76">
        <f t="shared" si="561"/>
        <v>-75</v>
      </c>
      <c r="BC187" s="562">
        <v>-56</v>
      </c>
      <c r="BD187" s="77">
        <v>-46</v>
      </c>
      <c r="BE187" s="77">
        <v>-63</v>
      </c>
      <c r="BF187" s="562">
        <v>-73</v>
      </c>
      <c r="BG187" s="76">
        <f t="shared" si="562"/>
        <v>-238</v>
      </c>
      <c r="BH187" s="562">
        <v>7</v>
      </c>
      <c r="BI187" s="704">
        <v>-26</v>
      </c>
      <c r="BJ187" s="77">
        <v>-3</v>
      </c>
      <c r="BK187" s="562">
        <v>-22</v>
      </c>
      <c r="BL187" s="76">
        <f t="shared" si="563"/>
        <v>-44</v>
      </c>
      <c r="BM187" s="562">
        <v>-58</v>
      </c>
      <c r="BN187" s="704">
        <v>10</v>
      </c>
      <c r="BO187" s="77">
        <v>38</v>
      </c>
      <c r="BP187" s="562">
        <v>-53</v>
      </c>
      <c r="BQ187" s="76">
        <f t="shared" si="564"/>
        <v>-63</v>
      </c>
      <c r="BR187" s="745">
        <v>16</v>
      </c>
      <c r="BS187" s="704">
        <v>-21</v>
      </c>
      <c r="BT187" s="77">
        <v>-33</v>
      </c>
      <c r="BU187" s="562">
        <v>-8</v>
      </c>
      <c r="BV187" s="76">
        <f t="shared" si="565"/>
        <v>-46</v>
      </c>
      <c r="BW187" s="745">
        <v>-50</v>
      </c>
      <c r="BX187" s="798">
        <v>-46</v>
      </c>
      <c r="BY187" s="86">
        <v>-78</v>
      </c>
      <c r="BZ187" s="745">
        <v>-66</v>
      </c>
      <c r="CA187" s="871">
        <f t="shared" si="566"/>
        <v>-240</v>
      </c>
      <c r="CB187" s="744">
        <v>-29</v>
      </c>
      <c r="CC187" s="704">
        <v>-27</v>
      </c>
      <c r="CD187" s="16">
        <v>-56</v>
      </c>
      <c r="CE187" s="744">
        <v>93</v>
      </c>
      <c r="CF187" s="871">
        <f t="shared" si="567"/>
        <v>-19</v>
      </c>
      <c r="CG187" s="704">
        <v>-102</v>
      </c>
      <c r="CH187" s="704">
        <v>-27</v>
      </c>
      <c r="CI187" s="704">
        <v>-25</v>
      </c>
      <c r="CJ187" s="704">
        <v>-20</v>
      </c>
      <c r="CK187" s="871">
        <f t="shared" si="568"/>
        <v>-174</v>
      </c>
      <c r="CL187" s="562">
        <v>193</v>
      </c>
      <c r="CM187" s="562">
        <v>-120</v>
      </c>
      <c r="CN187" s="562">
        <v>-39</v>
      </c>
      <c r="CO187" s="562">
        <v>-127</v>
      </c>
      <c r="CP187" s="871">
        <f t="shared" si="569"/>
        <v>-93</v>
      </c>
      <c r="CQ187" s="562">
        <v>-52</v>
      </c>
      <c r="CR187" s="562">
        <v>-42</v>
      </c>
      <c r="CS187" s="562">
        <v>8</v>
      </c>
      <c r="CT187" s="562">
        <v>-40</v>
      </c>
      <c r="CU187" s="871">
        <f t="shared" si="570"/>
        <v>-126</v>
      </c>
      <c r="CV187" s="562">
        <v>42</v>
      </c>
      <c r="CW187" s="562">
        <v>124</v>
      </c>
      <c r="CX187" s="562">
        <v>38</v>
      </c>
      <c r="CY187" s="562">
        <v>-87</v>
      </c>
      <c r="CZ187" s="871">
        <f t="shared" si="571"/>
        <v>117</v>
      </c>
      <c r="DA187" s="562">
        <v>-54</v>
      </c>
      <c r="DB187" s="562">
        <v>-42</v>
      </c>
      <c r="DC187" s="1038">
        <v>25</v>
      </c>
      <c r="DD187" s="562">
        <v>-117</v>
      </c>
      <c r="DE187" s="871">
        <f t="shared" si="572"/>
        <v>-188</v>
      </c>
      <c r="DF187" s="105">
        <v>-30</v>
      </c>
      <c r="DG187" s="744">
        <v>-19</v>
      </c>
      <c r="DH187" s="838">
        <v>-51</v>
      </c>
      <c r="DI187" s="1080">
        <v>-14</v>
      </c>
      <c r="DJ187" s="871">
        <f t="shared" si="573"/>
        <v>-114</v>
      </c>
      <c r="DK187" s="1087">
        <v>5</v>
      </c>
      <c r="DL187" s="1080">
        <v>-85</v>
      </c>
      <c r="DM187" s="1080">
        <v>-70</v>
      </c>
      <c r="DN187" s="1080">
        <v>-32</v>
      </c>
      <c r="DO187" s="871">
        <f t="shared" si="574"/>
        <v>-182</v>
      </c>
      <c r="DP187" s="1080">
        <v>17</v>
      </c>
      <c r="DQ187" s="1113">
        <v>-124</v>
      </c>
      <c r="DS187" s="562"/>
      <c r="DT187" s="93"/>
      <c r="DU187" s="1087"/>
      <c r="DX187" s="562"/>
      <c r="DY187" s="93"/>
      <c r="DZ187" s="93"/>
      <c r="EA187" s="93"/>
      <c r="EB187" s="93"/>
    </row>
    <row r="188" spans="1:132" s="105" customFormat="1" ht="12" customHeight="1">
      <c r="A188" s="68"/>
      <c r="B188" s="157" t="s">
        <v>270</v>
      </c>
      <c r="C188" s="79"/>
      <c r="D188" s="79"/>
      <c r="E188" s="79"/>
      <c r="F188" s="79"/>
      <c r="G188" s="79"/>
      <c r="H188" s="79"/>
      <c r="I188" s="79">
        <v>-469</v>
      </c>
      <c r="J188" s="80">
        <f>-70-46</f>
        <v>-116</v>
      </c>
      <c r="K188" s="80">
        <f>-36-125</f>
        <v>-161</v>
      </c>
      <c r="L188" s="80">
        <f>-128-94</f>
        <v>-222</v>
      </c>
      <c r="M188" s="80">
        <f>N188-SUM(J188:L188)</f>
        <v>86</v>
      </c>
      <c r="N188" s="79">
        <v>-413</v>
      </c>
      <c r="O188" s="80">
        <v>-25</v>
      </c>
      <c r="P188" s="80">
        <f>-15-82</f>
        <v>-97</v>
      </c>
      <c r="Q188" s="80">
        <f>-13-97</f>
        <v>-110</v>
      </c>
      <c r="R188" s="80">
        <f>S188-SUM(O188:Q188)</f>
        <v>-208</v>
      </c>
      <c r="S188" s="79">
        <v>-440</v>
      </c>
      <c r="T188" s="80">
        <v>-141</v>
      </c>
      <c r="U188" s="80">
        <f>-98</f>
        <v>-98</v>
      </c>
      <c r="V188" s="80">
        <f>-10+46</f>
        <v>36</v>
      </c>
      <c r="W188" s="80">
        <f>X188-SUM(T188:V188)</f>
        <v>-167</v>
      </c>
      <c r="X188" s="79">
        <v>-370</v>
      </c>
      <c r="Y188" s="80">
        <v>-44</v>
      </c>
      <c r="Z188" s="80">
        <v>6</v>
      </c>
      <c r="AA188" s="80">
        <v>10</v>
      </c>
      <c r="AB188" s="80">
        <f>AC188-SUM(Y188:AA188)</f>
        <v>-187</v>
      </c>
      <c r="AC188" s="79">
        <v>-215</v>
      </c>
      <c r="AD188" s="80">
        <v>1</v>
      </c>
      <c r="AE188" s="97">
        <v>14</v>
      </c>
      <c r="AF188" s="80">
        <v>-4</v>
      </c>
      <c r="AG188" s="80">
        <f>AH188-SUM(AD188:AF188)</f>
        <v>-121</v>
      </c>
      <c r="AH188" s="79">
        <v>-110</v>
      </c>
      <c r="AI188" s="80">
        <v>-81</v>
      </c>
      <c r="AJ188" s="80">
        <v>-27</v>
      </c>
      <c r="AK188" s="80">
        <v>-97</v>
      </c>
      <c r="AL188" s="80">
        <f>-11-48</f>
        <v>-59</v>
      </c>
      <c r="AM188" s="79">
        <f t="shared" si="558"/>
        <v>-264</v>
      </c>
      <c r="AN188" s="80">
        <f>-37-10</f>
        <v>-47</v>
      </c>
      <c r="AO188" s="80">
        <f>-18-62</f>
        <v>-80</v>
      </c>
      <c r="AP188" s="80">
        <f>-154-13</f>
        <v>-167</v>
      </c>
      <c r="AQ188" s="80">
        <f>-175-13</f>
        <v>-188</v>
      </c>
      <c r="AR188" s="79">
        <f t="shared" si="559"/>
        <v>-482</v>
      </c>
      <c r="AS188" s="80">
        <f>-19-15-9</f>
        <v>-43</v>
      </c>
      <c r="AT188" s="80">
        <f>-16-63</f>
        <v>-79</v>
      </c>
      <c r="AU188" s="97">
        <f>+-8-110</f>
        <v>-118</v>
      </c>
      <c r="AV188" s="562">
        <f>-12-94</f>
        <v>-106</v>
      </c>
      <c r="AW188" s="79">
        <f t="shared" si="560"/>
        <v>-346</v>
      </c>
      <c r="AX188" s="568">
        <f>75-21</f>
        <v>54</v>
      </c>
      <c r="AY188" s="80">
        <f>+-16-114</f>
        <v>-130</v>
      </c>
      <c r="AZ188" s="80">
        <f>-16+-87</f>
        <v>-103</v>
      </c>
      <c r="BA188" s="562">
        <f>+-140-17</f>
        <v>-157</v>
      </c>
      <c r="BB188" s="17">
        <f t="shared" si="561"/>
        <v>-336</v>
      </c>
      <c r="BC188" s="744">
        <f>-17-66</f>
        <v>-83</v>
      </c>
      <c r="BD188" s="16">
        <f>-17-92</f>
        <v>-109</v>
      </c>
      <c r="BE188" s="16">
        <f>-18-124</f>
        <v>-142</v>
      </c>
      <c r="BF188" s="744">
        <f>-17-421</f>
        <v>-438</v>
      </c>
      <c r="BG188" s="17">
        <f t="shared" si="562"/>
        <v>-772</v>
      </c>
      <c r="BH188" s="744">
        <f>-18-132</f>
        <v>-150</v>
      </c>
      <c r="BI188" s="704">
        <f>-18-62</f>
        <v>-80</v>
      </c>
      <c r="BJ188" s="16">
        <f>-168</f>
        <v>-168</v>
      </c>
      <c r="BK188" s="744">
        <f>-17-121</f>
        <v>-138</v>
      </c>
      <c r="BL188" s="17">
        <f t="shared" si="563"/>
        <v>-536</v>
      </c>
      <c r="BM188" s="744">
        <f>-140-29</f>
        <v>-169</v>
      </c>
      <c r="BN188" s="704">
        <f>-24-20</f>
        <v>-44</v>
      </c>
      <c r="BO188" s="16">
        <v>-160</v>
      </c>
      <c r="BP188" s="744">
        <f>-20-187</f>
        <v>-207</v>
      </c>
      <c r="BQ188" s="17">
        <f t="shared" si="564"/>
        <v>-580</v>
      </c>
      <c r="BR188" s="798">
        <f>-129-30</f>
        <v>-159</v>
      </c>
      <c r="BS188" s="704">
        <f>-69-18</f>
        <v>-87</v>
      </c>
      <c r="BT188" s="16">
        <f>-135-23</f>
        <v>-158</v>
      </c>
      <c r="BU188" s="744">
        <f>-23-194</f>
        <v>-217</v>
      </c>
      <c r="BV188" s="17">
        <f t="shared" si="565"/>
        <v>-621</v>
      </c>
      <c r="BW188" s="798">
        <f>-126-24</f>
        <v>-150</v>
      </c>
      <c r="BX188" s="798">
        <f>-224-22</f>
        <v>-246</v>
      </c>
      <c r="BY188" s="554">
        <f>-112-22</f>
        <v>-134</v>
      </c>
      <c r="BZ188" s="798">
        <f>-224-28</f>
        <v>-252</v>
      </c>
      <c r="CA188" s="875">
        <f t="shared" si="566"/>
        <v>-782</v>
      </c>
      <c r="CB188" s="744">
        <v>-279</v>
      </c>
      <c r="CC188" s="704">
        <v>-351</v>
      </c>
      <c r="CD188" s="16">
        <v>-391</v>
      </c>
      <c r="CE188" s="744">
        <v>-326</v>
      </c>
      <c r="CF188" s="875">
        <f t="shared" si="567"/>
        <v>-1347</v>
      </c>
      <c r="CG188" s="704">
        <f>-24-250-74-243</f>
        <v>-591</v>
      </c>
      <c r="CH188" s="704">
        <f>-21-99-329</f>
        <v>-449</v>
      </c>
      <c r="CI188" s="704">
        <f>-23-100-352</f>
        <v>-475</v>
      </c>
      <c r="CJ188" s="704">
        <f>-21-97-193</f>
        <v>-311</v>
      </c>
      <c r="CK188" s="875">
        <f t="shared" si="568"/>
        <v>-1826</v>
      </c>
      <c r="CL188" s="744">
        <f>-23-54-271</f>
        <v>-348</v>
      </c>
      <c r="CM188" s="744">
        <f>-27-62-244</f>
        <v>-333</v>
      </c>
      <c r="CN188" s="744">
        <f>-19-44-175</f>
        <v>-238</v>
      </c>
      <c r="CO188" s="744">
        <f>-26-80-1117</f>
        <v>-1223</v>
      </c>
      <c r="CP188" s="875">
        <f t="shared" si="569"/>
        <v>-2142</v>
      </c>
      <c r="CQ188" s="562">
        <f>-22-42-120</f>
        <v>-184</v>
      </c>
      <c r="CR188" s="562">
        <f>-22-43-177</f>
        <v>-242</v>
      </c>
      <c r="CS188" s="562">
        <f>-22-59-268</f>
        <v>-349</v>
      </c>
      <c r="CT188" s="562">
        <f>-41-40-111</f>
        <v>-192</v>
      </c>
      <c r="CU188" s="875">
        <f t="shared" si="570"/>
        <v>-967</v>
      </c>
      <c r="CV188" s="562">
        <f>-23-52-144</f>
        <v>-219</v>
      </c>
      <c r="CW188" s="562">
        <f>-24-103-66</f>
        <v>-193</v>
      </c>
      <c r="CX188" s="562">
        <f>-24-43-408</f>
        <v>-475</v>
      </c>
      <c r="CY188" s="562">
        <f>-24-117-507</f>
        <v>-648</v>
      </c>
      <c r="CZ188" s="875">
        <f t="shared" si="571"/>
        <v>-1535</v>
      </c>
      <c r="DA188" s="562">
        <f>-23-76-255</f>
        <v>-354</v>
      </c>
      <c r="DB188" s="562">
        <f>-24-73-211</f>
        <v>-308</v>
      </c>
      <c r="DC188" s="1038">
        <f>-24-73-204</f>
        <v>-301</v>
      </c>
      <c r="DD188" s="562">
        <f>-24-93-553</f>
        <v>-670</v>
      </c>
      <c r="DE188" s="875">
        <f t="shared" si="572"/>
        <v>-1633</v>
      </c>
      <c r="DF188" s="105">
        <f>-23-89-180</f>
        <v>-292</v>
      </c>
      <c r="DG188" s="744">
        <f>+-23-99-536</f>
        <v>-658</v>
      </c>
      <c r="DH188" s="838">
        <f>+-24-105-303</f>
        <v>-432</v>
      </c>
      <c r="DI188" s="1080">
        <f>+-23-84-615</f>
        <v>-722</v>
      </c>
      <c r="DJ188" s="875">
        <f t="shared" si="573"/>
        <v>-2104</v>
      </c>
      <c r="DK188" s="1087">
        <f>+-21-82-234</f>
        <v>-337</v>
      </c>
      <c r="DL188" s="1080">
        <f>+-21-101-807</f>
        <v>-929</v>
      </c>
      <c r="DM188" s="1080">
        <f>+-22-102-565</f>
        <v>-689</v>
      </c>
      <c r="DN188" s="1080">
        <f>+-28-126-691</f>
        <v>-845</v>
      </c>
      <c r="DO188" s="875">
        <f t="shared" si="574"/>
        <v>-2800</v>
      </c>
      <c r="DP188" s="1080">
        <f>-348-DP186-DP187</f>
        <v>-310</v>
      </c>
      <c r="DQ188" s="1113">
        <f>+-23-106-380</f>
        <v>-509</v>
      </c>
      <c r="DS188" s="562"/>
      <c r="DT188" s="93"/>
      <c r="DU188" s="1087"/>
      <c r="DX188" s="562"/>
      <c r="DY188" s="93"/>
      <c r="DZ188" s="93"/>
      <c r="EA188" s="93"/>
      <c r="EB188" s="93"/>
    </row>
    <row r="189" spans="1:132" s="105" customFormat="1" ht="12" customHeight="1">
      <c r="A189" s="68"/>
      <c r="B189" s="68" t="s">
        <v>109</v>
      </c>
      <c r="C189" s="79">
        <v>-216</v>
      </c>
      <c r="D189" s="79">
        <f>43-153-284</f>
        <v>-394</v>
      </c>
      <c r="E189" s="79">
        <f>-432-209-305</f>
        <v>-946</v>
      </c>
      <c r="F189" s="79">
        <f>-442-316-362</f>
        <v>-1120</v>
      </c>
      <c r="G189" s="79">
        <f>-368-378-163</f>
        <v>-909</v>
      </c>
      <c r="H189" s="79">
        <f>-406-447-193</f>
        <v>-1046</v>
      </c>
      <c r="I189" s="79">
        <f>SUM(I185:I188)</f>
        <v>-787</v>
      </c>
      <c r="J189" s="80">
        <f>SUM(J185:J188)</f>
        <v>-235</v>
      </c>
      <c r="K189" s="80">
        <f>SUM(K185:K188)</f>
        <v>-325</v>
      </c>
      <c r="L189" s="80">
        <f>SUM(L185:L188)</f>
        <v>-388</v>
      </c>
      <c r="M189" s="80">
        <f>N189-L189-K189-J189</f>
        <v>-371</v>
      </c>
      <c r="N189" s="79">
        <f t="shared" ref="N189:V189" si="575">SUM(N185:N188)</f>
        <v>-1319</v>
      </c>
      <c r="O189" s="80">
        <f t="shared" si="575"/>
        <v>-520</v>
      </c>
      <c r="P189" s="80">
        <f t="shared" si="575"/>
        <v>-488</v>
      </c>
      <c r="Q189" s="80">
        <f t="shared" si="575"/>
        <v>-709</v>
      </c>
      <c r="R189" s="80">
        <f t="shared" si="575"/>
        <v>-691</v>
      </c>
      <c r="S189" s="79">
        <f t="shared" si="575"/>
        <v>-2408</v>
      </c>
      <c r="T189" s="80">
        <f t="shared" si="575"/>
        <v>-570</v>
      </c>
      <c r="U189" s="80">
        <f t="shared" si="575"/>
        <v>-477</v>
      </c>
      <c r="V189" s="80">
        <f t="shared" si="575"/>
        <v>-202</v>
      </c>
      <c r="W189" s="80">
        <f>X189-V189-U189-T189</f>
        <v>-484</v>
      </c>
      <c r="X189" s="79">
        <f>SUM(X185:X188)</f>
        <v>-1733</v>
      </c>
      <c r="Y189" s="80">
        <f>SUM(Y185:Y188)</f>
        <v>-252</v>
      </c>
      <c r="Z189" s="80">
        <f>SUM(Z185:Z188)</f>
        <v>-348</v>
      </c>
      <c r="AA189" s="80">
        <f>SUM(AA185:AA188)</f>
        <v>-285</v>
      </c>
      <c r="AB189" s="80">
        <f>AC189-AA189-Z189-Y189</f>
        <v>-300</v>
      </c>
      <c r="AC189" s="79">
        <f>SUM(AC185:AC188)</f>
        <v>-1185</v>
      </c>
      <c r="AD189" s="80">
        <f>SUM(AD185:AD188)</f>
        <v>-55</v>
      </c>
      <c r="AE189" s="97">
        <f>SUM(AE185:AE188)</f>
        <v>-77</v>
      </c>
      <c r="AF189" s="80">
        <f>SUM(AF185:AF188)</f>
        <v>-90</v>
      </c>
      <c r="AG189" s="80">
        <f>AH189-AF189-AE189-AD189</f>
        <v>-101</v>
      </c>
      <c r="AH189" s="79">
        <f>SUM(AH185:AH188)</f>
        <v>-323</v>
      </c>
      <c r="AI189" s="80">
        <f>SUM(AI185:AI188)</f>
        <v>-115</v>
      </c>
      <c r="AJ189" s="80">
        <f>SUM(AJ185:AJ188)</f>
        <v>-154</v>
      </c>
      <c r="AK189" s="80">
        <f>SUM(AK185:AK188)</f>
        <v>-202</v>
      </c>
      <c r="AL189" s="80">
        <f>SUM(AL185:AL188)</f>
        <v>-123</v>
      </c>
      <c r="AM189" s="79">
        <f t="shared" si="558"/>
        <v>-594</v>
      </c>
      <c r="AN189" s="80">
        <f>SUM(AN185:AN188)</f>
        <v>-165</v>
      </c>
      <c r="AO189" s="80">
        <f>SUM(AO185:AO188)</f>
        <v>-70</v>
      </c>
      <c r="AP189" s="80">
        <f>SUM(AP185:AP188)</f>
        <v>-227</v>
      </c>
      <c r="AQ189" s="80">
        <f>SUM(AQ185:AQ188)</f>
        <v>-273</v>
      </c>
      <c r="AR189" s="79">
        <f t="shared" si="559"/>
        <v>-735</v>
      </c>
      <c r="AS189" s="80">
        <f>SUM(AS185:AS188)</f>
        <v>-210</v>
      </c>
      <c r="AT189" s="80">
        <f>SUM(AT185:AT188)</f>
        <v>-188</v>
      </c>
      <c r="AU189" s="80">
        <f>SUM(AU185:AU188)</f>
        <v>-306</v>
      </c>
      <c r="AV189" s="565">
        <f>SUM(AV185:AV188)</f>
        <v>-284</v>
      </c>
      <c r="AW189" s="79">
        <f t="shared" si="560"/>
        <v>-988</v>
      </c>
      <c r="AX189" s="565">
        <f>SUM(AX185:AX188)</f>
        <v>-212</v>
      </c>
      <c r="AY189" s="565">
        <f>SUM(AY185:AY188)</f>
        <v>-392</v>
      </c>
      <c r="AZ189" s="565">
        <f>SUM(AZ185:AZ188)</f>
        <v>-375</v>
      </c>
      <c r="BA189" s="565">
        <f>SUM(BA185:BA188)</f>
        <v>-412</v>
      </c>
      <c r="BB189" s="79">
        <f t="shared" si="561"/>
        <v>-1391</v>
      </c>
      <c r="BC189" s="565">
        <f>SUM(BC185:BC188)</f>
        <v>-509</v>
      </c>
      <c r="BD189" s="565">
        <f>SUM(BD185:BD188)</f>
        <v>-489</v>
      </c>
      <c r="BE189" s="565">
        <f>SUM(BE185:BE188)</f>
        <v>-566</v>
      </c>
      <c r="BF189" s="565">
        <f>SUM(BF185:BF188)</f>
        <v>-855</v>
      </c>
      <c r="BG189" s="79">
        <f t="shared" si="562"/>
        <v>-2419</v>
      </c>
      <c r="BH189" s="565">
        <f>SUM(BH185:BH188)</f>
        <v>-720</v>
      </c>
      <c r="BI189" s="706">
        <f>SUM(BI185:BI188)</f>
        <v>-330</v>
      </c>
      <c r="BJ189" s="706">
        <f>SUM(BJ185:BJ188)</f>
        <v>-504</v>
      </c>
      <c r="BK189" s="706">
        <f>SUM(BK185:BK188)</f>
        <v>-480</v>
      </c>
      <c r="BL189" s="79">
        <f t="shared" si="563"/>
        <v>-2034</v>
      </c>
      <c r="BM189" s="706">
        <f>SUM(BM185:BM188)</f>
        <v>-361</v>
      </c>
      <c r="BN189" s="706">
        <f>SUM(BN185:BN188)</f>
        <v>-80</v>
      </c>
      <c r="BO189" s="706">
        <f>SUM(BO185:BO188)</f>
        <v>-199</v>
      </c>
      <c r="BP189" s="706">
        <f>SUM(BP185:BP188)</f>
        <v>-377</v>
      </c>
      <c r="BQ189" s="79">
        <f t="shared" si="564"/>
        <v>-1017</v>
      </c>
      <c r="BR189" s="747">
        <f>SUM(BR185:BR188)</f>
        <v>-72</v>
      </c>
      <c r="BS189" s="747">
        <f>SUM(BS185:BS188)</f>
        <v>-57</v>
      </c>
      <c r="BT189" s="747">
        <f>SUM(BT185:BT188)</f>
        <v>-112</v>
      </c>
      <c r="BU189" s="747">
        <f>SUM(BU185:BU188)</f>
        <v>-122</v>
      </c>
      <c r="BV189" s="79">
        <f t="shared" si="565"/>
        <v>-363</v>
      </c>
      <c r="BW189" s="747">
        <f>SUM(BW185:BW188)</f>
        <v>125</v>
      </c>
      <c r="BX189" s="747">
        <f>SUM(BX185:BX188)</f>
        <v>40</v>
      </c>
      <c r="BY189" s="747">
        <f>SUM(BY185:BY188)</f>
        <v>113</v>
      </c>
      <c r="BZ189" s="747">
        <f>SUM(BZ185:BZ188)</f>
        <v>61</v>
      </c>
      <c r="CA189" s="79">
        <f t="shared" si="566"/>
        <v>339</v>
      </c>
      <c r="CB189" s="747">
        <f>SUM(CB185:CB188)</f>
        <v>39</v>
      </c>
      <c r="CC189" s="747">
        <f>SUM(CC185:CC188)</f>
        <v>-79</v>
      </c>
      <c r="CD189" s="747">
        <f>SUM(CD185:CD188)</f>
        <v>-134</v>
      </c>
      <c r="CE189" s="747">
        <f>SUM(CE185:CE188)</f>
        <v>59</v>
      </c>
      <c r="CF189" s="79">
        <f t="shared" si="567"/>
        <v>-115</v>
      </c>
      <c r="CG189" s="747">
        <f>SUM(CG185:CG188)</f>
        <v>-343</v>
      </c>
      <c r="CH189" s="747">
        <f>SUM(CH185:CH188)</f>
        <v>-133</v>
      </c>
      <c r="CI189" s="747">
        <f>SUM(CI185:CI188)</f>
        <v>-157</v>
      </c>
      <c r="CJ189" s="747">
        <f>SUM(CJ185:CJ188)</f>
        <v>-17</v>
      </c>
      <c r="CK189" s="79">
        <f t="shared" si="568"/>
        <v>-650</v>
      </c>
      <c r="CL189" s="747">
        <f>SUM(CL185:CL188)</f>
        <v>174</v>
      </c>
      <c r="CM189" s="747">
        <f>SUM(CM185:CM188)</f>
        <v>-123</v>
      </c>
      <c r="CN189" s="747">
        <f>SUM(CN185:CN188)</f>
        <v>39</v>
      </c>
      <c r="CO189" s="747">
        <f>SUM(CO185:CO188)</f>
        <v>-1062</v>
      </c>
      <c r="CP189" s="79">
        <f t="shared" si="569"/>
        <v>-972</v>
      </c>
      <c r="CQ189" s="747">
        <f>SUM(CQ185:CQ188)</f>
        <v>-94</v>
      </c>
      <c r="CR189" s="747">
        <f>SUM(CR185:CR188)</f>
        <v>-30</v>
      </c>
      <c r="CS189" s="747">
        <f>SUM(CS185:CS188)</f>
        <v>-100</v>
      </c>
      <c r="CT189" s="747">
        <f>SUM(CT185:CT188)</f>
        <v>130</v>
      </c>
      <c r="CU189" s="79">
        <f t="shared" si="570"/>
        <v>-94</v>
      </c>
      <c r="CV189" s="747">
        <f>SUM(CV185:CV188)</f>
        <v>23</v>
      </c>
      <c r="CW189" s="747">
        <f>SUM(CW185:CW188)</f>
        <v>190</v>
      </c>
      <c r="CX189" s="747">
        <f>SUM(CX185:CX188)</f>
        <v>-114</v>
      </c>
      <c r="CY189" s="747">
        <f>SUM(CY185:CY188)</f>
        <v>-488</v>
      </c>
      <c r="CZ189" s="79">
        <f t="shared" si="571"/>
        <v>-389</v>
      </c>
      <c r="DA189" s="747">
        <f>SUM(DA185:DA188)</f>
        <v>-169</v>
      </c>
      <c r="DB189" s="747">
        <f>SUM(DB185:DB188)</f>
        <v>-45</v>
      </c>
      <c r="DC189" s="747">
        <f>SUM(DC185:DC188)</f>
        <v>10</v>
      </c>
      <c r="DD189" s="747">
        <f>SUM(DD185:DD188)</f>
        <v>-499</v>
      </c>
      <c r="DE189" s="79">
        <f t="shared" si="572"/>
        <v>-703</v>
      </c>
      <c r="DF189" s="747">
        <f>SUM(DF185:DF188)</f>
        <v>-10</v>
      </c>
      <c r="DG189" s="747">
        <f>SUM(DG185:DG188)</f>
        <v>-332</v>
      </c>
      <c r="DH189" s="1068">
        <f>SUM(DH185:DH188)</f>
        <v>-190</v>
      </c>
      <c r="DI189" s="747">
        <f>SUM(DI185:DI188)</f>
        <v>-411</v>
      </c>
      <c r="DJ189" s="79">
        <f t="shared" si="573"/>
        <v>-943</v>
      </c>
      <c r="DK189" s="747">
        <f>SUM(DK185:DK188)</f>
        <v>-100</v>
      </c>
      <c r="DL189" s="747">
        <f>SUM(DL185:DL188)</f>
        <v>-778</v>
      </c>
      <c r="DM189" s="747">
        <f>SUM(DM185:DM188)</f>
        <v>-480</v>
      </c>
      <c r="DN189" s="747">
        <f>SUM(DN185:DN188)</f>
        <v>-628</v>
      </c>
      <c r="DO189" s="79">
        <f t="shared" si="574"/>
        <v>-1986</v>
      </c>
      <c r="DP189" s="747">
        <f>SUM(DP185:DP188)</f>
        <v>-193</v>
      </c>
      <c r="DQ189" s="747">
        <f>SUM(DQ185:DQ188)</f>
        <v>-475</v>
      </c>
      <c r="DS189" s="706"/>
      <c r="DT189" s="93"/>
      <c r="DU189" s="747"/>
      <c r="DV189" s="747"/>
      <c r="DX189" s="706"/>
      <c r="DY189" s="93"/>
      <c r="DZ189" s="93"/>
      <c r="EA189" s="93"/>
      <c r="EB189" s="93"/>
    </row>
    <row r="190" spans="1:132" s="277" customFormat="1" ht="12" customHeight="1">
      <c r="A190" s="74"/>
      <c r="B190" s="74" t="s">
        <v>112</v>
      </c>
      <c r="C190" s="71">
        <f>C189+C184+C183</f>
        <v>-355</v>
      </c>
      <c r="D190" s="71">
        <f t="shared" ref="D190:AQ190" si="576">D189+D184+D183</f>
        <v>1567</v>
      </c>
      <c r="E190" s="71">
        <f t="shared" si="576"/>
        <v>3170</v>
      </c>
      <c r="F190" s="71">
        <f t="shared" si="576"/>
        <v>3058</v>
      </c>
      <c r="G190" s="71">
        <f t="shared" si="576"/>
        <v>3896</v>
      </c>
      <c r="H190" s="71">
        <f t="shared" si="576"/>
        <v>3868</v>
      </c>
      <c r="I190" s="71">
        <f t="shared" si="576"/>
        <v>449</v>
      </c>
      <c r="J190" s="72">
        <f t="shared" si="576"/>
        <v>838</v>
      </c>
      <c r="K190" s="72">
        <f t="shared" si="576"/>
        <v>644</v>
      </c>
      <c r="L190" s="72">
        <f t="shared" si="576"/>
        <v>511</v>
      </c>
      <c r="M190" s="72">
        <f t="shared" si="576"/>
        <v>14</v>
      </c>
      <c r="N190" s="71">
        <f t="shared" si="576"/>
        <v>2007</v>
      </c>
      <c r="O190" s="72">
        <f t="shared" si="576"/>
        <v>688</v>
      </c>
      <c r="P190" s="72">
        <f t="shared" si="576"/>
        <v>810</v>
      </c>
      <c r="Q190" s="72">
        <f t="shared" si="576"/>
        <v>763</v>
      </c>
      <c r="R190" s="72">
        <f t="shared" si="576"/>
        <v>551</v>
      </c>
      <c r="S190" s="71">
        <f t="shared" si="576"/>
        <v>2812</v>
      </c>
      <c r="T190" s="72">
        <f t="shared" si="576"/>
        <v>959</v>
      </c>
      <c r="U190" s="72">
        <f t="shared" si="576"/>
        <v>523</v>
      </c>
      <c r="V190" s="72">
        <f t="shared" si="576"/>
        <v>951</v>
      </c>
      <c r="W190" s="72">
        <f t="shared" si="576"/>
        <v>1152</v>
      </c>
      <c r="X190" s="71">
        <f t="shared" si="576"/>
        <v>3585</v>
      </c>
      <c r="Y190" s="72">
        <f t="shared" si="576"/>
        <v>1309</v>
      </c>
      <c r="Z190" s="72">
        <f t="shared" si="576"/>
        <v>1506</v>
      </c>
      <c r="AA190" s="72">
        <f t="shared" si="576"/>
        <v>1499</v>
      </c>
      <c r="AB190" s="72">
        <f t="shared" si="576"/>
        <v>1516</v>
      </c>
      <c r="AC190" s="71">
        <f t="shared" si="576"/>
        <v>5830</v>
      </c>
      <c r="AD190" s="72">
        <f t="shared" si="576"/>
        <v>1799</v>
      </c>
      <c r="AE190" s="90">
        <f t="shared" si="576"/>
        <v>1247</v>
      </c>
      <c r="AF190" s="72">
        <f t="shared" si="576"/>
        <v>1147</v>
      </c>
      <c r="AG190" s="72">
        <f t="shared" si="576"/>
        <v>-243</v>
      </c>
      <c r="AH190" s="71">
        <f t="shared" si="576"/>
        <v>3950</v>
      </c>
      <c r="AI190" s="72">
        <f t="shared" si="576"/>
        <v>1025</v>
      </c>
      <c r="AJ190" s="72">
        <f t="shared" si="576"/>
        <v>1529</v>
      </c>
      <c r="AK190" s="72">
        <f t="shared" si="576"/>
        <v>-2151</v>
      </c>
      <c r="AL190" s="72">
        <f t="shared" si="576"/>
        <v>1693</v>
      </c>
      <c r="AM190" s="71">
        <f t="shared" si="576"/>
        <v>2096</v>
      </c>
      <c r="AN190" s="72">
        <f t="shared" si="576"/>
        <v>1174</v>
      </c>
      <c r="AO190" s="72">
        <f t="shared" si="576"/>
        <v>1307</v>
      </c>
      <c r="AP190" s="72">
        <f t="shared" si="576"/>
        <v>1387</v>
      </c>
      <c r="AQ190" s="72">
        <f t="shared" si="576"/>
        <v>1103</v>
      </c>
      <c r="AR190" s="71">
        <f t="shared" ref="AR190:AX190" si="577">AR189+AR184+AR183</f>
        <v>4971</v>
      </c>
      <c r="AS190" s="72">
        <f t="shared" si="577"/>
        <v>1000</v>
      </c>
      <c r="AT190" s="72">
        <f t="shared" si="577"/>
        <v>1534</v>
      </c>
      <c r="AU190" s="72">
        <f t="shared" si="577"/>
        <v>1714</v>
      </c>
      <c r="AV190" s="72">
        <f t="shared" si="577"/>
        <v>1597</v>
      </c>
      <c r="AW190" s="71">
        <f t="shared" si="577"/>
        <v>5845</v>
      </c>
      <c r="AX190" s="72">
        <f t="shared" si="577"/>
        <v>1570</v>
      </c>
      <c r="AY190" s="72">
        <f t="shared" ref="AY190:BE190" si="578">AY189+AY184+AY183</f>
        <v>1548</v>
      </c>
      <c r="AZ190" s="72">
        <f t="shared" si="578"/>
        <v>1564</v>
      </c>
      <c r="BA190" s="72">
        <f t="shared" si="578"/>
        <v>1629</v>
      </c>
      <c r="BB190" s="71">
        <f t="shared" si="578"/>
        <v>6311</v>
      </c>
      <c r="BC190" s="72">
        <f t="shared" si="578"/>
        <v>1528</v>
      </c>
      <c r="BD190" s="72">
        <f t="shared" si="578"/>
        <v>1716</v>
      </c>
      <c r="BE190" s="72">
        <f t="shared" si="578"/>
        <v>1803</v>
      </c>
      <c r="BF190" s="72">
        <f>BF189+BF184+BF183</f>
        <v>1515.3000000000002</v>
      </c>
      <c r="BG190" s="71">
        <f t="shared" ref="BG190" si="579">BG189+BG184+BG183</f>
        <v>6562.2999999999993</v>
      </c>
      <c r="BH190" s="72">
        <f>BH189+BH184+BH183</f>
        <v>1542</v>
      </c>
      <c r="BI190" s="597">
        <f>BI189+BI184+BI183</f>
        <v>1787</v>
      </c>
      <c r="BJ190" s="597">
        <f>BJ189+BJ184+BJ183</f>
        <v>2119</v>
      </c>
      <c r="BK190" s="597">
        <f>BK189+BK184+BK183</f>
        <v>2025</v>
      </c>
      <c r="BL190" s="71">
        <f t="shared" ref="BL190" si="580">BL189+BL184+BL183</f>
        <v>7473</v>
      </c>
      <c r="BM190" s="597">
        <f>BM189+BM184+BM183</f>
        <v>2019</v>
      </c>
      <c r="BN190" s="597">
        <f>BN189+BN184+BN183</f>
        <v>1683</v>
      </c>
      <c r="BO190" s="597">
        <f>BO189+BO184+BO183</f>
        <v>2580</v>
      </c>
      <c r="BP190" s="597">
        <f>BP189+BP184+BP183</f>
        <v>1161</v>
      </c>
      <c r="BQ190" s="71">
        <f t="shared" ref="BQ190" si="581">BQ189+BQ184+BQ183</f>
        <v>7443</v>
      </c>
      <c r="BR190" s="597">
        <f>BR189+BR184+BR183</f>
        <v>1788</v>
      </c>
      <c r="BS190" s="597">
        <f>BS189+BS184+BS183</f>
        <v>-419</v>
      </c>
      <c r="BT190" s="597">
        <f>BT189+BT184+BT183</f>
        <v>2282</v>
      </c>
      <c r="BU190" s="597">
        <f>BU189+BU184+BU183</f>
        <v>2183</v>
      </c>
      <c r="BV190" s="71">
        <f t="shared" ref="BV190" si="582">BV189+BV184+BV183</f>
        <v>5834</v>
      </c>
      <c r="BW190" s="597">
        <f>BW189+BW184+BW183</f>
        <v>2206</v>
      </c>
      <c r="BX190" s="597">
        <f>BX189+BX184+BX183</f>
        <v>2530</v>
      </c>
      <c r="BY190" s="597">
        <f>BY189+BY184+BY183</f>
        <v>2630</v>
      </c>
      <c r="BZ190" s="597">
        <f>BZ189+BZ184+BZ183</f>
        <v>2978</v>
      </c>
      <c r="CA190" s="71">
        <f t="shared" ref="CA190" si="583">CA189+CA184+CA183</f>
        <v>10344</v>
      </c>
      <c r="CB190" s="597">
        <f>CB189+CB184+CB183</f>
        <v>2875</v>
      </c>
      <c r="CC190" s="597">
        <f>CC189+CC184+CC183</f>
        <v>2710</v>
      </c>
      <c r="CD190" s="597">
        <f>CD189+CD184+CD183</f>
        <v>2227</v>
      </c>
      <c r="CE190" s="597">
        <f>CE189+CE184+CE183</f>
        <v>4175</v>
      </c>
      <c r="CF190" s="71">
        <f t="shared" ref="CF190" si="584">CF189+CF184+CF183</f>
        <v>11987</v>
      </c>
      <c r="CG190" s="597">
        <f>CG189+CG184+CG183</f>
        <v>2350</v>
      </c>
      <c r="CH190" s="597">
        <f>CH189+CH184+CH183</f>
        <v>-3380</v>
      </c>
      <c r="CI190" s="597">
        <f>CI189+CI184+CI183</f>
        <v>1259</v>
      </c>
      <c r="CJ190" s="597">
        <f>CJ189+CJ184+CJ183</f>
        <v>-2204</v>
      </c>
      <c r="CK190" s="71">
        <f t="shared" ref="CK190" si="585">CK189+CK184+CK183</f>
        <v>-1975</v>
      </c>
      <c r="CL190" s="597">
        <f>CL189+CL184+CL183</f>
        <v>-1353</v>
      </c>
      <c r="CM190" s="597">
        <f>CM189+CM184+CM183</f>
        <v>-2964</v>
      </c>
      <c r="CN190" s="597">
        <f>CN189+CN184+CN183</f>
        <v>-401</v>
      </c>
      <c r="CO190" s="597">
        <f>CO189+CO184+CO183</f>
        <v>-8049</v>
      </c>
      <c r="CP190" s="71">
        <f t="shared" ref="CP190" si="586">CP189+CP184+CP183</f>
        <v>-12767</v>
      </c>
      <c r="CQ190" s="597">
        <f>CQ189+CQ184+CQ183</f>
        <v>-83</v>
      </c>
      <c r="CR190" s="597">
        <f>CR189+CR184+CR183</f>
        <v>1023</v>
      </c>
      <c r="CS190" s="597">
        <f>CS189+CS184+CS183</f>
        <v>329</v>
      </c>
      <c r="CT190" s="597">
        <f>CT189+CT184+CT183</f>
        <v>-4171</v>
      </c>
      <c r="CU190" s="71">
        <f t="shared" ref="CU190" si="587">CU189+CU184+CU183</f>
        <v>-2902</v>
      </c>
      <c r="CV190" s="597">
        <f>CV189+CV184+CV183</f>
        <v>-1169</v>
      </c>
      <c r="CW190" s="597">
        <f>CW189+CW184+CW183</f>
        <v>774</v>
      </c>
      <c r="CX190" s="597">
        <f>CX189+CX184+CX183</f>
        <v>-2799</v>
      </c>
      <c r="CY190" s="597">
        <f>CY189+CY184+CY183</f>
        <v>-353</v>
      </c>
      <c r="CZ190" s="71">
        <f t="shared" ref="CZ190" si="588">CZ189+CZ184+CZ183</f>
        <v>-3547</v>
      </c>
      <c r="DA190" s="597">
        <f>DA189+DA184+DA183</f>
        <v>-149</v>
      </c>
      <c r="DB190" s="597">
        <f>DB189+DB184+DB183</f>
        <v>-99</v>
      </c>
      <c r="DC190" s="597">
        <f>DC189+DC184+DC183</f>
        <v>-808</v>
      </c>
      <c r="DD190" s="597">
        <f>DD189+DD184+DD183</f>
        <v>283</v>
      </c>
      <c r="DE190" s="71">
        <f t="shared" ref="DE190" si="589">DE189+DE184+DE183</f>
        <v>-773</v>
      </c>
      <c r="DF190" s="597">
        <f>DF189+DF184+DF183</f>
        <v>-86</v>
      </c>
      <c r="DG190" s="597">
        <f>DG189+DG184+DG183</f>
        <v>-1090</v>
      </c>
      <c r="DH190" s="1065">
        <f>DH189+DH184+DH183</f>
        <v>-5761</v>
      </c>
      <c r="DI190" s="597">
        <f>DI189+DI184+DI183</f>
        <v>-3770</v>
      </c>
      <c r="DJ190" s="71">
        <f t="shared" ref="DJ190" si="590">DJ189+DJ184+DJ183</f>
        <v>-10707</v>
      </c>
      <c r="DK190" s="597">
        <f>DK189+DK184+DK183</f>
        <v>461</v>
      </c>
      <c r="DL190" s="597">
        <f>DL189+DL184+DL183</f>
        <v>-176</v>
      </c>
      <c r="DM190" s="597">
        <f>DM189+DM184+DM183</f>
        <v>-4781</v>
      </c>
      <c r="DN190" s="597">
        <f>DN189+DN184+DN183</f>
        <v>8777</v>
      </c>
      <c r="DO190" s="71">
        <f t="shared" ref="DO190" si="591">DO189+DO184+DO183</f>
        <v>4281</v>
      </c>
      <c r="DP190" s="597">
        <f>DP189+DP184+DP183</f>
        <v>448</v>
      </c>
      <c r="DQ190" s="597">
        <f>DQ189+DQ184+DQ183</f>
        <v>156</v>
      </c>
      <c r="DS190" s="597"/>
      <c r="DT190" s="85"/>
      <c r="DU190" s="597"/>
      <c r="DV190" s="1082"/>
      <c r="DX190" s="597"/>
      <c r="DY190" s="85"/>
      <c r="DZ190" s="85"/>
      <c r="EA190" s="85"/>
      <c r="EB190" s="85"/>
    </row>
    <row r="191" spans="1:132" s="105" customFormat="1" ht="12" customHeight="1">
      <c r="A191" s="68"/>
      <c r="B191" s="68"/>
      <c r="C191" s="91"/>
      <c r="D191" s="91"/>
      <c r="E191" s="91"/>
      <c r="F191" s="91"/>
      <c r="G191" s="91"/>
      <c r="H191" s="91"/>
      <c r="I191" s="91"/>
      <c r="J191" s="92"/>
      <c r="K191" s="92"/>
      <c r="L191" s="92"/>
      <c r="M191" s="92"/>
      <c r="N191" s="91"/>
      <c r="O191" s="92"/>
      <c r="P191" s="92"/>
      <c r="Q191" s="92"/>
      <c r="R191" s="92"/>
      <c r="S191" s="91"/>
      <c r="T191" s="92"/>
      <c r="U191" s="92"/>
      <c r="V191" s="92"/>
      <c r="W191" s="92"/>
      <c r="X191" s="91"/>
      <c r="Y191" s="92"/>
      <c r="Z191" s="92"/>
      <c r="AA191" s="92"/>
      <c r="AB191" s="92"/>
      <c r="AC191" s="91"/>
      <c r="AD191" s="92"/>
      <c r="AE191" s="92"/>
      <c r="AF191" s="92"/>
      <c r="AG191" s="92"/>
      <c r="AH191" s="91"/>
      <c r="AI191" s="92"/>
      <c r="AJ191" s="92"/>
      <c r="AK191" s="75"/>
      <c r="AL191" s="75"/>
      <c r="AM191" s="93"/>
      <c r="AN191" s="92"/>
      <c r="AO191" s="92"/>
      <c r="AP191" s="75"/>
      <c r="AQ191" s="75"/>
      <c r="AR191" s="93"/>
      <c r="AS191" s="92"/>
      <c r="AT191" s="92"/>
      <c r="AU191" s="75"/>
      <c r="AV191" s="75"/>
      <c r="AW191" s="93"/>
      <c r="AX191" s="92"/>
      <c r="AY191" s="92"/>
      <c r="AZ191" s="92"/>
      <c r="BA191" s="75"/>
      <c r="BB191" s="93"/>
      <c r="BC191" s="75"/>
      <c r="BD191" s="92"/>
      <c r="BE191" s="75"/>
      <c r="BF191" s="75"/>
      <c r="BG191" s="93"/>
      <c r="BH191" s="75"/>
      <c r="BI191" s="707"/>
      <c r="BJ191" s="75"/>
      <c r="BK191" s="75"/>
      <c r="BL191" s="93"/>
      <c r="BM191" s="75"/>
      <c r="BN191" s="707"/>
      <c r="BO191" s="75"/>
      <c r="BP191" s="75"/>
      <c r="BQ191" s="93"/>
      <c r="BR191" s="75"/>
      <c r="BS191" s="707"/>
      <c r="BT191" s="75"/>
      <c r="BU191" s="75"/>
      <c r="BV191" s="93"/>
      <c r="BW191" s="75"/>
      <c r="BX191" s="707"/>
      <c r="BY191" s="75"/>
      <c r="BZ191" s="75"/>
      <c r="CA191" s="93"/>
      <c r="CB191" s="75"/>
      <c r="CC191" s="707"/>
      <c r="CD191" s="75"/>
      <c r="CE191" s="75"/>
      <c r="CF191" s="93"/>
      <c r="CG191" s="707"/>
      <c r="CH191" s="707"/>
      <c r="CI191" s="707"/>
      <c r="CJ191" s="707"/>
      <c r="CK191" s="93"/>
      <c r="CL191" s="75"/>
      <c r="CM191" s="75"/>
      <c r="CN191" s="75"/>
      <c r="CO191" s="75"/>
      <c r="CP191" s="93"/>
      <c r="CQ191" s="75"/>
      <c r="CR191" s="75"/>
      <c r="CS191" s="75"/>
      <c r="CT191" s="75"/>
      <c r="CU191" s="93"/>
      <c r="CV191" s="75"/>
      <c r="CW191" s="75"/>
      <c r="CX191" s="75"/>
      <c r="CY191" s="75"/>
      <c r="CZ191" s="93"/>
      <c r="DA191" s="75"/>
      <c r="DB191" s="75"/>
      <c r="DC191" s="75"/>
      <c r="DD191" s="75"/>
      <c r="DE191" s="93"/>
      <c r="DG191" s="615"/>
      <c r="DH191" s="278"/>
      <c r="DI191" s="75"/>
      <c r="DJ191" s="93"/>
      <c r="DL191" s="615" t="str">
        <f>+IF(DL190=DL18,"True",DL190-DL18)</f>
        <v>True</v>
      </c>
      <c r="DM191" s="615" t="str">
        <f t="shared" ref="DM191:DN191" si="592">+IF(DM190=DM18,"True",DM190-DM18)</f>
        <v>True</v>
      </c>
      <c r="DN191" s="615" t="str">
        <f t="shared" si="592"/>
        <v>True</v>
      </c>
      <c r="DO191" s="93"/>
      <c r="DP191" s="615" t="str">
        <f t="shared" ref="DP191" si="593">+IF(DP190=DP18,"True",DP190-DP18)</f>
        <v>True</v>
      </c>
      <c r="DQ191" s="278" t="str">
        <f>+IF(DQ190=DQ18,"True",DQ190-DQ18)</f>
        <v>True</v>
      </c>
      <c r="DS191" s="75"/>
      <c r="DT191" s="93"/>
      <c r="DX191" s="75"/>
      <c r="DY191" s="93"/>
      <c r="DZ191" s="93"/>
      <c r="EA191" s="93"/>
      <c r="EB191" s="93"/>
    </row>
    <row r="192" spans="1:132" s="105" customFormat="1" ht="12" customHeight="1">
      <c r="A192" s="68"/>
      <c r="B192" s="164" t="s">
        <v>114</v>
      </c>
      <c r="C192" s="91"/>
      <c r="D192" s="91"/>
      <c r="E192" s="91"/>
      <c r="F192" s="91"/>
      <c r="G192" s="91"/>
      <c r="H192" s="91"/>
      <c r="I192" s="91"/>
      <c r="J192" s="92"/>
      <c r="K192" s="92"/>
      <c r="L192" s="92"/>
      <c r="M192" s="92"/>
      <c r="N192" s="91"/>
      <c r="O192" s="92"/>
      <c r="P192" s="92"/>
      <c r="Q192" s="92"/>
      <c r="R192" s="92"/>
      <c r="S192" s="91"/>
      <c r="T192" s="92"/>
      <c r="U192" s="92"/>
      <c r="V192" s="92"/>
      <c r="W192" s="92"/>
      <c r="X192" s="91"/>
      <c r="Y192" s="92"/>
      <c r="Z192" s="92"/>
      <c r="AA192" s="92"/>
      <c r="AB192" s="92"/>
      <c r="AC192" s="91"/>
      <c r="AD192" s="92"/>
      <c r="AE192" s="92"/>
      <c r="AF192" s="92"/>
      <c r="AG192" s="92"/>
      <c r="AH192" s="91"/>
      <c r="AI192" s="92"/>
      <c r="AJ192" s="92"/>
      <c r="AK192" s="75"/>
      <c r="AL192" s="75"/>
      <c r="AM192" s="93"/>
      <c r="AN192" s="92"/>
      <c r="AO192" s="92"/>
      <c r="AP192" s="75"/>
      <c r="AQ192" s="75"/>
      <c r="AR192" s="93"/>
      <c r="AS192" s="92"/>
      <c r="AT192" s="92"/>
      <c r="AU192" s="75"/>
      <c r="AV192" s="75"/>
      <c r="AW192" s="93"/>
      <c r="AX192" s="92"/>
      <c r="AY192" s="92"/>
      <c r="AZ192" s="92"/>
      <c r="BA192" s="75"/>
      <c r="BB192" s="93"/>
      <c r="BC192" s="75"/>
      <c r="BD192" s="92"/>
      <c r="BE192" s="75"/>
      <c r="BF192" s="75"/>
      <c r="BG192" s="93"/>
      <c r="BH192" s="75"/>
      <c r="BI192" s="707"/>
      <c r="BJ192" s="75"/>
      <c r="BK192" s="75"/>
      <c r="BL192" s="93"/>
      <c r="BM192" s="75"/>
      <c r="BN192" s="707"/>
      <c r="BO192" s="75"/>
      <c r="BP192" s="75"/>
      <c r="BQ192" s="93"/>
      <c r="BR192" s="75"/>
      <c r="BS192" s="707"/>
      <c r="BT192" s="75"/>
      <c r="BU192" s="75"/>
      <c r="BV192" s="93"/>
      <c r="BW192" s="75"/>
      <c r="BX192" s="707"/>
      <c r="BY192" s="75"/>
      <c r="BZ192" s="75"/>
      <c r="CA192" s="93"/>
      <c r="CB192" s="75"/>
      <c r="CC192" s="707"/>
      <c r="CD192" s="75"/>
      <c r="CE192" s="75"/>
      <c r="CF192" s="93"/>
      <c r="CG192" s="707"/>
      <c r="CH192" s="707"/>
      <c r="CI192" s="707"/>
      <c r="CJ192" s="707"/>
      <c r="CK192" s="93"/>
      <c r="CL192" s="75"/>
      <c r="CM192" s="75"/>
      <c r="CN192" s="75"/>
      <c r="CO192" s="75"/>
      <c r="CP192" s="93"/>
      <c r="CQ192" s="75"/>
      <c r="CR192" s="75"/>
      <c r="CS192" s="75"/>
      <c r="CT192" s="75"/>
      <c r="CU192" s="93"/>
      <c r="CV192" s="75"/>
      <c r="CW192" s="75"/>
      <c r="CX192" s="75"/>
      <c r="CY192" s="75"/>
      <c r="CZ192" s="93"/>
      <c r="DA192" s="75"/>
      <c r="DB192" s="75"/>
      <c r="DC192" s="75"/>
      <c r="DD192" s="75"/>
      <c r="DE192" s="93"/>
      <c r="DG192" s="615"/>
      <c r="DH192" s="278"/>
      <c r="DI192" s="75"/>
      <c r="DJ192" s="93"/>
      <c r="DL192" s="615"/>
      <c r="DM192" s="615"/>
      <c r="DN192" s="75"/>
      <c r="DO192" s="93"/>
      <c r="DP192" s="75"/>
      <c r="DQ192" s="278"/>
      <c r="DS192" s="75"/>
      <c r="DT192" s="93"/>
      <c r="DX192" s="75"/>
      <c r="DY192" s="93"/>
      <c r="DZ192" s="93"/>
      <c r="EA192" s="93"/>
      <c r="EB192" s="93"/>
    </row>
    <row r="193" spans="1:132" s="105" customFormat="1" ht="12" customHeight="1">
      <c r="A193" s="68"/>
      <c r="B193" s="166" t="s">
        <v>105</v>
      </c>
      <c r="C193" s="76">
        <v>93788</v>
      </c>
      <c r="D193" s="76">
        <v>86057</v>
      </c>
      <c r="E193" s="76">
        <v>72972</v>
      </c>
      <c r="F193" s="76">
        <v>89780</v>
      </c>
      <c r="G193" s="76">
        <v>75850</v>
      </c>
      <c r="H193" s="76">
        <v>68159</v>
      </c>
      <c r="I193" s="76">
        <v>63929</v>
      </c>
      <c r="J193" s="77">
        <v>62224</v>
      </c>
      <c r="K193" s="77">
        <v>62179</v>
      </c>
      <c r="L193" s="77">
        <v>68184</v>
      </c>
      <c r="M193" s="77">
        <f>N193</f>
        <v>70449</v>
      </c>
      <c r="N193" s="76">
        <v>70449</v>
      </c>
      <c r="O193" s="77">
        <v>68682</v>
      </c>
      <c r="P193" s="77">
        <v>86678</v>
      </c>
      <c r="Q193" s="77">
        <v>98065</v>
      </c>
      <c r="R193" s="77">
        <f t="shared" ref="R193:R200" si="594">S193</f>
        <v>124132</v>
      </c>
      <c r="S193" s="76">
        <v>124132</v>
      </c>
      <c r="T193" s="77">
        <v>131577</v>
      </c>
      <c r="U193" s="77">
        <v>141670</v>
      </c>
      <c r="V193" s="77">
        <v>154016</v>
      </c>
      <c r="W193" s="77">
        <f>X193</f>
        <v>174276</v>
      </c>
      <c r="X193" s="76">
        <v>174276</v>
      </c>
      <c r="Y193" s="77">
        <v>188466</v>
      </c>
      <c r="Z193" s="77">
        <v>207730</v>
      </c>
      <c r="AA193" s="77">
        <v>224414</v>
      </c>
      <c r="AB193" s="77">
        <f>AC193</f>
        <v>255176</v>
      </c>
      <c r="AC193" s="76">
        <v>255176</v>
      </c>
      <c r="AD193" s="77">
        <v>271189</v>
      </c>
      <c r="AE193" s="77">
        <v>274546</v>
      </c>
      <c r="AF193" s="77">
        <v>275869</v>
      </c>
      <c r="AG193" s="77">
        <f>AH193</f>
        <v>278575</v>
      </c>
      <c r="AH193" s="76">
        <v>278575</v>
      </c>
      <c r="AI193" s="77">
        <v>266023</v>
      </c>
      <c r="AJ193" s="77">
        <v>257443</v>
      </c>
      <c r="AK193" s="77">
        <v>253938</v>
      </c>
      <c r="AL193" s="77">
        <v>250476</v>
      </c>
      <c r="AM193" s="76">
        <f>AL193</f>
        <v>250476</v>
      </c>
      <c r="AN193" s="77">
        <v>250400</v>
      </c>
      <c r="AO193" s="77">
        <v>251600</v>
      </c>
      <c r="AP193" s="77">
        <v>255176</v>
      </c>
      <c r="AQ193" s="77">
        <v>255600</v>
      </c>
      <c r="AR193" s="76">
        <f>AQ193</f>
        <v>255600</v>
      </c>
      <c r="AS193" s="77">
        <v>260900</v>
      </c>
      <c r="AT193" s="77">
        <v>259900</v>
      </c>
      <c r="AU193" s="86">
        <v>270300</v>
      </c>
      <c r="AV193" s="77">
        <v>293300</v>
      </c>
      <c r="AW193" s="76">
        <f>AV193</f>
        <v>293300</v>
      </c>
      <c r="AX193" s="77">
        <v>305300</v>
      </c>
      <c r="AY193" s="77">
        <v>300400</v>
      </c>
      <c r="AZ193" s="77">
        <v>305400</v>
      </c>
      <c r="BA193" s="77">
        <v>317300</v>
      </c>
      <c r="BB193" s="76">
        <f>BA193</f>
        <v>317300</v>
      </c>
      <c r="BC193" s="77">
        <v>322000</v>
      </c>
      <c r="BD193" s="77">
        <v>337700</v>
      </c>
      <c r="BE193" s="77">
        <v>344300</v>
      </c>
      <c r="BF193" s="77">
        <v>373000</v>
      </c>
      <c r="BG193" s="76">
        <f>BF193</f>
        <v>373000</v>
      </c>
      <c r="BH193" s="77">
        <v>374000</v>
      </c>
      <c r="BI193" s="693">
        <v>376300</v>
      </c>
      <c r="BJ193" s="77">
        <v>429600</v>
      </c>
      <c r="BK193" s="77">
        <v>440100</v>
      </c>
      <c r="BL193" s="76">
        <f>BK193</f>
        <v>440100</v>
      </c>
      <c r="BM193" s="77">
        <v>435000</v>
      </c>
      <c r="BN193" s="693">
        <v>430800</v>
      </c>
      <c r="BO193" s="77">
        <v>426000</v>
      </c>
      <c r="BP193" s="77">
        <v>431400</v>
      </c>
      <c r="BQ193" s="76">
        <f>BP193</f>
        <v>431400</v>
      </c>
      <c r="BR193" s="886">
        <v>423000</v>
      </c>
      <c r="BS193" s="887">
        <v>416600</v>
      </c>
      <c r="BT193" s="886">
        <v>408800</v>
      </c>
      <c r="BU193" s="77">
        <v>413036</v>
      </c>
      <c r="BV193" s="76">
        <f>BU193</f>
        <v>413036</v>
      </c>
      <c r="BW193" s="886">
        <v>415100</v>
      </c>
      <c r="BX193" s="887">
        <v>423400</v>
      </c>
      <c r="BY193" s="887">
        <v>412185</v>
      </c>
      <c r="BZ193" s="77">
        <v>411188</v>
      </c>
      <c r="CA193" s="76">
        <f>BZ193</f>
        <v>411188</v>
      </c>
      <c r="CB193" s="77">
        <v>415377</v>
      </c>
      <c r="CC193" s="693">
        <v>415723</v>
      </c>
      <c r="CD193" s="77">
        <v>413064</v>
      </c>
      <c r="CE193" s="77">
        <v>412307</v>
      </c>
      <c r="CF193" s="76">
        <f>CE193</f>
        <v>412307</v>
      </c>
      <c r="CG193" s="693">
        <v>399371</v>
      </c>
      <c r="CH193" s="693">
        <v>390405</v>
      </c>
      <c r="CI193" s="693">
        <v>387397</v>
      </c>
      <c r="CJ193" s="693">
        <v>376593</v>
      </c>
      <c r="CK193" s="76">
        <f>CJ193</f>
        <v>376593</v>
      </c>
      <c r="CL193" s="77">
        <v>351778</v>
      </c>
      <c r="CM193" s="77">
        <v>325674</v>
      </c>
      <c r="CN193" s="77">
        <v>312684</v>
      </c>
      <c r="CO193" s="77">
        <v>281588</v>
      </c>
      <c r="CP193" s="76">
        <f>CO193</f>
        <v>281588</v>
      </c>
      <c r="CQ193" s="77">
        <v>282621</v>
      </c>
      <c r="CR193" s="77">
        <v>285332</v>
      </c>
      <c r="CS193" s="77">
        <v>289644</v>
      </c>
      <c r="CT193" s="77">
        <v>296882</v>
      </c>
      <c r="CU193" s="76">
        <f>CT193</f>
        <v>296882</v>
      </c>
      <c r="CV193" s="77">
        <v>290930</v>
      </c>
      <c r="CW193" s="77">
        <v>297044</v>
      </c>
      <c r="CX193" s="77">
        <v>307168</v>
      </c>
      <c r="CY193" s="77">
        <v>329824</v>
      </c>
      <c r="CZ193" s="76">
        <f>CY193</f>
        <v>329824</v>
      </c>
      <c r="DA193" s="77">
        <v>333656</v>
      </c>
      <c r="DB193" s="77">
        <v>362866</v>
      </c>
      <c r="DC193" s="77">
        <v>392105</v>
      </c>
      <c r="DD193" s="77">
        <v>440507</v>
      </c>
      <c r="DE193" s="76">
        <f>DD193</f>
        <v>440507</v>
      </c>
      <c r="DF193" s="77">
        <v>447533</v>
      </c>
      <c r="DG193" s="16">
        <v>436574</v>
      </c>
      <c r="DH193" s="593">
        <v>427733</v>
      </c>
      <c r="DI193" s="1074">
        <v>435175</v>
      </c>
      <c r="DJ193" s="76">
        <f>DI193</f>
        <v>435175</v>
      </c>
      <c r="DK193" s="1074">
        <v>460447</v>
      </c>
      <c r="DL193" s="1074">
        <v>522197</v>
      </c>
      <c r="DM193" s="1074">
        <v>534613</v>
      </c>
      <c r="DN193" s="1074">
        <v>567290</v>
      </c>
      <c r="DO193" s="76">
        <f>DN193</f>
        <v>567290</v>
      </c>
      <c r="DP193" s="1074">
        <v>575583</v>
      </c>
      <c r="DQ193" s="1086">
        <v>596724</v>
      </c>
      <c r="DS193" s="77"/>
      <c r="DT193" s="93"/>
      <c r="DU193" s="1074"/>
      <c r="DX193" s="77"/>
      <c r="DY193" s="93"/>
      <c r="DZ193" s="93"/>
      <c r="EA193" s="93"/>
      <c r="EB193" s="93"/>
    </row>
    <row r="194" spans="1:132" s="105" customFormat="1" ht="12" hidden="1" customHeight="1">
      <c r="A194" s="68"/>
      <c r="B194" s="865" t="s">
        <v>106</v>
      </c>
      <c r="C194" s="252"/>
      <c r="D194" s="252"/>
      <c r="E194" s="252"/>
      <c r="F194" s="252"/>
      <c r="G194" s="252"/>
      <c r="H194" s="252"/>
      <c r="I194" s="252"/>
      <c r="J194" s="253"/>
      <c r="K194" s="253"/>
      <c r="L194" s="253"/>
      <c r="M194" s="253"/>
      <c r="N194" s="252"/>
      <c r="O194" s="253"/>
      <c r="P194" s="253"/>
      <c r="Q194" s="253"/>
      <c r="R194" s="253">
        <f t="shared" si="594"/>
        <v>21815</v>
      </c>
      <c r="S194" s="252">
        <v>21815</v>
      </c>
      <c r="T194" s="253">
        <v>25174</v>
      </c>
      <c r="U194" s="253">
        <v>22672</v>
      </c>
      <c r="V194" s="253">
        <v>19980</v>
      </c>
      <c r="W194" s="253">
        <f>X194</f>
        <v>24988</v>
      </c>
      <c r="X194" s="252">
        <v>24988</v>
      </c>
      <c r="Y194" s="253">
        <v>23038</v>
      </c>
      <c r="Z194" s="253">
        <v>21688</v>
      </c>
      <c r="AA194" s="253">
        <v>22058</v>
      </c>
      <c r="AB194" s="253">
        <f>AC194</f>
        <v>22957</v>
      </c>
      <c r="AC194" s="252">
        <v>22957</v>
      </c>
      <c r="AD194" s="253">
        <v>23069</v>
      </c>
      <c r="AE194" s="253">
        <v>23823</v>
      </c>
      <c r="AF194" s="253">
        <v>23951</v>
      </c>
      <c r="AG194" s="253">
        <f>AH194</f>
        <v>25855</v>
      </c>
      <c r="AH194" s="252">
        <v>25855</v>
      </c>
      <c r="AI194" s="253">
        <v>28157</v>
      </c>
      <c r="AJ194" s="253">
        <v>28157</v>
      </c>
      <c r="AK194" s="253">
        <v>26112</v>
      </c>
      <c r="AL194" s="253">
        <v>26311</v>
      </c>
      <c r="AM194" s="252">
        <f>AL194</f>
        <v>26311</v>
      </c>
      <c r="AN194" s="253">
        <v>27500</v>
      </c>
      <c r="AO194" s="253">
        <v>26600</v>
      </c>
      <c r="AP194" s="253">
        <v>25683</v>
      </c>
      <c r="AQ194" s="253">
        <v>25100</v>
      </c>
      <c r="AR194" s="252">
        <f>AQ194</f>
        <v>25100</v>
      </c>
      <c r="AS194" s="253">
        <v>26500</v>
      </c>
      <c r="AT194" s="253">
        <v>25700</v>
      </c>
      <c r="AU194" s="830">
        <v>24200</v>
      </c>
      <c r="AV194" s="253">
        <v>24100</v>
      </c>
      <c r="AW194" s="252">
        <f>AV194</f>
        <v>24100</v>
      </c>
      <c r="AX194" s="253">
        <v>29000</v>
      </c>
      <c r="AY194" s="253">
        <v>29700</v>
      </c>
      <c r="AZ194" s="253">
        <v>28500</v>
      </c>
      <c r="BA194" s="253">
        <v>29700</v>
      </c>
      <c r="BB194" s="252">
        <f>BA194</f>
        <v>29700</v>
      </c>
      <c r="BC194" s="253">
        <v>26600</v>
      </c>
      <c r="BD194" s="253">
        <v>26500</v>
      </c>
      <c r="BE194" s="253">
        <v>26400</v>
      </c>
      <c r="BF194" s="253">
        <v>24800</v>
      </c>
      <c r="BG194" s="252">
        <f>BF194</f>
        <v>24800</v>
      </c>
      <c r="BH194" s="253">
        <v>23200</v>
      </c>
      <c r="BI194" s="866">
        <v>23800</v>
      </c>
      <c r="BJ194" s="253">
        <v>21200</v>
      </c>
      <c r="BK194" s="253">
        <v>21100</v>
      </c>
      <c r="BL194" s="252">
        <f>BK194</f>
        <v>21100</v>
      </c>
      <c r="BM194" s="253">
        <v>21300</v>
      </c>
      <c r="BN194" s="866">
        <v>22800</v>
      </c>
      <c r="BO194" s="253">
        <v>21200</v>
      </c>
      <c r="BP194" s="253">
        <v>20000</v>
      </c>
      <c r="BQ194" s="252">
        <f>BP194</f>
        <v>20000</v>
      </c>
      <c r="BR194" s="888">
        <v>22100</v>
      </c>
      <c r="BS194" s="889">
        <v>22600</v>
      </c>
      <c r="BT194" s="888">
        <v>20800</v>
      </c>
      <c r="BU194" s="253">
        <v>21400</v>
      </c>
      <c r="BV194" s="252">
        <f>BU194</f>
        <v>21400</v>
      </c>
      <c r="BW194" s="888">
        <v>23400</v>
      </c>
      <c r="BX194" s="889">
        <v>22400</v>
      </c>
      <c r="BY194" s="889"/>
      <c r="BZ194" s="253"/>
      <c r="CA194" s="252">
        <f>BZ194</f>
        <v>0</v>
      </c>
      <c r="CB194" s="253"/>
      <c r="CC194" s="866"/>
      <c r="CD194" s="253"/>
      <c r="CE194" s="253"/>
      <c r="CF194" s="252">
        <f>CE194</f>
        <v>0</v>
      </c>
      <c r="CG194" s="866"/>
      <c r="CH194" s="866"/>
      <c r="CI194" s="866"/>
      <c r="CJ194" s="866"/>
      <c r="CK194" s="252">
        <f>CJ194</f>
        <v>0</v>
      </c>
      <c r="CL194" s="253"/>
      <c r="CM194" s="253"/>
      <c r="CN194" s="253"/>
      <c r="CO194" s="253"/>
      <c r="CP194" s="252">
        <f>CO194</f>
        <v>0</v>
      </c>
      <c r="CQ194" s="253"/>
      <c r="CR194" s="253"/>
      <c r="CS194" s="253"/>
      <c r="CT194" s="253"/>
      <c r="CU194" s="252">
        <f>CT194</f>
        <v>0</v>
      </c>
      <c r="CV194" s="253"/>
      <c r="CW194" s="253"/>
      <c r="CX194" s="253"/>
      <c r="CY194" s="253"/>
      <c r="CZ194" s="252">
        <f>CY194</f>
        <v>0</v>
      </c>
      <c r="DA194" s="253"/>
      <c r="DB194" s="253"/>
      <c r="DC194" s="253"/>
      <c r="DD194" s="253"/>
      <c r="DE194" s="252">
        <f>DD194</f>
        <v>0</v>
      </c>
      <c r="DF194" s="253"/>
      <c r="DG194" s="1051"/>
      <c r="DH194" s="1051"/>
      <c r="DI194" s="253"/>
      <c r="DJ194" s="252">
        <f>DI194</f>
        <v>0</v>
      </c>
      <c r="DK194" s="253"/>
      <c r="DL194" s="1051"/>
      <c r="DM194" s="1051"/>
      <c r="DN194" s="253"/>
      <c r="DO194" s="252">
        <f>DN194</f>
        <v>0</v>
      </c>
      <c r="DP194" s="253"/>
      <c r="DQ194" s="253"/>
      <c r="DR194" s="1017"/>
      <c r="DS194" s="253"/>
      <c r="DT194" s="835"/>
      <c r="DU194" s="253"/>
      <c r="DV194" s="1017"/>
      <c r="DW194" s="1017"/>
      <c r="DX194" s="253"/>
      <c r="DY194" s="835"/>
      <c r="DZ194" s="835"/>
      <c r="EA194" s="835"/>
      <c r="EB194" s="835"/>
    </row>
    <row r="195" spans="1:132" s="105" customFormat="1" ht="12" hidden="1" customHeight="1">
      <c r="A195" s="68"/>
      <c r="B195" s="159" t="s">
        <v>107</v>
      </c>
      <c r="C195" s="76"/>
      <c r="D195" s="76"/>
      <c r="E195" s="76"/>
      <c r="F195" s="76"/>
      <c r="G195" s="76"/>
      <c r="H195" s="76"/>
      <c r="I195" s="76"/>
      <c r="J195" s="77"/>
      <c r="K195" s="77"/>
      <c r="L195" s="77"/>
      <c r="M195" s="77"/>
      <c r="N195" s="76"/>
      <c r="O195" s="77"/>
      <c r="P195" s="77"/>
      <c r="Q195" s="77"/>
      <c r="R195" s="77">
        <f t="shared" si="594"/>
        <v>6324</v>
      </c>
      <c r="S195" s="76">
        <v>6324</v>
      </c>
      <c r="T195" s="77">
        <v>8802</v>
      </c>
      <c r="U195" s="77">
        <v>7796</v>
      </c>
      <c r="V195" s="77">
        <v>7796</v>
      </c>
      <c r="W195" s="77">
        <f>X195</f>
        <v>8001</v>
      </c>
      <c r="X195" s="76">
        <v>8001</v>
      </c>
      <c r="Y195" s="77">
        <v>8931</v>
      </c>
      <c r="Z195" s="77">
        <v>9148</v>
      </c>
      <c r="AA195" s="77">
        <v>7045</v>
      </c>
      <c r="AB195" s="77">
        <f>AC195</f>
        <v>9167</v>
      </c>
      <c r="AC195" s="76">
        <v>9167</v>
      </c>
      <c r="AD195" s="77">
        <v>10521</v>
      </c>
      <c r="AE195" s="77">
        <v>11024</v>
      </c>
      <c r="AF195" s="77">
        <v>7650</v>
      </c>
      <c r="AG195" s="77">
        <f>AH195</f>
        <v>8864</v>
      </c>
      <c r="AH195" s="76">
        <v>8864</v>
      </c>
      <c r="AI195" s="77">
        <v>8907</v>
      </c>
      <c r="AJ195" s="77">
        <v>7957</v>
      </c>
      <c r="AK195" s="77">
        <v>7764</v>
      </c>
      <c r="AL195" s="77">
        <v>7746</v>
      </c>
      <c r="AM195" s="76">
        <f>AL195</f>
        <v>7746</v>
      </c>
      <c r="AN195" s="77">
        <v>8500</v>
      </c>
      <c r="AO195" s="77">
        <v>7500</v>
      </c>
      <c r="AP195" s="77">
        <v>8295</v>
      </c>
      <c r="AQ195" s="77">
        <v>9600</v>
      </c>
      <c r="AR195" s="76">
        <f>AQ195</f>
        <v>9600</v>
      </c>
      <c r="AS195" s="77">
        <v>9400</v>
      </c>
      <c r="AT195" s="77">
        <v>9400</v>
      </c>
      <c r="AU195" s="86">
        <v>9500</v>
      </c>
      <c r="AV195" s="77">
        <v>9100</v>
      </c>
      <c r="AW195" s="76">
        <f>AV195</f>
        <v>9100</v>
      </c>
      <c r="AX195" s="77">
        <v>10100</v>
      </c>
      <c r="AY195" s="77">
        <v>9900</v>
      </c>
      <c r="AZ195" s="77">
        <v>9700</v>
      </c>
      <c r="BA195" s="77">
        <v>9700</v>
      </c>
      <c r="BB195" s="76">
        <f>BA195</f>
        <v>9700</v>
      </c>
      <c r="BC195" s="77">
        <v>9600</v>
      </c>
      <c r="BD195" s="77">
        <v>10200</v>
      </c>
      <c r="BE195" s="77">
        <v>9900</v>
      </c>
      <c r="BF195" s="77">
        <v>9800</v>
      </c>
      <c r="BG195" s="76">
        <f>BF195</f>
        <v>9800</v>
      </c>
      <c r="BH195" s="77">
        <v>9400</v>
      </c>
      <c r="BI195" s="693">
        <v>9600</v>
      </c>
      <c r="BJ195" s="77">
        <v>8800</v>
      </c>
      <c r="BK195" s="77">
        <v>8900</v>
      </c>
      <c r="BL195" s="76">
        <f>BK195</f>
        <v>8900</v>
      </c>
      <c r="BM195" s="77">
        <v>9400</v>
      </c>
      <c r="BN195" s="693">
        <v>9100</v>
      </c>
      <c r="BO195" s="77">
        <v>8300</v>
      </c>
      <c r="BP195" s="77">
        <v>7400</v>
      </c>
      <c r="BQ195" s="76">
        <f>BP195</f>
        <v>7400</v>
      </c>
      <c r="BR195" s="886">
        <v>8000</v>
      </c>
      <c r="BS195" s="887">
        <v>6900</v>
      </c>
      <c r="BT195" s="886">
        <v>6500</v>
      </c>
      <c r="BU195" s="77">
        <v>5100</v>
      </c>
      <c r="BV195" s="76">
        <f>BU195</f>
        <v>5100</v>
      </c>
      <c r="BW195" s="886">
        <v>6000</v>
      </c>
      <c r="BX195" s="887">
        <v>4500</v>
      </c>
      <c r="BY195" s="887"/>
      <c r="BZ195" s="77"/>
      <c r="CA195" s="76">
        <f>BZ195</f>
        <v>0</v>
      </c>
      <c r="CB195" s="77"/>
      <c r="CC195" s="693"/>
      <c r="CD195" s="77"/>
      <c r="CE195" s="77"/>
      <c r="CF195" s="76">
        <f>CE195</f>
        <v>0</v>
      </c>
      <c r="CG195" s="693"/>
      <c r="CH195" s="693"/>
      <c r="CI195" s="693"/>
      <c r="CJ195" s="693"/>
      <c r="CK195" s="76">
        <f>CJ195</f>
        <v>0</v>
      </c>
      <c r="CL195" s="77"/>
      <c r="CM195" s="77"/>
      <c r="CN195" s="77"/>
      <c r="CO195" s="77"/>
      <c r="CP195" s="76">
        <f>CO195</f>
        <v>0</v>
      </c>
      <c r="CQ195" s="77"/>
      <c r="CR195" s="77"/>
      <c r="CS195" s="77"/>
      <c r="CT195" s="77"/>
      <c r="CU195" s="76">
        <f>CT195</f>
        <v>0</v>
      </c>
      <c r="CV195" s="77"/>
      <c r="CW195" s="77"/>
      <c r="CX195" s="77"/>
      <c r="CY195" s="77"/>
      <c r="CZ195" s="76">
        <f>CY195</f>
        <v>0</v>
      </c>
      <c r="DA195" s="77"/>
      <c r="DB195" s="77"/>
      <c r="DC195" s="77"/>
      <c r="DD195" s="77"/>
      <c r="DE195" s="76">
        <f>DD195</f>
        <v>0</v>
      </c>
      <c r="DF195" s="77"/>
      <c r="DG195" s="16"/>
      <c r="DH195" s="593"/>
      <c r="DI195" s="77"/>
      <c r="DJ195" s="76">
        <f>DI195</f>
        <v>0</v>
      </c>
      <c r="DK195" s="77"/>
      <c r="DL195" s="16"/>
      <c r="DM195" s="16"/>
      <c r="DN195" s="77"/>
      <c r="DO195" s="76">
        <f>DN195</f>
        <v>0</v>
      </c>
      <c r="DP195" s="77"/>
      <c r="DQ195" s="103"/>
      <c r="DS195" s="77"/>
      <c r="DT195" s="93"/>
      <c r="DU195" s="77"/>
      <c r="DX195" s="77"/>
      <c r="DY195" s="93"/>
      <c r="DZ195" s="93"/>
      <c r="EA195" s="93"/>
      <c r="EB195" s="93"/>
    </row>
    <row r="196" spans="1:132" s="105" customFormat="1" ht="12" hidden="1" customHeight="1">
      <c r="A196" s="68"/>
      <c r="B196" s="161" t="s">
        <v>108</v>
      </c>
      <c r="C196" s="87"/>
      <c r="D196" s="87"/>
      <c r="E196" s="87"/>
      <c r="F196" s="87"/>
      <c r="G196" s="87"/>
      <c r="H196" s="87"/>
      <c r="I196" s="87"/>
      <c r="J196" s="88"/>
      <c r="K196" s="88"/>
      <c r="L196" s="88"/>
      <c r="M196" s="88"/>
      <c r="N196" s="87"/>
      <c r="O196" s="88"/>
      <c r="P196" s="88"/>
      <c r="Q196" s="88"/>
      <c r="R196" s="88">
        <f t="shared" si="594"/>
        <v>8366</v>
      </c>
      <c r="S196" s="87">
        <v>8366</v>
      </c>
      <c r="T196" s="88">
        <v>8275</v>
      </c>
      <c r="U196" s="88">
        <v>8315</v>
      </c>
      <c r="V196" s="88">
        <v>8343</v>
      </c>
      <c r="W196" s="88">
        <f>X196</f>
        <v>9302</v>
      </c>
      <c r="X196" s="87">
        <v>9302</v>
      </c>
      <c r="Y196" s="88">
        <v>9802</v>
      </c>
      <c r="Z196" s="88">
        <v>9650</v>
      </c>
      <c r="AA196" s="88">
        <v>9427</v>
      </c>
      <c r="AB196" s="88">
        <f>AC196</f>
        <v>9664</v>
      </c>
      <c r="AC196" s="87">
        <v>9664</v>
      </c>
      <c r="AD196" s="88">
        <v>10841</v>
      </c>
      <c r="AE196" s="88">
        <v>10715</v>
      </c>
      <c r="AF196" s="88">
        <v>9799</v>
      </c>
      <c r="AG196" s="88">
        <f>AH196</f>
        <v>10566</v>
      </c>
      <c r="AH196" s="87">
        <v>10566</v>
      </c>
      <c r="AI196" s="88">
        <v>11631</v>
      </c>
      <c r="AJ196" s="88">
        <v>11716</v>
      </c>
      <c r="AK196" s="88">
        <v>11144</v>
      </c>
      <c r="AL196" s="88">
        <v>11967</v>
      </c>
      <c r="AM196" s="87">
        <f>AL196</f>
        <v>11967</v>
      </c>
      <c r="AN196" s="88">
        <v>12500</v>
      </c>
      <c r="AO196" s="88">
        <v>11900</v>
      </c>
      <c r="AP196" s="88">
        <v>12317</v>
      </c>
      <c r="AQ196" s="88">
        <v>13700</v>
      </c>
      <c r="AR196" s="87">
        <f>AQ196</f>
        <v>13700</v>
      </c>
      <c r="AS196" s="88">
        <v>13900</v>
      </c>
      <c r="AT196" s="88">
        <v>13000</v>
      </c>
      <c r="AU196" s="89">
        <v>12900</v>
      </c>
      <c r="AV196" s="88">
        <v>13200</v>
      </c>
      <c r="AW196" s="87">
        <f>AV196</f>
        <v>13200</v>
      </c>
      <c r="AX196" s="88">
        <v>14200</v>
      </c>
      <c r="AY196" s="88">
        <v>14600</v>
      </c>
      <c r="AZ196" s="88">
        <v>14100</v>
      </c>
      <c r="BA196" s="88">
        <v>15700</v>
      </c>
      <c r="BB196" s="87">
        <f>BA196</f>
        <v>15700</v>
      </c>
      <c r="BC196" s="88">
        <v>15400</v>
      </c>
      <c r="BD196" s="88">
        <v>14800</v>
      </c>
      <c r="BE196" s="88">
        <v>14600</v>
      </c>
      <c r="BF196" s="88">
        <v>15000</v>
      </c>
      <c r="BG196" s="87">
        <f>BF196</f>
        <v>15000</v>
      </c>
      <c r="BH196" s="88">
        <v>16100</v>
      </c>
      <c r="BI196" s="708">
        <v>16300</v>
      </c>
      <c r="BJ196" s="88">
        <v>15500</v>
      </c>
      <c r="BK196" s="88">
        <v>16900</v>
      </c>
      <c r="BL196" s="87">
        <f>BK196</f>
        <v>16900</v>
      </c>
      <c r="BM196" s="88">
        <v>16900</v>
      </c>
      <c r="BN196" s="708">
        <v>16500</v>
      </c>
      <c r="BO196" s="88">
        <v>16700</v>
      </c>
      <c r="BP196" s="88">
        <v>17800</v>
      </c>
      <c r="BQ196" s="87">
        <f>BP196</f>
        <v>17800</v>
      </c>
      <c r="BR196" s="890">
        <v>17100</v>
      </c>
      <c r="BS196" s="891">
        <v>16900</v>
      </c>
      <c r="BT196" s="890">
        <v>12800</v>
      </c>
      <c r="BU196" s="88">
        <v>15600</v>
      </c>
      <c r="BV196" s="87">
        <f>BU196</f>
        <v>15600</v>
      </c>
      <c r="BW196" s="890">
        <v>17000</v>
      </c>
      <c r="BX196" s="891">
        <v>17300</v>
      </c>
      <c r="BY196" s="891"/>
      <c r="BZ196" s="88"/>
      <c r="CA196" s="87">
        <f>BZ196</f>
        <v>0</v>
      </c>
      <c r="CB196" s="88"/>
      <c r="CC196" s="708"/>
      <c r="CD196" s="88"/>
      <c r="CE196" s="88"/>
      <c r="CF196" s="87">
        <f>CE196</f>
        <v>0</v>
      </c>
      <c r="CG196" s="708"/>
      <c r="CH196" s="708"/>
      <c r="CI196" s="708"/>
      <c r="CJ196" s="708"/>
      <c r="CK196" s="87">
        <f>CJ196</f>
        <v>0</v>
      </c>
      <c r="CL196" s="88"/>
      <c r="CM196" s="88"/>
      <c r="CN196" s="88"/>
      <c r="CO196" s="88"/>
      <c r="CP196" s="87">
        <f>CO196</f>
        <v>0</v>
      </c>
      <c r="CQ196" s="88"/>
      <c r="CR196" s="88"/>
      <c r="CS196" s="88"/>
      <c r="CT196" s="88"/>
      <c r="CU196" s="87">
        <f>CT196</f>
        <v>0</v>
      </c>
      <c r="CV196" s="88"/>
      <c r="CW196" s="88"/>
      <c r="CX196" s="88"/>
      <c r="CY196" s="88"/>
      <c r="CZ196" s="87">
        <f>CY196</f>
        <v>0</v>
      </c>
      <c r="DA196" s="88"/>
      <c r="DB196" s="88"/>
      <c r="DC196" s="88"/>
      <c r="DD196" s="88"/>
      <c r="DE196" s="87">
        <f>DD196</f>
        <v>0</v>
      </c>
      <c r="DF196" s="88"/>
      <c r="DG196" s="1052"/>
      <c r="DH196" s="1052"/>
      <c r="DI196" s="88"/>
      <c r="DJ196" s="87">
        <f>DI196</f>
        <v>0</v>
      </c>
      <c r="DK196" s="88"/>
      <c r="DL196" s="1052"/>
      <c r="DM196" s="1052"/>
      <c r="DN196" s="88"/>
      <c r="DO196" s="87">
        <f>DN196</f>
        <v>0</v>
      </c>
      <c r="DP196" s="88"/>
      <c r="DQ196" s="88"/>
      <c r="DR196" s="173"/>
      <c r="DS196" s="88"/>
      <c r="DT196" s="172"/>
      <c r="DU196" s="88"/>
      <c r="DV196" s="173"/>
      <c r="DW196" s="173"/>
      <c r="DX196" s="88"/>
      <c r="DY196" s="172"/>
      <c r="DZ196" s="172"/>
      <c r="EA196" s="172"/>
      <c r="EB196" s="172"/>
    </row>
    <row r="197" spans="1:132" s="105" customFormat="1" ht="12" hidden="1" customHeight="1">
      <c r="A197" s="68"/>
      <c r="B197" s="159" t="s">
        <v>130</v>
      </c>
      <c r="C197" s="76"/>
      <c r="D197" s="76"/>
      <c r="E197" s="76"/>
      <c r="F197" s="76"/>
      <c r="G197" s="76"/>
      <c r="H197" s="76"/>
      <c r="I197" s="76">
        <v>19352</v>
      </c>
      <c r="J197" s="77">
        <v>20185</v>
      </c>
      <c r="K197" s="77">
        <v>19661</v>
      </c>
      <c r="L197" s="77">
        <v>17692</v>
      </c>
      <c r="M197" s="77">
        <f>N197</f>
        <v>18256</v>
      </c>
      <c r="N197" s="76">
        <v>18256</v>
      </c>
      <c r="O197" s="77">
        <v>22227</v>
      </c>
      <c r="P197" s="77">
        <v>20609</v>
      </c>
      <c r="Q197" s="77">
        <v>18672</v>
      </c>
      <c r="R197" s="77">
        <f t="shared" si="594"/>
        <v>19161</v>
      </c>
      <c r="S197" s="76">
        <v>19161</v>
      </c>
      <c r="T197" s="77"/>
      <c r="U197" s="77"/>
      <c r="V197" s="77"/>
      <c r="W197" s="77"/>
      <c r="X197" s="76"/>
      <c r="Y197" s="77"/>
      <c r="Z197" s="77"/>
      <c r="AA197" s="77"/>
      <c r="AB197" s="77"/>
      <c r="AC197" s="76"/>
      <c r="AD197" s="77"/>
      <c r="AE197" s="77"/>
      <c r="AF197" s="77"/>
      <c r="AG197" s="77"/>
      <c r="AH197" s="76"/>
      <c r="AI197" s="77"/>
      <c r="AJ197" s="77"/>
      <c r="AK197" s="77"/>
      <c r="AL197" s="75"/>
      <c r="AM197" s="76"/>
      <c r="AN197" s="77"/>
      <c r="AO197" s="77"/>
      <c r="AP197" s="77"/>
      <c r="AQ197" s="75"/>
      <c r="AR197" s="76"/>
      <c r="AS197" s="77"/>
      <c r="AT197" s="77"/>
      <c r="AU197" s="77"/>
      <c r="AV197" s="75"/>
      <c r="AW197" s="76"/>
      <c r="AX197" s="77"/>
      <c r="AY197" s="77"/>
      <c r="AZ197" s="77"/>
      <c r="BA197" s="75"/>
      <c r="BB197" s="76"/>
      <c r="BC197" s="75"/>
      <c r="BD197" s="77"/>
      <c r="BE197" s="77"/>
      <c r="BF197" s="75"/>
      <c r="BG197" s="76"/>
      <c r="BH197" s="75"/>
      <c r="BI197" s="693"/>
      <c r="BJ197" s="77"/>
      <c r="BK197" s="75"/>
      <c r="BL197" s="76"/>
      <c r="BM197" s="75"/>
      <c r="BN197" s="693"/>
      <c r="BO197" s="77"/>
      <c r="BP197" s="75"/>
      <c r="BQ197" s="93"/>
      <c r="BR197" s="892"/>
      <c r="BS197" s="887"/>
      <c r="BT197" s="886"/>
      <c r="BU197" s="75"/>
      <c r="BV197" s="93"/>
      <c r="BW197" s="892"/>
      <c r="BX197" s="887"/>
      <c r="BY197" s="887"/>
      <c r="BZ197" s="75"/>
      <c r="CA197" s="93"/>
      <c r="CB197" s="75"/>
      <c r="CC197" s="693"/>
      <c r="CD197" s="77"/>
      <c r="CE197" s="75"/>
      <c r="CF197" s="93"/>
      <c r="CG197" s="693"/>
      <c r="CH197" s="693"/>
      <c r="CI197" s="693"/>
      <c r="CJ197" s="693"/>
      <c r="CK197" s="93"/>
      <c r="CL197" s="75"/>
      <c r="CM197" s="75"/>
      <c r="CN197" s="75"/>
      <c r="CO197" s="75"/>
      <c r="CP197" s="93"/>
      <c r="CQ197" s="75"/>
      <c r="CR197" s="75"/>
      <c r="CS197" s="75"/>
      <c r="CT197" s="75"/>
      <c r="CU197" s="93"/>
      <c r="CV197" s="75"/>
      <c r="CW197" s="75"/>
      <c r="CX197" s="75"/>
      <c r="CY197" s="75"/>
      <c r="CZ197" s="93"/>
      <c r="DA197" s="75"/>
      <c r="DB197" s="75"/>
      <c r="DC197" s="75"/>
      <c r="DD197" s="75"/>
      <c r="DE197" s="93"/>
      <c r="DF197" s="75"/>
      <c r="DG197" s="615"/>
      <c r="DH197" s="278"/>
      <c r="DI197" s="75"/>
      <c r="DJ197" s="93"/>
      <c r="DK197" s="75"/>
      <c r="DL197" s="615"/>
      <c r="DM197" s="615"/>
      <c r="DN197" s="75"/>
      <c r="DO197" s="93"/>
      <c r="DP197" s="75"/>
      <c r="DS197" s="75"/>
      <c r="DT197" s="93"/>
      <c r="DU197" s="75"/>
      <c r="DX197" s="75"/>
      <c r="DY197" s="93"/>
      <c r="DZ197" s="93"/>
      <c r="EA197" s="93"/>
      <c r="EB197" s="93"/>
    </row>
    <row r="198" spans="1:132" s="105" customFormat="1" ht="12" hidden="1" customHeight="1">
      <c r="A198" s="68"/>
      <c r="B198" s="159" t="s">
        <v>131</v>
      </c>
      <c r="C198" s="76"/>
      <c r="D198" s="76"/>
      <c r="E198" s="76"/>
      <c r="F198" s="76"/>
      <c r="G198" s="76"/>
      <c r="H198" s="76"/>
      <c r="I198" s="76">
        <v>11715</v>
      </c>
      <c r="J198" s="77">
        <v>11405</v>
      </c>
      <c r="K198" s="77">
        <v>12266</v>
      </c>
      <c r="L198" s="77">
        <v>9884</v>
      </c>
      <c r="M198" s="77">
        <f>N198</f>
        <v>10190</v>
      </c>
      <c r="N198" s="76">
        <v>10190</v>
      </c>
      <c r="O198" s="77">
        <v>10549</v>
      </c>
      <c r="P198" s="77">
        <v>9459</v>
      </c>
      <c r="Q198" s="77">
        <v>7042</v>
      </c>
      <c r="R198" s="77">
        <f t="shared" si="594"/>
        <v>6228</v>
      </c>
      <c r="S198" s="76">
        <v>6228</v>
      </c>
      <c r="T198" s="77"/>
      <c r="U198" s="77"/>
      <c r="V198" s="77"/>
      <c r="W198" s="77"/>
      <c r="X198" s="76"/>
      <c r="Y198" s="77"/>
      <c r="Z198" s="77"/>
      <c r="AA198" s="77"/>
      <c r="AB198" s="77"/>
      <c r="AC198" s="76"/>
      <c r="AD198" s="77"/>
      <c r="AE198" s="77"/>
      <c r="AF198" s="77"/>
      <c r="AG198" s="77"/>
      <c r="AH198" s="76"/>
      <c r="AI198" s="77"/>
      <c r="AJ198" s="77"/>
      <c r="AK198" s="77"/>
      <c r="AL198" s="75"/>
      <c r="AM198" s="76"/>
      <c r="AN198" s="77"/>
      <c r="AO198" s="77"/>
      <c r="AP198" s="77"/>
      <c r="AQ198" s="75"/>
      <c r="AR198" s="76"/>
      <c r="AS198" s="77"/>
      <c r="AT198" s="77"/>
      <c r="AU198" s="77"/>
      <c r="AV198" s="75"/>
      <c r="AW198" s="76"/>
      <c r="AX198" s="77"/>
      <c r="AY198" s="77"/>
      <c r="AZ198" s="77"/>
      <c r="BA198" s="75"/>
      <c r="BB198" s="76"/>
      <c r="BC198" s="75"/>
      <c r="BD198" s="77"/>
      <c r="BE198" s="77"/>
      <c r="BF198" s="75"/>
      <c r="BG198" s="93"/>
      <c r="BH198" s="75"/>
      <c r="BI198" s="693"/>
      <c r="BJ198" s="77"/>
      <c r="BK198" s="75"/>
      <c r="BL198" s="93"/>
      <c r="BM198" s="75"/>
      <c r="BN198" s="693"/>
      <c r="BO198" s="77"/>
      <c r="BP198" s="75"/>
      <c r="BQ198" s="93"/>
      <c r="BR198" s="892"/>
      <c r="BS198" s="887"/>
      <c r="BT198" s="886"/>
      <c r="BU198" s="75"/>
      <c r="BV198" s="93"/>
      <c r="BW198" s="892"/>
      <c r="BX198" s="887"/>
      <c r="BY198" s="887"/>
      <c r="BZ198" s="75"/>
      <c r="CA198" s="93"/>
      <c r="CB198" s="75"/>
      <c r="CC198" s="693"/>
      <c r="CD198" s="77"/>
      <c r="CE198" s="75"/>
      <c r="CF198" s="93"/>
      <c r="CG198" s="693"/>
      <c r="CH198" s="693"/>
      <c r="CI198" s="693"/>
      <c r="CJ198" s="693"/>
      <c r="CK198" s="93"/>
      <c r="CL198" s="75"/>
      <c r="CM198" s="75"/>
      <c r="CN198" s="75"/>
      <c r="CO198" s="75"/>
      <c r="CP198" s="93"/>
      <c r="CQ198" s="75"/>
      <c r="CR198" s="75"/>
      <c r="CS198" s="75"/>
      <c r="CT198" s="75"/>
      <c r="CU198" s="93"/>
      <c r="CV198" s="75"/>
      <c r="CW198" s="75"/>
      <c r="CX198" s="75"/>
      <c r="CY198" s="75"/>
      <c r="CZ198" s="93"/>
      <c r="DA198" s="75"/>
      <c r="DB198" s="75"/>
      <c r="DC198" s="75"/>
      <c r="DD198" s="75"/>
      <c r="DE198" s="93"/>
      <c r="DF198" s="75"/>
      <c r="DG198" s="615"/>
      <c r="DH198" s="278"/>
      <c r="DI198" s="75"/>
      <c r="DJ198" s="93"/>
      <c r="DK198" s="75"/>
      <c r="DL198" s="615"/>
      <c r="DM198" s="615"/>
      <c r="DN198" s="75"/>
      <c r="DO198" s="93"/>
      <c r="DP198" s="75"/>
      <c r="DS198" s="75"/>
      <c r="DT198" s="93"/>
      <c r="DU198" s="75"/>
      <c r="DX198" s="75"/>
      <c r="DY198" s="93"/>
      <c r="DZ198" s="93"/>
      <c r="EA198" s="93"/>
      <c r="EB198" s="93"/>
    </row>
    <row r="199" spans="1:132" s="105" customFormat="1" ht="12" hidden="1" customHeight="1">
      <c r="A199" s="68"/>
      <c r="B199" s="159" t="s">
        <v>125</v>
      </c>
      <c r="C199" s="76"/>
      <c r="D199" s="76"/>
      <c r="E199" s="76"/>
      <c r="F199" s="76"/>
      <c r="G199" s="76"/>
      <c r="H199" s="76"/>
      <c r="I199" s="76">
        <v>5882</v>
      </c>
      <c r="J199" s="77">
        <v>6456</v>
      </c>
      <c r="K199" s="77">
        <v>6143</v>
      </c>
      <c r="L199" s="77">
        <v>5665</v>
      </c>
      <c r="M199" s="77">
        <f>N199</f>
        <v>6505</v>
      </c>
      <c r="N199" s="76">
        <v>6505</v>
      </c>
      <c r="O199" s="77">
        <v>6726</v>
      </c>
      <c r="P199" s="77">
        <v>6845</v>
      </c>
      <c r="Q199" s="77">
        <v>6015</v>
      </c>
      <c r="R199" s="77">
        <f t="shared" si="594"/>
        <v>8366</v>
      </c>
      <c r="S199" s="76">
        <v>8366</v>
      </c>
      <c r="T199" s="77"/>
      <c r="U199" s="77"/>
      <c r="V199" s="77"/>
      <c r="W199" s="77"/>
      <c r="X199" s="76"/>
      <c r="Y199" s="77"/>
      <c r="Z199" s="77"/>
      <c r="AA199" s="77"/>
      <c r="AB199" s="77"/>
      <c r="AC199" s="76"/>
      <c r="AD199" s="77"/>
      <c r="AE199" s="77"/>
      <c r="AF199" s="77"/>
      <c r="AG199" s="77"/>
      <c r="AH199" s="76"/>
      <c r="AI199" s="77"/>
      <c r="AJ199" s="77"/>
      <c r="AK199" s="77"/>
      <c r="AL199" s="75"/>
      <c r="AM199" s="76"/>
      <c r="AN199" s="77"/>
      <c r="AO199" s="77"/>
      <c r="AP199" s="77"/>
      <c r="AQ199" s="75"/>
      <c r="AR199" s="76"/>
      <c r="AS199" s="77"/>
      <c r="AT199" s="77"/>
      <c r="AU199" s="77"/>
      <c r="AV199" s="75"/>
      <c r="AW199" s="76"/>
      <c r="AX199" s="77"/>
      <c r="AY199" s="77"/>
      <c r="AZ199" s="77"/>
      <c r="BA199" s="75"/>
      <c r="BB199" s="76"/>
      <c r="BC199" s="75"/>
      <c r="BD199" s="77"/>
      <c r="BE199" s="77"/>
      <c r="BF199" s="75"/>
      <c r="BG199" s="93"/>
      <c r="BH199" s="75"/>
      <c r="BI199" s="693"/>
      <c r="BJ199" s="77"/>
      <c r="BK199" s="75"/>
      <c r="BL199" s="93"/>
      <c r="BM199" s="75"/>
      <c r="BN199" s="693"/>
      <c r="BO199" s="77"/>
      <c r="BP199" s="75"/>
      <c r="BQ199" s="93"/>
      <c r="BR199" s="892"/>
      <c r="BS199" s="887"/>
      <c r="BT199" s="886"/>
      <c r="BU199" s="75"/>
      <c r="BV199" s="93"/>
      <c r="BW199" s="892"/>
      <c r="BX199" s="887"/>
      <c r="BY199" s="887"/>
      <c r="BZ199" s="75"/>
      <c r="CA199" s="93"/>
      <c r="CB199" s="75"/>
      <c r="CC199" s="693"/>
      <c r="CD199" s="77"/>
      <c r="CE199" s="75"/>
      <c r="CF199" s="93"/>
      <c r="CG199" s="693"/>
      <c r="CH199" s="693"/>
      <c r="CI199" s="693"/>
      <c r="CJ199" s="693"/>
      <c r="CK199" s="93"/>
      <c r="CL199" s="75"/>
      <c r="CM199" s="75"/>
      <c r="CN199" s="75"/>
      <c r="CO199" s="75"/>
      <c r="CP199" s="93"/>
      <c r="CQ199" s="75"/>
      <c r="CR199" s="75"/>
      <c r="CS199" s="75"/>
      <c r="CT199" s="75"/>
      <c r="CU199" s="93"/>
      <c r="CV199" s="75"/>
      <c r="CW199" s="75"/>
      <c r="CX199" s="75"/>
      <c r="CY199" s="75"/>
      <c r="CZ199" s="93"/>
      <c r="DA199" s="75"/>
      <c r="DB199" s="75"/>
      <c r="DC199" s="75"/>
      <c r="DD199" s="75"/>
      <c r="DE199" s="93"/>
      <c r="DF199" s="75"/>
      <c r="DG199" s="615"/>
      <c r="DH199" s="278"/>
      <c r="DI199" s="75"/>
      <c r="DJ199" s="93"/>
      <c r="DK199" s="75"/>
      <c r="DL199" s="615"/>
      <c r="DM199" s="615"/>
      <c r="DN199" s="75"/>
      <c r="DO199" s="93"/>
      <c r="DP199" s="75"/>
      <c r="DS199" s="75"/>
      <c r="DT199" s="93"/>
      <c r="DU199" s="75"/>
      <c r="DX199" s="75"/>
      <c r="DY199" s="93"/>
      <c r="DZ199" s="93"/>
      <c r="EA199" s="93"/>
      <c r="EB199" s="93"/>
    </row>
    <row r="200" spans="1:132" s="105" customFormat="1" ht="12" hidden="1" customHeight="1">
      <c r="A200" s="68"/>
      <c r="B200" s="161" t="s">
        <v>132</v>
      </c>
      <c r="C200" s="87"/>
      <c r="D200" s="87"/>
      <c r="E200" s="87"/>
      <c r="F200" s="87"/>
      <c r="G200" s="87"/>
      <c r="H200" s="87"/>
      <c r="I200" s="87">
        <v>3934</v>
      </c>
      <c r="J200" s="88">
        <v>3533</v>
      </c>
      <c r="K200" s="88">
        <v>3101</v>
      </c>
      <c r="L200" s="88">
        <v>4227</v>
      </c>
      <c r="M200" s="88">
        <f>N200</f>
        <v>4200</v>
      </c>
      <c r="N200" s="87">
        <v>4200</v>
      </c>
      <c r="O200" s="88">
        <v>4339</v>
      </c>
      <c r="P200" s="88">
        <v>4031</v>
      </c>
      <c r="Q200" s="88">
        <v>3637</v>
      </c>
      <c r="R200" s="88">
        <f t="shared" si="594"/>
        <v>2586</v>
      </c>
      <c r="S200" s="87">
        <v>2586</v>
      </c>
      <c r="T200" s="88"/>
      <c r="U200" s="88"/>
      <c r="V200" s="88"/>
      <c r="W200" s="88"/>
      <c r="X200" s="87"/>
      <c r="Y200" s="88"/>
      <c r="Z200" s="88"/>
      <c r="AA200" s="88"/>
      <c r="AB200" s="88"/>
      <c r="AC200" s="87"/>
      <c r="AD200" s="88"/>
      <c r="AE200" s="88"/>
      <c r="AF200" s="88"/>
      <c r="AG200" s="89"/>
      <c r="AH200" s="87"/>
      <c r="AI200" s="88"/>
      <c r="AJ200" s="88"/>
      <c r="AK200" s="88"/>
      <c r="AL200" s="173"/>
      <c r="AM200" s="87"/>
      <c r="AN200" s="88"/>
      <c r="AO200" s="88"/>
      <c r="AP200" s="88"/>
      <c r="AQ200" s="173"/>
      <c r="AR200" s="87"/>
      <c r="AS200" s="88"/>
      <c r="AT200" s="88"/>
      <c r="AU200" s="88"/>
      <c r="AV200" s="173"/>
      <c r="AW200" s="87"/>
      <c r="AX200" s="88"/>
      <c r="AY200" s="88"/>
      <c r="AZ200" s="88"/>
      <c r="BA200" s="173"/>
      <c r="BB200" s="87"/>
      <c r="BC200" s="173"/>
      <c r="BD200" s="88"/>
      <c r="BE200" s="88"/>
      <c r="BF200" s="173"/>
      <c r="BG200" s="172"/>
      <c r="BH200" s="173"/>
      <c r="BI200" s="708"/>
      <c r="BJ200" s="88"/>
      <c r="BK200" s="173"/>
      <c r="BL200" s="172"/>
      <c r="BM200" s="173"/>
      <c r="BN200" s="708"/>
      <c r="BO200" s="88"/>
      <c r="BP200" s="173"/>
      <c r="BQ200" s="172"/>
      <c r="BR200" s="893"/>
      <c r="BS200" s="891"/>
      <c r="BT200" s="890"/>
      <c r="BU200" s="173"/>
      <c r="BV200" s="172"/>
      <c r="BW200" s="893"/>
      <c r="BX200" s="891"/>
      <c r="BY200" s="891"/>
      <c r="BZ200" s="173"/>
      <c r="CA200" s="172"/>
      <c r="CB200" s="173"/>
      <c r="CC200" s="708"/>
      <c r="CD200" s="88"/>
      <c r="CE200" s="173"/>
      <c r="CF200" s="172"/>
      <c r="CG200" s="708"/>
      <c r="CH200" s="708"/>
      <c r="CI200" s="708"/>
      <c r="CJ200" s="708"/>
      <c r="CK200" s="172"/>
      <c r="CL200" s="173"/>
      <c r="CM200" s="173"/>
      <c r="CN200" s="173"/>
      <c r="CO200" s="173"/>
      <c r="CP200" s="172"/>
      <c r="CQ200" s="173"/>
      <c r="CR200" s="173"/>
      <c r="CS200" s="173"/>
      <c r="CT200" s="173"/>
      <c r="CU200" s="172"/>
      <c r="CV200" s="173"/>
      <c r="CW200" s="173"/>
      <c r="CX200" s="173"/>
      <c r="CY200" s="173"/>
      <c r="CZ200" s="172"/>
      <c r="DA200" s="173"/>
      <c r="DB200" s="173"/>
      <c r="DC200" s="173"/>
      <c r="DD200" s="173"/>
      <c r="DE200" s="172"/>
      <c r="DF200" s="173"/>
      <c r="DG200" s="1053"/>
      <c r="DH200" s="1053"/>
      <c r="DI200" s="173"/>
      <c r="DJ200" s="172"/>
      <c r="DK200" s="173"/>
      <c r="DL200" s="1053"/>
      <c r="DM200" s="1053"/>
      <c r="DN200" s="173"/>
      <c r="DO200" s="172"/>
      <c r="DP200" s="173"/>
      <c r="DQ200" s="173"/>
      <c r="DR200" s="173"/>
      <c r="DS200" s="173"/>
      <c r="DT200" s="172"/>
      <c r="DU200" s="173"/>
      <c r="DV200" s="173"/>
      <c r="DW200" s="173"/>
      <c r="DX200" s="173"/>
      <c r="DY200" s="172"/>
      <c r="DZ200" s="172"/>
      <c r="EA200" s="172"/>
      <c r="EB200" s="172"/>
    </row>
    <row r="201" spans="1:132" s="105" customFormat="1" ht="12" hidden="1" customHeight="1">
      <c r="A201" s="68"/>
      <c r="B201" s="159" t="s">
        <v>133</v>
      </c>
      <c r="C201" s="76"/>
      <c r="D201" s="76">
        <v>17007</v>
      </c>
      <c r="E201" s="76">
        <v>15691</v>
      </c>
      <c r="F201" s="76">
        <v>17113</v>
      </c>
      <c r="G201" s="76">
        <v>17630</v>
      </c>
      <c r="H201" s="76">
        <v>21073</v>
      </c>
      <c r="I201" s="76"/>
      <c r="J201" s="77"/>
      <c r="K201" s="77"/>
      <c r="L201" s="77"/>
      <c r="M201" s="77"/>
      <c r="N201" s="76"/>
      <c r="O201" s="77"/>
      <c r="P201" s="77"/>
      <c r="Q201" s="77"/>
      <c r="R201" s="77"/>
      <c r="S201" s="76"/>
      <c r="T201" s="77"/>
      <c r="U201" s="77"/>
      <c r="V201" s="77"/>
      <c r="W201" s="77"/>
      <c r="X201" s="76"/>
      <c r="Y201" s="77"/>
      <c r="Z201" s="77"/>
      <c r="AA201" s="77"/>
      <c r="AB201" s="77"/>
      <c r="AC201" s="76"/>
      <c r="AD201" s="77"/>
      <c r="AE201" s="77"/>
      <c r="AF201" s="77"/>
      <c r="AG201" s="77"/>
      <c r="AH201" s="76"/>
      <c r="AI201" s="77"/>
      <c r="AJ201" s="77"/>
      <c r="AK201" s="77"/>
      <c r="AL201" s="75"/>
      <c r="AM201" s="76"/>
      <c r="AN201" s="77"/>
      <c r="AO201" s="77"/>
      <c r="AP201" s="77"/>
      <c r="AQ201" s="75"/>
      <c r="AR201" s="76"/>
      <c r="AS201" s="77"/>
      <c r="AT201" s="77"/>
      <c r="AU201" s="77"/>
      <c r="AV201" s="75"/>
      <c r="AW201" s="76"/>
      <c r="AX201" s="77"/>
      <c r="AY201" s="77"/>
      <c r="AZ201" s="77"/>
      <c r="BA201" s="75"/>
      <c r="BB201" s="76"/>
      <c r="BC201" s="75"/>
      <c r="BD201" s="77"/>
      <c r="BE201" s="77"/>
      <c r="BF201" s="75"/>
      <c r="BG201" s="93"/>
      <c r="BH201" s="75"/>
      <c r="BI201" s="693"/>
      <c r="BJ201" s="77"/>
      <c r="BK201" s="75"/>
      <c r="BL201" s="93"/>
      <c r="BM201" s="75"/>
      <c r="BN201" s="693"/>
      <c r="BO201" s="77"/>
      <c r="BP201" s="75"/>
      <c r="BQ201" s="93"/>
      <c r="BR201" s="892"/>
      <c r="BS201" s="887"/>
      <c r="BT201" s="886"/>
      <c r="BU201" s="75"/>
      <c r="BV201" s="93"/>
      <c r="BW201" s="892"/>
      <c r="BX201" s="887"/>
      <c r="BY201" s="887"/>
      <c r="BZ201" s="75"/>
      <c r="CA201" s="93"/>
      <c r="CB201" s="75"/>
      <c r="CC201" s="693"/>
      <c r="CD201" s="77"/>
      <c r="CE201" s="75"/>
      <c r="CF201" s="93"/>
      <c r="CG201" s="693"/>
      <c r="CH201" s="693"/>
      <c r="CI201" s="693"/>
      <c r="CJ201" s="693"/>
      <c r="CK201" s="93"/>
      <c r="CL201" s="75"/>
      <c r="CM201" s="75"/>
      <c r="CN201" s="75"/>
      <c r="CO201" s="75"/>
      <c r="CP201" s="93"/>
      <c r="CQ201" s="75"/>
      <c r="CR201" s="75"/>
      <c r="CS201" s="75"/>
      <c r="CT201" s="75"/>
      <c r="CU201" s="93"/>
      <c r="CV201" s="75"/>
      <c r="CW201" s="75"/>
      <c r="CX201" s="75"/>
      <c r="CY201" s="75"/>
      <c r="CZ201" s="93"/>
      <c r="DA201" s="75"/>
      <c r="DB201" s="75"/>
      <c r="DC201" s="75"/>
      <c r="DD201" s="75"/>
      <c r="DE201" s="93"/>
      <c r="DF201" s="75"/>
      <c r="DG201" s="615"/>
      <c r="DH201" s="278"/>
      <c r="DI201" s="75"/>
      <c r="DJ201" s="93"/>
      <c r="DK201" s="75"/>
      <c r="DL201" s="615"/>
      <c r="DM201" s="615"/>
      <c r="DN201" s="75"/>
      <c r="DO201" s="93"/>
      <c r="DP201" s="75"/>
      <c r="DS201" s="75"/>
      <c r="DT201" s="93"/>
      <c r="DU201" s="75"/>
      <c r="DX201" s="75"/>
      <c r="DY201" s="93"/>
      <c r="DZ201" s="93"/>
      <c r="EA201" s="93"/>
      <c r="EB201" s="93"/>
    </row>
    <row r="202" spans="1:132" s="105" customFormat="1" ht="12" hidden="1" customHeight="1">
      <c r="A202" s="68"/>
      <c r="B202" s="161" t="s">
        <v>134</v>
      </c>
      <c r="C202" s="87"/>
      <c r="D202" s="87">
        <v>9832</v>
      </c>
      <c r="E202" s="87">
        <v>10585</v>
      </c>
      <c r="F202" s="87">
        <v>13707</v>
      </c>
      <c r="G202" s="87">
        <v>13111</v>
      </c>
      <c r="H202" s="87">
        <v>14941</v>
      </c>
      <c r="I202" s="87"/>
      <c r="J202" s="88"/>
      <c r="K202" s="88"/>
      <c r="L202" s="88"/>
      <c r="M202" s="88"/>
      <c r="N202" s="87"/>
      <c r="O202" s="88"/>
      <c r="P202" s="88"/>
      <c r="Q202" s="88"/>
      <c r="R202" s="88"/>
      <c r="S202" s="87"/>
      <c r="T202" s="88"/>
      <c r="U202" s="88"/>
      <c r="V202" s="88"/>
      <c r="W202" s="88"/>
      <c r="X202" s="87"/>
      <c r="Y202" s="88"/>
      <c r="Z202" s="88"/>
      <c r="AA202" s="88"/>
      <c r="AB202" s="88"/>
      <c r="AC202" s="87"/>
      <c r="AD202" s="88"/>
      <c r="AE202" s="88"/>
      <c r="AF202" s="88"/>
      <c r="AG202" s="88"/>
      <c r="AH202" s="87"/>
      <c r="AI202" s="88"/>
      <c r="AJ202" s="88"/>
      <c r="AK202" s="88"/>
      <c r="AL202" s="173"/>
      <c r="AM202" s="87"/>
      <c r="AN202" s="88"/>
      <c r="AO202" s="88"/>
      <c r="AP202" s="88"/>
      <c r="AQ202" s="173"/>
      <c r="AR202" s="87"/>
      <c r="AS202" s="88"/>
      <c r="AT202" s="88"/>
      <c r="AU202" s="88"/>
      <c r="AV202" s="173"/>
      <c r="AW202" s="87"/>
      <c r="AX202" s="88"/>
      <c r="AY202" s="88"/>
      <c r="AZ202" s="88"/>
      <c r="BA202" s="173"/>
      <c r="BB202" s="87"/>
      <c r="BC202" s="173"/>
      <c r="BD202" s="88"/>
      <c r="BE202" s="88"/>
      <c r="BF202" s="173"/>
      <c r="BG202" s="172"/>
      <c r="BH202" s="173"/>
      <c r="BI202" s="708"/>
      <c r="BJ202" s="88"/>
      <c r="BK202" s="173"/>
      <c r="BL202" s="172"/>
      <c r="BM202" s="173"/>
      <c r="BN202" s="708"/>
      <c r="BO202" s="88"/>
      <c r="BP202" s="173"/>
      <c r="BQ202" s="172"/>
      <c r="BR202" s="893"/>
      <c r="BS202" s="891"/>
      <c r="BT202" s="890"/>
      <c r="BU202" s="173"/>
      <c r="BV202" s="172"/>
      <c r="BW202" s="893"/>
      <c r="BX202" s="891"/>
      <c r="BY202" s="891"/>
      <c r="BZ202" s="173"/>
      <c r="CA202" s="172"/>
      <c r="CB202" s="173"/>
      <c r="CC202" s="708"/>
      <c r="CD202" s="88"/>
      <c r="CE202" s="173"/>
      <c r="CF202" s="172"/>
      <c r="CG202" s="708"/>
      <c r="CH202" s="708"/>
      <c r="CI202" s="708"/>
      <c r="CJ202" s="708"/>
      <c r="CK202" s="172"/>
      <c r="CL202" s="173"/>
      <c r="CM202" s="173"/>
      <c r="CN202" s="173"/>
      <c r="CO202" s="173"/>
      <c r="CP202" s="172"/>
      <c r="CQ202" s="173"/>
      <c r="CR202" s="173"/>
      <c r="CS202" s="173"/>
      <c r="CT202" s="173"/>
      <c r="CU202" s="172"/>
      <c r="CV202" s="173"/>
      <c r="CW202" s="173"/>
      <c r="CX202" s="173"/>
      <c r="CY202" s="173"/>
      <c r="CZ202" s="172"/>
      <c r="DA202" s="173"/>
      <c r="DB202" s="173"/>
      <c r="DC202" s="173"/>
      <c r="DD202" s="173"/>
      <c r="DE202" s="172"/>
      <c r="DF202" s="173"/>
      <c r="DG202" s="1053"/>
      <c r="DH202" s="1053"/>
      <c r="DI202" s="173"/>
      <c r="DJ202" s="172"/>
      <c r="DK202" s="173"/>
      <c r="DL202" s="1053"/>
      <c r="DM202" s="1053"/>
      <c r="DN202" s="173"/>
      <c r="DO202" s="172"/>
      <c r="DP202" s="173"/>
      <c r="DQ202" s="173"/>
      <c r="DR202" s="173"/>
      <c r="DS202" s="173"/>
      <c r="DT202" s="172"/>
      <c r="DU202" s="173"/>
      <c r="DV202" s="173"/>
      <c r="DW202" s="173"/>
      <c r="DX202" s="173"/>
      <c r="DY202" s="172"/>
      <c r="DZ202" s="172"/>
      <c r="EA202" s="172"/>
      <c r="EB202" s="172"/>
    </row>
    <row r="203" spans="1:132" s="105" customFormat="1" ht="12" customHeight="1">
      <c r="A203" s="68"/>
      <c r="B203" s="68" t="s">
        <v>391</v>
      </c>
      <c r="C203" s="76">
        <v>27852</v>
      </c>
      <c r="D203" s="76">
        <f>SUM(D201:D202)</f>
        <v>26839</v>
      </c>
      <c r="E203" s="76">
        <f>SUM(E201:E202)</f>
        <v>26276</v>
      </c>
      <c r="F203" s="76">
        <f>SUM(F201:F202)</f>
        <v>30820</v>
      </c>
      <c r="G203" s="76">
        <f>SUM(G201:G202)</f>
        <v>30741</v>
      </c>
      <c r="H203" s="76">
        <f>SUM(H201:H202)</f>
        <v>36014</v>
      </c>
      <c r="I203" s="76">
        <f>SUM(I197:I200)</f>
        <v>40883</v>
      </c>
      <c r="J203" s="77">
        <f>SUM(J197:J200)</f>
        <v>41579</v>
      </c>
      <c r="K203" s="77">
        <f>SUM(K197:K200)</f>
        <v>41171</v>
      </c>
      <c r="L203" s="77">
        <f>SUM(L197:L200)</f>
        <v>37468</v>
      </c>
      <c r="M203" s="77">
        <f>N203</f>
        <v>39151</v>
      </c>
      <c r="N203" s="76">
        <f>SUM(N197:N200)</f>
        <v>39151</v>
      </c>
      <c r="O203" s="77">
        <f>SUM(O197:O200)</f>
        <v>43841</v>
      </c>
      <c r="P203" s="77">
        <f>SUM(P197:P200)</f>
        <v>40944</v>
      </c>
      <c r="Q203" s="77">
        <f>SUM(Q197:Q200)</f>
        <v>35366</v>
      </c>
      <c r="R203" s="77">
        <f>S203</f>
        <v>36341</v>
      </c>
      <c r="S203" s="76">
        <f>SUM(S197:S200)</f>
        <v>36341</v>
      </c>
      <c r="T203" s="77">
        <f>T194+T195+T196</f>
        <v>42251</v>
      </c>
      <c r="U203" s="77">
        <f t="shared" ref="U203:AM203" si="595">U194+U195+U196</f>
        <v>38783</v>
      </c>
      <c r="V203" s="77">
        <f t="shared" si="595"/>
        <v>36119</v>
      </c>
      <c r="W203" s="77">
        <f t="shared" si="595"/>
        <v>42291</v>
      </c>
      <c r="X203" s="76">
        <f t="shared" si="595"/>
        <v>42291</v>
      </c>
      <c r="Y203" s="77">
        <f t="shared" si="595"/>
        <v>41771</v>
      </c>
      <c r="Z203" s="77">
        <f t="shared" si="595"/>
        <v>40486</v>
      </c>
      <c r="AA203" s="77">
        <f t="shared" si="595"/>
        <v>38530</v>
      </c>
      <c r="AB203" s="77">
        <f t="shared" si="595"/>
        <v>41788</v>
      </c>
      <c r="AC203" s="76">
        <f t="shared" si="595"/>
        <v>41788</v>
      </c>
      <c r="AD203" s="77">
        <f t="shared" si="595"/>
        <v>44431</v>
      </c>
      <c r="AE203" s="77">
        <f t="shared" si="595"/>
        <v>45562</v>
      </c>
      <c r="AF203" s="77">
        <f t="shared" si="595"/>
        <v>41400</v>
      </c>
      <c r="AG203" s="77">
        <f t="shared" si="595"/>
        <v>45285</v>
      </c>
      <c r="AH203" s="76">
        <f t="shared" si="595"/>
        <v>45285</v>
      </c>
      <c r="AI203" s="77">
        <f t="shared" si="595"/>
        <v>48695</v>
      </c>
      <c r="AJ203" s="77">
        <f t="shared" si="595"/>
        <v>47830</v>
      </c>
      <c r="AK203" s="77">
        <f t="shared" si="595"/>
        <v>45020</v>
      </c>
      <c r="AL203" s="77">
        <f t="shared" si="595"/>
        <v>46024</v>
      </c>
      <c r="AM203" s="76">
        <f t="shared" si="595"/>
        <v>46024</v>
      </c>
      <c r="AN203" s="77">
        <f>AN194+AN195+AN196</f>
        <v>48500</v>
      </c>
      <c r="AO203" s="77">
        <v>46000</v>
      </c>
      <c r="AP203" s="77">
        <v>46295</v>
      </c>
      <c r="AQ203" s="77">
        <v>48400</v>
      </c>
      <c r="AR203" s="76">
        <f>AR194+AR195+AR196</f>
        <v>48400</v>
      </c>
      <c r="AS203" s="77">
        <v>48400</v>
      </c>
      <c r="AT203" s="77">
        <f t="shared" ref="AT203:AZ203" si="596">AT194+AT195+AT196</f>
        <v>48100</v>
      </c>
      <c r="AU203" s="77">
        <f t="shared" si="596"/>
        <v>46600</v>
      </c>
      <c r="AV203" s="77">
        <f t="shared" si="596"/>
        <v>46400</v>
      </c>
      <c r="AW203" s="76">
        <f t="shared" si="596"/>
        <v>46400</v>
      </c>
      <c r="AX203" s="77">
        <f t="shared" si="596"/>
        <v>53300</v>
      </c>
      <c r="AY203" s="77">
        <f t="shared" si="596"/>
        <v>54200</v>
      </c>
      <c r="AZ203" s="77">
        <f t="shared" si="596"/>
        <v>52300</v>
      </c>
      <c r="BA203" s="77">
        <f t="shared" ref="BA203:BX203" si="597">BA194+BA195+BA196</f>
        <v>55100</v>
      </c>
      <c r="BB203" s="76">
        <f t="shared" si="597"/>
        <v>55100</v>
      </c>
      <c r="BC203" s="77">
        <f t="shared" si="597"/>
        <v>51600</v>
      </c>
      <c r="BD203" s="77">
        <f t="shared" si="597"/>
        <v>51500</v>
      </c>
      <c r="BE203" s="77">
        <f t="shared" si="597"/>
        <v>50900</v>
      </c>
      <c r="BF203" s="77">
        <f t="shared" si="597"/>
        <v>49600</v>
      </c>
      <c r="BG203" s="76">
        <f t="shared" si="597"/>
        <v>49600</v>
      </c>
      <c r="BH203" s="77">
        <f t="shared" si="597"/>
        <v>48700</v>
      </c>
      <c r="BI203" s="77">
        <f t="shared" si="597"/>
        <v>49700</v>
      </c>
      <c r="BJ203" s="77">
        <f t="shared" si="597"/>
        <v>45500</v>
      </c>
      <c r="BK203" s="77">
        <f t="shared" si="597"/>
        <v>46900</v>
      </c>
      <c r="BL203" s="76">
        <f t="shared" ref="BL203" si="598">BL194+BL195+BL196</f>
        <v>46900</v>
      </c>
      <c r="BM203" s="77">
        <f t="shared" si="597"/>
        <v>47600</v>
      </c>
      <c r="BN203" s="77">
        <f t="shared" si="597"/>
        <v>48400</v>
      </c>
      <c r="BO203" s="77">
        <f t="shared" si="597"/>
        <v>46200</v>
      </c>
      <c r="BP203" s="77">
        <f t="shared" si="597"/>
        <v>45200</v>
      </c>
      <c r="BQ203" s="76">
        <f t="shared" si="597"/>
        <v>45200</v>
      </c>
      <c r="BR203" s="886">
        <f t="shared" si="597"/>
        <v>47200</v>
      </c>
      <c r="BS203" s="886">
        <f t="shared" si="597"/>
        <v>46400</v>
      </c>
      <c r="BT203" s="886">
        <f t="shared" si="597"/>
        <v>40100</v>
      </c>
      <c r="BU203" s="77">
        <v>44825</v>
      </c>
      <c r="BV203" s="76">
        <f>BU203</f>
        <v>44825</v>
      </c>
      <c r="BW203" s="886">
        <f t="shared" si="597"/>
        <v>46400</v>
      </c>
      <c r="BX203" s="886">
        <f t="shared" si="597"/>
        <v>44200</v>
      </c>
      <c r="BY203" s="886">
        <v>45852</v>
      </c>
      <c r="BZ203" s="77">
        <v>44049</v>
      </c>
      <c r="CA203" s="76">
        <f>BZ203</f>
        <v>44049</v>
      </c>
      <c r="CB203" s="77">
        <v>50404</v>
      </c>
      <c r="CC203" s="77">
        <v>51925</v>
      </c>
      <c r="CD203" s="77">
        <v>57875</v>
      </c>
      <c r="CE203" s="77">
        <v>57166</v>
      </c>
      <c r="CF203" s="76">
        <f>CE203</f>
        <v>57166</v>
      </c>
      <c r="CG203" s="77">
        <v>66790</v>
      </c>
      <c r="CH203" s="77">
        <v>63872</v>
      </c>
      <c r="CI203" s="77">
        <v>61740</v>
      </c>
      <c r="CJ203" s="77">
        <v>63908</v>
      </c>
      <c r="CK203" s="76">
        <f>CJ203</f>
        <v>63908</v>
      </c>
      <c r="CL203" s="77">
        <v>63578</v>
      </c>
      <c r="CM203" s="77">
        <v>64286</v>
      </c>
      <c r="CN203" s="77">
        <v>62375</v>
      </c>
      <c r="CO203" s="77">
        <v>60847</v>
      </c>
      <c r="CP203" s="76">
        <f>CO203</f>
        <v>60847</v>
      </c>
      <c r="CQ203" s="77">
        <v>61269</v>
      </c>
      <c r="CR203" s="77">
        <v>58705</v>
      </c>
      <c r="CS203" s="77">
        <v>58435</v>
      </c>
      <c r="CT203" s="77">
        <v>59828</v>
      </c>
      <c r="CU203" s="76">
        <f>CT203</f>
        <v>59828</v>
      </c>
      <c r="CV203" s="77">
        <v>59739</v>
      </c>
      <c r="CW203" s="77">
        <v>55401</v>
      </c>
      <c r="CX203" s="77">
        <v>54740</v>
      </c>
      <c r="CY203" s="77">
        <v>54373</v>
      </c>
      <c r="CZ203" s="76">
        <f>CY203</f>
        <v>54373</v>
      </c>
      <c r="DA203" s="77">
        <v>58150</v>
      </c>
      <c r="DB203" s="77">
        <v>57505</v>
      </c>
      <c r="DC203" s="77">
        <v>57802</v>
      </c>
      <c r="DD203" s="77">
        <v>59012</v>
      </c>
      <c r="DE203" s="76">
        <f>DD203</f>
        <v>59012</v>
      </c>
      <c r="DF203" s="77">
        <v>60744</v>
      </c>
      <c r="DG203" s="16">
        <v>59055</v>
      </c>
      <c r="DH203" s="593">
        <v>61621</v>
      </c>
      <c r="DI203" s="1074">
        <v>64023</v>
      </c>
      <c r="DJ203" s="76">
        <f>DI203</f>
        <v>64023</v>
      </c>
      <c r="DK203" s="1074">
        <v>61567</v>
      </c>
      <c r="DL203" s="1074">
        <v>73957</v>
      </c>
      <c r="DM203" s="1074">
        <v>76084</v>
      </c>
      <c r="DN203" s="1074">
        <v>84786</v>
      </c>
      <c r="DO203" s="76">
        <f>DN203</f>
        <v>84786</v>
      </c>
      <c r="DP203" s="1074">
        <v>85821</v>
      </c>
      <c r="DQ203" s="1086">
        <v>85322</v>
      </c>
      <c r="DS203" s="77"/>
      <c r="DT203" s="93"/>
      <c r="DU203" s="1074"/>
      <c r="DX203" s="77"/>
      <c r="DY203" s="93"/>
      <c r="DZ203" s="93"/>
      <c r="EA203" s="93"/>
      <c r="EB203" s="93"/>
    </row>
    <row r="204" spans="1:132" s="105" customFormat="1" ht="12" customHeight="1">
      <c r="A204" s="68"/>
      <c r="B204" s="828" t="s">
        <v>575</v>
      </c>
      <c r="C204" s="76"/>
      <c r="D204" s="76"/>
      <c r="E204" s="76"/>
      <c r="F204" s="76"/>
      <c r="G204" s="76"/>
      <c r="H204" s="76"/>
      <c r="I204" s="76"/>
      <c r="J204" s="77"/>
      <c r="K204" s="77"/>
      <c r="L204" s="77"/>
      <c r="M204" s="77"/>
      <c r="N204" s="76"/>
      <c r="O204" s="77"/>
      <c r="P204" s="77"/>
      <c r="Q204" s="77"/>
      <c r="R204" s="77"/>
      <c r="S204" s="76"/>
      <c r="T204" s="77"/>
      <c r="U204" s="77"/>
      <c r="V204" s="77"/>
      <c r="W204" s="77"/>
      <c r="X204" s="76"/>
      <c r="Y204" s="77"/>
      <c r="Z204" s="77"/>
      <c r="AA204" s="77"/>
      <c r="AB204" s="77"/>
      <c r="AC204" s="76"/>
      <c r="AD204" s="77"/>
      <c r="AE204" s="77"/>
      <c r="AF204" s="77"/>
      <c r="AG204" s="77"/>
      <c r="AH204" s="76"/>
      <c r="AI204" s="77"/>
      <c r="AJ204" s="77"/>
      <c r="AK204" s="77"/>
      <c r="AL204" s="77"/>
      <c r="AM204" s="76"/>
      <c r="AN204" s="77"/>
      <c r="AO204" s="77"/>
      <c r="AP204" s="77"/>
      <c r="AQ204" s="77"/>
      <c r="AR204" s="76"/>
      <c r="AS204" s="77"/>
      <c r="AT204" s="77"/>
      <c r="AU204" s="77"/>
      <c r="AV204" s="77"/>
      <c r="AW204" s="76"/>
      <c r="AX204" s="77"/>
      <c r="AY204" s="77"/>
      <c r="AZ204" s="77"/>
      <c r="BA204" s="77"/>
      <c r="BB204" s="76"/>
      <c r="BC204" s="77"/>
      <c r="BD204" s="77"/>
      <c r="BE204" s="77"/>
      <c r="BF204" s="77"/>
      <c r="BG204" s="76"/>
      <c r="BH204" s="77"/>
      <c r="BI204" s="77"/>
      <c r="BJ204" s="77"/>
      <c r="BK204" s="77"/>
      <c r="BL204" s="76"/>
      <c r="BM204" s="77"/>
      <c r="BN204" s="77"/>
      <c r="BO204" s="77"/>
      <c r="BP204" s="77"/>
      <c r="BQ204" s="76"/>
      <c r="BR204" s="886"/>
      <c r="BS204" s="886"/>
      <c r="BT204" s="886"/>
      <c r="BU204" s="77">
        <v>15631</v>
      </c>
      <c r="BV204" s="76">
        <f>BU204</f>
        <v>15631</v>
      </c>
      <c r="BW204" s="886"/>
      <c r="BX204" s="886"/>
      <c r="BY204" s="886">
        <v>16251</v>
      </c>
      <c r="BZ204" s="77">
        <v>19605</v>
      </c>
      <c r="CA204" s="76">
        <f>BZ204</f>
        <v>19605</v>
      </c>
      <c r="CB204" s="77">
        <v>20464</v>
      </c>
      <c r="CC204" s="77">
        <v>20388</v>
      </c>
      <c r="CD204" s="77">
        <v>20240</v>
      </c>
      <c r="CE204" s="77">
        <v>21008</v>
      </c>
      <c r="CF204" s="76">
        <f>CE204</f>
        <v>21008</v>
      </c>
      <c r="CG204" s="77">
        <v>20688</v>
      </c>
      <c r="CH204" s="77">
        <v>19974</v>
      </c>
      <c r="CI204" s="77">
        <v>21088</v>
      </c>
      <c r="CJ204" s="77">
        <v>22902</v>
      </c>
      <c r="CK204" s="76">
        <f>CJ204</f>
        <v>22902</v>
      </c>
      <c r="CL204" s="77">
        <v>22747</v>
      </c>
      <c r="CM204" s="77">
        <v>18168</v>
      </c>
      <c r="CN204" s="77">
        <v>17464</v>
      </c>
      <c r="CO204" s="77">
        <v>20632</v>
      </c>
      <c r="CP204" s="76">
        <f>CO204</f>
        <v>20632</v>
      </c>
      <c r="CQ204" s="77">
        <v>19614</v>
      </c>
      <c r="CR204" s="77">
        <v>19029</v>
      </c>
      <c r="CS204" s="77">
        <v>18781</v>
      </c>
      <c r="CT204" s="77">
        <v>20495</v>
      </c>
      <c r="CU204" s="76">
        <f>CT204</f>
        <v>20495</v>
      </c>
      <c r="CV204" s="77">
        <v>19822</v>
      </c>
      <c r="CW204" s="77">
        <v>18960</v>
      </c>
      <c r="CX204" s="77">
        <v>19072</v>
      </c>
      <c r="CY204" s="77">
        <v>19338</v>
      </c>
      <c r="CZ204" s="76">
        <f>CY204</f>
        <v>19338</v>
      </c>
      <c r="DA204" s="77">
        <v>18835</v>
      </c>
      <c r="DB204" s="77">
        <v>18455</v>
      </c>
      <c r="DC204" s="77">
        <v>18441</v>
      </c>
      <c r="DD204" s="77">
        <v>19869</v>
      </c>
      <c r="DE204" s="76">
        <f>DD204</f>
        <v>19869</v>
      </c>
      <c r="DF204" s="77">
        <v>19693</v>
      </c>
      <c r="DG204" s="16">
        <v>19487</v>
      </c>
      <c r="DH204" s="593">
        <v>20449</v>
      </c>
      <c r="DI204" s="1074">
        <v>21403</v>
      </c>
      <c r="DJ204" s="76">
        <f>DI204</f>
        <v>21403</v>
      </c>
      <c r="DK204" s="1074">
        <v>22036</v>
      </c>
      <c r="DL204" s="1074">
        <v>21939</v>
      </c>
      <c r="DM204" s="1074">
        <v>24634</v>
      </c>
      <c r="DN204" s="1074">
        <v>29720</v>
      </c>
      <c r="DO204" s="76">
        <f>DN204</f>
        <v>29720</v>
      </c>
      <c r="DP204" s="1074">
        <v>32957</v>
      </c>
      <c r="DQ204" s="1086">
        <v>32840</v>
      </c>
      <c r="DS204" s="77"/>
      <c r="DT204" s="93"/>
      <c r="DU204" s="1074"/>
      <c r="DX204" s="77"/>
      <c r="DY204" s="93"/>
      <c r="DZ204" s="93"/>
      <c r="EA204" s="93"/>
      <c r="EB204" s="93"/>
    </row>
    <row r="205" spans="1:132" s="105" customFormat="1" ht="12" customHeight="1">
      <c r="A205" s="68"/>
      <c r="B205" s="828" t="s">
        <v>645</v>
      </c>
      <c r="C205" s="76"/>
      <c r="D205" s="76"/>
      <c r="E205" s="76"/>
      <c r="F205" s="76"/>
      <c r="G205" s="76"/>
      <c r="H205" s="76"/>
      <c r="I205" s="76"/>
      <c r="J205" s="77"/>
      <c r="K205" s="77"/>
      <c r="L205" s="77"/>
      <c r="M205" s="77"/>
      <c r="N205" s="76"/>
      <c r="O205" s="77"/>
      <c r="P205" s="77"/>
      <c r="Q205" s="77"/>
      <c r="R205" s="77"/>
      <c r="S205" s="76"/>
      <c r="T205" s="77"/>
      <c r="U205" s="77"/>
      <c r="V205" s="77"/>
      <c r="W205" s="77"/>
      <c r="X205" s="76"/>
      <c r="Y205" s="77"/>
      <c r="Z205" s="77"/>
      <c r="AA205" s="77"/>
      <c r="AB205" s="77"/>
      <c r="AC205" s="76"/>
      <c r="AD205" s="77"/>
      <c r="AE205" s="77"/>
      <c r="AF205" s="77"/>
      <c r="AG205" s="77"/>
      <c r="AH205" s="76"/>
      <c r="AI205" s="77"/>
      <c r="AJ205" s="77"/>
      <c r="AK205" s="77"/>
      <c r="AL205" s="77"/>
      <c r="AM205" s="76"/>
      <c r="AN205" s="77"/>
      <c r="AO205" s="77"/>
      <c r="AP205" s="77"/>
      <c r="AQ205" s="77"/>
      <c r="AR205" s="76"/>
      <c r="AS205" s="77"/>
      <c r="AT205" s="77"/>
      <c r="AU205" s="77"/>
      <c r="AV205" s="77"/>
      <c r="AW205" s="76"/>
      <c r="AX205" s="77"/>
      <c r="AY205" s="77"/>
      <c r="AZ205" s="77"/>
      <c r="BA205" s="77"/>
      <c r="BB205" s="76"/>
      <c r="BC205" s="77"/>
      <c r="BD205" s="77"/>
      <c r="BE205" s="77"/>
      <c r="BF205" s="77"/>
      <c r="BG205" s="76"/>
      <c r="BH205" s="77"/>
      <c r="BI205" s="77"/>
      <c r="BJ205" s="77"/>
      <c r="BK205" s="77"/>
      <c r="BL205" s="76"/>
      <c r="BM205" s="77"/>
      <c r="BN205" s="77"/>
      <c r="BO205" s="77"/>
      <c r="BP205" s="77"/>
      <c r="BQ205" s="76"/>
      <c r="BR205" s="886"/>
      <c r="BS205" s="886"/>
      <c r="BT205" s="886"/>
      <c r="BU205" s="77"/>
      <c r="BV205" s="76"/>
      <c r="BW205" s="886"/>
      <c r="BX205" s="886"/>
      <c r="BY205" s="886"/>
      <c r="BZ205" s="77"/>
      <c r="CA205" s="76"/>
      <c r="CB205" s="77"/>
      <c r="CC205" s="77"/>
      <c r="CD205" s="77"/>
      <c r="CE205" s="77"/>
      <c r="CF205" s="76"/>
      <c r="CG205" s="77"/>
      <c r="CH205" s="77"/>
      <c r="CI205" s="77"/>
      <c r="CJ205" s="77"/>
      <c r="CK205" s="76"/>
      <c r="CL205" s="77"/>
      <c r="CM205" s="77">
        <v>522</v>
      </c>
      <c r="CN205" s="77">
        <v>544</v>
      </c>
      <c r="CO205" s="77">
        <v>337</v>
      </c>
      <c r="CP205" s="76">
        <f>CO205</f>
        <v>337</v>
      </c>
      <c r="CQ205" s="77">
        <v>349</v>
      </c>
      <c r="CR205" s="77">
        <v>400</v>
      </c>
      <c r="CS205" s="77">
        <v>248</v>
      </c>
      <c r="CT205" s="77">
        <v>293</v>
      </c>
      <c r="CU205" s="76">
        <f>CT205</f>
        <v>293</v>
      </c>
      <c r="CV205" s="77">
        <v>344</v>
      </c>
      <c r="CW205" s="77">
        <v>325</v>
      </c>
      <c r="CX205" s="77">
        <v>335</v>
      </c>
      <c r="CY205" s="77">
        <v>846</v>
      </c>
      <c r="CZ205" s="76">
        <f>CY205</f>
        <v>846</v>
      </c>
      <c r="DA205" s="77">
        <v>805</v>
      </c>
      <c r="DB205" s="77">
        <v>738</v>
      </c>
      <c r="DC205" s="77">
        <v>830</v>
      </c>
      <c r="DD205" s="77">
        <v>807</v>
      </c>
      <c r="DE205" s="76">
        <f>DD205</f>
        <v>807</v>
      </c>
      <c r="DF205" s="77">
        <v>779</v>
      </c>
      <c r="DG205" s="16">
        <v>758</v>
      </c>
      <c r="DH205" s="593">
        <v>706</v>
      </c>
      <c r="DI205" s="1074">
        <v>735</v>
      </c>
      <c r="DJ205" s="76">
        <f>DI205</f>
        <v>735</v>
      </c>
      <c r="DK205" s="1074">
        <v>686</v>
      </c>
      <c r="DL205" s="1074">
        <v>445</v>
      </c>
      <c r="DM205" s="1074">
        <v>357</v>
      </c>
      <c r="DN205" s="1074">
        <v>411</v>
      </c>
      <c r="DO205" s="76">
        <f>DN205</f>
        <v>411</v>
      </c>
      <c r="DP205" s="1074">
        <v>348</v>
      </c>
      <c r="DQ205" s="1086">
        <v>375</v>
      </c>
      <c r="DS205" s="77"/>
      <c r="DT205" s="93"/>
      <c r="DU205" s="1074"/>
      <c r="DX205" s="77"/>
      <c r="DY205" s="93"/>
      <c r="DZ205" s="93"/>
      <c r="EA205" s="93"/>
      <c r="EB205" s="93"/>
    </row>
    <row r="206" spans="1:132" s="105" customFormat="1" ht="12" customHeight="1">
      <c r="A206" s="68"/>
      <c r="B206" s="48" t="s">
        <v>586</v>
      </c>
      <c r="C206" s="71">
        <f t="shared" ref="C206:L206" si="599">C203+C193</f>
        <v>121640</v>
      </c>
      <c r="D206" s="71">
        <f t="shared" si="599"/>
        <v>112896</v>
      </c>
      <c r="E206" s="71">
        <f t="shared" si="599"/>
        <v>99248</v>
      </c>
      <c r="F206" s="71">
        <f t="shared" si="599"/>
        <v>120600</v>
      </c>
      <c r="G206" s="71">
        <f t="shared" si="599"/>
        <v>106591</v>
      </c>
      <c r="H206" s="71">
        <f t="shared" si="599"/>
        <v>104173</v>
      </c>
      <c r="I206" s="71">
        <f t="shared" si="599"/>
        <v>104812</v>
      </c>
      <c r="J206" s="72">
        <f t="shared" si="599"/>
        <v>103803</v>
      </c>
      <c r="K206" s="72">
        <f t="shared" si="599"/>
        <v>103350</v>
      </c>
      <c r="L206" s="72">
        <f t="shared" si="599"/>
        <v>105652</v>
      </c>
      <c r="M206" s="72">
        <f>N206</f>
        <v>109600</v>
      </c>
      <c r="N206" s="71">
        <f>N203+N193</f>
        <v>109600</v>
      </c>
      <c r="O206" s="72">
        <f>O203+O193</f>
        <v>112523</v>
      </c>
      <c r="P206" s="72">
        <f>P203+P193</f>
        <v>127622</v>
      </c>
      <c r="Q206" s="72">
        <f>Q203+Q193</f>
        <v>133431</v>
      </c>
      <c r="R206" s="72">
        <f>S206</f>
        <v>160473</v>
      </c>
      <c r="S206" s="71">
        <f t="shared" ref="S206:AF206" si="600">S203+S193</f>
        <v>160473</v>
      </c>
      <c r="T206" s="72">
        <f t="shared" si="600"/>
        <v>173828</v>
      </c>
      <c r="U206" s="72">
        <f t="shared" si="600"/>
        <v>180453</v>
      </c>
      <c r="V206" s="72">
        <f t="shared" si="600"/>
        <v>190135</v>
      </c>
      <c r="W206" s="72">
        <f t="shared" si="600"/>
        <v>216567</v>
      </c>
      <c r="X206" s="71">
        <f t="shared" si="600"/>
        <v>216567</v>
      </c>
      <c r="Y206" s="72">
        <f t="shared" si="600"/>
        <v>230237</v>
      </c>
      <c r="Z206" s="72">
        <f t="shared" si="600"/>
        <v>248216</v>
      </c>
      <c r="AA206" s="72">
        <f t="shared" si="600"/>
        <v>262944</v>
      </c>
      <c r="AB206" s="72">
        <f t="shared" si="600"/>
        <v>296964</v>
      </c>
      <c r="AC206" s="71">
        <f t="shared" si="600"/>
        <v>296964</v>
      </c>
      <c r="AD206" s="72">
        <f t="shared" si="600"/>
        <v>315620</v>
      </c>
      <c r="AE206" s="72">
        <f t="shared" si="600"/>
        <v>320108</v>
      </c>
      <c r="AF206" s="388">
        <f t="shared" si="600"/>
        <v>317269</v>
      </c>
      <c r="AG206" s="388">
        <f>AH206</f>
        <v>323860</v>
      </c>
      <c r="AH206" s="389">
        <f t="shared" ref="AH206:AO206" si="601">AH203+AH193</f>
        <v>323860</v>
      </c>
      <c r="AI206" s="388">
        <f t="shared" si="601"/>
        <v>314718</v>
      </c>
      <c r="AJ206" s="388">
        <f t="shared" si="601"/>
        <v>305273</v>
      </c>
      <c r="AK206" s="388">
        <f t="shared" si="601"/>
        <v>298958</v>
      </c>
      <c r="AL206" s="388">
        <f t="shared" si="601"/>
        <v>296500</v>
      </c>
      <c r="AM206" s="71">
        <f t="shared" si="601"/>
        <v>296500</v>
      </c>
      <c r="AN206" s="388">
        <f t="shared" si="601"/>
        <v>298900</v>
      </c>
      <c r="AO206" s="388">
        <f t="shared" si="601"/>
        <v>297600</v>
      </c>
      <c r="AP206" s="388">
        <f t="shared" ref="AP206:AX206" si="602">AP203+AP193</f>
        <v>301471</v>
      </c>
      <c r="AQ206" s="388">
        <f t="shared" si="602"/>
        <v>304000</v>
      </c>
      <c r="AR206" s="71">
        <f t="shared" si="602"/>
        <v>304000</v>
      </c>
      <c r="AS206" s="388">
        <f t="shared" si="602"/>
        <v>309300</v>
      </c>
      <c r="AT206" s="388">
        <f t="shared" si="602"/>
        <v>308000</v>
      </c>
      <c r="AU206" s="388">
        <f t="shared" si="602"/>
        <v>316900</v>
      </c>
      <c r="AV206" s="388">
        <f t="shared" si="602"/>
        <v>339700</v>
      </c>
      <c r="AW206" s="71">
        <f>AW203+AW193</f>
        <v>339700</v>
      </c>
      <c r="AX206" s="388">
        <f t="shared" si="602"/>
        <v>358600</v>
      </c>
      <c r="AY206" s="388">
        <f t="shared" ref="AY206:BP206" si="603">AY203+AY193</f>
        <v>354600</v>
      </c>
      <c r="AZ206" s="388">
        <f t="shared" si="603"/>
        <v>357700</v>
      </c>
      <c r="BA206" s="388">
        <f t="shared" si="603"/>
        <v>372400</v>
      </c>
      <c r="BB206" s="71">
        <f t="shared" si="603"/>
        <v>372400</v>
      </c>
      <c r="BC206" s="388">
        <f t="shared" si="603"/>
        <v>373600</v>
      </c>
      <c r="BD206" s="388">
        <f t="shared" si="603"/>
        <v>389200</v>
      </c>
      <c r="BE206" s="388">
        <f t="shared" si="603"/>
        <v>395200</v>
      </c>
      <c r="BF206" s="388">
        <f t="shared" si="603"/>
        <v>422600</v>
      </c>
      <c r="BG206" s="71">
        <f t="shared" ref="BG206" si="604">BG203+BG193</f>
        <v>422600</v>
      </c>
      <c r="BH206" s="388">
        <f t="shared" si="603"/>
        <v>422700</v>
      </c>
      <c r="BI206" s="709">
        <f t="shared" si="603"/>
        <v>426000</v>
      </c>
      <c r="BJ206" s="709">
        <f t="shared" si="603"/>
        <v>475100</v>
      </c>
      <c r="BK206" s="709">
        <f t="shared" si="603"/>
        <v>487000</v>
      </c>
      <c r="BL206" s="71">
        <f t="shared" si="603"/>
        <v>487000</v>
      </c>
      <c r="BM206" s="709">
        <f t="shared" si="603"/>
        <v>482600</v>
      </c>
      <c r="BN206" s="709">
        <f t="shared" si="603"/>
        <v>479200</v>
      </c>
      <c r="BO206" s="709">
        <f t="shared" si="603"/>
        <v>472200</v>
      </c>
      <c r="BP206" s="709">
        <f t="shared" si="603"/>
        <v>476600</v>
      </c>
      <c r="BQ206" s="71">
        <f t="shared" ref="BQ206" si="605">BQ203+BQ193</f>
        <v>476600</v>
      </c>
      <c r="BR206" s="894">
        <f>BR203+BR193+BR204</f>
        <v>470200</v>
      </c>
      <c r="BS206" s="894">
        <f t="shared" ref="BS206:BT206" si="606">BS203+BS193+BS204</f>
        <v>463000</v>
      </c>
      <c r="BT206" s="894">
        <f t="shared" si="606"/>
        <v>448900</v>
      </c>
      <c r="BU206" s="709">
        <v>458277</v>
      </c>
      <c r="BV206" s="71">
        <f>BU206</f>
        <v>458277</v>
      </c>
      <c r="BW206" s="894">
        <f>BW203+BW193+BW204</f>
        <v>461500</v>
      </c>
      <c r="BX206" s="894">
        <f t="shared" ref="BX206" si="607">BX203+BX193+BX204</f>
        <v>467600</v>
      </c>
      <c r="BY206" s="894">
        <v>459871</v>
      </c>
      <c r="BZ206" s="709">
        <f>BZ193+BZ203+BZ204-BZ207</f>
        <v>457186</v>
      </c>
      <c r="CA206" s="71">
        <f>BZ206</f>
        <v>457186</v>
      </c>
      <c r="CB206" s="709">
        <f>CB193+CB203+CB204-CB207</f>
        <v>461742</v>
      </c>
      <c r="CC206" s="709">
        <f>CC193+CC203+CC204-CC207</f>
        <v>464237</v>
      </c>
      <c r="CD206" s="709">
        <f>CD193+CD203+CD204-CD207</f>
        <v>462468</v>
      </c>
      <c r="CE206" s="709">
        <f>CE193+CE203+CE204-CE207</f>
        <v>462070</v>
      </c>
      <c r="CF206" s="71">
        <f>CE206</f>
        <v>462070</v>
      </c>
      <c r="CG206" s="709">
        <f>CG193+CG203+CG204-CG207</f>
        <v>458998</v>
      </c>
      <c r="CH206" s="709">
        <f>CH193+CH203+CH204-CH207</f>
        <v>448816</v>
      </c>
      <c r="CI206" s="709">
        <f>CI193+CI203+CI204-CI207</f>
        <v>444711</v>
      </c>
      <c r="CJ206" s="709">
        <f>CJ193+CJ203+CJ204-CJ207</f>
        <v>436473</v>
      </c>
      <c r="CK206" s="71">
        <f>CJ206</f>
        <v>436473</v>
      </c>
      <c r="CL206" s="709">
        <f>CL193+CL203+CL204-CL207</f>
        <v>413674</v>
      </c>
      <c r="CM206" s="709">
        <f>CM193+CM203+CM204-CM207+CM205</f>
        <v>385389</v>
      </c>
      <c r="CN206" s="709">
        <f>CN193+CN203+CN204-CN207+CN205</f>
        <v>368916</v>
      </c>
      <c r="CO206" s="709">
        <f>CO193+CO203+CO204-CO207+CO205</f>
        <v>339309</v>
      </c>
      <c r="CP206" s="71">
        <f>CO206</f>
        <v>339309</v>
      </c>
      <c r="CQ206" s="709">
        <f>CQ193+CQ203+CQ204-CQ207+CQ205</f>
        <v>341692</v>
      </c>
      <c r="CR206" s="709">
        <f>CR193+CR203+CR204-CR207+CR205</f>
        <v>342261</v>
      </c>
      <c r="CS206" s="709">
        <f>CS193+CS203+CS204-CS207+CS205</f>
        <v>348193</v>
      </c>
      <c r="CT206" s="709">
        <f>CT193+CT203+CT204-CT207+CT205</f>
        <v>356361</v>
      </c>
      <c r="CU206" s="71">
        <f>CT206</f>
        <v>356361</v>
      </c>
      <c r="CV206" s="709">
        <f>CV193+CV203+CV204-CV207+CV205</f>
        <v>348414</v>
      </c>
      <c r="CW206" s="709">
        <f>CW193+CW203+CW204-CW207+CW205</f>
        <v>351242</v>
      </c>
      <c r="CX206" s="709">
        <f>CX193+CX203+CX204-CX207+CX205</f>
        <v>362926</v>
      </c>
      <c r="CY206" s="709">
        <f>CY193+CY203+CY204-CY207+CY205</f>
        <v>381977</v>
      </c>
      <c r="CZ206" s="71">
        <f>CY206</f>
        <v>381977</v>
      </c>
      <c r="DA206" s="709">
        <f>DA193+DA203+DA204-DA207+DA205</f>
        <v>388753</v>
      </c>
      <c r="DB206" s="709">
        <f>DB193+DB203+DB204-DB207+DB205</f>
        <v>417037</v>
      </c>
      <c r="DC206" s="709">
        <f>DC193+DC203+DC204-DC207+DC205</f>
        <v>446199</v>
      </c>
      <c r="DD206" s="709">
        <f>DD193+DD203+DD204-DD207+DD205</f>
        <v>497094</v>
      </c>
      <c r="DE206" s="71">
        <f>DD206</f>
        <v>497094</v>
      </c>
      <c r="DF206" s="709">
        <f>DF193+DF203+DF204-DF207+DF205</f>
        <v>505918</v>
      </c>
      <c r="DG206" s="597">
        <f>DG193+DG203+DG204-DG207+DG205</f>
        <v>495358</v>
      </c>
      <c r="DH206" s="1065">
        <f>DH193+DH203+DH204-DH207+DH205</f>
        <v>489325</v>
      </c>
      <c r="DI206" s="709">
        <f>DI193+DI203+DI204-DI207+DI205</f>
        <v>498802</v>
      </c>
      <c r="DJ206" s="71">
        <f>DI206</f>
        <v>498802</v>
      </c>
      <c r="DK206" s="709">
        <f>DK193+DK203+DK204-DK207+DK205</f>
        <v>523964</v>
      </c>
      <c r="DL206" s="597">
        <f>DL193+DL203+DL204-DL207+DL205</f>
        <v>583747</v>
      </c>
      <c r="DM206" s="597">
        <f>DM193+DM203+DM204-DM207+DM205</f>
        <v>598551</v>
      </c>
      <c r="DN206" s="709">
        <f>DN193+DN203+DN204-DN207+DN205</f>
        <v>639721</v>
      </c>
      <c r="DO206" s="71">
        <f>DN206</f>
        <v>639721</v>
      </c>
      <c r="DP206" s="709">
        <f>DP193+DP203+DP204-DP207+DP205</f>
        <v>652671</v>
      </c>
      <c r="DQ206" s="1117">
        <f>DQ193+DQ203+DQ204-DQ207+DQ205</f>
        <v>674506</v>
      </c>
      <c r="DS206" s="709"/>
      <c r="DT206" s="93"/>
      <c r="DU206" s="709"/>
      <c r="DX206" s="709"/>
      <c r="DY206" s="93"/>
      <c r="DZ206" s="93"/>
      <c r="EA206" s="93"/>
      <c r="EB206" s="93"/>
    </row>
    <row r="207" spans="1:132" s="105" customFormat="1" ht="12" customHeight="1">
      <c r="A207" s="68"/>
      <c r="B207" s="166" t="s">
        <v>117</v>
      </c>
      <c r="C207" s="79">
        <v>26100</v>
      </c>
      <c r="D207" s="79">
        <v>23500</v>
      </c>
      <c r="E207" s="79">
        <v>24400</v>
      </c>
      <c r="F207" s="79">
        <v>31300</v>
      </c>
      <c r="G207" s="79">
        <v>27500</v>
      </c>
      <c r="H207" s="79">
        <v>34700</v>
      </c>
      <c r="I207" s="79">
        <v>50600</v>
      </c>
      <c r="J207" s="80">
        <v>44235</v>
      </c>
      <c r="K207" s="80">
        <v>46076</v>
      </c>
      <c r="L207" s="80">
        <v>53038</v>
      </c>
      <c r="M207" s="80">
        <f>N207</f>
        <v>47900</v>
      </c>
      <c r="N207" s="79">
        <v>47900</v>
      </c>
      <c r="O207" s="80">
        <v>42528</v>
      </c>
      <c r="P207" s="80">
        <v>41726</v>
      </c>
      <c r="Q207" s="80">
        <v>43583</v>
      </c>
      <c r="R207" s="80">
        <f>S207</f>
        <v>44600</v>
      </c>
      <c r="S207" s="79">
        <v>44600</v>
      </c>
      <c r="T207" s="80">
        <v>38781</v>
      </c>
      <c r="U207" s="80">
        <v>39508</v>
      </c>
      <c r="V207" s="80">
        <v>38666</v>
      </c>
      <c r="W207" s="80">
        <f>X207</f>
        <v>33700</v>
      </c>
      <c r="X207" s="79">
        <v>33700</v>
      </c>
      <c r="Y207" s="80">
        <v>31866</v>
      </c>
      <c r="Z207" s="80">
        <v>32288</v>
      </c>
      <c r="AA207" s="80">
        <v>32187</v>
      </c>
      <c r="AB207" s="80">
        <f>AC207</f>
        <v>30200</v>
      </c>
      <c r="AC207" s="79">
        <v>30200</v>
      </c>
      <c r="AD207" s="80">
        <v>30621</v>
      </c>
      <c r="AE207" s="80">
        <v>26047</v>
      </c>
      <c r="AF207" s="80">
        <v>32100</v>
      </c>
      <c r="AG207" s="80">
        <f>AH207</f>
        <v>28200</v>
      </c>
      <c r="AH207" s="79">
        <v>28200</v>
      </c>
      <c r="AI207" s="80">
        <v>24734</v>
      </c>
      <c r="AJ207" s="80">
        <v>22204</v>
      </c>
      <c r="AK207" s="80">
        <v>21054</v>
      </c>
      <c r="AL207" s="80">
        <v>19058</v>
      </c>
      <c r="AM207" s="79">
        <f>AL207</f>
        <v>19058</v>
      </c>
      <c r="AN207" s="80">
        <v>15900</v>
      </c>
      <c r="AO207" s="80">
        <v>14700</v>
      </c>
      <c r="AP207" s="80">
        <v>19425</v>
      </c>
      <c r="AQ207" s="80">
        <v>16900</v>
      </c>
      <c r="AR207" s="79">
        <f>AQ207</f>
        <v>16900</v>
      </c>
      <c r="AS207" s="80">
        <v>18300</v>
      </c>
      <c r="AT207" s="80">
        <v>15600</v>
      </c>
      <c r="AU207" s="97">
        <v>14700</v>
      </c>
      <c r="AV207" s="80">
        <v>15800</v>
      </c>
      <c r="AW207" s="79">
        <f>AV207</f>
        <v>15800</v>
      </c>
      <c r="AX207" s="80">
        <v>21200</v>
      </c>
      <c r="AY207" s="80">
        <v>19200</v>
      </c>
      <c r="AZ207" s="80">
        <v>19900</v>
      </c>
      <c r="BA207" s="80">
        <v>17900</v>
      </c>
      <c r="BB207" s="79">
        <f>BA207</f>
        <v>17900</v>
      </c>
      <c r="BC207" s="80">
        <v>18100</v>
      </c>
      <c r="BD207" s="80">
        <v>21100</v>
      </c>
      <c r="BE207" s="80">
        <v>19900</v>
      </c>
      <c r="BF207" s="80">
        <v>18300</v>
      </c>
      <c r="BG207" s="79">
        <f>BF207</f>
        <v>18300</v>
      </c>
      <c r="BH207" s="80">
        <v>17100</v>
      </c>
      <c r="BI207" s="568">
        <v>14300</v>
      </c>
      <c r="BJ207" s="80">
        <v>14900</v>
      </c>
      <c r="BK207" s="80">
        <v>15300</v>
      </c>
      <c r="BL207" s="79">
        <f>BK207</f>
        <v>15300</v>
      </c>
      <c r="BM207" s="80">
        <v>12500</v>
      </c>
      <c r="BN207" s="568">
        <v>9600</v>
      </c>
      <c r="BO207" s="80">
        <v>12600</v>
      </c>
      <c r="BP207" s="80">
        <v>12700</v>
      </c>
      <c r="BQ207" s="79">
        <f>BP207</f>
        <v>12700</v>
      </c>
      <c r="BR207" s="895">
        <v>9800</v>
      </c>
      <c r="BS207" s="896">
        <v>9200</v>
      </c>
      <c r="BT207" s="895">
        <v>13100</v>
      </c>
      <c r="BU207" s="80">
        <v>15215</v>
      </c>
      <c r="BV207" s="79">
        <f>BU207</f>
        <v>15215</v>
      </c>
      <c r="BW207" s="895">
        <v>18000</v>
      </c>
      <c r="BX207" s="896">
        <v>14600</v>
      </c>
      <c r="BY207" s="896">
        <v>14417</v>
      </c>
      <c r="BZ207" s="80">
        <v>17656</v>
      </c>
      <c r="CA207" s="79">
        <f>BZ207</f>
        <v>17656</v>
      </c>
      <c r="CB207" s="80">
        <v>24503</v>
      </c>
      <c r="CC207" s="568">
        <v>23799</v>
      </c>
      <c r="CD207" s="80">
        <v>28711</v>
      </c>
      <c r="CE207" s="80">
        <v>28411</v>
      </c>
      <c r="CF207" s="79">
        <f>CE207</f>
        <v>28411</v>
      </c>
      <c r="CG207" s="568">
        <v>27851</v>
      </c>
      <c r="CH207" s="568">
        <v>25435</v>
      </c>
      <c r="CI207" s="568">
        <v>25514</v>
      </c>
      <c r="CJ207" s="568">
        <v>26930</v>
      </c>
      <c r="CK207" s="79">
        <f>CJ207</f>
        <v>26930</v>
      </c>
      <c r="CL207" s="80">
        <v>24429</v>
      </c>
      <c r="CM207" s="80">
        <v>23261</v>
      </c>
      <c r="CN207" s="80">
        <v>24151</v>
      </c>
      <c r="CO207" s="80">
        <v>24095</v>
      </c>
      <c r="CP207" s="79">
        <f>CO207</f>
        <v>24095</v>
      </c>
      <c r="CQ207" s="80">
        <v>22161</v>
      </c>
      <c r="CR207" s="80">
        <v>21205</v>
      </c>
      <c r="CS207" s="80">
        <v>18915</v>
      </c>
      <c r="CT207" s="80">
        <v>21137</v>
      </c>
      <c r="CU207" s="79">
        <f>CT207</f>
        <v>21137</v>
      </c>
      <c r="CV207" s="80">
        <v>22421</v>
      </c>
      <c r="CW207" s="80">
        <v>20488</v>
      </c>
      <c r="CX207" s="80">
        <v>18389</v>
      </c>
      <c r="CY207" s="80">
        <v>22404</v>
      </c>
      <c r="CZ207" s="79">
        <f>CY207</f>
        <v>22404</v>
      </c>
      <c r="DA207" s="80">
        <v>22693</v>
      </c>
      <c r="DB207" s="80">
        <v>22527</v>
      </c>
      <c r="DC207" s="80">
        <v>22979</v>
      </c>
      <c r="DD207" s="80">
        <v>23101</v>
      </c>
      <c r="DE207" s="79">
        <f>DD207</f>
        <v>23101</v>
      </c>
      <c r="DF207" s="80">
        <v>22831</v>
      </c>
      <c r="DG207" s="80">
        <v>20516</v>
      </c>
      <c r="DH207" s="272">
        <v>21184</v>
      </c>
      <c r="DI207" s="1075">
        <v>22534</v>
      </c>
      <c r="DJ207" s="79">
        <f>DI207</f>
        <v>22534</v>
      </c>
      <c r="DK207" s="1075">
        <v>20772</v>
      </c>
      <c r="DL207" s="1075">
        <v>34791</v>
      </c>
      <c r="DM207" s="1075">
        <v>37137</v>
      </c>
      <c r="DN207" s="1075">
        <v>42486</v>
      </c>
      <c r="DO207" s="79">
        <f>DN207</f>
        <v>42486</v>
      </c>
      <c r="DP207" s="1075">
        <v>42038</v>
      </c>
      <c r="DQ207" s="1108">
        <v>40755</v>
      </c>
      <c r="DS207" s="80"/>
      <c r="DT207" s="93"/>
      <c r="DU207" s="1075"/>
      <c r="DX207" s="80"/>
      <c r="DY207" s="93"/>
      <c r="DZ207" s="93"/>
      <c r="EA207" s="93"/>
      <c r="EB207" s="93"/>
    </row>
    <row r="208" spans="1:132" s="277" customFormat="1" ht="12" customHeight="1">
      <c r="A208" s="74"/>
      <c r="B208" s="48" t="s">
        <v>118</v>
      </c>
      <c r="C208" s="71">
        <f t="shared" ref="C208:L208" si="608">C207+C206</f>
        <v>147740</v>
      </c>
      <c r="D208" s="71">
        <f t="shared" si="608"/>
        <v>136396</v>
      </c>
      <c r="E208" s="71">
        <f t="shared" si="608"/>
        <v>123648</v>
      </c>
      <c r="F208" s="71">
        <f t="shared" si="608"/>
        <v>151900</v>
      </c>
      <c r="G208" s="71">
        <f t="shared" si="608"/>
        <v>134091</v>
      </c>
      <c r="H208" s="71">
        <f t="shared" si="608"/>
        <v>138873</v>
      </c>
      <c r="I208" s="71">
        <f t="shared" si="608"/>
        <v>155412</v>
      </c>
      <c r="J208" s="72">
        <f t="shared" si="608"/>
        <v>148038</v>
      </c>
      <c r="K208" s="72">
        <f t="shared" si="608"/>
        <v>149426</v>
      </c>
      <c r="L208" s="72">
        <f t="shared" si="608"/>
        <v>158690</v>
      </c>
      <c r="M208" s="72">
        <f>N208</f>
        <v>157500</v>
      </c>
      <c r="N208" s="71">
        <f>N207+N206</f>
        <v>157500</v>
      </c>
      <c r="O208" s="72">
        <f>O207+O206</f>
        <v>155051</v>
      </c>
      <c r="P208" s="72">
        <f>P207+P206</f>
        <v>169348</v>
      </c>
      <c r="Q208" s="72">
        <f>Q207+Q206</f>
        <v>177014</v>
      </c>
      <c r="R208" s="72">
        <f>S208</f>
        <v>205073</v>
      </c>
      <c r="S208" s="71">
        <f>S207+S206</f>
        <v>205073</v>
      </c>
      <c r="T208" s="72">
        <f>T207+T206</f>
        <v>212609</v>
      </c>
      <c r="U208" s="72">
        <f>U207+U206</f>
        <v>219961</v>
      </c>
      <c r="V208" s="72">
        <f>V207+V206</f>
        <v>228801</v>
      </c>
      <c r="W208" s="72">
        <f>X208</f>
        <v>250267</v>
      </c>
      <c r="X208" s="71">
        <f>X207+X206</f>
        <v>250267</v>
      </c>
      <c r="Y208" s="72">
        <f>Y207+Y206</f>
        <v>262103</v>
      </c>
      <c r="Z208" s="72">
        <f>Z207+Z206</f>
        <v>280504</v>
      </c>
      <c r="AA208" s="72">
        <f>AA207+AA206</f>
        <v>295131</v>
      </c>
      <c r="AB208" s="72">
        <f>AC208</f>
        <v>327164</v>
      </c>
      <c r="AC208" s="71">
        <f>AC207+AC206</f>
        <v>327164</v>
      </c>
      <c r="AD208" s="72">
        <f>AD207+AD206</f>
        <v>346241</v>
      </c>
      <c r="AE208" s="72">
        <f>AE207+AE206</f>
        <v>346155</v>
      </c>
      <c r="AF208" s="72">
        <f>AF207+AF206</f>
        <v>349369</v>
      </c>
      <c r="AG208" s="72">
        <f>AH208</f>
        <v>352060</v>
      </c>
      <c r="AH208" s="71">
        <f t="shared" ref="AH208:BT208" si="609">AH207+AH206</f>
        <v>352060</v>
      </c>
      <c r="AI208" s="72">
        <f t="shared" si="609"/>
        <v>339452</v>
      </c>
      <c r="AJ208" s="72">
        <f t="shared" si="609"/>
        <v>327477</v>
      </c>
      <c r="AK208" s="72">
        <f t="shared" si="609"/>
        <v>320012</v>
      </c>
      <c r="AL208" s="72">
        <f t="shared" si="609"/>
        <v>315558</v>
      </c>
      <c r="AM208" s="71">
        <f t="shared" si="609"/>
        <v>315558</v>
      </c>
      <c r="AN208" s="72">
        <f t="shared" si="609"/>
        <v>314800</v>
      </c>
      <c r="AO208" s="72">
        <f t="shared" si="609"/>
        <v>312300</v>
      </c>
      <c r="AP208" s="72">
        <f t="shared" si="609"/>
        <v>320896</v>
      </c>
      <c r="AQ208" s="72">
        <f t="shared" si="609"/>
        <v>320900</v>
      </c>
      <c r="AR208" s="71">
        <f t="shared" si="609"/>
        <v>320900</v>
      </c>
      <c r="AS208" s="72">
        <f t="shared" si="609"/>
        <v>327600</v>
      </c>
      <c r="AT208" s="72">
        <f t="shared" si="609"/>
        <v>323600</v>
      </c>
      <c r="AU208" s="90">
        <f t="shared" si="609"/>
        <v>331600</v>
      </c>
      <c r="AV208" s="72">
        <f t="shared" si="609"/>
        <v>355500</v>
      </c>
      <c r="AW208" s="71">
        <f t="shared" si="609"/>
        <v>355500</v>
      </c>
      <c r="AX208" s="72">
        <f t="shared" si="609"/>
        <v>379800</v>
      </c>
      <c r="AY208" s="72">
        <f t="shared" si="609"/>
        <v>373800</v>
      </c>
      <c r="AZ208" s="72">
        <f t="shared" si="609"/>
        <v>377600</v>
      </c>
      <c r="BA208" s="72">
        <f t="shared" si="609"/>
        <v>390300</v>
      </c>
      <c r="BB208" s="71">
        <f t="shared" si="609"/>
        <v>390300</v>
      </c>
      <c r="BC208" s="72">
        <f t="shared" si="609"/>
        <v>391700</v>
      </c>
      <c r="BD208" s="72">
        <f t="shared" si="609"/>
        <v>410300</v>
      </c>
      <c r="BE208" s="72">
        <f t="shared" si="609"/>
        <v>415100</v>
      </c>
      <c r="BF208" s="72">
        <f t="shared" si="609"/>
        <v>440900</v>
      </c>
      <c r="BG208" s="71">
        <f t="shared" si="609"/>
        <v>440900</v>
      </c>
      <c r="BH208" s="72">
        <f t="shared" si="609"/>
        <v>439800</v>
      </c>
      <c r="BI208" s="597">
        <f t="shared" si="609"/>
        <v>440300</v>
      </c>
      <c r="BJ208" s="597">
        <f t="shared" si="609"/>
        <v>490000</v>
      </c>
      <c r="BK208" s="597">
        <f t="shared" si="609"/>
        <v>502300</v>
      </c>
      <c r="BL208" s="71">
        <f t="shared" si="609"/>
        <v>502300</v>
      </c>
      <c r="BM208" s="597">
        <f t="shared" si="609"/>
        <v>495100</v>
      </c>
      <c r="BN208" s="597">
        <f t="shared" si="609"/>
        <v>488800</v>
      </c>
      <c r="BO208" s="597">
        <f t="shared" si="609"/>
        <v>484800</v>
      </c>
      <c r="BP208" s="597">
        <f t="shared" si="609"/>
        <v>489300</v>
      </c>
      <c r="BQ208" s="71">
        <f t="shared" si="609"/>
        <v>489300</v>
      </c>
      <c r="BR208" s="894">
        <f t="shared" si="609"/>
        <v>480000</v>
      </c>
      <c r="BS208" s="894">
        <f t="shared" si="609"/>
        <v>472200</v>
      </c>
      <c r="BT208" s="894">
        <f t="shared" si="609"/>
        <v>462000</v>
      </c>
      <c r="BU208" s="597">
        <f>BU193+BU203+BU204</f>
        <v>473492</v>
      </c>
      <c r="BV208" s="71">
        <f>BV207+BV206</f>
        <v>473492</v>
      </c>
      <c r="BW208" s="894">
        <f>BW207+BW206</f>
        <v>479500</v>
      </c>
      <c r="BX208" s="894">
        <f>BX207+BX206</f>
        <v>482200</v>
      </c>
      <c r="BY208" s="894">
        <f>BY193+BY203+BY204</f>
        <v>474288</v>
      </c>
      <c r="BZ208" s="597">
        <f>BZ206+BZ207</f>
        <v>474842</v>
      </c>
      <c r="CA208" s="71">
        <f>CA207+CA206</f>
        <v>474842</v>
      </c>
      <c r="CB208" s="597">
        <f>CB206+CB207</f>
        <v>486245</v>
      </c>
      <c r="CC208" s="597">
        <f>CC206+CC207</f>
        <v>488036</v>
      </c>
      <c r="CD208" s="597">
        <f>CD206+CD207</f>
        <v>491179</v>
      </c>
      <c r="CE208" s="597">
        <f>CE206+CE207</f>
        <v>490481</v>
      </c>
      <c r="CF208" s="71">
        <f>CF207+CF206</f>
        <v>490481</v>
      </c>
      <c r="CG208" s="597">
        <f>CG206+CG207</f>
        <v>486849</v>
      </c>
      <c r="CH208" s="597">
        <f>CH206+CH207</f>
        <v>474251</v>
      </c>
      <c r="CI208" s="597">
        <f>CI206+CI207</f>
        <v>470225</v>
      </c>
      <c r="CJ208" s="597">
        <f>CJ206+CJ207</f>
        <v>463403</v>
      </c>
      <c r="CK208" s="71">
        <f>CK207+CK206</f>
        <v>463403</v>
      </c>
      <c r="CL208" s="597">
        <f>CL206+CL207</f>
        <v>438103</v>
      </c>
      <c r="CM208" s="597">
        <f>CM206+CM207</f>
        <v>408650</v>
      </c>
      <c r="CN208" s="597">
        <f>CN206+CN207</f>
        <v>393067</v>
      </c>
      <c r="CO208" s="597">
        <f>CO206+CO207</f>
        <v>363404</v>
      </c>
      <c r="CP208" s="71">
        <f>CP207+CP206</f>
        <v>363404</v>
      </c>
      <c r="CQ208" s="597">
        <f>CQ206+CQ207</f>
        <v>363853</v>
      </c>
      <c r="CR208" s="597">
        <f>CR206+CR207</f>
        <v>363466</v>
      </c>
      <c r="CS208" s="597">
        <f>CS206+CS207</f>
        <v>367108</v>
      </c>
      <c r="CT208" s="597">
        <f>CT206+CT207</f>
        <v>377498</v>
      </c>
      <c r="CU208" s="71">
        <f>CU207+CU206</f>
        <v>377498</v>
      </c>
      <c r="CV208" s="597">
        <f>CV206+CV207</f>
        <v>370835</v>
      </c>
      <c r="CW208" s="597">
        <f>CW206+CW207</f>
        <v>371730</v>
      </c>
      <c r="CX208" s="597">
        <f>CX206+CX207</f>
        <v>381315</v>
      </c>
      <c r="CY208" s="597">
        <f>CY206+CY207</f>
        <v>404381</v>
      </c>
      <c r="CZ208" s="71">
        <f>CZ207+CZ206</f>
        <v>404381</v>
      </c>
      <c r="DA208" s="597">
        <f>DA206+DA207</f>
        <v>411446</v>
      </c>
      <c r="DB208" s="597">
        <f>DB206+DB207</f>
        <v>439564</v>
      </c>
      <c r="DC208" s="597">
        <f>DC206+DC207</f>
        <v>469178</v>
      </c>
      <c r="DD208" s="597">
        <f>DD206+DD207</f>
        <v>520195</v>
      </c>
      <c r="DE208" s="71">
        <f>DE207+DE206</f>
        <v>520195</v>
      </c>
      <c r="DF208" s="597">
        <f>DF206+DF207</f>
        <v>528749</v>
      </c>
      <c r="DG208" s="597">
        <f>DG206+DG207</f>
        <v>515874</v>
      </c>
      <c r="DH208" s="1065">
        <f>DH206+DH207</f>
        <v>510509</v>
      </c>
      <c r="DI208" s="597">
        <f>DI206+DI207</f>
        <v>521336</v>
      </c>
      <c r="DJ208" s="71">
        <f>DJ207+DJ206</f>
        <v>521336</v>
      </c>
      <c r="DK208" s="597">
        <f>DK206+DK207</f>
        <v>544736</v>
      </c>
      <c r="DL208" s="597">
        <f>DL206+DL207</f>
        <v>618538</v>
      </c>
      <c r="DM208" s="597">
        <f>DM206+DM207</f>
        <v>635688</v>
      </c>
      <c r="DN208" s="597">
        <f>DN206+DN207</f>
        <v>682207</v>
      </c>
      <c r="DO208" s="71">
        <f>DO207+DO206</f>
        <v>682207</v>
      </c>
      <c r="DP208" s="597">
        <f>DP206+DP207</f>
        <v>694709</v>
      </c>
      <c r="DQ208" s="1065">
        <f>DQ206+DQ207</f>
        <v>715261</v>
      </c>
      <c r="DS208" s="597"/>
      <c r="DT208" s="85"/>
      <c r="DU208" s="597"/>
      <c r="DX208" s="597"/>
      <c r="DY208" s="85"/>
      <c r="DZ208" s="85"/>
      <c r="EA208" s="85"/>
      <c r="EB208" s="85"/>
    </row>
    <row r="209" spans="1:132" s="105" customFormat="1" ht="12" customHeight="1">
      <c r="A209" s="68"/>
      <c r="B209" s="166"/>
      <c r="C209" s="93"/>
      <c r="D209" s="93"/>
      <c r="E209" s="93"/>
      <c r="F209" s="93"/>
      <c r="G209" s="93"/>
      <c r="H209" s="93"/>
      <c r="I209" s="93"/>
      <c r="J209" s="75"/>
      <c r="K209" s="75"/>
      <c r="L209" s="75"/>
      <c r="M209" s="75"/>
      <c r="N209" s="93"/>
      <c r="O209" s="75"/>
      <c r="P209" s="75"/>
      <c r="Q209" s="75"/>
      <c r="R209" s="75"/>
      <c r="S209" s="93"/>
      <c r="T209" s="75"/>
      <c r="U209" s="75"/>
      <c r="V209" s="75"/>
      <c r="W209" s="75"/>
      <c r="X209" s="93"/>
      <c r="Y209" s="75"/>
      <c r="Z209" s="75"/>
      <c r="AA209" s="75"/>
      <c r="AB209" s="75"/>
      <c r="AC209" s="93"/>
      <c r="AD209" s="75"/>
      <c r="AE209" s="75"/>
      <c r="AF209" s="75"/>
      <c r="AG209" s="75"/>
      <c r="AH209" s="93"/>
      <c r="AI209" s="75"/>
      <c r="AJ209" s="75"/>
      <c r="AK209" s="75"/>
      <c r="AL209" s="75"/>
      <c r="AM209" s="93"/>
      <c r="AN209" s="75"/>
      <c r="AO209" s="75"/>
      <c r="AP209" s="75"/>
      <c r="AQ209" s="75"/>
      <c r="AR209" s="93"/>
      <c r="AS209" s="75"/>
      <c r="AT209" s="75"/>
      <c r="AU209" s="75"/>
      <c r="AV209" s="75"/>
      <c r="AW209" s="93"/>
      <c r="AX209" s="75"/>
      <c r="AY209" s="75"/>
      <c r="AZ209" s="75"/>
      <c r="BA209" s="75"/>
      <c r="BB209" s="93"/>
      <c r="BC209" s="75"/>
      <c r="BD209" s="75"/>
      <c r="BE209" s="75"/>
      <c r="BF209" s="75"/>
      <c r="BG209" s="93"/>
      <c r="BH209" s="75"/>
      <c r="BI209" s="710"/>
      <c r="BJ209" s="75"/>
      <c r="BK209" s="75"/>
      <c r="BL209" s="93"/>
      <c r="BM209" s="75"/>
      <c r="BN209" s="734"/>
      <c r="BO209" s="75"/>
      <c r="BP209" s="75"/>
      <c r="BQ209" s="93"/>
      <c r="BR209" s="75"/>
      <c r="BS209" s="734"/>
      <c r="BT209" s="75"/>
      <c r="BU209" s="75"/>
      <c r="BV209" s="93"/>
      <c r="BW209" s="12"/>
      <c r="BX209" s="734"/>
      <c r="BY209" s="75"/>
      <c r="BZ209" s="75"/>
      <c r="CA209" s="93"/>
      <c r="CB209" s="75"/>
      <c r="CC209" s="734"/>
      <c r="CD209" s="75"/>
      <c r="CE209" s="75"/>
      <c r="CF209" s="93"/>
      <c r="CG209" s="734"/>
      <c r="CH209" s="734"/>
      <c r="CI209" s="734"/>
      <c r="CJ209" s="734"/>
      <c r="CK209" s="93"/>
      <c r="CL209" s="75"/>
      <c r="CM209" s="75"/>
      <c r="CN209" s="75"/>
      <c r="CO209" s="75"/>
      <c r="CP209" s="93"/>
      <c r="CQ209" s="75"/>
      <c r="CR209" s="75"/>
      <c r="CS209" s="75"/>
      <c r="CT209" s="75"/>
      <c r="CU209" s="93"/>
      <c r="CV209" s="75"/>
      <c r="CW209" s="75"/>
      <c r="CX209" s="75"/>
      <c r="CY209" s="75"/>
      <c r="CZ209" s="93"/>
      <c r="DA209" s="75"/>
      <c r="DB209" s="75"/>
      <c r="DC209" s="75"/>
      <c r="DD209" s="75"/>
      <c r="DE209" s="93"/>
      <c r="DG209" s="615"/>
      <c r="DH209" s="278"/>
      <c r="DI209" s="75"/>
      <c r="DJ209" s="93"/>
      <c r="DL209" s="615"/>
      <c r="DM209" s="615"/>
      <c r="DN209" s="75"/>
      <c r="DO209" s="93"/>
      <c r="DP209" s="75"/>
      <c r="DQ209" s="278"/>
      <c r="DS209" s="75"/>
      <c r="DT209" s="93"/>
      <c r="DX209" s="75"/>
      <c r="DY209" s="93"/>
      <c r="DZ209" s="93"/>
      <c r="EA209" s="93"/>
      <c r="EB209" s="93"/>
    </row>
    <row r="210" spans="1:132" s="105" customFormat="1" ht="12" customHeight="1">
      <c r="A210" s="68"/>
      <c r="B210" s="166" t="s">
        <v>119</v>
      </c>
      <c r="C210" s="95">
        <f t="shared" ref="C210:I210" si="610">C193/C150</f>
        <v>3.4827880723383711</v>
      </c>
      <c r="D210" s="95">
        <f t="shared" si="610"/>
        <v>2.421071880714587</v>
      </c>
      <c r="E210" s="95">
        <f t="shared" si="610"/>
        <v>1.8998672186206358</v>
      </c>
      <c r="F210" s="94">
        <f t="shared" si="610"/>
        <v>2.8802412498796959</v>
      </c>
      <c r="G210" s="95">
        <f t="shared" si="610"/>
        <v>2.1636809675947055</v>
      </c>
      <c r="H210" s="95">
        <f t="shared" si="610"/>
        <v>2.4010638672631837</v>
      </c>
      <c r="I210" s="95">
        <f t="shared" si="610"/>
        <v>2.8529543020349877</v>
      </c>
      <c r="J210" s="94">
        <f>J193/(J150*4)</f>
        <v>2.918574108818011</v>
      </c>
      <c r="K210" s="94">
        <f>K193/(K150*4)</f>
        <v>2.7410950449656144</v>
      </c>
      <c r="L210" s="94">
        <f>L193/(L150*4)</f>
        <v>3.6752910737386806</v>
      </c>
      <c r="M210" s="94">
        <f>M193/(M150*4)</f>
        <v>3.2627361985920711</v>
      </c>
      <c r="N210" s="95">
        <f>N193/$N$150</f>
        <v>3.3488139943908353</v>
      </c>
      <c r="O210" s="94">
        <f>O193/(O150*4)</f>
        <v>3.3826832151300237</v>
      </c>
      <c r="P210" s="94">
        <f>P193/(P150*4)</f>
        <v>3.1838818689391712</v>
      </c>
      <c r="Q210" s="94">
        <f>Q193/(Q150*4)</f>
        <v>4.9900773458172196</v>
      </c>
      <c r="R210" s="94">
        <f>R193/(R150*4)</f>
        <v>5.2993510928961749</v>
      </c>
      <c r="S210" s="95">
        <f>S193/$S$150</f>
        <v>5.4801995496887557</v>
      </c>
      <c r="T210" s="94">
        <f>T193/(T150*4)</f>
        <v>4.6638664398128453</v>
      </c>
      <c r="U210" s="94">
        <f>U193/(U150*4)</f>
        <v>4.9792633206804444</v>
      </c>
      <c r="V210" s="94">
        <f>V193/(V150*4)</f>
        <v>5.7528761392499623</v>
      </c>
      <c r="W210" s="94">
        <f>W193/$X$150</f>
        <v>6.1224661865448793</v>
      </c>
      <c r="X210" s="95">
        <f>X193/$X$150</f>
        <v>6.1224661865448793</v>
      </c>
      <c r="Y210" s="94">
        <f>Y193/(Y150*4)</f>
        <v>6.2364659166115155</v>
      </c>
      <c r="Z210" s="94">
        <f>Z193/(Z150*4)</f>
        <v>5.9644538876765818</v>
      </c>
      <c r="AA210" s="94">
        <f>AA193/(AA150*4)</f>
        <v>6.7938362799709369</v>
      </c>
      <c r="AB210" s="94">
        <f>AB193/(AB150*4)</f>
        <v>7.1953530340627117</v>
      </c>
      <c r="AC210" s="95">
        <f>AC193/$AC$150</f>
        <v>7.6432037380938116</v>
      </c>
      <c r="AD210" s="94">
        <f>AD193/(AD150*4)</f>
        <v>8.3074684474941805</v>
      </c>
      <c r="AE210" s="94">
        <f>AE193/(AE150*4)</f>
        <v>8.0117310610482075</v>
      </c>
      <c r="AF210" s="94">
        <f>AF193/(AF150*4)</f>
        <v>9.9290598905845098</v>
      </c>
      <c r="AG210" s="94">
        <f>AG193/(AG150*4)</f>
        <v>15.176236652865548</v>
      </c>
      <c r="AH210" s="95">
        <f>AH193/$AH$150</f>
        <v>9.8565262003325902</v>
      </c>
      <c r="AI210" s="94">
        <f>AI193/(AI150*4)</f>
        <v>7.7748129530044423</v>
      </c>
      <c r="AJ210" s="94">
        <f>AJ193/(AJ150*4)</f>
        <v>7.6338216107223342</v>
      </c>
      <c r="AK210" s="94">
        <f>AK193/(AK150*4)</f>
        <v>8.053342636052264</v>
      </c>
      <c r="AL210" s="94">
        <f>AL193/(AL150*4)</f>
        <v>6.8190133943155828</v>
      </c>
      <c r="AM210" s="95">
        <f>AM193/$AH$150</f>
        <v>8.8623288398259206</v>
      </c>
      <c r="AN210" s="94">
        <f>AN193/(AN150*4)</f>
        <v>8.3824317086234608</v>
      </c>
      <c r="AO210" s="94">
        <f>AO193/(AO150*4)</f>
        <v>8.4622628817435768</v>
      </c>
      <c r="AP210" s="94">
        <f>AP193/(AP150*4)</f>
        <v>7.2915761801348724</v>
      </c>
      <c r="AQ210" s="94">
        <f>AQ193/(AQ150*4)</f>
        <v>7.8079178885630496</v>
      </c>
      <c r="AR210" s="95">
        <f>AR193/$AR$150</f>
        <v>8.0291512219639376</v>
      </c>
      <c r="AS210" s="94">
        <f>AS193/(AS150*4)</f>
        <v>9.1633885923012084</v>
      </c>
      <c r="AT210" s="94">
        <f>AT193/(AT150*4)</f>
        <v>7.3476195861133098</v>
      </c>
      <c r="AU210" s="94">
        <f>AU193/(AU150*4)</f>
        <v>7.1019442984760905</v>
      </c>
      <c r="AV210" s="94">
        <f>AV193/(AV150*4)</f>
        <v>6.8560074801309021</v>
      </c>
      <c r="AW210" s="95">
        <f>AW193/$AW$150</f>
        <v>8.1087058693428435</v>
      </c>
      <c r="AX210" s="94">
        <f>AX193/(AX150*4)</f>
        <v>6.9786047362165124</v>
      </c>
      <c r="AY210" s="94">
        <f>AY193/(AY150*4)</f>
        <v>6.3412986574347716</v>
      </c>
      <c r="AZ210" s="94">
        <f>AZ193/(AZ150*4)</f>
        <v>6.2653865091088132</v>
      </c>
      <c r="BA210" s="94">
        <f>BA193/(BA150*4)</f>
        <v>5.6016524256761526</v>
      </c>
      <c r="BB210" s="95">
        <f>BB193/$BB$150</f>
        <v>6.4587701264070674</v>
      </c>
      <c r="BC210" s="94">
        <f>BC193/(BC150*4)</f>
        <v>7.5304022450888679</v>
      </c>
      <c r="BD210" s="94">
        <f>BD193/(BD150*4)</f>
        <v>6.1967850851438637</v>
      </c>
      <c r="BE210" s="94">
        <f>BE193/(BE150*4)</f>
        <v>6.1539286480303135</v>
      </c>
      <c r="BF210" s="94">
        <f>BF193/(BF150*4)</f>
        <v>6.3520500262256228</v>
      </c>
      <c r="BG210" s="95">
        <f>BG193/$BG$150</f>
        <v>7.0402198511550296</v>
      </c>
      <c r="BH210" s="94">
        <f>BH193/(BH150*4)</f>
        <v>7.3408180890319539</v>
      </c>
      <c r="BI210" s="711">
        <f>BI193/(BI150*4)</f>
        <v>6.5768316554809845</v>
      </c>
      <c r="BJ210" s="711">
        <f>BJ193/(BJ150*4)</f>
        <v>6.666666666666667</v>
      </c>
      <c r="BK210" s="711">
        <f>BK193/(BK150*4)</f>
        <v>6.533939070016034</v>
      </c>
      <c r="BL210" s="95">
        <f>BL193/$BL$150</f>
        <v>7.3362227037839638</v>
      </c>
      <c r="BM210" s="711">
        <f>BM193/(BM150*4)</f>
        <v>7.070411546713478</v>
      </c>
      <c r="BN210" s="711">
        <f>BN193/(BN150*4)</f>
        <v>6.3814659003377381</v>
      </c>
      <c r="BO210" s="711">
        <f>BO193/(BO150*4)</f>
        <v>6.0196699073027355</v>
      </c>
      <c r="BP210" s="711">
        <f>BP193/(BP150*4)</f>
        <v>6.6995900111815132</v>
      </c>
      <c r="BQ210" s="95">
        <f>BQ193/$BQ$150</f>
        <v>6.5316133720930232</v>
      </c>
      <c r="BR210" s="711">
        <f>BR193/(BR148*4)</f>
        <v>8.2701180886838195</v>
      </c>
      <c r="BS210" s="711">
        <f t="shared" ref="BS210:BU210" si="611">BS193/(BS148*4)</f>
        <v>6.6579300645656208</v>
      </c>
      <c r="BT210" s="711">
        <f t="shared" si="611"/>
        <v>6.7236842105263159</v>
      </c>
      <c r="BU210" s="711">
        <f t="shared" si="611"/>
        <v>7.1797385620915035</v>
      </c>
      <c r="BV210" s="95">
        <f>BV193/$BV$148</f>
        <v>7.1198372750465424</v>
      </c>
      <c r="BW210" s="711">
        <f>BW193/(BW148*4)</f>
        <v>8.0116575310738831</v>
      </c>
      <c r="BX210" s="711">
        <f t="shared" ref="BX210:BZ210" si="612">BX193/(BX148*4)</f>
        <v>7.4124649859943981</v>
      </c>
      <c r="BY210" s="711">
        <f t="shared" si="612"/>
        <v>6.6943578249853832</v>
      </c>
      <c r="BZ210" s="711">
        <f t="shared" si="612"/>
        <v>6.6803353262282297</v>
      </c>
      <c r="CA210" s="95">
        <f>CA193/$CA$148</f>
        <v>7.0877374426862483</v>
      </c>
      <c r="CB210" s="711">
        <f>CB193/(CB148*4)</f>
        <v>8.0219582850521434</v>
      </c>
      <c r="CC210" s="711">
        <f>CC193/(CC148*4)</f>
        <v>7.4491649942660549</v>
      </c>
      <c r="CD210" s="711">
        <f>CD193/(CD148*4)</f>
        <v>7.3389240281429888</v>
      </c>
      <c r="CE210" s="711">
        <f>CE193/(CE148*4)</f>
        <v>6.2353608372149294</v>
      </c>
      <c r="CF210" s="95">
        <f>CF193/CF148</f>
        <v>7.1706812292387694</v>
      </c>
      <c r="CG210" s="711">
        <f>CG193/(CG148*4)</f>
        <v>8.4455041448147519</v>
      </c>
      <c r="CH210" s="711">
        <f>CH193/(CH148*4)</f>
        <v>20.669472681067344</v>
      </c>
      <c r="CI210" s="711">
        <f>CI193/(CI148*4)</f>
        <v>11.740726148624075</v>
      </c>
      <c r="CJ210" s="711">
        <f>CJ193/(CJ148*4)</f>
        <v>12.617026266416511</v>
      </c>
      <c r="CK210" s="95">
        <f>CK193/CK148</f>
        <v>11.675492171756316</v>
      </c>
      <c r="CL210" s="711">
        <f>CL193/(CL148*4)</f>
        <v>14.173166800966962</v>
      </c>
      <c r="CM210" s="711">
        <f>CM193/(CM148*4)</f>
        <v>49.858236374770364</v>
      </c>
      <c r="CN210" s="711">
        <f>CN193/(CN148*4)</f>
        <v>21.738320355951057</v>
      </c>
      <c r="CO210" s="711">
        <f>CO193/(CO148*4)</f>
        <v>14.889382402707275</v>
      </c>
      <c r="CP210" s="95">
        <f>CP193/CP148</f>
        <v>17.422843707461947</v>
      </c>
      <c r="CQ210" s="711">
        <f>CQ193/(CQ148*4)</f>
        <v>16.550773014757553</v>
      </c>
      <c r="CR210" s="711">
        <f>CR193/(CR148*4)</f>
        <v>11.859185369908563</v>
      </c>
      <c r="CS210" s="711">
        <f>CS193/(CS148*4)</f>
        <v>16.239291320923975</v>
      </c>
      <c r="CT210" s="711">
        <f>CT193/(CT148*4)</f>
        <v>15.625368421052631</v>
      </c>
      <c r="CU210" s="95">
        <f>CU193/CU148</f>
        <v>15.230185194685271</v>
      </c>
      <c r="CV210" s="711">
        <f>CV193/(CV148*4)</f>
        <v>17.479572218216774</v>
      </c>
      <c r="CW210" s="711">
        <f>CW193/(CW148*4)</f>
        <v>11.940987296993086</v>
      </c>
      <c r="CX210" s="711">
        <f>CX193/(CX148*4)</f>
        <v>12.261216669327798</v>
      </c>
      <c r="CY210" s="711">
        <f>CY193/(CY148*4)</f>
        <v>8.9392888117953166</v>
      </c>
      <c r="CZ210" s="95">
        <f>CZ193/CZ148</f>
        <v>12.750763521088645</v>
      </c>
      <c r="DA210" s="711">
        <f>DA193/(DA148*4)</f>
        <v>12.442422434367542</v>
      </c>
      <c r="DB210" s="711">
        <f>DB193/(DB148*4)</f>
        <v>10.262047511312216</v>
      </c>
      <c r="DC210" s="711">
        <f>DC193/(DC148*4)</f>
        <v>12.446197308278315</v>
      </c>
      <c r="DD210" s="711">
        <f>DD193/(DD148*4)</f>
        <v>10.507275069172788</v>
      </c>
      <c r="DE210" s="95">
        <f>DE193/DE148</f>
        <v>12.993923483083094</v>
      </c>
      <c r="DF210" s="711">
        <f>DF193/(DF148*4)</f>
        <v>24.045400816677411</v>
      </c>
      <c r="DG210" s="712">
        <f>DG193/(DG148*4)</f>
        <v>18.181492587039813</v>
      </c>
      <c r="DH210" s="712">
        <f>DH193/(DH148*4)</f>
        <v>14.36695552868467</v>
      </c>
      <c r="DI210" s="711">
        <f>DI193/(DI148*4)</f>
        <v>22.846230575388493</v>
      </c>
      <c r="DJ210" s="95">
        <f>DJ193/DJ148</f>
        <v>19.035693976641443</v>
      </c>
      <c r="DK210" s="711">
        <f>DK193/(DK148*4)</f>
        <v>14.129342089112557</v>
      </c>
      <c r="DL210" s="712">
        <f>DL193/(DL148*4)</f>
        <v>12.005632701857643</v>
      </c>
      <c r="DM210" s="712">
        <f>DM193/(DM148*4)</f>
        <v>12.047345411934378</v>
      </c>
      <c r="DN210" s="711">
        <f>DN193/(DN148*4)</f>
        <v>12.463529308375078</v>
      </c>
      <c r="DO210" s="95">
        <f>DO193/DO148</f>
        <v>13.671615173278065</v>
      </c>
      <c r="DP210" s="711">
        <f>DP193/(DP148*4)</f>
        <v>15.635743779202434</v>
      </c>
      <c r="DQ210" s="712">
        <f>DQ193/(DQ148*4)</f>
        <v>12.695174878733726</v>
      </c>
      <c r="DR210" s="104"/>
      <c r="DS210" s="711"/>
      <c r="DT210" s="217"/>
      <c r="DU210" s="711"/>
      <c r="DV210" s="104"/>
      <c r="DW210" s="104"/>
      <c r="DX210" s="711"/>
      <c r="DY210" s="217"/>
      <c r="DZ210" s="217"/>
      <c r="EA210" s="217"/>
      <c r="EB210" s="217"/>
    </row>
    <row r="211" spans="1:132" s="105" customFormat="1" ht="12" customHeight="1">
      <c r="A211" s="68"/>
      <c r="B211" s="166" t="s">
        <v>115</v>
      </c>
      <c r="C211" s="95"/>
      <c r="D211" s="95"/>
      <c r="E211" s="95"/>
      <c r="F211" s="94"/>
      <c r="G211" s="95"/>
      <c r="H211" s="95"/>
      <c r="I211" s="95"/>
      <c r="J211" s="94"/>
      <c r="K211" s="94"/>
      <c r="L211" s="94"/>
      <c r="M211" s="94"/>
      <c r="N211" s="95"/>
      <c r="O211" s="94"/>
      <c r="P211" s="94"/>
      <c r="Q211" s="94"/>
      <c r="R211" s="94"/>
      <c r="S211" s="95"/>
      <c r="T211" s="94"/>
      <c r="U211" s="94"/>
      <c r="V211" s="94"/>
      <c r="W211" s="94"/>
      <c r="X211" s="95"/>
      <c r="Y211" s="94"/>
      <c r="Z211" s="94"/>
      <c r="AA211" s="94"/>
      <c r="AB211" s="94"/>
      <c r="AC211" s="95"/>
      <c r="AD211" s="94"/>
      <c r="AE211" s="94"/>
      <c r="AF211" s="94"/>
      <c r="AG211" s="94"/>
      <c r="AH211" s="95"/>
      <c r="AI211" s="94"/>
      <c r="AJ211" s="94"/>
      <c r="AK211" s="94"/>
      <c r="AL211" s="94"/>
      <c r="AM211" s="95"/>
      <c r="AN211" s="94"/>
      <c r="AO211" s="94"/>
      <c r="AP211" s="94"/>
      <c r="AQ211" s="94"/>
      <c r="AR211" s="95"/>
      <c r="AS211" s="94"/>
      <c r="AT211" s="94"/>
      <c r="AU211" s="94"/>
      <c r="AV211" s="94"/>
      <c r="AW211" s="95"/>
      <c r="AX211" s="94"/>
      <c r="AY211" s="94"/>
      <c r="AZ211" s="94"/>
      <c r="BA211" s="94"/>
      <c r="BB211" s="95"/>
      <c r="BC211" s="94"/>
      <c r="BD211" s="94"/>
      <c r="BE211" s="94"/>
      <c r="BF211" s="94"/>
      <c r="BG211" s="95"/>
      <c r="BH211" s="94"/>
      <c r="BI211" s="711"/>
      <c r="BJ211" s="94"/>
      <c r="BK211" s="94"/>
      <c r="BL211" s="95"/>
      <c r="BM211" s="94"/>
      <c r="BN211" s="711"/>
      <c r="BO211" s="94"/>
      <c r="BP211" s="94"/>
      <c r="BQ211" s="217"/>
      <c r="BR211" s="94"/>
      <c r="BS211" s="711"/>
      <c r="BT211" s="94"/>
      <c r="BU211" s="94"/>
      <c r="BV211" s="217"/>
      <c r="BW211" s="94"/>
      <c r="BX211" s="711"/>
      <c r="BY211" s="94"/>
      <c r="BZ211" s="94"/>
      <c r="CA211" s="217"/>
      <c r="CB211" s="94"/>
      <c r="CC211" s="711"/>
      <c r="CD211" s="94"/>
      <c r="CE211" s="94"/>
      <c r="CF211" s="217"/>
      <c r="CG211" s="94"/>
      <c r="CH211" s="711"/>
      <c r="CI211" s="711"/>
      <c r="CJ211" s="711"/>
      <c r="CK211" s="217"/>
      <c r="CL211" s="94"/>
      <c r="CM211" s="94"/>
      <c r="CN211" s="94"/>
      <c r="CO211" s="94"/>
      <c r="CP211" s="217"/>
      <c r="CQ211" s="94"/>
      <c r="CR211" s="94"/>
      <c r="CS211" s="94"/>
      <c r="CT211" s="94"/>
      <c r="CU211" s="217"/>
      <c r="CV211" s="94"/>
      <c r="CW211" s="94"/>
      <c r="CX211" s="94"/>
      <c r="CY211" s="94"/>
      <c r="CZ211" s="217"/>
      <c r="DA211" s="94"/>
      <c r="DB211" s="94"/>
      <c r="DC211" s="94"/>
      <c r="DD211" s="94"/>
      <c r="DE211" s="217"/>
      <c r="DF211" s="94"/>
      <c r="DG211" s="616"/>
      <c r="DH211" s="616"/>
      <c r="DI211" s="94"/>
      <c r="DJ211" s="217"/>
      <c r="DK211" s="94"/>
      <c r="DL211" s="616"/>
      <c r="DM211" s="616"/>
      <c r="DN211" s="94"/>
      <c r="DO211" s="217"/>
      <c r="DP211" s="94"/>
      <c r="DQ211" s="616"/>
      <c r="DR211" s="104"/>
      <c r="DS211" s="94"/>
      <c r="DT211" s="217"/>
      <c r="DU211" s="94"/>
      <c r="DV211" s="104"/>
      <c r="DW211" s="104"/>
      <c r="DX211" s="94"/>
      <c r="DY211" s="217"/>
      <c r="DZ211" s="217"/>
      <c r="EA211" s="217"/>
      <c r="EB211" s="217"/>
    </row>
    <row r="212" spans="1:132" s="105" customFormat="1" ht="12" customHeight="1">
      <c r="A212" s="68"/>
      <c r="B212" s="547" t="s">
        <v>553</v>
      </c>
      <c r="C212" s="95">
        <f t="shared" ref="C212:I212" si="613">C203/C160</f>
        <v>1.5366620689655173</v>
      </c>
      <c r="D212" s="95">
        <f t="shared" si="613"/>
        <v>1.3501182152019719</v>
      </c>
      <c r="E212" s="95">
        <f t="shared" si="613"/>
        <v>1.3792451839798436</v>
      </c>
      <c r="F212" s="94">
        <f t="shared" si="613"/>
        <v>1.5230282664558212</v>
      </c>
      <c r="G212" s="95">
        <f t="shared" si="613"/>
        <v>1.3474030243261013</v>
      </c>
      <c r="H212" s="95">
        <f t="shared" si="613"/>
        <v>1.4430420322955484</v>
      </c>
      <c r="I212" s="95">
        <f t="shared" si="613"/>
        <v>1.4942070830744489</v>
      </c>
      <c r="J212" s="94">
        <f>J203/(J160*4)</f>
        <v>1.401476338142106</v>
      </c>
      <c r="K212" s="94">
        <f>K203/(K160*4)</f>
        <v>1.437133482267523</v>
      </c>
      <c r="L212" s="94">
        <f>L203/(L160*4)</f>
        <v>1.1341566775638696</v>
      </c>
      <c r="M212" s="94">
        <f>M203/(M160*4)</f>
        <v>1.2833027402648485</v>
      </c>
      <c r="N212" s="95">
        <f>N203/$N$160</f>
        <v>1.2851140653208599</v>
      </c>
      <c r="O212" s="94">
        <f>O203/(O160*4)</f>
        <v>1.4530359273498608</v>
      </c>
      <c r="P212" s="94">
        <f>P203/(P160*4)</f>
        <v>1.3221389821751486</v>
      </c>
      <c r="Q212" s="94">
        <f>Q203/(Q160*4)</f>
        <v>1.1978729169489228</v>
      </c>
      <c r="R212" s="94">
        <f>R203/(R160*4)</f>
        <v>1.1181846153846153</v>
      </c>
      <c r="S212" s="95">
        <f>S203/$S$160</f>
        <v>1.1802474749115002</v>
      </c>
      <c r="T212" s="94">
        <f>T203/(T160*4)</f>
        <v>1.4699067631505705</v>
      </c>
      <c r="U212" s="94">
        <f>U203/(U160*4)</f>
        <v>1.2472022125032158</v>
      </c>
      <c r="V212" s="94">
        <f>V203/(V160*4)</f>
        <v>1.158848819301848</v>
      </c>
      <c r="W212" s="94">
        <f>W203/$X$160</f>
        <v>1.3037084990289467</v>
      </c>
      <c r="X212" s="95">
        <f>X203/$X$160</f>
        <v>1.3037084990289467</v>
      </c>
      <c r="Y212" s="94">
        <f>Y203/(Y160*4)</f>
        <v>1.3525126278979407</v>
      </c>
      <c r="Z212" s="94">
        <f>Z203/(Z160*4)</f>
        <v>1.2681994737501565</v>
      </c>
      <c r="AA212" s="94">
        <f>AA203/(AA160*4)</f>
        <v>1.2028596403596403</v>
      </c>
      <c r="AB212" s="94">
        <f>AB203/(AB160*4)</f>
        <v>1.2481481481481482</v>
      </c>
      <c r="AC212" s="95">
        <f>AC203/$AC$160</f>
        <v>1.3026184538653367</v>
      </c>
      <c r="AD212" s="94">
        <f>AD203/(AD160*4)</f>
        <v>1.4663696369636963</v>
      </c>
      <c r="AE212" s="94">
        <f>AE203/(AE160*4)</f>
        <v>1.4356566675069322</v>
      </c>
      <c r="AF212" s="94">
        <f>AF203/(AF160*4)</f>
        <v>1.2180769683417676</v>
      </c>
      <c r="AG212" s="94">
        <f>AG203/(AG160*4)</f>
        <v>1.4061917774189541</v>
      </c>
      <c r="AH212" s="95">
        <f>AH203/$AH$160</f>
        <v>1.4130807875932225</v>
      </c>
      <c r="AI212" s="94">
        <f>AI203/(AI160*4)</f>
        <v>1.576910621761658</v>
      </c>
      <c r="AJ212" s="94">
        <f>AJ203/(AJ160*4)</f>
        <v>1.3823699421965319</v>
      </c>
      <c r="AK212" s="94">
        <f>AK203/(AK160*4)</f>
        <v>1.2871683440073194</v>
      </c>
      <c r="AL212" s="94">
        <f>AL203/(AL160*4)</f>
        <v>1.3462033462033463</v>
      </c>
      <c r="AM212" s="95">
        <f>AM203/$AH$160</f>
        <v>1.4361406683932973</v>
      </c>
      <c r="AN212" s="94">
        <f>AN203/(AN160*4)</f>
        <v>1.5926704321555234</v>
      </c>
      <c r="AO212" s="94">
        <f>AO203/(AO160*4)</f>
        <v>1.4405611925341351</v>
      </c>
      <c r="AP212" s="94">
        <f>AP203/(AP160*4)</f>
        <v>1.4145380102664384</v>
      </c>
      <c r="AQ212" s="94">
        <f>AQ203/(AQ160*4)</f>
        <v>1.4819350887936313</v>
      </c>
      <c r="AR212" s="95">
        <f>AR203/$AR$160</f>
        <v>1.5151989481263501</v>
      </c>
      <c r="AS212" s="94">
        <f>AS203/(AS160*4)</f>
        <v>1.5885519233293948</v>
      </c>
      <c r="AT212" s="94">
        <f>AT203/(AT160*4)</f>
        <v>1.5641259105098855</v>
      </c>
      <c r="AU212" s="94">
        <f>AU203/(AU160*4)</f>
        <v>1.4207317073170731</v>
      </c>
      <c r="AV212" s="94">
        <f>AV203/(AV160*4)</f>
        <v>1.36937787746429</v>
      </c>
      <c r="AW212" s="95">
        <f>AW203/$AW$160</f>
        <v>1.4510883162371779</v>
      </c>
      <c r="AX212" s="94">
        <f>AX203/(AX160*4)</f>
        <v>1.6184865784039839</v>
      </c>
      <c r="AY212" s="94">
        <f>AY203/(AY160*4)</f>
        <v>1.654052734375</v>
      </c>
      <c r="AZ212" s="94">
        <f>AZ203/(AZ160*4)</f>
        <v>1.6679423395841306</v>
      </c>
      <c r="BA212" s="94">
        <f>BA203/(BA160*4)</f>
        <v>1.6510847416996284</v>
      </c>
      <c r="BB212" s="95">
        <f>BB203/$BB$160</f>
        <v>1.6898212040359433</v>
      </c>
      <c r="BC212" s="94">
        <f>BC203/(BC160*4)</f>
        <v>1.590628853267571</v>
      </c>
      <c r="BD212" s="94">
        <f>BD203/(BD160*4)</f>
        <v>1.5728072318592718</v>
      </c>
      <c r="BE212" s="94">
        <f>BE203/(BE160*4)</f>
        <v>1.5815311956251554</v>
      </c>
      <c r="BF212" s="94">
        <f>BF203/(BF160*4)</f>
        <v>1.4003387916431396</v>
      </c>
      <c r="BG212" s="95">
        <f>BG203/$BG$160</f>
        <v>1.4941109136367745</v>
      </c>
      <c r="BH212" s="94">
        <f>BH203/(BH160*4)</f>
        <v>1.5950478186820385</v>
      </c>
      <c r="BI212" s="711">
        <f>BI203/(BI160*4)</f>
        <v>1.6038466503162514</v>
      </c>
      <c r="BJ212" s="711">
        <f>BJ203/(BJ160*4)</f>
        <v>1.4375078983950462</v>
      </c>
      <c r="BK212" s="711">
        <f>BK203/(BK160*4)</f>
        <v>1.5452029520295203</v>
      </c>
      <c r="BL212" s="95">
        <f>BL203/$BL$160</f>
        <v>1.5187332016450243</v>
      </c>
      <c r="BM212" s="711">
        <f>BM203/(BM160*4)</f>
        <v>1.7737367715009689</v>
      </c>
      <c r="BN212" s="711">
        <f>BN203/(BN160*4)</f>
        <v>1.6039236479321315</v>
      </c>
      <c r="BO212" s="711">
        <f>BO203/(BO160*4)</f>
        <v>1.3832335329341316</v>
      </c>
      <c r="BP212" s="711">
        <f>BP203/(BP160*4)</f>
        <v>1.451509312780989</v>
      </c>
      <c r="BQ212" s="95">
        <f>BQ203/$BQ$160</f>
        <v>1.4874292483875213</v>
      </c>
      <c r="BR212" s="711">
        <f>BR203/(BR149*4)</f>
        <v>1.9230769230769231</v>
      </c>
      <c r="BS212" s="711">
        <f t="shared" ref="BS212:BU212" si="614">BS203/(BS149*4)</f>
        <v>2.150537634408602</v>
      </c>
      <c r="BT212" s="711">
        <f t="shared" si="614"/>
        <v>1.7431750999826117</v>
      </c>
      <c r="BU212" s="711">
        <f t="shared" si="614"/>
        <v>2.1215921999242711</v>
      </c>
      <c r="BV212" s="95">
        <f>BV203/$BV$149</f>
        <v>1.9866595754110712</v>
      </c>
      <c r="BW212" s="711">
        <f>BW203/(BW149*4)</f>
        <v>2.2691705790297338</v>
      </c>
      <c r="BX212" s="711">
        <f t="shared" ref="BX212:BZ212" si="615">BX203/(BX149*4)</f>
        <v>2.1489692726565539</v>
      </c>
      <c r="BY212" s="711">
        <f t="shared" si="615"/>
        <v>2.2699009900990097</v>
      </c>
      <c r="BZ212" s="711">
        <f t="shared" si="615"/>
        <v>2.0947783907171389</v>
      </c>
      <c r="CA212" s="95">
        <f>CA203/$CA$149</f>
        <v>2.1423568892563591</v>
      </c>
      <c r="CB212" s="711">
        <f>CB203/(CB149*4)</f>
        <v>1.9442987193334362</v>
      </c>
      <c r="CC212" s="711">
        <f>CC203/(CC149*4)</f>
        <v>2.1280737704918034</v>
      </c>
      <c r="CD212" s="711">
        <f>CD203/(CD149*4)</f>
        <v>2.0857359088943346</v>
      </c>
      <c r="CE212" s="711">
        <f t="shared" ref="CE212" si="616">CE203/(CE149*4)</f>
        <v>2.0790660459703227</v>
      </c>
      <c r="CF212" s="95">
        <f>CF203/$CF$149</f>
        <v>2.1660351621703549</v>
      </c>
      <c r="CG212" s="711">
        <f>CG203/(CG149*4)</f>
        <v>2.5257147178944184</v>
      </c>
      <c r="CH212" s="711">
        <f>CH203/(CH149*4)</f>
        <v>2.4150030248033878</v>
      </c>
      <c r="CI212" s="711">
        <f>CI203/(CI149*4)</f>
        <v>2.2043701799485862</v>
      </c>
      <c r="CJ212" s="711">
        <f>CJ203/(CJ149*4)</f>
        <v>2.6798054344179807</v>
      </c>
      <c r="CK212" s="95">
        <f>CK203/CK149</f>
        <v>2.4404475503112231</v>
      </c>
      <c r="CL212" s="711">
        <f>CL203/(CL149*4)</f>
        <v>2.6306686527639855</v>
      </c>
      <c r="CM212" s="711">
        <f t="shared" ref="CM212:CN212" si="617">CM203/(CM149*4)</f>
        <v>2.4395112325440196</v>
      </c>
      <c r="CN212" s="711">
        <f t="shared" si="617"/>
        <v>2.2771247079439254</v>
      </c>
      <c r="CO212" s="711">
        <f t="shared" ref="CO212" si="618">CO203/(CO149*4)</f>
        <v>2.2439519103112553</v>
      </c>
      <c r="CP212" s="95">
        <f>CP203/CP149</f>
        <v>2.3173629889172411</v>
      </c>
      <c r="CQ212" s="711">
        <f>CQ203/(CQ149*4)</f>
        <v>2.1318371607515658</v>
      </c>
      <c r="CR212" s="711">
        <f>CR203/(CR149*4)</f>
        <v>2.1344168121000582</v>
      </c>
      <c r="CS212" s="711">
        <f>CS203/(CS149*4)</f>
        <v>2.2077603143418467</v>
      </c>
      <c r="CT212" s="711">
        <f>CT203/(CT149*4)</f>
        <v>2.5515182531559195</v>
      </c>
      <c r="CU212" s="95">
        <f>CU203/CU149</f>
        <v>2.2542577241899022</v>
      </c>
      <c r="CV212" s="711">
        <f>CV203/(CV149*4)</f>
        <v>2.7238281962429327</v>
      </c>
      <c r="CW212" s="711">
        <f>CW203/(CW149*4)</f>
        <v>2.2371587788725571</v>
      </c>
      <c r="CX212" s="711">
        <f>CX203/(CX149*4)</f>
        <v>2.5786696815526664</v>
      </c>
      <c r="CY212" s="711">
        <f>CY203/(CY149*4)</f>
        <v>2.1991991587121826</v>
      </c>
      <c r="CZ212" s="95">
        <f>CZ203/CZ149</f>
        <v>2.3475088507037389</v>
      </c>
      <c r="DA212" s="711">
        <f>DA203/(DA149*4)</f>
        <v>2.2231992659428048</v>
      </c>
      <c r="DB212" s="711">
        <f>DB203/(DB149*4)</f>
        <v>2.3311577752553916</v>
      </c>
      <c r="DC212" s="711">
        <f>DC203/(DC149*4)</f>
        <v>2.6364714468162744</v>
      </c>
      <c r="DD212" s="711">
        <f>DD203/(DD149*4)</f>
        <v>2.1869255855321672</v>
      </c>
      <c r="DE212" s="95">
        <f>DE203/DE149</f>
        <v>2.366823085870132</v>
      </c>
      <c r="DF212" s="711">
        <f>DF203/(DF149*4)</f>
        <v>2.1850359712230216</v>
      </c>
      <c r="DG212" s="712">
        <f>DG203/(DG149*4)</f>
        <v>2.4520428500249127</v>
      </c>
      <c r="DH212" s="712">
        <f>DH203/(DH149*4)</f>
        <v>2.7827402456647401</v>
      </c>
      <c r="DI212" s="711">
        <f>DI203/(DI149*4)</f>
        <v>2.9580022177046756</v>
      </c>
      <c r="DJ212" s="95">
        <f>DJ203/DJ149</f>
        <v>2.6767706329960701</v>
      </c>
      <c r="DK212" s="711">
        <f>DK203/(DK149*4)</f>
        <v>2.4439107653223244</v>
      </c>
      <c r="DL212" s="712">
        <f>DL203/(DL149*4)</f>
        <v>2.7942043222003927</v>
      </c>
      <c r="DM212" s="712">
        <f>DM203/(DM149*4)</f>
        <v>2.7558678643871342</v>
      </c>
      <c r="DN212" s="711">
        <f>DN203/(DN149*4)</f>
        <v>2.8578266145341784</v>
      </c>
      <c r="DO212" s="95">
        <f>DO203/DO149</f>
        <v>3.113240801938753</v>
      </c>
      <c r="DP212" s="711">
        <f>DP203/(DP149*4)</f>
        <v>2.8234307145677064</v>
      </c>
      <c r="DQ212" s="712">
        <f>DQ203/(DQ149*4)</f>
        <v>2.8505278631564881</v>
      </c>
      <c r="DR212" s="104"/>
      <c r="DS212" s="711"/>
      <c r="DT212" s="217"/>
      <c r="DU212" s="711"/>
      <c r="DV212" s="104"/>
      <c r="DW212" s="104"/>
      <c r="DX212" s="711"/>
      <c r="DY212" s="217"/>
      <c r="DZ212" s="217"/>
      <c r="EA212" s="217"/>
      <c r="EB212" s="217"/>
    </row>
    <row r="213" spans="1:132" s="105" customFormat="1" ht="12" customHeight="1">
      <c r="A213" s="68"/>
      <c r="B213" s="166" t="s">
        <v>120</v>
      </c>
      <c r="C213" s="95">
        <f t="shared" ref="C213:I213" si="619">C206/C165</f>
        <v>2.6558951965065503</v>
      </c>
      <c r="D213" s="95">
        <f t="shared" si="619"/>
        <v>2.0104712041884816</v>
      </c>
      <c r="E213" s="95">
        <f t="shared" si="619"/>
        <v>1.7113789595295985</v>
      </c>
      <c r="F213" s="94">
        <f t="shared" si="619"/>
        <v>2.3499152393756941</v>
      </c>
      <c r="G213" s="95">
        <f t="shared" si="619"/>
        <v>1.8315234200487989</v>
      </c>
      <c r="H213" s="95">
        <f t="shared" si="619"/>
        <v>1.9266677763598365</v>
      </c>
      <c r="I213" s="95">
        <f t="shared" si="619"/>
        <v>2.0761018124195307</v>
      </c>
      <c r="J213" s="94">
        <f>J206/(J165*4)</f>
        <v>2.00252720117293</v>
      </c>
      <c r="K213" s="94">
        <f>K206/(K165*4)</f>
        <v>1.9741366136919316</v>
      </c>
      <c r="L213" s="94">
        <f>L206/(L165*4)</f>
        <v>2.0082877128953771</v>
      </c>
      <c r="M213" s="94">
        <f>M206/(M165*4)</f>
        <v>2.0666767234877055</v>
      </c>
      <c r="N213" s="95">
        <f>N206/$N$165</f>
        <v>2.089330308633738</v>
      </c>
      <c r="O213" s="94">
        <f>O206/(O165*4)</f>
        <v>2.1660699160699162</v>
      </c>
      <c r="P213" s="94">
        <f>P206/(P165*4)</f>
        <v>2.1230702688315146</v>
      </c>
      <c r="Q213" s="94">
        <f>Q206/(Q165*4)</f>
        <v>2.6413611529020509</v>
      </c>
      <c r="R213" s="94">
        <f>R206/(R165*4)</f>
        <v>2.8250299274698967</v>
      </c>
      <c r="S213" s="95">
        <f>S206/$S$165</f>
        <v>2.9259367307867628</v>
      </c>
      <c r="T213" s="94">
        <f>T206/(T165*4)</f>
        <v>3.0466208637128434</v>
      </c>
      <c r="U213" s="94">
        <f>U206/(U165*4)</f>
        <v>3.0103596690244228</v>
      </c>
      <c r="V213" s="94">
        <f>V206/(V165*4)</f>
        <v>3.2250322274238417</v>
      </c>
      <c r="W213" s="94">
        <f>W206/$X$165</f>
        <v>3.5196977084349097</v>
      </c>
      <c r="X213" s="95">
        <f>X206/$X$165</f>
        <v>3.5196977084349097</v>
      </c>
      <c r="Y213" s="94">
        <f>Y206/(Y165*4)</f>
        <v>3.7461275626423691</v>
      </c>
      <c r="Z213" s="94">
        <f>Z206/(Z165*4)</f>
        <v>3.6442330279539581</v>
      </c>
      <c r="AA213" s="94">
        <f>AA206/(AA165*4)</f>
        <v>3.9798994974874371</v>
      </c>
      <c r="AB213" s="94">
        <f>AB206/(AB165*4)</f>
        <v>4.2479258453968072</v>
      </c>
      <c r="AC213" s="95">
        <f>AC206/$AC$165</f>
        <v>4.4732251796285416</v>
      </c>
      <c r="AD213" s="94">
        <f>AD206/(AD165*4)</f>
        <v>4.9346466541588496</v>
      </c>
      <c r="AE213" s="94">
        <f>AE206/(AE165*4)</f>
        <v>4.7180167433085725</v>
      </c>
      <c r="AF213" s="94">
        <f>AF206/(AF165*4)</f>
        <v>5.1865068985810501</v>
      </c>
      <c r="AG213" s="94">
        <f>AG206/(AG165*4)</f>
        <v>6.3933196462413138</v>
      </c>
      <c r="AH213" s="95">
        <f>AH206/$AH$165</f>
        <v>5.3171124136006176</v>
      </c>
      <c r="AI213" s="94">
        <f>AI206/(AI165*4)</f>
        <v>4.7678766210156347</v>
      </c>
      <c r="AJ213" s="94">
        <f>AJ206/(AJ165*4)</f>
        <v>4.4490060627258945</v>
      </c>
      <c r="AK213" s="94">
        <f>AK206/(AK165*4)</f>
        <v>4.4786373441994245</v>
      </c>
      <c r="AL213" s="94">
        <f>AL206/(AL165*4)</f>
        <v>4.1325193733623236</v>
      </c>
      <c r="AM213" s="95">
        <f>AM206/$AH$165</f>
        <v>4.8679177133100202</v>
      </c>
      <c r="AN213" s="94">
        <f>AN206/(AN165*4)</f>
        <v>4.9109490010515247</v>
      </c>
      <c r="AO213" s="94">
        <f>AO206/(AO165*4)</f>
        <v>4.7774995183972262</v>
      </c>
      <c r="AP213" s="94">
        <f>AP206/(AP165*4)</f>
        <v>4.4420198031472857</v>
      </c>
      <c r="AQ213" s="94">
        <f>AQ206/(AQ165*4)</f>
        <v>4.5921450151057401</v>
      </c>
      <c r="AR213" s="95">
        <f>AR206/$AR$165</f>
        <v>4.7273971324604238</v>
      </c>
      <c r="AS213" s="94">
        <f>AS206/(AS165*4)</f>
        <v>5.1861167002012074</v>
      </c>
      <c r="AT213" s="94">
        <f>AT206/(AT165*4)</f>
        <v>4.6545366620322799</v>
      </c>
      <c r="AU213" s="94">
        <f>AU206/(AU165*4)</f>
        <v>4.4691713205844197</v>
      </c>
      <c r="AV213" s="94">
        <f>AV206/(AV165*4)</f>
        <v>4.3428790590641784</v>
      </c>
      <c r="AW213" s="95">
        <f>AW206/$AW$165</f>
        <v>4.9421692005528479</v>
      </c>
      <c r="AX213" s="94">
        <f>AX206/(AX165*4)</f>
        <v>4.6251870195532163</v>
      </c>
      <c r="AY213" s="94">
        <f>AY206/(AY165*4)</f>
        <v>4.4313921519620099</v>
      </c>
      <c r="AZ213" s="94">
        <f>AZ206/(AZ165*4)</f>
        <v>4.4694622151139543</v>
      </c>
      <c r="BA213" s="94">
        <f>BA206/(BA165*4)</f>
        <v>4.1745134965473945</v>
      </c>
      <c r="BB213" s="95">
        <f>BB206/$BB$165</f>
        <v>4.5582511199784577</v>
      </c>
      <c r="BC213" s="94">
        <f>BC206/(BC165*4)</f>
        <v>4.9436299158418464</v>
      </c>
      <c r="BD213" s="94">
        <f>BD206/(BD165*4)</f>
        <v>4.4602337840935133</v>
      </c>
      <c r="BE213" s="94">
        <f>BE206/(BE165*4)</f>
        <v>4.4645277903298686</v>
      </c>
      <c r="BF213" s="94">
        <f>BF206/(BF165*4)</f>
        <v>4.4418191067592172</v>
      </c>
      <c r="BG213" s="95">
        <f>BG206/$BG$165</f>
        <v>4.8785950200465695</v>
      </c>
      <c r="BH213" s="94">
        <f>BH206/(BH165*4)</f>
        <v>5.163694111898363</v>
      </c>
      <c r="BI213" s="711">
        <f>BI206/(BI165*4)</f>
        <v>4.831027443864822</v>
      </c>
      <c r="BJ213" s="711">
        <f>BJ206/(BJ165*4)</f>
        <v>4.9939034645139593</v>
      </c>
      <c r="BK213" s="711">
        <f>BK206/(BK165*4)</f>
        <v>4.9758868726499914</v>
      </c>
      <c r="BL213" s="95">
        <f>BL206/$BL$165</f>
        <v>5.3656816729468284</v>
      </c>
      <c r="BM213" s="711">
        <f>BM206/(BM165*4)</f>
        <v>5.4471985191205023</v>
      </c>
      <c r="BN213" s="711">
        <f>BN206/(BN165*4)</f>
        <v>4.8812288636271033</v>
      </c>
      <c r="BO213" s="711">
        <f>BO206/(BO165*4)</f>
        <v>4.5669078107470309</v>
      </c>
      <c r="BP213" s="711">
        <f>BP206/(BP165*4)</f>
        <v>5.0545115174139905</v>
      </c>
      <c r="BQ213" s="95">
        <f>BQ206/$BQ$165</f>
        <v>4.9586948831595814</v>
      </c>
      <c r="BR213" s="711">
        <f>BR206/(BR165*4)</f>
        <v>5.1939731353835281</v>
      </c>
      <c r="BS213" s="711">
        <f>BS206/(BS165*4)</f>
        <v>4.6758230660472631</v>
      </c>
      <c r="BT213" s="711">
        <f>BT206/(BT165*4)</f>
        <v>4.6959996652439537</v>
      </c>
      <c r="BU213" s="711">
        <f>BU206/(BU165*4)</f>
        <v>4.9200914712702914</v>
      </c>
      <c r="BV213" s="95">
        <f>BV206/$BV$165</f>
        <v>4.8458512651870027</v>
      </c>
      <c r="BW213" s="711">
        <f>BW206/(BW165*4)</f>
        <v>5.253631437548381</v>
      </c>
      <c r="BX213" s="711">
        <f>BX206/(BX165*4)</f>
        <v>5.0713634983297906</v>
      </c>
      <c r="BY213" s="711">
        <f>BY206/(BY165*4)</f>
        <v>4.7462225983569333</v>
      </c>
      <c r="BZ213" s="711">
        <f>BZ206/(BZ165*4)</f>
        <v>4.6143116673395239</v>
      </c>
      <c r="CA213" s="95">
        <f>CA206/$CA$165</f>
        <v>4.8634221583958297</v>
      </c>
      <c r="CB213" s="711">
        <f>CB206/(CB165*4)</f>
        <v>4.9369386707723892</v>
      </c>
      <c r="CC213" s="711">
        <f>CC206/(CC165*4)</f>
        <v>4.7843701047077252</v>
      </c>
      <c r="CD213" s="711">
        <f>CD206/(CD165*4)</f>
        <v>4.5978286805058461</v>
      </c>
      <c r="CE213" s="711">
        <f>CE206/(CE165*4)</f>
        <v>4.0759853216188562</v>
      </c>
      <c r="CF213" s="95">
        <f>CF206/$CF$165</f>
        <v>4.5692050589852364</v>
      </c>
      <c r="CG213" s="711">
        <f>CG206/(CG165*4)</f>
        <v>5.0071780774097832</v>
      </c>
      <c r="CH213" s="711">
        <f>CH206/(CH165*4)</f>
        <v>7.1236111992889342</v>
      </c>
      <c r="CI213" s="711">
        <f>CI206/(CI165*4)</f>
        <v>5.564451951951952</v>
      </c>
      <c r="CJ213" s="711">
        <f>CJ206/(CJ165*4)</f>
        <v>6.0922477806934285</v>
      </c>
      <c r="CK213" s="95">
        <f>CK206/$CK165</f>
        <v>5.7011324599328619</v>
      </c>
      <c r="CL213" s="711">
        <f>CL206/(CL165*4)</f>
        <v>6.116542465105276</v>
      </c>
      <c r="CM213" s="711">
        <f t="shared" ref="CM213:CN213" si="620">CM206/(CM165*4)</f>
        <v>8.1601804014567634</v>
      </c>
      <c r="CN213" s="711">
        <f t="shared" si="620"/>
        <v>6.5230214300869935</v>
      </c>
      <c r="CO213" s="711">
        <f t="shared" ref="CO213" si="621">CO206/(CO165*4)</f>
        <v>5.5428156037637217</v>
      </c>
      <c r="CP213" s="95">
        <f>CP206/$CK165</f>
        <v>4.4319936258310584</v>
      </c>
      <c r="CQ213" s="711">
        <f>CQ206/(CQ165*4)</f>
        <v>5.6136557797200499</v>
      </c>
      <c r="CR213" s="711">
        <f>CR206/(CR165*4)</f>
        <v>5.0338422167313803</v>
      </c>
      <c r="CS213" s="711">
        <f>CS206/(CS165*4)</f>
        <v>5.6976207618798274</v>
      </c>
      <c r="CT213" s="711">
        <f>CT206/(CT165*4)</f>
        <v>6.0224599472723588</v>
      </c>
      <c r="CU213" s="95">
        <f>CU206/$CK165</f>
        <v>4.6547238077822337</v>
      </c>
      <c r="CV213" s="711">
        <f>CV206/(CV165*4)</f>
        <v>6.2256807947966548</v>
      </c>
      <c r="CW213" s="711">
        <f>CW206/(CW165*4)</f>
        <v>5.2641028715304836</v>
      </c>
      <c r="CX213" s="711">
        <f>CX206/(CX165*4)</f>
        <v>5.6863562296314862</v>
      </c>
      <c r="CY213" s="711">
        <f>CY206/(CY165*4)</f>
        <v>4.7794919919919918</v>
      </c>
      <c r="CZ213" s="95">
        <f>CZ206/$CK165</f>
        <v>4.9893154299298583</v>
      </c>
      <c r="DA213" s="711">
        <f>DA206/(DA165*4)</f>
        <v>5.4231488198203222</v>
      </c>
      <c r="DB213" s="711">
        <f>DB206/(DB165*4)</f>
        <v>5.2786820920459725</v>
      </c>
      <c r="DC213" s="711">
        <f>DC206/(DC165*4)</f>
        <v>6.1616079319487405</v>
      </c>
      <c r="DD213" s="711">
        <f>DD206/(DD165*4)</f>
        <v>5.6441774911436093</v>
      </c>
      <c r="DE213" s="95">
        <f>DE206/$CK165</f>
        <v>6.492953147245915</v>
      </c>
      <c r="DF213" s="711">
        <f>DF206/(DF165*4)</f>
        <v>7.6335023236163924</v>
      </c>
      <c r="DG213" s="712">
        <f>DG206/(DG165*4)</f>
        <v>7.3425530653385511</v>
      </c>
      <c r="DH213" s="712">
        <f>DH206/(DH165*4)</f>
        <v>6.8571328475336326</v>
      </c>
      <c r="DI213" s="711">
        <f>DI206/(DI165*4)</f>
        <v>8.1813738354546643</v>
      </c>
      <c r="DJ213" s="95">
        <f>DJ206/$CK165</f>
        <v>6.5152627385415167</v>
      </c>
      <c r="DK213" s="711">
        <f>DK206/(DK165*4)</f>
        <v>6.7188654082888801</v>
      </c>
      <c r="DL213" s="712">
        <f>DL206/(DL165*4)</f>
        <v>6.4150841795243743</v>
      </c>
      <c r="DM213" s="712">
        <f>DM206/(DM165*4)</f>
        <v>6.4305006446067896</v>
      </c>
      <c r="DN213" s="711">
        <f>DN206/(DN165*4)</f>
        <v>6.6782299148154332</v>
      </c>
      <c r="DO213" s="95">
        <f>DO206/$CK165</f>
        <v>8.3559215768231034</v>
      </c>
      <c r="DP213" s="711">
        <f>DP206/(DP165*4)</f>
        <v>7.3442746545438178</v>
      </c>
      <c r="DQ213" s="712">
        <f>DQ206/(DQ165*4)</f>
        <v>6.8658998371335507</v>
      </c>
      <c r="DR213" s="104"/>
      <c r="DS213" s="711"/>
      <c r="DT213" s="217"/>
      <c r="DU213" s="711"/>
      <c r="DV213" s="104"/>
      <c r="DW213" s="104"/>
      <c r="DX213" s="711"/>
      <c r="DY213" s="217"/>
      <c r="DZ213" s="217"/>
      <c r="EA213" s="217"/>
      <c r="EB213" s="217"/>
    </row>
    <row r="214" spans="1:132" s="105" customFormat="1" ht="12" customHeight="1">
      <c r="A214" s="68"/>
      <c r="B214" s="166"/>
      <c r="C214" s="95"/>
      <c r="D214" s="95"/>
      <c r="E214" s="95"/>
      <c r="F214" s="94"/>
      <c r="G214" s="95"/>
      <c r="H214" s="95"/>
      <c r="I214" s="95"/>
      <c r="J214" s="94"/>
      <c r="K214" s="94"/>
      <c r="L214" s="94"/>
      <c r="M214" s="94"/>
      <c r="N214" s="95"/>
      <c r="O214" s="94"/>
      <c r="P214" s="94"/>
      <c r="Q214" s="94"/>
      <c r="R214" s="94"/>
      <c r="S214" s="95"/>
      <c r="T214" s="94"/>
      <c r="U214" s="94"/>
      <c r="V214" s="94"/>
      <c r="W214" s="94"/>
      <c r="X214" s="95"/>
      <c r="Y214" s="94"/>
      <c r="Z214" s="94"/>
      <c r="AA214" s="94"/>
      <c r="AB214" s="94"/>
      <c r="AC214" s="95"/>
      <c r="AD214" s="94"/>
      <c r="AE214" s="94"/>
      <c r="AF214" s="94"/>
      <c r="AG214" s="94"/>
      <c r="AH214" s="95"/>
      <c r="AI214" s="94"/>
      <c r="AJ214" s="94"/>
      <c r="AK214" s="94"/>
      <c r="AL214" s="94"/>
      <c r="AM214" s="95"/>
      <c r="AN214" s="94"/>
      <c r="AO214" s="94"/>
      <c r="AP214" s="94"/>
      <c r="AQ214" s="94"/>
      <c r="AR214" s="95"/>
      <c r="AS214" s="94"/>
      <c r="AT214" s="94"/>
      <c r="AU214" s="94"/>
      <c r="AV214" s="94"/>
      <c r="AW214" s="217"/>
      <c r="AX214" s="94"/>
      <c r="AY214" s="94"/>
      <c r="AZ214" s="94"/>
      <c r="BA214" s="94"/>
      <c r="BB214" s="217"/>
      <c r="BC214" s="94"/>
      <c r="BD214" s="94"/>
      <c r="BE214" s="94"/>
      <c r="BF214" s="94"/>
      <c r="BG214" s="217"/>
      <c r="BH214" s="94"/>
      <c r="BI214" s="712"/>
      <c r="BJ214" s="94"/>
      <c r="BK214" s="94"/>
      <c r="BL214" s="217"/>
      <c r="BM214" s="94"/>
      <c r="BN214" s="712"/>
      <c r="BO214" s="94"/>
      <c r="BP214" s="94"/>
      <c r="BQ214" s="217"/>
      <c r="BR214" s="94"/>
      <c r="BS214" s="712"/>
      <c r="BT214" s="94"/>
      <c r="BU214" s="94"/>
      <c r="BV214" s="217"/>
      <c r="BW214" s="94"/>
      <c r="BX214" s="712"/>
      <c r="BY214" s="94"/>
      <c r="BZ214" s="94"/>
      <c r="CA214" s="217"/>
      <c r="CB214" s="94"/>
      <c r="CC214" s="712"/>
      <c r="CD214" s="94"/>
      <c r="CE214" s="94"/>
      <c r="CF214" s="217"/>
      <c r="CG214" s="712"/>
      <c r="CH214" s="712"/>
      <c r="CI214" s="712"/>
      <c r="CJ214" s="712"/>
      <c r="CK214" s="217"/>
      <c r="CL214" s="94"/>
      <c r="CM214" s="94"/>
      <c r="CN214" s="94"/>
      <c r="CO214" s="94"/>
      <c r="CP214" s="217"/>
      <c r="CQ214" s="94"/>
      <c r="CR214" s="94"/>
      <c r="CS214" s="94"/>
      <c r="CT214" s="94"/>
      <c r="CU214" s="217"/>
      <c r="CV214" s="94"/>
      <c r="CW214" s="94"/>
      <c r="CX214" s="94"/>
      <c r="CY214" s="94"/>
      <c r="CZ214" s="217"/>
      <c r="DA214" s="94"/>
      <c r="DB214" s="94"/>
      <c r="DC214" s="94"/>
      <c r="DD214" s="94"/>
      <c r="DE214" s="217"/>
      <c r="DF214" s="104"/>
      <c r="DG214" s="1054"/>
      <c r="DH214" s="616"/>
      <c r="DI214" s="94"/>
      <c r="DJ214" s="217"/>
      <c r="DK214" s="104"/>
      <c r="DL214" s="1054"/>
      <c r="DM214" s="1054"/>
      <c r="DN214" s="94"/>
      <c r="DO214" s="217"/>
      <c r="DP214" s="94"/>
      <c r="DQ214" s="1054"/>
      <c r="DR214" s="104"/>
      <c r="DS214" s="94"/>
      <c r="DT214" s="217"/>
      <c r="DU214" s="104"/>
      <c r="DV214" s="104"/>
      <c r="DW214" s="104"/>
      <c r="DX214" s="94"/>
      <c r="DY214" s="217"/>
      <c r="DZ214" s="217"/>
      <c r="EA214" s="217"/>
      <c r="EB214" s="217"/>
    </row>
    <row r="215" spans="1:132" s="66" customFormat="1" ht="12" customHeight="1">
      <c r="A215" s="68"/>
      <c r="B215" s="235" t="s">
        <v>348</v>
      </c>
      <c r="C215" s="59"/>
      <c r="D215" s="59"/>
      <c r="E215" s="59"/>
      <c r="G215" s="59"/>
      <c r="H215" s="59"/>
      <c r="I215" s="59"/>
      <c r="N215" s="59"/>
      <c r="S215" s="59"/>
      <c r="X215" s="59"/>
      <c r="AC215" s="59"/>
      <c r="AD215" s="66">
        <v>0</v>
      </c>
      <c r="AE215" s="66">
        <v>5</v>
      </c>
      <c r="AF215" s="66">
        <f>80-AE215</f>
        <v>75</v>
      </c>
      <c r="AG215" s="66">
        <f>110-SUM(AD215:AF215)</f>
        <v>30</v>
      </c>
      <c r="AH215" s="59">
        <f>SUM(AD215:AG215)</f>
        <v>110</v>
      </c>
      <c r="AI215" s="66">
        <v>60</v>
      </c>
      <c r="AJ215" s="66">
        <v>70</v>
      </c>
      <c r="AK215" s="66">
        <v>85</v>
      </c>
      <c r="AL215" s="294">
        <v>57</v>
      </c>
      <c r="AM215" s="59">
        <f>SUM(AI215:AL215)</f>
        <v>272</v>
      </c>
      <c r="AQ215" s="294"/>
      <c r="AR215" s="59"/>
      <c r="AV215"/>
      <c r="AW215" s="59"/>
      <c r="BA215"/>
      <c r="BB215" s="59"/>
      <c r="BF215"/>
      <c r="BG215" s="59"/>
      <c r="BI215" s="713"/>
      <c r="BK215"/>
      <c r="BL215" s="59"/>
      <c r="BN215" s="713"/>
      <c r="BP215"/>
      <c r="BQ215" s="59"/>
      <c r="BS215" s="713"/>
      <c r="BU215"/>
      <c r="BV215" s="59"/>
      <c r="BX215" s="713"/>
      <c r="BZ215"/>
      <c r="CA215" s="59"/>
      <c r="CC215" s="713"/>
      <c r="CE215"/>
      <c r="CF215" s="59"/>
      <c r="CG215" s="713"/>
      <c r="CH215" s="713"/>
      <c r="CI215" s="713"/>
      <c r="CJ215" s="713"/>
      <c r="CK215" s="59"/>
      <c r="CL215"/>
      <c r="CM215"/>
      <c r="CN215"/>
      <c r="CO215"/>
      <c r="CP215" s="59"/>
      <c r="CQ215"/>
      <c r="CR215"/>
      <c r="CS215"/>
      <c r="CT215"/>
      <c r="CU215" s="59"/>
      <c r="CV215"/>
      <c r="CW215"/>
      <c r="CX215"/>
      <c r="CY215"/>
      <c r="CZ215" s="59"/>
      <c r="DA215"/>
      <c r="DB215"/>
      <c r="DC215"/>
      <c r="DD215"/>
      <c r="DE215" s="59"/>
      <c r="DG215" s="437"/>
      <c r="DH215" s="437"/>
      <c r="DI215"/>
      <c r="DJ215" s="59"/>
      <c r="DL215" s="437"/>
      <c r="DM215" s="437"/>
      <c r="DN215"/>
      <c r="DO215" s="59"/>
      <c r="DP215"/>
      <c r="DQ215" s="437"/>
      <c r="DS215"/>
      <c r="DT215" s="59"/>
      <c r="DX215"/>
      <c r="DY215" s="59"/>
      <c r="DZ215" s="59"/>
      <c r="EA215" s="59"/>
      <c r="EB215" s="59"/>
    </row>
    <row r="216" spans="1:132" s="66" customFormat="1" ht="12" customHeight="1">
      <c r="A216" s="68"/>
      <c r="B216" s="235"/>
      <c r="C216" s="59"/>
      <c r="D216" s="59"/>
      <c r="E216" s="59"/>
      <c r="G216" s="59"/>
      <c r="H216" s="59"/>
      <c r="I216" s="59"/>
      <c r="N216" s="59"/>
      <c r="S216" s="59"/>
      <c r="X216" s="59"/>
      <c r="AC216" s="59"/>
      <c r="AH216" s="59"/>
      <c r="AL216" s="294"/>
      <c r="AM216" s="59"/>
      <c r="AQ216" s="294"/>
      <c r="AR216" s="59"/>
      <c r="AV216"/>
      <c r="AW216" s="59"/>
      <c r="BA216"/>
      <c r="BB216" s="59"/>
      <c r="BF216"/>
      <c r="BG216" s="59"/>
      <c r="BI216" s="713"/>
      <c r="BK216"/>
      <c r="BL216" s="59"/>
      <c r="BN216" s="713"/>
      <c r="BP216"/>
      <c r="BQ216" s="59"/>
      <c r="BS216" s="713"/>
      <c r="BU216"/>
      <c r="BV216" s="59"/>
      <c r="BX216" s="713"/>
      <c r="BZ216"/>
      <c r="CA216" s="59"/>
      <c r="CC216" s="713"/>
      <c r="CE216"/>
      <c r="CF216" s="59"/>
      <c r="CG216" s="713"/>
      <c r="CH216" s="713"/>
      <c r="CI216" s="713"/>
      <c r="CJ216" s="713"/>
      <c r="CK216" s="59"/>
      <c r="CL216"/>
      <c r="CM216"/>
      <c r="CN216"/>
      <c r="CO216"/>
      <c r="CP216" s="59"/>
      <c r="CQ216"/>
      <c r="CR216"/>
      <c r="CS216"/>
      <c r="CT216"/>
      <c r="CU216" s="59"/>
      <c r="CV216"/>
      <c r="CW216"/>
      <c r="CX216"/>
      <c r="CY216"/>
      <c r="CZ216" s="59"/>
      <c r="DA216"/>
      <c r="DB216"/>
      <c r="DC216"/>
      <c r="DD216"/>
      <c r="DE216" s="59"/>
      <c r="DG216" s="437"/>
      <c r="DH216" s="437"/>
      <c r="DI216"/>
      <c r="DJ216" s="59"/>
      <c r="DL216" s="437"/>
      <c r="DM216" s="437"/>
      <c r="DN216"/>
      <c r="DO216" s="59"/>
      <c r="DP216"/>
      <c r="DQ216" s="437"/>
      <c r="DS216"/>
      <c r="DT216" s="59"/>
      <c r="DX216"/>
      <c r="DY216" s="59"/>
      <c r="DZ216" s="59"/>
      <c r="EA216" s="59"/>
      <c r="EB216" s="59"/>
    </row>
    <row r="217" spans="1:132" s="66" customFormat="1" ht="12" customHeight="1">
      <c r="A217" s="68"/>
      <c r="B217" s="511" t="s">
        <v>699</v>
      </c>
      <c r="C217" s="59"/>
      <c r="D217" s="59"/>
      <c r="E217" s="59"/>
      <c r="G217" s="59"/>
      <c r="H217" s="59"/>
      <c r="I217" s="59"/>
      <c r="N217" s="59"/>
      <c r="S217" s="59"/>
      <c r="X217" s="59"/>
      <c r="AC217" s="59"/>
      <c r="AH217" s="59"/>
      <c r="AL217" s="294"/>
      <c r="AM217" s="59"/>
      <c r="AQ217" s="294"/>
      <c r="AR217" s="59"/>
      <c r="AV217"/>
      <c r="AW217" s="59"/>
      <c r="BA217"/>
      <c r="BB217" s="59"/>
      <c r="BF217"/>
      <c r="BG217" s="59"/>
      <c r="BI217" s="713"/>
      <c r="BK217"/>
      <c r="BL217" s="59"/>
      <c r="BN217" s="713"/>
      <c r="BP217"/>
      <c r="BQ217" s="59"/>
      <c r="BS217" s="713"/>
      <c r="BU217"/>
      <c r="BV217" s="59"/>
      <c r="BX217" s="713"/>
      <c r="BZ217"/>
      <c r="CA217" s="59"/>
      <c r="CC217" s="713"/>
      <c r="CE217"/>
      <c r="CF217" s="59"/>
      <c r="CG217" s="713"/>
      <c r="CH217" s="713"/>
      <c r="CI217" s="713"/>
      <c r="CJ217" s="713"/>
      <c r="CK217" s="59"/>
      <c r="CL217"/>
      <c r="CM217"/>
      <c r="CN217"/>
      <c r="CO217"/>
      <c r="CP217" s="59"/>
      <c r="CQ217"/>
      <c r="CR217"/>
      <c r="CS217"/>
      <c r="CT217"/>
      <c r="CU217" s="59"/>
      <c r="CV217"/>
      <c r="CW217"/>
      <c r="CX217"/>
      <c r="CY217"/>
      <c r="CZ217" s="59"/>
      <c r="DA217"/>
      <c r="DB217"/>
      <c r="DC217"/>
      <c r="DD217"/>
      <c r="DE217" s="59"/>
      <c r="DG217" s="437"/>
      <c r="DH217" s="437"/>
      <c r="DI217"/>
      <c r="DJ217" s="59"/>
      <c r="DL217" s="437"/>
      <c r="DM217" s="437"/>
      <c r="DN217"/>
      <c r="DO217" s="59"/>
      <c r="DP217"/>
      <c r="DQ217" s="437"/>
      <c r="DS217"/>
      <c r="DT217" s="59"/>
      <c r="DX217"/>
      <c r="DY217" s="59"/>
      <c r="DZ217" s="59"/>
      <c r="EA217" s="59"/>
      <c r="EB217" s="59"/>
    </row>
    <row r="218" spans="1:132" s="437" customFormat="1" ht="12" customHeight="1">
      <c r="A218" s="68"/>
      <c r="B218" s="514">
        <v>717</v>
      </c>
      <c r="C218" s="120"/>
      <c r="D218" s="120"/>
      <c r="E218" s="120"/>
      <c r="F218" s="437">
        <v>107</v>
      </c>
      <c r="G218" s="120">
        <v>30</v>
      </c>
      <c r="H218" s="120">
        <v>26</v>
      </c>
      <c r="I218" s="120">
        <v>22</v>
      </c>
      <c r="J218" s="437">
        <v>19</v>
      </c>
      <c r="K218" s="437">
        <v>22</v>
      </c>
      <c r="L218" s="437">
        <v>19</v>
      </c>
      <c r="M218" s="437">
        <f>N218</f>
        <v>18</v>
      </c>
      <c r="N218" s="120">
        <v>18</v>
      </c>
      <c r="O218" s="437">
        <v>15</v>
      </c>
      <c r="P218" s="437">
        <v>12</v>
      </c>
      <c r="Q218" s="437">
        <v>9</v>
      </c>
      <c r="R218" s="437">
        <f>S218</f>
        <v>5</v>
      </c>
      <c r="S218" s="120">
        <v>5</v>
      </c>
      <c r="T218" s="437">
        <v>3</v>
      </c>
      <c r="U218" s="437">
        <v>0</v>
      </c>
      <c r="V218" s="437">
        <v>0</v>
      </c>
      <c r="W218" s="437">
        <f>X218</f>
        <v>0</v>
      </c>
      <c r="X218" s="120">
        <v>0</v>
      </c>
      <c r="AB218" s="437">
        <f>AC218</f>
        <v>0</v>
      </c>
      <c r="AC218" s="120"/>
      <c r="AG218" s="437">
        <f>AH218</f>
        <v>0</v>
      </c>
      <c r="AH218" s="120"/>
      <c r="AL218" s="437">
        <f>AM218</f>
        <v>0</v>
      </c>
      <c r="AM218" s="120"/>
      <c r="AR218" s="120"/>
      <c r="AV218" s="121"/>
      <c r="AW218" s="120"/>
      <c r="BA218" s="121"/>
      <c r="BB218" s="120"/>
      <c r="BF218" s="121"/>
      <c r="BG218" s="120"/>
      <c r="BI218" s="714"/>
      <c r="BK218" s="121"/>
      <c r="BL218" s="120"/>
      <c r="BN218" s="714"/>
      <c r="BP218" s="121"/>
      <c r="BQ218" s="120"/>
      <c r="BS218" s="714"/>
      <c r="BU218" s="121"/>
      <c r="BV218" s="120"/>
      <c r="BX218" s="714"/>
      <c r="BZ218" s="121"/>
      <c r="CA218" s="120"/>
      <c r="CC218" s="714"/>
      <c r="CE218" s="121"/>
      <c r="CF218" s="120"/>
      <c r="CG218" s="714"/>
      <c r="CH218" s="714"/>
      <c r="CI218" s="714"/>
      <c r="CJ218" s="714"/>
      <c r="CK218" s="120"/>
      <c r="CL218" s="121"/>
      <c r="CM218" s="121"/>
      <c r="CN218" s="121"/>
      <c r="CO218" s="121"/>
      <c r="CP218" s="120"/>
      <c r="CQ218" s="121"/>
      <c r="CR218" s="121"/>
      <c r="CS218" s="121"/>
      <c r="CT218" s="121"/>
      <c r="CU218" s="120"/>
      <c r="CV218" s="121"/>
      <c r="CW218" s="121"/>
      <c r="CX218" s="121"/>
      <c r="CY218" s="121"/>
      <c r="CZ218" s="120"/>
      <c r="DA218" s="121"/>
      <c r="DB218" s="121"/>
      <c r="DC218" s="121"/>
      <c r="DD218" s="121"/>
      <c r="DE218" s="120"/>
      <c r="DI218" s="121"/>
      <c r="DJ218" s="120"/>
      <c r="DN218" s="695"/>
      <c r="DO218" s="120"/>
      <c r="DP218" s="695"/>
      <c r="DS218" s="121"/>
      <c r="DT218" s="120"/>
      <c r="DX218" s="121"/>
      <c r="DY218" s="120"/>
      <c r="DZ218" s="120"/>
      <c r="EA218" s="120"/>
      <c r="EB218" s="120"/>
    </row>
    <row r="219" spans="1:132" s="66" customFormat="1" ht="12" customHeight="1">
      <c r="A219" s="68"/>
      <c r="B219" s="512">
        <v>737</v>
      </c>
      <c r="C219" s="59"/>
      <c r="D219" s="59"/>
      <c r="E219" s="59"/>
      <c r="F219" s="66">
        <v>997</v>
      </c>
      <c r="G219" s="59">
        <v>857</v>
      </c>
      <c r="H219" s="59">
        <v>765</v>
      </c>
      <c r="I219" s="59">
        <v>800</v>
      </c>
      <c r="J219" s="66">
        <v>785</v>
      </c>
      <c r="K219" s="66">
        <v>773</v>
      </c>
      <c r="L219" s="66">
        <v>774</v>
      </c>
      <c r="M219" s="66">
        <f t="shared" ref="M219:M225" si="622">N219</f>
        <v>771</v>
      </c>
      <c r="N219" s="59">
        <v>771</v>
      </c>
      <c r="O219" s="66">
        <v>766</v>
      </c>
      <c r="P219" s="66">
        <v>970</v>
      </c>
      <c r="Q219" s="66">
        <v>1038</v>
      </c>
      <c r="R219" s="66">
        <f t="shared" ref="R219:R225" si="623">S219</f>
        <v>1123</v>
      </c>
      <c r="S219" s="59">
        <v>1123</v>
      </c>
      <c r="T219" s="66">
        <v>1167</v>
      </c>
      <c r="U219" s="66">
        <v>1365</v>
      </c>
      <c r="V219" s="66">
        <v>1449</v>
      </c>
      <c r="W219" s="66">
        <f t="shared" ref="W219:W225" si="624">X219</f>
        <v>1560</v>
      </c>
      <c r="X219" s="59">
        <v>1560</v>
      </c>
      <c r="Y219" s="66">
        <v>1515</v>
      </c>
      <c r="Z219" s="66">
        <v>1630</v>
      </c>
      <c r="AA219" s="66">
        <v>1796</v>
      </c>
      <c r="AB219" s="66">
        <f t="shared" ref="AB219:AB225" si="625">AC219</f>
        <v>2076</v>
      </c>
      <c r="AC219" s="59">
        <v>2076</v>
      </c>
      <c r="AD219" s="66">
        <v>2175</v>
      </c>
      <c r="AE219" s="66">
        <v>2243</v>
      </c>
      <c r="AF219" s="66">
        <v>2292</v>
      </c>
      <c r="AG219" s="66">
        <f t="shared" ref="AG219:AG225" si="626">AH219</f>
        <v>2270</v>
      </c>
      <c r="AH219" s="59">
        <v>2270</v>
      </c>
      <c r="AI219" s="66">
        <v>2203</v>
      </c>
      <c r="AJ219" s="66">
        <v>2137</v>
      </c>
      <c r="AK219" s="294">
        <v>2118</v>
      </c>
      <c r="AL219" s="66">
        <f t="shared" ref="AL219:AL225" si="627">AM219</f>
        <v>2076</v>
      </c>
      <c r="AM219" s="59">
        <v>2076</v>
      </c>
      <c r="AN219" s="66">
        <v>2061</v>
      </c>
      <c r="AO219" s="66">
        <v>2007</v>
      </c>
      <c r="AP219" s="294">
        <v>2127</v>
      </c>
      <c r="AQ219" s="66">
        <f t="shared" ref="AQ219:AQ225" si="628">AR219</f>
        <v>2186</v>
      </c>
      <c r="AR219" s="59">
        <v>2186</v>
      </c>
      <c r="AS219" s="66">
        <v>2162</v>
      </c>
      <c r="AT219" s="294">
        <v>2109</v>
      </c>
      <c r="AU219" s="294">
        <v>2215</v>
      </c>
      <c r="AV219" s="294">
        <v>2365</v>
      </c>
      <c r="AW219" s="59">
        <f>+AV219</f>
        <v>2365</v>
      </c>
      <c r="AX219" s="294">
        <v>2679</v>
      </c>
      <c r="AY219" s="294">
        <v>2570</v>
      </c>
      <c r="AZ219" s="294">
        <v>2845</v>
      </c>
      <c r="BA219" s="294">
        <v>3074</v>
      </c>
      <c r="BB219" s="59">
        <f>+BA219</f>
        <v>3074</v>
      </c>
      <c r="BC219" s="294">
        <v>3125</v>
      </c>
      <c r="BD219" s="294">
        <v>3445</v>
      </c>
      <c r="BE219" s="294">
        <v>3467</v>
      </c>
      <c r="BF219" s="294">
        <v>3680</v>
      </c>
      <c r="BG219" s="59">
        <f>+BF219</f>
        <v>3680</v>
      </c>
      <c r="BH219" s="294">
        <v>3794</v>
      </c>
      <c r="BI219" s="713">
        <v>3931</v>
      </c>
      <c r="BJ219" s="294">
        <v>4033</v>
      </c>
      <c r="BK219" s="294">
        <v>4299</v>
      </c>
      <c r="BL219" s="59">
        <f>+BK219</f>
        <v>4299</v>
      </c>
      <c r="BM219" s="294">
        <v>4244</v>
      </c>
      <c r="BN219" s="713">
        <v>4253</v>
      </c>
      <c r="BO219" s="294">
        <v>4243</v>
      </c>
      <c r="BP219" s="294">
        <v>4392</v>
      </c>
      <c r="BQ219" s="59">
        <f>+BP219</f>
        <v>4392</v>
      </c>
      <c r="BR219" s="294">
        <v>4380</v>
      </c>
      <c r="BS219" s="713">
        <v>4385</v>
      </c>
      <c r="BT219" s="294">
        <v>4350</v>
      </c>
      <c r="BU219" s="294">
        <v>4452</v>
      </c>
      <c r="BV219" s="59">
        <f>+BU219</f>
        <v>4452</v>
      </c>
      <c r="BW219" s="294">
        <v>4506</v>
      </c>
      <c r="BX219" s="713">
        <v>4478</v>
      </c>
      <c r="BY219" s="294">
        <v>4431</v>
      </c>
      <c r="BZ219" s="294">
        <v>4688</v>
      </c>
      <c r="CA219" s="59">
        <f>+BZ219</f>
        <v>4688</v>
      </c>
      <c r="CB219" s="294">
        <v>4656</v>
      </c>
      <c r="CC219" s="713">
        <v>4667</v>
      </c>
      <c r="CD219" s="294">
        <v>4654</v>
      </c>
      <c r="CE219" s="294">
        <v>4708</v>
      </c>
      <c r="CF219" s="59">
        <f>+CE219</f>
        <v>4708</v>
      </c>
      <c r="CG219" s="713">
        <v>4448</v>
      </c>
      <c r="CH219" s="713">
        <v>4415</v>
      </c>
      <c r="CI219" s="713">
        <v>4406</v>
      </c>
      <c r="CJ219" s="713">
        <v>4398</v>
      </c>
      <c r="CK219" s="59">
        <f>+CJ219</f>
        <v>4398</v>
      </c>
      <c r="CL219" s="713">
        <v>4079</v>
      </c>
      <c r="CM219" s="713">
        <v>3595</v>
      </c>
      <c r="CN219" s="713">
        <v>3403</v>
      </c>
      <c r="CO219" s="713">
        <v>3282</v>
      </c>
      <c r="CP219" s="59">
        <f>+CO219</f>
        <v>3282</v>
      </c>
      <c r="CQ219" s="713">
        <v>3240</v>
      </c>
      <c r="CR219" s="713">
        <v>3334</v>
      </c>
      <c r="CS219" s="713">
        <v>3334</v>
      </c>
      <c r="CT219" s="713">
        <v>3414</v>
      </c>
      <c r="CU219" s="59">
        <f>+CT219</f>
        <v>3414</v>
      </c>
      <c r="CV219" s="713">
        <v>3365</v>
      </c>
      <c r="CW219" s="713">
        <v>3431</v>
      </c>
      <c r="CX219" s="713">
        <v>3510</v>
      </c>
      <c r="CY219" s="294">
        <v>3653</v>
      </c>
      <c r="CZ219" s="59">
        <f>+CY219</f>
        <v>3653</v>
      </c>
      <c r="DA219" s="713">
        <v>3585</v>
      </c>
      <c r="DB219" s="713">
        <v>3818</v>
      </c>
      <c r="DC219" s="713">
        <v>4031</v>
      </c>
      <c r="DD219" s="294">
        <v>4332</v>
      </c>
      <c r="DE219" s="59">
        <f>+DD219</f>
        <v>4332</v>
      </c>
      <c r="DF219" s="714">
        <v>4357</v>
      </c>
      <c r="DG219" s="714">
        <v>4173</v>
      </c>
      <c r="DH219" s="714">
        <v>4031</v>
      </c>
      <c r="DI219" s="294">
        <v>4303</v>
      </c>
      <c r="DJ219" s="59">
        <f>+DI219</f>
        <v>4303</v>
      </c>
      <c r="DK219" s="714">
        <v>4277</v>
      </c>
      <c r="DL219" s="714">
        <v>4372</v>
      </c>
      <c r="DM219" s="714">
        <v>4031</v>
      </c>
      <c r="DN219" s="714">
        <v>4404</v>
      </c>
      <c r="DO219" s="59">
        <f>+DN219</f>
        <v>4404</v>
      </c>
      <c r="DP219" s="714">
        <v>4368</v>
      </c>
      <c r="DQ219" s="714"/>
      <c r="DS219" s="294"/>
      <c r="DT219" s="59"/>
      <c r="DU219" s="714"/>
      <c r="DX219" s="294"/>
      <c r="DY219" s="59"/>
      <c r="DZ219" s="59"/>
      <c r="EA219" s="59"/>
      <c r="EB219" s="59"/>
    </row>
    <row r="220" spans="1:132" s="66" customFormat="1" ht="12" customHeight="1">
      <c r="A220" s="68"/>
      <c r="B220" s="512">
        <v>747</v>
      </c>
      <c r="C220" s="59"/>
      <c r="D220" s="59"/>
      <c r="E220" s="59"/>
      <c r="F220" s="66">
        <v>77</v>
      </c>
      <c r="G220" s="59">
        <v>59</v>
      </c>
      <c r="H220" s="59">
        <v>52</v>
      </c>
      <c r="I220" s="59">
        <v>32</v>
      </c>
      <c r="J220" s="66">
        <v>30</v>
      </c>
      <c r="K220" s="66">
        <v>31</v>
      </c>
      <c r="L220" s="66">
        <v>31</v>
      </c>
      <c r="M220" s="66">
        <f t="shared" si="622"/>
        <v>27</v>
      </c>
      <c r="N220" s="59">
        <v>27</v>
      </c>
      <c r="O220" s="66">
        <v>24</v>
      </c>
      <c r="P220" s="66">
        <v>24</v>
      </c>
      <c r="Q220" s="66">
        <v>38</v>
      </c>
      <c r="R220" s="66">
        <f t="shared" si="623"/>
        <v>58</v>
      </c>
      <c r="S220" s="59">
        <v>58</v>
      </c>
      <c r="T220" s="66">
        <v>56</v>
      </c>
      <c r="U220" s="66">
        <v>61</v>
      </c>
      <c r="V220" s="66">
        <v>88</v>
      </c>
      <c r="W220" s="66">
        <f t="shared" si="624"/>
        <v>116</v>
      </c>
      <c r="X220" s="59">
        <v>116</v>
      </c>
      <c r="Y220" s="66">
        <v>122</v>
      </c>
      <c r="Z220" s="66">
        <v>118</v>
      </c>
      <c r="AA220" s="66">
        <v>114</v>
      </c>
      <c r="AB220" s="66">
        <f t="shared" si="625"/>
        <v>125</v>
      </c>
      <c r="AC220" s="59">
        <v>125</v>
      </c>
      <c r="AD220" s="66">
        <v>122</v>
      </c>
      <c r="AE220" s="66">
        <v>118</v>
      </c>
      <c r="AF220" s="66">
        <v>115</v>
      </c>
      <c r="AG220" s="66">
        <f t="shared" si="626"/>
        <v>114</v>
      </c>
      <c r="AH220" s="59">
        <v>114</v>
      </c>
      <c r="AI220" s="66">
        <v>110</v>
      </c>
      <c r="AJ220" s="66">
        <v>107</v>
      </c>
      <c r="AK220" s="294">
        <v>107</v>
      </c>
      <c r="AL220" s="66">
        <f t="shared" si="627"/>
        <v>108</v>
      </c>
      <c r="AM220" s="59">
        <v>108</v>
      </c>
      <c r="AN220" s="66">
        <v>108</v>
      </c>
      <c r="AO220" s="66">
        <v>109</v>
      </c>
      <c r="AP220" s="294">
        <v>109</v>
      </c>
      <c r="AQ220" s="66">
        <f t="shared" si="628"/>
        <v>107</v>
      </c>
      <c r="AR220" s="59">
        <v>107</v>
      </c>
      <c r="AS220" s="66">
        <v>109</v>
      </c>
      <c r="AT220" s="294">
        <v>111</v>
      </c>
      <c r="AU220" s="294">
        <v>111</v>
      </c>
      <c r="AV220" s="294">
        <v>97</v>
      </c>
      <c r="AW220" s="59">
        <f>+AV220</f>
        <v>97</v>
      </c>
      <c r="AX220" s="294">
        <v>91</v>
      </c>
      <c r="AY220" s="294">
        <v>84</v>
      </c>
      <c r="AZ220" s="294">
        <v>81</v>
      </c>
      <c r="BA220" s="294">
        <v>67</v>
      </c>
      <c r="BB220" s="59">
        <f>+BA220</f>
        <v>67</v>
      </c>
      <c r="BC220" s="294">
        <v>64</v>
      </c>
      <c r="BD220" s="294">
        <v>53</v>
      </c>
      <c r="BE220" s="294">
        <v>51</v>
      </c>
      <c r="BF220" s="294">
        <v>55</v>
      </c>
      <c r="BG220" s="59">
        <f>+BF220</f>
        <v>55</v>
      </c>
      <c r="BH220" s="294">
        <v>52</v>
      </c>
      <c r="BI220" s="713">
        <v>50</v>
      </c>
      <c r="BJ220" s="294">
        <v>42</v>
      </c>
      <c r="BK220" s="294">
        <v>36</v>
      </c>
      <c r="BL220" s="59">
        <f>+BK220</f>
        <v>36</v>
      </c>
      <c r="BM220" s="294">
        <v>35</v>
      </c>
      <c r="BN220" s="713">
        <v>31</v>
      </c>
      <c r="BO220" s="294">
        <v>23</v>
      </c>
      <c r="BP220" s="294">
        <v>20</v>
      </c>
      <c r="BQ220" s="59">
        <f>+BP220</f>
        <v>20</v>
      </c>
      <c r="BR220" s="294">
        <v>23</v>
      </c>
      <c r="BS220" s="713">
        <v>21</v>
      </c>
      <c r="BT220" s="294">
        <v>15</v>
      </c>
      <c r="BU220" s="294">
        <v>28</v>
      </c>
      <c r="BV220" s="59">
        <f>+BU220</f>
        <v>28</v>
      </c>
      <c r="BW220" s="294">
        <v>23</v>
      </c>
      <c r="BX220" s="713">
        <v>20</v>
      </c>
      <c r="BY220" s="294">
        <v>17</v>
      </c>
      <c r="BZ220" s="294">
        <v>12</v>
      </c>
      <c r="CA220" s="59">
        <f>+BZ220</f>
        <v>12</v>
      </c>
      <c r="CB220" s="294">
        <v>24</v>
      </c>
      <c r="CC220" s="713">
        <v>23</v>
      </c>
      <c r="CD220" s="294">
        <v>21</v>
      </c>
      <c r="CE220" s="294">
        <v>24</v>
      </c>
      <c r="CF220" s="59">
        <f>+CE220</f>
        <v>24</v>
      </c>
      <c r="CG220" s="713">
        <v>22</v>
      </c>
      <c r="CH220" s="713">
        <v>20</v>
      </c>
      <c r="CI220" s="713">
        <v>19</v>
      </c>
      <c r="CJ220" s="713">
        <v>17</v>
      </c>
      <c r="CK220" s="59">
        <f>+CJ220</f>
        <v>17</v>
      </c>
      <c r="CL220" s="713">
        <v>13</v>
      </c>
      <c r="CM220" s="713">
        <v>12</v>
      </c>
      <c r="CN220" s="713">
        <v>11</v>
      </c>
      <c r="CO220" s="713">
        <v>8</v>
      </c>
      <c r="CP220" s="59">
        <f>+CO220</f>
        <v>8</v>
      </c>
      <c r="CQ220" s="713">
        <v>12</v>
      </c>
      <c r="CR220" s="713">
        <v>11</v>
      </c>
      <c r="CS220" s="713">
        <v>9</v>
      </c>
      <c r="CT220" s="713">
        <v>6</v>
      </c>
      <c r="CU220" s="59">
        <f>+CT220</f>
        <v>6</v>
      </c>
      <c r="CV220" s="713">
        <v>5</v>
      </c>
      <c r="CW220" s="713">
        <v>3</v>
      </c>
      <c r="CX220" s="713">
        <v>3</v>
      </c>
      <c r="CY220" s="294">
        <v>1</v>
      </c>
      <c r="CZ220" s="59">
        <f>+CY220</f>
        <v>1</v>
      </c>
      <c r="DA220" s="713">
        <v>0</v>
      </c>
      <c r="DB220" s="713">
        <v>0</v>
      </c>
      <c r="DC220" s="713">
        <v>0</v>
      </c>
      <c r="DD220" s="294"/>
      <c r="DE220" s="59">
        <f>+DD220</f>
        <v>0</v>
      </c>
      <c r="DF220" s="714">
        <v>0</v>
      </c>
      <c r="DG220" s="714">
        <v>0</v>
      </c>
      <c r="DH220" s="714">
        <v>0</v>
      </c>
      <c r="DI220" s="714">
        <v>0</v>
      </c>
      <c r="DJ220" s="59">
        <f>+DI220</f>
        <v>0</v>
      </c>
      <c r="DK220" s="714">
        <v>0</v>
      </c>
      <c r="DL220" s="714">
        <v>0</v>
      </c>
      <c r="DM220" s="714">
        <v>0</v>
      </c>
      <c r="DN220" s="714"/>
      <c r="DO220" s="59">
        <f>+DN220</f>
        <v>0</v>
      </c>
      <c r="DP220" s="714"/>
      <c r="DQ220" s="714"/>
      <c r="DS220" s="294"/>
      <c r="DT220" s="59"/>
      <c r="DU220" s="714"/>
      <c r="DX220" s="294"/>
      <c r="DY220" s="59"/>
      <c r="DZ220" s="59"/>
      <c r="EA220" s="59"/>
      <c r="EB220" s="59"/>
    </row>
    <row r="221" spans="1:132" s="66" customFormat="1" ht="12" customHeight="1">
      <c r="A221" s="68"/>
      <c r="B221" s="512">
        <v>757</v>
      </c>
      <c r="C221" s="59"/>
      <c r="D221" s="59"/>
      <c r="E221" s="59"/>
      <c r="F221" s="294">
        <v>94</v>
      </c>
      <c r="G221" s="59">
        <v>55</v>
      </c>
      <c r="H221" s="59">
        <v>28</v>
      </c>
      <c r="I221" s="59">
        <v>13</v>
      </c>
      <c r="J221" s="294">
        <v>9</v>
      </c>
      <c r="K221" s="294">
        <v>5</v>
      </c>
      <c r="L221" s="294">
        <v>2</v>
      </c>
      <c r="M221" s="66">
        <f t="shared" si="622"/>
        <v>2</v>
      </c>
      <c r="N221" s="59">
        <v>2</v>
      </c>
      <c r="O221" s="294">
        <v>1</v>
      </c>
      <c r="P221" s="294">
        <v>0</v>
      </c>
      <c r="Q221" s="294">
        <v>0</v>
      </c>
      <c r="R221" s="66">
        <f t="shared" si="623"/>
        <v>0</v>
      </c>
      <c r="S221" s="59">
        <v>0</v>
      </c>
      <c r="T221" s="294">
        <v>0</v>
      </c>
      <c r="U221" s="294">
        <v>0</v>
      </c>
      <c r="V221" s="294">
        <v>0</v>
      </c>
      <c r="W221" s="66">
        <f t="shared" si="624"/>
        <v>0</v>
      </c>
      <c r="X221" s="59">
        <v>0</v>
      </c>
      <c r="AB221" s="66">
        <f t="shared" si="625"/>
        <v>0</v>
      </c>
      <c r="AC221" s="59"/>
      <c r="AG221" s="66">
        <f t="shared" si="626"/>
        <v>0</v>
      </c>
      <c r="AH221" s="59"/>
      <c r="AL221" s="66">
        <f t="shared" si="627"/>
        <v>0</v>
      </c>
      <c r="AM221" s="59"/>
      <c r="AQ221" s="66">
        <f t="shared" si="628"/>
        <v>0</v>
      </c>
      <c r="AR221" s="59"/>
      <c r="AV221"/>
      <c r="AW221" s="59"/>
      <c r="BA221"/>
      <c r="BB221" s="59"/>
      <c r="BF221"/>
      <c r="BG221" s="59"/>
      <c r="BI221" s="713"/>
      <c r="BK221"/>
      <c r="BL221" s="59"/>
      <c r="BN221" s="713"/>
      <c r="BP221"/>
      <c r="BQ221" s="59"/>
      <c r="BS221" s="713"/>
      <c r="BU221"/>
      <c r="BV221" s="59"/>
      <c r="BX221" s="713"/>
      <c r="BZ221"/>
      <c r="CA221" s="59"/>
      <c r="CC221" s="713"/>
      <c r="CE221"/>
      <c r="CF221" s="59"/>
      <c r="CG221" s="713"/>
      <c r="CH221" s="713"/>
      <c r="CI221" s="713"/>
      <c r="CJ221" s="713"/>
      <c r="CK221" s="59"/>
      <c r="CL221"/>
      <c r="CM221"/>
      <c r="CN221"/>
      <c r="CO221"/>
      <c r="CP221" s="59"/>
      <c r="CQ221"/>
      <c r="CR221"/>
      <c r="CS221"/>
      <c r="CT221"/>
      <c r="CU221" s="59"/>
      <c r="CV221"/>
      <c r="CW221"/>
      <c r="CX221"/>
      <c r="CY221"/>
      <c r="CZ221" s="59"/>
      <c r="DA221"/>
      <c r="DB221"/>
      <c r="DC221"/>
      <c r="DD221"/>
      <c r="DE221" s="59"/>
      <c r="DF221" s="121"/>
      <c r="DG221" s="121"/>
      <c r="DH221" s="437"/>
      <c r="DI221"/>
      <c r="DJ221" s="59"/>
      <c r="DK221" s="121"/>
      <c r="DL221" s="121"/>
      <c r="DM221" s="437"/>
      <c r="DN221" s="720"/>
      <c r="DO221" s="59"/>
      <c r="DP221" s="720"/>
      <c r="DQ221" s="437"/>
      <c r="DS221"/>
      <c r="DT221" s="59"/>
      <c r="DU221" s="121"/>
      <c r="DX221"/>
      <c r="DY221" s="59"/>
      <c r="DZ221" s="59"/>
      <c r="EA221" s="59"/>
      <c r="EB221" s="59"/>
    </row>
    <row r="222" spans="1:132" s="66" customFormat="1" ht="12" customHeight="1">
      <c r="A222" s="68"/>
      <c r="B222" s="512">
        <v>767</v>
      </c>
      <c r="C222" s="59"/>
      <c r="D222" s="59"/>
      <c r="E222" s="59"/>
      <c r="F222" s="294">
        <v>82</v>
      </c>
      <c r="G222" s="59">
        <v>77</v>
      </c>
      <c r="H222" s="59">
        <v>39</v>
      </c>
      <c r="I222" s="59">
        <v>25</v>
      </c>
      <c r="J222" s="294">
        <v>24</v>
      </c>
      <c r="K222" s="294">
        <v>25</v>
      </c>
      <c r="L222" s="294">
        <v>24</v>
      </c>
      <c r="M222" s="66">
        <f t="shared" si="622"/>
        <v>25</v>
      </c>
      <c r="N222" s="59">
        <v>25</v>
      </c>
      <c r="O222" s="294">
        <v>20</v>
      </c>
      <c r="P222" s="294">
        <v>20</v>
      </c>
      <c r="Q222" s="294">
        <v>32</v>
      </c>
      <c r="R222" s="66">
        <f t="shared" si="623"/>
        <v>30</v>
      </c>
      <c r="S222" s="59">
        <v>30</v>
      </c>
      <c r="T222" s="294">
        <v>31</v>
      </c>
      <c r="U222" s="294">
        <v>28</v>
      </c>
      <c r="V222" s="294">
        <v>29</v>
      </c>
      <c r="W222" s="66">
        <f t="shared" si="624"/>
        <v>28</v>
      </c>
      <c r="X222" s="59">
        <v>28</v>
      </c>
      <c r="Y222" s="66">
        <v>61</v>
      </c>
      <c r="Z222" s="66">
        <v>58</v>
      </c>
      <c r="AA222" s="66">
        <v>55</v>
      </c>
      <c r="AB222" s="66">
        <f t="shared" si="625"/>
        <v>52</v>
      </c>
      <c r="AC222" s="59">
        <v>52</v>
      </c>
      <c r="AD222" s="294">
        <v>49</v>
      </c>
      <c r="AE222" s="294">
        <v>46</v>
      </c>
      <c r="AF222" s="66">
        <v>64</v>
      </c>
      <c r="AG222" s="66">
        <f t="shared" si="626"/>
        <v>70</v>
      </c>
      <c r="AH222" s="59">
        <v>70</v>
      </c>
      <c r="AI222" s="294">
        <v>67</v>
      </c>
      <c r="AJ222" s="294">
        <v>61</v>
      </c>
      <c r="AK222" s="294">
        <v>57</v>
      </c>
      <c r="AL222" s="66">
        <f t="shared" si="627"/>
        <v>59</v>
      </c>
      <c r="AM222" s="59">
        <v>59</v>
      </c>
      <c r="AN222" s="294">
        <v>56</v>
      </c>
      <c r="AO222" s="294">
        <v>55</v>
      </c>
      <c r="AP222" s="294">
        <v>53</v>
      </c>
      <c r="AQ222" s="66">
        <f t="shared" si="628"/>
        <v>50</v>
      </c>
      <c r="AR222" s="59">
        <v>50</v>
      </c>
      <c r="AS222" s="66">
        <v>53</v>
      </c>
      <c r="AT222" s="294">
        <v>54</v>
      </c>
      <c r="AU222" s="294">
        <v>49</v>
      </c>
      <c r="AV222" s="294">
        <v>72</v>
      </c>
      <c r="AW222" s="59">
        <f>+AV222</f>
        <v>72</v>
      </c>
      <c r="AX222" s="294">
        <v>69</v>
      </c>
      <c r="AY222" s="294">
        <v>78</v>
      </c>
      <c r="AZ222" s="294">
        <v>71</v>
      </c>
      <c r="BA222" s="294">
        <v>68</v>
      </c>
      <c r="BB222" s="59">
        <f>+BA222</f>
        <v>68</v>
      </c>
      <c r="BC222" s="294">
        <v>64</v>
      </c>
      <c r="BD222" s="294">
        <v>56</v>
      </c>
      <c r="BE222" s="294">
        <v>51</v>
      </c>
      <c r="BF222" s="294">
        <v>49</v>
      </c>
      <c r="BG222" s="59">
        <f>+BF222</f>
        <v>49</v>
      </c>
      <c r="BH222" s="294">
        <v>49</v>
      </c>
      <c r="BI222" s="713">
        <v>48</v>
      </c>
      <c r="BJ222" s="294">
        <v>50</v>
      </c>
      <c r="BK222" s="294">
        <v>47</v>
      </c>
      <c r="BL222" s="59">
        <f>+BK222</f>
        <v>47</v>
      </c>
      <c r="BM222" s="294">
        <v>42</v>
      </c>
      <c r="BN222" s="713">
        <v>39</v>
      </c>
      <c r="BO222" s="294">
        <v>81</v>
      </c>
      <c r="BP222" s="294">
        <v>80</v>
      </c>
      <c r="BQ222" s="59">
        <f>+BP222</f>
        <v>80</v>
      </c>
      <c r="BR222" s="294">
        <v>80</v>
      </c>
      <c r="BS222" s="713">
        <v>82</v>
      </c>
      <c r="BT222" s="294">
        <v>96</v>
      </c>
      <c r="BU222" s="294">
        <v>93</v>
      </c>
      <c r="BV222" s="59">
        <f>+BU222</f>
        <v>93</v>
      </c>
      <c r="BW222" s="294">
        <v>106</v>
      </c>
      <c r="BX222" s="713">
        <v>103</v>
      </c>
      <c r="BY222" s="294">
        <v>101</v>
      </c>
      <c r="BZ222" s="294">
        <v>98</v>
      </c>
      <c r="CA222" s="59">
        <f>+BZ222</f>
        <v>98</v>
      </c>
      <c r="CB222" s="294">
        <v>101</v>
      </c>
      <c r="CC222" s="713">
        <v>109</v>
      </c>
      <c r="CD222" s="294">
        <v>123</v>
      </c>
      <c r="CE222" s="294">
        <v>111</v>
      </c>
      <c r="CF222" s="59">
        <f>+CE222</f>
        <v>111</v>
      </c>
      <c r="CG222" s="713">
        <v>103</v>
      </c>
      <c r="CH222" s="713">
        <v>99</v>
      </c>
      <c r="CI222" s="713">
        <v>105</v>
      </c>
      <c r="CJ222" s="713">
        <v>94</v>
      </c>
      <c r="CK222" s="59">
        <f>+CJ222</f>
        <v>94</v>
      </c>
      <c r="CL222" s="713">
        <v>86</v>
      </c>
      <c r="CM222" s="713">
        <v>89</v>
      </c>
      <c r="CN222" s="713">
        <v>83</v>
      </c>
      <c r="CO222" s="713">
        <v>75</v>
      </c>
      <c r="CP222" s="59">
        <f>+CO222</f>
        <v>75</v>
      </c>
      <c r="CQ222" s="713">
        <v>97</v>
      </c>
      <c r="CR222" s="713">
        <v>107</v>
      </c>
      <c r="CS222" s="713">
        <v>97</v>
      </c>
      <c r="CT222" s="713">
        <v>108</v>
      </c>
      <c r="CU222" s="59">
        <f>+CT222</f>
        <v>108</v>
      </c>
      <c r="CV222" s="713">
        <v>103</v>
      </c>
      <c r="CW222" s="713">
        <v>96</v>
      </c>
      <c r="CX222" s="713">
        <v>114</v>
      </c>
      <c r="CY222" s="294">
        <v>106</v>
      </c>
      <c r="CZ222" s="59">
        <f>+CY222</f>
        <v>106</v>
      </c>
      <c r="DA222" s="713">
        <v>120</v>
      </c>
      <c r="DB222" s="713">
        <v>112</v>
      </c>
      <c r="DC222" s="713">
        <v>104</v>
      </c>
      <c r="DD222" s="294">
        <v>104</v>
      </c>
      <c r="DE222" s="59">
        <f>+DD222</f>
        <v>104</v>
      </c>
      <c r="DF222" s="714">
        <v>101</v>
      </c>
      <c r="DG222" s="714">
        <v>95</v>
      </c>
      <c r="DH222" s="714">
        <v>104</v>
      </c>
      <c r="DI222" s="294">
        <v>109</v>
      </c>
      <c r="DJ222" s="59">
        <f>+DI222</f>
        <v>109</v>
      </c>
      <c r="DK222" s="714">
        <v>104</v>
      </c>
      <c r="DL222" s="714">
        <v>95</v>
      </c>
      <c r="DM222" s="714">
        <v>104</v>
      </c>
      <c r="DN222" s="714">
        <v>94</v>
      </c>
      <c r="DO222" s="59">
        <f>+DN222</f>
        <v>94</v>
      </c>
      <c r="DP222" s="714">
        <v>94</v>
      </c>
      <c r="DQ222" s="714"/>
      <c r="DS222" s="294"/>
      <c r="DT222" s="59"/>
      <c r="DU222" s="714"/>
      <c r="DX222" s="294"/>
      <c r="DY222" s="59"/>
      <c r="DZ222" s="59"/>
      <c r="EA222" s="59"/>
      <c r="EB222" s="59"/>
    </row>
    <row r="223" spans="1:132" s="66" customFormat="1" ht="12" customHeight="1">
      <c r="A223" s="68"/>
      <c r="B223" s="512">
        <v>777</v>
      </c>
      <c r="C223" s="59"/>
      <c r="D223" s="59"/>
      <c r="E223" s="59"/>
      <c r="F223" s="294">
        <v>241</v>
      </c>
      <c r="G223" s="59">
        <v>198</v>
      </c>
      <c r="H223" s="59">
        <v>173</v>
      </c>
      <c r="I223" s="59">
        <v>159</v>
      </c>
      <c r="J223" s="294">
        <v>153</v>
      </c>
      <c r="K223" s="294">
        <v>145</v>
      </c>
      <c r="L223" s="294">
        <v>145</v>
      </c>
      <c r="M223" s="66">
        <f t="shared" si="622"/>
        <v>167</v>
      </c>
      <c r="N223" s="59">
        <v>167</v>
      </c>
      <c r="O223" s="294">
        <v>167</v>
      </c>
      <c r="P223" s="294">
        <v>172</v>
      </c>
      <c r="Q223" s="294">
        <v>189</v>
      </c>
      <c r="R223" s="66">
        <f t="shared" si="623"/>
        <v>288</v>
      </c>
      <c r="S223" s="59">
        <v>288</v>
      </c>
      <c r="T223" s="294">
        <v>271</v>
      </c>
      <c r="U223" s="294">
        <v>276</v>
      </c>
      <c r="V223" s="294">
        <v>265</v>
      </c>
      <c r="W223" s="66">
        <f t="shared" si="624"/>
        <v>299</v>
      </c>
      <c r="X223" s="59">
        <v>299</v>
      </c>
      <c r="Y223" s="294">
        <v>322</v>
      </c>
      <c r="Z223" s="294">
        <v>331</v>
      </c>
      <c r="AA223" s="294">
        <v>344</v>
      </c>
      <c r="AB223" s="66">
        <f t="shared" si="625"/>
        <v>357</v>
      </c>
      <c r="AC223" s="59">
        <v>357</v>
      </c>
      <c r="AD223" s="294">
        <v>362</v>
      </c>
      <c r="AE223" s="294">
        <v>358</v>
      </c>
      <c r="AF223" s="294">
        <v>359</v>
      </c>
      <c r="AG223" s="66">
        <f t="shared" si="626"/>
        <v>350</v>
      </c>
      <c r="AH223" s="59">
        <v>350</v>
      </c>
      <c r="AI223" s="294">
        <v>331</v>
      </c>
      <c r="AJ223" s="294">
        <v>314</v>
      </c>
      <c r="AK223" s="294">
        <v>303</v>
      </c>
      <c r="AL223" s="66">
        <f t="shared" si="627"/>
        <v>281</v>
      </c>
      <c r="AM223" s="59">
        <v>281</v>
      </c>
      <c r="AN223" s="294">
        <v>259</v>
      </c>
      <c r="AO223" s="294">
        <v>270</v>
      </c>
      <c r="AP223" s="294">
        <v>265</v>
      </c>
      <c r="AQ223" s="66">
        <f t="shared" si="628"/>
        <v>253</v>
      </c>
      <c r="AR223" s="59">
        <v>253</v>
      </c>
      <c r="AS223" s="66">
        <v>286</v>
      </c>
      <c r="AT223" s="294">
        <v>291</v>
      </c>
      <c r="AU223" s="294">
        <v>325</v>
      </c>
      <c r="AV223" s="294">
        <v>380</v>
      </c>
      <c r="AW223" s="59">
        <f>+AV223</f>
        <v>380</v>
      </c>
      <c r="AX223" s="294">
        <v>364</v>
      </c>
      <c r="AY223" s="294">
        <v>347</v>
      </c>
      <c r="AZ223" s="294">
        <v>335</v>
      </c>
      <c r="BA223" s="294">
        <v>365</v>
      </c>
      <c r="BB223" s="59">
        <f>+BA223</f>
        <v>365</v>
      </c>
      <c r="BC223" s="294">
        <v>352</v>
      </c>
      <c r="BD223" s="294">
        <v>339</v>
      </c>
      <c r="BE223" s="294">
        <v>328</v>
      </c>
      <c r="BF223" s="294">
        <v>380</v>
      </c>
      <c r="BG223" s="59">
        <f>+BF223</f>
        <v>380</v>
      </c>
      <c r="BH223" s="294">
        <v>360</v>
      </c>
      <c r="BI223" s="713">
        <v>339</v>
      </c>
      <c r="BJ223" s="294">
        <v>566</v>
      </c>
      <c r="BK223" s="294">
        <f>278+286</f>
        <v>564</v>
      </c>
      <c r="BL223" s="59">
        <f>+BK223</f>
        <v>564</v>
      </c>
      <c r="BM223" s="294">
        <f>261+283</f>
        <v>544</v>
      </c>
      <c r="BN223" s="713">
        <f>257+306</f>
        <v>563</v>
      </c>
      <c r="BO223" s="294">
        <f>235+306</f>
        <v>541</v>
      </c>
      <c r="BP223" s="294">
        <f>218+306</f>
        <v>524</v>
      </c>
      <c r="BQ223" s="59">
        <f>+BP223</f>
        <v>524</v>
      </c>
      <c r="BR223" s="294">
        <f>205+306</f>
        <v>511</v>
      </c>
      <c r="BS223" s="713">
        <f>175+306</f>
        <v>481</v>
      </c>
      <c r="BT223" s="294">
        <f>151+306</f>
        <v>457</v>
      </c>
      <c r="BU223" s="294">
        <f>136+306</f>
        <v>442</v>
      </c>
      <c r="BV223" s="59">
        <f>+BU223</f>
        <v>442</v>
      </c>
      <c r="BW223" s="294">
        <f>124+306</f>
        <v>430</v>
      </c>
      <c r="BX223" s="714">
        <f>107+326</f>
        <v>433</v>
      </c>
      <c r="BY223" s="294">
        <f>101+326</f>
        <v>427</v>
      </c>
      <c r="BZ223" s="294">
        <f>102+326</f>
        <v>428</v>
      </c>
      <c r="CA223" s="59">
        <f>+BZ223</f>
        <v>428</v>
      </c>
      <c r="CB223" s="392">
        <f>90+326</f>
        <v>416</v>
      </c>
      <c r="CC223" s="713">
        <f>96+326</f>
        <v>422</v>
      </c>
      <c r="CD223" s="294">
        <f>87+326</f>
        <v>413</v>
      </c>
      <c r="CE223" s="294">
        <f>100+326</f>
        <v>426</v>
      </c>
      <c r="CF223" s="59">
        <f>+CE223</f>
        <v>426</v>
      </c>
      <c r="CG223" s="713">
        <f>92+344</f>
        <v>436</v>
      </c>
      <c r="CH223" s="713">
        <f>82+344</f>
        <v>426</v>
      </c>
      <c r="CI223" s="713">
        <v>429</v>
      </c>
      <c r="CJ223" s="713">
        <f>68+309</f>
        <v>377</v>
      </c>
      <c r="CK223" s="59">
        <f>+CJ223</f>
        <v>377</v>
      </c>
      <c r="CL223" s="713">
        <v>47</v>
      </c>
      <c r="CM223" s="294">
        <v>46</v>
      </c>
      <c r="CN223" s="713">
        <v>44</v>
      </c>
      <c r="CO223" s="713">
        <v>41</v>
      </c>
      <c r="CP223" s="59">
        <f>+CO223</f>
        <v>41</v>
      </c>
      <c r="CQ223" s="713">
        <v>35</v>
      </c>
      <c r="CR223" s="713">
        <v>40</v>
      </c>
      <c r="CS223" s="713">
        <v>57</v>
      </c>
      <c r="CT223" s="713">
        <v>58</v>
      </c>
      <c r="CU223" s="59">
        <f>+CT223</f>
        <v>58</v>
      </c>
      <c r="CV223" s="713">
        <v>74</v>
      </c>
      <c r="CW223" s="713">
        <v>71</v>
      </c>
      <c r="CX223" s="713">
        <v>70</v>
      </c>
      <c r="CY223" s="294">
        <v>69</v>
      </c>
      <c r="CZ223" s="59">
        <f>+CY223</f>
        <v>69</v>
      </c>
      <c r="DA223" s="713"/>
      <c r="DB223" s="713">
        <v>62</v>
      </c>
      <c r="DC223" s="713">
        <v>53</v>
      </c>
      <c r="DD223" s="294"/>
      <c r="DE223" s="59">
        <f>+DD223</f>
        <v>0</v>
      </c>
      <c r="DF223" s="714">
        <v>47</v>
      </c>
      <c r="DG223" s="714">
        <v>51</v>
      </c>
      <c r="DH223" s="714">
        <v>53</v>
      </c>
      <c r="DI223" s="714">
        <v>68</v>
      </c>
      <c r="DJ223" s="59">
        <f>+DI223</f>
        <v>68</v>
      </c>
      <c r="DK223" s="714">
        <v>72</v>
      </c>
      <c r="DL223" s="714">
        <v>59</v>
      </c>
      <c r="DM223" s="714">
        <v>53</v>
      </c>
      <c r="DN223" s="714">
        <v>46</v>
      </c>
      <c r="DO223" s="59">
        <f>+DN223</f>
        <v>46</v>
      </c>
      <c r="DP223" s="714">
        <v>38</v>
      </c>
      <c r="DQ223" s="714"/>
      <c r="DS223" s="294"/>
      <c r="DT223" s="59"/>
      <c r="DU223" s="714"/>
      <c r="DX223" s="294"/>
      <c r="DY223" s="59"/>
      <c r="DZ223" s="59"/>
      <c r="EA223" s="59"/>
      <c r="EB223" s="59"/>
    </row>
    <row r="224" spans="1:132" s="66" customFormat="1" ht="12" customHeight="1">
      <c r="A224" s="68"/>
      <c r="B224" s="514" t="s">
        <v>664</v>
      </c>
      <c r="C224" s="59"/>
      <c r="D224" s="59"/>
      <c r="E224" s="59"/>
      <c r="F224" s="294"/>
      <c r="G224" s="59"/>
      <c r="H224" s="59"/>
      <c r="I224" s="59"/>
      <c r="J224" s="294"/>
      <c r="K224" s="294"/>
      <c r="L224" s="294"/>
      <c r="N224" s="59"/>
      <c r="O224" s="294"/>
      <c r="P224" s="294"/>
      <c r="Q224" s="294"/>
      <c r="S224" s="59"/>
      <c r="T224" s="294"/>
      <c r="U224" s="294"/>
      <c r="V224" s="294"/>
      <c r="X224" s="59"/>
      <c r="Y224" s="294"/>
      <c r="Z224" s="294"/>
      <c r="AA224" s="294"/>
      <c r="AC224" s="59"/>
      <c r="AD224" s="294"/>
      <c r="AE224" s="294"/>
      <c r="AF224" s="294"/>
      <c r="AH224" s="59"/>
      <c r="AI224" s="294"/>
      <c r="AJ224" s="294"/>
      <c r="AK224" s="294"/>
      <c r="AM224" s="59"/>
      <c r="AN224" s="294"/>
      <c r="AO224" s="294"/>
      <c r="AP224" s="294"/>
      <c r="AR224" s="59"/>
      <c r="AT224" s="294"/>
      <c r="AU224" s="294"/>
      <c r="AV224" s="294"/>
      <c r="AW224" s="59"/>
      <c r="AX224" s="294"/>
      <c r="AY224" s="294"/>
      <c r="AZ224" s="294"/>
      <c r="BA224" s="294"/>
      <c r="BB224" s="59"/>
      <c r="BC224" s="294"/>
      <c r="BD224" s="294"/>
      <c r="BE224" s="294"/>
      <c r="BF224" s="294"/>
      <c r="BG224" s="59"/>
      <c r="BH224" s="294"/>
      <c r="BI224" s="713"/>
      <c r="BJ224" s="294"/>
      <c r="BK224" s="294"/>
      <c r="BL224" s="59"/>
      <c r="BM224" s="294"/>
      <c r="BN224" s="713"/>
      <c r="BO224" s="294"/>
      <c r="BP224" s="294"/>
      <c r="BQ224" s="59"/>
      <c r="BR224" s="294"/>
      <c r="BS224" s="713"/>
      <c r="BT224" s="294"/>
      <c r="BU224" s="294"/>
      <c r="BV224" s="59"/>
      <c r="BW224" s="294"/>
      <c r="BX224" s="714"/>
      <c r="BY224" s="294"/>
      <c r="BZ224" s="294"/>
      <c r="CA224" s="59"/>
      <c r="CB224" s="392"/>
      <c r="CC224" s="713"/>
      <c r="CD224" s="294"/>
      <c r="CE224" s="294"/>
      <c r="CF224" s="59"/>
      <c r="CG224" s="713"/>
      <c r="CH224" s="713"/>
      <c r="CI224" s="713"/>
      <c r="CJ224" s="713"/>
      <c r="CK224" s="59"/>
      <c r="CL224" s="713">
        <v>309</v>
      </c>
      <c r="CM224" s="713">
        <v>309</v>
      </c>
      <c r="CN224" s="713">
        <v>309</v>
      </c>
      <c r="CO224" s="713">
        <v>191</v>
      </c>
      <c r="CP224" s="59">
        <f>+CO224</f>
        <v>191</v>
      </c>
      <c r="CQ224" s="713">
        <v>228</v>
      </c>
      <c r="CR224" s="713">
        <v>246</v>
      </c>
      <c r="CS224" s="713">
        <v>253</v>
      </c>
      <c r="CT224" s="713">
        <v>253</v>
      </c>
      <c r="CU224" s="59">
        <f>+CT224</f>
        <v>253</v>
      </c>
      <c r="CV224" s="713">
        <v>224</v>
      </c>
      <c r="CW224" s="713">
        <v>231</v>
      </c>
      <c r="CX224" s="713">
        <v>244</v>
      </c>
      <c r="CY224" s="294">
        <v>244</v>
      </c>
      <c r="CZ224" s="59">
        <f>+CY224</f>
        <v>244</v>
      </c>
      <c r="DA224" s="713">
        <v>328</v>
      </c>
      <c r="DB224" s="713">
        <v>318</v>
      </c>
      <c r="DC224" s="713">
        <v>318</v>
      </c>
      <c r="DD224" s="294">
        <v>464</v>
      </c>
      <c r="DE224" s="59">
        <f>+DD224</f>
        <v>464</v>
      </c>
      <c r="DF224" s="714">
        <v>444</v>
      </c>
      <c r="DG224" s="714">
        <v>442</v>
      </c>
      <c r="DH224" s="714">
        <v>318</v>
      </c>
      <c r="DI224" s="294">
        <v>358</v>
      </c>
      <c r="DJ224" s="59">
        <f>+DI224</f>
        <v>358</v>
      </c>
      <c r="DK224" s="714">
        <v>428</v>
      </c>
      <c r="DL224" s="714">
        <v>486</v>
      </c>
      <c r="DM224" s="714">
        <v>318</v>
      </c>
      <c r="DN224" s="714">
        <v>560</v>
      </c>
      <c r="DO224" s="59">
        <f>+DN224</f>
        <v>560</v>
      </c>
      <c r="DP224" s="714">
        <v>568</v>
      </c>
      <c r="DQ224" s="714"/>
      <c r="DS224" s="294"/>
      <c r="DT224" s="59"/>
      <c r="DU224" s="714"/>
      <c r="DX224" s="294"/>
      <c r="DY224" s="59"/>
      <c r="DZ224" s="59"/>
      <c r="EA224" s="59"/>
      <c r="EB224" s="59"/>
    </row>
    <row r="225" spans="1:132" s="66" customFormat="1" ht="12" customHeight="1">
      <c r="A225" s="68"/>
      <c r="B225" s="513" t="s">
        <v>630</v>
      </c>
      <c r="C225" s="69"/>
      <c r="D225" s="69"/>
      <c r="E225" s="69"/>
      <c r="F225" s="515">
        <v>0</v>
      </c>
      <c r="G225" s="69">
        <v>0</v>
      </c>
      <c r="H225" s="69">
        <v>0</v>
      </c>
      <c r="I225" s="69">
        <v>0</v>
      </c>
      <c r="J225" s="515">
        <v>0</v>
      </c>
      <c r="K225" s="515">
        <v>0</v>
      </c>
      <c r="L225" s="515">
        <v>52</v>
      </c>
      <c r="M225" s="271">
        <f t="shared" si="622"/>
        <v>52</v>
      </c>
      <c r="N225" s="69">
        <v>52</v>
      </c>
      <c r="O225" s="515">
        <v>60</v>
      </c>
      <c r="P225" s="515">
        <v>139</v>
      </c>
      <c r="Q225" s="515">
        <v>170</v>
      </c>
      <c r="R225" s="271">
        <f t="shared" si="623"/>
        <v>287</v>
      </c>
      <c r="S225" s="69">
        <v>287</v>
      </c>
      <c r="T225" s="515">
        <v>341</v>
      </c>
      <c r="U225" s="515">
        <v>356</v>
      </c>
      <c r="V225" s="515">
        <v>402</v>
      </c>
      <c r="W225" s="271">
        <f t="shared" si="624"/>
        <v>448</v>
      </c>
      <c r="X225" s="69">
        <v>448</v>
      </c>
      <c r="Y225" s="515">
        <v>514</v>
      </c>
      <c r="Z225" s="515">
        <v>637</v>
      </c>
      <c r="AA225" s="515">
        <v>710</v>
      </c>
      <c r="AB225" s="271">
        <f t="shared" si="625"/>
        <v>817</v>
      </c>
      <c r="AC225" s="69">
        <v>817</v>
      </c>
      <c r="AD225" s="515">
        <v>892</v>
      </c>
      <c r="AE225" s="515">
        <v>892</v>
      </c>
      <c r="AF225" s="515">
        <v>891</v>
      </c>
      <c r="AG225" s="271">
        <f t="shared" si="626"/>
        <v>910</v>
      </c>
      <c r="AH225" s="69">
        <v>910</v>
      </c>
      <c r="AI225" s="515">
        <v>878</v>
      </c>
      <c r="AJ225" s="515">
        <v>850</v>
      </c>
      <c r="AK225" s="271">
        <v>850</v>
      </c>
      <c r="AL225" s="271">
        <f t="shared" si="627"/>
        <v>851</v>
      </c>
      <c r="AM225" s="69">
        <v>851</v>
      </c>
      <c r="AN225" s="515">
        <v>866</v>
      </c>
      <c r="AO225" s="515">
        <v>863</v>
      </c>
      <c r="AP225" s="271">
        <v>847</v>
      </c>
      <c r="AQ225" s="271">
        <f t="shared" si="628"/>
        <v>847</v>
      </c>
      <c r="AR225" s="69">
        <v>847</v>
      </c>
      <c r="AS225" s="515">
        <v>835</v>
      </c>
      <c r="AT225" s="515">
        <v>827</v>
      </c>
      <c r="AU225" s="515">
        <v>820</v>
      </c>
      <c r="AV225" s="515">
        <v>857</v>
      </c>
      <c r="AW225" s="69">
        <f>+AV225</f>
        <v>857</v>
      </c>
      <c r="AX225" s="515">
        <v>843</v>
      </c>
      <c r="AY225" s="515">
        <v>845</v>
      </c>
      <c r="AZ225" s="515">
        <v>812</v>
      </c>
      <c r="BA225" s="515">
        <v>799</v>
      </c>
      <c r="BB225" s="69">
        <f>+BA225</f>
        <v>799</v>
      </c>
      <c r="BC225" s="515">
        <v>840</v>
      </c>
      <c r="BD225" s="515">
        <v>864</v>
      </c>
      <c r="BE225" s="515">
        <v>890</v>
      </c>
      <c r="BF225" s="515">
        <v>916</v>
      </c>
      <c r="BG225" s="69">
        <f>+BF225</f>
        <v>916</v>
      </c>
      <c r="BH225" s="515">
        <v>899</v>
      </c>
      <c r="BI225" s="715">
        <v>869</v>
      </c>
      <c r="BJ225" s="515">
        <v>861</v>
      </c>
      <c r="BK225" s="515">
        <v>843</v>
      </c>
      <c r="BL225" s="69">
        <f>+BK225</f>
        <v>843</v>
      </c>
      <c r="BM225" s="515">
        <v>847</v>
      </c>
      <c r="BN225" s="715">
        <v>803</v>
      </c>
      <c r="BO225" s="515">
        <v>768</v>
      </c>
      <c r="BP225" s="515">
        <v>779</v>
      </c>
      <c r="BQ225" s="69">
        <f>+BP225</f>
        <v>779</v>
      </c>
      <c r="BR225" s="515">
        <v>746</v>
      </c>
      <c r="BS225" s="715">
        <v>724</v>
      </c>
      <c r="BT225" s="515">
        <v>694</v>
      </c>
      <c r="BU225" s="515">
        <v>700</v>
      </c>
      <c r="BV225" s="69">
        <f>+BU225</f>
        <v>700</v>
      </c>
      <c r="BW225" s="515">
        <v>679</v>
      </c>
      <c r="BX225" s="715">
        <v>710</v>
      </c>
      <c r="BY225" s="515">
        <v>683</v>
      </c>
      <c r="BZ225" s="515">
        <v>658</v>
      </c>
      <c r="CA225" s="69">
        <f>+BZ225</f>
        <v>658</v>
      </c>
      <c r="CB225" s="515">
        <v>638</v>
      </c>
      <c r="CC225" s="715">
        <v>655</v>
      </c>
      <c r="CD225" s="515">
        <v>638</v>
      </c>
      <c r="CE225" s="515">
        <v>604</v>
      </c>
      <c r="CF225" s="69">
        <f>+CE225</f>
        <v>604</v>
      </c>
      <c r="CG225" s="715">
        <v>596</v>
      </c>
      <c r="CH225" s="715">
        <v>555</v>
      </c>
      <c r="CI225" s="715">
        <v>529</v>
      </c>
      <c r="CJ225" s="715">
        <v>520</v>
      </c>
      <c r="CK225" s="69">
        <f>+CJ225</f>
        <v>520</v>
      </c>
      <c r="CL225" s="515">
        <v>515</v>
      </c>
      <c r="CM225" s="515">
        <v>501</v>
      </c>
      <c r="CN225" s="515">
        <v>475</v>
      </c>
      <c r="CO225" s="515">
        <v>458</v>
      </c>
      <c r="CP225" s="69">
        <f>+CO225</f>
        <v>458</v>
      </c>
      <c r="CQ225" s="515">
        <v>442</v>
      </c>
      <c r="CR225" s="515">
        <v>417</v>
      </c>
      <c r="CS225" s="515">
        <v>413</v>
      </c>
      <c r="CT225" s="515">
        <v>411</v>
      </c>
      <c r="CU225" s="69">
        <f>+CT225</f>
        <v>411</v>
      </c>
      <c r="CV225" s="515">
        <v>405</v>
      </c>
      <c r="CW225" s="515">
        <v>407</v>
      </c>
      <c r="CX225" s="515">
        <v>413</v>
      </c>
      <c r="CY225" s="515">
        <v>505</v>
      </c>
      <c r="CZ225" s="69">
        <f>+CY225</f>
        <v>505</v>
      </c>
      <c r="DA225" s="515">
        <v>522</v>
      </c>
      <c r="DB225" s="515">
        <v>569</v>
      </c>
      <c r="DC225" s="515">
        <v>666</v>
      </c>
      <c r="DD225" s="515">
        <v>726</v>
      </c>
      <c r="DE225" s="69">
        <f>+DD225</f>
        <v>726</v>
      </c>
      <c r="DF225" s="515">
        <v>719</v>
      </c>
      <c r="DG225" s="515">
        <v>716</v>
      </c>
      <c r="DH225" s="515">
        <v>666</v>
      </c>
      <c r="DI225" s="515">
        <v>719</v>
      </c>
      <c r="DJ225" s="69">
        <f>+DI225</f>
        <v>719</v>
      </c>
      <c r="DK225" s="515">
        <v>767</v>
      </c>
      <c r="DL225" s="515">
        <v>941</v>
      </c>
      <c r="DM225" s="515">
        <v>666</v>
      </c>
      <c r="DN225" s="715">
        <v>1026</v>
      </c>
      <c r="DO225" s="69">
        <f>+DN225</f>
        <v>1026</v>
      </c>
      <c r="DP225" s="715">
        <v>1059</v>
      </c>
      <c r="DQ225" s="515"/>
      <c r="DS225" s="515"/>
      <c r="DT225" s="59"/>
      <c r="DU225" s="515"/>
      <c r="DX225" s="515"/>
      <c r="DY225" s="59"/>
      <c r="DZ225" s="59"/>
      <c r="EA225" s="59"/>
      <c r="EB225" s="59"/>
    </row>
    <row r="226" spans="1:132" s="66" customFormat="1" ht="12" customHeight="1">
      <c r="A226" s="68"/>
      <c r="B226" s="48" t="s">
        <v>629</v>
      </c>
      <c r="C226" s="193"/>
      <c r="D226" s="193"/>
      <c r="E226" s="193"/>
      <c r="F226" s="102">
        <f t="shared" ref="F226:AM226" si="629">SUM(F218:F225)</f>
        <v>1598</v>
      </c>
      <c r="G226" s="193">
        <f t="shared" si="629"/>
        <v>1276</v>
      </c>
      <c r="H226" s="193">
        <f t="shared" si="629"/>
        <v>1083</v>
      </c>
      <c r="I226" s="193">
        <f t="shared" si="629"/>
        <v>1051</v>
      </c>
      <c r="J226" s="102">
        <f t="shared" si="629"/>
        <v>1020</v>
      </c>
      <c r="K226" s="102">
        <f t="shared" si="629"/>
        <v>1001</v>
      </c>
      <c r="L226" s="102">
        <f t="shared" si="629"/>
        <v>1047</v>
      </c>
      <c r="M226" s="102">
        <f t="shared" si="629"/>
        <v>1062</v>
      </c>
      <c r="N226" s="193">
        <f t="shared" si="629"/>
        <v>1062</v>
      </c>
      <c r="O226" s="102">
        <f t="shared" si="629"/>
        <v>1053</v>
      </c>
      <c r="P226" s="102">
        <f t="shared" si="629"/>
        <v>1337</v>
      </c>
      <c r="Q226" s="102">
        <f t="shared" si="629"/>
        <v>1476</v>
      </c>
      <c r="R226" s="102">
        <f t="shared" si="629"/>
        <v>1791</v>
      </c>
      <c r="S226" s="193">
        <f t="shared" si="629"/>
        <v>1791</v>
      </c>
      <c r="T226" s="102">
        <f t="shared" si="629"/>
        <v>1869</v>
      </c>
      <c r="U226" s="102">
        <f t="shared" si="629"/>
        <v>2086</v>
      </c>
      <c r="V226" s="102">
        <f t="shared" si="629"/>
        <v>2233</v>
      </c>
      <c r="W226" s="102">
        <f t="shared" si="629"/>
        <v>2451</v>
      </c>
      <c r="X226" s="193">
        <f t="shared" si="629"/>
        <v>2451</v>
      </c>
      <c r="Y226" s="102">
        <f t="shared" si="629"/>
        <v>2534</v>
      </c>
      <c r="Z226" s="102">
        <f t="shared" si="629"/>
        <v>2774</v>
      </c>
      <c r="AA226" s="102">
        <f t="shared" si="629"/>
        <v>3019</v>
      </c>
      <c r="AB226" s="102">
        <f t="shared" si="629"/>
        <v>3427</v>
      </c>
      <c r="AC226" s="193">
        <f t="shared" si="629"/>
        <v>3427</v>
      </c>
      <c r="AD226" s="102">
        <f t="shared" si="629"/>
        <v>3600</v>
      </c>
      <c r="AE226" s="102">
        <f t="shared" si="629"/>
        <v>3657</v>
      </c>
      <c r="AF226" s="102">
        <f t="shared" si="629"/>
        <v>3721</v>
      </c>
      <c r="AG226" s="102">
        <f t="shared" si="629"/>
        <v>3714</v>
      </c>
      <c r="AH226" s="193">
        <f t="shared" si="629"/>
        <v>3714</v>
      </c>
      <c r="AI226" s="102">
        <f t="shared" si="629"/>
        <v>3589</v>
      </c>
      <c r="AJ226" s="102">
        <f t="shared" si="629"/>
        <v>3469</v>
      </c>
      <c r="AK226" s="102">
        <f t="shared" si="629"/>
        <v>3435</v>
      </c>
      <c r="AL226" s="102">
        <f t="shared" si="629"/>
        <v>3375</v>
      </c>
      <c r="AM226" s="193">
        <f t="shared" si="629"/>
        <v>3375</v>
      </c>
      <c r="AN226" s="102">
        <f>SUM(AN219:AN225)</f>
        <v>3350</v>
      </c>
      <c r="AO226" s="102">
        <f>SUM(AO219:AO225)</f>
        <v>3304</v>
      </c>
      <c r="AP226" s="102">
        <f>SUM(AP219:AP225)</f>
        <v>3401</v>
      </c>
      <c r="AQ226" s="102">
        <f>SUM(AQ218:AQ225)</f>
        <v>3443</v>
      </c>
      <c r="AR226" s="193">
        <f>SUM(AR218:AR225)</f>
        <v>3443</v>
      </c>
      <c r="AS226" s="102">
        <f>SUM(AS219:AS225)</f>
        <v>3445</v>
      </c>
      <c r="AT226" s="102">
        <f>SUM(AT219:AT225)</f>
        <v>3392</v>
      </c>
      <c r="AU226" s="102">
        <f>SUM(AU219:AU225)</f>
        <v>3520</v>
      </c>
      <c r="AV226" s="102">
        <f>SUM(AV219:AV225)</f>
        <v>3771</v>
      </c>
      <c r="AW226" s="193">
        <f>SUM(AW218:AW225)</f>
        <v>3771</v>
      </c>
      <c r="AX226" s="102">
        <f>SUM(AX219:AX225)</f>
        <v>4046</v>
      </c>
      <c r="AY226" s="102">
        <f>SUM(AY219:AY225)</f>
        <v>3924</v>
      </c>
      <c r="AZ226" s="102">
        <f>SUM(AZ219:AZ225)</f>
        <v>4144</v>
      </c>
      <c r="BA226" s="102">
        <f>SUM(BA219:BA225)</f>
        <v>4373</v>
      </c>
      <c r="BB226" s="193">
        <f>SUM(BB218:BB225)</f>
        <v>4373</v>
      </c>
      <c r="BC226" s="102">
        <f>SUM(BC219:BC225)</f>
        <v>4445</v>
      </c>
      <c r="BD226" s="102">
        <f>SUM(BD219:BD225)</f>
        <v>4757</v>
      </c>
      <c r="BE226" s="102">
        <f>SUM(BE219:BE225)</f>
        <v>4787</v>
      </c>
      <c r="BF226" s="102">
        <f>SUM(BF219:BF225)</f>
        <v>5080</v>
      </c>
      <c r="BG226" s="193">
        <f>SUM(BG218:BG225)</f>
        <v>5080</v>
      </c>
      <c r="BH226" s="102">
        <f>SUM(BH219:BH225)</f>
        <v>5154</v>
      </c>
      <c r="BI226" s="102">
        <f>SUM(BI219:BI225)</f>
        <v>5237</v>
      </c>
      <c r="BJ226" s="102">
        <f>SUM(BJ219:BJ225)</f>
        <v>5552</v>
      </c>
      <c r="BK226" s="102">
        <f>SUM(BK219:BK225)</f>
        <v>5789</v>
      </c>
      <c r="BL226" s="193">
        <f>SUM(BL218:BL225)</f>
        <v>5789</v>
      </c>
      <c r="BM226" s="102">
        <f>SUM(BM219:BM225)</f>
        <v>5712</v>
      </c>
      <c r="BN226" s="102">
        <f>SUM(BN219:BN225)</f>
        <v>5689</v>
      </c>
      <c r="BO226" s="102">
        <f>SUM(BO219:BO225)</f>
        <v>5656</v>
      </c>
      <c r="BP226" s="102">
        <f>SUM(BP219:BP225)</f>
        <v>5795</v>
      </c>
      <c r="BQ226" s="193">
        <f>SUM(BQ218:BQ225)</f>
        <v>5795</v>
      </c>
      <c r="BR226" s="102">
        <f>SUM(BR219:BR225)</f>
        <v>5740</v>
      </c>
      <c r="BS226" s="102">
        <f>SUM(BS219:BS225)</f>
        <v>5693</v>
      </c>
      <c r="BT226" s="102">
        <f>SUM(BT219:BT225)</f>
        <v>5612</v>
      </c>
      <c r="BU226" s="102">
        <f>SUM(BU219:BU225)</f>
        <v>5715</v>
      </c>
      <c r="BV226" s="193">
        <f>SUM(BV218:BV225)</f>
        <v>5715</v>
      </c>
      <c r="BW226" s="102">
        <f>SUM(BW219:BW225)</f>
        <v>5744</v>
      </c>
      <c r="BX226" s="102">
        <f>SUM(BX219:BX225)</f>
        <v>5744</v>
      </c>
      <c r="BY226" s="102">
        <f>SUM(BY219:BY225)</f>
        <v>5659</v>
      </c>
      <c r="BZ226" s="102">
        <f>SUM(BZ219:BZ225)</f>
        <v>5884</v>
      </c>
      <c r="CA226" s="193">
        <f>SUM(CA218:CA225)</f>
        <v>5884</v>
      </c>
      <c r="CB226" s="102">
        <f>SUM(CB219:CB225)</f>
        <v>5835</v>
      </c>
      <c r="CC226" s="102">
        <f>SUM(CC219:CC225)</f>
        <v>5876</v>
      </c>
      <c r="CD226" s="102">
        <f>SUM(CD219:CD225)</f>
        <v>5849</v>
      </c>
      <c r="CE226" s="102">
        <f>SUM(CE219:CE225)</f>
        <v>5873</v>
      </c>
      <c r="CF226" s="193">
        <f>SUM(CF218:CF225)</f>
        <v>5873</v>
      </c>
      <c r="CG226" s="102">
        <f>SUM(CG219:CG225)</f>
        <v>5605</v>
      </c>
      <c r="CH226" s="102">
        <f>SUM(CH219:CH225)</f>
        <v>5515</v>
      </c>
      <c r="CI226" s="102">
        <f>SUM(CI219:CI225)</f>
        <v>5488</v>
      </c>
      <c r="CJ226" s="102">
        <f>SUM(CJ219:CJ225)</f>
        <v>5406</v>
      </c>
      <c r="CK226" s="193">
        <f>SUM(CK218:CK225)</f>
        <v>5406</v>
      </c>
      <c r="CL226" s="102">
        <f>SUM(CL219:CL225)</f>
        <v>5049</v>
      </c>
      <c r="CM226" s="102">
        <f>SUM(CM219:CM225)</f>
        <v>4552</v>
      </c>
      <c r="CN226" s="102">
        <f>SUM(CN219:CN225)</f>
        <v>4325</v>
      </c>
      <c r="CO226" s="102">
        <f>SUM(CO219:CO225)</f>
        <v>4055</v>
      </c>
      <c r="CP226" s="193">
        <f>SUM(CP218:CP225)</f>
        <v>4055</v>
      </c>
      <c r="CQ226" s="102">
        <f>SUM(CQ219:CQ225)</f>
        <v>4054</v>
      </c>
      <c r="CR226" s="102">
        <f>SUM(CR219:CR225)</f>
        <v>4155</v>
      </c>
      <c r="CS226" s="102">
        <f>SUM(CS219:CS225)</f>
        <v>4163</v>
      </c>
      <c r="CT226" s="102">
        <f>SUM(CT219:CT225)</f>
        <v>4250</v>
      </c>
      <c r="CU226" s="193">
        <f>SUM(CU218:CU225)</f>
        <v>4250</v>
      </c>
      <c r="CV226" s="102">
        <f>SUM(CV219:CV225)</f>
        <v>4176</v>
      </c>
      <c r="CW226" s="102">
        <f>SUM(CW219:CW225)</f>
        <v>4239</v>
      </c>
      <c r="CX226" s="102">
        <f>SUM(CX219:CX225)</f>
        <v>4354</v>
      </c>
      <c r="CY226" s="102">
        <f>SUM(CY219:CY225)</f>
        <v>4578</v>
      </c>
      <c r="CZ226" s="193">
        <f>SUM(CZ218:CZ225)</f>
        <v>4578</v>
      </c>
      <c r="DA226" s="102">
        <f>SUM(DA219:DA225)</f>
        <v>4555</v>
      </c>
      <c r="DB226" s="102">
        <f>SUM(DB219:DB225)</f>
        <v>4879</v>
      </c>
      <c r="DC226" s="102">
        <f>SUM(DC219:DC225)</f>
        <v>5172</v>
      </c>
      <c r="DD226" s="102">
        <f>SUM(DD219:DD225)</f>
        <v>5626</v>
      </c>
      <c r="DE226" s="193">
        <f>SUM(DE218:DE225)</f>
        <v>5626</v>
      </c>
      <c r="DF226" s="102">
        <f>SUM(DF219:DF225)</f>
        <v>5668</v>
      </c>
      <c r="DG226" s="102">
        <f>SUM(DG219:DG225)</f>
        <v>5477</v>
      </c>
      <c r="DH226" s="102">
        <f>SUM(DH219:DH225)</f>
        <v>5172</v>
      </c>
      <c r="DI226" s="102">
        <f>SUM(DI219:DI225)</f>
        <v>5557</v>
      </c>
      <c r="DJ226" s="193">
        <f>SUM(DJ218:DJ225)</f>
        <v>5557</v>
      </c>
      <c r="DK226" s="102">
        <f>SUM(DK219:DK225)</f>
        <v>5648</v>
      </c>
      <c r="DL226" s="102">
        <f>SUM(DL219:DL225)</f>
        <v>5953</v>
      </c>
      <c r="DM226" s="102">
        <f>SUM(DM219:DM225)</f>
        <v>5172</v>
      </c>
      <c r="DN226" s="602">
        <f>SUM(DN219:DN225)</f>
        <v>6130</v>
      </c>
      <c r="DO226" s="193">
        <f>SUM(DO218:DO225)</f>
        <v>6130</v>
      </c>
      <c r="DP226" s="602">
        <f>SUM(DP219:DP225)</f>
        <v>6127</v>
      </c>
      <c r="DQ226" s="102"/>
      <c r="DR226" s="102"/>
      <c r="DS226" s="102"/>
      <c r="DT226" s="193"/>
      <c r="DU226" s="102"/>
      <c r="DV226" s="102"/>
      <c r="DW226" s="102"/>
      <c r="DX226" s="102"/>
      <c r="DY226" s="193"/>
      <c r="DZ226" s="193"/>
      <c r="EA226" s="193"/>
      <c r="EB226" s="193"/>
    </row>
    <row r="227" spans="1:132" s="105" customFormat="1" ht="12" customHeight="1">
      <c r="A227" s="68"/>
      <c r="B227" s="166"/>
      <c r="C227" s="95"/>
      <c r="D227" s="95"/>
      <c r="E227" s="95"/>
      <c r="F227" s="94"/>
      <c r="G227" s="95"/>
      <c r="H227" s="95"/>
      <c r="I227" s="95"/>
      <c r="J227" s="94"/>
      <c r="K227" s="94"/>
      <c r="L227" s="94"/>
      <c r="M227" s="94"/>
      <c r="N227" s="95"/>
      <c r="O227" s="94"/>
      <c r="P227" s="94"/>
      <c r="Q227" s="94"/>
      <c r="R227" s="94"/>
      <c r="S227" s="95"/>
      <c r="T227" s="94"/>
      <c r="U227" s="94"/>
      <c r="V227" s="94"/>
      <c r="W227" s="94"/>
      <c r="X227" s="95"/>
      <c r="Y227" s="94"/>
      <c r="Z227" s="94"/>
      <c r="AA227" s="94"/>
      <c r="AB227" s="94"/>
      <c r="AC227" s="95"/>
      <c r="AD227" s="94"/>
      <c r="AE227" s="94"/>
      <c r="AF227" s="94"/>
      <c r="AG227" s="94"/>
      <c r="AH227" s="95"/>
      <c r="AI227" s="94"/>
      <c r="AJ227" s="94"/>
      <c r="AK227" s="94"/>
      <c r="AL227" s="94"/>
      <c r="AM227" s="95"/>
      <c r="AN227" s="94"/>
      <c r="AO227" s="94"/>
      <c r="AP227" s="94"/>
      <c r="AQ227" s="94"/>
      <c r="AR227" s="95"/>
      <c r="AS227" s="94"/>
      <c r="AT227" s="94"/>
      <c r="AU227" s="94"/>
      <c r="AV227" s="96"/>
      <c r="AW227" s="217"/>
      <c r="AX227" s="94"/>
      <c r="AY227" s="94"/>
      <c r="AZ227" s="94"/>
      <c r="BA227" s="96"/>
      <c r="BB227" s="217"/>
      <c r="BC227" s="94"/>
      <c r="BD227" s="94"/>
      <c r="BE227" s="94"/>
      <c r="BF227" s="96"/>
      <c r="BG227" s="217"/>
      <c r="BH227" s="94"/>
      <c r="BI227" s="712"/>
      <c r="BJ227" s="94"/>
      <c r="BK227" s="96"/>
      <c r="BL227" s="217"/>
      <c r="BM227" s="94"/>
      <c r="BN227" s="712"/>
      <c r="BO227" s="94"/>
      <c r="BP227" s="96"/>
      <c r="BQ227" s="217"/>
      <c r="BR227" s="94"/>
      <c r="BS227" s="712"/>
      <c r="BT227" s="94"/>
      <c r="BU227" s="96"/>
      <c r="BV227" s="217"/>
      <c r="BW227" s="94"/>
      <c r="BX227" s="712"/>
      <c r="BY227" s="94"/>
      <c r="BZ227" s="96"/>
      <c r="CA227" s="217"/>
      <c r="CB227" s="94"/>
      <c r="CC227" s="712"/>
      <c r="CD227" s="94"/>
      <c r="CE227" s="96"/>
      <c r="CF227" s="217"/>
      <c r="CG227" s="712"/>
      <c r="CH227" s="712"/>
      <c r="CI227" s="712"/>
      <c r="CJ227" s="712"/>
      <c r="CK227" s="217"/>
      <c r="CL227" s="96"/>
      <c r="CM227" s="96"/>
      <c r="CN227" s="96"/>
      <c r="CO227" s="96"/>
      <c r="CP227" s="217"/>
      <c r="CQ227" s="96"/>
      <c r="CR227" s="96"/>
      <c r="CS227" s="96"/>
      <c r="CT227" s="96"/>
      <c r="CU227" s="217"/>
      <c r="CV227" s="96"/>
      <c r="CW227" s="96"/>
      <c r="CX227" s="96"/>
      <c r="CY227" s="96"/>
      <c r="CZ227" s="217"/>
      <c r="DA227" s="96"/>
      <c r="DB227" s="96"/>
      <c r="DC227" s="96"/>
      <c r="DD227" s="96"/>
      <c r="DE227" s="217"/>
      <c r="DF227" s="1055"/>
      <c r="DG227" s="1055"/>
      <c r="DH227" s="1054"/>
      <c r="DI227" s="96"/>
      <c r="DJ227" s="217"/>
      <c r="DK227" s="104"/>
      <c r="DL227" s="104"/>
      <c r="DM227" s="1054"/>
      <c r="DN227" s="1092"/>
      <c r="DO227" s="217"/>
      <c r="DP227" s="1092"/>
      <c r="DQ227" s="104"/>
      <c r="DR227" s="104"/>
      <c r="DS227" s="96"/>
      <c r="DT227" s="217"/>
      <c r="DU227" s="104"/>
      <c r="DV227" s="104"/>
      <c r="DW227" s="104"/>
      <c r="DX227" s="96"/>
      <c r="DY227" s="217"/>
      <c r="DZ227" s="217"/>
      <c r="EA227" s="217"/>
      <c r="EB227" s="217"/>
    </row>
    <row r="228" spans="1:132" s="105" customFormat="1" ht="12" customHeight="1">
      <c r="A228" s="68"/>
      <c r="B228" s="511" t="s">
        <v>480</v>
      </c>
      <c r="C228" s="95"/>
      <c r="D228" s="95"/>
      <c r="E228" s="95"/>
      <c r="F228" s="94"/>
      <c r="G228" s="95"/>
      <c r="H228" s="95"/>
      <c r="I228" s="95"/>
      <c r="J228" s="94"/>
      <c r="K228" s="94"/>
      <c r="L228" s="94"/>
      <c r="M228" s="94"/>
      <c r="N228" s="95"/>
      <c r="O228" s="94"/>
      <c r="P228" s="94"/>
      <c r="Q228" s="94"/>
      <c r="R228" s="94"/>
      <c r="S228" s="95"/>
      <c r="T228" s="94"/>
      <c r="U228" s="94"/>
      <c r="V228" s="94"/>
      <c r="W228" s="94"/>
      <c r="X228" s="95"/>
      <c r="Y228" s="94"/>
      <c r="Z228" s="94"/>
      <c r="AA228" s="94"/>
      <c r="AB228" s="94"/>
      <c r="AC228" s="95"/>
      <c r="AD228" s="94"/>
      <c r="AE228" s="94"/>
      <c r="AF228" s="94"/>
      <c r="AG228" s="94"/>
      <c r="AH228" s="95"/>
      <c r="AI228" s="94"/>
      <c r="AJ228" s="94"/>
      <c r="AK228" s="94"/>
      <c r="AL228" s="94"/>
      <c r="AM228" s="95"/>
      <c r="AN228" s="94"/>
      <c r="AO228" s="94"/>
      <c r="AP228" s="94"/>
      <c r="AQ228" s="94"/>
      <c r="AR228" s="95"/>
      <c r="AS228" s="94"/>
      <c r="AT228" s="94"/>
      <c r="AU228" s="94"/>
      <c r="AV228" s="96"/>
      <c r="AW228" s="217"/>
      <c r="AX228" s="94"/>
      <c r="AY228" s="94"/>
      <c r="AZ228" s="94"/>
      <c r="BA228" s="96"/>
      <c r="BB228" s="217"/>
      <c r="BC228" s="94"/>
      <c r="BD228" s="94"/>
      <c r="BE228" s="94"/>
      <c r="BF228" s="96"/>
      <c r="BG228" s="217"/>
      <c r="BH228" s="94"/>
      <c r="BI228" s="712"/>
      <c r="BJ228" s="94"/>
      <c r="BK228" s="96"/>
      <c r="BL228" s="217"/>
      <c r="BM228" s="94"/>
      <c r="BN228" s="712"/>
      <c r="BO228" s="94"/>
      <c r="BP228" s="96"/>
      <c r="BQ228" s="217"/>
      <c r="BR228" s="94"/>
      <c r="BS228" s="712"/>
      <c r="BT228" s="94"/>
      <c r="BU228" s="96"/>
      <c r="BV228" s="217"/>
      <c r="BW228" s="94"/>
      <c r="BX228" s="712"/>
      <c r="BY228" s="94"/>
      <c r="BZ228" s="96"/>
      <c r="CA228" s="217"/>
      <c r="CB228" s="94"/>
      <c r="CC228" s="712"/>
      <c r="CD228" s="94"/>
      <c r="CE228" s="96"/>
      <c r="CF228" s="217"/>
      <c r="CG228" s="712"/>
      <c r="CH228" s="712"/>
      <c r="CI228" s="712"/>
      <c r="CJ228" s="712"/>
      <c r="CK228" s="217"/>
      <c r="CL228" s="96"/>
      <c r="CM228" s="96"/>
      <c r="CN228" s="96"/>
      <c r="CO228" s="96"/>
      <c r="CP228" s="217"/>
      <c r="CQ228" s="96"/>
      <c r="CR228" s="96"/>
      <c r="CS228" s="96"/>
      <c r="CT228" s="96"/>
      <c r="CU228" s="217"/>
      <c r="CV228" s="96"/>
      <c r="CW228" s="96"/>
      <c r="CX228" s="96"/>
      <c r="CY228" s="96"/>
      <c r="CZ228" s="217"/>
      <c r="DA228" s="96"/>
      <c r="DB228" s="96"/>
      <c r="DC228" s="96"/>
      <c r="DD228" s="96"/>
      <c r="DE228" s="217"/>
      <c r="DF228" s="1055"/>
      <c r="DG228" s="1055"/>
      <c r="DH228" s="1054"/>
      <c r="DI228" s="96"/>
      <c r="DJ228" s="217"/>
      <c r="DK228" s="104"/>
      <c r="DL228" s="104"/>
      <c r="DM228" s="1054"/>
      <c r="DN228" s="1092"/>
      <c r="DO228" s="217"/>
      <c r="DP228" s="1092"/>
      <c r="DQ228" s="104"/>
      <c r="DR228" s="104"/>
      <c r="DS228" s="96"/>
      <c r="DT228" s="217"/>
      <c r="DU228" s="104"/>
      <c r="DV228" s="104"/>
      <c r="DW228" s="104"/>
      <c r="DX228" s="96"/>
      <c r="DY228" s="217"/>
      <c r="DZ228" s="217"/>
      <c r="EA228" s="217"/>
      <c r="EB228" s="217"/>
    </row>
    <row r="229" spans="1:132" s="105" customFormat="1" ht="12" customHeight="1">
      <c r="A229" s="68"/>
      <c r="B229" s="514">
        <v>717</v>
      </c>
      <c r="C229" s="95"/>
      <c r="D229" s="95"/>
      <c r="E229" s="95"/>
      <c r="F229" s="94"/>
      <c r="G229" s="95"/>
      <c r="H229" s="95"/>
      <c r="I229" s="95"/>
      <c r="J229" s="94"/>
      <c r="K229" s="94"/>
      <c r="L229" s="94"/>
      <c r="M229" s="94"/>
      <c r="N229" s="95"/>
      <c r="O229" s="94"/>
      <c r="P229" s="94"/>
      <c r="Q229" s="94"/>
      <c r="R229" s="94"/>
      <c r="S229" s="95"/>
      <c r="T229" s="94"/>
      <c r="U229" s="94"/>
      <c r="V229" s="94"/>
      <c r="W229" s="94"/>
      <c r="X229" s="95"/>
      <c r="Y229" s="94"/>
      <c r="Z229" s="94"/>
      <c r="AA229" s="94"/>
      <c r="AB229" s="94"/>
      <c r="AC229" s="95"/>
      <c r="AD229" s="94"/>
      <c r="AE229" s="94"/>
      <c r="AF229" s="94"/>
      <c r="AG229" s="94"/>
      <c r="AH229" s="95"/>
      <c r="AI229" s="94"/>
      <c r="AJ229" s="94"/>
      <c r="AK229" s="94"/>
      <c r="AL229" s="94"/>
      <c r="AM229" s="95"/>
      <c r="AN229" s="94"/>
      <c r="AO229" s="94"/>
      <c r="AP229" s="94"/>
      <c r="AQ229" s="94"/>
      <c r="AR229" s="95"/>
      <c r="AS229" s="94"/>
      <c r="AT229" s="94"/>
      <c r="AU229" s="94"/>
      <c r="AV229" s="96"/>
      <c r="AW229" s="217"/>
      <c r="AX229" s="94"/>
      <c r="AY229" s="94"/>
      <c r="AZ229" s="94"/>
      <c r="BA229" s="96"/>
      <c r="BB229" s="217"/>
      <c r="BC229" s="94"/>
      <c r="BD229" s="94"/>
      <c r="BE229" s="94"/>
      <c r="BF229" s="96"/>
      <c r="BG229" s="217"/>
      <c r="BH229" s="94"/>
      <c r="BI229" s="712"/>
      <c r="BJ229" s="94"/>
      <c r="BK229" s="96"/>
      <c r="BL229" s="217"/>
      <c r="BM229" s="94"/>
      <c r="BN229" s="712"/>
      <c r="BO229" s="94"/>
      <c r="BP229" s="96"/>
      <c r="BQ229" s="217"/>
      <c r="BR229" s="94"/>
      <c r="BS229" s="712"/>
      <c r="BT229" s="94"/>
      <c r="BU229" s="96"/>
      <c r="BV229" s="217"/>
      <c r="BW229" s="94"/>
      <c r="BX229" s="712"/>
      <c r="BY229" s="94"/>
      <c r="BZ229" s="96"/>
      <c r="CA229" s="217"/>
      <c r="CB229" s="94"/>
      <c r="CC229" s="712"/>
      <c r="CD229" s="94"/>
      <c r="CE229" s="96"/>
      <c r="CF229" s="217"/>
      <c r="CG229" s="712"/>
      <c r="CH229" s="712"/>
      <c r="CI229" s="712"/>
      <c r="CJ229" s="712"/>
      <c r="CK229" s="217"/>
      <c r="CL229" s="96"/>
      <c r="CM229" s="96"/>
      <c r="CN229" s="96"/>
      <c r="CO229" s="96"/>
      <c r="CP229" s="217"/>
      <c r="CQ229" s="96"/>
      <c r="CR229" s="96"/>
      <c r="CS229" s="96"/>
      <c r="CT229" s="96"/>
      <c r="CU229" s="217"/>
      <c r="CV229" s="96"/>
      <c r="CW229" s="96"/>
      <c r="CX229" s="96"/>
      <c r="CY229" s="96"/>
      <c r="CZ229" s="217"/>
      <c r="DA229" s="96"/>
      <c r="DB229" s="96"/>
      <c r="DC229" s="96"/>
      <c r="DD229" s="96"/>
      <c r="DE229" s="217"/>
      <c r="DF229" s="1055"/>
      <c r="DG229" s="1055"/>
      <c r="DH229" s="1054"/>
      <c r="DI229" s="96"/>
      <c r="DJ229" s="217"/>
      <c r="DK229" s="104"/>
      <c r="DL229" s="104"/>
      <c r="DM229" s="1054"/>
      <c r="DN229" s="1092"/>
      <c r="DO229" s="217"/>
      <c r="DP229" s="1092"/>
      <c r="DQ229" s="104"/>
      <c r="DR229" s="104"/>
      <c r="DS229" s="96"/>
      <c r="DT229" s="217"/>
      <c r="DU229" s="104"/>
      <c r="DV229" s="104"/>
      <c r="DW229" s="104"/>
      <c r="DX229" s="96"/>
      <c r="DY229" s="217"/>
      <c r="DZ229" s="217"/>
      <c r="EA229" s="217"/>
      <c r="EB229" s="217"/>
    </row>
    <row r="230" spans="1:132" s="105" customFormat="1" ht="12" customHeight="1">
      <c r="A230" s="68"/>
      <c r="B230" s="512">
        <v>737</v>
      </c>
      <c r="C230" s="95"/>
      <c r="D230" s="95"/>
      <c r="E230" s="95"/>
      <c r="F230" s="94"/>
      <c r="G230" s="95"/>
      <c r="H230" s="95"/>
      <c r="I230" s="95"/>
      <c r="J230" s="94"/>
      <c r="K230" s="94"/>
      <c r="L230" s="94"/>
      <c r="M230" s="94"/>
      <c r="N230" s="95"/>
      <c r="O230" s="94"/>
      <c r="P230" s="94"/>
      <c r="Q230" s="94"/>
      <c r="R230" s="94"/>
      <c r="S230" s="95"/>
      <c r="T230" s="94"/>
      <c r="U230" s="94"/>
      <c r="V230" s="94"/>
      <c r="W230" s="94"/>
      <c r="X230" s="95"/>
      <c r="Y230" s="94"/>
      <c r="Z230" s="94"/>
      <c r="AA230" s="94"/>
      <c r="AB230" s="94"/>
      <c r="AC230" s="95"/>
      <c r="AD230" s="94"/>
      <c r="AE230" s="94"/>
      <c r="AF230" s="94"/>
      <c r="AG230" s="94"/>
      <c r="AH230" s="95"/>
      <c r="AI230" s="94"/>
      <c r="AJ230" s="94"/>
      <c r="AK230" s="94"/>
      <c r="AL230" s="94"/>
      <c r="AM230" s="95"/>
      <c r="AN230" s="94"/>
      <c r="AO230" s="94"/>
      <c r="AP230" s="94"/>
      <c r="AQ230" s="94"/>
      <c r="AR230" s="59"/>
      <c r="AS230" s="66"/>
      <c r="AT230" s="294"/>
      <c r="AU230" s="294"/>
      <c r="AV230" s="294"/>
      <c r="AW230" s="59"/>
      <c r="AX230" s="294"/>
      <c r="AY230" s="294"/>
      <c r="AZ230" s="294"/>
      <c r="BA230" s="294"/>
      <c r="BB230" s="59"/>
      <c r="BC230" s="294"/>
      <c r="BD230" s="294"/>
      <c r="BE230" s="294"/>
      <c r="BF230" s="294"/>
      <c r="BG230" s="59">
        <f>BG219+Commercial!BG32-Data!BB219</f>
        <v>1046</v>
      </c>
      <c r="BH230" s="294">
        <f>BH219+Commercial!BH32-Data!BG219</f>
        <v>229</v>
      </c>
      <c r="BI230" s="294">
        <f>BI219+Commercial!BI32-Data!BH219</f>
        <v>261</v>
      </c>
      <c r="BJ230" s="294">
        <f>BJ219+Commercial!BJ32-Data!BI219</f>
        <v>222</v>
      </c>
      <c r="BK230" s="294">
        <f>BK219+Commercial!BK32-Data!BJ219</f>
        <v>392</v>
      </c>
      <c r="BL230" s="59">
        <f>SUM(BH230:BK230)</f>
        <v>1104</v>
      </c>
      <c r="BM230" s="294">
        <f>BM219+Commercial!BM32-Data!BL219</f>
        <v>66</v>
      </c>
      <c r="BN230" s="294">
        <f>BN219+Commercial!BN32-Data!BM219</f>
        <v>137</v>
      </c>
      <c r="BO230" s="294">
        <f>BO219+Commercial!BO32-Data!BN219</f>
        <v>116</v>
      </c>
      <c r="BP230" s="294">
        <f>BP219+Commercial!BP32-Data!BO219</f>
        <v>269</v>
      </c>
      <c r="BQ230" s="59">
        <f>SUM(BM230:BP230)</f>
        <v>588</v>
      </c>
      <c r="BR230" s="294">
        <f>BR219+Commercial!BR32-Data!BQ219</f>
        <v>109</v>
      </c>
      <c r="BS230" s="294">
        <f>BS219+Commercial!BS32-Data!BR219</f>
        <v>132</v>
      </c>
      <c r="BT230" s="294">
        <f>BT219+Commercial!BT32-Data!BS219</f>
        <v>85</v>
      </c>
      <c r="BU230" s="294">
        <f>BU219+Commercial!BU32-Data!BT219</f>
        <v>224</v>
      </c>
      <c r="BV230" s="59">
        <f>SUM(BR230:BU230)</f>
        <v>550</v>
      </c>
      <c r="BW230" s="294">
        <f>BW219+Commercial!BW32-Data!BV219</f>
        <v>167</v>
      </c>
      <c r="BX230" s="294">
        <f>BX219+Commercial!BX32-Data!BW219</f>
        <v>95</v>
      </c>
      <c r="BY230" s="294">
        <f>BY219+Commercial!BY32-Data!BX219</f>
        <v>98</v>
      </c>
      <c r="BZ230" s="294">
        <f>BZ219+Commercial!BZ32-Data!BY219</f>
        <v>405</v>
      </c>
      <c r="CA230" s="59">
        <f>SUM(BW230:BZ230)</f>
        <v>765</v>
      </c>
      <c r="CB230" s="294">
        <f>CB219+Commercial!CB32-Data!CA219</f>
        <v>100</v>
      </c>
      <c r="CC230" s="294">
        <f>CC219+Commercial!CC32-Data!CB219</f>
        <v>148</v>
      </c>
      <c r="CD230" s="294">
        <f>CD219+Commercial!CD32-Data!CC219</f>
        <v>125</v>
      </c>
      <c r="CE230" s="294">
        <f>CE219+Commercial!CE32-Data!CD219</f>
        <v>227</v>
      </c>
      <c r="CF230" s="59">
        <f>SUM(CB230:CE230)</f>
        <v>600</v>
      </c>
      <c r="CG230" s="294">
        <f>CG219+Commercial!CG32-Data!CF219</f>
        <v>-171</v>
      </c>
      <c r="CH230" s="294">
        <f>CH219+Commercial!CH32-Data!CG219</f>
        <v>-9</v>
      </c>
      <c r="CI230" s="294">
        <f>CI219+Commercial!CI32-Data!CH219</f>
        <v>-4</v>
      </c>
      <c r="CJ230" s="294">
        <f>CJ219+Commercial!CJ32-Data!CI219</f>
        <v>1</v>
      </c>
      <c r="CK230" s="59">
        <f>SUM(CG230:CJ230)</f>
        <v>-183</v>
      </c>
      <c r="CL230" s="294">
        <f>CL219+Commercial!CL32-Data!CK219</f>
        <v>-314</v>
      </c>
      <c r="CM230" s="294">
        <f>CM219+Commercial!CM32-Data!CL219</f>
        <v>-480</v>
      </c>
      <c r="CN230" s="294">
        <f>CN219+Commercial!CN32-Data!CM219</f>
        <v>-189</v>
      </c>
      <c r="CO230" s="294">
        <f>CO219+Commercial!CO32-Data!CN219</f>
        <v>-90</v>
      </c>
      <c r="CP230" s="59">
        <f>SUM(CL230:CO230)</f>
        <v>-1073</v>
      </c>
      <c r="CQ230" s="294">
        <f>CQ219+Commercial!CQ32-Data!CP219</f>
        <v>21</v>
      </c>
      <c r="CR230" s="294">
        <f>CR219+Commercial!CR32-Data!CQ219</f>
        <v>144</v>
      </c>
      <c r="CS230" s="294">
        <f>CS219+Commercial!CS32-Data!CR219</f>
        <v>66</v>
      </c>
      <c r="CT230" s="294">
        <f>CT219+Commercial!CT32-Data!CS219</f>
        <v>164</v>
      </c>
      <c r="CU230" s="59">
        <f>SUM(CQ230:CT230)</f>
        <v>395</v>
      </c>
      <c r="CV230" s="294">
        <f>CV219+Commercial!CV32-Data!CU219</f>
        <v>37</v>
      </c>
      <c r="CW230" s="294">
        <f>CW219+Commercial!CW32-Data!CV219</f>
        <v>169</v>
      </c>
      <c r="CX230" s="294">
        <f>CX219+Commercial!CX32-Data!CW219</f>
        <v>167</v>
      </c>
      <c r="CY230" s="294">
        <f>CY219+Commercial!CY32-Data!CX219</f>
        <v>253</v>
      </c>
      <c r="CZ230" s="59">
        <f>SUM(CV230:CY230)</f>
        <v>626</v>
      </c>
      <c r="DA230" s="294">
        <f>DA219+Commercial!DA32-Data!CZ219</f>
        <v>45</v>
      </c>
      <c r="DB230" s="294">
        <f>DB219+Commercial!DB32-Data!DA219</f>
        <v>336</v>
      </c>
      <c r="DC230" s="294">
        <f>DC219+Commercial!DC32-Data!DB219</f>
        <v>283</v>
      </c>
      <c r="DD230" s="294">
        <f>DD219+Commercial!DD32-Data!DC219</f>
        <v>411</v>
      </c>
      <c r="DE230" s="59">
        <f>SUM(DA230:DD230)</f>
        <v>1075</v>
      </c>
      <c r="DF230" s="294">
        <f>DF219+Commercial!DF32-Data!DE219</f>
        <v>92</v>
      </c>
      <c r="DG230" s="392">
        <f>DG219+Commercial!DG32-Data!DF219</f>
        <v>-114</v>
      </c>
      <c r="DH230" s="392">
        <f>DH219+Commercial!DH32-Data!DG219</f>
        <v>-50</v>
      </c>
      <c r="DI230" s="294">
        <f>DI219+Commercial!DI32-Data!DH219</f>
        <v>308</v>
      </c>
      <c r="DJ230" s="59">
        <f>SUM(DF230:DI230)</f>
        <v>236</v>
      </c>
      <c r="DK230" s="294">
        <f>DK219+Commercial!DK32-Data!DJ219</f>
        <v>79</v>
      </c>
      <c r="DL230" s="294">
        <f>DL219+Commercial!DL32-Data!DK219</f>
        <v>199</v>
      </c>
      <c r="DM230" s="392">
        <f>DM219+Commercial!DM32-Data!DL219</f>
        <v>-220</v>
      </c>
      <c r="DN230" s="714">
        <f>DN219+Commercial!DN32-Data!DM219</f>
        <v>490</v>
      </c>
      <c r="DO230" s="59">
        <f>SUM(DK230:DN230)</f>
        <v>548</v>
      </c>
      <c r="DP230" s="714">
        <f>DP219+Commercial!DP32-Data!DO219</f>
        <v>78</v>
      </c>
      <c r="DQ230" s="294"/>
      <c r="DR230" s="104"/>
      <c r="DS230" s="96"/>
      <c r="DT230" s="217"/>
      <c r="DU230" s="294"/>
      <c r="DV230" s="104"/>
      <c r="DW230" s="104"/>
      <c r="DX230" s="96"/>
      <c r="DY230" s="217"/>
      <c r="DZ230" s="217"/>
      <c r="EA230" s="217"/>
      <c r="EB230" s="217"/>
    </row>
    <row r="231" spans="1:132" s="105" customFormat="1" ht="12" customHeight="1">
      <c r="A231" s="68"/>
      <c r="B231" s="512">
        <v>747</v>
      </c>
      <c r="C231" s="95"/>
      <c r="D231" s="95"/>
      <c r="E231" s="95"/>
      <c r="F231" s="94"/>
      <c r="G231" s="95"/>
      <c r="H231" s="95"/>
      <c r="I231" s="95"/>
      <c r="J231" s="94"/>
      <c r="K231" s="94"/>
      <c r="L231" s="94"/>
      <c r="M231" s="94"/>
      <c r="N231" s="95"/>
      <c r="O231" s="94"/>
      <c r="P231" s="94"/>
      <c r="Q231" s="94"/>
      <c r="R231" s="94"/>
      <c r="S231" s="95"/>
      <c r="T231" s="94"/>
      <c r="U231" s="94"/>
      <c r="V231" s="94"/>
      <c r="W231" s="94"/>
      <c r="X231" s="95"/>
      <c r="Y231" s="94"/>
      <c r="Z231" s="94"/>
      <c r="AA231" s="94"/>
      <c r="AB231" s="94"/>
      <c r="AC231" s="95"/>
      <c r="AD231" s="94"/>
      <c r="AE231" s="94"/>
      <c r="AF231" s="94"/>
      <c r="AG231" s="94"/>
      <c r="AH231" s="95"/>
      <c r="AI231" s="94"/>
      <c r="AJ231" s="94"/>
      <c r="AK231" s="94"/>
      <c r="AL231" s="94"/>
      <c r="AM231" s="95"/>
      <c r="AN231" s="94"/>
      <c r="AO231" s="94"/>
      <c r="AP231" s="94"/>
      <c r="AQ231" s="94"/>
      <c r="AR231" s="59"/>
      <c r="AS231" s="66"/>
      <c r="AT231" s="294"/>
      <c r="AU231" s="294"/>
      <c r="AV231" s="294"/>
      <c r="AW231" s="59"/>
      <c r="AX231" s="294"/>
      <c r="AY231" s="294"/>
      <c r="AZ231" s="294"/>
      <c r="BA231" s="294"/>
      <c r="BB231" s="59"/>
      <c r="BC231" s="294"/>
      <c r="BD231" s="294"/>
      <c r="BE231" s="294"/>
      <c r="BF231" s="294"/>
      <c r="BG231" s="59"/>
      <c r="BH231" s="294"/>
      <c r="BI231" s="713"/>
      <c r="BJ231" s="294"/>
      <c r="BK231" s="294"/>
      <c r="BL231" s="59"/>
      <c r="BM231" s="294"/>
      <c r="BN231" s="713"/>
      <c r="BO231" s="294"/>
      <c r="BP231" s="294"/>
      <c r="BQ231" s="59"/>
      <c r="BR231" s="294"/>
      <c r="BS231" s="712"/>
      <c r="BT231" s="94"/>
      <c r="BU231" s="96"/>
      <c r="BV231" s="217"/>
      <c r="BW231" s="94"/>
      <c r="BX231" s="712"/>
      <c r="BY231" s="94"/>
      <c r="BZ231" s="96"/>
      <c r="CA231" s="217"/>
      <c r="CB231" s="94"/>
      <c r="CC231" s="712"/>
      <c r="CD231" s="94"/>
      <c r="CE231" s="94"/>
      <c r="CF231" s="217"/>
      <c r="CG231" s="712"/>
      <c r="CH231" s="712"/>
      <c r="CI231" s="712"/>
      <c r="CJ231" s="712"/>
      <c r="CK231" s="217"/>
      <c r="CL231" s="712"/>
      <c r="CM231" s="96"/>
      <c r="CN231" s="96"/>
      <c r="CO231" s="96"/>
      <c r="CP231" s="217"/>
      <c r="CQ231" s="712"/>
      <c r="CR231" s="712"/>
      <c r="CS231" s="712"/>
      <c r="CT231" s="712"/>
      <c r="CU231" s="217"/>
      <c r="CV231" s="712"/>
      <c r="CW231" s="712"/>
      <c r="CX231" s="712"/>
      <c r="CY231" s="712"/>
      <c r="CZ231" s="217"/>
      <c r="DA231" s="96"/>
      <c r="DB231" s="96"/>
      <c r="DC231" s="712"/>
      <c r="DD231" s="712"/>
      <c r="DE231" s="217"/>
      <c r="DF231" s="96"/>
      <c r="DG231" s="1055"/>
      <c r="DH231" s="712"/>
      <c r="DI231" s="712"/>
      <c r="DJ231" s="217"/>
      <c r="DK231" s="96"/>
      <c r="DL231" s="96"/>
      <c r="DM231" s="712"/>
      <c r="DN231" s="712"/>
      <c r="DO231" s="217"/>
      <c r="DP231" s="712"/>
      <c r="DQ231" s="104"/>
      <c r="DR231" s="104"/>
      <c r="DS231" s="96"/>
      <c r="DT231" s="217"/>
      <c r="DU231" s="96"/>
      <c r="DV231" s="104"/>
      <c r="DW231" s="104"/>
      <c r="DX231" s="96"/>
      <c r="DY231" s="217"/>
      <c r="DZ231" s="217"/>
      <c r="EA231" s="217"/>
      <c r="EB231" s="217"/>
    </row>
    <row r="232" spans="1:132" s="105" customFormat="1" ht="12" customHeight="1">
      <c r="A232" s="68"/>
      <c r="B232" s="512">
        <v>757</v>
      </c>
      <c r="C232" s="95"/>
      <c r="D232" s="95"/>
      <c r="E232" s="95"/>
      <c r="F232" s="94"/>
      <c r="G232" s="95"/>
      <c r="H232" s="95"/>
      <c r="I232" s="95"/>
      <c r="J232" s="94"/>
      <c r="K232" s="94"/>
      <c r="L232" s="94"/>
      <c r="M232" s="94"/>
      <c r="N232" s="95"/>
      <c r="O232" s="94"/>
      <c r="P232" s="94"/>
      <c r="Q232" s="94"/>
      <c r="R232" s="94"/>
      <c r="S232" s="95"/>
      <c r="T232" s="94"/>
      <c r="U232" s="94"/>
      <c r="V232" s="94"/>
      <c r="W232" s="94"/>
      <c r="X232" s="95"/>
      <c r="Y232" s="94"/>
      <c r="Z232" s="94"/>
      <c r="AA232" s="94"/>
      <c r="AB232" s="94"/>
      <c r="AC232" s="95"/>
      <c r="AD232" s="94"/>
      <c r="AE232" s="94"/>
      <c r="AF232" s="94"/>
      <c r="AG232" s="94"/>
      <c r="AH232" s="95"/>
      <c r="AI232" s="94"/>
      <c r="AJ232" s="94"/>
      <c r="AK232" s="94"/>
      <c r="AL232" s="94"/>
      <c r="AM232" s="95"/>
      <c r="AN232" s="94"/>
      <c r="AO232" s="94"/>
      <c r="AP232" s="94"/>
      <c r="AQ232" s="94"/>
      <c r="AR232" s="59"/>
      <c r="AS232" s="66"/>
      <c r="AT232" s="66"/>
      <c r="AU232" s="66"/>
      <c r="AV232"/>
      <c r="AW232" s="59"/>
      <c r="AX232" s="66"/>
      <c r="AY232" s="66"/>
      <c r="AZ232" s="66"/>
      <c r="BA232"/>
      <c r="BB232" s="59"/>
      <c r="BC232" s="66"/>
      <c r="BD232" s="66"/>
      <c r="BE232" s="66"/>
      <c r="BF232"/>
      <c r="BG232" s="59"/>
      <c r="BH232" s="66"/>
      <c r="BI232" s="713"/>
      <c r="BJ232" s="66"/>
      <c r="BK232"/>
      <c r="BL232" s="59"/>
      <c r="BM232" s="66"/>
      <c r="BN232" s="713"/>
      <c r="BO232" s="66"/>
      <c r="BP232"/>
      <c r="BQ232" s="59"/>
      <c r="BR232" s="66"/>
      <c r="BS232" s="712"/>
      <c r="BT232" s="94"/>
      <c r="BU232" s="96"/>
      <c r="BV232" s="217"/>
      <c r="BW232" s="94"/>
      <c r="BX232" s="712"/>
      <c r="BY232" s="94"/>
      <c r="BZ232" s="96"/>
      <c r="CA232" s="217"/>
      <c r="CB232" s="94"/>
      <c r="CC232" s="712"/>
      <c r="CD232" s="94"/>
      <c r="CE232" s="94"/>
      <c r="CF232" s="217"/>
      <c r="CG232" s="712"/>
      <c r="CH232" s="712"/>
      <c r="CI232" s="712"/>
      <c r="CJ232" s="712"/>
      <c r="CK232" s="217"/>
      <c r="CL232" s="712"/>
      <c r="CM232" s="96"/>
      <c r="CN232" s="96"/>
      <c r="CO232" s="96"/>
      <c r="CP232" s="217"/>
      <c r="CQ232" s="712"/>
      <c r="CR232" s="712"/>
      <c r="CS232" s="712"/>
      <c r="CT232" s="712"/>
      <c r="CU232" s="217"/>
      <c r="CV232" s="712"/>
      <c r="CW232" s="712"/>
      <c r="CX232" s="712"/>
      <c r="CY232" s="712"/>
      <c r="CZ232" s="217"/>
      <c r="DA232" s="96"/>
      <c r="DB232" s="96"/>
      <c r="DC232" s="712"/>
      <c r="DD232" s="712"/>
      <c r="DE232" s="217"/>
      <c r="DF232" s="96"/>
      <c r="DG232" s="1055"/>
      <c r="DH232" s="712"/>
      <c r="DI232" s="712"/>
      <c r="DJ232" s="217"/>
      <c r="DK232" s="96"/>
      <c r="DL232" s="96"/>
      <c r="DM232" s="712"/>
      <c r="DN232" s="712"/>
      <c r="DO232" s="217"/>
      <c r="DP232" s="712"/>
      <c r="DQ232" s="104"/>
      <c r="DR232" s="104"/>
      <c r="DS232" s="96"/>
      <c r="DT232" s="217"/>
      <c r="DU232" s="96"/>
      <c r="DV232" s="104"/>
      <c r="DW232" s="104"/>
      <c r="DX232" s="96"/>
      <c r="DY232" s="217"/>
      <c r="DZ232" s="217"/>
      <c r="EA232" s="217"/>
      <c r="EB232" s="217"/>
    </row>
    <row r="233" spans="1:132" s="105" customFormat="1" ht="12" customHeight="1">
      <c r="A233" s="68"/>
      <c r="B233" s="512">
        <v>767</v>
      </c>
      <c r="C233" s="95"/>
      <c r="D233" s="95"/>
      <c r="E233" s="95"/>
      <c r="F233" s="94"/>
      <c r="G233" s="95"/>
      <c r="H233" s="95"/>
      <c r="I233" s="95"/>
      <c r="J233" s="94"/>
      <c r="K233" s="94"/>
      <c r="L233" s="94"/>
      <c r="M233" s="94"/>
      <c r="N233" s="95"/>
      <c r="O233" s="94"/>
      <c r="P233" s="94"/>
      <c r="Q233" s="94"/>
      <c r="R233" s="94"/>
      <c r="S233" s="95"/>
      <c r="T233" s="94"/>
      <c r="U233" s="94"/>
      <c r="V233" s="94"/>
      <c r="W233" s="94"/>
      <c r="X233" s="95"/>
      <c r="Y233" s="94"/>
      <c r="Z233" s="94"/>
      <c r="AA233" s="94"/>
      <c r="AB233" s="94"/>
      <c r="AC233" s="95"/>
      <c r="AD233" s="94"/>
      <c r="AE233" s="94"/>
      <c r="AF233" s="94"/>
      <c r="AG233" s="94"/>
      <c r="AH233" s="95"/>
      <c r="AI233" s="94"/>
      <c r="AJ233" s="94"/>
      <c r="AK233" s="94"/>
      <c r="AL233" s="94"/>
      <c r="AM233" s="95"/>
      <c r="AN233" s="94"/>
      <c r="AO233" s="94"/>
      <c r="AP233" s="94"/>
      <c r="AQ233" s="94"/>
      <c r="AR233" s="59"/>
      <c r="AS233" s="66"/>
      <c r="AT233" s="294"/>
      <c r="AU233" s="294"/>
      <c r="AV233" s="294"/>
      <c r="AW233" s="59"/>
      <c r="AX233" s="294"/>
      <c r="AY233" s="294"/>
      <c r="AZ233" s="294"/>
      <c r="BA233" s="294"/>
      <c r="BB233" s="59"/>
      <c r="BC233" s="294"/>
      <c r="BD233" s="294"/>
      <c r="BE233" s="294"/>
      <c r="BF233" s="294"/>
      <c r="BG233" s="59"/>
      <c r="BH233" s="294"/>
      <c r="BI233" s="713"/>
      <c r="BJ233" s="294"/>
      <c r="BK233" s="294"/>
      <c r="BL233" s="59"/>
      <c r="BM233" s="294"/>
      <c r="BN233" s="713"/>
      <c r="BO233" s="294"/>
      <c r="BP233" s="294"/>
      <c r="BQ233" s="59"/>
      <c r="BR233" s="294"/>
      <c r="BS233" s="712"/>
      <c r="BT233" s="94"/>
      <c r="BU233" s="96"/>
      <c r="BV233" s="217"/>
      <c r="BW233" s="94"/>
      <c r="BX233" s="712"/>
      <c r="BY233" s="94"/>
      <c r="BZ233" s="96"/>
      <c r="CA233" s="217"/>
      <c r="CB233" s="94"/>
      <c r="CC233" s="712"/>
      <c r="CD233" s="94"/>
      <c r="CE233" s="94"/>
      <c r="CF233" s="217"/>
      <c r="CG233" s="712"/>
      <c r="CH233" s="712"/>
      <c r="CI233" s="712"/>
      <c r="CJ233" s="712"/>
      <c r="CK233" s="217"/>
      <c r="CL233" s="712"/>
      <c r="CM233" s="96"/>
      <c r="CN233" s="96"/>
      <c r="CO233" s="96"/>
      <c r="CP233" s="217"/>
      <c r="CQ233" s="712"/>
      <c r="CR233" s="712"/>
      <c r="CS233" s="712"/>
      <c r="CT233" s="712"/>
      <c r="CU233" s="217"/>
      <c r="CV233" s="712"/>
      <c r="CW233" s="712"/>
      <c r="CX233" s="712"/>
      <c r="CY233" s="712"/>
      <c r="CZ233" s="217"/>
      <c r="DA233" s="96"/>
      <c r="DB233" s="96"/>
      <c r="DC233" s="712"/>
      <c r="DD233" s="712"/>
      <c r="DE233" s="217"/>
      <c r="DF233" s="96"/>
      <c r="DG233" s="1055"/>
      <c r="DH233" s="712"/>
      <c r="DI233" s="712"/>
      <c r="DJ233" s="217"/>
      <c r="DK233" s="96"/>
      <c r="DL233" s="96"/>
      <c r="DM233" s="712"/>
      <c r="DN233" s="712"/>
      <c r="DO233" s="217"/>
      <c r="DP233" s="712"/>
      <c r="DQ233" s="104"/>
      <c r="DR233" s="104"/>
      <c r="DS233" s="96"/>
      <c r="DT233" s="217"/>
      <c r="DU233" s="96"/>
      <c r="DV233" s="104"/>
      <c r="DW233" s="104"/>
      <c r="DX233" s="96"/>
      <c r="DY233" s="217"/>
      <c r="DZ233" s="217"/>
      <c r="EA233" s="217"/>
      <c r="EB233" s="217"/>
    </row>
    <row r="234" spans="1:132" s="105" customFormat="1" ht="12" customHeight="1">
      <c r="A234" s="68"/>
      <c r="B234" s="512">
        <v>777</v>
      </c>
      <c r="C234" s="95"/>
      <c r="D234" s="95"/>
      <c r="E234" s="95"/>
      <c r="F234" s="94"/>
      <c r="G234" s="95"/>
      <c r="H234" s="95"/>
      <c r="I234" s="95"/>
      <c r="J234" s="94"/>
      <c r="K234" s="94"/>
      <c r="L234" s="94"/>
      <c r="M234" s="94"/>
      <c r="N234" s="95"/>
      <c r="O234" s="94"/>
      <c r="P234" s="94"/>
      <c r="Q234" s="94"/>
      <c r="R234" s="94"/>
      <c r="S234" s="95"/>
      <c r="T234" s="94"/>
      <c r="U234" s="94"/>
      <c r="V234" s="94"/>
      <c r="W234" s="94"/>
      <c r="X234" s="95"/>
      <c r="Y234" s="94"/>
      <c r="Z234" s="94"/>
      <c r="AA234" s="94"/>
      <c r="AB234" s="94"/>
      <c r="AC234" s="95"/>
      <c r="AD234" s="94"/>
      <c r="AE234" s="94"/>
      <c r="AF234" s="94"/>
      <c r="AG234" s="94"/>
      <c r="AH234" s="95"/>
      <c r="AI234" s="94"/>
      <c r="AJ234" s="94"/>
      <c r="AK234" s="94"/>
      <c r="AL234" s="94"/>
      <c r="AM234" s="95"/>
      <c r="AN234" s="94"/>
      <c r="AO234" s="94"/>
      <c r="AP234" s="94"/>
      <c r="AQ234" s="94"/>
      <c r="AR234" s="59"/>
      <c r="AS234" s="66"/>
      <c r="AT234" s="294"/>
      <c r="AU234" s="294"/>
      <c r="AV234" s="294"/>
      <c r="AW234" s="59"/>
      <c r="AX234" s="294"/>
      <c r="AY234" s="294"/>
      <c r="AZ234" s="294"/>
      <c r="BA234" s="294"/>
      <c r="BB234" s="59"/>
      <c r="BC234" s="294">
        <f>BC223+Commercial!BC67-Data!BA223</f>
        <v>11</v>
      </c>
      <c r="BD234" s="294">
        <f>BD223+Commercial!BD67-Data!BC223</f>
        <v>10</v>
      </c>
      <c r="BE234" s="294">
        <f>BE223+Commercial!BE67-Data!BD223</f>
        <v>15</v>
      </c>
      <c r="BF234" s="294">
        <f>BF223+Commercial!BF67-Data!BE223</f>
        <v>77</v>
      </c>
      <c r="BG234" s="59">
        <f>SUM(BC234:BF234)</f>
        <v>113</v>
      </c>
      <c r="BH234" s="294">
        <f>BH223+Commercial!BH67-Data!BF223</f>
        <v>4</v>
      </c>
      <c r="BI234" s="294">
        <f>BI223+Commercial!BI67-Data!BH223</f>
        <v>3</v>
      </c>
      <c r="BJ234" s="294">
        <f>BJ223+Commercial!BJ67-Data!BI223</f>
        <v>254</v>
      </c>
      <c r="BK234" s="294">
        <f>BK223+Commercial!BK67-Data!BJ223</f>
        <v>22</v>
      </c>
      <c r="BL234" s="59">
        <f>SUM(BH234:BK234)</f>
        <v>283</v>
      </c>
      <c r="BM234" s="294">
        <f>BM223+Commercial!BM67-Data!BK223</f>
        <v>4</v>
      </c>
      <c r="BN234" s="294">
        <f>BN223+Commercial!BN67-Data!BM223</f>
        <v>45</v>
      </c>
      <c r="BO234" s="294">
        <f>BO223+Commercial!BO67-Data!BN223</f>
        <v>5</v>
      </c>
      <c r="BP234" s="294">
        <f>BP223+Commercial!BP67-Data!BO223</f>
        <v>4</v>
      </c>
      <c r="BQ234" s="59">
        <f>SUM(BM234:BP234)</f>
        <v>58</v>
      </c>
      <c r="BR234" s="294">
        <f>BR223+Commercial!BR67-Data!BP223</f>
        <v>10</v>
      </c>
      <c r="BS234" s="294">
        <f>BS223+Commercial!BS67-Data!BR223</f>
        <v>-2</v>
      </c>
      <c r="BT234" s="294">
        <f>BT223+Commercial!BT67-Data!BS223</f>
        <v>-2</v>
      </c>
      <c r="BU234" s="294">
        <f>BU223+Commercial!BU67-Data!BT223</f>
        <v>11</v>
      </c>
      <c r="BV234" s="59">
        <f>SUM(BR234:BU234)</f>
        <v>17</v>
      </c>
      <c r="BW234" s="294">
        <f>BW223+Commercial!BW67-Data!BV223</f>
        <v>9</v>
      </c>
      <c r="BX234" s="294">
        <f>BX223+Commercial!BX67-Data!BW223</f>
        <v>24</v>
      </c>
      <c r="BY234" s="294">
        <f>BY223+Commercial!BY67-Data!BX223</f>
        <v>10</v>
      </c>
      <c r="BZ234" s="294">
        <f>BZ223+Commercial!BZ67-Data!BY223</f>
        <v>17</v>
      </c>
      <c r="CA234" s="59">
        <f>SUM(BW234:BZ234)</f>
        <v>60</v>
      </c>
      <c r="CB234" s="294">
        <f>CB223+Commercial!CB67-Data!CA223</f>
        <v>0</v>
      </c>
      <c r="CC234" s="294">
        <f>CC223+Commercial!CC67-Data!CB223</f>
        <v>19</v>
      </c>
      <c r="CD234" s="294">
        <f>CD223+Commercial!CD67-Data!CC223</f>
        <v>3</v>
      </c>
      <c r="CE234" s="294">
        <f>CE223+Commercial!CE67-Data!CD223</f>
        <v>24</v>
      </c>
      <c r="CF234" s="59">
        <f>SUM(CB234:CE234)</f>
        <v>46</v>
      </c>
      <c r="CG234" s="294">
        <f>CG223+Commercial!CG67-Data!CF223</f>
        <v>20</v>
      </c>
      <c r="CH234" s="294">
        <f>CH223+Commercial!CH67-Data!CG223</f>
        <v>2</v>
      </c>
      <c r="CI234" s="294">
        <f>CI223+Commercial!CI67-Data!CH223</f>
        <v>14</v>
      </c>
      <c r="CJ234" s="294">
        <f>CJ223+Commercial!CJ67-Data!CI223</f>
        <v>-40</v>
      </c>
      <c r="CK234" s="59">
        <f>SUM(CG234:CJ234)</f>
        <v>-4</v>
      </c>
      <c r="CL234" s="294">
        <f>CL223+Commercial!CL67-Data!CK223</f>
        <v>-324</v>
      </c>
      <c r="CM234" s="294">
        <f>CM223+Commercial!CM67-Data!CL223</f>
        <v>3</v>
      </c>
      <c r="CN234" s="294">
        <f>CN223+Commercial!CN67-Data!CM223</f>
        <v>3</v>
      </c>
      <c r="CO234" s="294">
        <f>CO223+Commercial!CO67-Data!CN223</f>
        <v>8</v>
      </c>
      <c r="CP234" s="59">
        <f>SUM(CL234:CO234)</f>
        <v>-310</v>
      </c>
      <c r="CQ234" s="294">
        <f>CQ223+Commercial!CQ67-Data!CP223</f>
        <v>0</v>
      </c>
      <c r="CR234" s="294">
        <f>CR223+Commercial!CR67-Data!CQ223</f>
        <v>13</v>
      </c>
      <c r="CS234" s="294">
        <f>CS223+Commercial!CS67-Data!CR223</f>
        <v>23</v>
      </c>
      <c r="CT234" s="294">
        <f>CT223+Commercial!CT67-Data!CS223</f>
        <v>5</v>
      </c>
      <c r="CU234" s="59">
        <f>SUM(CQ234:CT234)</f>
        <v>41</v>
      </c>
      <c r="CV234" s="294">
        <f>CV223+Commercial!CV67-Data!CU223</f>
        <v>19</v>
      </c>
      <c r="CW234" s="294">
        <f>CW223+Commercial!CW67-Data!CV223</f>
        <v>6</v>
      </c>
      <c r="CX234" s="294">
        <f>CX223+Commercial!CX67-Data!CW223</f>
        <v>5</v>
      </c>
      <c r="CY234" s="294">
        <f>CY223+Commercial!CY67-Data!CX223</f>
        <v>5</v>
      </c>
      <c r="CZ234" s="59">
        <f>SUM(CV234:CY234)</f>
        <v>35</v>
      </c>
      <c r="DA234" s="294">
        <f>DA223+Commercial!DA67-Data!CZ223</f>
        <v>-65</v>
      </c>
      <c r="DB234" s="294">
        <f>DB223+Commercial!DB67-Data!DA223</f>
        <v>67</v>
      </c>
      <c r="DC234" s="294">
        <f>DC223+Commercial!DC67-Data!DB223</f>
        <v>-1</v>
      </c>
      <c r="DD234" s="294">
        <f>DD223+Commercial!DD67-Data!DC223</f>
        <v>-44</v>
      </c>
      <c r="DE234" s="59">
        <f>SUM(DA234:DD234)</f>
        <v>-43</v>
      </c>
      <c r="DF234" s="294">
        <f>DF223+Commercial!DF67-Data!DE223</f>
        <v>47</v>
      </c>
      <c r="DG234" s="392">
        <f>DG223+Commercial!DG67-Data!DF223</f>
        <v>11</v>
      </c>
      <c r="DH234" s="392">
        <f>DH223+Commercial!DH67-Data!DG223</f>
        <v>6</v>
      </c>
      <c r="DI234" s="294">
        <f>DI223+Commercial!DI67-Data!DH223</f>
        <v>18</v>
      </c>
      <c r="DJ234" s="59">
        <f>SUM(DF234:DI234)</f>
        <v>82</v>
      </c>
      <c r="DK234" s="294">
        <f>DK223+Commercial!DK67-Data!DJ223</f>
        <v>11</v>
      </c>
      <c r="DL234" s="294">
        <f>DL223+Commercial!DL67-Data!DK223</f>
        <v>0</v>
      </c>
      <c r="DM234" s="392">
        <f>DM223+Commercial!DM67-Data!DL223</f>
        <v>3</v>
      </c>
      <c r="DN234" s="714">
        <f>DN223+Commercial!DN67-Data!DM223</f>
        <v>-1</v>
      </c>
      <c r="DO234" s="59">
        <f>SUM(DK234:DN234)</f>
        <v>13</v>
      </c>
      <c r="DP234" s="714">
        <f>DP223+Commercial!DP67-Data!DO223</f>
        <v>0</v>
      </c>
      <c r="DQ234" s="294"/>
      <c r="DR234" s="104"/>
      <c r="DS234" s="96"/>
      <c r="DT234" s="217"/>
      <c r="DU234" s="294"/>
      <c r="DV234" s="104"/>
      <c r="DW234" s="104"/>
      <c r="DX234" s="96"/>
      <c r="DY234" s="217"/>
      <c r="DZ234" s="217"/>
      <c r="EA234" s="217"/>
      <c r="EB234" s="217"/>
    </row>
    <row r="235" spans="1:132" s="105" customFormat="1" ht="12" customHeight="1">
      <c r="A235" s="68"/>
      <c r="B235" s="513">
        <v>787</v>
      </c>
      <c r="C235" s="95"/>
      <c r="D235" s="95"/>
      <c r="E235" s="95"/>
      <c r="F235" s="94"/>
      <c r="G235" s="95"/>
      <c r="H235" s="95"/>
      <c r="I235" s="95"/>
      <c r="J235" s="94"/>
      <c r="K235" s="94"/>
      <c r="L235" s="94"/>
      <c r="M235" s="94"/>
      <c r="N235" s="95"/>
      <c r="O235" s="94"/>
      <c r="P235" s="94"/>
      <c r="Q235" s="94"/>
      <c r="R235" s="94"/>
      <c r="S235" s="95"/>
      <c r="T235" s="94"/>
      <c r="U235" s="94"/>
      <c r="V235" s="94"/>
      <c r="W235" s="94"/>
      <c r="X235" s="95"/>
      <c r="Y235" s="94"/>
      <c r="Z235" s="94"/>
      <c r="AA235" s="94"/>
      <c r="AB235" s="94"/>
      <c r="AC235" s="95"/>
      <c r="AD235" s="94"/>
      <c r="AE235" s="94"/>
      <c r="AF235" s="94"/>
      <c r="AG235" s="94"/>
      <c r="AH235" s="95"/>
      <c r="AI235" s="94"/>
      <c r="AJ235" s="94"/>
      <c r="AK235" s="94"/>
      <c r="AL235" s="94"/>
      <c r="AM235" s="95"/>
      <c r="AN235" s="94"/>
      <c r="AO235" s="94"/>
      <c r="AP235" s="94"/>
      <c r="AQ235" s="94"/>
      <c r="AR235" s="69"/>
      <c r="AS235" s="515"/>
      <c r="AT235" s="515"/>
      <c r="AU235" s="515"/>
      <c r="AV235" s="515"/>
      <c r="AW235" s="69"/>
      <c r="AX235" s="515"/>
      <c r="AY235" s="515"/>
      <c r="AZ235" s="515"/>
      <c r="BA235" s="515"/>
      <c r="BB235" s="69"/>
      <c r="BC235" s="294">
        <f>BC225+Commercial!BC78-Data!BA225</f>
        <v>42</v>
      </c>
      <c r="BD235" s="294">
        <f>BD225+Commercial!BD78-Data!BC225</f>
        <v>40</v>
      </c>
      <c r="BE235" s="294">
        <f>BE225+Commercial!BE78-Data!BD225</f>
        <v>49</v>
      </c>
      <c r="BF235" s="294">
        <f>BF225+Commercial!BF78-Data!BE225</f>
        <v>51</v>
      </c>
      <c r="BG235" s="59">
        <f>SUM(BC235:BF235)</f>
        <v>182</v>
      </c>
      <c r="BH235" s="294">
        <f>BH225+Commercial!BH78-Data!BF225</f>
        <v>1</v>
      </c>
      <c r="BI235" s="294">
        <f>BI225+Commercial!BI78-Data!BH225</f>
        <v>0</v>
      </c>
      <c r="BJ235" s="294">
        <f>BJ225+Commercial!BJ78-Data!BI225</f>
        <v>23</v>
      </c>
      <c r="BK235" s="294">
        <f>BK225+Commercial!BK78-Data!BJ225</f>
        <v>17</v>
      </c>
      <c r="BL235" s="59">
        <f>SUM(BH235:BK235)</f>
        <v>41</v>
      </c>
      <c r="BM235" s="294">
        <f>BM225+Commercial!BM78-Data!BK225</f>
        <v>34</v>
      </c>
      <c r="BN235" s="294">
        <f>BN225+Commercial!BN78-Data!BM225</f>
        <v>-10</v>
      </c>
      <c r="BO235" s="294">
        <f>BO225+Commercial!BO78-Data!BN225</f>
        <v>2</v>
      </c>
      <c r="BP235" s="294">
        <f>BP225+Commercial!BP78-Data!BO225</f>
        <v>45</v>
      </c>
      <c r="BQ235" s="59">
        <f>SUM(BM235:BP235)</f>
        <v>71</v>
      </c>
      <c r="BR235" s="294">
        <f>BR225+Commercial!BR78-Data!BP225</f>
        <v>-3</v>
      </c>
      <c r="BS235" s="294">
        <f>BS225+Commercial!BS78-Data!BR225</f>
        <v>16</v>
      </c>
      <c r="BT235" s="294">
        <f>BT225+Commercial!BT78-Data!BS225</f>
        <v>6</v>
      </c>
      <c r="BU235" s="294">
        <f>BU225+Commercial!BU78-Data!BT225</f>
        <v>39</v>
      </c>
      <c r="BV235" s="59">
        <f>SUM(BR235:BU235)</f>
        <v>58</v>
      </c>
      <c r="BW235" s="294">
        <f>BW225+Commercial!BW78-Data!BV225</f>
        <v>11</v>
      </c>
      <c r="BX235" s="294">
        <f>BX225+Commercial!BX78-Data!BW225</f>
        <v>64</v>
      </c>
      <c r="BY235" s="294">
        <f>BY225+Commercial!BY78-Data!BX225</f>
        <v>8</v>
      </c>
      <c r="BZ235" s="294">
        <f>BZ225+Commercial!BZ78-Data!BY225</f>
        <v>11</v>
      </c>
      <c r="CA235" s="59">
        <f>SUM(BW235:BZ235)</f>
        <v>94</v>
      </c>
      <c r="CB235" s="294">
        <f>CB225+Commercial!CB78-Data!CA225</f>
        <v>14</v>
      </c>
      <c r="CC235" s="294">
        <f>CC225+Commercial!CC78-Data!CB225</f>
        <v>55</v>
      </c>
      <c r="CD235" s="294">
        <f>CD225+Commercial!CD78-Data!CC225</f>
        <v>17</v>
      </c>
      <c r="CE235" s="294">
        <f>CE225+Commercial!CE78-Data!CD225</f>
        <v>5</v>
      </c>
      <c r="CF235" s="59">
        <f>SUM(CB235:CE235)</f>
        <v>91</v>
      </c>
      <c r="CG235" s="294">
        <f>CG225+Commercial!CG78-Data!CF225</f>
        <v>28</v>
      </c>
      <c r="CH235" s="294">
        <f>CH225+Commercial!CH78-Data!CG225</f>
        <v>1</v>
      </c>
      <c r="CI235" s="294">
        <f>CI225+Commercial!CI78-Data!CH225</f>
        <v>9</v>
      </c>
      <c r="CJ235" s="294">
        <f>CJ225+Commercial!CJ78-Data!CI225</f>
        <v>36</v>
      </c>
      <c r="CK235" s="59">
        <f>SUM(CG235:CJ235)</f>
        <v>74</v>
      </c>
      <c r="CL235" s="294">
        <f>CL225+Commercial!CL78-Data!CK225</f>
        <v>24</v>
      </c>
      <c r="CM235" s="294">
        <f>CM225+Commercial!CM78-Data!CL225</f>
        <v>-7</v>
      </c>
      <c r="CN235" s="294">
        <f>CN225+Commercial!CN78-Data!CM225</f>
        <v>-13</v>
      </c>
      <c r="CO235" s="294">
        <f>CO225+Commercial!CO78-Data!CN225</f>
        <v>-13</v>
      </c>
      <c r="CP235" s="59">
        <f>SUM(CL235:CO235)</f>
        <v>-9</v>
      </c>
      <c r="CQ235" s="294">
        <f>CQ225+Commercial!CQ78-Data!CP225</f>
        <v>-14</v>
      </c>
      <c r="CR235" s="294">
        <f>CR225+Commercial!CR78-Data!CQ225</f>
        <v>-13</v>
      </c>
      <c r="CS235" s="294">
        <f>CS225+Commercial!CS78-Data!CR225</f>
        <v>-4</v>
      </c>
      <c r="CT235" s="294">
        <f>CT225+Commercial!CT78-Data!CS225</f>
        <v>-2</v>
      </c>
      <c r="CU235" s="59">
        <f>SUM(CQ235:CT235)</f>
        <v>-33</v>
      </c>
      <c r="CV235" s="294">
        <f>CV225+Commercial!CV78-Data!CU225</f>
        <v>-6</v>
      </c>
      <c r="CW235" s="294">
        <f>CW225+Commercial!CW78-Data!CV225</f>
        <v>2</v>
      </c>
      <c r="CX235" s="294">
        <f>CX225+Commercial!CX78-Data!CW225</f>
        <v>15</v>
      </c>
      <c r="CY235" s="294">
        <f>CY225+Commercial!CY78-Data!CX225</f>
        <v>114</v>
      </c>
      <c r="CZ235" s="59">
        <f>SUM(CV235:CY235)</f>
        <v>125</v>
      </c>
      <c r="DA235" s="294">
        <f>DA225+Commercial!DA78-Data!CZ225</f>
        <v>28</v>
      </c>
      <c r="DB235" s="294">
        <f>DB225+Commercial!DB78-Data!DA225</f>
        <v>67</v>
      </c>
      <c r="DC235" s="294">
        <f>DC225+Commercial!DC78-Data!DB225</f>
        <v>116</v>
      </c>
      <c r="DD235" s="294">
        <f>DD225+Commercial!DD78-Data!DC225</f>
        <v>83</v>
      </c>
      <c r="DE235" s="59">
        <f>SUM(DA235:DD235)</f>
        <v>294</v>
      </c>
      <c r="DF235" s="294">
        <f>DF225+Commercial!DF78-Data!DE225</f>
        <v>6</v>
      </c>
      <c r="DG235" s="392">
        <f>DG225+Commercial!DG78-Data!DF225</f>
        <v>6</v>
      </c>
      <c r="DH235" s="392">
        <f>DH225+Commercial!DH78-Data!DG225</f>
        <v>-36</v>
      </c>
      <c r="DI235" s="294">
        <f>DI225+Commercial!DI78-Data!DH225</f>
        <v>68</v>
      </c>
      <c r="DJ235" s="59">
        <f>SUM(DF235:DI235)</f>
        <v>44</v>
      </c>
      <c r="DK235" s="294">
        <f>DK225+Commercial!DK78-Data!DJ225</f>
        <v>61</v>
      </c>
      <c r="DL235" s="294">
        <f>DL225+Commercial!DL78-Data!DK225</f>
        <v>198</v>
      </c>
      <c r="DM235" s="392">
        <f>DM225+Commercial!DM78-Data!DL225</f>
        <v>-251</v>
      </c>
      <c r="DN235" s="714">
        <f>DN225+Commercial!DN78-Data!DM225</f>
        <v>387</v>
      </c>
      <c r="DO235" s="59">
        <f>SUM(DK235:DN235)</f>
        <v>395</v>
      </c>
      <c r="DP235" s="714">
        <f>DP225+Commercial!DP78-Data!DO225</f>
        <v>48</v>
      </c>
      <c r="DQ235" s="294"/>
      <c r="DR235" s="104"/>
      <c r="DS235" s="96"/>
      <c r="DT235" s="217"/>
      <c r="DU235" s="294"/>
      <c r="DV235" s="104"/>
      <c r="DW235" s="104"/>
      <c r="DX235" s="96"/>
      <c r="DY235" s="217"/>
      <c r="DZ235" s="217"/>
      <c r="EA235" s="217"/>
      <c r="EB235" s="217"/>
    </row>
    <row r="236" spans="1:132" s="105" customFormat="1" ht="12" customHeight="1">
      <c r="A236" s="68"/>
      <c r="B236" s="48" t="s">
        <v>188</v>
      </c>
      <c r="C236" s="95"/>
      <c r="D236" s="95"/>
      <c r="E236" s="95"/>
      <c r="F236" s="94"/>
      <c r="G236" s="95"/>
      <c r="H236" s="95"/>
      <c r="I236" s="95"/>
      <c r="J236" s="94"/>
      <c r="K236" s="94"/>
      <c r="L236" s="94"/>
      <c r="M236" s="94"/>
      <c r="N236" s="95"/>
      <c r="O236" s="94"/>
      <c r="P236" s="94"/>
      <c r="Q236" s="94"/>
      <c r="R236" s="94"/>
      <c r="S236" s="95"/>
      <c r="T236" s="94"/>
      <c r="U236" s="94"/>
      <c r="V236" s="94"/>
      <c r="W236" s="94"/>
      <c r="X236" s="95"/>
      <c r="Y236" s="94"/>
      <c r="Z236" s="94"/>
      <c r="AA236" s="94"/>
      <c r="AB236" s="94"/>
      <c r="AC236" s="95"/>
      <c r="AD236" s="94"/>
      <c r="AE236" s="94"/>
      <c r="AF236" s="94"/>
      <c r="AG236" s="94"/>
      <c r="AH236" s="95"/>
      <c r="AI236" s="94"/>
      <c r="AJ236" s="94"/>
      <c r="AK236" s="94"/>
      <c r="AL236" s="94"/>
      <c r="AM236" s="95"/>
      <c r="AN236" s="94"/>
      <c r="AO236" s="94"/>
      <c r="AP236" s="94"/>
      <c r="AQ236" s="94"/>
      <c r="AR236" s="193"/>
      <c r="AS236" s="102"/>
      <c r="AT236" s="102"/>
      <c r="AU236" s="102"/>
      <c r="AV236" s="102"/>
      <c r="AW236" s="193"/>
      <c r="AX236" s="102"/>
      <c r="AY236" s="102"/>
      <c r="AZ236" s="102"/>
      <c r="BA236" s="102"/>
      <c r="BB236" s="193"/>
      <c r="BC236" s="102"/>
      <c r="BD236" s="102"/>
      <c r="BE236" s="102"/>
      <c r="BF236" s="102"/>
      <c r="BG236" s="193"/>
      <c r="BH236" s="102"/>
      <c r="BI236" s="102"/>
      <c r="BJ236" s="102"/>
      <c r="BK236" s="102"/>
      <c r="BL236" s="193"/>
      <c r="BM236" s="102"/>
      <c r="BN236" s="102"/>
      <c r="BO236" s="102"/>
      <c r="BP236" s="102"/>
      <c r="BQ236" s="193"/>
      <c r="BR236" s="102"/>
      <c r="BS236" s="712"/>
      <c r="BT236" s="94"/>
      <c r="BU236" s="96"/>
      <c r="BV236" s="217"/>
      <c r="BW236" s="94"/>
      <c r="BX236" s="712"/>
      <c r="BY236" s="94"/>
      <c r="BZ236" s="96"/>
      <c r="CA236" s="217"/>
      <c r="CB236" s="94"/>
      <c r="CC236" s="712"/>
      <c r="CD236" s="94"/>
      <c r="CE236" s="96"/>
      <c r="CF236" s="217"/>
      <c r="CG236" s="712"/>
      <c r="CH236" s="712"/>
      <c r="CI236" s="712"/>
      <c r="CJ236" s="712"/>
      <c r="CK236" s="217"/>
      <c r="CL236" s="712"/>
      <c r="CM236" s="96"/>
      <c r="CN236" s="96"/>
      <c r="CO236" s="96"/>
      <c r="CP236" s="217"/>
      <c r="CQ236" s="712"/>
      <c r="CR236" s="96"/>
      <c r="CS236" s="96"/>
      <c r="CT236" s="96"/>
      <c r="CU236" s="217"/>
      <c r="CV236" s="712"/>
      <c r="CW236" s="96"/>
      <c r="CX236" s="96"/>
      <c r="CY236" s="96"/>
      <c r="CZ236" s="217"/>
      <c r="DA236" s="96"/>
      <c r="DB236" s="96"/>
      <c r="DC236" s="96"/>
      <c r="DD236" s="96"/>
      <c r="DE236" s="217"/>
      <c r="DF236" s="104"/>
      <c r="DG236" s="1054"/>
      <c r="DH236" s="1054"/>
      <c r="DI236" s="96"/>
      <c r="DJ236" s="217"/>
      <c r="DK236" s="104"/>
      <c r="DL236" s="104"/>
      <c r="DM236" s="104"/>
      <c r="DN236" s="96"/>
      <c r="DO236" s="217"/>
      <c r="DP236" s="1104"/>
      <c r="DQ236" s="104"/>
      <c r="DR236" s="104"/>
      <c r="DS236" s="96"/>
      <c r="DT236" s="217"/>
      <c r="DU236" s="104"/>
      <c r="DV236" s="104"/>
      <c r="DW236" s="104"/>
      <c r="DX236" s="96"/>
      <c r="DY236" s="217"/>
      <c r="DZ236" s="217"/>
      <c r="EA236" s="217"/>
      <c r="EB236" s="217"/>
    </row>
    <row r="237" spans="1:132" s="105" customFormat="1" ht="12" customHeight="1">
      <c r="A237" s="68"/>
      <c r="B237" s="48"/>
      <c r="C237" s="95"/>
      <c r="D237" s="95"/>
      <c r="E237" s="95"/>
      <c r="F237" s="94"/>
      <c r="G237" s="95"/>
      <c r="H237" s="95"/>
      <c r="I237" s="95"/>
      <c r="J237" s="94"/>
      <c r="K237" s="94"/>
      <c r="L237" s="94"/>
      <c r="M237" s="94"/>
      <c r="N237" s="95"/>
      <c r="O237" s="94"/>
      <c r="P237" s="94"/>
      <c r="Q237" s="94"/>
      <c r="R237" s="94"/>
      <c r="S237" s="95"/>
      <c r="T237" s="94"/>
      <c r="U237" s="94"/>
      <c r="V237" s="94"/>
      <c r="W237" s="94"/>
      <c r="X237" s="95"/>
      <c r="Y237" s="94"/>
      <c r="Z237" s="94"/>
      <c r="AA237" s="94"/>
      <c r="AB237" s="94"/>
      <c r="AC237" s="95"/>
      <c r="AD237" s="94"/>
      <c r="AE237" s="94"/>
      <c r="AF237" s="94"/>
      <c r="AG237" s="94"/>
      <c r="AH237" s="95"/>
      <c r="AI237" s="94"/>
      <c r="AJ237" s="94"/>
      <c r="AK237" s="94"/>
      <c r="AL237" s="94"/>
      <c r="AM237" s="95"/>
      <c r="AN237" s="94"/>
      <c r="AO237" s="94"/>
      <c r="AP237" s="94"/>
      <c r="AQ237" s="94"/>
      <c r="AR237" s="95"/>
      <c r="AS237" s="94"/>
      <c r="AT237" s="94"/>
      <c r="AU237" s="94"/>
      <c r="AV237" s="96"/>
      <c r="AW237" s="217"/>
      <c r="AX237" s="94"/>
      <c r="AY237" s="94"/>
      <c r="AZ237" s="94"/>
      <c r="BA237" s="96"/>
      <c r="BB237" s="217"/>
      <c r="BC237" s="94"/>
      <c r="BD237" s="94"/>
      <c r="BE237" s="94"/>
      <c r="BF237" s="96"/>
      <c r="BG237" s="217"/>
      <c r="BH237" s="94"/>
      <c r="BI237" s="712"/>
      <c r="BJ237" s="94"/>
      <c r="BK237" s="96"/>
      <c r="BL237" s="217"/>
      <c r="BM237" s="94"/>
      <c r="BN237" s="712"/>
      <c r="BO237" s="94"/>
      <c r="BP237" s="96"/>
      <c r="BQ237" s="217"/>
      <c r="BR237" s="94"/>
      <c r="BS237" s="712"/>
      <c r="BT237" s="94"/>
      <c r="BU237" s="96"/>
      <c r="BV237" s="217"/>
      <c r="BW237" s="94"/>
      <c r="BX237" s="712"/>
      <c r="BY237" s="94"/>
      <c r="BZ237" s="96"/>
      <c r="CA237" s="217"/>
      <c r="CB237" s="94"/>
      <c r="CC237" s="712"/>
      <c r="CD237" s="94"/>
      <c r="CE237" s="96"/>
      <c r="CF237" s="217"/>
      <c r="CG237" s="712"/>
      <c r="CH237" s="712"/>
      <c r="CI237" s="712"/>
      <c r="CJ237" s="712"/>
      <c r="CK237" s="217"/>
      <c r="CL237" s="712"/>
      <c r="CM237" s="96"/>
      <c r="CN237" s="96"/>
      <c r="CO237" s="96"/>
      <c r="CP237" s="217"/>
      <c r="CQ237" s="712"/>
      <c r="CR237" s="96"/>
      <c r="CS237" s="96"/>
      <c r="CT237" s="96"/>
      <c r="CU237" s="217"/>
      <c r="CV237" s="712"/>
      <c r="CW237" s="96"/>
      <c r="CX237" s="96"/>
      <c r="CY237" s="96"/>
      <c r="CZ237" s="217"/>
      <c r="DA237" s="96"/>
      <c r="DB237" s="96"/>
      <c r="DC237" s="96"/>
      <c r="DD237" s="96"/>
      <c r="DE237" s="217"/>
      <c r="DF237" s="104"/>
      <c r="DG237" s="1054"/>
      <c r="DH237" s="1054"/>
      <c r="DI237" s="96"/>
      <c r="DJ237" s="217"/>
      <c r="DK237" s="104"/>
      <c r="DL237" s="104"/>
      <c r="DM237" s="104"/>
      <c r="DN237" s="96"/>
      <c r="DO237" s="217"/>
      <c r="DP237" s="104"/>
      <c r="DQ237" s="104"/>
      <c r="DR237" s="104"/>
      <c r="DS237" s="96"/>
      <c r="DT237" s="217"/>
      <c r="DU237" s="104"/>
      <c r="DV237" s="104"/>
      <c r="DW237" s="104"/>
      <c r="DX237" s="96"/>
      <c r="DY237" s="217"/>
      <c r="DZ237" s="217"/>
      <c r="EA237" s="217"/>
      <c r="EB237" s="217"/>
    </row>
    <row r="238" spans="1:132" s="105" customFormat="1" ht="12" hidden="1" customHeight="1" outlineLevel="1">
      <c r="A238" s="68"/>
      <c r="B238" s="511" t="s">
        <v>495</v>
      </c>
      <c r="C238" s="95"/>
      <c r="D238" s="95"/>
      <c r="E238" s="95"/>
      <c r="F238" s="94"/>
      <c r="G238" s="95"/>
      <c r="H238" s="95"/>
      <c r="I238" s="95"/>
      <c r="J238" s="94"/>
      <c r="K238" s="94"/>
      <c r="L238" s="94"/>
      <c r="M238" s="94"/>
      <c r="N238" s="95"/>
      <c r="O238" s="94"/>
      <c r="P238" s="94"/>
      <c r="Q238" s="94"/>
      <c r="R238" s="94"/>
      <c r="S238" s="95"/>
      <c r="T238" s="94"/>
      <c r="U238" s="94"/>
      <c r="V238" s="94"/>
      <c r="W238" s="94"/>
      <c r="X238" s="95"/>
      <c r="Y238" s="94"/>
      <c r="Z238" s="94"/>
      <c r="AA238" s="94"/>
      <c r="AB238" s="94"/>
      <c r="AC238" s="95"/>
      <c r="AD238" s="94"/>
      <c r="AE238" s="94"/>
      <c r="AF238" s="94"/>
      <c r="AG238" s="94"/>
      <c r="AH238" s="95"/>
      <c r="AI238" s="94"/>
      <c r="AJ238" s="94"/>
      <c r="AK238" s="94"/>
      <c r="AL238" s="94"/>
      <c r="AM238" s="95"/>
      <c r="AN238" s="94"/>
      <c r="AO238" s="94"/>
      <c r="AP238" s="94"/>
      <c r="AQ238" s="94"/>
      <c r="AR238" s="95"/>
      <c r="AS238" s="94"/>
      <c r="AT238" s="94"/>
      <c r="AU238" s="94"/>
      <c r="AV238" s="96"/>
      <c r="AW238" s="217"/>
      <c r="AX238" s="94"/>
      <c r="AY238" s="94"/>
      <c r="AZ238" s="94"/>
      <c r="BA238" s="96"/>
      <c r="BB238" s="217"/>
      <c r="BC238" s="94"/>
      <c r="BD238" s="94"/>
      <c r="BE238" s="94"/>
      <c r="BF238" s="96"/>
      <c r="BG238" s="217"/>
      <c r="BH238" s="94"/>
      <c r="BI238" s="712"/>
      <c r="BJ238" s="94"/>
      <c r="BK238" s="96"/>
      <c r="BL238" s="217"/>
      <c r="BM238" s="94"/>
      <c r="BN238" s="712"/>
      <c r="BO238" s="94"/>
      <c r="BP238" s="96"/>
      <c r="BQ238" s="217"/>
      <c r="BR238" s="94"/>
      <c r="BS238" s="712"/>
      <c r="BT238" s="94"/>
      <c r="BU238" s="96"/>
      <c r="BV238" s="217"/>
      <c r="BW238" s="94"/>
      <c r="BX238" s="712"/>
      <c r="BY238" s="94"/>
      <c r="BZ238" s="96"/>
      <c r="CA238" s="217"/>
      <c r="CB238" s="94"/>
      <c r="CC238" s="712"/>
      <c r="CD238" s="94"/>
      <c r="CE238" s="96"/>
      <c r="CF238" s="217"/>
      <c r="CG238" s="712"/>
      <c r="CH238" s="712"/>
      <c r="CI238" s="712"/>
      <c r="CJ238" s="712"/>
      <c r="CK238" s="217"/>
      <c r="CL238" s="712"/>
      <c r="CM238" s="96"/>
      <c r="CN238" s="96"/>
      <c r="CO238" s="96"/>
      <c r="CP238" s="217"/>
      <c r="CQ238" s="712"/>
      <c r="CR238" s="96"/>
      <c r="CS238" s="96"/>
      <c r="CT238" s="96"/>
      <c r="CU238" s="217"/>
      <c r="CV238" s="712"/>
      <c r="CW238" s="96"/>
      <c r="CX238" s="96"/>
      <c r="CY238" s="96"/>
      <c r="CZ238" s="217"/>
      <c r="DA238" s="96"/>
      <c r="DB238" s="96"/>
      <c r="DC238" s="96"/>
      <c r="DD238" s="96"/>
      <c r="DE238" s="217"/>
      <c r="DF238" s="104"/>
      <c r="DG238" s="1054"/>
      <c r="DH238" s="1054"/>
      <c r="DI238" s="96"/>
      <c r="DJ238" s="217"/>
      <c r="DK238" s="104"/>
      <c r="DL238" s="104"/>
      <c r="DM238" s="104"/>
      <c r="DN238" s="96"/>
      <c r="DO238" s="217"/>
      <c r="DP238" s="104"/>
      <c r="DQ238" s="104"/>
      <c r="DR238" s="104"/>
      <c r="DS238" s="96"/>
      <c r="DT238" s="217"/>
      <c r="DU238" s="104"/>
      <c r="DV238" s="104"/>
      <c r="DW238" s="104"/>
      <c r="DX238" s="96"/>
      <c r="DY238" s="217"/>
      <c r="DZ238" s="217"/>
      <c r="EA238" s="217"/>
      <c r="EB238" s="217"/>
    </row>
    <row r="239" spans="1:132" s="105" customFormat="1" ht="12" hidden="1" customHeight="1" outlineLevel="1">
      <c r="A239" s="68"/>
      <c r="B239" s="514">
        <v>717</v>
      </c>
      <c r="C239" s="95"/>
      <c r="D239" s="95"/>
      <c r="E239" s="95"/>
      <c r="F239" s="94"/>
      <c r="G239" s="95"/>
      <c r="H239" s="95"/>
      <c r="I239" s="95"/>
      <c r="J239" s="94"/>
      <c r="K239" s="94"/>
      <c r="L239" s="94"/>
      <c r="M239" s="94"/>
      <c r="N239" s="95"/>
      <c r="O239" s="94"/>
      <c r="P239" s="94"/>
      <c r="Q239" s="94"/>
      <c r="R239" s="94"/>
      <c r="S239" s="95"/>
      <c r="T239" s="94"/>
      <c r="U239" s="94"/>
      <c r="V239" s="94"/>
      <c r="W239" s="94"/>
      <c r="X239" s="95"/>
      <c r="Y239" s="94"/>
      <c r="Z239" s="94"/>
      <c r="AA239" s="94"/>
      <c r="AB239" s="94"/>
      <c r="AC239" s="95"/>
      <c r="AD239" s="94"/>
      <c r="AE239" s="94"/>
      <c r="AF239" s="94"/>
      <c r="AG239" s="94"/>
      <c r="AH239" s="95"/>
      <c r="AI239" s="94"/>
      <c r="AJ239" s="94"/>
      <c r="AK239" s="94"/>
      <c r="AL239" s="94"/>
      <c r="AM239" s="95"/>
      <c r="AN239" s="94"/>
      <c r="AO239" s="94"/>
      <c r="AP239" s="94"/>
      <c r="AQ239" s="94"/>
      <c r="AR239" s="95"/>
      <c r="AS239" s="94"/>
      <c r="AT239" s="94"/>
      <c r="AU239" s="94"/>
      <c r="AV239" s="96"/>
      <c r="AW239" s="217"/>
      <c r="AX239" s="94"/>
      <c r="AY239" s="94"/>
      <c r="AZ239" s="94"/>
      <c r="BA239" s="96"/>
      <c r="BB239" s="217"/>
      <c r="BC239" s="94"/>
      <c r="BD239" s="94"/>
      <c r="BE239" s="94"/>
      <c r="BF239" s="96"/>
      <c r="BG239" s="217"/>
      <c r="BH239" s="94"/>
      <c r="BI239" s="712"/>
      <c r="BJ239" s="94"/>
      <c r="BK239" s="96"/>
      <c r="BL239" s="217"/>
      <c r="BM239" s="94"/>
      <c r="BN239" s="712"/>
      <c r="BO239" s="94"/>
      <c r="BP239" s="96"/>
      <c r="BQ239" s="217"/>
      <c r="BR239" s="94"/>
      <c r="BS239" s="712"/>
      <c r="BT239" s="94"/>
      <c r="BU239" s="96"/>
      <c r="BV239" s="217"/>
      <c r="BW239" s="94"/>
      <c r="BX239" s="712"/>
      <c r="BY239" s="94"/>
      <c r="BZ239" s="96"/>
      <c r="CA239" s="217"/>
      <c r="CB239" s="94"/>
      <c r="CC239" s="712"/>
      <c r="CD239" s="94"/>
      <c r="CE239" s="96"/>
      <c r="CF239" s="217"/>
      <c r="CG239" s="712"/>
      <c r="CH239" s="712"/>
      <c r="CI239" s="712"/>
      <c r="CJ239" s="712"/>
      <c r="CK239" s="217"/>
      <c r="CL239" s="712"/>
      <c r="CM239" s="96"/>
      <c r="CN239" s="96"/>
      <c r="CO239" s="96"/>
      <c r="CP239" s="217"/>
      <c r="CQ239" s="712"/>
      <c r="CR239" s="96"/>
      <c r="CS239" s="96"/>
      <c r="CT239" s="96"/>
      <c r="CU239" s="217"/>
      <c r="CV239" s="712"/>
      <c r="CW239" s="96"/>
      <c r="CX239" s="96"/>
      <c r="CY239" s="96"/>
      <c r="CZ239" s="217"/>
      <c r="DA239" s="96"/>
      <c r="DB239" s="96"/>
      <c r="DC239" s="96"/>
      <c r="DD239" s="96"/>
      <c r="DE239" s="217"/>
      <c r="DF239" s="104"/>
      <c r="DG239" s="1054"/>
      <c r="DH239" s="1054"/>
      <c r="DI239" s="96"/>
      <c r="DJ239" s="217"/>
      <c r="DK239" s="104"/>
      <c r="DL239" s="104"/>
      <c r="DM239" s="104"/>
      <c r="DN239" s="96"/>
      <c r="DO239" s="217"/>
      <c r="DP239" s="104"/>
      <c r="DQ239" s="104"/>
      <c r="DR239" s="104"/>
      <c r="DS239" s="96"/>
      <c r="DT239" s="217"/>
      <c r="DU239" s="104"/>
      <c r="DV239" s="104"/>
      <c r="DW239" s="104"/>
      <c r="DX239" s="96"/>
      <c r="DY239" s="217"/>
      <c r="DZ239" s="217"/>
      <c r="EA239" s="217"/>
      <c r="EB239" s="217"/>
    </row>
    <row r="240" spans="1:132" s="105" customFormat="1" ht="12" hidden="1" customHeight="1" outlineLevel="1">
      <c r="A240" s="68"/>
      <c r="B240" s="512">
        <v>737</v>
      </c>
      <c r="C240" s="95"/>
      <c r="D240" s="95"/>
      <c r="E240" s="95"/>
      <c r="F240" s="94"/>
      <c r="G240" s="95"/>
      <c r="H240" s="95"/>
      <c r="I240" s="95"/>
      <c r="J240" s="94"/>
      <c r="K240" s="94"/>
      <c r="L240" s="94"/>
      <c r="M240" s="94"/>
      <c r="N240" s="95"/>
      <c r="O240" s="94"/>
      <c r="P240" s="94"/>
      <c r="Q240" s="94"/>
      <c r="R240" s="94"/>
      <c r="S240" s="95"/>
      <c r="T240" s="94"/>
      <c r="U240" s="94"/>
      <c r="V240" s="94"/>
      <c r="W240" s="94"/>
      <c r="X240" s="95"/>
      <c r="Y240" s="94"/>
      <c r="Z240" s="94"/>
      <c r="AA240" s="94"/>
      <c r="AB240" s="94"/>
      <c r="AC240" s="95"/>
      <c r="AD240" s="94"/>
      <c r="AE240" s="94"/>
      <c r="AF240" s="94"/>
      <c r="AG240" s="94"/>
      <c r="AH240" s="95"/>
      <c r="AI240" s="94"/>
      <c r="AJ240" s="94"/>
      <c r="AK240" s="94"/>
      <c r="AL240" s="94"/>
      <c r="AM240" s="95"/>
      <c r="AN240" s="94"/>
      <c r="AO240" s="94"/>
      <c r="AP240" s="94"/>
      <c r="AQ240" s="94"/>
      <c r="AR240" s="95"/>
      <c r="AS240" s="94"/>
      <c r="AT240" s="94"/>
      <c r="AU240" s="94"/>
      <c r="AV240" s="96"/>
      <c r="AW240" s="217"/>
      <c r="AX240" s="94"/>
      <c r="AY240" s="94"/>
      <c r="AZ240" s="94"/>
      <c r="BA240" s="96"/>
      <c r="BB240" s="217"/>
      <c r="BC240" s="94"/>
      <c r="BD240" s="94"/>
      <c r="BE240" s="94"/>
      <c r="BF240" s="96"/>
      <c r="BG240" s="789">
        <f>BG230/Commercial!BL32</f>
        <v>2.1567010309278349</v>
      </c>
      <c r="BH240" s="94">
        <f>BH230/Commercial!BM32</f>
        <v>1.8925619834710743</v>
      </c>
      <c r="BI240" s="94">
        <f>BI230/Commercial!BN32</f>
        <v>2.0390625</v>
      </c>
      <c r="BJ240" s="94">
        <f>BJ230/Commercial!BO32</f>
        <v>1.7619047619047619</v>
      </c>
      <c r="BK240" s="94">
        <f>BK230/Commercial!BP32</f>
        <v>3.2666666666666666</v>
      </c>
      <c r="BL240" s="789">
        <f>BL230/Commercial!BQ32</f>
        <v>2.2303030303030305</v>
      </c>
      <c r="BM240" s="94">
        <f>BM230/Commercial!BR32</f>
        <v>0.54545454545454541</v>
      </c>
      <c r="BN240" s="94">
        <f>BN230/Commercial!BS32</f>
        <v>1.078740157480315</v>
      </c>
      <c r="BO240" s="94">
        <f>BO230/Commercial!BT32</f>
        <v>0.96666666666666667</v>
      </c>
      <c r="BP240" s="94">
        <f>BP230/Commercial!BU32</f>
        <v>2.2049180327868854</v>
      </c>
      <c r="BQ240" s="789">
        <f>BQ230/Commercial!BV32</f>
        <v>1.2</v>
      </c>
      <c r="BR240" s="94">
        <f>BR230/Commercial!BW32</f>
        <v>0.96460176991150437</v>
      </c>
      <c r="BS240" s="94">
        <f>BS230/Commercial!BX32</f>
        <v>1.0731707317073171</v>
      </c>
      <c r="BT240" s="94">
        <f>BT230/Commercial!BY32</f>
        <v>0.58620689655172409</v>
      </c>
      <c r="BU240" s="94">
        <f>BU230/Commercial!BZ32</f>
        <v>1.5135135135135136</v>
      </c>
      <c r="BV240" s="789">
        <f>BV230/Commercial!CA32</f>
        <v>1.0396975425330812</v>
      </c>
      <c r="BW240" s="94">
        <f>BW230/Commercial!CB32</f>
        <v>1.2651515151515151</v>
      </c>
      <c r="BX240" s="94">
        <f>BX230/Commercial!CC32</f>
        <v>0.69343065693430661</v>
      </c>
      <c r="BY240" s="94">
        <f>BY230/Commercial!CD32</f>
        <v>0.71014492753623193</v>
      </c>
      <c r="BZ240" s="94">
        <f>BZ230/Commercial!CE32</f>
        <v>2.3410404624277459</v>
      </c>
      <c r="CA240" s="789">
        <f>CA230/Commercial!CF32</f>
        <v>1.3189655172413792</v>
      </c>
      <c r="CB240" s="94">
        <f>CB230/Commercial!CG32</f>
        <v>1.1235955056179776</v>
      </c>
      <c r="CC240" s="94">
        <f>CC230/Commercial!CH32</f>
        <v>6.166666666666667</v>
      </c>
      <c r="CD240" s="94">
        <f>CD230/Commercial!CI32</f>
        <v>25</v>
      </c>
      <c r="CE240" s="94">
        <f>CE230/Commercial!CJ32</f>
        <v>25.222222222222221</v>
      </c>
      <c r="CF240" s="789">
        <f>CF230/Commercial!CK32</f>
        <v>4.7244094488188972</v>
      </c>
      <c r="CG240" s="94">
        <f>CG230/Commercial!CL32</f>
        <v>-34.200000000000003</v>
      </c>
      <c r="CH240" s="94">
        <f>CH230/Commercial!CM32</f>
        <v>-2.25</v>
      </c>
      <c r="CI240" s="94">
        <f>CI230/Commercial!CN32</f>
        <v>-1.3333333333333333</v>
      </c>
      <c r="CJ240" s="94">
        <f>CJ230/Commercial!CO32</f>
        <v>3.2258064516129031E-2</v>
      </c>
      <c r="CK240" s="789">
        <f>CK230/Commercial!CP32</f>
        <v>-4.2558139534883717</v>
      </c>
      <c r="CL240" s="94">
        <f>CL230/Commercial!CU32</f>
        <v>-1.1939163498098859</v>
      </c>
      <c r="CM240" s="94">
        <f>CM230/Commercial!CZ32</f>
        <v>-1.2403100775193798</v>
      </c>
      <c r="CN240" s="94">
        <f>CN230/Commercial!DE32</f>
        <v>-0.47727272727272729</v>
      </c>
      <c r="CO240" s="94">
        <f>CO230/Commercial!DJ32</f>
        <v>-0.33962264150943394</v>
      </c>
      <c r="CP240" s="789">
        <f>CP230/Commercial!CU32</f>
        <v>-4.0798479087452471</v>
      </c>
      <c r="CQ240" s="94"/>
      <c r="CR240" s="96"/>
      <c r="CS240" s="96"/>
      <c r="CT240" s="96"/>
      <c r="CU240" s="217"/>
      <c r="CV240" s="94"/>
      <c r="CW240" s="96"/>
      <c r="CX240" s="96"/>
      <c r="CY240" s="96"/>
      <c r="CZ240" s="217"/>
      <c r="DA240" s="96"/>
      <c r="DB240" s="96"/>
      <c r="DC240" s="96"/>
      <c r="DD240" s="96"/>
      <c r="DE240" s="217"/>
      <c r="DF240" s="104"/>
      <c r="DG240" s="1054"/>
      <c r="DH240" s="1054"/>
      <c r="DI240" s="96"/>
      <c r="DJ240" s="217"/>
      <c r="DK240" s="104"/>
      <c r="DL240" s="104"/>
      <c r="DM240" s="104"/>
      <c r="DN240" s="96"/>
      <c r="DO240" s="217"/>
      <c r="DP240" s="104"/>
      <c r="DQ240" s="104"/>
      <c r="DR240" s="104"/>
      <c r="DS240" s="96"/>
      <c r="DT240" s="217"/>
      <c r="DU240" s="104"/>
      <c r="DV240" s="104"/>
      <c r="DW240" s="104"/>
      <c r="DX240" s="96"/>
      <c r="DY240" s="217"/>
      <c r="DZ240" s="217"/>
      <c r="EA240" s="217"/>
      <c r="EB240" s="217"/>
    </row>
    <row r="241" spans="1:132" s="105" customFormat="1" ht="12" hidden="1" customHeight="1" outlineLevel="1">
      <c r="A241" s="68"/>
      <c r="B241" s="512">
        <v>747</v>
      </c>
      <c r="C241" s="95"/>
      <c r="D241" s="95"/>
      <c r="E241" s="95"/>
      <c r="F241" s="94"/>
      <c r="G241" s="95"/>
      <c r="H241" s="95"/>
      <c r="I241" s="95"/>
      <c r="J241" s="94"/>
      <c r="K241" s="94"/>
      <c r="L241" s="94"/>
      <c r="M241" s="94"/>
      <c r="N241" s="95"/>
      <c r="O241" s="94"/>
      <c r="P241" s="94"/>
      <c r="Q241" s="94"/>
      <c r="R241" s="94"/>
      <c r="S241" s="95"/>
      <c r="T241" s="94"/>
      <c r="U241" s="94"/>
      <c r="V241" s="94"/>
      <c r="W241" s="94"/>
      <c r="X241" s="95"/>
      <c r="Y241" s="94"/>
      <c r="Z241" s="94"/>
      <c r="AA241" s="94"/>
      <c r="AB241" s="94"/>
      <c r="AC241" s="95"/>
      <c r="AD241" s="94"/>
      <c r="AE241" s="94"/>
      <c r="AF241" s="94"/>
      <c r="AG241" s="94"/>
      <c r="AH241" s="95"/>
      <c r="AI241" s="94"/>
      <c r="AJ241" s="94"/>
      <c r="AK241" s="94"/>
      <c r="AL241" s="94"/>
      <c r="AM241" s="95"/>
      <c r="AN241" s="94"/>
      <c r="AO241" s="94"/>
      <c r="AP241" s="94"/>
      <c r="AQ241" s="94"/>
      <c r="AR241" s="95"/>
      <c r="AS241" s="94"/>
      <c r="AT241" s="94"/>
      <c r="AU241" s="94"/>
      <c r="AV241" s="96"/>
      <c r="AW241" s="217"/>
      <c r="AX241" s="94"/>
      <c r="AY241" s="94"/>
      <c r="AZ241" s="94"/>
      <c r="BA241" s="96"/>
      <c r="BB241" s="217"/>
      <c r="BC241" s="94"/>
      <c r="BD241" s="94"/>
      <c r="BE241" s="94"/>
      <c r="BF241" s="96"/>
      <c r="BG241" s="217"/>
      <c r="BH241" s="94"/>
      <c r="BI241" s="712"/>
      <c r="BJ241" s="94"/>
      <c r="BK241" s="96"/>
      <c r="BL241" s="217"/>
      <c r="BM241" s="94"/>
      <c r="BN241" s="712"/>
      <c r="BO241" s="94"/>
      <c r="BP241" s="96"/>
      <c r="BQ241" s="217"/>
      <c r="BR241" s="94"/>
      <c r="BS241" s="712"/>
      <c r="BT241" s="94"/>
      <c r="BU241" s="96"/>
      <c r="BV241" s="217"/>
      <c r="BW241" s="94"/>
      <c r="BX241" s="712"/>
      <c r="BY241" s="94"/>
      <c r="BZ241" s="96"/>
      <c r="CA241" s="217"/>
      <c r="CB241" s="94"/>
      <c r="CC241" s="712"/>
      <c r="CD241" s="94"/>
      <c r="CE241" s="96"/>
      <c r="CF241" s="217"/>
      <c r="CG241" s="94"/>
      <c r="CH241" s="712"/>
      <c r="CI241" s="712"/>
      <c r="CJ241" s="96"/>
      <c r="CK241" s="217"/>
      <c r="CL241" s="96"/>
      <c r="CM241" s="96"/>
      <c r="CN241" s="96"/>
      <c r="CO241" s="96"/>
      <c r="CP241" s="217"/>
      <c r="CQ241" s="96"/>
      <c r="CR241" s="96"/>
      <c r="CS241" s="96"/>
      <c r="CT241" s="96"/>
      <c r="CU241" s="217"/>
      <c r="CV241" s="96"/>
      <c r="CW241" s="96"/>
      <c r="CX241" s="96"/>
      <c r="CY241" s="96"/>
      <c r="CZ241" s="217"/>
      <c r="DA241" s="96"/>
      <c r="DB241" s="96"/>
      <c r="DC241" s="96"/>
      <c r="DD241" s="96"/>
      <c r="DE241" s="217"/>
      <c r="DF241" s="104"/>
      <c r="DG241" s="1054"/>
      <c r="DH241" s="1054"/>
      <c r="DI241" s="96"/>
      <c r="DJ241" s="217"/>
      <c r="DK241" s="104"/>
      <c r="DL241" s="104"/>
      <c r="DM241" s="104"/>
      <c r="DN241" s="96"/>
      <c r="DO241" s="217"/>
      <c r="DP241" s="104"/>
      <c r="DQ241" s="104"/>
      <c r="DR241" s="104"/>
      <c r="DS241" s="96"/>
      <c r="DT241" s="217"/>
      <c r="DU241" s="104"/>
      <c r="DV241" s="104"/>
      <c r="DW241" s="104"/>
      <c r="DX241" s="96"/>
      <c r="DY241" s="217"/>
      <c r="DZ241" s="217"/>
      <c r="EA241" s="217"/>
      <c r="EB241" s="217"/>
    </row>
    <row r="242" spans="1:132" s="105" customFormat="1" ht="12" hidden="1" customHeight="1" outlineLevel="1">
      <c r="A242" s="68"/>
      <c r="B242" s="512">
        <v>757</v>
      </c>
      <c r="C242" s="95"/>
      <c r="D242" s="95"/>
      <c r="E242" s="95"/>
      <c r="F242" s="94"/>
      <c r="G242" s="95"/>
      <c r="H242" s="95"/>
      <c r="I242" s="95"/>
      <c r="J242" s="94"/>
      <c r="K242" s="94"/>
      <c r="L242" s="94"/>
      <c r="M242" s="94"/>
      <c r="N242" s="95"/>
      <c r="O242" s="94"/>
      <c r="P242" s="94"/>
      <c r="Q242" s="94"/>
      <c r="R242" s="94"/>
      <c r="S242" s="95"/>
      <c r="T242" s="94"/>
      <c r="U242" s="94"/>
      <c r="V242" s="94"/>
      <c r="W242" s="94"/>
      <c r="X242" s="95"/>
      <c r="Y242" s="94"/>
      <c r="Z242" s="94"/>
      <c r="AA242" s="94"/>
      <c r="AB242" s="94"/>
      <c r="AC242" s="95"/>
      <c r="AD242" s="94"/>
      <c r="AE242" s="94"/>
      <c r="AF242" s="94"/>
      <c r="AG242" s="94"/>
      <c r="AH242" s="95"/>
      <c r="AI242" s="94"/>
      <c r="AJ242" s="94"/>
      <c r="AK242" s="94"/>
      <c r="AL242" s="94"/>
      <c r="AM242" s="95"/>
      <c r="AN242" s="94"/>
      <c r="AO242" s="94"/>
      <c r="AP242" s="94"/>
      <c r="AQ242" s="94"/>
      <c r="AR242" s="95"/>
      <c r="AS242" s="94"/>
      <c r="AT242" s="94"/>
      <c r="AU242" s="94"/>
      <c r="AV242" s="96"/>
      <c r="AW242" s="217"/>
      <c r="AX242" s="94"/>
      <c r="AY242" s="94"/>
      <c r="AZ242" s="94"/>
      <c r="BA242" s="96"/>
      <c r="BB242" s="217"/>
      <c r="BC242" s="94"/>
      <c r="BD242" s="94"/>
      <c r="BE242" s="94"/>
      <c r="BF242" s="96"/>
      <c r="BG242" s="217"/>
      <c r="BH242" s="94"/>
      <c r="BI242" s="712"/>
      <c r="BJ242" s="94"/>
      <c r="BK242" s="96"/>
      <c r="BL242" s="217"/>
      <c r="BM242" s="94"/>
      <c r="BN242" s="712"/>
      <c r="BO242" s="94"/>
      <c r="BP242" s="96"/>
      <c r="BQ242" s="217"/>
      <c r="BR242" s="94"/>
      <c r="BS242" s="712"/>
      <c r="BT242" s="94"/>
      <c r="BU242" s="96"/>
      <c r="BV242" s="217"/>
      <c r="BW242" s="94"/>
      <c r="BX242" s="712"/>
      <c r="BY242" s="94"/>
      <c r="BZ242" s="96"/>
      <c r="CA242" s="217"/>
      <c r="CB242" s="94"/>
      <c r="CC242" s="712"/>
      <c r="CD242" s="94"/>
      <c r="CE242" s="96"/>
      <c r="CF242" s="217"/>
      <c r="CG242" s="94"/>
      <c r="CH242" s="712"/>
      <c r="CI242" s="712"/>
      <c r="CJ242" s="96"/>
      <c r="CK242" s="217"/>
      <c r="CL242" s="96"/>
      <c r="CM242" s="96"/>
      <c r="CN242" s="96"/>
      <c r="CO242" s="96"/>
      <c r="CP242" s="217"/>
      <c r="CQ242" s="96"/>
      <c r="CR242" s="96"/>
      <c r="CS242" s="96"/>
      <c r="CT242" s="96"/>
      <c r="CU242" s="217"/>
      <c r="CV242" s="96"/>
      <c r="CW242" s="96"/>
      <c r="CX242" s="96"/>
      <c r="CY242" s="96"/>
      <c r="CZ242" s="217"/>
      <c r="DA242" s="96"/>
      <c r="DB242" s="96"/>
      <c r="DC242" s="96"/>
      <c r="DD242" s="96"/>
      <c r="DE242" s="217"/>
      <c r="DF242" s="104"/>
      <c r="DG242" s="1054"/>
      <c r="DH242" s="1054"/>
      <c r="DI242" s="96"/>
      <c r="DJ242" s="217"/>
      <c r="DK242" s="104"/>
      <c r="DL242" s="104"/>
      <c r="DM242" s="104"/>
      <c r="DN242" s="96"/>
      <c r="DO242" s="217"/>
      <c r="DP242" s="104"/>
      <c r="DQ242" s="104"/>
      <c r="DR242" s="104"/>
      <c r="DS242" s="96"/>
      <c r="DT242" s="217"/>
      <c r="DU242" s="104"/>
      <c r="DV242" s="104"/>
      <c r="DW242" s="104"/>
      <c r="DX242" s="96"/>
      <c r="DY242" s="217"/>
      <c r="DZ242" s="217"/>
      <c r="EA242" s="217"/>
      <c r="EB242" s="217"/>
    </row>
    <row r="243" spans="1:132" s="105" customFormat="1" ht="12" hidden="1" customHeight="1" outlineLevel="1">
      <c r="A243" s="68"/>
      <c r="B243" s="512">
        <v>767</v>
      </c>
      <c r="C243" s="95"/>
      <c r="D243" s="95"/>
      <c r="E243" s="95"/>
      <c r="F243" s="94"/>
      <c r="G243" s="95"/>
      <c r="H243" s="95"/>
      <c r="I243" s="95"/>
      <c r="J243" s="94"/>
      <c r="K243" s="94"/>
      <c r="L243" s="94"/>
      <c r="M243" s="94"/>
      <c r="N243" s="95"/>
      <c r="O243" s="94"/>
      <c r="P243" s="94"/>
      <c r="Q243" s="94"/>
      <c r="R243" s="94"/>
      <c r="S243" s="95"/>
      <c r="T243" s="94"/>
      <c r="U243" s="94"/>
      <c r="V243" s="94"/>
      <c r="W243" s="94"/>
      <c r="X243" s="95"/>
      <c r="Y243" s="94"/>
      <c r="Z243" s="94"/>
      <c r="AA243" s="94"/>
      <c r="AB243" s="94"/>
      <c r="AC243" s="95"/>
      <c r="AD243" s="94"/>
      <c r="AE243" s="94"/>
      <c r="AF243" s="94"/>
      <c r="AG243" s="94"/>
      <c r="AH243" s="95"/>
      <c r="AI243" s="94"/>
      <c r="AJ243" s="94"/>
      <c r="AK243" s="94"/>
      <c r="AL243" s="94"/>
      <c r="AM243" s="95"/>
      <c r="AN243" s="94"/>
      <c r="AO243" s="94"/>
      <c r="AP243" s="94"/>
      <c r="AQ243" s="94"/>
      <c r="AR243" s="95"/>
      <c r="AS243" s="94"/>
      <c r="AT243" s="94"/>
      <c r="AU243" s="94"/>
      <c r="AV243" s="96"/>
      <c r="AW243" s="217"/>
      <c r="AX243" s="94"/>
      <c r="AY243" s="94"/>
      <c r="AZ243" s="94"/>
      <c r="BA243" s="96"/>
      <c r="BB243" s="217"/>
      <c r="BC243" s="94"/>
      <c r="BD243" s="94"/>
      <c r="BE243" s="94"/>
      <c r="BF243" s="96"/>
      <c r="BG243" s="217"/>
      <c r="BH243" s="94"/>
      <c r="BI243" s="712"/>
      <c r="BJ243" s="94"/>
      <c r="BK243" s="96"/>
      <c r="BL243" s="217"/>
      <c r="BM243" s="94"/>
      <c r="BN243" s="712"/>
      <c r="BO243" s="94"/>
      <c r="BP243" s="96"/>
      <c r="BQ243" s="217"/>
      <c r="BR243" s="94"/>
      <c r="BS243" s="712"/>
      <c r="BT243" s="94"/>
      <c r="BU243" s="96"/>
      <c r="BV243" s="217"/>
      <c r="BW243" s="94"/>
      <c r="BX243" s="712"/>
      <c r="BY243" s="94"/>
      <c r="BZ243" s="96"/>
      <c r="CA243" s="217"/>
      <c r="CB243" s="94"/>
      <c r="CC243" s="712"/>
      <c r="CD243" s="94"/>
      <c r="CE243" s="96"/>
      <c r="CF243" s="217"/>
      <c r="CG243" s="94"/>
      <c r="CH243" s="712"/>
      <c r="CI243" s="712"/>
      <c r="CJ243" s="96"/>
      <c r="CK243" s="217"/>
      <c r="CL243" s="96"/>
      <c r="CM243" s="96"/>
      <c r="CN243" s="96"/>
      <c r="CO243" s="96"/>
      <c r="CP243" s="217"/>
      <c r="CQ243" s="96"/>
      <c r="CR243" s="96"/>
      <c r="CS243" s="96"/>
      <c r="CT243" s="96"/>
      <c r="CU243" s="217"/>
      <c r="CV243" s="96"/>
      <c r="CW243" s="96"/>
      <c r="CX243" s="96"/>
      <c r="CY243" s="96"/>
      <c r="CZ243" s="217"/>
      <c r="DA243" s="96"/>
      <c r="DB243" s="96"/>
      <c r="DC243" s="96"/>
      <c r="DD243" s="96"/>
      <c r="DE243" s="217"/>
      <c r="DF243" s="104"/>
      <c r="DG243" s="1054"/>
      <c r="DH243" s="1054"/>
      <c r="DI243" s="96"/>
      <c r="DJ243" s="217"/>
      <c r="DK243" s="104"/>
      <c r="DL243" s="104"/>
      <c r="DM243" s="104"/>
      <c r="DN243" s="96"/>
      <c r="DO243" s="217"/>
      <c r="DP243" s="104"/>
      <c r="DQ243" s="104"/>
      <c r="DR243" s="104"/>
      <c r="DS243" s="96"/>
      <c r="DT243" s="217"/>
      <c r="DU243" s="104"/>
      <c r="DV243" s="104"/>
      <c r="DW243" s="104"/>
      <c r="DX243" s="96"/>
      <c r="DY243" s="217"/>
      <c r="DZ243" s="217"/>
      <c r="EA243" s="217"/>
      <c r="EB243" s="217"/>
    </row>
    <row r="244" spans="1:132" s="105" customFormat="1" ht="12" hidden="1" customHeight="1" outlineLevel="1">
      <c r="A244" s="68"/>
      <c r="B244" s="512">
        <v>777</v>
      </c>
      <c r="C244" s="95"/>
      <c r="D244" s="95"/>
      <c r="E244" s="95"/>
      <c r="F244" s="94"/>
      <c r="G244" s="95"/>
      <c r="H244" s="95"/>
      <c r="I244" s="95"/>
      <c r="J244" s="94"/>
      <c r="K244" s="94"/>
      <c r="L244" s="94"/>
      <c r="M244" s="94"/>
      <c r="N244" s="95"/>
      <c r="O244" s="94"/>
      <c r="P244" s="94"/>
      <c r="Q244" s="94"/>
      <c r="R244" s="94"/>
      <c r="S244" s="95"/>
      <c r="T244" s="94"/>
      <c r="U244" s="94"/>
      <c r="V244" s="94"/>
      <c r="W244" s="94"/>
      <c r="X244" s="95"/>
      <c r="Y244" s="94"/>
      <c r="Z244" s="94"/>
      <c r="AA244" s="94"/>
      <c r="AB244" s="94"/>
      <c r="AC244" s="95"/>
      <c r="AD244" s="94"/>
      <c r="AE244" s="94"/>
      <c r="AF244" s="94"/>
      <c r="AG244" s="94"/>
      <c r="AH244" s="95"/>
      <c r="AI244" s="94"/>
      <c r="AJ244" s="94"/>
      <c r="AK244" s="94"/>
      <c r="AL244" s="94"/>
      <c r="AM244" s="95"/>
      <c r="AN244" s="94"/>
      <c r="AO244" s="94"/>
      <c r="AP244" s="94"/>
      <c r="AQ244" s="94"/>
      <c r="AR244" s="95"/>
      <c r="AS244" s="94"/>
      <c r="AT244" s="94"/>
      <c r="AU244" s="94"/>
      <c r="AV244" s="96"/>
      <c r="AW244" s="217"/>
      <c r="AX244" s="94"/>
      <c r="AY244" s="94"/>
      <c r="AZ244" s="94"/>
      <c r="BA244" s="96"/>
      <c r="BB244" s="217"/>
      <c r="BC244" s="94">
        <f>BC234/Commercial!BH67</f>
        <v>0.45833333333333331</v>
      </c>
      <c r="BD244" s="94">
        <f>BD234/Commercial!BI67</f>
        <v>0.41666666666666669</v>
      </c>
      <c r="BE244" s="94">
        <f>BE234/Commercial!BJ67</f>
        <v>0.55555555555555558</v>
      </c>
      <c r="BF244" s="94">
        <f>BF234/Commercial!BK67</f>
        <v>3.2083333333333335</v>
      </c>
      <c r="BG244" s="788">
        <f>BG234/Commercial!BL67</f>
        <v>1.1414141414141414</v>
      </c>
      <c r="BH244" s="94">
        <f>BH234/Commercial!BM67</f>
        <v>0.16666666666666666</v>
      </c>
      <c r="BI244" s="94">
        <f>BI234/Commercial!BN67</f>
        <v>0.11538461538461539</v>
      </c>
      <c r="BJ244" s="94">
        <f>BJ234/Commercial!BO67</f>
        <v>9.4074074074074066</v>
      </c>
      <c r="BK244" s="94">
        <f>BK234/Commercial!BP67</f>
        <v>1.0476190476190477</v>
      </c>
      <c r="BL244" s="788">
        <f>BL234/Commercial!BQ67</f>
        <v>2.8877551020408165</v>
      </c>
      <c r="BM244" s="94">
        <f>BM234/Commercial!BR67</f>
        <v>0.17391304347826086</v>
      </c>
      <c r="BN244" s="94">
        <f>BN234/Commercial!BS67</f>
        <v>1.6071428571428572</v>
      </c>
      <c r="BO244" s="94">
        <f>BO234/Commercial!BT67</f>
        <v>0.22727272727272727</v>
      </c>
      <c r="BP244" s="94">
        <f>BP234/Commercial!BU67</f>
        <v>0.15384615384615385</v>
      </c>
      <c r="BQ244" s="789">
        <f>BQ234/Commercial!BV67</f>
        <v>0.58585858585858586</v>
      </c>
      <c r="BR244" s="94">
        <f>BR234/Commercial!BW67</f>
        <v>0.47619047619047616</v>
      </c>
      <c r="BS244" s="94">
        <f>BS234/Commercial!BX67</f>
        <v>-9.5238095238095233E-2</v>
      </c>
      <c r="BT244" s="94">
        <f>BT234/Commercial!BY67</f>
        <v>-0.125</v>
      </c>
      <c r="BU244" s="94">
        <f>BU234/Commercial!BZ67</f>
        <v>0.6875</v>
      </c>
      <c r="BV244" s="789">
        <f>BV234/Commercial!CA67</f>
        <v>0.22972972972972974</v>
      </c>
      <c r="BW244" s="94">
        <f>BW234/Commercial!CB67</f>
        <v>0.75</v>
      </c>
      <c r="BX244" s="94">
        <f>BX234/Commercial!CC67</f>
        <v>1.8461538461538463</v>
      </c>
      <c r="BY244" s="94">
        <f>BY234/Commercial!CD67</f>
        <v>0.83333333333333337</v>
      </c>
      <c r="BZ244" s="94">
        <f>BZ234/Commercial!CE67</f>
        <v>1.5454545454545454</v>
      </c>
      <c r="CA244" s="789">
        <f>CA234/Commercial!CF67</f>
        <v>1.25</v>
      </c>
      <c r="CB244" s="94">
        <f>CB234/Commercial!CG67</f>
        <v>0</v>
      </c>
      <c r="CC244" s="94">
        <f>CC234/Commercial!CH67</f>
        <v>1.5833333333333333</v>
      </c>
      <c r="CD244" s="94">
        <f>CD234/Commercial!CI67</f>
        <v>0.27272727272727271</v>
      </c>
      <c r="CE244" s="94">
        <f>CE234/Commercial!CJ67</f>
        <v>2</v>
      </c>
      <c r="CF244" s="789">
        <f>CF234/Commercial!CK67</f>
        <v>1.0222222222222221</v>
      </c>
      <c r="CG244" s="94">
        <f>CG234/Commercial!CL67</f>
        <v>3.3333333333333335</v>
      </c>
      <c r="CH244" s="94">
        <f>CH234/Commercial!CM67</f>
        <v>0.5</v>
      </c>
      <c r="CI244" s="94">
        <f>CI234/Commercial!CN67</f>
        <v>2.8</v>
      </c>
      <c r="CJ244" s="94">
        <f>CJ234/Commercial!CO67</f>
        <v>-3.6363636363636362</v>
      </c>
      <c r="CK244" s="789">
        <f>CK234/Commercial!CP67</f>
        <v>-0.15384615384615385</v>
      </c>
      <c r="CL244" s="94">
        <f>CL234/Commercial!CU67</f>
        <v>-13.5</v>
      </c>
      <c r="CM244" s="94">
        <f>CM234/Commercial!CZ67</f>
        <v>0.125</v>
      </c>
      <c r="CN244" s="94">
        <f>CN234/Commercial!DE67</f>
        <v>0.11538461538461539</v>
      </c>
      <c r="CO244" s="94">
        <f>CO234/Commercial!DJ67</f>
        <v>0.5714285714285714</v>
      </c>
      <c r="CP244" s="789">
        <f>CP234/Commercial!CU67</f>
        <v>-12.916666666666666</v>
      </c>
      <c r="CQ244" s="94"/>
      <c r="CR244" s="96"/>
      <c r="CS244" s="96"/>
      <c r="CT244" s="96"/>
      <c r="CU244" s="217"/>
      <c r="CV244" s="94"/>
      <c r="CW244" s="96"/>
      <c r="CX244" s="96"/>
      <c r="CY244" s="96"/>
      <c r="CZ244" s="217"/>
      <c r="DA244" s="96"/>
      <c r="DB244" s="96"/>
      <c r="DC244" s="96"/>
      <c r="DD244" s="96"/>
      <c r="DE244" s="217"/>
      <c r="DF244" s="104"/>
      <c r="DG244" s="1054"/>
      <c r="DH244" s="1054"/>
      <c r="DI244" s="96"/>
      <c r="DJ244" s="217"/>
      <c r="DK244" s="104"/>
      <c r="DL244" s="104"/>
      <c r="DM244" s="104"/>
      <c r="DN244" s="96"/>
      <c r="DO244" s="217"/>
      <c r="DP244" s="104"/>
      <c r="DQ244" s="104"/>
      <c r="DR244" s="104"/>
      <c r="DS244" s="96"/>
      <c r="DT244" s="217"/>
      <c r="DU244" s="104"/>
      <c r="DV244" s="104"/>
      <c r="DW244" s="104"/>
      <c r="DX244" s="96"/>
      <c r="DY244" s="217"/>
      <c r="DZ244" s="217"/>
      <c r="EA244" s="217"/>
      <c r="EB244" s="217"/>
    </row>
    <row r="245" spans="1:132" s="105" customFormat="1" ht="12" hidden="1" customHeight="1" outlineLevel="1">
      <c r="A245" s="68"/>
      <c r="B245" s="513">
        <v>787</v>
      </c>
      <c r="C245" s="95"/>
      <c r="D245" s="95"/>
      <c r="E245" s="95"/>
      <c r="F245" s="94"/>
      <c r="G245" s="95"/>
      <c r="H245" s="95"/>
      <c r="I245" s="95"/>
      <c r="J245" s="94"/>
      <c r="K245" s="94"/>
      <c r="L245" s="94"/>
      <c r="M245" s="94"/>
      <c r="N245" s="95"/>
      <c r="O245" s="94"/>
      <c r="P245" s="94"/>
      <c r="Q245" s="94"/>
      <c r="R245" s="94"/>
      <c r="S245" s="95"/>
      <c r="T245" s="94"/>
      <c r="U245" s="94"/>
      <c r="V245" s="94"/>
      <c r="W245" s="94"/>
      <c r="X245" s="95"/>
      <c r="Y245" s="94"/>
      <c r="Z245" s="94"/>
      <c r="AA245" s="94"/>
      <c r="AB245" s="94"/>
      <c r="AC245" s="95"/>
      <c r="AD245" s="94"/>
      <c r="AE245" s="94"/>
      <c r="AF245" s="94"/>
      <c r="AG245" s="94"/>
      <c r="AH245" s="95"/>
      <c r="AI245" s="94"/>
      <c r="AJ245" s="94"/>
      <c r="AK245" s="94"/>
      <c r="AL245" s="94"/>
      <c r="AM245" s="95"/>
      <c r="AN245" s="94"/>
      <c r="AO245" s="94"/>
      <c r="AP245" s="94"/>
      <c r="AQ245" s="94"/>
      <c r="AR245" s="95"/>
      <c r="AS245" s="94"/>
      <c r="AT245" s="94"/>
      <c r="AU245" s="94"/>
      <c r="AV245" s="96"/>
      <c r="AW245" s="217"/>
      <c r="AX245" s="94"/>
      <c r="AY245" s="94"/>
      <c r="AZ245" s="94"/>
      <c r="BA245" s="96"/>
      <c r="BB245" s="217"/>
      <c r="BC245" s="790">
        <f>BC235/Commercial!BH78</f>
        <v>2.3333333333333335</v>
      </c>
      <c r="BD245" s="790">
        <f>BD235/Commercial!BI78</f>
        <v>1.3333333333333333</v>
      </c>
      <c r="BE245" s="790">
        <f>BE235/Commercial!BJ78</f>
        <v>1.5806451612903225</v>
      </c>
      <c r="BF245" s="792">
        <f>BF235/Commercial!BK78</f>
        <v>1.4571428571428571</v>
      </c>
      <c r="BG245" s="793">
        <f>BG235/Commercial!BL78</f>
        <v>1.5964912280701755</v>
      </c>
      <c r="BH245" s="790">
        <f>BH235/Commercial!BM78</f>
        <v>3.3333333333333333E-2</v>
      </c>
      <c r="BI245" s="791">
        <f>BI235/Commercial!BN78</f>
        <v>0</v>
      </c>
      <c r="BJ245" s="790">
        <f>BJ235/Commercial!BO78</f>
        <v>0.6216216216216216</v>
      </c>
      <c r="BK245" s="792">
        <f>BK235/Commercial!BP78</f>
        <v>0.5</v>
      </c>
      <c r="BL245" s="793">
        <f>BL235/Commercial!BQ78</f>
        <v>0.3037037037037037</v>
      </c>
      <c r="BM245" s="790">
        <f>BM235/Commercial!BR78</f>
        <v>1.1333333333333333</v>
      </c>
      <c r="BN245" s="791">
        <f>BN235/Commercial!BS78</f>
        <v>-0.26315789473684209</v>
      </c>
      <c r="BO245" s="790">
        <f>BO235/Commercial!BT78</f>
        <v>5.5555555555555552E-2</v>
      </c>
      <c r="BP245" s="792">
        <f>BP235/Commercial!BU78</f>
        <v>1.3636363636363635</v>
      </c>
      <c r="BQ245" s="793">
        <f>BQ235/Commercial!BV78</f>
        <v>0.51824817518248179</v>
      </c>
      <c r="BR245" s="790">
        <f>BR235/Commercial!BW78</f>
        <v>-9.375E-2</v>
      </c>
      <c r="BS245" s="790">
        <f>BS235/Commercial!BX78</f>
        <v>0.48484848484848486</v>
      </c>
      <c r="BT245" s="790">
        <f>BT235/Commercial!BY78</f>
        <v>0.17142857142857143</v>
      </c>
      <c r="BU245" s="790">
        <f>BU235/Commercial!BZ78</f>
        <v>1.0833333333333333</v>
      </c>
      <c r="BV245" s="793">
        <f>BV235/Commercial!CA78</f>
        <v>0.4264705882352941</v>
      </c>
      <c r="BW245" s="790">
        <f>BW235/Commercial!CB78</f>
        <v>0.3235294117647059</v>
      </c>
      <c r="BX245" s="790">
        <f>BX235/Commercial!CC78</f>
        <v>1.6842105263157894</v>
      </c>
      <c r="BY245" s="790">
        <f>BY235/Commercial!CD78</f>
        <v>0.23529411764705882</v>
      </c>
      <c r="BZ245" s="790">
        <f>BZ235/Commercial!CE78</f>
        <v>0.28205128205128205</v>
      </c>
      <c r="CA245" s="793">
        <f>CA235/Commercial!CF78</f>
        <v>0.64827586206896548</v>
      </c>
      <c r="CB245" s="790">
        <f>CB235/Commercial!CG78</f>
        <v>0.3888888888888889</v>
      </c>
      <c r="CC245" s="790">
        <f>CC235/Commercial!CH78</f>
        <v>1.3095238095238095</v>
      </c>
      <c r="CD245" s="790">
        <f>CD235/Commercial!CI78</f>
        <v>0.48571428571428571</v>
      </c>
      <c r="CE245" s="790">
        <f>CE235/Commercial!CJ78</f>
        <v>0.1111111111111111</v>
      </c>
      <c r="CF245" s="793">
        <f>CF235/Commercial!CK78</f>
        <v>0.57594936708860756</v>
      </c>
      <c r="CG245" s="790">
        <f>CG235/Commercial!CL78</f>
        <v>0.96551724137931039</v>
      </c>
      <c r="CH245" s="790">
        <f>CH235/Commercial!CM78</f>
        <v>0.14285714285714285</v>
      </c>
      <c r="CI245" s="790">
        <f>CI235/Commercial!CN78</f>
        <v>0.69230769230769229</v>
      </c>
      <c r="CJ245" s="790">
        <f>CJ235/Commercial!CO78</f>
        <v>9</v>
      </c>
      <c r="CK245" s="793">
        <f>CK235/Commercial!CP78</f>
        <v>1.3962264150943395</v>
      </c>
      <c r="CL245" s="790">
        <f>CL235/Commercial!CU78</f>
        <v>1.7142857142857142</v>
      </c>
      <c r="CM245" s="790">
        <f>CM235/Commercial!CZ78</f>
        <v>-0.22580645161290322</v>
      </c>
      <c r="CN245" s="790">
        <f>CN235/Commercial!DE78</f>
        <v>-0.17808219178082191</v>
      </c>
      <c r="CO245" s="790">
        <f>CO235/Commercial!DJ78</f>
        <v>-0.25490196078431371</v>
      </c>
      <c r="CP245" s="793">
        <f>CP235/Commercial!CU78</f>
        <v>-0.6428571428571429</v>
      </c>
      <c r="CQ245" s="790"/>
      <c r="CR245" s="96"/>
      <c r="CS245" s="96"/>
      <c r="CT245" s="96"/>
      <c r="CU245" s="217"/>
      <c r="CV245" s="790"/>
      <c r="CW245" s="96"/>
      <c r="CX245" s="96"/>
      <c r="CY245" s="96"/>
      <c r="CZ245" s="217"/>
      <c r="DA245" s="96"/>
      <c r="DB245" s="96"/>
      <c r="DC245" s="96"/>
      <c r="DD245" s="96"/>
      <c r="DE245" s="217"/>
      <c r="DF245" s="104"/>
      <c r="DG245" s="1054"/>
      <c r="DH245" s="1054"/>
      <c r="DI245" s="96"/>
      <c r="DJ245" s="217"/>
      <c r="DK245" s="104"/>
      <c r="DL245" s="104"/>
      <c r="DM245" s="104"/>
      <c r="DN245" s="96"/>
      <c r="DO245" s="217"/>
      <c r="DP245" s="104"/>
      <c r="DQ245" s="104"/>
      <c r="DR245" s="104"/>
      <c r="DS245" s="96"/>
      <c r="DT245" s="217"/>
      <c r="DU245" s="104"/>
      <c r="DV245" s="104"/>
      <c r="DW245" s="104"/>
      <c r="DX245" s="96"/>
      <c r="DY245" s="217"/>
      <c r="DZ245" s="217"/>
      <c r="EA245" s="217"/>
      <c r="EB245" s="217"/>
    </row>
    <row r="246" spans="1:132" s="105" customFormat="1" ht="12" hidden="1" customHeight="1" outlineLevel="1">
      <c r="A246" s="68"/>
      <c r="B246" s="48" t="s">
        <v>188</v>
      </c>
      <c r="C246" s="95"/>
      <c r="D246" s="95"/>
      <c r="E246" s="95"/>
      <c r="F246" s="94"/>
      <c r="G246" s="95"/>
      <c r="H246" s="95"/>
      <c r="I246" s="95"/>
      <c r="J246" s="94"/>
      <c r="K246" s="94"/>
      <c r="L246" s="94"/>
      <c r="M246" s="94"/>
      <c r="N246" s="95"/>
      <c r="O246" s="94"/>
      <c r="P246" s="94"/>
      <c r="Q246" s="94"/>
      <c r="R246" s="94"/>
      <c r="S246" s="95"/>
      <c r="T246" s="94"/>
      <c r="U246" s="94"/>
      <c r="V246" s="94"/>
      <c r="W246" s="94"/>
      <c r="X246" s="95"/>
      <c r="Y246" s="94"/>
      <c r="Z246" s="94"/>
      <c r="AA246" s="94"/>
      <c r="AB246" s="94"/>
      <c r="AC246" s="95"/>
      <c r="AD246" s="94"/>
      <c r="AE246" s="94"/>
      <c r="AF246" s="94"/>
      <c r="AG246" s="94"/>
      <c r="AH246" s="95"/>
      <c r="AI246" s="94"/>
      <c r="AJ246" s="94"/>
      <c r="AK246" s="94"/>
      <c r="AL246" s="94"/>
      <c r="AM246" s="95"/>
      <c r="AN246" s="94"/>
      <c r="AO246" s="94"/>
      <c r="AP246" s="94"/>
      <c r="AQ246" s="94"/>
      <c r="AR246" s="95"/>
      <c r="AS246" s="94"/>
      <c r="AT246" s="94"/>
      <c r="AU246" s="94"/>
      <c r="AV246" s="96"/>
      <c r="AW246" s="217"/>
      <c r="AX246" s="94"/>
      <c r="AY246" s="94"/>
      <c r="AZ246" s="94"/>
      <c r="BA246" s="96"/>
      <c r="BB246" s="217"/>
      <c r="BC246" s="94"/>
      <c r="BD246" s="94"/>
      <c r="BE246" s="94"/>
      <c r="BF246" s="96"/>
      <c r="BG246" s="217"/>
      <c r="BH246" s="94"/>
      <c r="BI246" s="712"/>
      <c r="BJ246" s="94"/>
      <c r="BK246" s="96"/>
      <c r="BL246" s="217"/>
      <c r="BM246" s="94"/>
      <c r="BN246" s="712"/>
      <c r="BO246" s="94"/>
      <c r="BP246" s="96"/>
      <c r="BQ246" s="217"/>
      <c r="BR246" s="94"/>
      <c r="BS246" s="712"/>
      <c r="BT246" s="94"/>
      <c r="BU246" s="96"/>
      <c r="BV246" s="217"/>
      <c r="BW246" s="94"/>
      <c r="BX246" s="712"/>
      <c r="BY246" s="94"/>
      <c r="BZ246" s="96"/>
      <c r="CA246" s="217"/>
      <c r="CB246" s="94"/>
      <c r="CC246" s="712"/>
      <c r="CD246" s="94"/>
      <c r="CE246" s="96"/>
      <c r="CF246" s="217"/>
      <c r="CG246" s="712"/>
      <c r="CH246" s="712"/>
      <c r="CI246" s="712"/>
      <c r="CJ246" s="712"/>
      <c r="CK246" s="217"/>
      <c r="CL246" s="96"/>
      <c r="CM246" s="96"/>
      <c r="CN246" s="96"/>
      <c r="CO246" s="96"/>
      <c r="CP246" s="217"/>
      <c r="CQ246" s="96"/>
      <c r="CR246" s="96"/>
      <c r="CS246" s="96"/>
      <c r="CT246" s="96"/>
      <c r="CU246" s="217"/>
      <c r="CV246" s="96"/>
      <c r="CW246" s="96"/>
      <c r="CX246" s="96"/>
      <c r="CY246" s="96"/>
      <c r="CZ246" s="217"/>
      <c r="DA246" s="96"/>
      <c r="DB246" s="96"/>
      <c r="DC246" s="96"/>
      <c r="DD246" s="96"/>
      <c r="DE246" s="217"/>
      <c r="DF246" s="104"/>
      <c r="DG246" s="1054"/>
      <c r="DH246" s="1054"/>
      <c r="DI246" s="96"/>
      <c r="DJ246" s="217"/>
      <c r="DK246" s="104"/>
      <c r="DL246" s="104"/>
      <c r="DM246" s="104"/>
      <c r="DN246" s="96"/>
      <c r="DO246" s="217"/>
      <c r="DP246" s="104"/>
      <c r="DQ246" s="104"/>
      <c r="DR246" s="104"/>
      <c r="DS246" s="96"/>
      <c r="DT246" s="217"/>
      <c r="DU246" s="104"/>
      <c r="DV246" s="104"/>
      <c r="DW246" s="104"/>
      <c r="DX246" s="96"/>
      <c r="DY246" s="217"/>
      <c r="DZ246" s="217"/>
      <c r="EA246" s="217"/>
      <c r="EB246" s="217"/>
    </row>
    <row r="247" spans="1:132" s="105" customFormat="1" ht="12" hidden="1" customHeight="1" outlineLevel="1">
      <c r="A247" s="68"/>
      <c r="B247" s="166"/>
      <c r="C247" s="95"/>
      <c r="D247" s="95"/>
      <c r="E247" s="95"/>
      <c r="F247" s="94"/>
      <c r="G247" s="95"/>
      <c r="H247" s="95"/>
      <c r="I247" s="95"/>
      <c r="J247" s="94"/>
      <c r="K247" s="94"/>
      <c r="L247" s="94"/>
      <c r="M247" s="94"/>
      <c r="N247" s="95"/>
      <c r="O247" s="94"/>
      <c r="P247" s="94"/>
      <c r="Q247" s="94"/>
      <c r="R247" s="94"/>
      <c r="S247" s="95"/>
      <c r="T247" s="94"/>
      <c r="U247" s="94"/>
      <c r="V247" s="94"/>
      <c r="W247" s="94"/>
      <c r="X247" s="95"/>
      <c r="Y247" s="94"/>
      <c r="Z247" s="94"/>
      <c r="AA247" s="94"/>
      <c r="AB247" s="94"/>
      <c r="AC247" s="95"/>
      <c r="AD247" s="94"/>
      <c r="AE247" s="94"/>
      <c r="AF247" s="94"/>
      <c r="AG247" s="94"/>
      <c r="AH247" s="95"/>
      <c r="AI247" s="94"/>
      <c r="AJ247" s="94"/>
      <c r="AK247" s="94"/>
      <c r="AL247" s="94"/>
      <c r="AM247" s="95"/>
      <c r="AN247" s="94"/>
      <c r="AO247" s="94"/>
      <c r="AP247" s="94"/>
      <c r="AQ247" s="94"/>
      <c r="AR247" s="95"/>
      <c r="AS247" s="94"/>
      <c r="AT247" s="94"/>
      <c r="AU247" s="94"/>
      <c r="AV247" s="96"/>
      <c r="AW247" s="217"/>
      <c r="AX247" s="94"/>
      <c r="AY247" s="94"/>
      <c r="AZ247" s="94"/>
      <c r="BA247" s="96"/>
      <c r="BB247" s="217"/>
      <c r="BC247" s="94"/>
      <c r="BD247" s="94"/>
      <c r="BE247" s="94"/>
      <c r="BF247" s="96"/>
      <c r="BG247" s="217"/>
      <c r="BH247" s="94"/>
      <c r="BI247" s="712"/>
      <c r="BJ247" s="94"/>
      <c r="BK247" s="96"/>
      <c r="BL247" s="217"/>
      <c r="BM247" s="94"/>
      <c r="BN247" s="712"/>
      <c r="BO247" s="94"/>
      <c r="BP247" s="96"/>
      <c r="BQ247" s="217"/>
      <c r="BR247" s="94"/>
      <c r="BS247" s="712"/>
      <c r="BT247" s="94"/>
      <c r="BU247" s="96"/>
      <c r="BV247" s="217"/>
      <c r="BW247" s="94"/>
      <c r="BX247" s="712"/>
      <c r="BY247" s="94"/>
      <c r="BZ247" s="96"/>
      <c r="CA247" s="217"/>
      <c r="CB247" s="94"/>
      <c r="CC247" s="712"/>
      <c r="CD247" s="94"/>
      <c r="CE247" s="96"/>
      <c r="CF247" s="217"/>
      <c r="CG247" s="712"/>
      <c r="CH247" s="712"/>
      <c r="CI247" s="712"/>
      <c r="CJ247" s="712"/>
      <c r="CK247" s="217"/>
      <c r="CL247" s="96"/>
      <c r="CM247" s="96"/>
      <c r="CN247" s="96"/>
      <c r="CO247" s="96"/>
      <c r="CP247" s="217"/>
      <c r="CQ247" s="96"/>
      <c r="CR247" s="96"/>
      <c r="CS247" s="96"/>
      <c r="CT247" s="96"/>
      <c r="CU247" s="217"/>
      <c r="CV247" s="96"/>
      <c r="CW247" s="96"/>
      <c r="CX247" s="96"/>
      <c r="CY247" s="96"/>
      <c r="CZ247" s="217"/>
      <c r="DA247" s="96"/>
      <c r="DB247" s="96"/>
      <c r="DC247" s="96"/>
      <c r="DD247" s="96"/>
      <c r="DE247" s="217"/>
      <c r="DF247" s="104"/>
      <c r="DG247" s="1054"/>
      <c r="DH247" s="1054"/>
      <c r="DI247" s="96"/>
      <c r="DJ247" s="217"/>
      <c r="DK247" s="104"/>
      <c r="DL247" s="104"/>
      <c r="DM247" s="104"/>
      <c r="DN247" s="96"/>
      <c r="DO247" s="217"/>
      <c r="DP247" s="104"/>
      <c r="DQ247" s="104"/>
      <c r="DR247" s="104"/>
      <c r="DS247" s="96"/>
      <c r="DT247" s="217"/>
      <c r="DU247" s="104"/>
      <c r="DV247" s="104"/>
      <c r="DW247" s="104"/>
      <c r="DX247" s="96"/>
      <c r="DY247" s="217"/>
      <c r="DZ247" s="217"/>
      <c r="EA247" s="217"/>
      <c r="EB247" s="217"/>
    </row>
    <row r="248" spans="1:132" s="105" customFormat="1" ht="12" hidden="1" customHeight="1" outlineLevel="1">
      <c r="A248" s="68"/>
      <c r="B248" s="166"/>
      <c r="C248" s="95"/>
      <c r="D248" s="95"/>
      <c r="E248" s="95"/>
      <c r="F248" s="94"/>
      <c r="G248" s="95"/>
      <c r="H248" s="95"/>
      <c r="I248" s="95"/>
      <c r="J248" s="94"/>
      <c r="K248" s="94"/>
      <c r="L248" s="94"/>
      <c r="M248" s="94"/>
      <c r="N248" s="95"/>
      <c r="O248" s="94"/>
      <c r="P248" s="94"/>
      <c r="Q248" s="94"/>
      <c r="R248" s="94"/>
      <c r="S248" s="95"/>
      <c r="T248" s="94"/>
      <c r="U248" s="94"/>
      <c r="V248" s="94"/>
      <c r="W248" s="94"/>
      <c r="X248" s="95"/>
      <c r="Y248" s="94"/>
      <c r="Z248" s="94"/>
      <c r="AA248" s="94"/>
      <c r="AB248" s="94"/>
      <c r="AC248" s="95"/>
      <c r="AD248" s="94"/>
      <c r="AE248" s="94"/>
      <c r="AF248" s="94"/>
      <c r="AG248" s="94"/>
      <c r="AH248" s="95"/>
      <c r="AI248" s="94"/>
      <c r="AJ248" s="94"/>
      <c r="AK248" s="94"/>
      <c r="AL248" s="94"/>
      <c r="AM248" s="95"/>
      <c r="AN248" s="94"/>
      <c r="AO248" s="94"/>
      <c r="AP248" s="94"/>
      <c r="AQ248" s="94"/>
      <c r="AR248" s="95"/>
      <c r="AS248" s="94"/>
      <c r="AT248" s="94"/>
      <c r="AU248" s="94"/>
      <c r="AV248" s="96"/>
      <c r="AW248" s="217"/>
      <c r="AX248" s="94"/>
      <c r="AY248" s="94"/>
      <c r="AZ248" s="94"/>
      <c r="BA248" s="96"/>
      <c r="BB248" s="217"/>
      <c r="BC248" s="94"/>
      <c r="BD248" s="94"/>
      <c r="BE248" s="94"/>
      <c r="BF248" s="96"/>
      <c r="BG248" s="217"/>
      <c r="BH248" s="94"/>
      <c r="BI248" s="712"/>
      <c r="BJ248" s="94"/>
      <c r="BK248" s="96"/>
      <c r="BL248" s="217"/>
      <c r="BM248" s="94"/>
      <c r="BN248" s="712"/>
      <c r="BO248" s="94"/>
      <c r="BP248" s="96"/>
      <c r="BQ248" s="217"/>
      <c r="BR248" s="94"/>
      <c r="BS248" s="712"/>
      <c r="BT248" s="94"/>
      <c r="BU248" s="96"/>
      <c r="BV248" s="217"/>
      <c r="BW248" s="94"/>
      <c r="BX248" s="712"/>
      <c r="BY248" s="94"/>
      <c r="BZ248" s="96"/>
      <c r="CA248" s="217"/>
      <c r="CB248" s="94"/>
      <c r="CC248" s="712"/>
      <c r="CD248" s="94"/>
      <c r="CE248" s="96"/>
      <c r="CF248" s="217"/>
      <c r="CG248" s="712"/>
      <c r="CH248" s="712"/>
      <c r="CI248" s="712"/>
      <c r="CJ248" s="712"/>
      <c r="CK248" s="217"/>
      <c r="CL248" s="96"/>
      <c r="CM248" s="96"/>
      <c r="CN248" s="96"/>
      <c r="CO248" s="96"/>
      <c r="CP248" s="217"/>
      <c r="CQ248" s="96"/>
      <c r="CR248" s="96"/>
      <c r="CS248" s="96"/>
      <c r="CT248" s="96"/>
      <c r="CU248" s="217"/>
      <c r="CV248" s="96"/>
      <c r="CW248" s="96"/>
      <c r="CX248" s="96"/>
      <c r="CY248" s="96"/>
      <c r="CZ248" s="217"/>
      <c r="DA248" s="96"/>
      <c r="DB248" s="96"/>
      <c r="DC248" s="96"/>
      <c r="DD248" s="96"/>
      <c r="DE248" s="217"/>
      <c r="DF248" s="104"/>
      <c r="DG248" s="1054"/>
      <c r="DH248" s="1054"/>
      <c r="DI248" s="96"/>
      <c r="DJ248" s="217"/>
      <c r="DK248" s="104"/>
      <c r="DL248" s="104"/>
      <c r="DM248" s="104"/>
      <c r="DN248" s="96"/>
      <c r="DO248" s="217"/>
      <c r="DP248" s="104"/>
      <c r="DQ248" s="104"/>
      <c r="DR248" s="104"/>
      <c r="DS248" s="96"/>
      <c r="DT248" s="217"/>
      <c r="DU248" s="104"/>
      <c r="DV248" s="104"/>
      <c r="DW248" s="104"/>
      <c r="DX248" s="96"/>
      <c r="DY248" s="217"/>
      <c r="DZ248" s="217"/>
      <c r="EA248" s="217"/>
      <c r="EB248" s="217"/>
    </row>
    <row r="249" spans="1:132" s="105" customFormat="1" ht="3.75" customHeight="1" collapsed="1">
      <c r="A249" s="148"/>
      <c r="B249" s="47"/>
      <c r="C249" s="222"/>
      <c r="D249" s="222"/>
      <c r="E249" s="222"/>
      <c r="F249" s="221"/>
      <c r="G249" s="222"/>
      <c r="H249" s="222"/>
      <c r="I249" s="222"/>
      <c r="J249" s="221"/>
      <c r="K249" s="221"/>
      <c r="L249" s="221"/>
      <c r="M249" s="221"/>
      <c r="N249" s="222"/>
      <c r="O249" s="221"/>
      <c r="P249" s="221"/>
      <c r="Q249" s="221"/>
      <c r="R249" s="221"/>
      <c r="S249" s="222"/>
      <c r="T249" s="221"/>
      <c r="U249" s="221"/>
      <c r="V249" s="221"/>
      <c r="W249" s="221"/>
      <c r="X249" s="222"/>
      <c r="Y249" s="221"/>
      <c r="Z249" s="221"/>
      <c r="AA249" s="221"/>
      <c r="AB249" s="221"/>
      <c r="AC249" s="222"/>
      <c r="AD249" s="221"/>
      <c r="AE249" s="221"/>
      <c r="AF249" s="221"/>
      <c r="AG249" s="221"/>
      <c r="AH249" s="222"/>
      <c r="AI249" s="221"/>
      <c r="AJ249" s="221"/>
      <c r="AK249" s="221"/>
      <c r="AL249" s="223"/>
      <c r="AM249" s="224"/>
      <c r="AN249" s="221"/>
      <c r="AO249" s="221"/>
      <c r="AP249" s="221"/>
      <c r="AQ249" s="223"/>
      <c r="AR249" s="224"/>
      <c r="AS249" s="221"/>
      <c r="AT249" s="221"/>
      <c r="AU249" s="221"/>
      <c r="AV249" s="223"/>
      <c r="AW249" s="224"/>
      <c r="AX249" s="221"/>
      <c r="AY249" s="221"/>
      <c r="AZ249" s="221"/>
      <c r="BA249" s="223"/>
      <c r="BB249" s="224"/>
      <c r="BC249" s="221"/>
      <c r="BD249" s="221"/>
      <c r="BE249" s="221"/>
      <c r="BF249" s="223"/>
      <c r="BG249" s="224"/>
      <c r="BH249" s="221"/>
      <c r="BI249" s="716"/>
      <c r="BJ249" s="221"/>
      <c r="BK249" s="223"/>
      <c r="BL249" s="224"/>
      <c r="BM249" s="221"/>
      <c r="BN249" s="716"/>
      <c r="BO249" s="221"/>
      <c r="BP249" s="223"/>
      <c r="BQ249" s="224"/>
      <c r="BR249" s="221"/>
      <c r="BS249" s="716"/>
      <c r="BT249" s="221"/>
      <c r="BU249" s="223"/>
      <c r="BV249" s="224"/>
      <c r="BW249" s="221"/>
      <c r="BX249" s="716"/>
      <c r="BY249" s="221"/>
      <c r="BZ249" s="223"/>
      <c r="CA249" s="224"/>
      <c r="CB249" s="221"/>
      <c r="CC249" s="716"/>
      <c r="CD249" s="221"/>
      <c r="CE249" s="223"/>
      <c r="CF249" s="224"/>
      <c r="CG249" s="716"/>
      <c r="CH249" s="716"/>
      <c r="CI249" s="716"/>
      <c r="CJ249" s="716"/>
      <c r="CK249" s="224"/>
      <c r="CL249" s="223"/>
      <c r="CM249" s="223"/>
      <c r="CN249" s="223"/>
      <c r="CO249" s="223"/>
      <c r="CP249" s="224"/>
      <c r="CQ249" s="223"/>
      <c r="CR249" s="223"/>
      <c r="CS249" s="223"/>
      <c r="CT249" s="223"/>
      <c r="CU249" s="224"/>
      <c r="CV249" s="223"/>
      <c r="CW249" s="223"/>
      <c r="CX249" s="223"/>
      <c r="CY249" s="223"/>
      <c r="CZ249" s="224"/>
      <c r="DA249" s="223"/>
      <c r="DB249" s="223"/>
      <c r="DC249" s="223"/>
      <c r="DD249" s="223"/>
      <c r="DE249" s="224"/>
      <c r="DF249" s="223"/>
      <c r="DG249" s="1056"/>
      <c r="DH249" s="1056"/>
      <c r="DI249" s="223"/>
      <c r="DJ249" s="224"/>
      <c r="DK249" s="223"/>
      <c r="DL249" s="223"/>
      <c r="DM249" s="223"/>
      <c r="DN249" s="223"/>
      <c r="DO249" s="224"/>
      <c r="DP249" s="223"/>
      <c r="DQ249" s="223"/>
      <c r="DR249" s="223"/>
      <c r="DS249" s="223"/>
      <c r="DT249" s="224"/>
      <c r="DU249" s="223"/>
      <c r="DV249" s="223"/>
      <c r="DW249" s="223"/>
      <c r="DX249" s="223"/>
      <c r="DY249" s="224"/>
      <c r="DZ249" s="224"/>
      <c r="EA249" s="224"/>
      <c r="EB249" s="224"/>
    </row>
    <row r="250" spans="1:132" s="105" customFormat="1" ht="12" customHeight="1">
      <c r="A250" s="68"/>
      <c r="B250" s="166"/>
      <c r="C250" s="95"/>
      <c r="D250" s="95"/>
      <c r="E250" s="95"/>
      <c r="F250" s="94"/>
      <c r="G250" s="95"/>
      <c r="H250" s="95"/>
      <c r="I250" s="95"/>
      <c r="J250" s="94"/>
      <c r="K250" s="94"/>
      <c r="L250" s="94"/>
      <c r="M250" s="94"/>
      <c r="N250" s="95"/>
      <c r="O250" s="94"/>
      <c r="P250" s="94"/>
      <c r="Q250" s="94"/>
      <c r="R250" s="94"/>
      <c r="S250" s="95"/>
      <c r="T250" s="94"/>
      <c r="U250" s="94"/>
      <c r="V250" s="94"/>
      <c r="W250" s="94"/>
      <c r="X250" s="95"/>
      <c r="Y250" s="94"/>
      <c r="Z250" s="94"/>
      <c r="AA250" s="94"/>
      <c r="AB250" s="94"/>
      <c r="AC250" s="95"/>
      <c r="AD250" s="94"/>
      <c r="AE250" s="94"/>
      <c r="AF250" s="94"/>
      <c r="AG250" s="94"/>
      <c r="AH250" s="95"/>
      <c r="AI250" s="94"/>
      <c r="AJ250" s="94"/>
      <c r="AK250" s="94"/>
      <c r="AL250" s="96"/>
      <c r="AM250" s="217"/>
      <c r="AN250" s="94"/>
      <c r="AO250" s="94"/>
      <c r="AP250" s="94"/>
      <c r="AQ250" s="96"/>
      <c r="AR250" s="217"/>
      <c r="AS250" s="94"/>
      <c r="AT250" s="94"/>
      <c r="AU250" s="94"/>
      <c r="AV250" s="96"/>
      <c r="AW250" s="217"/>
      <c r="AX250" s="94"/>
      <c r="AY250" s="94"/>
      <c r="AZ250" s="94"/>
      <c r="BA250" s="96"/>
      <c r="BB250" s="217"/>
      <c r="BC250" s="94"/>
      <c r="BD250" s="94"/>
      <c r="BE250" s="94"/>
      <c r="BF250" s="96"/>
      <c r="BG250" s="217"/>
      <c r="BH250" s="94"/>
      <c r="BI250" s="712"/>
      <c r="BJ250" s="94"/>
      <c r="BK250" s="96"/>
      <c r="BL250" s="217"/>
      <c r="BM250" s="94"/>
      <c r="BN250" s="712"/>
      <c r="BO250" s="94"/>
      <c r="BP250" s="96"/>
      <c r="BQ250" s="217"/>
      <c r="BR250" s="94"/>
      <c r="BS250" s="712"/>
      <c r="BT250" s="94"/>
      <c r="BU250" s="96"/>
      <c r="BV250" s="217"/>
      <c r="BW250" s="94"/>
      <c r="BX250" s="712"/>
      <c r="BY250" s="94"/>
      <c r="BZ250" s="96"/>
      <c r="CA250" s="217"/>
      <c r="CB250" s="94"/>
      <c r="CC250" s="712"/>
      <c r="CD250" s="94"/>
      <c r="CE250" s="96"/>
      <c r="CF250" s="217"/>
      <c r="CG250" s="712"/>
      <c r="CH250" s="712"/>
      <c r="CI250" s="712"/>
      <c r="CJ250" s="712"/>
      <c r="CK250" s="217"/>
      <c r="CL250" s="96"/>
      <c r="CM250" s="96"/>
      <c r="CN250" s="96"/>
      <c r="CO250" s="96"/>
      <c r="CP250" s="217"/>
      <c r="CQ250" s="96"/>
      <c r="CR250" s="96"/>
      <c r="CS250" s="96"/>
      <c r="CT250" s="96"/>
      <c r="CU250" s="217"/>
      <c r="CV250" s="96"/>
      <c r="CW250" s="96"/>
      <c r="CX250" s="96"/>
      <c r="CY250" s="96"/>
      <c r="CZ250" s="217"/>
      <c r="DA250" s="96"/>
      <c r="DB250" s="96"/>
      <c r="DC250" s="96"/>
      <c r="DD250" s="96"/>
      <c r="DE250" s="217"/>
      <c r="DF250" s="104"/>
      <c r="DG250" s="1054"/>
      <c r="DH250" s="1054"/>
      <c r="DI250" s="96"/>
      <c r="DJ250" s="217"/>
      <c r="DK250" s="104"/>
      <c r="DL250" s="104"/>
      <c r="DM250" s="104"/>
      <c r="DN250" s="96"/>
      <c r="DO250" s="217"/>
      <c r="DP250" s="104"/>
      <c r="DQ250" s="104"/>
      <c r="DR250" s="104"/>
      <c r="DS250" s="96"/>
      <c r="DT250" s="217"/>
      <c r="DU250" s="104"/>
      <c r="DV250" s="104"/>
      <c r="DW250" s="104"/>
      <c r="DX250" s="96"/>
      <c r="DY250" s="217"/>
      <c r="DZ250" s="217"/>
      <c r="EA250" s="217"/>
      <c r="EB250" s="217"/>
    </row>
    <row r="251" spans="1:132" s="105" customFormat="1" ht="12" customHeight="1">
      <c r="A251" s="68"/>
      <c r="B251" s="164" t="s">
        <v>271</v>
      </c>
      <c r="C251" s="95"/>
      <c r="D251" s="95"/>
      <c r="E251" s="95"/>
      <c r="F251" s="94"/>
      <c r="G251" s="95"/>
      <c r="H251" s="95"/>
      <c r="I251" s="95"/>
      <c r="J251" s="94"/>
      <c r="K251" s="94"/>
      <c r="L251" s="94"/>
      <c r="M251" s="94"/>
      <c r="N251" s="95"/>
      <c r="O251" s="94"/>
      <c r="P251" s="94"/>
      <c r="Q251" s="94"/>
      <c r="R251" s="94"/>
      <c r="S251" s="95"/>
      <c r="T251" s="94"/>
      <c r="U251" s="94"/>
      <c r="V251" s="94"/>
      <c r="W251" s="94"/>
      <c r="X251" s="95"/>
      <c r="Y251" s="94"/>
      <c r="Z251" s="94"/>
      <c r="AA251" s="94"/>
      <c r="AB251" s="94"/>
      <c r="AC251" s="95"/>
      <c r="AD251" s="94"/>
      <c r="AE251" s="94"/>
      <c r="AF251" s="94"/>
      <c r="AG251" s="94"/>
      <c r="AH251" s="95"/>
      <c r="AI251" s="94"/>
      <c r="AJ251" s="94"/>
      <c r="AK251" s="94"/>
      <c r="AL251" s="96"/>
      <c r="AM251" s="217"/>
      <c r="AN251" s="94"/>
      <c r="AO251" s="94"/>
      <c r="AP251" s="94"/>
      <c r="AQ251" s="96"/>
      <c r="AR251" s="217"/>
      <c r="AS251" s="94"/>
      <c r="AT251" s="94"/>
      <c r="AU251" s="94"/>
      <c r="AV251" s="96"/>
      <c r="AW251" s="217"/>
      <c r="AX251" s="94"/>
      <c r="AY251" s="94"/>
      <c r="AZ251" s="94"/>
      <c r="BA251" s="96"/>
      <c r="BB251" s="217"/>
      <c r="BC251" s="94"/>
      <c r="BD251" s="94"/>
      <c r="BE251" s="94"/>
      <c r="BF251" s="96"/>
      <c r="BG251" s="217"/>
      <c r="BH251" s="94"/>
      <c r="BI251" s="712"/>
      <c r="BJ251" s="94"/>
      <c r="BK251" s="96"/>
      <c r="BL251" s="217"/>
      <c r="BM251" s="94"/>
      <c r="BN251" s="712"/>
      <c r="BO251" s="94"/>
      <c r="BP251" s="96"/>
      <c r="BQ251" s="217"/>
      <c r="BR251" s="94"/>
      <c r="BS251" s="712"/>
      <c r="BT251" s="94"/>
      <c r="BU251" s="96"/>
      <c r="BV251" s="217"/>
      <c r="BW251" s="94"/>
      <c r="BX251" s="712"/>
      <c r="BY251" s="94"/>
      <c r="BZ251" s="96"/>
      <c r="CA251" s="217"/>
      <c r="CB251" s="94"/>
      <c r="CC251" s="712"/>
      <c r="CD251" s="94"/>
      <c r="CE251" s="96"/>
      <c r="CF251" s="217"/>
      <c r="CG251" s="712"/>
      <c r="CH251" s="712"/>
      <c r="CI251" s="712"/>
      <c r="CJ251" s="712"/>
      <c r="CK251" s="217"/>
      <c r="CL251" s="96"/>
      <c r="CM251" s="96"/>
      <c r="CN251" s="96"/>
      <c r="CO251" s="96"/>
      <c r="CP251" s="217"/>
      <c r="CQ251" s="96"/>
      <c r="CR251" s="96"/>
      <c r="CS251" s="96"/>
      <c r="CT251" s="96"/>
      <c r="CU251" s="217"/>
      <c r="CV251" s="96"/>
      <c r="CW251" s="96"/>
      <c r="CX251" s="96"/>
      <c r="CY251" s="96"/>
      <c r="CZ251" s="217"/>
      <c r="DA251" s="96"/>
      <c r="DB251" s="96"/>
      <c r="DC251" s="96"/>
      <c r="DD251" s="96"/>
      <c r="DE251" s="1042"/>
      <c r="DF251" s="104"/>
      <c r="DG251" s="1054"/>
      <c r="DH251" s="1054"/>
      <c r="DI251" s="96"/>
      <c r="DJ251" s="217"/>
      <c r="DK251" s="104"/>
      <c r="DL251" s="104"/>
      <c r="DM251" s="104"/>
      <c r="DN251" s="96"/>
      <c r="DO251" s="217"/>
      <c r="DP251" s="104"/>
      <c r="DQ251" s="104"/>
      <c r="DR251" s="104"/>
      <c r="DS251" s="96"/>
      <c r="DT251" s="217"/>
      <c r="DU251" s="104"/>
      <c r="DV251" s="104"/>
      <c r="DW251" s="104"/>
      <c r="DX251" s="96"/>
      <c r="DY251" s="217"/>
      <c r="DZ251" s="217"/>
      <c r="EA251" s="217"/>
      <c r="EB251" s="217"/>
    </row>
    <row r="252" spans="1:132" s="105" customFormat="1" ht="12" customHeight="1">
      <c r="A252" s="68"/>
      <c r="B252" s="166" t="s">
        <v>272</v>
      </c>
      <c r="C252" s="13">
        <f>24.363/45.8</f>
        <v>0.53194323144104805</v>
      </c>
      <c r="D252" s="13">
        <f>29.624/56.154</f>
        <v>0.52754923959112432</v>
      </c>
      <c r="E252" s="13">
        <f>34.519/57.993</f>
        <v>0.59522701015639812</v>
      </c>
      <c r="F252" s="12">
        <f>33.701/51.321</f>
        <v>0.65667075855887458</v>
      </c>
      <c r="G252" s="13">
        <f>38.805/58.198</f>
        <v>0.66677549056668617</v>
      </c>
      <c r="H252" s="13">
        <f>36.135/54.069</f>
        <v>0.6683127115352604</v>
      </c>
      <c r="I252" s="13">
        <f>35.124/50.485</f>
        <v>0.6957314053679311</v>
      </c>
      <c r="J252" s="12"/>
      <c r="K252" s="12"/>
      <c r="L252" s="12"/>
      <c r="M252" s="12"/>
      <c r="N252" s="13">
        <f>37.052/52.457</f>
        <v>0.70633089959395312</v>
      </c>
      <c r="O252" s="12"/>
      <c r="P252" s="12"/>
      <c r="Q252" s="12"/>
      <c r="R252" s="12"/>
      <c r="S252" s="13">
        <f>38.448/54.845</f>
        <v>0.70103017595040573</v>
      </c>
      <c r="T252" s="12"/>
      <c r="U252" s="12"/>
      <c r="V252" s="12"/>
      <c r="W252" s="12"/>
      <c r="X252" s="13">
        <f>38499/61530</f>
        <v>0.62569478303266701</v>
      </c>
      <c r="Y252" s="12"/>
      <c r="Z252" s="12"/>
      <c r="AA252" s="12"/>
      <c r="AB252" s="12"/>
      <c r="AC252" s="13">
        <f>39336/66387</f>
        <v>0.59252564508111527</v>
      </c>
      <c r="AD252" s="12"/>
      <c r="AE252" s="12"/>
      <c r="AF252" s="12"/>
      <c r="AG252" s="12"/>
      <c r="AH252" s="13">
        <f>37132/60909</f>
        <v>0.60963076064292632</v>
      </c>
      <c r="AI252" s="98"/>
      <c r="AJ252" s="98"/>
      <c r="AK252" s="98"/>
      <c r="AL252" s="77"/>
      <c r="AM252" s="13">
        <f>39498/$AM$9</f>
        <v>0.57846252983992619</v>
      </c>
      <c r="AN252" s="98"/>
      <c r="AO252" s="98"/>
      <c r="AP252" s="98"/>
      <c r="AQ252" s="77"/>
      <c r="AR252" s="13">
        <f>38147/$AR$9</f>
        <v>0.59321058688147299</v>
      </c>
      <c r="AS252" s="98"/>
      <c r="AT252" s="98"/>
      <c r="AU252" s="98"/>
      <c r="AV252" s="77"/>
      <c r="AW252" s="466">
        <f>34391/$AW$9</f>
        <v>0.50034189277660579</v>
      </c>
      <c r="AX252" s="98"/>
      <c r="AY252" s="98"/>
      <c r="AZ252" s="98"/>
      <c r="BA252" s="77"/>
      <c r="BB252" s="466">
        <v>0.45535998433254182</v>
      </c>
      <c r="BC252" s="98"/>
      <c r="BD252" s="98"/>
      <c r="BE252" s="98"/>
      <c r="BF252" s="77"/>
      <c r="BG252" s="466">
        <v>0.43397250152961686</v>
      </c>
      <c r="BH252" s="98"/>
      <c r="BI252" s="714"/>
      <c r="BJ252" s="98"/>
      <c r="BK252" s="77"/>
      <c r="BL252" s="466">
        <f>37842/90762</f>
        <v>0.41693660342434058</v>
      </c>
      <c r="BM252" s="98"/>
      <c r="BN252" s="714"/>
      <c r="BO252" s="98"/>
      <c r="BP252" s="77"/>
      <c r="BQ252" s="466">
        <f>39287/$BQ$9</f>
        <v>0.40875418773539757</v>
      </c>
      <c r="BR252" s="98"/>
      <c r="BS252" s="714"/>
      <c r="BT252" s="98"/>
      <c r="BU252" s="77"/>
      <c r="BV252" s="466">
        <f>38765/$BV$9</f>
        <v>0.40990367025832442</v>
      </c>
      <c r="BW252" s="98"/>
      <c r="BX252" s="714"/>
      <c r="BY252" s="98"/>
      <c r="BZ252" s="77"/>
      <c r="CA252" s="466">
        <f>42331/93392</f>
        <v>0.45326152132945008</v>
      </c>
      <c r="CB252" s="98"/>
      <c r="CC252" s="714"/>
      <c r="CD252" s="98"/>
      <c r="CE252" s="77"/>
      <c r="CF252" s="466">
        <f>44676/101127</f>
        <v>0.44178112670206771</v>
      </c>
      <c r="CG252" s="714"/>
      <c r="CH252" s="714"/>
      <c r="CI252" s="714"/>
      <c r="CJ252" s="714"/>
      <c r="CK252" s="466">
        <f>(42681-917.7)/76559</f>
        <v>0.54550477409579545</v>
      </c>
      <c r="CL252" s="77"/>
      <c r="CM252" s="77"/>
      <c r="CN252" s="77"/>
      <c r="CO252" s="77"/>
      <c r="CP252" s="466">
        <f>(36979-498)/58158</f>
        <v>0.62727397778465555</v>
      </c>
      <c r="CQ252" s="77"/>
      <c r="CR252" s="77"/>
      <c r="CS252" s="77"/>
      <c r="CT252" s="77"/>
      <c r="CU252" s="466">
        <f>(39076+14)/62286</f>
        <v>0.62758886427126481</v>
      </c>
      <c r="CV252" s="77"/>
      <c r="CW252" s="77"/>
      <c r="CX252" s="77"/>
      <c r="CY252" s="77"/>
      <c r="CZ252" s="466">
        <f>(39218+16)/66608</f>
        <v>0.58902834494355027</v>
      </c>
      <c r="DA252" s="77"/>
      <c r="DB252" s="77"/>
      <c r="DC252" s="77"/>
      <c r="DD252" s="77"/>
      <c r="DE252" s="466">
        <f t="shared" ref="DE252:DE260" si="630">CZ252</f>
        <v>0.58902834494355027</v>
      </c>
      <c r="DF252" s="1018"/>
      <c r="DG252" s="450"/>
      <c r="DH252" s="450"/>
      <c r="DI252" s="77"/>
      <c r="DJ252" s="268">
        <f t="shared" ref="DJ252:DJ260" si="631">DE252</f>
        <v>0.58902834494355027</v>
      </c>
      <c r="DK252" s="1018"/>
      <c r="DL252" s="1018"/>
      <c r="DM252" s="1018"/>
      <c r="DN252" s="77"/>
      <c r="DO252" s="268">
        <f t="shared" ref="DO252:DO260" si="632">DJ252</f>
        <v>0.58902834494355027</v>
      </c>
      <c r="DP252" s="1018"/>
      <c r="DQ252" s="1018"/>
      <c r="DR252" s="1018"/>
      <c r="DS252" s="77"/>
      <c r="DT252" s="268">
        <f t="shared" ref="DT252:DT260" si="633">DO252</f>
        <v>0.58902834494355027</v>
      </c>
      <c r="DU252" s="1018"/>
      <c r="DV252" s="1018"/>
      <c r="DW252" s="1018"/>
      <c r="DX252" s="77"/>
      <c r="DY252" s="268">
        <f t="shared" ref="DY252:DY260" si="634">DT252</f>
        <v>0.58902834494355027</v>
      </c>
      <c r="DZ252" s="268">
        <f>DY252</f>
        <v>0.58902834494355027</v>
      </c>
      <c r="EA252" s="268">
        <f t="shared" ref="EA252:EB260" si="635">DZ252</f>
        <v>0.58902834494355027</v>
      </c>
      <c r="EB252" s="268">
        <f t="shared" si="635"/>
        <v>0.58902834494355027</v>
      </c>
    </row>
    <row r="253" spans="1:132" s="105" customFormat="1" ht="12" customHeight="1">
      <c r="A253" s="68"/>
      <c r="B253" s="166" t="s">
        <v>273</v>
      </c>
      <c r="C253" s="13"/>
      <c r="D253" s="13"/>
      <c r="E253" s="13"/>
      <c r="F253" s="12"/>
      <c r="G253" s="13"/>
      <c r="H253" s="13"/>
      <c r="I253" s="13"/>
      <c r="J253" s="12"/>
      <c r="K253" s="12"/>
      <c r="L253" s="12"/>
      <c r="M253" s="12"/>
      <c r="N253" s="13">
        <f>0.644/52.457</f>
        <v>1.2276721886497512E-2</v>
      </c>
      <c r="O253" s="12"/>
      <c r="P253" s="12"/>
      <c r="Q253" s="12"/>
      <c r="R253" s="12"/>
      <c r="S253" s="13">
        <f>0.833/54.845</f>
        <v>1.5188257817485642E-2</v>
      </c>
      <c r="T253" s="12"/>
      <c r="U253" s="12"/>
      <c r="V253" s="12"/>
      <c r="W253" s="12"/>
      <c r="X253" s="13">
        <f>660/61530</f>
        <v>1.0726474890297415E-2</v>
      </c>
      <c r="Y253" s="12"/>
      <c r="Z253" s="12"/>
      <c r="AA253" s="12"/>
      <c r="AB253" s="12"/>
      <c r="AC253" s="13">
        <f>1653/66387</f>
        <v>2.489945320620001E-2</v>
      </c>
      <c r="AD253" s="12"/>
      <c r="AE253" s="12"/>
      <c r="AF253" s="12"/>
      <c r="AG253" s="12"/>
      <c r="AH253" s="13">
        <f>1849/60909</f>
        <v>3.0356761726510039E-2</v>
      </c>
      <c r="AI253" s="98"/>
      <c r="AJ253" s="98"/>
      <c r="AK253" s="98"/>
      <c r="AL253" s="77"/>
      <c r="AM253" s="13">
        <f>493/$AM$9</f>
        <v>7.2201637351532637E-3</v>
      </c>
      <c r="AN253" s="98"/>
      <c r="AO253" s="98"/>
      <c r="AP253" s="98"/>
      <c r="AQ253" s="77"/>
      <c r="AR253" s="13">
        <f>612/$AR$9</f>
        <v>9.5169968587690106E-3</v>
      </c>
      <c r="AS253" s="98"/>
      <c r="AT253" s="98"/>
      <c r="AU253" s="98"/>
      <c r="AV253" s="77"/>
      <c r="AW253" s="466">
        <f>618/$AW$9</f>
        <v>8.9910525932930824E-3</v>
      </c>
      <c r="AX253" s="98"/>
      <c r="AY253" s="98"/>
      <c r="AZ253" s="98"/>
      <c r="BA253" s="77"/>
      <c r="BB253" s="466">
        <v>7.1727582070552518E-3</v>
      </c>
      <c r="BC253" s="98"/>
      <c r="BD253" s="98"/>
      <c r="BE253" s="98"/>
      <c r="BF253" s="77"/>
      <c r="BG253" s="466">
        <v>1.715479722475555E-2</v>
      </c>
      <c r="BH253" s="98"/>
      <c r="BI253" s="714"/>
      <c r="BJ253" s="98"/>
      <c r="BK253" s="77"/>
      <c r="BL253" s="466">
        <f>1901/90762</f>
        <v>2.0944888830127146E-2</v>
      </c>
      <c r="BM253" s="98"/>
      <c r="BN253" s="714"/>
      <c r="BO253" s="98"/>
      <c r="BP253" s="77"/>
      <c r="BQ253" s="466">
        <f>1870/$BQ$9</f>
        <v>1.9456062592338265E-2</v>
      </c>
      <c r="BR253" s="98"/>
      <c r="BS253" s="714"/>
      <c r="BT253" s="98"/>
      <c r="BU253" s="77"/>
      <c r="BV253" s="466">
        <f>2076/$BV$9</f>
        <v>2.1951761110699897E-2</v>
      </c>
      <c r="BW253" s="98"/>
      <c r="BX253" s="714"/>
      <c r="BY253" s="98"/>
      <c r="BZ253" s="77"/>
      <c r="CA253" s="466">
        <f>2197/93392</f>
        <v>2.3524498886414252E-2</v>
      </c>
      <c r="CB253" s="98"/>
      <c r="CC253" s="714"/>
      <c r="CD253" s="98"/>
      <c r="CE253" s="77"/>
      <c r="CF253" s="466">
        <f>2583/101127</f>
        <v>2.5542140081283929E-2</v>
      </c>
      <c r="CG253" s="714"/>
      <c r="CH253" s="714"/>
      <c r="CI253" s="714"/>
      <c r="CJ253" s="714"/>
      <c r="CK253" s="466">
        <f>(2019-917.7)/76559</f>
        <v>1.4384984129886754E-2</v>
      </c>
      <c r="CL253" s="77"/>
      <c r="CM253" s="77"/>
      <c r="CN253" s="77"/>
      <c r="CO253" s="77"/>
      <c r="CP253" s="466">
        <f>(1302)/58158</f>
        <v>2.2387289796760548E-2</v>
      </c>
      <c r="CQ253" s="77"/>
      <c r="CR253" s="77"/>
      <c r="CS253" s="77"/>
      <c r="CT253" s="77"/>
      <c r="CU253" s="466">
        <f>(969)/62286</f>
        <v>1.5557268085926211E-2</v>
      </c>
      <c r="CV253" s="77"/>
      <c r="CW253" s="77"/>
      <c r="CX253" s="77"/>
      <c r="CY253" s="77"/>
      <c r="CZ253" s="466">
        <f>(1612)/66608</f>
        <v>2.4201297141484505E-2</v>
      </c>
      <c r="DA253" s="77"/>
      <c r="DB253" s="77"/>
      <c r="DC253" s="77"/>
      <c r="DD253" s="77"/>
      <c r="DE253" s="466">
        <f t="shared" si="630"/>
        <v>2.4201297141484505E-2</v>
      </c>
      <c r="DF253" s="1018"/>
      <c r="DG253" s="450"/>
      <c r="DH253" s="450"/>
      <c r="DI253" s="77"/>
      <c r="DJ253" s="268">
        <f t="shared" si="631"/>
        <v>2.4201297141484505E-2</v>
      </c>
      <c r="DK253" s="1018"/>
      <c r="DL253" s="1018"/>
      <c r="DM253" s="1018"/>
      <c r="DN253" s="77"/>
      <c r="DO253" s="268">
        <f t="shared" si="632"/>
        <v>2.4201297141484505E-2</v>
      </c>
      <c r="DP253" s="1018"/>
      <c r="DQ253" s="1018"/>
      <c r="DR253" s="1018"/>
      <c r="DS253" s="77"/>
      <c r="DT253" s="268">
        <f t="shared" si="633"/>
        <v>2.4201297141484505E-2</v>
      </c>
      <c r="DU253" s="1018"/>
      <c r="DV253" s="1018"/>
      <c r="DW253" s="1018"/>
      <c r="DX253" s="77"/>
      <c r="DY253" s="268">
        <f t="shared" si="634"/>
        <v>2.4201297141484505E-2</v>
      </c>
      <c r="DZ253" s="268">
        <f t="shared" ref="DZ253:DZ260" si="636">DY253</f>
        <v>2.4201297141484505E-2</v>
      </c>
      <c r="EA253" s="268">
        <f t="shared" si="635"/>
        <v>2.4201297141484505E-2</v>
      </c>
      <c r="EB253" s="268">
        <f t="shared" si="635"/>
        <v>2.4201297141484505E-2</v>
      </c>
    </row>
    <row r="254" spans="1:132" s="105" customFormat="1" ht="12" customHeight="1">
      <c r="A254" s="68"/>
      <c r="B254" s="166" t="s">
        <v>274</v>
      </c>
      <c r="C254" s="13">
        <f>7.237/45.8</f>
        <v>0.15801310043668124</v>
      </c>
      <c r="D254" s="13">
        <f>8.646/56.154</f>
        <v>0.1539694411796132</v>
      </c>
      <c r="E254" s="13">
        <f>9.678/57.993</f>
        <v>0.16688220992188713</v>
      </c>
      <c r="F254" s="12">
        <f>9.038/51.321</f>
        <v>0.17610724654624813</v>
      </c>
      <c r="G254" s="13">
        <f>8.434/58.198</f>
        <v>0.14491906938382762</v>
      </c>
      <c r="H254" s="13">
        <f>5.871/54.069</f>
        <v>0.10858347666870111</v>
      </c>
      <c r="I254" s="13">
        <f>3.835/50.485</f>
        <v>7.5963157373477266E-2</v>
      </c>
      <c r="J254" s="12"/>
      <c r="K254" s="12"/>
      <c r="L254" s="12"/>
      <c r="M254" s="12"/>
      <c r="N254" s="13">
        <f>4.506/52.457</f>
        <v>8.5898926739996578E-2</v>
      </c>
      <c r="O254" s="12"/>
      <c r="P254" s="12"/>
      <c r="Q254" s="12"/>
      <c r="R254" s="12"/>
      <c r="S254" s="13">
        <f>3.622/54.845</f>
        <v>6.6040660041936372E-2</v>
      </c>
      <c r="T254" s="12"/>
      <c r="U254" s="12"/>
      <c r="V254" s="12"/>
      <c r="W254" s="12"/>
      <c r="X254" s="13">
        <f>5445/61530</f>
        <v>8.8493417844953681E-2</v>
      </c>
      <c r="Y254" s="12"/>
      <c r="Z254" s="12"/>
      <c r="AA254" s="12"/>
      <c r="AB254" s="12"/>
      <c r="AC254" s="13">
        <f>6296/66387</f>
        <v>9.4837844758763015E-2</v>
      </c>
      <c r="AD254" s="12"/>
      <c r="AE254" s="12"/>
      <c r="AF254" s="12"/>
      <c r="AG254" s="12"/>
      <c r="AH254" s="13">
        <f>5992/60909</f>
        <v>9.8376266233233187E-2</v>
      </c>
      <c r="AI254" s="98"/>
      <c r="AJ254" s="98"/>
      <c r="AK254" s="98"/>
      <c r="AL254" s="77"/>
      <c r="AM254" s="13">
        <f>7516/$AM$9</f>
        <v>0.11007454489535888</v>
      </c>
      <c r="AN254" s="98"/>
      <c r="AO254" s="98"/>
      <c r="AP254" s="98"/>
      <c r="AQ254" s="77"/>
      <c r="AR254" s="13">
        <f>7872/$AR$9</f>
        <v>0.1224147046931857</v>
      </c>
      <c r="AS254" s="98"/>
      <c r="AT254" s="98"/>
      <c r="AU254" s="98"/>
      <c r="AV254" s="77"/>
      <c r="AW254" s="466">
        <f>9850/$AW$9</f>
        <v>0.14330399359860332</v>
      </c>
      <c r="AX254" s="98"/>
      <c r="AY254" s="98"/>
      <c r="AZ254" s="98"/>
      <c r="BA254" s="77"/>
      <c r="BB254" s="466">
        <v>0.12569463144752627</v>
      </c>
      <c r="BC254" s="98"/>
      <c r="BD254" s="98"/>
      <c r="BE254" s="98"/>
      <c r="BF254" s="77"/>
      <c r="BG254" s="466">
        <v>0.12262332175057433</v>
      </c>
      <c r="BH254" s="98"/>
      <c r="BI254" s="714"/>
      <c r="BJ254" s="98"/>
      <c r="BK254" s="77"/>
      <c r="BL254" s="466">
        <f>11898/90762</f>
        <v>0.13109010378792887</v>
      </c>
      <c r="BM254" s="98"/>
      <c r="BN254" s="714"/>
      <c r="BO254" s="98"/>
      <c r="BP254" s="77"/>
      <c r="BQ254" s="466">
        <f>12248/$BQ$9</f>
        <v>0.12743200782404229</v>
      </c>
      <c r="BR254" s="98"/>
      <c r="BS254" s="714"/>
      <c r="BT254" s="98"/>
      <c r="BU254" s="77"/>
      <c r="BV254" s="466">
        <f>13790/$BV$9</f>
        <v>0.14581637076905182</v>
      </c>
      <c r="BW254" s="98"/>
      <c r="BX254" s="714"/>
      <c r="BY254" s="98"/>
      <c r="BZ254" s="77"/>
      <c r="CA254" s="466">
        <f>11457/93392</f>
        <v>0.12267646051053624</v>
      </c>
      <c r="CB254" s="98"/>
      <c r="CC254" s="714"/>
      <c r="CD254" s="98"/>
      <c r="CE254" s="77"/>
      <c r="CF254" s="466">
        <f>12976/101127</f>
        <v>0.12831390232084408</v>
      </c>
      <c r="CG254" s="714"/>
      <c r="CH254" s="714"/>
      <c r="CI254" s="714"/>
      <c r="CJ254" s="714"/>
      <c r="CK254" s="466">
        <f>(10366-917.7)/76559</f>
        <v>0.12341200903878054</v>
      </c>
      <c r="CL254" s="77"/>
      <c r="CM254" s="77"/>
      <c r="CN254" s="77"/>
      <c r="CO254" s="77"/>
      <c r="CP254" s="466">
        <f>(7961)/58158</f>
        <v>0.13688572509371025</v>
      </c>
      <c r="CQ254" s="77"/>
      <c r="CR254" s="77"/>
      <c r="CS254" s="77"/>
      <c r="CT254" s="77"/>
      <c r="CU254" s="466">
        <f>(8967)/62286</f>
        <v>0.14396493594066082</v>
      </c>
      <c r="CV254" s="77"/>
      <c r="CW254" s="77"/>
      <c r="CX254" s="77"/>
      <c r="CY254" s="77"/>
      <c r="CZ254" s="466">
        <f>(7916)/66608</f>
        <v>0.11884458323324526</v>
      </c>
      <c r="DA254" s="77"/>
      <c r="DB254" s="77"/>
      <c r="DC254" s="77"/>
      <c r="DD254" s="77"/>
      <c r="DE254" s="466">
        <f t="shared" si="630"/>
        <v>0.11884458323324526</v>
      </c>
      <c r="DF254" s="1018"/>
      <c r="DG254" s="450"/>
      <c r="DH254" s="450"/>
      <c r="DI254" s="77"/>
      <c r="DJ254" s="268">
        <f t="shared" si="631"/>
        <v>0.11884458323324526</v>
      </c>
      <c r="DK254" s="1018"/>
      <c r="DL254" s="1018"/>
      <c r="DM254" s="1018"/>
      <c r="DN254" s="77"/>
      <c r="DO254" s="268">
        <f t="shared" si="632"/>
        <v>0.11884458323324526</v>
      </c>
      <c r="DP254" s="1018"/>
      <c r="DQ254" s="1018"/>
      <c r="DR254" s="1018"/>
      <c r="DS254" s="77"/>
      <c r="DT254" s="268">
        <f t="shared" si="633"/>
        <v>0.11884458323324526</v>
      </c>
      <c r="DU254" s="1018"/>
      <c r="DV254" s="1018"/>
      <c r="DW254" s="1018"/>
      <c r="DX254" s="77"/>
      <c r="DY254" s="268">
        <f t="shared" si="634"/>
        <v>0.11884458323324526</v>
      </c>
      <c r="DZ254" s="268">
        <f t="shared" si="636"/>
        <v>0.11884458323324526</v>
      </c>
      <c r="EA254" s="268">
        <f t="shared" si="635"/>
        <v>0.11884458323324526</v>
      </c>
      <c r="EB254" s="268">
        <f t="shared" si="635"/>
        <v>0.11884458323324526</v>
      </c>
    </row>
    <row r="255" spans="1:132" s="105" customFormat="1" ht="12" customHeight="1">
      <c r="A255" s="68"/>
      <c r="B255" s="166" t="s">
        <v>275</v>
      </c>
      <c r="C255" s="13"/>
      <c r="D255" s="13"/>
      <c r="E255" s="13"/>
      <c r="F255" s="12"/>
      <c r="G255" s="13"/>
      <c r="H255" s="13"/>
      <c r="I255" s="13"/>
      <c r="J255" s="12"/>
      <c r="K255" s="12"/>
      <c r="L255" s="12"/>
      <c r="M255" s="12"/>
      <c r="N255" s="13"/>
      <c r="O255" s="12"/>
      <c r="P255" s="12"/>
      <c r="Q255" s="12"/>
      <c r="R255" s="12"/>
      <c r="S255" s="13"/>
      <c r="T255" s="12"/>
      <c r="U255" s="12"/>
      <c r="V255" s="12"/>
      <c r="W255" s="12"/>
      <c r="X255" s="13">
        <f>1991/61530</f>
        <v>3.2358199252397205E-2</v>
      </c>
      <c r="Y255" s="12"/>
      <c r="Z255" s="12"/>
      <c r="AA255" s="12"/>
      <c r="AB255" s="12"/>
      <c r="AC255" s="13">
        <f>1891/66387</f>
        <v>2.8484492445810174E-2</v>
      </c>
      <c r="AD255" s="12"/>
      <c r="AE255" s="12"/>
      <c r="AF255" s="12"/>
      <c r="AG255" s="12"/>
      <c r="AH255" s="13">
        <f>2568/60909</f>
        <v>4.2161256957099935E-2</v>
      </c>
      <c r="AI255" s="98"/>
      <c r="AJ255" s="98"/>
      <c r="AK255" s="98"/>
      <c r="AL255" s="77"/>
      <c r="AM255" s="13">
        <f>5338/$AM$9</f>
        <v>7.8176945270280171E-2</v>
      </c>
      <c r="AN255" s="98"/>
      <c r="AO255" s="98"/>
      <c r="AP255" s="98"/>
      <c r="AQ255" s="77"/>
      <c r="AR255" s="13">
        <f>3685/$AR$9</f>
        <v>5.7304139582620595E-2</v>
      </c>
      <c r="AS255" s="98"/>
      <c r="AT255" s="98"/>
      <c r="AU255" s="98"/>
      <c r="AV255" s="77"/>
      <c r="AW255" s="466">
        <f>5477/$AW$9</f>
        <v>7.9682839892340152E-2</v>
      </c>
      <c r="AX255" s="98"/>
      <c r="AY255" s="98"/>
      <c r="AZ255" s="98"/>
      <c r="BA255" s="77"/>
      <c r="BB255" s="466">
        <v>0.12589047467502265</v>
      </c>
      <c r="BC255" s="98"/>
      <c r="BD255" s="98"/>
      <c r="BE255" s="98"/>
      <c r="BF255" s="77"/>
      <c r="BG255" s="466">
        <v>0.10580330859009732</v>
      </c>
      <c r="BH255" s="98"/>
      <c r="BI255" s="714"/>
      <c r="BJ255" s="98"/>
      <c r="BK255" s="77"/>
      <c r="BL255" s="466">
        <f>9243/90762</f>
        <v>0.1018377735175514</v>
      </c>
      <c r="BM255" s="98"/>
      <c r="BN255" s="714"/>
      <c r="BO255" s="98"/>
      <c r="BP255" s="77"/>
      <c r="BQ255" s="466">
        <f>10846/$BQ$9</f>
        <v>0.11284516303556194</v>
      </c>
      <c r="BR255" s="98"/>
      <c r="BS255" s="714"/>
      <c r="BT255" s="98"/>
      <c r="BU255" s="77"/>
      <c r="BV255" s="466">
        <f>13297/$BV$9</f>
        <v>0.14060335620856287</v>
      </c>
      <c r="BW255" s="98"/>
      <c r="BX255" s="714"/>
      <c r="BY255" s="98"/>
      <c r="BZ255" s="77"/>
      <c r="CA255" s="466">
        <f>12287/93392</f>
        <v>0.13156373136885385</v>
      </c>
      <c r="CB255" s="98"/>
      <c r="CC255" s="714"/>
      <c r="CD255" s="98"/>
      <c r="CE255" s="77"/>
      <c r="CF255" s="466">
        <f>9745/101127</f>
        <v>9.6363977968297293E-2</v>
      </c>
      <c r="CG255" s="714"/>
      <c r="CH255" s="714"/>
      <c r="CI255" s="714"/>
      <c r="CJ255" s="714"/>
      <c r="CK255" s="466">
        <f>(9272-917.7)/76559</f>
        <v>0.10912237620658576</v>
      </c>
      <c r="CL255" s="77"/>
      <c r="CM255" s="77"/>
      <c r="CN255" s="77"/>
      <c r="CO255" s="77"/>
      <c r="CP255" s="466">
        <f>(5308)/58158</f>
        <v>9.1268613088483094E-2</v>
      </c>
      <c r="CQ255" s="77"/>
      <c r="CR255" s="77"/>
      <c r="CS255" s="77"/>
      <c r="CT255" s="77"/>
      <c r="CU255" s="466">
        <f>(4653)/62286</f>
        <v>7.4703785762450625E-2</v>
      </c>
      <c r="CV255" s="77"/>
      <c r="CW255" s="77"/>
      <c r="CX255" s="77"/>
      <c r="CY255" s="77"/>
      <c r="CZ255" s="466">
        <f>(5047)/66608</f>
        <v>7.5771679077588278E-2</v>
      </c>
      <c r="DA255" s="77"/>
      <c r="DB255" s="77"/>
      <c r="DC255" s="77"/>
      <c r="DD255" s="77"/>
      <c r="DE255" s="466">
        <f t="shared" si="630"/>
        <v>7.5771679077588278E-2</v>
      </c>
      <c r="DF255" s="1018"/>
      <c r="DG255" s="450"/>
      <c r="DH255" s="450"/>
      <c r="DI255" s="77"/>
      <c r="DJ255" s="268">
        <f t="shared" si="631"/>
        <v>7.5771679077588278E-2</v>
      </c>
      <c r="DK255" s="1018"/>
      <c r="DL255" s="1018"/>
      <c r="DM255" s="1018"/>
      <c r="DN255" s="77"/>
      <c r="DO255" s="268">
        <f t="shared" si="632"/>
        <v>7.5771679077588278E-2</v>
      </c>
      <c r="DP255" s="1018"/>
      <c r="DQ255" s="1018"/>
      <c r="DR255" s="1018"/>
      <c r="DS255" s="77"/>
      <c r="DT255" s="268">
        <f t="shared" si="633"/>
        <v>7.5771679077588278E-2</v>
      </c>
      <c r="DU255" s="1018"/>
      <c r="DV255" s="1018"/>
      <c r="DW255" s="1018"/>
      <c r="DX255" s="77"/>
      <c r="DY255" s="268">
        <f t="shared" si="634"/>
        <v>7.5771679077588278E-2</v>
      </c>
      <c r="DZ255" s="268">
        <f t="shared" si="636"/>
        <v>7.5771679077588278E-2</v>
      </c>
      <c r="EA255" s="268">
        <f t="shared" si="635"/>
        <v>7.5771679077588278E-2</v>
      </c>
      <c r="EB255" s="268">
        <f t="shared" si="635"/>
        <v>7.5771679077588278E-2</v>
      </c>
    </row>
    <row r="256" spans="1:132" s="105" customFormat="1" ht="12" customHeight="1">
      <c r="A256" s="68"/>
      <c r="B256" s="166" t="s">
        <v>276</v>
      </c>
      <c r="C256" s="13">
        <f>0.192/45.8</f>
        <v>4.1921397379912663E-3</v>
      </c>
      <c r="D256" s="13">
        <f>0.702/56.154</f>
        <v>1.2501335612779142E-2</v>
      </c>
      <c r="E256" s="13">
        <f>0.386/57.993</f>
        <v>6.6559757212077322E-3</v>
      </c>
      <c r="F256" s="12">
        <f>0.542/51.321</f>
        <v>1.056097893649773E-2</v>
      </c>
      <c r="G256" s="13">
        <f>0.573/58.198</f>
        <v>9.8456991649197561E-3</v>
      </c>
      <c r="H256" s="13">
        <f>0.525/54.069</f>
        <v>9.7098152360872211E-3</v>
      </c>
      <c r="I256" s="13">
        <f>0.675/50.485</f>
        <v>1.3370308012280877E-2</v>
      </c>
      <c r="J256" s="12"/>
      <c r="K256" s="12"/>
      <c r="L256" s="12"/>
      <c r="M256" s="12"/>
      <c r="N256" s="13">
        <f>0.625/52.457</f>
        <v>1.191452046438035E-2</v>
      </c>
      <c r="O256" s="12"/>
      <c r="P256" s="12"/>
      <c r="Q256" s="12"/>
      <c r="R256" s="12"/>
      <c r="S256" s="13">
        <f>1.011/54.845</f>
        <v>1.8433767891330111E-2</v>
      </c>
      <c r="T256" s="12"/>
      <c r="U256" s="12"/>
      <c r="V256" s="12"/>
      <c r="W256" s="12"/>
      <c r="X256" s="13">
        <f>967/61530</f>
        <v>1.571591093775394E-2</v>
      </c>
      <c r="Y256" s="12"/>
      <c r="Z256" s="12"/>
      <c r="AA256" s="12"/>
      <c r="AB256" s="12"/>
      <c r="AC256" s="13">
        <f>751/66387</f>
        <v>1.1312455751879133E-2</v>
      </c>
      <c r="AD256" s="12"/>
      <c r="AE256" s="12"/>
      <c r="AF256" s="12"/>
      <c r="AG256" s="12"/>
      <c r="AH256" s="13">
        <f>406/60909</f>
        <v>6.6656815905695383E-3</v>
      </c>
      <c r="AI256" s="98"/>
      <c r="AJ256" s="98"/>
      <c r="AK256" s="98"/>
      <c r="AL256" s="77"/>
      <c r="AM256" s="13">
        <f>602/$AM$9</f>
        <v>8.8165082526617949E-3</v>
      </c>
      <c r="AN256" s="98"/>
      <c r="AO256" s="98"/>
      <c r="AP256" s="98"/>
      <c r="AQ256" s="77"/>
      <c r="AR256" s="13">
        <f>956/$AR$9</f>
        <v>1.4866419929711069E-2</v>
      </c>
      <c r="AS256" s="98"/>
      <c r="AT256" s="98"/>
      <c r="AU256" s="98"/>
      <c r="AV256" s="77"/>
      <c r="AW256" s="466">
        <f>1759/$AW$9</f>
        <v>2.559103804466429E-2</v>
      </c>
      <c r="AX256" s="98"/>
      <c r="AY256" s="98"/>
      <c r="AZ256" s="98"/>
      <c r="BA256" s="77"/>
      <c r="BB256" s="466">
        <v>1.569193860314818E-2</v>
      </c>
      <c r="BC256" s="98"/>
      <c r="BD256" s="98"/>
      <c r="BE256" s="98"/>
      <c r="BF256" s="77"/>
      <c r="BG256" s="466">
        <v>7.1689966867921912E-3</v>
      </c>
      <c r="BH256" s="98"/>
      <c r="BI256" s="714"/>
      <c r="BJ256" s="98"/>
      <c r="BK256" s="77"/>
      <c r="BL256" s="466">
        <f>2596/90762</f>
        <v>2.8602278486591304E-2</v>
      </c>
      <c r="BM256" s="98"/>
      <c r="BN256" s="714"/>
      <c r="BO256" s="98"/>
      <c r="BP256" s="77"/>
      <c r="BQ256" s="466">
        <f>1398/$BQ$9</f>
        <v>1.4545227542293527E-2</v>
      </c>
      <c r="BR256" s="98"/>
      <c r="BS256" s="714"/>
      <c r="BT256" s="98"/>
      <c r="BU256" s="77"/>
      <c r="BV256" s="466">
        <f>1999/$BV$9</f>
        <v>2.1137558025187426E-2</v>
      </c>
      <c r="BW256" s="98"/>
      <c r="BX256" s="714"/>
      <c r="BY256" s="98"/>
      <c r="BZ256" s="77"/>
      <c r="CA256" s="466">
        <f>755/93392</f>
        <v>8.0842042144937468E-3</v>
      </c>
      <c r="CB256" s="98"/>
      <c r="CC256" s="714"/>
      <c r="CD256" s="98"/>
      <c r="CE256" s="77"/>
      <c r="CF256" s="466">
        <f>1486/101127</f>
        <v>1.4694394177618243E-2</v>
      </c>
      <c r="CG256" s="714"/>
      <c r="CH256" s="714"/>
      <c r="CI256" s="714"/>
      <c r="CJ256" s="714"/>
      <c r="CK256" s="466">
        <f>(1113-917.7)/76559</f>
        <v>2.5509737588004016E-3</v>
      </c>
      <c r="CL256" s="77"/>
      <c r="CM256" s="77"/>
      <c r="CN256" s="77"/>
      <c r="CO256" s="77"/>
      <c r="CP256" s="466">
        <f>(114)/58158</f>
        <v>1.9601774476426287E-3</v>
      </c>
      <c r="CQ256" s="77"/>
      <c r="CR256" s="77"/>
      <c r="CS256" s="77"/>
      <c r="CT256" s="77"/>
      <c r="CU256" s="466">
        <f>(239)/62286</f>
        <v>3.8371383617506341E-3</v>
      </c>
      <c r="CV256" s="77"/>
      <c r="CW256" s="77"/>
      <c r="CX256" s="77"/>
      <c r="CY256" s="77"/>
      <c r="CZ256" s="466">
        <f>(418)/66608</f>
        <v>6.2755224597645931E-3</v>
      </c>
      <c r="DA256" s="77"/>
      <c r="DB256" s="77"/>
      <c r="DC256" s="77"/>
      <c r="DD256" s="77"/>
      <c r="DE256" s="466">
        <f t="shared" si="630"/>
        <v>6.2755224597645931E-3</v>
      </c>
      <c r="DF256" s="1018"/>
      <c r="DG256" s="450"/>
      <c r="DH256" s="450"/>
      <c r="DI256" s="77"/>
      <c r="DJ256" s="268">
        <f t="shared" si="631"/>
        <v>6.2755224597645931E-3</v>
      </c>
      <c r="DK256" s="1018"/>
      <c r="DL256" s="1018"/>
      <c r="DM256" s="1018"/>
      <c r="DN256" s="77"/>
      <c r="DO256" s="268">
        <f t="shared" si="632"/>
        <v>6.2755224597645931E-3</v>
      </c>
      <c r="DP256" s="1018"/>
      <c r="DQ256" s="1018"/>
      <c r="DR256" s="1018"/>
      <c r="DS256" s="77"/>
      <c r="DT256" s="268">
        <f t="shared" si="633"/>
        <v>6.2755224597645931E-3</v>
      </c>
      <c r="DU256" s="1018"/>
      <c r="DV256" s="1018"/>
      <c r="DW256" s="1018"/>
      <c r="DX256" s="77"/>
      <c r="DY256" s="268">
        <f t="shared" si="634"/>
        <v>6.2755224597645931E-3</v>
      </c>
      <c r="DZ256" s="268">
        <f t="shared" si="636"/>
        <v>6.2755224597645931E-3</v>
      </c>
      <c r="EA256" s="268">
        <f t="shared" si="635"/>
        <v>6.2755224597645931E-3</v>
      </c>
      <c r="EB256" s="268">
        <f t="shared" si="635"/>
        <v>6.2755224597645931E-3</v>
      </c>
    </row>
    <row r="257" spans="1:132" s="105" customFormat="1" ht="12" customHeight="1">
      <c r="A257" s="68"/>
      <c r="B257" s="166" t="s">
        <v>277</v>
      </c>
      <c r="C257" s="13">
        <f>11.437/45.8</f>
        <v>0.24971615720524018</v>
      </c>
      <c r="D257" s="13">
        <f>14.065/56.154</f>
        <v>0.25047191651529721</v>
      </c>
      <c r="E257" s="13">
        <f>10.776/57.993</f>
        <v>0.1858155294604521</v>
      </c>
      <c r="F257" s="12">
        <f>5.568/51.321</f>
        <v>0.10849359911147483</v>
      </c>
      <c r="G257" s="13">
        <f>7.112/58.198</f>
        <v>0.12220351214818378</v>
      </c>
      <c r="H257" s="13">
        <f>7.614/54.069</f>
        <v>0.14082006325251067</v>
      </c>
      <c r="I257" s="13">
        <f>6.887/50.485</f>
        <v>0.13641675745270873</v>
      </c>
      <c r="J257" s="12"/>
      <c r="K257" s="12"/>
      <c r="L257" s="12"/>
      <c r="M257" s="12"/>
      <c r="N257" s="13">
        <f>6.091/52.457</f>
        <v>0.11611415063766514</v>
      </c>
      <c r="O257" s="12"/>
      <c r="P257" s="12"/>
      <c r="Q257" s="12"/>
      <c r="R257" s="12"/>
      <c r="S257" s="13">
        <f>5.576/54.845</f>
        <v>0.10166833804357735</v>
      </c>
      <c r="T257" s="12"/>
      <c r="U257" s="12"/>
      <c r="V257" s="12"/>
      <c r="W257" s="12"/>
      <c r="X257" s="13">
        <f>8672/61530</f>
        <v>0.14093937916463514</v>
      </c>
      <c r="Y257" s="12"/>
      <c r="Z257" s="12"/>
      <c r="AA257" s="12"/>
      <c r="AB257" s="12"/>
      <c r="AC257" s="13">
        <f>11104/66387</f>
        <v>0.16726166267492129</v>
      </c>
      <c r="AD257" s="12"/>
      <c r="AE257" s="12"/>
      <c r="AF257" s="12"/>
      <c r="AG257" s="12"/>
      <c r="AH257" s="13">
        <f>7913/60909</f>
        <v>0.12991511927629742</v>
      </c>
      <c r="AI257" s="98"/>
      <c r="AJ257" s="98"/>
      <c r="AK257" s="98"/>
      <c r="AL257" s="77"/>
      <c r="AM257" s="13">
        <f>7536/$AM$9</f>
        <v>0.11036745214627788</v>
      </c>
      <c r="AN257" s="98"/>
      <c r="AO257" s="98"/>
      <c r="AP257" s="98"/>
      <c r="AQ257" s="77"/>
      <c r="AR257" s="13">
        <f>7288/$AR$9</f>
        <v>0.11333312599135384</v>
      </c>
      <c r="AS257" s="98"/>
      <c r="AT257" s="98"/>
      <c r="AU257" s="98"/>
      <c r="AV257" s="77"/>
      <c r="AW257" s="466">
        <f>7438/$AW$9</f>
        <v>0.10821270095293518</v>
      </c>
      <c r="AX257" s="98"/>
      <c r="AY257" s="98"/>
      <c r="AZ257" s="98"/>
      <c r="BA257" s="77"/>
      <c r="BB257" s="466">
        <v>0.1271756958554677</v>
      </c>
      <c r="BC257" s="98"/>
      <c r="BD257" s="98"/>
      <c r="BE257" s="98"/>
      <c r="BF257" s="77"/>
      <c r="BG257" s="466">
        <v>0.14084019255855834</v>
      </c>
      <c r="BH257" s="98"/>
      <c r="BI257" s="714"/>
      <c r="BJ257" s="98"/>
      <c r="BK257" s="77"/>
      <c r="BL257" s="466">
        <f>11900/90762</f>
        <v>0.13111213944161654</v>
      </c>
      <c r="BM257" s="98"/>
      <c r="BN257" s="714"/>
      <c r="BO257" s="98"/>
      <c r="BP257" s="77"/>
      <c r="BQ257" s="466">
        <f>13433/$BQ$9</f>
        <v>0.13976111700688765</v>
      </c>
      <c r="BR257" s="98"/>
      <c r="BS257" s="714"/>
      <c r="BT257" s="98"/>
      <c r="BU257" s="77"/>
      <c r="BV257" s="466">
        <f>10553/$BV$9</f>
        <v>0.11158811897939115</v>
      </c>
      <c r="BW257" s="98"/>
      <c r="BX257" s="714"/>
      <c r="BY257" s="98"/>
      <c r="BZ257" s="77"/>
      <c r="CA257" s="466">
        <f>8899/93392</f>
        <v>9.5286534178516361E-2</v>
      </c>
      <c r="CB257" s="98"/>
      <c r="CC257" s="714"/>
      <c r="CD257" s="98"/>
      <c r="CE257" s="77"/>
      <c r="CF257" s="466">
        <f>12141/101127</f>
        <v>0.12005695808241122</v>
      </c>
      <c r="CG257" s="714"/>
      <c r="CH257" s="714"/>
      <c r="CI257" s="714"/>
      <c r="CJ257" s="714"/>
      <c r="CK257" s="466">
        <f>(10662-917.7)/76559</f>
        <v>0.12727830823286615</v>
      </c>
      <c r="CL257" s="77"/>
      <c r="CM257" s="77"/>
      <c r="CN257" s="77"/>
      <c r="CO257" s="77"/>
      <c r="CP257" s="466">
        <f>(4128)/58158</f>
        <v>7.0979057051480443E-2</v>
      </c>
      <c r="CQ257" s="77"/>
      <c r="CR257" s="77"/>
      <c r="CS257" s="77"/>
      <c r="CT257" s="77"/>
      <c r="CU257" s="466">
        <f>(5845)/62286</f>
        <v>9.3841312654529108E-2</v>
      </c>
      <c r="CV257" s="77"/>
      <c r="CW257" s="77"/>
      <c r="CX257" s="77"/>
      <c r="CY257" s="77"/>
      <c r="CZ257" s="466">
        <f>(8393)/66608</f>
        <v>0.12600588517895747</v>
      </c>
      <c r="DA257" s="77"/>
      <c r="DB257" s="77"/>
      <c r="DC257" s="77"/>
      <c r="DD257" s="77"/>
      <c r="DE257" s="466">
        <f t="shared" si="630"/>
        <v>0.12600588517895747</v>
      </c>
      <c r="DF257" s="1018"/>
      <c r="DG257" s="450"/>
      <c r="DH257" s="450"/>
      <c r="DI257" s="77"/>
      <c r="DJ257" s="268">
        <f t="shared" si="631"/>
        <v>0.12600588517895747</v>
      </c>
      <c r="DK257" s="1018"/>
      <c r="DL257" s="1018"/>
      <c r="DM257" s="1018"/>
      <c r="DN257" s="77"/>
      <c r="DO257" s="268">
        <f t="shared" si="632"/>
        <v>0.12600588517895747</v>
      </c>
      <c r="DP257" s="1018"/>
      <c r="DQ257" s="1018"/>
      <c r="DR257" s="1018"/>
      <c r="DS257" s="77"/>
      <c r="DT257" s="268">
        <f t="shared" si="633"/>
        <v>0.12600588517895747</v>
      </c>
      <c r="DU257" s="1018"/>
      <c r="DV257" s="1018"/>
      <c r="DW257" s="1018"/>
      <c r="DX257" s="77"/>
      <c r="DY257" s="268">
        <f t="shared" si="634"/>
        <v>0.12600588517895747</v>
      </c>
      <c r="DZ257" s="268">
        <f t="shared" si="636"/>
        <v>0.12600588517895747</v>
      </c>
      <c r="EA257" s="268">
        <f t="shared" si="635"/>
        <v>0.12600588517895747</v>
      </c>
      <c r="EB257" s="268">
        <f t="shared" si="635"/>
        <v>0.12600588517895747</v>
      </c>
    </row>
    <row r="258" spans="1:132" s="105" customFormat="1" ht="12" customHeight="1">
      <c r="A258" s="68"/>
      <c r="B258" s="166" t="s">
        <v>278</v>
      </c>
      <c r="C258" s="13">
        <f>1.265/45.8</f>
        <v>2.7620087336244541E-2</v>
      </c>
      <c r="D258" s="13">
        <f>1.572/56.154</f>
        <v>2.7994443850838765E-2</v>
      </c>
      <c r="E258" s="13">
        <f>1.231/57.993</f>
        <v>2.122669977411067E-2</v>
      </c>
      <c r="F258" s="12">
        <f>1.026/51.321</f>
        <v>1.9991816215584265E-2</v>
      </c>
      <c r="G258" s="13">
        <f>1.504/58.198</f>
        <v>2.5842812467782399E-2</v>
      </c>
      <c r="H258" s="13">
        <f>1.442/54.069</f>
        <v>2.6669625848452901E-2</v>
      </c>
      <c r="I258" s="13">
        <f>0.749/50.485</f>
        <v>1.4836089927701298E-2</v>
      </c>
      <c r="J258" s="12"/>
      <c r="K258" s="12"/>
      <c r="L258" s="12"/>
      <c r="M258" s="12"/>
      <c r="N258" s="13">
        <f>1.769/52.457</f>
        <v>3.3722858722382142E-2</v>
      </c>
      <c r="O258" s="12"/>
      <c r="P258" s="12"/>
      <c r="Q258" s="12"/>
      <c r="R258" s="12"/>
      <c r="S258" s="13">
        <f>3.324/54.845</f>
        <v>6.0607165648646183E-2</v>
      </c>
      <c r="T258" s="12"/>
      <c r="U258" s="12"/>
      <c r="V258" s="12"/>
      <c r="W258" s="12"/>
      <c r="X258" s="13">
        <f>2659/61530</f>
        <v>4.3214692020152774E-2</v>
      </c>
      <c r="Y258" s="12"/>
      <c r="Z258" s="12"/>
      <c r="AA258" s="12"/>
      <c r="AB258" s="12"/>
      <c r="AC258" s="13">
        <f>2853/66387</f>
        <v>4.2975281305074789E-2</v>
      </c>
      <c r="AD258" s="12"/>
      <c r="AE258" s="12"/>
      <c r="AF258" s="12"/>
      <c r="AG258" s="12"/>
      <c r="AH258" s="13">
        <f>2404/60909</f>
        <v>3.9468715624948691E-2</v>
      </c>
      <c r="AI258" s="98"/>
      <c r="AJ258" s="98"/>
      <c r="AK258" s="98"/>
      <c r="AL258" s="77"/>
      <c r="AM258" s="13">
        <f>4888/$AM$9</f>
        <v>7.1586532124602739E-2</v>
      </c>
      <c r="AN258" s="98"/>
      <c r="AO258" s="98"/>
      <c r="AP258" s="98"/>
      <c r="AQ258" s="77"/>
      <c r="AR258" s="13">
        <f>3109/$AR$9</f>
        <v>4.8346966068485056E-2</v>
      </c>
      <c r="AS258" s="98"/>
      <c r="AT258" s="98"/>
      <c r="AU258" s="98"/>
      <c r="AV258" s="77"/>
      <c r="AW258" s="466">
        <f>4779/$AW$9</f>
        <v>6.9527896995708161E-2</v>
      </c>
      <c r="AX258" s="98"/>
      <c r="AY258" s="98"/>
      <c r="AZ258" s="98"/>
      <c r="BA258" s="77"/>
      <c r="BB258" s="466">
        <v>7.449386765893902E-2</v>
      </c>
      <c r="BC258" s="98"/>
      <c r="BD258" s="98"/>
      <c r="BE258" s="98"/>
      <c r="BF258" s="77"/>
      <c r="BG258" s="466">
        <v>0.12184985511931011</v>
      </c>
      <c r="BH258" s="98"/>
      <c r="BI258" s="714"/>
      <c r="BJ258" s="98"/>
      <c r="BK258" s="77"/>
      <c r="BL258" s="466">
        <f>11029/90762</f>
        <v>0.12151561226063771</v>
      </c>
      <c r="BM258" s="98"/>
      <c r="BN258" s="714"/>
      <c r="BO258" s="98"/>
      <c r="BP258" s="77"/>
      <c r="BQ258" s="466">
        <f>12556/$BQ$9</f>
        <v>0.13063653578042742</v>
      </c>
      <c r="BR258" s="98"/>
      <c r="BS258" s="714"/>
      <c r="BT258" s="98"/>
      <c r="BU258" s="77"/>
      <c r="BV258" s="466">
        <f>10312/$BV$9</f>
        <v>0.10903976906239757</v>
      </c>
      <c r="BW258" s="98"/>
      <c r="BX258" s="714"/>
      <c r="BY258" s="98"/>
      <c r="BZ258" s="77"/>
      <c r="CA258" s="466">
        <f>11911/93392</f>
        <v>0.12753769059448347</v>
      </c>
      <c r="CB258" s="98"/>
      <c r="CC258" s="714"/>
      <c r="CD258" s="98"/>
      <c r="CE258" s="77"/>
      <c r="CF258" s="466">
        <f>13764/101127</f>
        <v>0.1361060844284909</v>
      </c>
      <c r="CG258" s="714"/>
      <c r="CH258" s="714"/>
      <c r="CI258" s="714"/>
      <c r="CJ258" s="714"/>
      <c r="CK258" s="466">
        <f>(5684-917.7)/76559</f>
        <v>6.2256560299899427E-2</v>
      </c>
      <c r="CL258" s="77"/>
      <c r="CM258" s="77"/>
      <c r="CN258" s="77"/>
      <c r="CO258" s="77"/>
      <c r="CP258" s="466">
        <f>(1803)/58158</f>
        <v>3.1001753842979471E-2</v>
      </c>
      <c r="CQ258" s="77"/>
      <c r="CR258" s="77"/>
      <c r="CS258" s="77"/>
      <c r="CT258" s="77"/>
      <c r="CU258" s="268"/>
      <c r="CV258" s="77"/>
      <c r="CW258" s="77"/>
      <c r="CX258" s="77"/>
      <c r="CY258" s="77"/>
      <c r="CZ258" s="268"/>
      <c r="DA258" s="77"/>
      <c r="DB258" s="77"/>
      <c r="DC258" s="77"/>
      <c r="DD258" s="77"/>
      <c r="DE258" s="466">
        <f t="shared" si="630"/>
        <v>0</v>
      </c>
      <c r="DF258" s="1018"/>
      <c r="DG258" s="450"/>
      <c r="DH258" s="450"/>
      <c r="DI258" s="77"/>
      <c r="DJ258" s="268">
        <f t="shared" si="631"/>
        <v>0</v>
      </c>
      <c r="DK258" s="1018"/>
      <c r="DL258" s="1018"/>
      <c r="DM258" s="1018"/>
      <c r="DN258" s="77"/>
      <c r="DO258" s="268">
        <f t="shared" si="632"/>
        <v>0</v>
      </c>
      <c r="DP258" s="1018"/>
      <c r="DQ258" s="1018"/>
      <c r="DR258" s="1018"/>
      <c r="DS258" s="77"/>
      <c r="DT258" s="268">
        <f t="shared" si="633"/>
        <v>0</v>
      </c>
      <c r="DU258" s="1018"/>
      <c r="DV258" s="1018"/>
      <c r="DW258" s="1018"/>
      <c r="DX258" s="77"/>
      <c r="DY258" s="268">
        <f t="shared" si="634"/>
        <v>0</v>
      </c>
      <c r="DZ258" s="268">
        <f t="shared" si="636"/>
        <v>0</v>
      </c>
      <c r="EA258" s="268">
        <f t="shared" si="635"/>
        <v>0</v>
      </c>
      <c r="EB258" s="268">
        <f t="shared" si="635"/>
        <v>0</v>
      </c>
    </row>
    <row r="259" spans="1:132" s="105" customFormat="1" ht="12" customHeight="1">
      <c r="A259" s="68"/>
      <c r="B259" s="166" t="s">
        <v>279</v>
      </c>
      <c r="C259" s="13">
        <f>1.078/45.8</f>
        <v>2.3537117903930135E-2</v>
      </c>
      <c r="D259" s="13">
        <f>0.844/56.154</f>
        <v>1.503009580795669E-2</v>
      </c>
      <c r="E259" s="13">
        <f>0.942/57.993</f>
        <v>1.6243339713413685E-2</v>
      </c>
      <c r="F259" s="12">
        <f>0.887/51.321</f>
        <v>1.7283373277995364E-2</v>
      </c>
      <c r="G259" s="13">
        <f>0.895/58.198</f>
        <v>1.5378535344857211E-2</v>
      </c>
      <c r="H259" s="13">
        <f>1.813/54.069</f>
        <v>3.3531228615287872E-2</v>
      </c>
      <c r="I259" s="13">
        <f>1.944/50.485</f>
        <v>3.8506487075368918E-2</v>
      </c>
      <c r="J259" s="12"/>
      <c r="K259" s="12"/>
      <c r="L259" s="12"/>
      <c r="M259" s="12"/>
      <c r="N259" s="13">
        <f>1.032/52.457</f>
        <v>1.9673256190784832E-2</v>
      </c>
      <c r="O259" s="12"/>
      <c r="P259" s="12"/>
      <c r="Q259" s="12"/>
      <c r="R259" s="12"/>
      <c r="S259" s="13">
        <f>1.362/54.845</f>
        <v>2.4833622025708817E-2</v>
      </c>
      <c r="T259" s="12"/>
      <c r="U259" s="12"/>
      <c r="V259" s="12"/>
      <c r="W259" s="12"/>
      <c r="X259" s="13">
        <f>1206/61530</f>
        <v>1.9600195026816186E-2</v>
      </c>
      <c r="Y259" s="12"/>
      <c r="Z259" s="12"/>
      <c r="AA259" s="12"/>
      <c r="AB259" s="12"/>
      <c r="AC259" s="13">
        <f>1057/66387</f>
        <v>1.5921791917092202E-2</v>
      </c>
      <c r="AD259" s="12"/>
      <c r="AE259" s="12"/>
      <c r="AF259" s="12"/>
      <c r="AG259" s="12"/>
      <c r="AH259" s="13">
        <f>989/60909</f>
        <v>1.6237337667668161E-2</v>
      </c>
      <c r="AI259" s="98"/>
      <c r="AJ259" s="98"/>
      <c r="AK259" s="98"/>
      <c r="AL259" s="103"/>
      <c r="AM259" s="13">
        <f>1447/$AM$9</f>
        <v>2.1191839603989397E-2</v>
      </c>
      <c r="AN259" s="98"/>
      <c r="AO259" s="98"/>
      <c r="AP259" s="98"/>
      <c r="AQ259" s="103"/>
      <c r="AR259" s="13">
        <f>1707/$AR$9</f>
        <v>2.654495692470376E-2</v>
      </c>
      <c r="AS259" s="98"/>
      <c r="AT259" s="98"/>
      <c r="AU259" s="98"/>
      <c r="AV259" s="103"/>
      <c r="AW259" s="466">
        <f>3067/$AW$9</f>
        <v>4.4620644504255472E-2</v>
      </c>
      <c r="AX259" s="98"/>
      <c r="AY259" s="98"/>
      <c r="AZ259" s="98"/>
      <c r="BA259" s="103"/>
      <c r="BB259" s="466">
        <v>2.5006732110945187E-2</v>
      </c>
      <c r="BC259" s="98"/>
      <c r="BD259" s="98"/>
      <c r="BE259" s="98"/>
      <c r="BF259" s="103"/>
      <c r="BG259" s="466">
        <v>1.912886877619108E-2</v>
      </c>
      <c r="BH259" s="98"/>
      <c r="BI259" s="714"/>
      <c r="BJ259" s="98"/>
      <c r="BK259" s="103"/>
      <c r="BL259" s="466">
        <f>1757/90762</f>
        <v>1.9358321764615147E-2</v>
      </c>
      <c r="BM259" s="98"/>
      <c r="BN259" s="714"/>
      <c r="BO259" s="98"/>
      <c r="BP259" s="103"/>
      <c r="BQ259" s="466">
        <f>2601/$BQ$9</f>
        <v>2.7061614332979586E-2</v>
      </c>
      <c r="BR259" s="98"/>
      <c r="BS259" s="714"/>
      <c r="BT259" s="98"/>
      <c r="BU259" s="103"/>
      <c r="BV259" s="466">
        <f>1843/$BV$9</f>
        <v>1.9488003722071247E-2</v>
      </c>
      <c r="BW259" s="98"/>
      <c r="BX259" s="714"/>
      <c r="BY259" s="98"/>
      <c r="BZ259" s="103"/>
      <c r="CA259" s="466">
        <f>2061/93392</f>
        <v>2.206827137228028E-2</v>
      </c>
      <c r="CB259" s="98"/>
      <c r="CC259" s="714"/>
      <c r="CD259" s="98"/>
      <c r="CE259" s="103"/>
      <c r="CF259" s="466">
        <f>2298/101127</f>
        <v>2.2723901628645168E-2</v>
      </c>
      <c r="CG259" s="714"/>
      <c r="CH259" s="714"/>
      <c r="CI259" s="714"/>
      <c r="CJ259" s="714"/>
      <c r="CK259" s="466">
        <f>(2006-917.7)/76559</f>
        <v>1.4215180449065426E-2</v>
      </c>
      <c r="CL259" s="103"/>
      <c r="CM259" s="103"/>
      <c r="CN259" s="103"/>
      <c r="CO259" s="103"/>
      <c r="CP259" s="466">
        <f>(832)/58158</f>
        <v>1.4305856459988308E-2</v>
      </c>
      <c r="CQ259" s="103"/>
      <c r="CR259" s="103"/>
      <c r="CS259" s="103"/>
      <c r="CT259" s="103"/>
      <c r="CU259" s="466">
        <f>(1147)/62286</f>
        <v>1.8415053141958064E-2</v>
      </c>
      <c r="CV259" s="103"/>
      <c r="CW259" s="103"/>
      <c r="CX259" s="103"/>
      <c r="CY259" s="103"/>
      <c r="CZ259" s="466">
        <f>(1576)/66608</f>
        <v>2.3660821522940186E-2</v>
      </c>
      <c r="DA259" s="103"/>
      <c r="DB259" s="103"/>
      <c r="DC259" s="103"/>
      <c r="DD259" s="103"/>
      <c r="DE259" s="466">
        <f t="shared" si="630"/>
        <v>2.3660821522940186E-2</v>
      </c>
      <c r="DF259" s="1018"/>
      <c r="DG259" s="450"/>
      <c r="DH259" s="450"/>
      <c r="DI259" s="103"/>
      <c r="DJ259" s="268">
        <f t="shared" si="631"/>
        <v>2.3660821522940186E-2</v>
      </c>
      <c r="DK259" s="1018"/>
      <c r="DL259" s="1018"/>
      <c r="DM259" s="1018"/>
      <c r="DN259" s="103"/>
      <c r="DO259" s="268">
        <f t="shared" si="632"/>
        <v>2.3660821522940186E-2</v>
      </c>
      <c r="DP259" s="1018"/>
      <c r="DQ259" s="1018"/>
      <c r="DR259" s="1018"/>
      <c r="DS259" s="103"/>
      <c r="DT259" s="268">
        <f t="shared" si="633"/>
        <v>2.3660821522940186E-2</v>
      </c>
      <c r="DU259" s="1018"/>
      <c r="DV259" s="1018"/>
      <c r="DW259" s="1018"/>
      <c r="DX259" s="103"/>
      <c r="DY259" s="268">
        <f t="shared" si="634"/>
        <v>2.3660821522940186E-2</v>
      </c>
      <c r="DZ259" s="268">
        <f t="shared" si="636"/>
        <v>2.3660821522940186E-2</v>
      </c>
      <c r="EA259" s="268">
        <f t="shared" si="635"/>
        <v>2.3660821522940186E-2</v>
      </c>
      <c r="EB259" s="268">
        <f t="shared" si="635"/>
        <v>2.3660821522940186E-2</v>
      </c>
    </row>
    <row r="260" spans="1:132" s="105" customFormat="1" ht="12" customHeight="1">
      <c r="A260" s="68"/>
      <c r="B260" s="166" t="s">
        <v>280</v>
      </c>
      <c r="C260" s="270">
        <f>0.228/45.8</f>
        <v>4.9781659388646289E-3</v>
      </c>
      <c r="D260" s="270">
        <f>0.701/56.154</f>
        <v>1.2483527442390568E-2</v>
      </c>
      <c r="E260" s="270">
        <f>0.461/57.993</f>
        <v>7.9492352525304781E-3</v>
      </c>
      <c r="F260" s="269">
        <f>0.559/51.321</f>
        <v>1.0892227353325151E-2</v>
      </c>
      <c r="G260" s="270">
        <f>0.875/58.198</f>
        <v>1.5034880923743084E-2</v>
      </c>
      <c r="H260" s="270">
        <f>0.669/54.069</f>
        <v>1.2373078843699717E-2</v>
      </c>
      <c r="I260" s="270">
        <f>1.271/50.485</f>
        <v>2.5175794790531839E-2</v>
      </c>
      <c r="J260" s="269"/>
      <c r="K260" s="269"/>
      <c r="L260" s="269"/>
      <c r="M260" s="269"/>
      <c r="N260" s="270">
        <f>0.738/52.457</f>
        <v>1.4068665764340316E-2</v>
      </c>
      <c r="O260" s="269"/>
      <c r="P260" s="269"/>
      <c r="Q260" s="269"/>
      <c r="R260" s="269"/>
      <c r="S260" s="270">
        <f>0.669/54.448</f>
        <v>1.2286952688803997E-2</v>
      </c>
      <c r="T260" s="269"/>
      <c r="U260" s="269"/>
      <c r="V260" s="269"/>
      <c r="W260" s="269"/>
      <c r="X260" s="270">
        <f>1431/61530</f>
        <v>2.3256947830326669E-2</v>
      </c>
      <c r="Y260" s="269"/>
      <c r="Z260" s="269"/>
      <c r="AA260" s="269"/>
      <c r="AB260" s="269"/>
      <c r="AC260" s="270">
        <f>1446/66387</f>
        <v>2.178137285914411E-2</v>
      </c>
      <c r="AD260" s="269"/>
      <c r="AE260" s="269"/>
      <c r="AF260" s="269"/>
      <c r="AG260" s="269"/>
      <c r="AH260" s="270">
        <f>1656/60909</f>
        <v>2.7188100280746686E-2</v>
      </c>
      <c r="AI260" s="271"/>
      <c r="AJ260" s="271"/>
      <c r="AK260" s="271"/>
      <c r="AL260" s="272"/>
      <c r="AM260" s="270">
        <f>963/$AM$9</f>
        <v>1.4103484131749682E-2</v>
      </c>
      <c r="AN260" s="271"/>
      <c r="AO260" s="271"/>
      <c r="AP260" s="271"/>
      <c r="AQ260" s="272"/>
      <c r="AR260" s="270">
        <f>930/$AR$9</f>
        <v>1.4462103069698007E-2</v>
      </c>
      <c r="AS260" s="98"/>
      <c r="AT260" s="98"/>
      <c r="AU260" s="98"/>
      <c r="AV260" s="103"/>
      <c r="AW260" s="270">
        <f>1356/$AW$9</f>
        <v>1.972794064159453E-2</v>
      </c>
      <c r="AX260" s="98"/>
      <c r="AY260" s="98"/>
      <c r="AZ260" s="98"/>
      <c r="BA260" s="103"/>
      <c r="BB260" s="270">
        <v>4.3513917109353963E-2</v>
      </c>
      <c r="BC260" s="98"/>
      <c r="BD260" s="98"/>
      <c r="BE260" s="98"/>
      <c r="BF260" s="103"/>
      <c r="BG260" s="270">
        <v>3.1458157764104225E-2</v>
      </c>
      <c r="BH260" s="98"/>
      <c r="BI260" s="714"/>
      <c r="BJ260" s="98"/>
      <c r="BK260" s="103"/>
      <c r="BL260" s="270">
        <f>2596/90762</f>
        <v>2.8602278486591304E-2</v>
      </c>
      <c r="BM260" s="98"/>
      <c r="BN260" s="714"/>
      <c r="BO260" s="98"/>
      <c r="BP260" s="103"/>
      <c r="BQ260" s="466">
        <f>1875/$BQ$9</f>
        <v>1.950808415007179E-2</v>
      </c>
      <c r="BR260" s="98"/>
      <c r="BS260" s="714"/>
      <c r="BT260" s="98"/>
      <c r="BU260" s="103"/>
      <c r="BV260" s="466">
        <f>1936/$BV$9</f>
        <v>2.0471391864313584E-2</v>
      </c>
      <c r="BW260" s="98"/>
      <c r="BX260" s="714"/>
      <c r="BY260" s="98"/>
      <c r="BZ260" s="103"/>
      <c r="CA260" s="466">
        <f>1494/93392</f>
        <v>1.5997087544971731E-2</v>
      </c>
      <c r="CB260" s="98"/>
      <c r="CC260" s="714"/>
      <c r="CD260" s="98"/>
      <c r="CE260" s="103"/>
      <c r="CF260" s="466">
        <f>1458/101127</f>
        <v>1.4417514610341452E-2</v>
      </c>
      <c r="CG260" s="714"/>
      <c r="CH260" s="714"/>
      <c r="CI260" s="714"/>
      <c r="CJ260" s="714"/>
      <c r="CK260" s="466">
        <f>(1015-917.7)/76559</f>
        <v>1.2709152418396263E-3</v>
      </c>
      <c r="CL260" s="103"/>
      <c r="CM260" s="103"/>
      <c r="CN260" s="103"/>
      <c r="CO260" s="103"/>
      <c r="CP260" s="466">
        <f>(229)/58158</f>
        <v>3.9375494342996668E-3</v>
      </c>
      <c r="CQ260" s="103"/>
      <c r="CR260" s="103"/>
      <c r="CS260" s="103"/>
      <c r="CT260" s="103"/>
      <c r="CU260" s="466">
        <f>(1376)/62286</f>
        <v>2.2091641781459719E-2</v>
      </c>
      <c r="CV260" s="103"/>
      <c r="CW260" s="103"/>
      <c r="CX260" s="103"/>
      <c r="CY260" s="103"/>
      <c r="CZ260" s="466">
        <f>(2412)/66608</f>
        <v>3.6211866442469376E-2</v>
      </c>
      <c r="DA260" s="103"/>
      <c r="DB260" s="103"/>
      <c r="DC260" s="103"/>
      <c r="DD260" s="103"/>
      <c r="DE260" s="466">
        <f t="shared" si="630"/>
        <v>3.6211866442469376E-2</v>
      </c>
      <c r="DF260" s="1018"/>
      <c r="DG260" s="450"/>
      <c r="DH260" s="450"/>
      <c r="DI260" s="103"/>
      <c r="DJ260" s="268">
        <f t="shared" si="631"/>
        <v>3.6211866442469376E-2</v>
      </c>
      <c r="DK260" s="1018"/>
      <c r="DL260" s="1018"/>
      <c r="DM260" s="1018"/>
      <c r="DN260" s="103"/>
      <c r="DO260" s="268">
        <f t="shared" si="632"/>
        <v>3.6211866442469376E-2</v>
      </c>
      <c r="DP260" s="1018"/>
      <c r="DQ260" s="1018"/>
      <c r="DR260" s="1018"/>
      <c r="DS260" s="103"/>
      <c r="DT260" s="268">
        <f t="shared" si="633"/>
        <v>3.6211866442469376E-2</v>
      </c>
      <c r="DU260" s="1018"/>
      <c r="DV260" s="1018"/>
      <c r="DW260" s="1018"/>
      <c r="DX260" s="103"/>
      <c r="DY260" s="268">
        <f t="shared" si="634"/>
        <v>3.6211866442469376E-2</v>
      </c>
      <c r="DZ260" s="268">
        <f t="shared" si="636"/>
        <v>3.6211866442469376E-2</v>
      </c>
      <c r="EA260" s="268">
        <f t="shared" si="635"/>
        <v>3.6211866442469376E-2</v>
      </c>
      <c r="EB260" s="268">
        <f t="shared" si="635"/>
        <v>3.6211866442469376E-2</v>
      </c>
    </row>
    <row r="261" spans="1:132" s="105" customFormat="1" ht="12" customHeight="1">
      <c r="A261" s="68"/>
      <c r="B261" s="166" t="s">
        <v>319</v>
      </c>
      <c r="C261" s="13">
        <f t="shared" ref="C261:I261" si="637">SUM(C252:C260)</f>
        <v>1</v>
      </c>
      <c r="D261" s="13">
        <f t="shared" si="637"/>
        <v>0.99999999999999978</v>
      </c>
      <c r="E261" s="13">
        <f t="shared" si="637"/>
        <v>0.99999999999999989</v>
      </c>
      <c r="F261" s="13">
        <f t="shared" si="637"/>
        <v>1</v>
      </c>
      <c r="G261" s="13">
        <f t="shared" si="637"/>
        <v>1</v>
      </c>
      <c r="H261" s="13">
        <f t="shared" si="637"/>
        <v>1</v>
      </c>
      <c r="I261" s="13">
        <f t="shared" si="637"/>
        <v>1</v>
      </c>
      <c r="J261" s="12"/>
      <c r="K261" s="12"/>
      <c r="L261" s="12"/>
      <c r="M261" s="12"/>
      <c r="N261" s="13">
        <f>SUM(N252:N260)</f>
        <v>1</v>
      </c>
      <c r="O261" s="12"/>
      <c r="P261" s="12"/>
      <c r="Q261" s="12"/>
      <c r="R261" s="12"/>
      <c r="S261" s="13">
        <f>SUM(S252:S260)</f>
        <v>1.0000889401078943</v>
      </c>
      <c r="T261" s="12"/>
      <c r="U261" s="12"/>
      <c r="V261" s="12"/>
      <c r="W261" s="12"/>
      <c r="X261" s="13">
        <f>SUM(X252:X260)</f>
        <v>1.0000000000000002</v>
      </c>
      <c r="Y261" s="12"/>
      <c r="Z261" s="12"/>
      <c r="AA261" s="12"/>
      <c r="AB261" s="12"/>
      <c r="AC261" s="13">
        <f>SUM(AC252:AC260)</f>
        <v>1</v>
      </c>
      <c r="AD261" s="12"/>
      <c r="AE261" s="12"/>
      <c r="AF261" s="12"/>
      <c r="AG261" s="12"/>
      <c r="AH261" s="13">
        <f>SUM(AH252:AH260)</f>
        <v>0.99999999999999989</v>
      </c>
      <c r="AI261" s="98"/>
      <c r="AJ261" s="98"/>
      <c r="AK261" s="98"/>
      <c r="AL261" s="103"/>
      <c r="AM261" s="296">
        <f>SUM(AM252:AM260)</f>
        <v>0.99999999999999989</v>
      </c>
      <c r="AN261" s="98"/>
      <c r="AO261" s="98"/>
      <c r="AP261" s="98"/>
      <c r="AQ261" s="103"/>
      <c r="AR261" s="296">
        <f>SUM(AR252:AR260)</f>
        <v>1</v>
      </c>
      <c r="AS261" s="98"/>
      <c r="AT261" s="98"/>
      <c r="AU261" s="98"/>
      <c r="AV261" s="103"/>
      <c r="AW261" s="13">
        <f>SUM(AW252:AW260)</f>
        <v>1.0000000000000002</v>
      </c>
      <c r="AX261" s="98"/>
      <c r="AY261" s="98"/>
      <c r="AZ261" s="98"/>
      <c r="BA261" s="103"/>
      <c r="BB261" s="13">
        <f>SUM(BB252:BB260)</f>
        <v>1.0000000000000002</v>
      </c>
      <c r="BC261" s="98"/>
      <c r="BD261" s="98"/>
      <c r="BE261" s="98"/>
      <c r="BF261" s="103"/>
      <c r="BG261" s="13">
        <f>SUM(BG252:BG260)</f>
        <v>1.0000000000000002</v>
      </c>
      <c r="BH261" s="98"/>
      <c r="BI261" s="714"/>
      <c r="BJ261" s="98"/>
      <c r="BK261" s="103"/>
      <c r="BL261" s="13">
        <f>SUM(BL252:BL260)</f>
        <v>1</v>
      </c>
      <c r="BM261" s="98"/>
      <c r="BN261" s="714"/>
      <c r="BO261" s="98"/>
      <c r="BP261" s="103"/>
      <c r="BQ261" s="13">
        <f>SUM(BQ252:BQ260)</f>
        <v>1</v>
      </c>
      <c r="BR261" s="98"/>
      <c r="BS261" s="714"/>
      <c r="BT261" s="98"/>
      <c r="BU261" s="103"/>
      <c r="BV261" s="13">
        <f>SUM(BV252:BV260)</f>
        <v>1</v>
      </c>
      <c r="BW261" s="98"/>
      <c r="BX261" s="714"/>
      <c r="BY261" s="98"/>
      <c r="BZ261" s="103"/>
      <c r="CA261" s="13">
        <f>SUM(CA252:CA260)</f>
        <v>1</v>
      </c>
      <c r="CB261" s="98"/>
      <c r="CC261" s="714"/>
      <c r="CD261" s="98"/>
      <c r="CE261" s="103"/>
      <c r="CF261" s="13">
        <f>SUM(CF252:CF260)</f>
        <v>1</v>
      </c>
      <c r="CG261" s="714"/>
      <c r="CH261" s="714"/>
      <c r="CI261" s="714"/>
      <c r="CJ261" s="714"/>
      <c r="CK261" s="13">
        <f>SUM(CK252:CK260)</f>
        <v>0.99999608145351959</v>
      </c>
      <c r="CL261" s="103"/>
      <c r="CM261" s="103"/>
      <c r="CN261" s="103"/>
      <c r="CO261" s="103"/>
      <c r="CP261" s="13">
        <f>SUM(CP252:CP260)</f>
        <v>0.99999999999999989</v>
      </c>
      <c r="CQ261" s="103"/>
      <c r="CR261" s="103"/>
      <c r="CS261" s="103"/>
      <c r="CT261" s="103"/>
      <c r="CU261" s="13">
        <f>SUM(CU252:CU260)</f>
        <v>0.99999999999999989</v>
      </c>
      <c r="CV261" s="103"/>
      <c r="CW261" s="103"/>
      <c r="CX261" s="103"/>
      <c r="CY261" s="103"/>
      <c r="CZ261" s="13">
        <f>SUM(CZ252:CZ260)</f>
        <v>1</v>
      </c>
      <c r="DA261" s="103"/>
      <c r="DB261" s="103"/>
      <c r="DC261" s="103"/>
      <c r="DD261" s="103"/>
      <c r="DE261" s="466">
        <f>SUM(DE252:DE260)</f>
        <v>1</v>
      </c>
      <c r="DF261" s="12"/>
      <c r="DG261" s="450"/>
      <c r="DH261" s="450"/>
      <c r="DI261" s="103"/>
      <c r="DJ261" s="13">
        <f>SUM(DJ252:DJ260)</f>
        <v>1</v>
      </c>
      <c r="DK261" s="12"/>
      <c r="DL261" s="12"/>
      <c r="DM261" s="12"/>
      <c r="DN261" s="103"/>
      <c r="DO261" s="13">
        <f>SUM(DO252:DO260)</f>
        <v>1</v>
      </c>
      <c r="DP261" s="12"/>
      <c r="DQ261" s="12"/>
      <c r="DR261" s="12"/>
      <c r="DS261" s="103"/>
      <c r="DT261" s="13">
        <f>SUM(DT252:DT260)</f>
        <v>1</v>
      </c>
      <c r="DU261" s="12"/>
      <c r="DV261" s="12"/>
      <c r="DW261" s="12"/>
      <c r="DX261" s="103"/>
      <c r="DY261" s="13">
        <f>SUM(DY252:DY260)</f>
        <v>1</v>
      </c>
      <c r="DZ261" s="13">
        <f>SUM(DZ252:DZ260)</f>
        <v>1</v>
      </c>
      <c r="EA261" s="13">
        <f t="shared" ref="EA261:EB261" si="638">SUM(EA252:EA260)</f>
        <v>1</v>
      </c>
      <c r="EB261" s="13">
        <f t="shared" si="638"/>
        <v>1</v>
      </c>
    </row>
    <row r="262" spans="1:132" s="105" customFormat="1" ht="12" customHeight="1">
      <c r="A262" s="68"/>
      <c r="B262" s="166"/>
      <c r="C262" s="67"/>
      <c r="D262" s="67"/>
      <c r="E262" s="67"/>
      <c r="F262" s="98"/>
      <c r="G262" s="67"/>
      <c r="H262" s="67"/>
      <c r="I262" s="67"/>
      <c r="J262" s="98"/>
      <c r="K262" s="98"/>
      <c r="L262" s="98"/>
      <c r="M262" s="98"/>
      <c r="N262" s="67"/>
      <c r="O262" s="98"/>
      <c r="P262" s="98"/>
      <c r="Q262" s="98"/>
      <c r="R262" s="98"/>
      <c r="S262" s="67"/>
      <c r="T262" s="98"/>
      <c r="U262" s="98"/>
      <c r="V262" s="98"/>
      <c r="W262" s="98"/>
      <c r="X262" s="67"/>
      <c r="Y262" s="98"/>
      <c r="Z262" s="98"/>
      <c r="AA262" s="98"/>
      <c r="AB262" s="98"/>
      <c r="AC262" s="67"/>
      <c r="AD262" s="98"/>
      <c r="AE262" s="98"/>
      <c r="AF262" s="98"/>
      <c r="AG262" s="98"/>
      <c r="AH262" s="67"/>
      <c r="AI262" s="98"/>
      <c r="AJ262" s="98"/>
      <c r="AK262" s="98"/>
      <c r="AL262" s="103"/>
      <c r="AM262" s="76"/>
      <c r="AN262" s="98"/>
      <c r="AO262" s="98"/>
      <c r="AP262" s="98"/>
      <c r="AQ262" s="103"/>
      <c r="AR262" s="76"/>
      <c r="AS262" s="98"/>
      <c r="AT262" s="98"/>
      <c r="AU262" s="98"/>
      <c r="AV262" s="103"/>
      <c r="AW262" s="76"/>
      <c r="AX262" s="98"/>
      <c r="AY262" s="98"/>
      <c r="AZ262" s="98"/>
      <c r="BA262" s="103"/>
      <c r="BB262" s="76"/>
      <c r="BC262" s="98"/>
      <c r="BD262" s="98"/>
      <c r="BE262" s="98"/>
      <c r="BF262" s="103"/>
      <c r="BG262" s="76"/>
      <c r="BH262" s="98"/>
      <c r="BI262" s="714"/>
      <c r="BJ262" s="98"/>
      <c r="BK262" s="103"/>
      <c r="BL262" s="76"/>
      <c r="BM262" s="98"/>
      <c r="BN262" s="714"/>
      <c r="BO262" s="98"/>
      <c r="BP262" s="103"/>
      <c r="BQ262" s="76"/>
      <c r="BR262" s="98"/>
      <c r="BS262" s="714"/>
      <c r="BT262" s="98"/>
      <c r="BU262" s="103"/>
      <c r="BV262" s="76"/>
      <c r="BW262" s="98"/>
      <c r="BX262" s="714"/>
      <c r="BY262" s="98"/>
      <c r="BZ262" s="103"/>
      <c r="CA262" s="76"/>
      <c r="CB262" s="98"/>
      <c r="CC262" s="714"/>
      <c r="CD262" s="98"/>
      <c r="CE262" s="103"/>
      <c r="CF262" s="76"/>
      <c r="CG262" s="714"/>
      <c r="CH262" s="714"/>
      <c r="CI262" s="714"/>
      <c r="CJ262" s="714"/>
      <c r="CK262" s="76"/>
      <c r="CL262" s="103"/>
      <c r="CM262" s="103"/>
      <c r="CN262" s="103"/>
      <c r="CO262" s="103"/>
      <c r="CP262" s="76"/>
      <c r="CQ262" s="103"/>
      <c r="CR262" s="103"/>
      <c r="CS262" s="103"/>
      <c r="CT262" s="103"/>
      <c r="CU262" s="76"/>
      <c r="CV262" s="103"/>
      <c r="CW262" s="103"/>
      <c r="CX262" s="103"/>
      <c r="CY262" s="103"/>
      <c r="CZ262" s="76"/>
      <c r="DA262" s="103"/>
      <c r="DB262" s="103"/>
      <c r="DC262" s="103"/>
      <c r="DD262" s="103"/>
      <c r="DE262" s="17"/>
      <c r="DF262" s="103"/>
      <c r="DG262" s="593"/>
      <c r="DH262" s="593"/>
      <c r="DI262" s="103"/>
      <c r="DJ262" s="76"/>
      <c r="DK262" s="103"/>
      <c r="DL262" s="103"/>
      <c r="DM262" s="103"/>
      <c r="DN262" s="103"/>
      <c r="DO262" s="76"/>
      <c r="DP262" s="103"/>
      <c r="DQ262" s="103"/>
      <c r="DR262" s="103"/>
      <c r="DS262" s="103"/>
      <c r="DT262" s="76"/>
      <c r="DU262" s="103"/>
      <c r="DV262" s="103"/>
      <c r="DW262" s="103"/>
      <c r="DX262" s="103"/>
      <c r="DY262" s="76"/>
      <c r="DZ262" s="76"/>
      <c r="EA262" s="76"/>
      <c r="EB262" s="76"/>
    </row>
    <row r="263" spans="1:132" s="105" customFormat="1" ht="12" customHeight="1">
      <c r="A263" s="68"/>
      <c r="B263" s="547" t="s">
        <v>463</v>
      </c>
      <c r="C263" s="67"/>
      <c r="D263" s="67"/>
      <c r="E263" s="67"/>
      <c r="F263" s="98"/>
      <c r="G263" s="67"/>
      <c r="H263" s="67"/>
      <c r="I263" s="67"/>
      <c r="J263" s="98"/>
      <c r="K263" s="98"/>
      <c r="L263" s="98"/>
      <c r="M263" s="98"/>
      <c r="N263" s="67"/>
      <c r="O263" s="98"/>
      <c r="P263" s="98"/>
      <c r="Q263" s="98"/>
      <c r="R263" s="98"/>
      <c r="S263" s="67"/>
      <c r="T263" s="98"/>
      <c r="U263" s="98"/>
      <c r="V263" s="98"/>
      <c r="W263" s="98"/>
      <c r="X263" s="67"/>
      <c r="Y263" s="98"/>
      <c r="Z263" s="98"/>
      <c r="AA263" s="98"/>
      <c r="AB263" s="98"/>
      <c r="AC263" s="67"/>
      <c r="AD263" s="98"/>
      <c r="AE263" s="98"/>
      <c r="AF263" s="98"/>
      <c r="AG263" s="98"/>
      <c r="AH263" s="67"/>
      <c r="AI263" s="98"/>
      <c r="AJ263" s="98"/>
      <c r="AK263" s="98"/>
      <c r="AL263" s="103"/>
      <c r="AM263" s="76"/>
      <c r="AN263" s="98"/>
      <c r="AO263" s="98"/>
      <c r="AP263" s="98"/>
      <c r="AQ263" s="103"/>
      <c r="AR263" s="76"/>
      <c r="AS263" s="98"/>
      <c r="AT263" s="98"/>
      <c r="AU263" s="98"/>
      <c r="AV263" s="103"/>
      <c r="AW263" s="76"/>
      <c r="AX263" s="98"/>
      <c r="AY263" s="98"/>
      <c r="AZ263" s="98"/>
      <c r="BA263" s="103"/>
      <c r="BB263" s="76"/>
      <c r="BC263" s="98"/>
      <c r="BD263" s="98"/>
      <c r="BE263" s="98"/>
      <c r="BF263" s="103"/>
      <c r="BG263" s="76">
        <f>0.02*BS!BG60</f>
        <v>305.16000000000003</v>
      </c>
      <c r="BH263" s="98"/>
      <c r="BI263" s="714"/>
      <c r="BJ263" s="98"/>
      <c r="BK263" s="103"/>
      <c r="BL263" s="76">
        <f>0.02*BS!BL60</f>
        <v>261.84000000000003</v>
      </c>
      <c r="BM263" s="98"/>
      <c r="BN263" s="714"/>
      <c r="BO263" s="98"/>
      <c r="BP263" s="103"/>
      <c r="BQ263" s="76">
        <f>0.02*BS!BQ60</f>
        <v>241.04</v>
      </c>
      <c r="BR263" s="714">
        <f>BQ263</f>
        <v>241.04</v>
      </c>
      <c r="BS263" s="714">
        <f>BR263</f>
        <v>241.04</v>
      </c>
      <c r="BT263" s="714">
        <f>BS263</f>
        <v>241.04</v>
      </c>
      <c r="BU263" s="714">
        <f>BT263</f>
        <v>241.04</v>
      </c>
      <c r="BV263" s="76">
        <f>0.02*BS!BV60</f>
        <v>200.58</v>
      </c>
      <c r="BW263" s="714"/>
      <c r="BX263" s="714"/>
      <c r="BY263" s="714"/>
      <c r="BZ263" s="714"/>
      <c r="CA263" s="76">
        <f>0.02*BS!CA60</f>
        <v>199.84</v>
      </c>
      <c r="CB263" s="714"/>
      <c r="CC263" s="714"/>
      <c r="CD263" s="714"/>
      <c r="CE263" s="714"/>
      <c r="CF263" s="76">
        <f>0.02*BS!CF60</f>
        <v>171.28</v>
      </c>
      <c r="CG263" s="714"/>
      <c r="CH263" s="714"/>
      <c r="CI263" s="714"/>
      <c r="CJ263" s="714"/>
      <c r="CK263" s="76">
        <f>0.02*BS!CK60</f>
        <v>200.6</v>
      </c>
      <c r="CL263" s="714"/>
      <c r="CM263" s="714"/>
      <c r="CN263" s="714"/>
      <c r="CO263" s="714"/>
      <c r="CP263" s="76">
        <f>0.02*BS!CP60</f>
        <v>511.8</v>
      </c>
      <c r="CQ263" s="714"/>
      <c r="CR263" s="714"/>
      <c r="CS263" s="714"/>
      <c r="CT263" s="714"/>
      <c r="CU263" s="76">
        <f>0.02*BS!CU60</f>
        <v>324.88</v>
      </c>
      <c r="CV263" s="714"/>
      <c r="CW263" s="714"/>
      <c r="CX263" s="714"/>
      <c r="CY263" s="714"/>
      <c r="CZ263" s="76">
        <f>0.02*BS!CZ60</f>
        <v>344.40000000000003</v>
      </c>
      <c r="DA263" s="714"/>
      <c r="DB263" s="714"/>
      <c r="DC263" s="714"/>
      <c r="DD263" s="714"/>
      <c r="DE263" s="17">
        <f>0.02*BS!DE60</f>
        <v>319.3</v>
      </c>
      <c r="DF263" s="103"/>
      <c r="DG263" s="593"/>
      <c r="DH263" s="593"/>
      <c r="DI263" s="714"/>
      <c r="DJ263" s="76">
        <f>0.02*BS!DJ60</f>
        <v>525.64</v>
      </c>
      <c r="DK263" s="103"/>
      <c r="DL263" s="103"/>
      <c r="DM263" s="103"/>
      <c r="DN263" s="714"/>
      <c r="DO263" s="76">
        <f>0.02*BS!DO60</f>
        <v>588</v>
      </c>
      <c r="DP263" s="103"/>
      <c r="DQ263" s="103"/>
      <c r="DR263" s="103"/>
      <c r="DS263" s="714"/>
      <c r="DT263" s="76">
        <f>0.02*BS!DT60</f>
        <v>466.96000000000004</v>
      </c>
      <c r="DU263" s="103"/>
      <c r="DV263" s="103"/>
      <c r="DW263" s="103"/>
      <c r="DX263" s="714"/>
      <c r="DY263" s="76">
        <f>0.02*BS!DY60</f>
        <v>410.52</v>
      </c>
      <c r="DZ263" s="76">
        <f>0.02*BS!DZ60</f>
        <v>380.46</v>
      </c>
      <c r="EA263" s="76">
        <f>0.02*BS!EA60</f>
        <v>392.36</v>
      </c>
      <c r="EB263" s="76">
        <f>0.02*BS!EB60</f>
        <v>424.64</v>
      </c>
    </row>
    <row r="264" spans="1:132" s="105" customFormat="1" ht="12" customHeight="1">
      <c r="A264" s="68"/>
      <c r="B264" s="166"/>
      <c r="C264" s="67"/>
      <c r="D264" s="67"/>
      <c r="E264" s="67"/>
      <c r="F264" s="98"/>
      <c r="G264" s="67"/>
      <c r="H264" s="67"/>
      <c r="I264" s="67"/>
      <c r="J264" s="98"/>
      <c r="K264" s="98"/>
      <c r="L264" s="98"/>
      <c r="M264" s="98"/>
      <c r="N264" s="67"/>
      <c r="O264" s="98"/>
      <c r="P264" s="98"/>
      <c r="Q264" s="98"/>
      <c r="R264" s="98"/>
      <c r="S264" s="67"/>
      <c r="T264" s="98"/>
      <c r="U264" s="98"/>
      <c r="V264" s="98"/>
      <c r="W264" s="98"/>
      <c r="X264" s="67"/>
      <c r="Y264" s="98"/>
      <c r="Z264" s="98"/>
      <c r="AA264" s="98"/>
      <c r="AB264" s="98"/>
      <c r="AC264" s="67"/>
      <c r="AD264" s="98"/>
      <c r="AE264" s="98"/>
      <c r="AF264" s="98"/>
      <c r="AG264" s="98"/>
      <c r="AH264" s="67"/>
      <c r="AI264" s="98"/>
      <c r="AJ264" s="98"/>
      <c r="AK264" s="98"/>
      <c r="AL264" s="103"/>
      <c r="AM264" s="76"/>
      <c r="AN264" s="98"/>
      <c r="AO264" s="98"/>
      <c r="AP264" s="98"/>
      <c r="AQ264" s="103"/>
      <c r="AR264" s="76"/>
      <c r="AS264" s="98"/>
      <c r="AT264" s="98"/>
      <c r="AU264" s="98"/>
      <c r="AV264" s="103"/>
      <c r="AW264" s="76"/>
      <c r="AX264" s="98"/>
      <c r="AY264" s="98"/>
      <c r="AZ264" s="98"/>
      <c r="BA264" s="103"/>
      <c r="BB264" s="76"/>
      <c r="BC264" s="98"/>
      <c r="BD264" s="98"/>
      <c r="BE264" s="98"/>
      <c r="BF264" s="103"/>
      <c r="BG264" s="76"/>
      <c r="BH264" s="98"/>
      <c r="BI264" s="714"/>
      <c r="BJ264" s="98"/>
      <c r="BK264" s="103"/>
      <c r="BL264" s="76"/>
      <c r="BM264" s="98"/>
      <c r="BN264" s="714"/>
      <c r="BO264" s="98"/>
      <c r="BP264" s="103"/>
      <c r="BQ264" s="76"/>
      <c r="BR264" s="98"/>
      <c r="BS264" s="714"/>
      <c r="BT264" s="98"/>
      <c r="BU264" s="103"/>
      <c r="BV264" s="76"/>
      <c r="BW264" s="98"/>
      <c r="BX264" s="714"/>
      <c r="BY264" s="98"/>
      <c r="BZ264" s="103"/>
      <c r="CA264" s="76"/>
      <c r="CB264" s="98"/>
      <c r="CC264" s="714"/>
      <c r="CD264" s="98"/>
      <c r="CE264" s="103"/>
      <c r="CF264" s="76"/>
      <c r="CG264" s="714"/>
      <c r="CH264" s="714"/>
      <c r="CI264" s="714"/>
      <c r="CJ264" s="714"/>
      <c r="CK264" s="76"/>
      <c r="CL264" s="103"/>
      <c r="CM264" s="103"/>
      <c r="CN264" s="103"/>
      <c r="CO264" s="103"/>
      <c r="CP264" s="76"/>
      <c r="CQ264" s="103"/>
      <c r="CR264" s="103"/>
      <c r="CS264" s="103"/>
      <c r="CT264" s="103"/>
      <c r="CU264" s="76"/>
      <c r="CV264" s="103"/>
      <c r="CW264" s="103"/>
      <c r="CX264" s="103"/>
      <c r="CY264" s="103"/>
      <c r="CZ264" s="76"/>
      <c r="DA264" s="103"/>
      <c r="DB264" s="103"/>
      <c r="DC264" s="103"/>
      <c r="DD264" s="103"/>
      <c r="DE264" s="17"/>
      <c r="DF264" s="103"/>
      <c r="DG264" s="593"/>
      <c r="DH264" s="593"/>
      <c r="DI264" s="103"/>
      <c r="DJ264" s="76"/>
      <c r="DK264" s="103"/>
      <c r="DL264" s="103"/>
      <c r="DM264" s="103"/>
      <c r="DN264" s="103"/>
      <c r="DO264" s="76"/>
      <c r="DP264" s="103"/>
      <c r="DQ264" s="103"/>
      <c r="DR264" s="103"/>
      <c r="DS264" s="103"/>
      <c r="DT264" s="76"/>
      <c r="DU264" s="103"/>
      <c r="DV264" s="103"/>
      <c r="DW264" s="103"/>
      <c r="DX264" s="103"/>
      <c r="DY264" s="76"/>
      <c r="DZ264" s="76"/>
      <c r="EA264" s="76"/>
      <c r="EB264" s="76"/>
    </row>
    <row r="265" spans="1:132" s="105" customFormat="1" ht="12" customHeight="1">
      <c r="A265" s="68"/>
      <c r="B265" s="164" t="s">
        <v>324</v>
      </c>
      <c r="C265" s="95"/>
      <c r="D265" s="95"/>
      <c r="E265" s="95"/>
      <c r="F265" s="94"/>
      <c r="G265" s="95"/>
      <c r="H265" s="95"/>
      <c r="I265" s="95"/>
      <c r="J265" s="94"/>
      <c r="K265" s="94"/>
      <c r="L265" s="94"/>
      <c r="M265" s="94"/>
      <c r="N265" s="95"/>
      <c r="O265" s="94"/>
      <c r="P265" s="94"/>
      <c r="Q265" s="94"/>
      <c r="R265" s="94"/>
      <c r="S265" s="95"/>
      <c r="T265" s="94"/>
      <c r="U265" s="94"/>
      <c r="V265" s="94"/>
      <c r="W265" s="94"/>
      <c r="X265" s="95"/>
      <c r="Y265" s="94"/>
      <c r="Z265" s="94"/>
      <c r="AA265" s="94"/>
      <c r="AB265" s="94"/>
      <c r="AC265" s="95"/>
      <c r="AD265" s="94"/>
      <c r="AE265" s="94"/>
      <c r="AF265" s="94"/>
      <c r="AG265" s="94"/>
      <c r="AH265" s="95"/>
      <c r="AI265" s="94"/>
      <c r="AJ265" s="94"/>
      <c r="AK265" s="94"/>
      <c r="AL265" s="104"/>
      <c r="AM265" s="217"/>
      <c r="AN265" s="94"/>
      <c r="AO265" s="94"/>
      <c r="AP265" s="94"/>
      <c r="AQ265" s="104"/>
      <c r="AR265" s="217"/>
      <c r="AS265" s="94"/>
      <c r="AT265" s="94"/>
      <c r="AU265" s="94"/>
      <c r="AV265" s="104"/>
      <c r="AW265" s="217"/>
      <c r="AX265" s="94"/>
      <c r="AY265" s="94"/>
      <c r="AZ265" s="94"/>
      <c r="BA265" s="104"/>
      <c r="BB265" s="217"/>
      <c r="BC265" s="94"/>
      <c r="BD265" s="94"/>
      <c r="BE265" s="94"/>
      <c r="BF265" s="104"/>
      <c r="BG265" s="217"/>
      <c r="BH265" s="94"/>
      <c r="BI265" s="712"/>
      <c r="BJ265" s="94"/>
      <c r="BK265" s="104"/>
      <c r="BL265" s="217"/>
      <c r="BM265" s="94"/>
      <c r="BN265" s="712"/>
      <c r="BO265" s="94"/>
      <c r="BP265" s="104"/>
      <c r="BQ265" s="217"/>
      <c r="BR265" s="94"/>
      <c r="BS265" s="712"/>
      <c r="BT265" s="94"/>
      <c r="BU265" s="104"/>
      <c r="BV265" s="217"/>
      <c r="BW265" s="94"/>
      <c r="BX265" s="712"/>
      <c r="BY265" s="94"/>
      <c r="BZ265" s="104"/>
      <c r="CA265" s="217"/>
      <c r="CB265" s="94"/>
      <c r="CC265" s="712"/>
      <c r="CD265" s="94"/>
      <c r="CE265" s="104"/>
      <c r="CF265" s="217"/>
      <c r="CG265" s="712"/>
      <c r="CH265" s="712"/>
      <c r="CI265" s="712"/>
      <c r="CJ265" s="712"/>
      <c r="CK265" s="217"/>
      <c r="CL265" s="104"/>
      <c r="CM265" s="104"/>
      <c r="CN265" s="104"/>
      <c r="CO265" s="104"/>
      <c r="CP265" s="217"/>
      <c r="CQ265" s="104"/>
      <c r="CR265" s="104"/>
      <c r="CS265" s="104"/>
      <c r="CT265" s="104"/>
      <c r="CU265" s="217"/>
      <c r="CV265" s="104"/>
      <c r="CW265" s="104"/>
      <c r="CX265" s="104"/>
      <c r="CY265" s="104"/>
      <c r="CZ265" s="217"/>
      <c r="DA265" s="104"/>
      <c r="DB265" s="104"/>
      <c r="DC265" s="104"/>
      <c r="DD265" s="104"/>
      <c r="DE265" s="217"/>
      <c r="DF265" s="104"/>
      <c r="DG265" s="1054"/>
      <c r="DH265" s="1054"/>
      <c r="DI265" s="104"/>
      <c r="DJ265" s="217"/>
      <c r="DK265" s="104"/>
      <c r="DL265" s="104"/>
      <c r="DM265" s="104"/>
      <c r="DN265" s="104"/>
      <c r="DO265" s="217"/>
      <c r="DP265" s="104"/>
      <c r="DQ265" s="104"/>
      <c r="DR265" s="104"/>
      <c r="DS265" s="104"/>
      <c r="DT265" s="217"/>
      <c r="DU265" s="104"/>
      <c r="DV265" s="104"/>
      <c r="DW265" s="104"/>
      <c r="DX265" s="104"/>
      <c r="DY265" s="217"/>
      <c r="DZ265" s="217"/>
      <c r="EA265" s="217"/>
      <c r="EB265" s="217"/>
    </row>
    <row r="266" spans="1:132" s="115" customFormat="1" ht="12" customHeight="1">
      <c r="A266" s="198"/>
      <c r="B266" s="556" t="s">
        <v>408</v>
      </c>
      <c r="C266" s="11"/>
      <c r="D266" s="11">
        <v>1300</v>
      </c>
      <c r="E266" s="11">
        <v>2900</v>
      </c>
      <c r="F266" s="11">
        <v>2400</v>
      </c>
      <c r="G266" s="11">
        <v>2400</v>
      </c>
      <c r="H266" s="11"/>
      <c r="I266" s="11"/>
      <c r="J266" s="10"/>
      <c r="K266" s="10">
        <f>0*0+0.75*43.98+3.6258*47.38</f>
        <v>204.77540399999998</v>
      </c>
      <c r="L266" s="10">
        <f>1.201856*49.59+0.003064*50.78+1.0137*53.6</f>
        <v>114.08994896000002</v>
      </c>
      <c r="M266" s="9">
        <f>0.1175*51.47+3.433794*52.92+4.568626*53.63</f>
        <v>432.77951586000006</v>
      </c>
      <c r="N266" s="11">
        <f>SUM(J266:M266)</f>
        <v>751.64486882000006</v>
      </c>
      <c r="O266" s="10">
        <f>0.001339*51.53+3.180827*53.49+5.726173*56.76</f>
        <v>495.22901437999997</v>
      </c>
      <c r="P266" s="10">
        <f>0.101254*57.97+4.822974*61.2+5.352656*64.48</f>
        <v>646.1749620600001</v>
      </c>
      <c r="Q266" s="10">
        <f>0.000878*65.099+7.649506*66.8681+6.033563*65.1539</f>
        <v>904.67524942629984</v>
      </c>
      <c r="R266" s="10">
        <f>5.250259*66.83+5.370569*66.66+1.760962*69.98</f>
        <v>832.10905926999999</v>
      </c>
      <c r="S266" s="11">
        <f>SUM(O266:R266)</f>
        <v>2878.1882851362998</v>
      </c>
      <c r="T266" s="10">
        <f>0.871668*68.69+1.168428*72.84+3.4369*75.98</f>
        <v>406.11883244000001</v>
      </c>
      <c r="U266" s="10">
        <f>1.931085*82.17+2.322426*84.52+2.085746*81.5</f>
        <v>524.95699896999997</v>
      </c>
      <c r="V266" s="10">
        <f>0.49*77.16+1.8965*75.91</f>
        <v>181.771715</v>
      </c>
      <c r="W266" s="10">
        <f>1.7902*81.99+1.6414*85.92+1.7308*90.11</f>
        <v>443.76997399999999</v>
      </c>
      <c r="X266" s="11">
        <f>SUM(T266:W266)</f>
        <v>1556.61752041</v>
      </c>
      <c r="Y266" s="10">
        <f>1.25449*88.5+1.30192*91+1.4808*89.46</f>
        <v>361.96945299999999</v>
      </c>
      <c r="Z266" s="10">
        <f>1.313175*91.36+2.457*95.61+2.72164*97.5</f>
        <v>620.24533799999995</v>
      </c>
      <c r="AA266" s="10">
        <f>2.420277*101.56+2.836375*98.39+3.822754*99.6</f>
        <v>905.62056676999998</v>
      </c>
      <c r="AB266" s="10">
        <f>4.234772*98.57+3.0356*93.04+2.116796*89.74</f>
        <v>889.81497308000007</v>
      </c>
      <c r="AC266" s="11">
        <f>SUM(Y266:AB266)</f>
        <v>2777.65033085</v>
      </c>
      <c r="AD266" s="10">
        <f>3.6042*80.82+5.747635*83.21+6.2017*75.76</f>
        <v>1239.3929443499999</v>
      </c>
      <c r="AE266" s="10">
        <f>4.6224*77.9+2.4174*84.45+3.981068*74.05</f>
        <v>859.03247540000007</v>
      </c>
      <c r="AF266" s="10">
        <f>3.752911*65.1+2.003354*64.4+2.176245*59.72</f>
        <v>503.29585510000004</v>
      </c>
      <c r="AG266" s="10">
        <f>3.272972*47.42+3.055046*42.5+1.238954*40.34</f>
        <v>335.02319160000002</v>
      </c>
      <c r="AH266" s="11">
        <f>SUM(AD266:AG266)</f>
        <v>2936.7444664499999</v>
      </c>
      <c r="AI266" s="10">
        <f>1.173152*42.94</f>
        <v>50.375146879999996</v>
      </c>
      <c r="AJ266" s="10">
        <v>0</v>
      </c>
      <c r="AK266" s="10">
        <v>0</v>
      </c>
      <c r="AL266" s="10">
        <v>0</v>
      </c>
      <c r="AM266" s="11">
        <f>SUM(AI266:AL266)</f>
        <v>50.375146879999996</v>
      </c>
      <c r="AN266" s="10">
        <v>0</v>
      </c>
      <c r="AO266" s="10">
        <v>0</v>
      </c>
      <c r="AP266" s="10">
        <v>0</v>
      </c>
      <c r="AQ266" s="10">
        <v>0</v>
      </c>
      <c r="AR266" s="11">
        <f>SUM(AN266:AQ266)</f>
        <v>0</v>
      </c>
      <c r="AS266" s="10">
        <v>0</v>
      </c>
      <c r="AT266" s="10">
        <v>0</v>
      </c>
      <c r="AU266" s="10">
        <v>0</v>
      </c>
      <c r="AV266" s="10">
        <v>0</v>
      </c>
      <c r="AW266" s="11">
        <f>SUM(AS266:AV266)</f>
        <v>0</v>
      </c>
      <c r="AX266" s="10">
        <v>0</v>
      </c>
      <c r="AY266" s="10">
        <v>0</v>
      </c>
      <c r="AZ266" s="10"/>
      <c r="BA266" s="10"/>
      <c r="BB266" s="11"/>
      <c r="BC266" s="10"/>
      <c r="BD266" s="10">
        <f>BD267*BD268</f>
        <v>1006.3594433999999</v>
      </c>
      <c r="BE266" s="10">
        <v>801.70865263000007</v>
      </c>
      <c r="BF266" s="10">
        <f>BF267*BF268</f>
        <v>1000.92562966</v>
      </c>
      <c r="BG266" s="11"/>
      <c r="BH266" s="10">
        <f>BH267*BH268</f>
        <v>2501.67607808</v>
      </c>
      <c r="BI266" s="10">
        <f>BI267*BI268</f>
        <v>1497.4837126000002</v>
      </c>
      <c r="BJ266" s="10">
        <f>BJ267*BJ268</f>
        <v>1002.19159202</v>
      </c>
      <c r="BK266" s="10">
        <f>BK267*BK268</f>
        <v>1004.33910726</v>
      </c>
      <c r="BL266" s="11">
        <f>SUM(BH266:BK266)</f>
        <v>6005.6904899600004</v>
      </c>
      <c r="BM266" s="10">
        <f>BM267*BM268</f>
        <v>2499.2553672399999</v>
      </c>
      <c r="BN266" s="10">
        <f>BN267*BN268</f>
        <v>2000.1552580499997</v>
      </c>
      <c r="BO266" s="10">
        <f>BO267*BO268</f>
        <v>1500.2621568</v>
      </c>
      <c r="BP266" s="10">
        <f>BP267*BP268</f>
        <v>750.13882292000005</v>
      </c>
      <c r="BQ266" s="11">
        <f>SUM(BM266:BP266)</f>
        <v>6749.8116050099998</v>
      </c>
      <c r="BR266" s="10">
        <f>BR267*BR268</f>
        <v>3500.24288256</v>
      </c>
      <c r="BS266" s="10">
        <f>BS267*BS268</f>
        <v>2000.2830589999999</v>
      </c>
      <c r="BT266" s="10">
        <f>BT267*BT268</f>
        <v>1000.0753539199999</v>
      </c>
      <c r="BU266" s="10">
        <f>BU267*BU268</f>
        <v>501.16149494000001</v>
      </c>
      <c r="BV266" s="11">
        <f>SUM(BR266:BU266)</f>
        <v>7001.762790419999</v>
      </c>
      <c r="BW266" s="10">
        <f>BW267*BW268</f>
        <v>2503.4193744099998</v>
      </c>
      <c r="BX266" s="10">
        <f>BX267*BX268</f>
        <v>2499.92604269</v>
      </c>
      <c r="BY266" s="10">
        <f>BY267*BY268</f>
        <v>2505.9423352499998</v>
      </c>
      <c r="BZ266" s="10">
        <f>BZ267*BZ268</f>
        <v>1750.3519697300001</v>
      </c>
      <c r="CA266" s="11">
        <f>SUM(BW266:BZ266)</f>
        <v>9259.639722079999</v>
      </c>
      <c r="CB266" s="10">
        <f>CB267*CB268</f>
        <v>3003.86431524</v>
      </c>
      <c r="CC266" s="10">
        <f>CC267*CC268</f>
        <v>2964.4943635399995</v>
      </c>
      <c r="CD266" s="10">
        <f>CD267*CD268</f>
        <v>2449.9354277799998</v>
      </c>
      <c r="CE266" s="10">
        <f>CE267*CE268</f>
        <v>584.13400095999998</v>
      </c>
      <c r="CF266" s="11">
        <f>SUM(CB266:CE266)</f>
        <v>9002.4281075199997</v>
      </c>
      <c r="CG266" s="10">
        <f>CG267*CG268</f>
        <v>2351.1539797200003</v>
      </c>
      <c r="CH266" s="10">
        <f>CH267*CH268</f>
        <v>310.36047724000002</v>
      </c>
      <c r="CI266" s="10">
        <f>CI267*CI268</f>
        <v>0</v>
      </c>
      <c r="CJ266" s="10">
        <f>CJ267*CJ268</f>
        <v>0</v>
      </c>
      <c r="CK266" s="11">
        <f>SUM(CG266:CJ266)</f>
        <v>2661.5144569600002</v>
      </c>
      <c r="CL266" s="10">
        <f>CL267*CL268</f>
        <v>0</v>
      </c>
      <c r="CM266" s="10">
        <f>CM267*CM268</f>
        <v>0</v>
      </c>
      <c r="CN266" s="10">
        <f>CN267*CN268</f>
        <v>0</v>
      </c>
      <c r="CO266" s="10">
        <f>CO267*CO268</f>
        <v>0</v>
      </c>
      <c r="CP266" s="11">
        <f>SUM(CL266:CO266)</f>
        <v>0</v>
      </c>
      <c r="CQ266" s="10">
        <f>CQ267*CQ268</f>
        <v>0</v>
      </c>
      <c r="CR266" s="10">
        <f>CR267*CR268</f>
        <v>0</v>
      </c>
      <c r="CS266" s="10">
        <v>0</v>
      </c>
      <c r="CT266" s="10">
        <v>0</v>
      </c>
      <c r="CU266" s="11">
        <f>SUM(CQ266:CT266)</f>
        <v>0</v>
      </c>
      <c r="CV266" s="10">
        <f>CV267*CV268</f>
        <v>0</v>
      </c>
      <c r="CW266" s="10">
        <f t="shared" ref="CW266:CY266" si="639">CW267*CW268</f>
        <v>0</v>
      </c>
      <c r="CX266" s="10">
        <f t="shared" si="639"/>
        <v>0</v>
      </c>
      <c r="CY266" s="10">
        <f t="shared" si="639"/>
        <v>0</v>
      </c>
      <c r="CZ266" s="11">
        <f>SUM(CV266:CY266)</f>
        <v>0</v>
      </c>
      <c r="DA266" s="10"/>
      <c r="DB266" s="10"/>
      <c r="DC266" s="10"/>
      <c r="DD266" s="10"/>
      <c r="DE266" s="11"/>
      <c r="DF266" s="10"/>
      <c r="DG266" s="393"/>
      <c r="DH266" s="393"/>
      <c r="DI266" s="10"/>
      <c r="DJ266" s="11"/>
      <c r="DK266" s="10"/>
      <c r="DL266" s="10"/>
      <c r="DM266" s="10"/>
      <c r="DN266" s="10"/>
      <c r="DO266" s="11"/>
      <c r="DP266" s="10"/>
      <c r="DQ266" s="10"/>
      <c r="DR266" s="10"/>
      <c r="DS266" s="10"/>
      <c r="DT266" s="11"/>
      <c r="DU266" s="10"/>
      <c r="DV266" s="10"/>
      <c r="DW266" s="10"/>
      <c r="DX266" s="10"/>
      <c r="DY266" s="11"/>
      <c r="DZ266" s="11"/>
      <c r="EA266" s="11"/>
      <c r="EB266" s="11"/>
    </row>
    <row r="267" spans="1:132" s="115" customFormat="1" ht="12" customHeight="1">
      <c r="A267" s="198"/>
      <c r="B267" s="556" t="s">
        <v>407</v>
      </c>
      <c r="C267" s="11"/>
      <c r="D267" s="11">
        <v>35.200000000000003</v>
      </c>
      <c r="E267" s="11">
        <v>68.900000000000006</v>
      </c>
      <c r="F267" s="11">
        <v>41.8</v>
      </c>
      <c r="G267" s="11">
        <v>40.724499999999999</v>
      </c>
      <c r="H267" s="11"/>
      <c r="I267" s="11"/>
      <c r="J267" s="10"/>
      <c r="K267" s="10">
        <v>4.3757999999999999</v>
      </c>
      <c r="L267" s="10">
        <v>2.2155559999999999</v>
      </c>
      <c r="M267" s="9">
        <v>8.1174999999999997</v>
      </c>
      <c r="N267" s="11">
        <f>SUM(J267:M267)</f>
        <v>14.708855999999999</v>
      </c>
      <c r="O267" s="10">
        <v>8.9</v>
      </c>
      <c r="P267" s="10">
        <v>10.271599999999999</v>
      </c>
      <c r="Q267" s="10">
        <v>13.6722</v>
      </c>
      <c r="R267" s="10">
        <v>12.3735</v>
      </c>
      <c r="S267" s="11">
        <f>SUM(O267:R267)</f>
        <v>45.217300000000002</v>
      </c>
      <c r="T267" s="10">
        <v>5.45</v>
      </c>
      <c r="U267" s="10">
        <v>6.3335999999999997</v>
      </c>
      <c r="V267" s="10">
        <f>0.49+1.8965</f>
        <v>2.3864999999999998</v>
      </c>
      <c r="W267" s="10">
        <v>5.1623999999999999</v>
      </c>
      <c r="X267" s="11">
        <f>SUM(T267:W267)</f>
        <v>19.3325</v>
      </c>
      <c r="Y267" s="10">
        <v>4.03721</v>
      </c>
      <c r="Z267" s="10">
        <f>1.313175+2.457+2.72164</f>
        <v>6.4918149999999999</v>
      </c>
      <c r="AA267" s="10">
        <v>9.0794060000000005</v>
      </c>
      <c r="AB267" s="10">
        <v>9.3871680000000008</v>
      </c>
      <c r="AC267" s="11">
        <f>SUM(Y267:AB267)</f>
        <v>28.995599000000006</v>
      </c>
      <c r="AD267" s="10">
        <v>15.553535</v>
      </c>
      <c r="AE267" s="10">
        <v>11.020868</v>
      </c>
      <c r="AF267" s="10">
        <v>7.9325099999999997</v>
      </c>
      <c r="AG267" s="10">
        <v>7.5669719999999998</v>
      </c>
      <c r="AH267" s="11">
        <f>SUM(AD267:AG267)</f>
        <v>42.073884999999997</v>
      </c>
      <c r="AI267" s="10">
        <f>1.173152</f>
        <v>1.173152</v>
      </c>
      <c r="AJ267" s="10">
        <v>0</v>
      </c>
      <c r="AK267" s="10">
        <v>0</v>
      </c>
      <c r="AL267" s="10">
        <v>0</v>
      </c>
      <c r="AM267" s="11">
        <f>SUM(AI267:AL267)</f>
        <v>1.173152</v>
      </c>
      <c r="AN267" s="10">
        <v>0</v>
      </c>
      <c r="AO267" s="10">
        <v>0</v>
      </c>
      <c r="AP267" s="10">
        <v>0</v>
      </c>
      <c r="AQ267" s="10">
        <v>0</v>
      </c>
      <c r="AR267" s="11">
        <f>SUM(AN267:AQ267)</f>
        <v>0</v>
      </c>
      <c r="AS267" s="10">
        <v>0</v>
      </c>
      <c r="AT267" s="10">
        <v>0</v>
      </c>
      <c r="AU267" s="10">
        <v>43.284999999999997</v>
      </c>
      <c r="AV267" s="10">
        <v>46.581000000000003</v>
      </c>
      <c r="AW267" s="11">
        <f>SUM(AS267:AV267)</f>
        <v>89.866</v>
      </c>
      <c r="AX267" s="10">
        <v>0</v>
      </c>
      <c r="AY267" s="10">
        <v>55.767000000000003</v>
      </c>
      <c r="AZ267" s="10"/>
      <c r="BA267" s="10"/>
      <c r="BB267" s="11"/>
      <c r="BC267" s="10"/>
      <c r="BD267" s="10">
        <v>10.28787</v>
      </c>
      <c r="BE267" s="10">
        <v>7.592657</v>
      </c>
      <c r="BF267" s="10">
        <v>7.5701530000000004</v>
      </c>
      <c r="BG267" s="11"/>
      <c r="BH267" s="10">
        <v>19.350836000000001</v>
      </c>
      <c r="BI267" s="717">
        <v>11.426812</v>
      </c>
      <c r="BJ267" s="10">
        <v>8.0213830000000002</v>
      </c>
      <c r="BK267" s="10">
        <v>7.850079</v>
      </c>
      <c r="BL267" s="11">
        <f>SUM(BH267:BK267)</f>
        <v>46.64911</v>
      </c>
      <c r="BM267" s="10">
        <v>16.964807</v>
      </c>
      <c r="BN267" s="717">
        <v>13.570494999999999</v>
      </c>
      <c r="BO267" s="10">
        <v>10.903067999999999</v>
      </c>
      <c r="BP267" s="10">
        <v>5.2923580000000001</v>
      </c>
      <c r="BQ267" s="11">
        <f>SUM(BM267:BP267)</f>
        <v>46.730727999999999</v>
      </c>
      <c r="BR267" s="10">
        <v>28.575744</v>
      </c>
      <c r="BS267" s="717">
        <v>15.298532</v>
      </c>
      <c r="BT267" s="10">
        <v>7.5580059999999998</v>
      </c>
      <c r="BU267" s="10">
        <v>3.6725889999999999</v>
      </c>
      <c r="BV267" s="11">
        <f>SUM(BR267:BU267)</f>
        <v>55.104871000000003</v>
      </c>
      <c r="BW267" s="10">
        <v>14.911068999999999</v>
      </c>
      <c r="BX267" s="717">
        <v>13.566647</v>
      </c>
      <c r="BY267" s="10">
        <v>11.027248999999999</v>
      </c>
      <c r="BZ267" s="10">
        <v>6.7091570000000003</v>
      </c>
      <c r="CA267" s="11">
        <f>SUM(BW267:BZ267)</f>
        <v>46.214121999999996</v>
      </c>
      <c r="CB267" s="10">
        <v>8.8750940000000007</v>
      </c>
      <c r="CC267" s="717">
        <v>8.5736019999999993</v>
      </c>
      <c r="CD267" s="10">
        <v>7.0487539999999997</v>
      </c>
      <c r="CE267" s="10">
        <v>1.560854</v>
      </c>
      <c r="CF267" s="11">
        <f>SUM(CB267:CE267)</f>
        <v>26.058303999999996</v>
      </c>
      <c r="CG267" s="717">
        <v>6.1080040000000002</v>
      </c>
      <c r="CH267" s="717">
        <v>0.80064100000000005</v>
      </c>
      <c r="CI267" s="717">
        <v>0</v>
      </c>
      <c r="CJ267" s="717">
        <v>0</v>
      </c>
      <c r="CK267" s="11">
        <f>SUM(CG267:CJ267)</f>
        <v>6.9086449999999999</v>
      </c>
      <c r="CL267" s="717">
        <v>0</v>
      </c>
      <c r="CM267" s="717">
        <v>0</v>
      </c>
      <c r="CN267" s="10">
        <v>0</v>
      </c>
      <c r="CO267" s="10">
        <v>0</v>
      </c>
      <c r="CP267" s="11">
        <f>SUM(CL267:CO267)</f>
        <v>0</v>
      </c>
      <c r="CQ267" s="717">
        <v>0</v>
      </c>
      <c r="CR267" s="717">
        <v>0</v>
      </c>
      <c r="CS267" s="10">
        <v>0</v>
      </c>
      <c r="CT267" s="10">
        <v>0</v>
      </c>
      <c r="CU267" s="11">
        <f>SUM(CQ267:CT267)</f>
        <v>0</v>
      </c>
      <c r="CV267" s="717">
        <v>0</v>
      </c>
      <c r="CW267" s="717">
        <v>0</v>
      </c>
      <c r="CX267" s="717">
        <v>0</v>
      </c>
      <c r="CY267" s="717">
        <v>0</v>
      </c>
      <c r="CZ267" s="11">
        <f>SUM(CV267:CY267)</f>
        <v>0</v>
      </c>
      <c r="DA267" s="10"/>
      <c r="DB267" s="10"/>
      <c r="DC267" s="10"/>
      <c r="DD267" s="10"/>
      <c r="DE267" s="11"/>
      <c r="DF267" s="10"/>
      <c r="DG267" s="393"/>
      <c r="DH267" s="393"/>
      <c r="DI267" s="10"/>
      <c r="DJ267" s="11"/>
      <c r="DK267" s="10"/>
      <c r="DL267" s="10"/>
      <c r="DM267" s="10"/>
      <c r="DN267" s="10"/>
      <c r="DO267" s="11"/>
      <c r="DP267" s="10"/>
      <c r="DQ267" s="10"/>
      <c r="DR267" s="10"/>
      <c r="DS267" s="10"/>
      <c r="DT267" s="11"/>
      <c r="DU267" s="10"/>
      <c r="DV267" s="10"/>
      <c r="DW267" s="10"/>
      <c r="DX267" s="10"/>
      <c r="DY267" s="11"/>
      <c r="DZ267" s="11"/>
      <c r="EA267" s="11"/>
      <c r="EB267" s="11"/>
    </row>
    <row r="268" spans="1:132" s="202" customFormat="1" ht="12" customHeight="1">
      <c r="A268" s="68"/>
      <c r="B268" s="99" t="s">
        <v>281</v>
      </c>
      <c r="C268" s="8"/>
      <c r="D268" s="6">
        <f>D266/D267</f>
        <v>36.93181818181818</v>
      </c>
      <c r="E268" s="6">
        <f>E266/E267</f>
        <v>42.089985486211894</v>
      </c>
      <c r="F268" s="6">
        <f>F266/F267</f>
        <v>57.416267942583737</v>
      </c>
      <c r="G268" s="6">
        <f>G266/G267</f>
        <v>58.932583579908901</v>
      </c>
      <c r="H268" s="6"/>
      <c r="I268" s="6"/>
      <c r="J268" s="5"/>
      <c r="K268" s="5">
        <f t="shared" ref="K268:Q268" si="640">K266/K267</f>
        <v>46.797249417249411</v>
      </c>
      <c r="L268" s="5">
        <f t="shared" si="640"/>
        <v>51.494951587773009</v>
      </c>
      <c r="M268" s="5">
        <f t="shared" si="640"/>
        <v>53.314384460732995</v>
      </c>
      <c r="N268" s="6">
        <f t="shared" si="640"/>
        <v>51.101517944019584</v>
      </c>
      <c r="O268" s="5">
        <f t="shared" si="640"/>
        <v>55.64370948089887</v>
      </c>
      <c r="P268" s="5">
        <f t="shared" si="640"/>
        <v>62.908890733673445</v>
      </c>
      <c r="Q268" s="5">
        <f t="shared" si="640"/>
        <v>66.16895959876976</v>
      </c>
      <c r="R268" s="5">
        <f t="shared" ref="R268:Z268" si="641">R266/R267</f>
        <v>67.249287531417949</v>
      </c>
      <c r="S268" s="6">
        <f>S266/S267</f>
        <v>63.652369450106477</v>
      </c>
      <c r="T268" s="5">
        <f t="shared" si="641"/>
        <v>74.517216961467895</v>
      </c>
      <c r="U268" s="5">
        <f t="shared" si="641"/>
        <v>82.884457333901736</v>
      </c>
      <c r="V268" s="5">
        <f t="shared" si="641"/>
        <v>76.166652000838056</v>
      </c>
      <c r="W268" s="5">
        <f t="shared" si="641"/>
        <v>85.961950643111734</v>
      </c>
      <c r="X268" s="6">
        <f>X266/X267</f>
        <v>80.518169942325102</v>
      </c>
      <c r="Y268" s="5">
        <f t="shared" si="641"/>
        <v>89.658316758355397</v>
      </c>
      <c r="Z268" s="5">
        <f t="shared" si="641"/>
        <v>95.542669962098415</v>
      </c>
      <c r="AA268" s="5">
        <f t="shared" ref="AA268:AM268" si="642">AA266/AA267</f>
        <v>99.744473016186291</v>
      </c>
      <c r="AB268" s="5">
        <f t="shared" si="642"/>
        <v>94.79056655638847</v>
      </c>
      <c r="AC268" s="6">
        <f t="shared" si="642"/>
        <v>95.795583697029315</v>
      </c>
      <c r="AD268" s="5">
        <f t="shared" si="642"/>
        <v>79.685611299939197</v>
      </c>
      <c r="AE268" s="5">
        <f t="shared" si="642"/>
        <v>77.945990769511084</v>
      </c>
      <c r="AF268" s="5">
        <f>AF266/AF267</f>
        <v>63.447238654599879</v>
      </c>
      <c r="AG268" s="5">
        <f t="shared" si="642"/>
        <v>44.274406142906308</v>
      </c>
      <c r="AH268" s="6">
        <f t="shared" si="642"/>
        <v>69.799697994373474</v>
      </c>
      <c r="AI268" s="5">
        <f t="shared" si="642"/>
        <v>42.94</v>
      </c>
      <c r="AJ268" s="7">
        <v>0</v>
      </c>
      <c r="AK268" s="7">
        <v>0</v>
      </c>
      <c r="AL268" s="7">
        <v>0</v>
      </c>
      <c r="AM268" s="6">
        <f t="shared" si="642"/>
        <v>42.94</v>
      </c>
      <c r="AN268" s="7">
        <v>0</v>
      </c>
      <c r="AO268" s="7">
        <v>0</v>
      </c>
      <c r="AP268" s="7">
        <v>0</v>
      </c>
      <c r="AQ268" s="7">
        <v>0</v>
      </c>
      <c r="AR268" s="215" t="str">
        <f>IF(ISERROR(AR266/AR267), " - ", AR266/AR267)</f>
        <v xml:space="preserve"> - </v>
      </c>
      <c r="AS268" s="7">
        <v>0</v>
      </c>
      <c r="AT268" s="7">
        <v>0</v>
      </c>
      <c r="AU268" s="110">
        <v>72.459999999999994</v>
      </c>
      <c r="AV268" s="110">
        <v>60.85</v>
      </c>
      <c r="AW268" s="8">
        <f>AW266/AW267</f>
        <v>0</v>
      </c>
      <c r="AX268" s="7">
        <v>0</v>
      </c>
      <c r="AY268" s="110">
        <v>73.42</v>
      </c>
      <c r="AZ268" s="7"/>
      <c r="BA268" s="110"/>
      <c r="BB268" s="8"/>
      <c r="BC268" s="7"/>
      <c r="BD268" s="7">
        <v>97.82</v>
      </c>
      <c r="BE268" s="7">
        <f>BE266/BE267</f>
        <v>105.59</v>
      </c>
      <c r="BF268" s="110">
        <v>132.22</v>
      </c>
      <c r="BG268" s="8"/>
      <c r="BH268" s="7">
        <v>129.28</v>
      </c>
      <c r="BI268" s="717">
        <v>131.05000000000001</v>
      </c>
      <c r="BJ268" s="7">
        <v>124.94</v>
      </c>
      <c r="BK268" s="731">
        <v>127.94</v>
      </c>
      <c r="BL268" s="8">
        <f>BL266/BL267</f>
        <v>128.74180214713635</v>
      </c>
      <c r="BM268" s="7">
        <v>147.32</v>
      </c>
      <c r="BN268" s="717">
        <v>147.38999999999999</v>
      </c>
      <c r="BO268" s="7">
        <v>137.6</v>
      </c>
      <c r="BP268" s="7">
        <v>141.74</v>
      </c>
      <c r="BQ268" s="8">
        <f>BQ266/BQ267</f>
        <v>144.44054038725866</v>
      </c>
      <c r="BR268" s="7">
        <v>122.49</v>
      </c>
      <c r="BS268" s="717">
        <v>130.75</v>
      </c>
      <c r="BT268" s="7">
        <v>132.32</v>
      </c>
      <c r="BU268" s="7">
        <v>136.46</v>
      </c>
      <c r="BV268" s="8">
        <f>BV266/BV267</f>
        <v>127.06250215920112</v>
      </c>
      <c r="BW268" s="7">
        <v>167.89</v>
      </c>
      <c r="BX268" s="717">
        <v>184.27</v>
      </c>
      <c r="BY268" s="7">
        <v>227.25</v>
      </c>
      <c r="BZ268" s="7">
        <v>260.89</v>
      </c>
      <c r="CA268" s="8">
        <f>CA266/CA267</f>
        <v>200.36385678992235</v>
      </c>
      <c r="CB268" s="7">
        <v>338.46</v>
      </c>
      <c r="CC268" s="717">
        <v>345.77</v>
      </c>
      <c r="CD268" s="7">
        <v>347.57</v>
      </c>
      <c r="CE268" s="7">
        <v>374.24</v>
      </c>
      <c r="CF268" s="8">
        <f>CF266/CF267</f>
        <v>345.47252605234786</v>
      </c>
      <c r="CG268" s="717">
        <v>384.93</v>
      </c>
      <c r="CH268" s="717">
        <v>387.64</v>
      </c>
      <c r="CI268" s="717">
        <v>0</v>
      </c>
      <c r="CJ268" s="717">
        <v>0</v>
      </c>
      <c r="CK268" s="8">
        <f>CK266/CK267</f>
        <v>385.24406116684247</v>
      </c>
      <c r="CL268" s="717">
        <v>0</v>
      </c>
      <c r="CM268" s="717">
        <v>0</v>
      </c>
      <c r="CN268" s="717">
        <v>0</v>
      </c>
      <c r="CO268" s="717">
        <v>0</v>
      </c>
      <c r="CP268" s="8" t="e">
        <f>CP266/CP267</f>
        <v>#DIV/0!</v>
      </c>
      <c r="CQ268" s="717">
        <v>0</v>
      </c>
      <c r="CR268" s="717">
        <v>0</v>
      </c>
      <c r="CS268" s="110">
        <v>0</v>
      </c>
      <c r="CT268" s="110">
        <v>0</v>
      </c>
      <c r="CU268" s="8" t="e">
        <f>CU266/CU267</f>
        <v>#DIV/0!</v>
      </c>
      <c r="CV268" s="717">
        <v>0</v>
      </c>
      <c r="CW268" s="717">
        <v>0</v>
      </c>
      <c r="CX268" s="717">
        <v>0</v>
      </c>
      <c r="CY268" s="717">
        <v>0</v>
      </c>
      <c r="CZ268" s="8" t="e">
        <f>CZ266/CZ267</f>
        <v>#DIV/0!</v>
      </c>
      <c r="DA268" s="110"/>
      <c r="DB268" s="110"/>
      <c r="DC268" s="110"/>
      <c r="DD268" s="110"/>
      <c r="DE268" s="8"/>
      <c r="DF268" s="7"/>
      <c r="DG268" s="1057"/>
      <c r="DH268" s="1057"/>
      <c r="DI268" s="110"/>
      <c r="DJ268" s="8"/>
      <c r="DK268" s="7"/>
      <c r="DL268" s="7"/>
      <c r="DM268" s="7"/>
      <c r="DN268" s="110"/>
      <c r="DO268" s="8"/>
      <c r="DP268" s="7"/>
      <c r="DQ268" s="7"/>
      <c r="DR268" s="7"/>
      <c r="DS268" s="110"/>
      <c r="DT268" s="8"/>
      <c r="DU268" s="7"/>
      <c r="DV268" s="7"/>
      <c r="DW268" s="7"/>
      <c r="DX268" s="110"/>
      <c r="DY268" s="8"/>
      <c r="DZ268" s="8"/>
      <c r="EA268" s="8"/>
      <c r="EB268" s="8"/>
    </row>
    <row r="269" spans="1:132" s="202" customFormat="1" ht="12" customHeight="1">
      <c r="A269" s="68"/>
      <c r="B269" s="99"/>
      <c r="C269" s="8"/>
      <c r="D269" s="6"/>
      <c r="E269" s="6"/>
      <c r="F269" s="6"/>
      <c r="G269" s="6"/>
      <c r="H269" s="6"/>
      <c r="I269" s="6"/>
      <c r="J269" s="5"/>
      <c r="K269" s="5"/>
      <c r="L269" s="5"/>
      <c r="M269" s="5"/>
      <c r="N269" s="6"/>
      <c r="O269" s="5"/>
      <c r="P269" s="5"/>
      <c r="Q269" s="5"/>
      <c r="R269" s="5"/>
      <c r="S269" s="6"/>
      <c r="T269" s="5"/>
      <c r="U269" s="5"/>
      <c r="V269" s="5"/>
      <c r="W269" s="5"/>
      <c r="X269" s="6"/>
      <c r="Y269" s="5"/>
      <c r="Z269" s="5"/>
      <c r="AA269" s="5"/>
      <c r="AB269" s="5"/>
      <c r="AC269" s="6"/>
      <c r="AD269" s="5"/>
      <c r="AE269" s="5"/>
      <c r="AF269" s="5"/>
      <c r="AG269" s="5"/>
      <c r="AH269" s="6"/>
      <c r="AI269" s="5"/>
      <c r="AJ269" s="5"/>
      <c r="AK269" s="5"/>
      <c r="AL269" s="7"/>
      <c r="AM269" s="8"/>
      <c r="AN269" s="5"/>
      <c r="AO269" s="5"/>
      <c r="AP269" s="5"/>
      <c r="AQ269" s="7"/>
      <c r="AR269" s="8"/>
      <c r="AS269" s="7"/>
      <c r="AT269" s="7"/>
      <c r="AU269" s="7"/>
      <c r="AV269" s="7"/>
      <c r="AW269" s="8"/>
      <c r="AX269" s="7"/>
      <c r="AY269" s="7"/>
      <c r="AZ269" s="7"/>
      <c r="BA269" s="7"/>
      <c r="BB269" s="8"/>
      <c r="BC269" s="7"/>
      <c r="BD269" s="7"/>
      <c r="BE269" s="7"/>
      <c r="BF269" s="7"/>
      <c r="BG269" s="8"/>
      <c r="BH269" s="7"/>
      <c r="BI269" s="717"/>
      <c r="BJ269" s="7"/>
      <c r="BK269" s="7"/>
      <c r="BL269" s="8"/>
      <c r="BM269" s="7"/>
      <c r="BN269" s="717"/>
      <c r="BO269" s="7"/>
      <c r="BP269" s="7"/>
      <c r="BQ269" s="8"/>
      <c r="BR269" s="7"/>
      <c r="BS269" s="717"/>
      <c r="BT269" s="7"/>
      <c r="BU269" s="7"/>
      <c r="BV269" s="8"/>
      <c r="BW269" s="7"/>
      <c r="BX269" s="717"/>
      <c r="BY269" s="7"/>
      <c r="BZ269" s="7"/>
      <c r="CA269" s="8"/>
      <c r="CB269" s="7"/>
      <c r="CC269" s="717"/>
      <c r="CD269" s="7"/>
      <c r="CE269" s="7"/>
      <c r="CF269" s="8"/>
      <c r="CG269" s="717"/>
      <c r="CH269" s="717"/>
      <c r="CI269" s="717"/>
      <c r="CJ269" s="717"/>
      <c r="CK269" s="8"/>
      <c r="CL269" s="7"/>
      <c r="CM269" s="7"/>
      <c r="CN269" s="7"/>
      <c r="CO269" s="7"/>
      <c r="CP269" s="8"/>
      <c r="CQ269" s="7"/>
      <c r="CR269" s="7"/>
      <c r="CS269" s="7"/>
      <c r="CT269" s="7"/>
      <c r="CU269" s="8"/>
      <c r="CV269" s="7"/>
      <c r="CW269" s="7"/>
      <c r="CX269" s="7"/>
      <c r="CY269" s="7"/>
      <c r="CZ269" s="8"/>
      <c r="DA269" s="7"/>
      <c r="DB269" s="7"/>
      <c r="DC269" s="7"/>
      <c r="DD269" s="7"/>
      <c r="DE269" s="8"/>
      <c r="DF269" s="7"/>
      <c r="DG269" s="1057"/>
      <c r="DH269" s="1057"/>
      <c r="DI269" s="7"/>
      <c r="DJ269" s="8"/>
      <c r="DK269" s="7"/>
      <c r="DL269" s="7"/>
      <c r="DM269" s="7"/>
      <c r="DN269" s="7"/>
      <c r="DO269" s="8"/>
      <c r="DP269" s="7"/>
      <c r="DQ269" s="7"/>
      <c r="DR269" s="7"/>
      <c r="DS269" s="7"/>
      <c r="DT269" s="8"/>
      <c r="DU269" s="7"/>
      <c r="DV269" s="7"/>
      <c r="DW269" s="7"/>
      <c r="DX269" s="7"/>
      <c r="DY269" s="8"/>
      <c r="DZ269" s="8"/>
      <c r="EA269" s="8"/>
      <c r="EB269" s="8"/>
    </row>
    <row r="270" spans="1:132" s="202" customFormat="1" ht="12" customHeight="1">
      <c r="A270" s="68"/>
      <c r="B270" s="1" t="s">
        <v>345</v>
      </c>
      <c r="C270" s="8"/>
      <c r="D270" s="6"/>
      <c r="E270" s="6"/>
      <c r="F270" s="6"/>
      <c r="G270" s="6"/>
      <c r="H270" s="6"/>
      <c r="I270" s="6"/>
      <c r="J270" s="5"/>
      <c r="K270" s="5"/>
      <c r="L270" s="5"/>
      <c r="M270" s="5"/>
      <c r="N270" s="6"/>
      <c r="O270" s="5"/>
      <c r="P270" s="5"/>
      <c r="Q270" s="5"/>
      <c r="R270" s="5"/>
      <c r="S270" s="6"/>
      <c r="T270" s="5"/>
      <c r="U270" s="5"/>
      <c r="V270" s="5"/>
      <c r="W270" s="5"/>
      <c r="X270" s="6"/>
      <c r="Y270" s="5"/>
      <c r="Z270" s="5"/>
      <c r="AA270" s="5"/>
      <c r="AB270" s="5"/>
      <c r="AC270" s="6"/>
      <c r="AD270" s="5"/>
      <c r="AE270" s="5"/>
      <c r="AF270" s="5"/>
      <c r="AG270" s="5"/>
      <c r="AH270" s="6"/>
      <c r="AI270" s="5"/>
      <c r="AJ270" s="5"/>
      <c r="AK270" s="5"/>
      <c r="AL270" s="7"/>
      <c r="AM270" s="8"/>
      <c r="AN270" s="5"/>
      <c r="AO270" s="5"/>
      <c r="AP270" s="5"/>
      <c r="AQ270" s="7"/>
      <c r="AR270" s="8"/>
      <c r="AS270" s="7"/>
      <c r="AT270" s="7"/>
      <c r="AU270" s="7"/>
      <c r="AV270" s="7"/>
      <c r="AW270" s="8"/>
      <c r="AX270" s="7"/>
      <c r="AY270" s="7"/>
      <c r="AZ270" s="7"/>
      <c r="BA270" s="7"/>
      <c r="BB270" s="8"/>
      <c r="BC270" s="7"/>
      <c r="BD270" s="7"/>
      <c r="BE270" s="7"/>
      <c r="BF270" s="7"/>
      <c r="BG270" s="8"/>
      <c r="BH270" s="7"/>
      <c r="BI270" s="717"/>
      <c r="BJ270" s="7"/>
      <c r="BK270" s="7"/>
      <c r="BL270" s="8"/>
      <c r="BM270" s="7"/>
      <c r="BN270" s="717"/>
      <c r="BO270" s="7"/>
      <c r="BP270" s="7"/>
      <c r="BQ270" s="8"/>
      <c r="BR270" s="7"/>
      <c r="BS270" s="717"/>
      <c r="BT270" s="7"/>
      <c r="BU270" s="7"/>
      <c r="BV270" s="8"/>
      <c r="BW270" s="7"/>
      <c r="BX270" s="717"/>
      <c r="BY270" s="7"/>
      <c r="BZ270" s="7"/>
      <c r="CA270" s="8"/>
      <c r="CB270" s="7"/>
      <c r="CC270" s="717"/>
      <c r="CD270" s="7"/>
      <c r="CE270" s="7"/>
      <c r="CF270" s="8"/>
      <c r="CG270" s="717"/>
      <c r="CH270" s="717"/>
      <c r="CI270" s="717"/>
      <c r="CJ270" s="717"/>
      <c r="CK270" s="8"/>
      <c r="CL270" s="7"/>
      <c r="CM270" s="7"/>
      <c r="CN270" s="7"/>
      <c r="CO270" s="7"/>
      <c r="CP270" s="8"/>
      <c r="CQ270" s="7"/>
      <c r="CR270" s="7"/>
      <c r="CS270" s="7"/>
      <c r="CT270" s="7"/>
      <c r="CU270" s="8"/>
      <c r="CV270" s="7"/>
      <c r="CW270" s="7"/>
      <c r="CX270" s="7"/>
      <c r="CY270" s="7"/>
      <c r="CZ270" s="8"/>
      <c r="DA270" s="7"/>
      <c r="DB270" s="7"/>
      <c r="DC270" s="7"/>
      <c r="DD270" s="7"/>
      <c r="DE270" s="8"/>
      <c r="DF270" s="7"/>
      <c r="DG270" s="1057"/>
      <c r="DH270" s="1057"/>
      <c r="DI270" s="7"/>
      <c r="DJ270" s="8"/>
      <c r="DK270" s="7"/>
      <c r="DL270" s="7"/>
      <c r="DM270" s="7"/>
      <c r="DN270" s="7"/>
      <c r="DO270" s="8"/>
      <c r="DP270" s="7"/>
      <c r="DQ270" s="7"/>
      <c r="DR270" s="7"/>
      <c r="DS270" s="7"/>
      <c r="DT270" s="8"/>
      <c r="DU270" s="7"/>
      <c r="DV270" s="7"/>
      <c r="DW270" s="7"/>
      <c r="DX270" s="7"/>
      <c r="DY270" s="8"/>
      <c r="DZ270" s="8"/>
      <c r="EA270" s="8"/>
      <c r="EB270" s="8"/>
    </row>
    <row r="271" spans="1:132" s="115" customFormat="1" ht="12" customHeight="1">
      <c r="A271" s="198"/>
      <c r="B271" s="2" t="s">
        <v>282</v>
      </c>
      <c r="C271" s="11"/>
      <c r="D271" s="11">
        <f>C274</f>
        <v>0</v>
      </c>
      <c r="E271" s="11">
        <f>D274</f>
        <v>110.68999999999998</v>
      </c>
      <c r="F271" s="11">
        <f>E274</f>
        <v>41.789999999999978</v>
      </c>
      <c r="G271" s="11">
        <f>F274</f>
        <v>84.989999999999981</v>
      </c>
      <c r="H271" s="11"/>
      <c r="I271" s="11"/>
      <c r="J271" s="10"/>
      <c r="K271" s="10">
        <f>G274</f>
        <v>44.265499999999982</v>
      </c>
      <c r="L271" s="10">
        <f>K274</f>
        <v>39.889699999999984</v>
      </c>
      <c r="M271" s="10">
        <f>L274</f>
        <v>37.674143999999984</v>
      </c>
      <c r="N271" s="11">
        <f>I274</f>
        <v>0</v>
      </c>
      <c r="O271" s="9">
        <f>M274</f>
        <v>29.556643999999984</v>
      </c>
      <c r="P271" s="9">
        <f>O274</f>
        <v>20.656643999999986</v>
      </c>
      <c r="Q271" s="9">
        <f>P274</f>
        <v>50.385043999999986</v>
      </c>
      <c r="R271" s="9">
        <f>Q274</f>
        <v>36.71284399999999</v>
      </c>
      <c r="S271" s="11">
        <f>N274</f>
        <v>-14.708855999999999</v>
      </c>
      <c r="T271" s="9">
        <f>R274</f>
        <v>24.33934399999999</v>
      </c>
      <c r="U271" s="9">
        <f>T274</f>
        <v>18.889343999999991</v>
      </c>
      <c r="V271" s="9">
        <f>U274</f>
        <v>12.55574399999999</v>
      </c>
      <c r="W271" s="9"/>
      <c r="X271" s="11"/>
      <c r="Y271" s="9"/>
      <c r="Z271" s="9"/>
      <c r="AA271" s="9"/>
      <c r="AB271" s="9"/>
      <c r="AC271" s="11"/>
      <c r="AD271" s="9"/>
      <c r="AE271" s="9"/>
      <c r="AF271" s="9"/>
      <c r="AG271" s="9"/>
      <c r="AH271" s="11"/>
      <c r="AI271" s="9"/>
      <c r="AJ271" s="9"/>
      <c r="AK271" s="9"/>
      <c r="AL271" s="10"/>
      <c r="AM271" s="11"/>
      <c r="AN271" s="9"/>
      <c r="AO271" s="9"/>
      <c r="AP271" s="9"/>
      <c r="AQ271" s="10"/>
      <c r="AR271" s="11"/>
      <c r="AS271" s="9"/>
      <c r="AT271" s="9"/>
      <c r="AU271" s="9"/>
      <c r="AV271" s="10"/>
      <c r="AW271" s="11"/>
      <c r="AX271" s="9"/>
      <c r="AY271" s="9"/>
      <c r="AZ271" s="9"/>
      <c r="BA271" s="10"/>
      <c r="BB271" s="11"/>
      <c r="BC271" s="9"/>
      <c r="BD271" s="9"/>
      <c r="BE271" s="9"/>
      <c r="BF271" s="10"/>
      <c r="BG271" s="11"/>
      <c r="BH271" s="9"/>
      <c r="BI271" s="717"/>
      <c r="BJ271" s="9"/>
      <c r="BK271" s="10"/>
      <c r="BL271" s="11"/>
      <c r="BM271" s="9"/>
      <c r="BN271" s="717"/>
      <c r="BO271" s="9"/>
      <c r="BP271" s="10"/>
      <c r="BQ271" s="11"/>
      <c r="BR271" s="9"/>
      <c r="BS271" s="717"/>
      <c r="BT271" s="9"/>
      <c r="BU271" s="10"/>
      <c r="BV271" s="11"/>
      <c r="BW271" s="9"/>
      <c r="BX271" s="717"/>
      <c r="BY271" s="9"/>
      <c r="BZ271" s="10"/>
      <c r="CA271" s="11"/>
      <c r="CB271" s="9"/>
      <c r="CC271" s="717"/>
      <c r="CD271" s="9"/>
      <c r="CE271" s="10"/>
      <c r="CF271" s="11"/>
      <c r="CG271" s="717"/>
      <c r="CH271" s="717"/>
      <c r="CI271" s="717"/>
      <c r="CJ271" s="717"/>
      <c r="CK271" s="11"/>
      <c r="CL271" s="10"/>
      <c r="CM271" s="10"/>
      <c r="CN271" s="10"/>
      <c r="CO271" s="10"/>
      <c r="CP271" s="11"/>
      <c r="CQ271" s="10"/>
      <c r="CR271" s="10"/>
      <c r="CS271" s="10"/>
      <c r="CT271" s="10"/>
      <c r="CU271" s="11"/>
      <c r="CV271" s="10"/>
      <c r="CW271" s="10"/>
      <c r="CX271" s="10"/>
      <c r="CY271" s="10"/>
      <c r="CZ271" s="11"/>
      <c r="DA271" s="10"/>
      <c r="DB271" s="10"/>
      <c r="DC271" s="10"/>
      <c r="DD271" s="10"/>
      <c r="DE271" s="11"/>
      <c r="DF271" s="10"/>
      <c r="DG271" s="393"/>
      <c r="DH271" s="393"/>
      <c r="DI271" s="10"/>
      <c r="DJ271" s="11"/>
      <c r="DK271" s="10"/>
      <c r="DL271" s="10"/>
      <c r="DM271" s="10"/>
      <c r="DN271" s="10"/>
      <c r="DO271" s="11"/>
      <c r="DP271" s="10"/>
      <c r="DQ271" s="10"/>
      <c r="DR271" s="10"/>
      <c r="DS271" s="10"/>
      <c r="DT271" s="11"/>
      <c r="DU271" s="10"/>
      <c r="DV271" s="10"/>
      <c r="DW271" s="10"/>
      <c r="DX271" s="10"/>
      <c r="DY271" s="11"/>
      <c r="DZ271" s="11"/>
      <c r="EA271" s="11"/>
      <c r="EB271" s="11"/>
    </row>
    <row r="272" spans="1:132" s="115" customFormat="1" ht="12" customHeight="1">
      <c r="A272" s="198"/>
      <c r="B272" s="2" t="s">
        <v>283</v>
      </c>
      <c r="C272" s="11"/>
      <c r="D272" s="11"/>
      <c r="E272" s="11"/>
      <c r="F272" s="11"/>
      <c r="G272" s="11"/>
      <c r="H272" s="11"/>
      <c r="I272" s="11"/>
      <c r="J272" s="10"/>
      <c r="K272" s="10"/>
      <c r="L272" s="10"/>
      <c r="M272" s="10"/>
      <c r="N272" s="11">
        <f>SUM(J272:M272)</f>
        <v>0</v>
      </c>
      <c r="O272" s="10"/>
      <c r="P272" s="10"/>
      <c r="Q272" s="10"/>
      <c r="R272" s="10"/>
      <c r="S272" s="11">
        <f>SUM(O272:R272)</f>
        <v>0</v>
      </c>
      <c r="T272" s="10"/>
      <c r="U272" s="10"/>
      <c r="V272" s="10">
        <f>-V271</f>
        <v>-12.55574399999999</v>
      </c>
      <c r="W272" s="10"/>
      <c r="X272" s="11"/>
      <c r="Y272" s="10"/>
      <c r="Z272" s="10"/>
      <c r="AA272" s="10"/>
      <c r="AB272" s="10"/>
      <c r="AC272" s="11"/>
      <c r="AD272" s="10"/>
      <c r="AE272" s="10"/>
      <c r="AF272" s="10"/>
      <c r="AG272" s="10"/>
      <c r="AH272" s="11"/>
      <c r="AI272" s="10"/>
      <c r="AJ272" s="10"/>
      <c r="AK272" s="10"/>
      <c r="AL272" s="10"/>
      <c r="AM272" s="11"/>
      <c r="AN272" s="10"/>
      <c r="AO272" s="10"/>
      <c r="AP272" s="10"/>
      <c r="AQ272" s="10"/>
      <c r="AR272" s="11"/>
      <c r="AS272" s="10"/>
      <c r="AT272" s="10"/>
      <c r="AU272" s="10"/>
      <c r="AV272" s="10"/>
      <c r="AW272" s="11"/>
      <c r="AX272" s="10"/>
      <c r="AY272" s="10"/>
      <c r="AZ272" s="10"/>
      <c r="BA272" s="10"/>
      <c r="BB272" s="11"/>
      <c r="BC272" s="10"/>
      <c r="BD272" s="10"/>
      <c r="BE272" s="10"/>
      <c r="BF272" s="10"/>
      <c r="BG272" s="11"/>
      <c r="BH272" s="10"/>
      <c r="BI272" s="717"/>
      <c r="BJ272" s="10"/>
      <c r="BK272" s="10"/>
      <c r="BL272" s="11"/>
      <c r="BM272" s="10"/>
      <c r="BN272" s="717"/>
      <c r="BO272" s="10"/>
      <c r="BP272" s="10"/>
      <c r="BQ272" s="11"/>
      <c r="BR272" s="10"/>
      <c r="BS272" s="717"/>
      <c r="BT272" s="10"/>
      <c r="BU272" s="10"/>
      <c r="BV272" s="11"/>
      <c r="BW272" s="10"/>
      <c r="BX272" s="717"/>
      <c r="BY272" s="10"/>
      <c r="BZ272" s="10"/>
      <c r="CA272" s="11"/>
      <c r="CB272" s="10"/>
      <c r="CC272" s="717"/>
      <c r="CD272" s="10"/>
      <c r="CE272" s="10"/>
      <c r="CF272" s="11"/>
      <c r="CG272" s="717"/>
      <c r="CH272" s="717"/>
      <c r="CI272" s="717"/>
      <c r="CJ272" s="717"/>
      <c r="CK272" s="11"/>
      <c r="CL272" s="10"/>
      <c r="CM272" s="10"/>
      <c r="CN272" s="10"/>
      <c r="CO272" s="10"/>
      <c r="CP272" s="11"/>
      <c r="CQ272" s="10"/>
      <c r="CR272" s="10"/>
      <c r="CS272" s="10"/>
      <c r="CT272" s="10"/>
      <c r="CU272" s="11"/>
      <c r="CV272" s="10"/>
      <c r="CW272" s="10"/>
      <c r="CX272" s="10"/>
      <c r="CY272" s="10"/>
      <c r="CZ272" s="11"/>
      <c r="DA272" s="10"/>
      <c r="DB272" s="10"/>
      <c r="DC272" s="10"/>
      <c r="DD272" s="10"/>
      <c r="DE272" s="11"/>
      <c r="DF272" s="10"/>
      <c r="DG272" s="393"/>
      <c r="DH272" s="393"/>
      <c r="DI272" s="10"/>
      <c r="DJ272" s="11"/>
      <c r="DK272" s="10"/>
      <c r="DL272" s="10"/>
      <c r="DM272" s="10"/>
      <c r="DN272" s="10"/>
      <c r="DO272" s="11"/>
      <c r="DP272" s="10"/>
      <c r="DQ272" s="10"/>
      <c r="DR272" s="10"/>
      <c r="DS272" s="10"/>
      <c r="DT272" s="11"/>
      <c r="DU272" s="10"/>
      <c r="DV272" s="10"/>
      <c r="DW272" s="10"/>
      <c r="DX272" s="10"/>
      <c r="DY272" s="11"/>
      <c r="DZ272" s="11"/>
      <c r="EA272" s="11"/>
      <c r="EB272" s="11"/>
    </row>
    <row r="273" spans="1:132" s="115" customFormat="1" ht="12" customHeight="1">
      <c r="A273" s="198"/>
      <c r="B273" s="2" t="s">
        <v>284</v>
      </c>
      <c r="C273" s="11"/>
      <c r="D273" s="11">
        <v>145.88999999999999</v>
      </c>
      <c r="E273" s="11"/>
      <c r="F273" s="11">
        <v>85</v>
      </c>
      <c r="G273" s="11"/>
      <c r="H273" s="11"/>
      <c r="I273" s="11"/>
      <c r="J273" s="10"/>
      <c r="K273" s="10"/>
      <c r="L273" s="10"/>
      <c r="M273" s="10"/>
      <c r="N273" s="11">
        <f>SUM(J273:M273)</f>
        <v>0</v>
      </c>
      <c r="O273" s="10"/>
      <c r="P273" s="10">
        <v>40</v>
      </c>
      <c r="Q273" s="10"/>
      <c r="R273" s="10"/>
      <c r="S273" s="11">
        <f>SUM(O273:R273)</f>
        <v>40</v>
      </c>
      <c r="T273" s="10"/>
      <c r="U273" s="10"/>
      <c r="V273" s="10"/>
      <c r="W273" s="10"/>
      <c r="X273" s="11"/>
      <c r="Y273" s="10"/>
      <c r="Z273" s="10"/>
      <c r="AA273" s="10"/>
      <c r="AB273" s="10"/>
      <c r="AC273" s="11"/>
      <c r="AD273" s="10"/>
      <c r="AE273" s="10"/>
      <c r="AF273" s="10"/>
      <c r="AG273" s="10"/>
      <c r="AH273" s="11"/>
      <c r="AI273" s="10"/>
      <c r="AJ273" s="10"/>
      <c r="AK273" s="10"/>
      <c r="AL273" s="10"/>
      <c r="AM273" s="11"/>
      <c r="AN273" s="10"/>
      <c r="AO273" s="10"/>
      <c r="AP273" s="10"/>
      <c r="AQ273" s="10"/>
      <c r="AR273" s="11"/>
      <c r="AS273" s="10"/>
      <c r="AT273" s="10"/>
      <c r="AU273" s="10"/>
      <c r="AV273" s="10"/>
      <c r="AW273" s="11"/>
      <c r="AX273" s="10"/>
      <c r="AY273" s="10"/>
      <c r="AZ273" s="10"/>
      <c r="BA273" s="10"/>
      <c r="BB273" s="11"/>
      <c r="BC273" s="10"/>
      <c r="BD273" s="10"/>
      <c r="BE273" s="10"/>
      <c r="BF273" s="10"/>
      <c r="BG273" s="11"/>
      <c r="BH273" s="10"/>
      <c r="BI273" s="717"/>
      <c r="BJ273" s="10"/>
      <c r="BK273" s="10"/>
      <c r="BL273" s="11"/>
      <c r="BM273" s="10"/>
      <c r="BN273" s="717"/>
      <c r="BO273" s="10"/>
      <c r="BP273" s="10"/>
      <c r="BQ273" s="11"/>
      <c r="BR273" s="10"/>
      <c r="BS273" s="717"/>
      <c r="BT273" s="10"/>
      <c r="BU273" s="10"/>
      <c r="BV273" s="11"/>
      <c r="BW273" s="10"/>
      <c r="BX273" s="717"/>
      <c r="BY273" s="10"/>
      <c r="BZ273" s="10"/>
      <c r="CA273" s="11"/>
      <c r="CB273" s="10"/>
      <c r="CC273" s="717"/>
      <c r="CD273" s="10"/>
      <c r="CE273" s="10"/>
      <c r="CF273" s="11"/>
      <c r="CG273" s="717"/>
      <c r="CH273" s="717"/>
      <c r="CI273" s="717"/>
      <c r="CJ273" s="717"/>
      <c r="CK273" s="11"/>
      <c r="CL273" s="10"/>
      <c r="CM273" s="10"/>
      <c r="CN273" s="10"/>
      <c r="CO273" s="10"/>
      <c r="CP273" s="11"/>
      <c r="CQ273" s="10"/>
      <c r="CR273" s="10"/>
      <c r="CS273" s="10"/>
      <c r="CT273" s="10"/>
      <c r="CU273" s="11"/>
      <c r="CV273" s="10"/>
      <c r="CW273" s="10"/>
      <c r="CX273" s="10"/>
      <c r="CY273" s="10"/>
      <c r="CZ273" s="11"/>
      <c r="DA273" s="10"/>
      <c r="DB273" s="10"/>
      <c r="DC273" s="10"/>
      <c r="DD273" s="10"/>
      <c r="DE273" s="11"/>
      <c r="DF273" s="10"/>
      <c r="DG273" s="393"/>
      <c r="DH273" s="393"/>
      <c r="DI273" s="10"/>
      <c r="DJ273" s="11"/>
      <c r="DK273" s="10"/>
      <c r="DL273" s="10"/>
      <c r="DM273" s="10"/>
      <c r="DN273" s="10"/>
      <c r="DO273" s="11"/>
      <c r="DP273" s="10"/>
      <c r="DQ273" s="10"/>
      <c r="DR273" s="10"/>
      <c r="DS273" s="10"/>
      <c r="DT273" s="11"/>
      <c r="DU273" s="10"/>
      <c r="DV273" s="10"/>
      <c r="DW273" s="10"/>
      <c r="DX273" s="10"/>
      <c r="DY273" s="11"/>
      <c r="DZ273" s="11"/>
      <c r="EA273" s="11"/>
      <c r="EB273" s="11"/>
    </row>
    <row r="274" spans="1:132" s="115" customFormat="1" ht="12" customHeight="1">
      <c r="A274" s="198"/>
      <c r="B274" s="2" t="s">
        <v>355</v>
      </c>
      <c r="C274" s="11"/>
      <c r="D274" s="11">
        <f>D271+D272+D273-D267</f>
        <v>110.68999999999998</v>
      </c>
      <c r="E274" s="11">
        <f t="shared" ref="E274:U274" si="643">E271+E272+E273-E267</f>
        <v>41.789999999999978</v>
      </c>
      <c r="F274" s="11">
        <f t="shared" si="643"/>
        <v>84.989999999999981</v>
      </c>
      <c r="G274" s="11">
        <f t="shared" si="643"/>
        <v>44.265499999999982</v>
      </c>
      <c r="H274" s="11">
        <f t="shared" si="643"/>
        <v>0</v>
      </c>
      <c r="I274" s="11">
        <f t="shared" si="643"/>
        <v>0</v>
      </c>
      <c r="J274" s="10">
        <f t="shared" si="643"/>
        <v>0</v>
      </c>
      <c r="K274" s="10">
        <f t="shared" si="643"/>
        <v>39.889699999999984</v>
      </c>
      <c r="L274" s="10">
        <f t="shared" si="643"/>
        <v>37.674143999999984</v>
      </c>
      <c r="M274" s="10">
        <f t="shared" si="643"/>
        <v>29.556643999999984</v>
      </c>
      <c r="N274" s="11">
        <f t="shared" si="643"/>
        <v>-14.708855999999999</v>
      </c>
      <c r="O274" s="10">
        <f t="shared" si="643"/>
        <v>20.656643999999986</v>
      </c>
      <c r="P274" s="10">
        <f t="shared" si="643"/>
        <v>50.385043999999986</v>
      </c>
      <c r="Q274" s="10">
        <f t="shared" si="643"/>
        <v>36.71284399999999</v>
      </c>
      <c r="R274" s="10">
        <f t="shared" si="643"/>
        <v>24.33934399999999</v>
      </c>
      <c r="S274" s="11">
        <f t="shared" si="643"/>
        <v>-19.926155999999999</v>
      </c>
      <c r="T274" s="10">
        <f t="shared" si="643"/>
        <v>18.889343999999991</v>
      </c>
      <c r="U274" s="10">
        <f t="shared" si="643"/>
        <v>12.55574399999999</v>
      </c>
      <c r="V274" s="10">
        <f>V271+V272+V273</f>
        <v>0</v>
      </c>
      <c r="W274" s="10"/>
      <c r="X274" s="11"/>
      <c r="Y274" s="10"/>
      <c r="Z274" s="10"/>
      <c r="AA274" s="10"/>
      <c r="AB274" s="10"/>
      <c r="AC274" s="11"/>
      <c r="AD274" s="10"/>
      <c r="AE274" s="10"/>
      <c r="AF274" s="10"/>
      <c r="AG274" s="10"/>
      <c r="AH274" s="11"/>
      <c r="AI274" s="10"/>
      <c r="AJ274" s="10"/>
      <c r="AK274" s="10"/>
      <c r="AL274" s="10"/>
      <c r="AM274" s="11"/>
      <c r="AN274" s="10"/>
      <c r="AO274" s="10"/>
      <c r="AP274" s="10"/>
      <c r="AQ274" s="10"/>
      <c r="AR274" s="11"/>
      <c r="AS274" s="10"/>
      <c r="AT274" s="10"/>
      <c r="AU274" s="10"/>
      <c r="AV274" s="10"/>
      <c r="AW274" s="11"/>
      <c r="AX274" s="10"/>
      <c r="AY274" s="10"/>
      <c r="AZ274" s="10"/>
      <c r="BA274" s="10"/>
      <c r="BB274" s="11"/>
      <c r="BC274" s="10"/>
      <c r="BD274" s="10"/>
      <c r="BE274" s="10"/>
      <c r="BF274" s="10"/>
      <c r="BG274" s="11"/>
      <c r="BH274" s="10"/>
      <c r="BI274" s="717"/>
      <c r="BJ274" s="10"/>
      <c r="BK274" s="10"/>
      <c r="BL274" s="11"/>
      <c r="BM274" s="10"/>
      <c r="BN274" s="717"/>
      <c r="BO274" s="10"/>
      <c r="BP274" s="10"/>
      <c r="BQ274" s="11"/>
      <c r="BR274" s="10"/>
      <c r="BS274" s="717"/>
      <c r="BT274" s="10"/>
      <c r="BU274" s="10"/>
      <c r="BV274" s="11"/>
      <c r="BW274" s="10"/>
      <c r="BX274" s="717"/>
      <c r="BY274" s="10"/>
      <c r="BZ274" s="10"/>
      <c r="CA274" s="11"/>
      <c r="CB274" s="10"/>
      <c r="CC274" s="717"/>
      <c r="CD274" s="10"/>
      <c r="CE274" s="10"/>
      <c r="CF274" s="11"/>
      <c r="CG274" s="717"/>
      <c r="CH274" s="717"/>
      <c r="CI274" s="717"/>
      <c r="CJ274" s="717"/>
      <c r="CK274" s="11"/>
      <c r="CL274" s="10"/>
      <c r="CM274" s="10"/>
      <c r="CN274" s="10"/>
      <c r="CO274" s="10"/>
      <c r="CP274" s="11"/>
      <c r="CQ274" s="10"/>
      <c r="CR274" s="10"/>
      <c r="CS274" s="10"/>
      <c r="CT274" s="10"/>
      <c r="CU274" s="11"/>
      <c r="CV274" s="10"/>
      <c r="CW274" s="10"/>
      <c r="CX274" s="10"/>
      <c r="CY274" s="10"/>
      <c r="CZ274" s="11"/>
      <c r="DA274" s="10"/>
      <c r="DB274" s="10"/>
      <c r="DC274" s="10"/>
      <c r="DD274" s="10"/>
      <c r="DE274" s="11"/>
      <c r="DF274" s="10"/>
      <c r="DG274" s="393"/>
      <c r="DH274" s="393"/>
      <c r="DI274" s="10"/>
      <c r="DJ274" s="11"/>
      <c r="DK274" s="10"/>
      <c r="DL274" s="10"/>
      <c r="DM274" s="10"/>
      <c r="DN274" s="10"/>
      <c r="DO274" s="11"/>
      <c r="DP274" s="10"/>
      <c r="DQ274" s="10"/>
      <c r="DR274" s="10"/>
      <c r="DS274" s="10"/>
      <c r="DT274" s="11"/>
      <c r="DU274" s="10"/>
      <c r="DV274" s="10"/>
      <c r="DW274" s="10"/>
      <c r="DX274" s="10"/>
      <c r="DY274" s="11"/>
      <c r="DZ274" s="11"/>
      <c r="EA274" s="11"/>
      <c r="EB274" s="11"/>
    </row>
    <row r="275" spans="1:132" s="115" customFormat="1" ht="12" customHeight="1">
      <c r="A275" s="198"/>
      <c r="B275" s="46"/>
      <c r="C275" s="11"/>
      <c r="D275" s="11"/>
      <c r="E275" s="11"/>
      <c r="F275" s="11"/>
      <c r="G275" s="11"/>
      <c r="H275" s="11"/>
      <c r="I275" s="11"/>
      <c r="J275" s="10"/>
      <c r="K275" s="10"/>
      <c r="L275" s="10"/>
      <c r="M275" s="10"/>
      <c r="N275" s="11"/>
      <c r="O275" s="10"/>
      <c r="P275" s="10"/>
      <c r="Q275" s="10"/>
      <c r="R275" s="10"/>
      <c r="S275" s="11"/>
      <c r="T275" s="10"/>
      <c r="U275" s="10"/>
      <c r="V275" s="10"/>
      <c r="W275" s="10"/>
      <c r="X275" s="11"/>
      <c r="Y275" s="10"/>
      <c r="Z275" s="10"/>
      <c r="AA275" s="10"/>
      <c r="AB275" s="10"/>
      <c r="AC275" s="11"/>
      <c r="AD275" s="10"/>
      <c r="AE275" s="10"/>
      <c r="AF275" s="10"/>
      <c r="AG275" s="10"/>
      <c r="AH275" s="11"/>
      <c r="AI275" s="10"/>
      <c r="AJ275" s="10"/>
      <c r="AK275" s="10"/>
      <c r="AL275" s="10"/>
      <c r="AM275" s="11"/>
      <c r="AN275" s="10"/>
      <c r="AO275" s="10"/>
      <c r="AP275" s="10"/>
      <c r="AQ275" s="10"/>
      <c r="AR275" s="11"/>
      <c r="AS275" s="10"/>
      <c r="AT275" s="10"/>
      <c r="AU275" s="10"/>
      <c r="AV275" s="10"/>
      <c r="AW275" s="11"/>
      <c r="AX275" s="10"/>
      <c r="AY275" s="10"/>
      <c r="AZ275" s="10"/>
      <c r="BA275" s="10"/>
      <c r="BB275" s="11"/>
      <c r="BC275" s="10"/>
      <c r="BD275" s="10"/>
      <c r="BE275" s="10"/>
      <c r="BF275" s="10"/>
      <c r="BG275" s="11"/>
      <c r="BH275" s="10"/>
      <c r="BI275" s="717"/>
      <c r="BJ275" s="10"/>
      <c r="BK275" s="10"/>
      <c r="BL275" s="11"/>
      <c r="BM275" s="10"/>
      <c r="BN275" s="717"/>
      <c r="BO275" s="10"/>
      <c r="BP275" s="10"/>
      <c r="BQ275" s="11"/>
      <c r="BR275" s="10"/>
      <c r="BS275" s="717"/>
      <c r="BT275" s="10"/>
      <c r="BU275" s="10"/>
      <c r="BV275" s="11"/>
      <c r="BW275" s="10"/>
      <c r="BX275" s="717"/>
      <c r="BY275" s="10"/>
      <c r="BZ275" s="10"/>
      <c r="CA275" s="11"/>
      <c r="CB275" s="10"/>
      <c r="CC275" s="717"/>
      <c r="CD275" s="10"/>
      <c r="CE275" s="10"/>
      <c r="CF275" s="11"/>
      <c r="CG275" s="717"/>
      <c r="CH275" s="717"/>
      <c r="CI275" s="717"/>
      <c r="CJ275" s="717"/>
      <c r="CK275" s="11"/>
      <c r="CL275" s="10"/>
      <c r="CM275" s="10"/>
      <c r="CN275" s="10"/>
      <c r="CO275" s="10"/>
      <c r="CP275" s="11"/>
      <c r="CQ275" s="10"/>
      <c r="CR275" s="10"/>
      <c r="CS275" s="10"/>
      <c r="CT275" s="10"/>
      <c r="CU275" s="11"/>
      <c r="CV275" s="10"/>
      <c r="CW275" s="10"/>
      <c r="CX275" s="10"/>
      <c r="CY275" s="10"/>
      <c r="CZ275" s="11"/>
      <c r="DA275" s="10"/>
      <c r="DB275" s="10"/>
      <c r="DC275" s="10"/>
      <c r="DD275" s="10"/>
      <c r="DE275" s="11"/>
      <c r="DF275" s="10"/>
      <c r="DG275" s="393"/>
      <c r="DH275" s="393"/>
      <c r="DI275" s="10"/>
      <c r="DJ275" s="11"/>
      <c r="DK275" s="10"/>
      <c r="DL275" s="10"/>
      <c r="DM275" s="10"/>
      <c r="DN275" s="10"/>
      <c r="DO275" s="11"/>
      <c r="DP275" s="10"/>
      <c r="DQ275" s="10"/>
      <c r="DR275" s="10"/>
      <c r="DS275" s="10"/>
      <c r="DT275" s="11"/>
      <c r="DU275" s="10"/>
      <c r="DV275" s="10"/>
      <c r="DW275" s="10"/>
      <c r="DX275" s="10"/>
      <c r="DY275" s="11"/>
      <c r="DZ275" s="11"/>
      <c r="EA275" s="11"/>
      <c r="EB275" s="11"/>
    </row>
    <row r="276" spans="1:132" s="115" customFormat="1" ht="12" customHeight="1">
      <c r="A276" s="198"/>
      <c r="B276" s="1" t="s">
        <v>346</v>
      </c>
      <c r="C276" s="11"/>
      <c r="D276" s="11"/>
      <c r="E276" s="11"/>
      <c r="F276" s="11"/>
      <c r="G276" s="11"/>
      <c r="H276" s="11"/>
      <c r="I276" s="11"/>
      <c r="J276" s="10"/>
      <c r="K276" s="10"/>
      <c r="L276" s="10"/>
      <c r="M276" s="10"/>
      <c r="N276" s="11"/>
      <c r="O276" s="10"/>
      <c r="P276" s="10"/>
      <c r="Q276" s="10"/>
      <c r="R276" s="10"/>
      <c r="S276" s="11"/>
      <c r="T276" s="10"/>
      <c r="U276" s="10"/>
      <c r="V276" s="10"/>
      <c r="W276" s="10"/>
      <c r="X276" s="11"/>
      <c r="Y276" s="10"/>
      <c r="Z276" s="10"/>
      <c r="AA276" s="10"/>
      <c r="AB276" s="10"/>
      <c r="AC276" s="11"/>
      <c r="AD276" s="10"/>
      <c r="AE276" s="10"/>
      <c r="AF276" s="10"/>
      <c r="AG276" s="10"/>
      <c r="AH276" s="11"/>
      <c r="AI276" s="10"/>
      <c r="AJ276" s="10"/>
      <c r="AK276" s="10"/>
      <c r="AL276" s="10"/>
      <c r="AM276" s="11"/>
      <c r="AN276" s="10"/>
      <c r="AO276" s="10"/>
      <c r="AP276" s="10"/>
      <c r="AQ276" s="10"/>
      <c r="AR276" s="11"/>
      <c r="AS276" s="10"/>
      <c r="AT276" s="10"/>
      <c r="AU276" s="10"/>
      <c r="AV276" s="10"/>
      <c r="AW276" s="11"/>
      <c r="AX276" s="10"/>
      <c r="AY276" s="10"/>
      <c r="AZ276" s="10"/>
      <c r="BA276" s="10"/>
      <c r="BB276" s="11"/>
      <c r="BC276" s="10"/>
      <c r="BD276" s="10"/>
      <c r="BE276" s="10"/>
      <c r="BF276" s="10"/>
      <c r="BG276" s="11"/>
      <c r="BH276" s="10"/>
      <c r="BI276" s="717"/>
      <c r="BJ276" s="10"/>
      <c r="BK276" s="10"/>
      <c r="BL276" s="11"/>
      <c r="BM276" s="10"/>
      <c r="BN276" s="717"/>
      <c r="BO276" s="10"/>
      <c r="BP276" s="10"/>
      <c r="BQ276" s="11"/>
      <c r="BR276" s="10"/>
      <c r="BS276" s="717"/>
      <c r="BT276" s="10"/>
      <c r="BU276" s="10"/>
      <c r="BV276" s="11"/>
      <c r="BW276" s="10"/>
      <c r="BX276" s="717"/>
      <c r="BY276" s="10"/>
      <c r="BZ276" s="10"/>
      <c r="CA276" s="11"/>
      <c r="CB276" s="10"/>
      <c r="CC276" s="717"/>
      <c r="CD276" s="10"/>
      <c r="CE276" s="10"/>
      <c r="CF276" s="11"/>
      <c r="CG276" s="717"/>
      <c r="CH276" s="717"/>
      <c r="CI276" s="717"/>
      <c r="CJ276" s="717"/>
      <c r="CK276" s="11"/>
      <c r="CL276" s="10"/>
      <c r="CM276" s="10"/>
      <c r="CN276" s="10"/>
      <c r="CO276" s="10"/>
      <c r="CP276" s="11"/>
      <c r="CQ276" s="10"/>
      <c r="CR276" s="10"/>
      <c r="CS276" s="10"/>
      <c r="CT276" s="10"/>
      <c r="CU276" s="11"/>
      <c r="CV276" s="10"/>
      <c r="CW276" s="10"/>
      <c r="CX276" s="10"/>
      <c r="CY276" s="10"/>
      <c r="CZ276" s="11"/>
      <c r="DA276" s="10"/>
      <c r="DB276" s="10"/>
      <c r="DC276" s="10"/>
      <c r="DD276" s="10"/>
      <c r="DE276" s="11"/>
      <c r="DF276" s="10"/>
      <c r="DG276" s="393"/>
      <c r="DH276" s="393"/>
      <c r="DI276" s="10"/>
      <c r="DJ276" s="11"/>
      <c r="DK276" s="10"/>
      <c r="DL276" s="10"/>
      <c r="DM276" s="10"/>
      <c r="DN276" s="10"/>
      <c r="DO276" s="11"/>
      <c r="DP276" s="10"/>
      <c r="DQ276" s="10"/>
      <c r="DR276" s="10"/>
      <c r="DS276" s="10"/>
      <c r="DT276" s="11"/>
      <c r="DU276" s="10"/>
      <c r="DV276" s="10"/>
      <c r="DW276" s="10"/>
      <c r="DX276" s="10"/>
      <c r="DY276" s="11"/>
      <c r="DZ276" s="11"/>
      <c r="EA276" s="11"/>
      <c r="EB276" s="11"/>
    </row>
    <row r="277" spans="1:132" s="115" customFormat="1" ht="12" customHeight="1">
      <c r="A277" s="198"/>
      <c r="B277" s="2" t="s">
        <v>282</v>
      </c>
      <c r="C277" s="11"/>
      <c r="D277" s="11"/>
      <c r="E277" s="11"/>
      <c r="F277" s="11"/>
      <c r="G277" s="11"/>
      <c r="H277" s="11"/>
      <c r="I277" s="11"/>
      <c r="J277" s="10"/>
      <c r="K277" s="10"/>
      <c r="L277" s="10"/>
      <c r="M277" s="10"/>
      <c r="N277" s="11"/>
      <c r="O277" s="10"/>
      <c r="P277" s="10"/>
      <c r="Q277" s="10"/>
      <c r="R277" s="10"/>
      <c r="S277" s="11"/>
      <c r="T277" s="10"/>
      <c r="U277" s="10"/>
      <c r="V277" s="10">
        <v>0</v>
      </c>
      <c r="W277" s="10">
        <f>V280</f>
        <v>2818.2282850000001</v>
      </c>
      <c r="X277" s="11">
        <f>W280-X279+X278+X266</f>
        <v>931.07583141000032</v>
      </c>
      <c r="Y277" s="10">
        <f>X280</f>
        <v>2374.4583110000003</v>
      </c>
      <c r="Z277" s="10">
        <f>Y280</f>
        <v>2012.4888580000004</v>
      </c>
      <c r="AA277" s="10">
        <f>Z280</f>
        <v>1392.2435200000004</v>
      </c>
      <c r="AB277" s="10">
        <f>AA280</f>
        <v>486.62295323000046</v>
      </c>
      <c r="AC277" s="11">
        <f>X280</f>
        <v>2374.4583110000003</v>
      </c>
      <c r="AD277" s="10">
        <f>AC280</f>
        <v>6596.8079801500007</v>
      </c>
      <c r="AE277" s="10">
        <f>AD280</f>
        <v>5357.4150358000006</v>
      </c>
      <c r="AF277" s="10">
        <f>AE280</f>
        <v>4498.3825604000003</v>
      </c>
      <c r="AG277" s="10">
        <f>AF280</f>
        <v>3995.0867053000002</v>
      </c>
      <c r="AH277" s="11">
        <f>AC280</f>
        <v>6596.8079801500007</v>
      </c>
      <c r="AI277" s="10">
        <f>AH280</f>
        <v>3660.0635137000008</v>
      </c>
      <c r="AJ277" s="10">
        <f>AI280</f>
        <v>3609.6883668200007</v>
      </c>
      <c r="AK277" s="10">
        <f>AJ280</f>
        <v>3609.6883668200007</v>
      </c>
      <c r="AL277" s="10">
        <f>AK280</f>
        <v>3609.6883668200007</v>
      </c>
      <c r="AM277" s="11">
        <f>AH280</f>
        <v>3660.0635137000008</v>
      </c>
      <c r="AN277" s="10">
        <f>AM280</f>
        <v>3609.6883668200007</v>
      </c>
      <c r="AO277" s="10">
        <f>AN280</f>
        <v>3609.6883668200007</v>
      </c>
      <c r="AP277" s="10">
        <f>AO280</f>
        <v>3609.6883668200007</v>
      </c>
      <c r="AQ277" s="10">
        <f>AP280</f>
        <v>3609.6883668200007</v>
      </c>
      <c r="AR277" s="11">
        <f>AM280</f>
        <v>3609.6883668200007</v>
      </c>
      <c r="AS277" s="10">
        <f>AR280</f>
        <v>3609.6883668200007</v>
      </c>
      <c r="AT277" s="10">
        <f>AS280</f>
        <v>3609.6883668200007</v>
      </c>
      <c r="AU277" s="10">
        <f>AT280</f>
        <v>3609.6883668200007</v>
      </c>
      <c r="AV277" s="10">
        <f>AU280</f>
        <v>3609.6883668200007</v>
      </c>
      <c r="AW277" s="11">
        <f>AR280</f>
        <v>3609.6883668200007</v>
      </c>
      <c r="AX277" s="10">
        <f>AW280</f>
        <v>3609.6883668200007</v>
      </c>
      <c r="AY277" s="10">
        <f>AX280</f>
        <v>3609.6883668200007</v>
      </c>
      <c r="AZ277" s="10">
        <f>AY280</f>
        <v>3609.6883668200007</v>
      </c>
      <c r="BA277" s="10">
        <f>AZ280</f>
        <v>3609.6883668200007</v>
      </c>
      <c r="BB277" s="11">
        <f>AW280</f>
        <v>3609.6883668200007</v>
      </c>
      <c r="BC277" s="10">
        <f>BB280</f>
        <v>3609.6883668200007</v>
      </c>
      <c r="BD277" s="10">
        <f>BC280</f>
        <v>3609.6883668200007</v>
      </c>
      <c r="BE277" s="10">
        <f>BD280</f>
        <v>2603.328923420001</v>
      </c>
      <c r="BF277" s="10">
        <f>BE280</f>
        <v>1801.6202707900011</v>
      </c>
      <c r="BG277" s="11">
        <f>BF277</f>
        <v>1801.6202707900011</v>
      </c>
      <c r="BH277" s="10">
        <f>BG280</f>
        <v>10800.694641130001</v>
      </c>
      <c r="BI277" s="10">
        <f>BH280</f>
        <v>8299.0185630500018</v>
      </c>
      <c r="BJ277" s="10">
        <f>BI280</f>
        <v>6801.5348504500016</v>
      </c>
      <c r="BK277" s="10">
        <f>BJ280</f>
        <v>5799.3432584300017</v>
      </c>
      <c r="BL277" s="11">
        <f>BK277</f>
        <v>5799.3432584300017</v>
      </c>
      <c r="BM277" s="10">
        <f>BL280</f>
        <v>12000</v>
      </c>
      <c r="BN277" s="10">
        <f>BM280</f>
        <v>9500.744632760001</v>
      </c>
      <c r="BO277" s="10">
        <f>BN280</f>
        <v>7500.5893747100017</v>
      </c>
      <c r="BP277" s="10">
        <f>BO280</f>
        <v>6000.3272179100022</v>
      </c>
      <c r="BQ277" s="11">
        <f>BP277</f>
        <v>6000.3272179100022</v>
      </c>
      <c r="BR277" s="10">
        <f>BQ280</f>
        <v>14000.188394990002</v>
      </c>
      <c r="BS277" s="10">
        <f>BR280</f>
        <v>10499.945512430002</v>
      </c>
      <c r="BT277" s="10">
        <f>BS280</f>
        <v>8499.6624534300026</v>
      </c>
      <c r="BU277" s="10">
        <f>BT280</f>
        <v>7499.5870995100031</v>
      </c>
      <c r="BV277" s="11">
        <f>BU277</f>
        <v>7499.5870995100031</v>
      </c>
      <c r="BW277" s="10">
        <f>BV280</f>
        <v>14000.425604570002</v>
      </c>
      <c r="BX277" s="10">
        <f>BW280</f>
        <v>11497.006230160003</v>
      </c>
      <c r="BY277" s="10">
        <f>BX280</f>
        <v>8997.0801874700028</v>
      </c>
      <c r="BZ277" s="10">
        <f>BY280</f>
        <v>6491.137852220003</v>
      </c>
      <c r="CA277" s="11">
        <f>BZ277</f>
        <v>6491.137852220003</v>
      </c>
      <c r="CB277" s="10">
        <f>CA280</f>
        <v>18003.64803027</v>
      </c>
      <c r="CC277" s="10">
        <f>CB280</f>
        <v>14999.78371503</v>
      </c>
      <c r="CD277" s="10">
        <f>CC280</f>
        <v>12035.289351490001</v>
      </c>
      <c r="CE277" s="10">
        <f>CD280</f>
        <v>9585.3539237100013</v>
      </c>
      <c r="CF277" s="11">
        <f>CE277</f>
        <v>9585.3539237100013</v>
      </c>
      <c r="CG277" s="10">
        <f>CF280</f>
        <v>20000.219922750002</v>
      </c>
      <c r="CH277" s="10">
        <f>CG280</f>
        <v>17649.06594303</v>
      </c>
      <c r="CI277" s="10">
        <f>CH280</f>
        <v>17338.705465790001</v>
      </c>
      <c r="CJ277" s="10">
        <f>CI280</f>
        <v>17338.705465790001</v>
      </c>
      <c r="CK277" s="11">
        <f>CJ277</f>
        <v>17338.705465790001</v>
      </c>
      <c r="CL277" s="10">
        <f>CK280</f>
        <v>17338.705465790001</v>
      </c>
      <c r="CM277" s="10">
        <f>CL280</f>
        <v>0</v>
      </c>
      <c r="CN277" s="10">
        <f>CM280</f>
        <v>0</v>
      </c>
      <c r="CO277" s="10">
        <f>CN280</f>
        <v>0</v>
      </c>
      <c r="CP277" s="11">
        <f>CO277</f>
        <v>0</v>
      </c>
      <c r="CQ277" s="10">
        <f>CP280</f>
        <v>0</v>
      </c>
      <c r="CR277" s="10">
        <f>CQ280</f>
        <v>0</v>
      </c>
      <c r="CS277" s="10">
        <f>CR280</f>
        <v>0</v>
      </c>
      <c r="CT277" s="10">
        <f>CS280</f>
        <v>0</v>
      </c>
      <c r="CU277" s="11">
        <f>CT277</f>
        <v>0</v>
      </c>
      <c r="CV277" s="10">
        <f>CU280</f>
        <v>0</v>
      </c>
      <c r="CW277" s="10">
        <f>CV280</f>
        <v>0</v>
      </c>
      <c r="CX277" s="10">
        <f>CW280</f>
        <v>0</v>
      </c>
      <c r="CY277" s="10">
        <f>CX280</f>
        <v>0</v>
      </c>
      <c r="CZ277" s="11">
        <f>CY277</f>
        <v>0</v>
      </c>
      <c r="DA277" s="10"/>
      <c r="DB277" s="10"/>
      <c r="DC277" s="10"/>
      <c r="DD277" s="10"/>
      <c r="DE277" s="11"/>
      <c r="DF277" s="10"/>
      <c r="DG277" s="393"/>
      <c r="DH277" s="393"/>
      <c r="DI277" s="10"/>
      <c r="DJ277" s="11"/>
      <c r="DK277" s="10"/>
      <c r="DL277" s="10"/>
      <c r="DM277" s="10"/>
      <c r="DN277" s="10"/>
      <c r="DO277" s="11"/>
      <c r="DP277" s="10"/>
      <c r="DQ277" s="10"/>
      <c r="DR277" s="10"/>
      <c r="DS277" s="10"/>
      <c r="DT277" s="11"/>
      <c r="DU277" s="10"/>
      <c r="DV277" s="10"/>
      <c r="DW277" s="10"/>
      <c r="DX277" s="10"/>
      <c r="DY277" s="11"/>
      <c r="DZ277" s="11"/>
      <c r="EA277" s="11"/>
      <c r="EB277" s="11"/>
    </row>
    <row r="278" spans="1:132" s="115" customFormat="1" ht="12" customHeight="1">
      <c r="A278" s="198"/>
      <c r="B278" s="2" t="s">
        <v>283</v>
      </c>
      <c r="C278" s="11"/>
      <c r="D278" s="11"/>
      <c r="E278" s="11"/>
      <c r="F278" s="11"/>
      <c r="G278" s="11"/>
      <c r="H278" s="11"/>
      <c r="I278" s="11"/>
      <c r="J278" s="10"/>
      <c r="K278" s="10"/>
      <c r="L278" s="10"/>
      <c r="M278" s="10"/>
      <c r="N278" s="11"/>
      <c r="O278" s="10"/>
      <c r="P278" s="10"/>
      <c r="Q278" s="10"/>
      <c r="R278" s="10"/>
      <c r="S278" s="11"/>
      <c r="T278" s="10"/>
      <c r="U278" s="10"/>
      <c r="V278" s="10"/>
      <c r="W278" s="10"/>
      <c r="X278" s="11">
        <f>SUM(T278:W278)</f>
        <v>0</v>
      </c>
      <c r="Y278" s="10"/>
      <c r="Z278" s="10"/>
      <c r="AA278" s="10"/>
      <c r="AB278" s="10"/>
      <c r="AC278" s="11">
        <f>SUM(Y278:AB278)</f>
        <v>0</v>
      </c>
      <c r="AD278" s="10"/>
      <c r="AE278" s="10"/>
      <c r="AF278" s="10"/>
      <c r="AG278" s="10"/>
      <c r="AH278" s="11">
        <f>SUM(AD278:AG278)</f>
        <v>0</v>
      </c>
      <c r="AI278" s="10"/>
      <c r="AJ278" s="10"/>
      <c r="AK278" s="10"/>
      <c r="AL278" s="10"/>
      <c r="AM278" s="11">
        <f>SUM(AI278:AL278)</f>
        <v>0</v>
      </c>
      <c r="AN278" s="10"/>
      <c r="AO278" s="10"/>
      <c r="AP278" s="10"/>
      <c r="AQ278" s="10"/>
      <c r="AR278" s="11">
        <f>SUM(AN278:AQ278)</f>
        <v>0</v>
      </c>
      <c r="AS278" s="10"/>
      <c r="AT278" s="10"/>
      <c r="AU278" s="10"/>
      <c r="AV278" s="10"/>
      <c r="AW278" s="11"/>
      <c r="AX278" s="10"/>
      <c r="AY278" s="10"/>
      <c r="AZ278" s="10"/>
      <c r="BA278" s="10"/>
      <c r="BB278" s="11"/>
      <c r="BC278" s="10"/>
      <c r="BD278" s="10"/>
      <c r="BE278" s="10"/>
      <c r="BF278" s="10"/>
      <c r="BG278" s="11"/>
      <c r="BH278" s="10"/>
      <c r="BI278" s="717"/>
      <c r="BJ278" s="10"/>
      <c r="BK278" s="10"/>
      <c r="BL278" s="11"/>
      <c r="BM278" s="10"/>
      <c r="BN278" s="717"/>
      <c r="BO278" s="10"/>
      <c r="BP278" s="10"/>
      <c r="BQ278" s="11"/>
      <c r="BR278" s="10"/>
      <c r="BS278" s="717"/>
      <c r="BT278" s="10"/>
      <c r="BU278" s="10"/>
      <c r="BV278" s="11"/>
      <c r="BW278" s="10"/>
      <c r="BX278" s="717"/>
      <c r="BY278" s="10"/>
      <c r="BZ278" s="10">
        <f>+-BY280+1754</f>
        <v>-4737.137852220003</v>
      </c>
      <c r="CA278" s="11"/>
      <c r="CB278" s="10"/>
      <c r="CC278" s="717"/>
      <c r="CD278" s="10"/>
      <c r="CE278" s="10">
        <v>-9001</v>
      </c>
      <c r="CF278" s="11"/>
      <c r="CG278" s="717"/>
      <c r="CH278" s="717"/>
      <c r="CI278" s="717"/>
      <c r="CJ278" s="717"/>
      <c r="CK278" s="11"/>
      <c r="CL278" s="717">
        <f>-CL277</f>
        <v>-17338.705465790001</v>
      </c>
      <c r="CM278" s="717"/>
      <c r="CN278" s="10"/>
      <c r="CO278" s="10"/>
      <c r="CP278" s="11"/>
      <c r="CQ278" s="717">
        <f>-CQ277</f>
        <v>0</v>
      </c>
      <c r="CR278" s="717"/>
      <c r="CS278" s="10"/>
      <c r="CT278" s="10"/>
      <c r="CU278" s="11"/>
      <c r="CV278" s="717">
        <f>-CV277</f>
        <v>0</v>
      </c>
      <c r="CW278" s="717"/>
      <c r="CX278" s="10"/>
      <c r="CY278" s="10"/>
      <c r="CZ278" s="11"/>
      <c r="DA278" s="10"/>
      <c r="DB278" s="10"/>
      <c r="DC278" s="10"/>
      <c r="DD278" s="10"/>
      <c r="DE278" s="11"/>
      <c r="DF278" s="10"/>
      <c r="DG278" s="393"/>
      <c r="DH278" s="393"/>
      <c r="DI278" s="10"/>
      <c r="DJ278" s="11"/>
      <c r="DK278" s="10"/>
      <c r="DL278" s="10"/>
      <c r="DM278" s="10"/>
      <c r="DN278" s="10"/>
      <c r="DO278" s="11"/>
      <c r="DP278" s="10"/>
      <c r="DQ278" s="10"/>
      <c r="DR278" s="10"/>
      <c r="DS278" s="10"/>
      <c r="DT278" s="11"/>
      <c r="DU278" s="10"/>
      <c r="DV278" s="10"/>
      <c r="DW278" s="10"/>
      <c r="DX278" s="10"/>
      <c r="DY278" s="11"/>
      <c r="DZ278" s="11"/>
      <c r="EA278" s="11"/>
      <c r="EB278" s="11"/>
    </row>
    <row r="279" spans="1:132" s="115" customFormat="1" ht="12" customHeight="1">
      <c r="A279" s="198"/>
      <c r="B279" s="2" t="s">
        <v>284</v>
      </c>
      <c r="C279" s="11"/>
      <c r="D279" s="11"/>
      <c r="E279" s="11"/>
      <c r="F279" s="11"/>
      <c r="G279" s="11"/>
      <c r="H279" s="11"/>
      <c r="I279" s="11"/>
      <c r="J279" s="10"/>
      <c r="K279" s="10"/>
      <c r="L279" s="10"/>
      <c r="M279" s="10"/>
      <c r="N279" s="11"/>
      <c r="O279" s="10"/>
      <c r="P279" s="10"/>
      <c r="Q279" s="10"/>
      <c r="R279" s="10"/>
      <c r="S279" s="11"/>
      <c r="T279" s="10"/>
      <c r="U279" s="10"/>
      <c r="V279" s="10">
        <v>3000</v>
      </c>
      <c r="W279" s="10"/>
      <c r="X279" s="11">
        <f>SUM(T279:W279)</f>
        <v>3000</v>
      </c>
      <c r="Y279" s="10"/>
      <c r="Z279" s="10"/>
      <c r="AA279" s="10"/>
      <c r="AB279" s="10">
        <v>7000</v>
      </c>
      <c r="AC279" s="11">
        <f>SUM(Y279:AB279)</f>
        <v>7000</v>
      </c>
      <c r="AD279" s="10"/>
      <c r="AE279" s="10"/>
      <c r="AF279" s="10"/>
      <c r="AG279" s="10"/>
      <c r="AH279" s="11">
        <f>SUM(AD279:AG279)</f>
        <v>0</v>
      </c>
      <c r="AI279" s="10"/>
      <c r="AJ279" s="10"/>
      <c r="AK279" s="10"/>
      <c r="AL279" s="10"/>
      <c r="AM279" s="11">
        <f>SUM(AI279:AL279)</f>
        <v>0</v>
      </c>
      <c r="AN279" s="10"/>
      <c r="AO279" s="10"/>
      <c r="AP279" s="10"/>
      <c r="AQ279" s="10"/>
      <c r="AR279" s="11">
        <f>SUM(AN279:AQ279)</f>
        <v>0</v>
      </c>
      <c r="AS279" s="10"/>
      <c r="AT279" s="10"/>
      <c r="AU279" s="10"/>
      <c r="AV279" s="10"/>
      <c r="AW279" s="11"/>
      <c r="AX279" s="10"/>
      <c r="AY279" s="10"/>
      <c r="AZ279" s="10"/>
      <c r="BA279" s="10"/>
      <c r="BB279" s="11"/>
      <c r="BC279" s="10"/>
      <c r="BD279" s="10"/>
      <c r="BE279" s="10"/>
      <c r="BF279" s="10">
        <v>10000</v>
      </c>
      <c r="BG279" s="11"/>
      <c r="BH279" s="10"/>
      <c r="BI279" s="717"/>
      <c r="BJ279" s="10"/>
      <c r="BK279" s="10">
        <f>12000-BK277</f>
        <v>6200.6567415699983</v>
      </c>
      <c r="BL279" s="11"/>
      <c r="BM279" s="10"/>
      <c r="BN279" s="717"/>
      <c r="BO279" s="10"/>
      <c r="BP279" s="393">
        <f>14000-5250</f>
        <v>8750</v>
      </c>
      <c r="BQ279" s="11"/>
      <c r="BR279" s="10"/>
      <c r="BS279" s="717"/>
      <c r="BT279" s="10"/>
      <c r="BU279" s="10">
        <f>14000-6998</f>
        <v>7002</v>
      </c>
      <c r="BV279" s="11"/>
      <c r="BW279" s="10"/>
      <c r="BX279" s="717"/>
      <c r="BY279" s="10"/>
      <c r="BZ279" s="10">
        <v>18000</v>
      </c>
      <c r="CA279" s="11"/>
      <c r="CB279" s="10"/>
      <c r="CC279" s="717"/>
      <c r="CD279" s="10"/>
      <c r="CE279" s="10">
        <v>20000</v>
      </c>
      <c r="CF279" s="11"/>
      <c r="CG279" s="717"/>
      <c r="CH279" s="717"/>
      <c r="CI279" s="717"/>
      <c r="CJ279" s="717"/>
      <c r="CK279" s="11"/>
      <c r="CL279" s="717"/>
      <c r="CM279" s="717"/>
      <c r="CN279" s="10"/>
      <c r="CO279" s="10"/>
      <c r="CP279" s="11"/>
      <c r="CQ279" s="717"/>
      <c r="CR279" s="717"/>
      <c r="CS279" s="10"/>
      <c r="CT279" s="10"/>
      <c r="CU279" s="11"/>
      <c r="CV279" s="717"/>
      <c r="CW279" s="717"/>
      <c r="CX279" s="10"/>
      <c r="CY279" s="10"/>
      <c r="CZ279" s="11"/>
      <c r="DA279" s="10"/>
      <c r="DB279" s="10"/>
      <c r="DC279" s="10"/>
      <c r="DD279" s="10"/>
      <c r="DE279" s="11"/>
      <c r="DF279" s="10"/>
      <c r="DG279" s="393"/>
      <c r="DH279" s="393"/>
      <c r="DI279" s="10"/>
      <c r="DJ279" s="11"/>
      <c r="DK279" s="10"/>
      <c r="DL279" s="10"/>
      <c r="DM279" s="10"/>
      <c r="DN279" s="10"/>
      <c r="DO279" s="11"/>
      <c r="DP279" s="10"/>
      <c r="DQ279" s="10"/>
      <c r="DR279" s="10"/>
      <c r="DS279" s="10"/>
      <c r="DT279" s="11"/>
      <c r="DU279" s="10"/>
      <c r="DV279" s="10"/>
      <c r="DW279" s="10"/>
      <c r="DX279" s="10"/>
      <c r="DY279" s="11"/>
      <c r="DZ279" s="11"/>
      <c r="EA279" s="11"/>
      <c r="EB279" s="11"/>
    </row>
    <row r="280" spans="1:132" s="115" customFormat="1" ht="12" customHeight="1">
      <c r="A280" s="198"/>
      <c r="B280" s="2" t="s">
        <v>356</v>
      </c>
      <c r="C280" s="11"/>
      <c r="D280" s="11"/>
      <c r="E280" s="11"/>
      <c r="F280" s="11"/>
      <c r="G280" s="11"/>
      <c r="H280" s="11"/>
      <c r="I280" s="11"/>
      <c r="J280" s="10"/>
      <c r="K280" s="10"/>
      <c r="L280" s="10"/>
      <c r="M280" s="10"/>
      <c r="N280" s="11"/>
      <c r="O280" s="10"/>
      <c r="P280" s="10"/>
      <c r="Q280" s="10"/>
      <c r="R280" s="10"/>
      <c r="S280" s="11"/>
      <c r="T280" s="10"/>
      <c r="U280" s="10"/>
      <c r="V280" s="10">
        <f>V277+V278+V279-V266</f>
        <v>2818.2282850000001</v>
      </c>
      <c r="W280" s="10">
        <f>W277+W278+W279-W266</f>
        <v>2374.4583110000003</v>
      </c>
      <c r="X280" s="11">
        <f t="shared" ref="X280:AH280" si="644">X277+X278+X279-X266</f>
        <v>2374.4583110000003</v>
      </c>
      <c r="Y280" s="10">
        <f t="shared" si="644"/>
        <v>2012.4888580000004</v>
      </c>
      <c r="Z280" s="10">
        <f t="shared" si="644"/>
        <v>1392.2435200000004</v>
      </c>
      <c r="AA280" s="10">
        <f t="shared" si="644"/>
        <v>486.62295323000046</v>
      </c>
      <c r="AB280" s="10">
        <f t="shared" si="644"/>
        <v>6596.8079801500007</v>
      </c>
      <c r="AC280" s="11">
        <f t="shared" si="644"/>
        <v>6596.8079801500007</v>
      </c>
      <c r="AD280" s="10">
        <f t="shared" si="644"/>
        <v>5357.4150358000006</v>
      </c>
      <c r="AE280" s="10">
        <f t="shared" si="644"/>
        <v>4498.3825604000003</v>
      </c>
      <c r="AF280" s="10">
        <f t="shared" si="644"/>
        <v>3995.0867053000002</v>
      </c>
      <c r="AG280" s="10">
        <f t="shared" si="644"/>
        <v>3660.0635136999999</v>
      </c>
      <c r="AH280" s="11">
        <f t="shared" si="644"/>
        <v>3660.0635137000008</v>
      </c>
      <c r="AI280" s="10">
        <f t="shared" ref="AI280:AN280" si="645">AI277+AI278+AI279-AI266</f>
        <v>3609.6883668200007</v>
      </c>
      <c r="AJ280" s="10">
        <f t="shared" si="645"/>
        <v>3609.6883668200007</v>
      </c>
      <c r="AK280" s="10">
        <f t="shared" si="645"/>
        <v>3609.6883668200007</v>
      </c>
      <c r="AL280" s="10">
        <f t="shared" si="645"/>
        <v>3609.6883668200007</v>
      </c>
      <c r="AM280" s="11">
        <f t="shared" si="645"/>
        <v>3609.6883668200007</v>
      </c>
      <c r="AN280" s="10">
        <f t="shared" si="645"/>
        <v>3609.6883668200007</v>
      </c>
      <c r="AO280" s="10">
        <f t="shared" ref="AO280:AV280" si="646">AO277+AO278+AO279-AO266</f>
        <v>3609.6883668200007</v>
      </c>
      <c r="AP280" s="10">
        <f t="shared" si="646"/>
        <v>3609.6883668200007</v>
      </c>
      <c r="AQ280" s="10">
        <f t="shared" si="646"/>
        <v>3609.6883668200007</v>
      </c>
      <c r="AR280" s="11">
        <f t="shared" si="646"/>
        <v>3609.6883668200007</v>
      </c>
      <c r="AS280" s="10">
        <f t="shared" si="646"/>
        <v>3609.6883668200007</v>
      </c>
      <c r="AT280" s="10">
        <f t="shared" si="646"/>
        <v>3609.6883668200007</v>
      </c>
      <c r="AU280" s="10">
        <f t="shared" si="646"/>
        <v>3609.6883668200007</v>
      </c>
      <c r="AV280" s="10">
        <f t="shared" si="646"/>
        <v>3609.6883668200007</v>
      </c>
      <c r="AW280" s="11">
        <f t="shared" ref="AW280:BJ280" si="647">AW277+AW278+AW279-AW266</f>
        <v>3609.6883668200007</v>
      </c>
      <c r="AX280" s="10">
        <f t="shared" si="647"/>
        <v>3609.6883668200007</v>
      </c>
      <c r="AY280" s="10">
        <f t="shared" si="647"/>
        <v>3609.6883668200007</v>
      </c>
      <c r="AZ280" s="10">
        <f t="shared" si="647"/>
        <v>3609.6883668200007</v>
      </c>
      <c r="BA280" s="10">
        <f t="shared" si="647"/>
        <v>3609.6883668200007</v>
      </c>
      <c r="BB280" s="11">
        <f t="shared" si="647"/>
        <v>3609.6883668200007</v>
      </c>
      <c r="BC280" s="10">
        <f t="shared" si="647"/>
        <v>3609.6883668200007</v>
      </c>
      <c r="BD280" s="10">
        <f t="shared" si="647"/>
        <v>2603.328923420001</v>
      </c>
      <c r="BE280" s="10">
        <f t="shared" si="647"/>
        <v>1801.6202707900011</v>
      </c>
      <c r="BF280" s="10">
        <f t="shared" si="647"/>
        <v>10800.694641130001</v>
      </c>
      <c r="BG280" s="11">
        <f>BF280</f>
        <v>10800.694641130001</v>
      </c>
      <c r="BH280" s="10">
        <f t="shared" si="647"/>
        <v>8299.0185630500018</v>
      </c>
      <c r="BI280" s="10">
        <f t="shared" si="647"/>
        <v>6801.5348504500016</v>
      </c>
      <c r="BJ280" s="10">
        <f t="shared" si="647"/>
        <v>5799.3432584300017</v>
      </c>
      <c r="BK280" s="10">
        <v>12000</v>
      </c>
      <c r="BL280" s="11">
        <f>BK280</f>
        <v>12000</v>
      </c>
      <c r="BM280" s="10">
        <f t="shared" ref="BM280:BY280" si="648">BM277+BM278+BM279-BM266</f>
        <v>9500.744632760001</v>
      </c>
      <c r="BN280" s="10">
        <f t="shared" si="648"/>
        <v>7500.5893747100017</v>
      </c>
      <c r="BO280" s="10">
        <f t="shared" si="648"/>
        <v>6000.3272179100022</v>
      </c>
      <c r="BP280" s="10">
        <f t="shared" si="648"/>
        <v>14000.188394990002</v>
      </c>
      <c r="BQ280" s="11">
        <f>BP280</f>
        <v>14000.188394990002</v>
      </c>
      <c r="BR280" s="10">
        <f t="shared" si="648"/>
        <v>10499.945512430002</v>
      </c>
      <c r="BS280" s="10">
        <f t="shared" si="648"/>
        <v>8499.6624534300026</v>
      </c>
      <c r="BT280" s="10">
        <f t="shared" si="648"/>
        <v>7499.5870995100031</v>
      </c>
      <c r="BU280" s="10">
        <f t="shared" si="648"/>
        <v>14000.425604570002</v>
      </c>
      <c r="BV280" s="11">
        <f>BU280</f>
        <v>14000.425604570002</v>
      </c>
      <c r="BW280" s="10">
        <f t="shared" si="648"/>
        <v>11497.006230160003</v>
      </c>
      <c r="BX280" s="10">
        <f t="shared" si="648"/>
        <v>8997.0801874700028</v>
      </c>
      <c r="BY280" s="10">
        <f t="shared" si="648"/>
        <v>6491.137852220003</v>
      </c>
      <c r="BZ280" s="10">
        <f>BZ277+BZ278+BZ279-BZ266</f>
        <v>18003.64803027</v>
      </c>
      <c r="CA280" s="11">
        <f>BZ280</f>
        <v>18003.64803027</v>
      </c>
      <c r="CB280" s="10">
        <f>CB277+CB278+CB279-CB266</f>
        <v>14999.78371503</v>
      </c>
      <c r="CC280" s="10">
        <f>CC277+CC278+CC279-CC266</f>
        <v>12035.289351490001</v>
      </c>
      <c r="CD280" s="10">
        <f>CD277+CD278+CD279-CD266</f>
        <v>9585.3539237100013</v>
      </c>
      <c r="CE280" s="10">
        <f>CE277+CE278+CE279-CE266</f>
        <v>20000.219922750002</v>
      </c>
      <c r="CF280" s="11">
        <f>CE280</f>
        <v>20000.219922750002</v>
      </c>
      <c r="CG280" s="10">
        <f>CG277+CG278+CG279-CG266</f>
        <v>17649.06594303</v>
      </c>
      <c r="CH280" s="10">
        <f>CH277+CH278+CH279-CH266</f>
        <v>17338.705465790001</v>
      </c>
      <c r="CI280" s="10">
        <f>CI277+CI278+CI279-CI266</f>
        <v>17338.705465790001</v>
      </c>
      <c r="CJ280" s="10">
        <f>CJ277+CJ278+CJ279-CJ266</f>
        <v>17338.705465790001</v>
      </c>
      <c r="CK280" s="11">
        <f>CJ280</f>
        <v>17338.705465790001</v>
      </c>
      <c r="CL280" s="10">
        <f>CL277+CL278+CL279-CL266</f>
        <v>0</v>
      </c>
      <c r="CM280" s="10">
        <f>CM277+CM278+CM279-CM266</f>
        <v>0</v>
      </c>
      <c r="CN280" s="10">
        <f>CN277+CN278+CN279-CN266</f>
        <v>0</v>
      </c>
      <c r="CO280" s="10">
        <f>CO277+CO278+CO279-CO266</f>
        <v>0</v>
      </c>
      <c r="CP280" s="11">
        <f>CO280</f>
        <v>0</v>
      </c>
      <c r="CQ280" s="10">
        <f>CQ277+CQ278+CQ279-CQ266</f>
        <v>0</v>
      </c>
      <c r="CR280" s="10">
        <f>CR277+CR278+CR279-CR266</f>
        <v>0</v>
      </c>
      <c r="CS280" s="10">
        <f>CS277+CS278+CS279-CS266</f>
        <v>0</v>
      </c>
      <c r="CT280" s="10">
        <f>CT277+CT278+CT279-CT266</f>
        <v>0</v>
      </c>
      <c r="CU280" s="11">
        <f>CT280</f>
        <v>0</v>
      </c>
      <c r="CV280" s="10">
        <f>CV277+CV278+CV279-CV266</f>
        <v>0</v>
      </c>
      <c r="CW280" s="10">
        <f>CW277+CW278+CW279-CW266</f>
        <v>0</v>
      </c>
      <c r="CX280" s="10">
        <f>CX277+CX278+CX279-CX266</f>
        <v>0</v>
      </c>
      <c r="CY280" s="10">
        <f>CY277+CY278+CY279-CY266</f>
        <v>0</v>
      </c>
      <c r="CZ280" s="11">
        <f>CY280</f>
        <v>0</v>
      </c>
      <c r="DA280" s="10"/>
      <c r="DB280" s="10"/>
      <c r="DC280" s="10"/>
      <c r="DD280" s="10"/>
      <c r="DE280" s="11"/>
      <c r="DF280" s="10"/>
      <c r="DG280" s="393"/>
      <c r="DH280" s="393"/>
      <c r="DI280" s="10"/>
      <c r="DJ280" s="11"/>
      <c r="DK280" s="10"/>
      <c r="DL280" s="10"/>
      <c r="DM280" s="10"/>
      <c r="DN280" s="10"/>
      <c r="DO280" s="11"/>
      <c r="DP280" s="10"/>
      <c r="DQ280" s="10"/>
      <c r="DR280" s="10"/>
      <c r="DS280" s="10"/>
      <c r="DT280" s="11"/>
      <c r="DU280" s="10"/>
      <c r="DV280" s="10"/>
      <c r="DW280" s="10"/>
      <c r="DX280" s="10"/>
      <c r="DY280" s="11"/>
      <c r="DZ280" s="11"/>
      <c r="EA280" s="11"/>
      <c r="EB280" s="11"/>
    </row>
    <row r="281" spans="1:132" s="105" customFormat="1" ht="12" customHeight="1">
      <c r="A281" s="68"/>
      <c r="B281" s="99"/>
      <c r="C281" s="95"/>
      <c r="D281" s="95"/>
      <c r="E281" s="95"/>
      <c r="F281" s="94"/>
      <c r="G281" s="95"/>
      <c r="H281" s="95"/>
      <c r="I281" s="95"/>
      <c r="J281" s="94"/>
      <c r="K281" s="94"/>
      <c r="L281" s="94"/>
      <c r="M281" s="94"/>
      <c r="N281" s="95"/>
      <c r="O281" s="94"/>
      <c r="P281" s="94"/>
      <c r="Q281" s="94"/>
      <c r="R281" s="94"/>
      <c r="S281" s="95"/>
      <c r="T281" s="94"/>
      <c r="U281" s="94"/>
      <c r="V281" s="94"/>
      <c r="W281" s="94"/>
      <c r="X281" s="95"/>
      <c r="Y281" s="94"/>
      <c r="Z281" s="94"/>
      <c r="AA281" s="94"/>
      <c r="AB281" s="94"/>
      <c r="AC281" s="95"/>
      <c r="AD281" s="94"/>
      <c r="AE281" s="101"/>
      <c r="AF281" s="101"/>
      <c r="AG281" s="94"/>
      <c r="AH281" s="95"/>
      <c r="AI281" s="94"/>
      <c r="AJ281" s="94"/>
      <c r="AK281" s="94"/>
      <c r="AL281" s="104"/>
      <c r="AM281" s="217"/>
      <c r="AN281" s="94"/>
      <c r="AO281" s="94"/>
      <c r="AP281" s="94"/>
      <c r="AQ281" s="104"/>
      <c r="AR281" s="217"/>
      <c r="AS281" s="94"/>
      <c r="AT281" s="94"/>
      <c r="AU281" s="94"/>
      <c r="AV281" s="104"/>
      <c r="AW281" s="217"/>
      <c r="AX281" s="94"/>
      <c r="AY281" s="94"/>
      <c r="AZ281" s="94"/>
      <c r="BA281" s="104"/>
      <c r="BB281" s="217"/>
      <c r="BC281" s="94"/>
      <c r="BD281" s="94"/>
      <c r="BE281" s="94"/>
      <c r="BF281" s="104"/>
      <c r="BG281" s="217"/>
      <c r="BH281" s="94"/>
      <c r="BI281" s="712"/>
      <c r="BJ281" s="94"/>
      <c r="BK281" s="104"/>
      <c r="BL281" s="217"/>
      <c r="BM281" s="94"/>
      <c r="BN281" s="712"/>
      <c r="BO281" s="94"/>
      <c r="BP281" s="104"/>
      <c r="BQ281" s="217"/>
      <c r="BR281" s="94"/>
      <c r="BS281" s="712"/>
      <c r="BT281" s="94"/>
      <c r="BU281" s="104"/>
      <c r="BV281" s="217"/>
      <c r="BW281" s="94"/>
      <c r="BX281" s="712"/>
      <c r="BY281" s="94"/>
      <c r="BZ281" s="104"/>
      <c r="CA281" s="217"/>
      <c r="CB281" s="94"/>
      <c r="CC281" s="712"/>
      <c r="CD281" s="94"/>
      <c r="CE281" s="104"/>
      <c r="CF281" s="217"/>
      <c r="CG281" s="712"/>
      <c r="CH281" s="712"/>
      <c r="CI281" s="712"/>
      <c r="CJ281" s="712"/>
      <c r="CK281" s="217"/>
      <c r="CL281" s="104"/>
      <c r="CM281" s="104"/>
      <c r="CN281" s="104"/>
      <c r="CO281" s="104"/>
      <c r="CP281" s="217"/>
      <c r="CQ281" s="104"/>
      <c r="CR281" s="104"/>
      <c r="CS281" s="104"/>
      <c r="CT281" s="104"/>
      <c r="CU281" s="217"/>
      <c r="CV281" s="104"/>
      <c r="CW281" s="104"/>
      <c r="CX281" s="104"/>
      <c r="CY281" s="104"/>
      <c r="CZ281" s="217"/>
      <c r="DA281" s="104"/>
      <c r="DB281" s="104"/>
      <c r="DC281" s="104"/>
      <c r="DD281" s="104"/>
      <c r="DE281" s="217"/>
      <c r="DF281" s="104"/>
      <c r="DG281" s="1054"/>
      <c r="DH281" s="1054"/>
      <c r="DI281" s="104"/>
      <c r="DJ281" s="217"/>
      <c r="DK281" s="104"/>
      <c r="DL281" s="104"/>
      <c r="DM281" s="104"/>
      <c r="DN281" s="104"/>
      <c r="DO281" s="217"/>
      <c r="DP281" s="104"/>
      <c r="DQ281" s="104"/>
      <c r="DR281" s="104"/>
      <c r="DS281" s="104"/>
      <c r="DT281" s="217"/>
      <c r="DU281" s="104"/>
      <c r="DV281" s="104"/>
      <c r="DW281" s="104"/>
      <c r="DX281" s="104"/>
      <c r="DY281" s="217"/>
      <c r="DZ281" s="217"/>
      <c r="EA281" s="217"/>
      <c r="EB281" s="217"/>
    </row>
    <row r="282" spans="1:132" s="105" customFormat="1" ht="12" customHeight="1">
      <c r="A282" s="68"/>
      <c r="B282" s="164" t="s">
        <v>285</v>
      </c>
      <c r="C282" s="95"/>
      <c r="D282" s="95"/>
      <c r="E282" s="95"/>
      <c r="F282" s="94"/>
      <c r="G282" s="95"/>
      <c r="H282" s="95"/>
      <c r="I282" s="95"/>
      <c r="J282" s="94"/>
      <c r="K282" s="94"/>
      <c r="L282" s="94"/>
      <c r="M282" s="94"/>
      <c r="N282" s="95"/>
      <c r="O282" s="94"/>
      <c r="P282" s="94"/>
      <c r="Q282" s="94"/>
      <c r="R282" s="94"/>
      <c r="S282" s="95"/>
      <c r="T282" s="94"/>
      <c r="U282" s="94"/>
      <c r="V282" s="94"/>
      <c r="W282" s="94"/>
      <c r="X282" s="95"/>
      <c r="Y282" s="94"/>
      <c r="Z282" s="94"/>
      <c r="AA282" s="94"/>
      <c r="AB282" s="94"/>
      <c r="AC282" s="95"/>
      <c r="AD282" s="94"/>
      <c r="AE282" s="101"/>
      <c r="AF282" s="101"/>
      <c r="AG282" s="94"/>
      <c r="AH282" s="95"/>
      <c r="AI282" s="94"/>
      <c r="AJ282" s="94"/>
      <c r="AK282" s="94"/>
      <c r="AL282" s="104"/>
      <c r="AM282" s="217"/>
      <c r="AN282" s="94"/>
      <c r="AO282" s="94"/>
      <c r="AP282" s="94"/>
      <c r="AQ282" s="104"/>
      <c r="AR282" s="217"/>
      <c r="AS282" s="94"/>
      <c r="AT282" s="94"/>
      <c r="AU282" s="94"/>
      <c r="AV282" s="104"/>
      <c r="AW282" s="217"/>
      <c r="AX282" s="94"/>
      <c r="AY282" s="94"/>
      <c r="AZ282" s="94"/>
      <c r="BA282" s="104"/>
      <c r="BB282" s="217"/>
      <c r="BC282" s="94"/>
      <c r="BD282" s="94"/>
      <c r="BE282" s="94"/>
      <c r="BF282" s="104"/>
      <c r="BG282" s="217"/>
      <c r="BH282" s="94"/>
      <c r="BI282" s="712"/>
      <c r="BJ282" s="94"/>
      <c r="BK282" s="104"/>
      <c r="BL282" s="217"/>
      <c r="BM282" s="94"/>
      <c r="BN282" s="712"/>
      <c r="BO282" s="94"/>
      <c r="BP282" s="104"/>
      <c r="BQ282" s="217"/>
      <c r="BR282" s="94"/>
      <c r="BS282" s="712"/>
      <c r="BT282" s="94"/>
      <c r="BU282" s="104"/>
      <c r="BV282" s="217"/>
      <c r="BW282" s="94"/>
      <c r="BX282" s="712"/>
      <c r="BY282" s="94"/>
      <c r="BZ282" s="104"/>
      <c r="CA282" s="217"/>
      <c r="CB282" s="94"/>
      <c r="CC282" s="712"/>
      <c r="CD282" s="94"/>
      <c r="CE282" s="104"/>
      <c r="CF282" s="217"/>
      <c r="CG282" s="712"/>
      <c r="CH282" s="712"/>
      <c r="CI282" s="712"/>
      <c r="CJ282" s="712"/>
      <c r="CK282" s="217"/>
      <c r="CL282" s="104"/>
      <c r="CM282" s="104"/>
      <c r="CN282" s="104"/>
      <c r="CO282" s="104"/>
      <c r="CP282" s="217"/>
      <c r="CQ282" s="104"/>
      <c r="CR282" s="104"/>
      <c r="CS282" s="104"/>
      <c r="CT282" s="104"/>
      <c r="CU282" s="217"/>
      <c r="CV282" s="104"/>
      <c r="CW282" s="104"/>
      <c r="CX282" s="104"/>
      <c r="CY282" s="104"/>
      <c r="CZ282" s="217"/>
      <c r="DA282" s="104"/>
      <c r="DB282" s="104"/>
      <c r="DC282" s="104"/>
      <c r="DD282" s="104"/>
      <c r="DE282" s="217"/>
      <c r="DF282" s="104"/>
      <c r="DG282" s="1054"/>
      <c r="DH282" s="1054"/>
      <c r="DI282" s="104"/>
      <c r="DJ282" s="217"/>
      <c r="DK282" s="104"/>
      <c r="DL282" s="104"/>
      <c r="DM282" s="104"/>
      <c r="DN282" s="104"/>
      <c r="DO282" s="217"/>
      <c r="DP282" s="104"/>
      <c r="DQ282" s="104"/>
      <c r="DR282" s="104"/>
      <c r="DS282" s="104"/>
      <c r="DT282" s="217"/>
      <c r="DU282" s="104"/>
      <c r="DV282" s="104"/>
      <c r="DW282" s="104"/>
      <c r="DX282" s="104"/>
      <c r="DY282" s="217"/>
      <c r="DZ282" s="217"/>
      <c r="EA282" s="217"/>
      <c r="EB282" s="217"/>
    </row>
    <row r="283" spans="1:132" s="111" customFormat="1" ht="12" customHeight="1">
      <c r="A283" s="68"/>
      <c r="B283" s="99" t="s">
        <v>286</v>
      </c>
      <c r="C283" s="109">
        <v>0.56000000000000005</v>
      </c>
      <c r="D283" s="109">
        <v>0.56000000000000005</v>
      </c>
      <c r="E283" s="109">
        <f>0.14*4</f>
        <v>0.56000000000000005</v>
      </c>
      <c r="F283" s="110">
        <v>0.59</v>
      </c>
      <c r="G283" s="109">
        <f>0.68</f>
        <v>0.68</v>
      </c>
      <c r="H283" s="109">
        <v>0.68</v>
      </c>
      <c r="I283" s="109">
        <f>0.17*4</f>
        <v>0.68</v>
      </c>
      <c r="J283" s="110">
        <v>0.17</v>
      </c>
      <c r="K283" s="110">
        <v>0.2</v>
      </c>
      <c r="L283" s="110">
        <v>0.2</v>
      </c>
      <c r="M283" s="110">
        <v>0.2</v>
      </c>
      <c r="N283" s="109">
        <f>SUM(J283:M283)</f>
        <v>0.77</v>
      </c>
      <c r="O283" s="110">
        <v>0.25</v>
      </c>
      <c r="P283" s="110">
        <v>0.25</v>
      </c>
      <c r="Q283" s="110">
        <v>0.25</v>
      </c>
      <c r="R283" s="110">
        <v>0.25</v>
      </c>
      <c r="S283" s="109">
        <f>SUM(O283:R283)</f>
        <v>1</v>
      </c>
      <c r="T283" s="110">
        <v>0.3</v>
      </c>
      <c r="U283" s="110">
        <v>0.3</v>
      </c>
      <c r="V283" s="110">
        <v>0.3</v>
      </c>
      <c r="W283" s="110">
        <v>0.3</v>
      </c>
      <c r="X283" s="109">
        <f>SUM(T283:W283)</f>
        <v>1.2</v>
      </c>
      <c r="Y283" s="110">
        <v>0.35</v>
      </c>
      <c r="Z283" s="110">
        <v>0.35</v>
      </c>
      <c r="AA283" s="110">
        <v>0.35</v>
      </c>
      <c r="AB283" s="110">
        <v>0.35</v>
      </c>
      <c r="AC283" s="109">
        <f>SUM(Y283:AB283)</f>
        <v>1.4</v>
      </c>
      <c r="AD283" s="110">
        <v>0.4</v>
      </c>
      <c r="AE283" s="110">
        <v>0.4</v>
      </c>
      <c r="AF283" s="110">
        <v>0.4</v>
      </c>
      <c r="AG283" s="110">
        <v>0.4</v>
      </c>
      <c r="AH283" s="109">
        <f>SUM(AD283:AG283)</f>
        <v>1.6</v>
      </c>
      <c r="AI283" s="110">
        <v>0.42</v>
      </c>
      <c r="AJ283" s="110">
        <v>0.42</v>
      </c>
      <c r="AK283" s="110">
        <v>0.42</v>
      </c>
      <c r="AL283" s="111">
        <v>0.42</v>
      </c>
      <c r="AM283" s="215">
        <f>SUM(AI283:AL283)</f>
        <v>1.68</v>
      </c>
      <c r="AN283" s="110">
        <v>0.42</v>
      </c>
      <c r="AO283" s="110">
        <v>0.42</v>
      </c>
      <c r="AP283" s="110">
        <v>0.42</v>
      </c>
      <c r="AQ283" s="111">
        <v>0.42</v>
      </c>
      <c r="AR283" s="215">
        <f>SUM(AN283:AQ283)</f>
        <v>1.68</v>
      </c>
      <c r="AS283" s="110">
        <v>0.42</v>
      </c>
      <c r="AT283" s="110">
        <v>0.42</v>
      </c>
      <c r="AU283" s="110">
        <v>0.42</v>
      </c>
      <c r="AV283" s="110">
        <v>0.42</v>
      </c>
      <c r="AW283" s="215">
        <f>SUM(AS283:AV283)</f>
        <v>1.68</v>
      </c>
      <c r="AX283" s="110">
        <v>0.44</v>
      </c>
      <c r="AY283" s="110">
        <v>0.44</v>
      </c>
      <c r="AZ283" s="110">
        <v>0.44</v>
      </c>
      <c r="BA283" s="110">
        <v>0.48499999999999999</v>
      </c>
      <c r="BB283" s="215">
        <f>SUM(AX283:BA283)</f>
        <v>1.8050000000000002</v>
      </c>
      <c r="BC283" s="110">
        <v>0.49</v>
      </c>
      <c r="BD283" s="110">
        <v>0.48499999999999999</v>
      </c>
      <c r="BE283" s="110">
        <v>0.48499999999999999</v>
      </c>
      <c r="BF283" s="110">
        <v>0.48499999999999999</v>
      </c>
      <c r="BG283" s="215">
        <f>SUM(BC283:BF283)</f>
        <v>1.9449999999999998</v>
      </c>
      <c r="BH283" s="110">
        <v>0.73</v>
      </c>
      <c r="BI283" s="718">
        <v>0.73</v>
      </c>
      <c r="BJ283" s="718">
        <v>0.73</v>
      </c>
      <c r="BK283" s="110">
        <v>0.73</v>
      </c>
      <c r="BL283" s="215">
        <f>SUM(BH283:BK283)</f>
        <v>2.92</v>
      </c>
      <c r="BM283" s="110">
        <v>0.91</v>
      </c>
      <c r="BN283" s="718">
        <v>0.91</v>
      </c>
      <c r="BO283" s="718">
        <v>0.91</v>
      </c>
      <c r="BP283" s="718">
        <v>0.91</v>
      </c>
      <c r="BQ283" s="215">
        <f>SUM(BM283:BP283)</f>
        <v>3.64</v>
      </c>
      <c r="BR283" s="110">
        <v>1.0900000000000001</v>
      </c>
      <c r="BS283" s="110">
        <v>1.0900000000000001</v>
      </c>
      <c r="BT283" s="110">
        <v>1.0900000000000001</v>
      </c>
      <c r="BU283" s="110">
        <v>1.0900000000000001</v>
      </c>
      <c r="BV283" s="215">
        <f>SUM(BR283:BU283)</f>
        <v>4.3600000000000003</v>
      </c>
      <c r="BW283" s="110">
        <v>1.42</v>
      </c>
      <c r="BX283" s="110">
        <v>1.42</v>
      </c>
      <c r="BY283" s="110">
        <v>1.42</v>
      </c>
      <c r="BZ283" s="110">
        <v>1.42</v>
      </c>
      <c r="CA283" s="215">
        <f>SUM(BW283:BZ283)</f>
        <v>5.68</v>
      </c>
      <c r="CB283" s="110">
        <v>1.71</v>
      </c>
      <c r="CC283" s="110">
        <v>1.71</v>
      </c>
      <c r="CD283" s="110">
        <v>1.71</v>
      </c>
      <c r="CE283" s="110">
        <v>1.71</v>
      </c>
      <c r="CF283" s="215">
        <f>SUM(CB283:CE283)</f>
        <v>6.84</v>
      </c>
      <c r="CG283" s="718">
        <v>2.0550000000000002</v>
      </c>
      <c r="CH283" s="718">
        <v>2.0550000000000002</v>
      </c>
      <c r="CI283" s="718">
        <v>2.0550000000000002</v>
      </c>
      <c r="CJ283" s="718">
        <v>2.0550000000000002</v>
      </c>
      <c r="CK283" s="215">
        <f>SUM(CG283:CJ283)</f>
        <v>8.2200000000000006</v>
      </c>
      <c r="CL283" s="718">
        <v>2.0550000000000002</v>
      </c>
      <c r="CM283" s="110">
        <v>0</v>
      </c>
      <c r="CN283" s="110">
        <v>0</v>
      </c>
      <c r="CO283" s="110">
        <v>0</v>
      </c>
      <c r="CP283" s="215">
        <f>SUM(CL283:CO283)</f>
        <v>2.0550000000000002</v>
      </c>
      <c r="CQ283" s="110">
        <v>0</v>
      </c>
      <c r="CR283" s="110">
        <v>0</v>
      </c>
      <c r="CS283" s="110">
        <v>0</v>
      </c>
      <c r="CT283" s="110">
        <v>0</v>
      </c>
      <c r="CU283" s="215">
        <f>SUM(CQ283:CT283)</f>
        <v>0</v>
      </c>
      <c r="CV283" s="110">
        <v>0</v>
      </c>
      <c r="CW283" s="110">
        <v>0</v>
      </c>
      <c r="CX283" s="110">
        <v>0</v>
      </c>
      <c r="CY283" s="110">
        <v>0</v>
      </c>
      <c r="CZ283" s="215">
        <f>SUM(CV283:CY283)</f>
        <v>0</v>
      </c>
      <c r="DA283" s="110">
        <v>0</v>
      </c>
      <c r="DB283" s="110">
        <v>0</v>
      </c>
      <c r="DC283" s="110">
        <v>0</v>
      </c>
      <c r="DD283" s="110">
        <v>0</v>
      </c>
      <c r="DE283" s="215">
        <f>SUM(DA283:DD283)</f>
        <v>0</v>
      </c>
      <c r="DF283" s="110">
        <v>0</v>
      </c>
      <c r="DG283" s="110">
        <v>0</v>
      </c>
      <c r="DH283" s="1072">
        <v>0</v>
      </c>
      <c r="DI283" s="110">
        <v>0</v>
      </c>
      <c r="DJ283" s="215">
        <f>+SUM(DF283:DI283)</f>
        <v>0</v>
      </c>
      <c r="DK283" s="111">
        <v>0</v>
      </c>
      <c r="DN283" s="110"/>
      <c r="DO283" s="215"/>
      <c r="DS283" s="110"/>
      <c r="DT283" s="215"/>
      <c r="DX283" s="110"/>
      <c r="DY283" s="215"/>
      <c r="DZ283" s="215"/>
      <c r="EA283" s="215"/>
      <c r="EB283" s="215"/>
    </row>
    <row r="284" spans="1:132" s="105" customFormat="1" ht="12" customHeight="1">
      <c r="A284" s="68"/>
      <c r="B284" s="166"/>
      <c r="C284" s="95"/>
      <c r="D284" s="95"/>
      <c r="E284" s="95"/>
      <c r="F284" s="94"/>
      <c r="G284" s="95"/>
      <c r="H284" s="95"/>
      <c r="I284" s="95"/>
      <c r="J284" s="94"/>
      <c r="K284" s="94"/>
      <c r="L284" s="94"/>
      <c r="M284" s="94"/>
      <c r="N284" s="95"/>
      <c r="O284" s="94"/>
      <c r="P284" s="94"/>
      <c r="Q284" s="94"/>
      <c r="R284" s="94"/>
      <c r="S284" s="95"/>
      <c r="T284" s="94"/>
      <c r="U284" s="94"/>
      <c r="V284" s="94"/>
      <c r="W284" s="94"/>
      <c r="X284" s="95"/>
      <c r="Y284" s="94"/>
      <c r="Z284" s="94"/>
      <c r="AA284" s="94"/>
      <c r="AB284" s="94"/>
      <c r="AC284" s="95"/>
      <c r="AD284" s="94"/>
      <c r="AE284" s="101"/>
      <c r="AF284" s="101"/>
      <c r="AG284" s="94"/>
      <c r="AH284" s="95"/>
      <c r="AI284" s="94"/>
      <c r="AJ284" s="94"/>
      <c r="AK284" s="94"/>
      <c r="AL284" s="96"/>
      <c r="AM284" s="217"/>
      <c r="AN284" s="94"/>
      <c r="AO284" s="94"/>
      <c r="AP284" s="94"/>
      <c r="AQ284" s="96"/>
      <c r="AR284" s="217"/>
      <c r="AS284" s="94"/>
      <c r="AT284" s="94"/>
      <c r="AU284" s="94"/>
      <c r="AV284" s="96"/>
      <c r="AW284" s="217"/>
      <c r="AX284" s="94"/>
      <c r="AY284" s="94"/>
      <c r="AZ284" s="94"/>
      <c r="BA284" s="96"/>
      <c r="BB284" s="217"/>
      <c r="BC284" s="94"/>
      <c r="BD284" s="94"/>
      <c r="BE284" s="94"/>
      <c r="BF284" s="96"/>
      <c r="BG284" s="217"/>
      <c r="BH284" s="94"/>
      <c r="BI284" s="712"/>
      <c r="BJ284" s="94"/>
      <c r="BK284" s="96"/>
      <c r="BL284" s="217"/>
      <c r="BM284" s="94"/>
      <c r="BN284" s="712"/>
      <c r="BO284" s="94"/>
      <c r="BP284" s="96"/>
      <c r="BQ284" s="217"/>
      <c r="BR284" s="94"/>
      <c r="BS284" s="712"/>
      <c r="BT284" s="94"/>
      <c r="BU284" s="96"/>
      <c r="BV284" s="217"/>
      <c r="BW284" s="94"/>
      <c r="BX284" s="712"/>
      <c r="BY284" s="94"/>
      <c r="BZ284" s="96"/>
      <c r="CA284" s="217"/>
      <c r="CB284" s="94"/>
      <c r="CC284" s="712"/>
      <c r="CD284" s="94"/>
      <c r="CE284" s="96"/>
      <c r="CF284" s="217"/>
      <c r="CG284" s="712"/>
      <c r="CH284" s="712"/>
      <c r="CI284" s="712"/>
      <c r="CJ284" s="712"/>
      <c r="CK284" s="217"/>
      <c r="CL284" s="96"/>
      <c r="CM284" s="96"/>
      <c r="CN284" s="96"/>
      <c r="CO284" s="96"/>
      <c r="CP284" s="217"/>
      <c r="CQ284" s="96"/>
      <c r="CR284" s="96"/>
      <c r="CS284" s="96"/>
      <c r="CT284" s="96"/>
      <c r="CU284" s="217"/>
      <c r="CV284" s="96"/>
      <c r="CW284" s="96"/>
      <c r="CX284" s="96"/>
      <c r="CY284" s="96"/>
      <c r="CZ284" s="217"/>
      <c r="DA284" s="96"/>
      <c r="DB284" s="96"/>
      <c r="DC284" s="96"/>
      <c r="DD284" s="96"/>
      <c r="DE284" s="217"/>
      <c r="DF284" s="104"/>
      <c r="DG284" s="1054"/>
      <c r="DH284" s="1054"/>
      <c r="DI284" s="96"/>
      <c r="DJ284" s="217"/>
      <c r="DK284" s="104"/>
      <c r="DL284" s="104"/>
      <c r="DM284" s="104"/>
      <c r="DN284" s="96"/>
      <c r="DO284" s="217"/>
      <c r="DP284" s="104"/>
      <c r="DQ284" s="104"/>
      <c r="DR284" s="104"/>
      <c r="DS284" s="96"/>
      <c r="DT284" s="217"/>
      <c r="DU284" s="104"/>
      <c r="DV284" s="104"/>
      <c r="DW284" s="104"/>
      <c r="DX284" s="96"/>
      <c r="DY284" s="217"/>
      <c r="DZ284" s="217"/>
      <c r="EA284" s="217"/>
      <c r="EB284" s="217"/>
    </row>
    <row r="285" spans="1:132" s="105" customFormat="1" ht="12" customHeight="1">
      <c r="A285" s="68"/>
      <c r="B285" s="164" t="s">
        <v>287</v>
      </c>
      <c r="C285" s="59"/>
      <c r="D285" s="59"/>
      <c r="E285" s="59"/>
      <c r="F285" s="66"/>
      <c r="G285" s="59"/>
      <c r="H285" s="59"/>
      <c r="I285" s="59"/>
      <c r="J285" s="66"/>
      <c r="K285" s="66"/>
      <c r="L285" s="66"/>
      <c r="M285" s="66"/>
      <c r="N285" s="59"/>
      <c r="O285" s="66"/>
      <c r="P285" s="66"/>
      <c r="Q285" s="66"/>
      <c r="R285" s="66"/>
      <c r="S285" s="59"/>
      <c r="T285" s="66"/>
      <c r="U285" s="66"/>
      <c r="V285" s="66"/>
      <c r="W285" s="66"/>
      <c r="X285" s="59"/>
      <c r="Y285" s="66"/>
      <c r="Z285" s="66"/>
      <c r="AA285" s="66"/>
      <c r="AB285" s="66"/>
      <c r="AC285" s="59"/>
      <c r="AD285" s="66"/>
      <c r="AE285" s="66"/>
      <c r="AF285" s="66"/>
      <c r="AG285" s="66"/>
      <c r="AH285" s="59"/>
      <c r="AI285" s="66"/>
      <c r="AJ285" s="66"/>
      <c r="AK285" s="66"/>
      <c r="AL285"/>
      <c r="AM285" s="59"/>
      <c r="AN285" s="66"/>
      <c r="AO285" s="66"/>
      <c r="AP285" s="66"/>
      <c r="AQ285"/>
      <c r="AR285" s="59"/>
      <c r="AS285" s="66"/>
      <c r="AT285" s="66"/>
      <c r="AU285" s="66"/>
      <c r="AV285"/>
      <c r="AW285" s="59"/>
      <c r="AX285" s="66"/>
      <c r="AY285" s="66"/>
      <c r="AZ285" s="66"/>
      <c r="BA285"/>
      <c r="BB285" s="59"/>
      <c r="BC285" s="66"/>
      <c r="BD285" s="66"/>
      <c r="BE285" s="66"/>
      <c r="BF285"/>
      <c r="BG285" s="59"/>
      <c r="BH285" s="66"/>
      <c r="BI285" s="713"/>
      <c r="BJ285" s="66"/>
      <c r="BK285"/>
      <c r="BL285" s="59"/>
      <c r="BM285" s="66"/>
      <c r="BN285" s="713"/>
      <c r="BO285" s="66"/>
      <c r="BP285"/>
      <c r="BQ285" s="59"/>
      <c r="BR285" s="66"/>
      <c r="BS285" s="713"/>
      <c r="BT285" s="66"/>
      <c r="BU285"/>
      <c r="BV285" s="59"/>
      <c r="BW285" s="66"/>
      <c r="BX285" s="713"/>
      <c r="BY285" s="66"/>
      <c r="BZ285"/>
      <c r="CA285" s="59"/>
      <c r="CB285" s="66"/>
      <c r="CC285" s="713"/>
      <c r="CD285" s="66"/>
      <c r="CE285"/>
      <c r="CF285" s="59"/>
      <c r="CG285" s="713"/>
      <c r="CH285" s="713"/>
      <c r="CI285" s="713"/>
      <c r="CJ285" s="713"/>
      <c r="CK285" s="59"/>
      <c r="CL285"/>
      <c r="CM285"/>
      <c r="CN285"/>
      <c r="CO285"/>
      <c r="CP285" s="59"/>
      <c r="CQ285"/>
      <c r="CR285"/>
      <c r="CS285"/>
      <c r="CT285"/>
      <c r="CU285" s="59"/>
      <c r="CV285"/>
      <c r="CW285"/>
      <c r="CX285"/>
      <c r="CY285"/>
      <c r="CZ285" s="59"/>
      <c r="DA285"/>
      <c r="DB285"/>
      <c r="DC285"/>
      <c r="DD285"/>
      <c r="DE285" s="59"/>
      <c r="DF285" s="66"/>
      <c r="DG285" s="437"/>
      <c r="DH285" s="437"/>
      <c r="DI285"/>
      <c r="DJ285" s="59"/>
      <c r="DK285" s="66"/>
      <c r="DL285" s="66"/>
      <c r="DM285" s="66"/>
      <c r="DN285"/>
      <c r="DO285" s="59"/>
      <c r="DP285" s="66"/>
      <c r="DQ285" s="66"/>
      <c r="DR285" s="66"/>
      <c r="DS285"/>
      <c r="DT285" s="59"/>
      <c r="DU285" s="66"/>
      <c r="DV285" s="66"/>
      <c r="DW285" s="66"/>
      <c r="DX285"/>
      <c r="DY285" s="59"/>
      <c r="DZ285" s="59"/>
      <c r="EA285" s="59"/>
      <c r="EB285" s="59"/>
    </row>
    <row r="286" spans="1:132" s="105" customFormat="1" ht="12" customHeight="1">
      <c r="A286" s="68"/>
      <c r="B286" s="45" t="s">
        <v>357</v>
      </c>
      <c r="C286" s="59"/>
      <c r="D286" s="59">
        <v>121</v>
      </c>
      <c r="E286" s="59">
        <v>125</v>
      </c>
      <c r="F286" s="66">
        <v>428</v>
      </c>
      <c r="G286" s="59">
        <v>920</v>
      </c>
      <c r="H286" s="59">
        <v>404</v>
      </c>
      <c r="I286" s="59">
        <v>67</v>
      </c>
      <c r="J286" s="66">
        <v>-97</v>
      </c>
      <c r="K286" s="66">
        <v>-97</v>
      </c>
      <c r="L286" s="66">
        <v>-93</v>
      </c>
      <c r="M286" s="66">
        <f>(-451-L286-K286-J286)</f>
        <v>-164</v>
      </c>
      <c r="N286" s="59">
        <f>(SUM(J286:M286))</f>
        <v>-451</v>
      </c>
      <c r="O286" s="66">
        <v>-234</v>
      </c>
      <c r="P286" s="66">
        <v>-164</v>
      </c>
      <c r="Q286" s="66">
        <v>-430</v>
      </c>
      <c r="R286" s="66">
        <f>(-1303-Q286-P286-O286)</f>
        <v>-475</v>
      </c>
      <c r="S286" s="59">
        <f>(SUM(O286:R286))</f>
        <v>-1303</v>
      </c>
      <c r="T286" s="66">
        <v>-268</v>
      </c>
      <c r="U286" s="66">
        <v>-261</v>
      </c>
      <c r="V286" s="66">
        <v>-260</v>
      </c>
      <c r="W286" s="66">
        <f>(-1050-V286-U286-T286)</f>
        <v>-261</v>
      </c>
      <c r="X286" s="59">
        <f>(SUM(T286:W286))</f>
        <v>-1050</v>
      </c>
      <c r="Y286" s="66">
        <v>-275</v>
      </c>
      <c r="Z286" s="66">
        <v>-276</v>
      </c>
      <c r="AA286" s="66">
        <v>-275</v>
      </c>
      <c r="AB286" s="66">
        <f>(-1101-AA286-Z286-Y286)</f>
        <v>-275</v>
      </c>
      <c r="AC286" s="59">
        <f>(SUM(Y286:AB286))</f>
        <v>-1101</v>
      </c>
      <c r="AD286" s="66">
        <v>-191</v>
      </c>
      <c r="AE286" s="66">
        <v>-216</v>
      </c>
      <c r="AF286" s="66">
        <v>-176</v>
      </c>
      <c r="AG286">
        <f>AH286-SUM(AD286:AF286)</f>
        <v>-113</v>
      </c>
      <c r="AH286" s="59">
        <v>-696</v>
      </c>
      <c r="AI286" s="66">
        <v>-219</v>
      </c>
      <c r="AJ286" s="66">
        <v>-207</v>
      </c>
      <c r="AK286" s="66">
        <v>-230</v>
      </c>
      <c r="AL286">
        <f>AM286-SUM(AI286:AK286)</f>
        <v>-223</v>
      </c>
      <c r="AM286" s="59">
        <v>-879</v>
      </c>
      <c r="AN286" s="66">
        <v>-284</v>
      </c>
      <c r="AO286" s="66">
        <f>-283</f>
        <v>-283</v>
      </c>
      <c r="AP286" s="66">
        <v>-280</v>
      </c>
      <c r="AQ286">
        <f>AR286-SUM(AN286:AP286)</f>
        <v>-254</v>
      </c>
      <c r="AR286" s="59">
        <v>-1101</v>
      </c>
      <c r="AS286" s="294">
        <v>-526</v>
      </c>
      <c r="AT286" s="294">
        <v>-389</v>
      </c>
      <c r="AU286" s="294">
        <v>-389</v>
      </c>
      <c r="AV286" s="294">
        <v>-344</v>
      </c>
      <c r="AW286" s="59">
        <f>+SUM(AS286:AV286)</f>
        <v>-1648</v>
      </c>
      <c r="AX286" s="294">
        <v>-655</v>
      </c>
      <c r="AY286" s="294">
        <v>-593</v>
      </c>
      <c r="AZ286" s="294">
        <v>-583</v>
      </c>
      <c r="BA286" s="294">
        <f>BB286-AZ286-AY286-AX286</f>
        <v>-576</v>
      </c>
      <c r="BB286" s="59">
        <v>-2407</v>
      </c>
      <c r="BC286" s="294">
        <v>-791</v>
      </c>
      <c r="BD286" s="294">
        <v>-753</v>
      </c>
      <c r="BE286" s="294">
        <v>-775</v>
      </c>
      <c r="BF286" s="294">
        <f>BG286-BE286-BD286-BC286</f>
        <v>-717</v>
      </c>
      <c r="BG286" s="59">
        <v>-3036</v>
      </c>
      <c r="BH286" s="294">
        <v>-801</v>
      </c>
      <c r="BI286" s="713">
        <v>-693</v>
      </c>
      <c r="BJ286" s="294">
        <v>-715</v>
      </c>
      <c r="BK286" s="294">
        <f>BL286-BJ286-BI286-BH286</f>
        <v>-1006</v>
      </c>
      <c r="BL286" s="59">
        <v>-3215</v>
      </c>
      <c r="BM286" s="294">
        <v>-664</v>
      </c>
      <c r="BN286" s="713">
        <v>-523</v>
      </c>
      <c r="BO286" s="294">
        <v>-529</v>
      </c>
      <c r="BP286" s="294">
        <f>BQ286-BO286-BN286-BM286</f>
        <v>-650</v>
      </c>
      <c r="BQ286" s="59">
        <v>-2366</v>
      </c>
      <c r="BR286" s="294">
        <v>-150</v>
      </c>
      <c r="BS286" s="713">
        <v>-463</v>
      </c>
      <c r="BT286" s="294">
        <v>-453</v>
      </c>
      <c r="BU286" s="294">
        <f>BV286-BT286-BS286-BR286</f>
        <v>-913</v>
      </c>
      <c r="BV286" s="59">
        <v>-1979</v>
      </c>
      <c r="BW286" s="294">
        <v>-80</v>
      </c>
      <c r="BX286" s="713">
        <v>-100</v>
      </c>
      <c r="BY286" s="713">
        <v>-100</v>
      </c>
      <c r="BZ286" s="294">
        <f>CA286-BY286-BX286-BW286</f>
        <v>-359</v>
      </c>
      <c r="CA286" s="59">
        <v>-639</v>
      </c>
      <c r="CB286" s="294">
        <v>-69</v>
      </c>
      <c r="CC286" s="713">
        <v>-111</v>
      </c>
      <c r="CD286" s="294">
        <v>-69</v>
      </c>
      <c r="CE286" s="294">
        <f>CF286-CD286-CC286-CB286</f>
        <v>-64</v>
      </c>
      <c r="CF286" s="59">
        <v>-313</v>
      </c>
      <c r="CG286" s="713">
        <v>-92</v>
      </c>
      <c r="CH286" s="713">
        <v>-93</v>
      </c>
      <c r="CI286" s="713">
        <v>-93</v>
      </c>
      <c r="CJ286" s="294">
        <f>CK286-CI286-CH286-CG286</f>
        <v>-35</v>
      </c>
      <c r="CK286" s="59">
        <v>-313</v>
      </c>
      <c r="CL286" s="713">
        <v>-87</v>
      </c>
      <c r="CM286" s="713">
        <v>-83</v>
      </c>
      <c r="CN286" s="713">
        <v>-83</v>
      </c>
      <c r="CO286" s="294">
        <f>CP286-CN286-CM286-CL286</f>
        <v>250</v>
      </c>
      <c r="CP286" s="59">
        <v>-3</v>
      </c>
      <c r="CQ286" s="713">
        <v>-176</v>
      </c>
      <c r="CR286" s="713">
        <v>-174</v>
      </c>
      <c r="CS286" s="713">
        <v>-29</v>
      </c>
      <c r="CT286" s="294">
        <f>CU286-CS286-CR286-CQ286</f>
        <v>376</v>
      </c>
      <c r="CU286" s="59">
        <v>-3</v>
      </c>
      <c r="CV286" s="713">
        <f>-439-220</f>
        <v>-659</v>
      </c>
      <c r="CW286" s="713">
        <v>-220</v>
      </c>
      <c r="CX286" s="294">
        <v>-225</v>
      </c>
      <c r="CY286" s="294">
        <f>CZ286-CX286-CW286-CV286</f>
        <v>1101</v>
      </c>
      <c r="CZ286" s="59">
        <v>-3</v>
      </c>
      <c r="DA286" s="713">
        <v>-134</v>
      </c>
      <c r="DB286" s="294">
        <v>-133</v>
      </c>
      <c r="DC286" s="294">
        <v>-133</v>
      </c>
      <c r="DD286" s="294">
        <f>DE286-DC286-DB286-DA286</f>
        <v>398</v>
      </c>
      <c r="DE286" s="59">
        <v>-2</v>
      </c>
      <c r="DF286" s="294">
        <v>-121</v>
      </c>
      <c r="DG286" s="437">
        <f>-242-DF286</f>
        <v>-121</v>
      </c>
      <c r="DH286" s="437">
        <f>+-363-DG286-DF286</f>
        <v>-121</v>
      </c>
      <c r="DI286" s="294">
        <f>+DJ286-SUM(DF286:DH286)</f>
        <v>-108</v>
      </c>
      <c r="DJ286" s="59">
        <v>-471</v>
      </c>
      <c r="DK286" s="66">
        <v>-42</v>
      </c>
      <c r="DL286" s="66"/>
      <c r="DM286" s="66"/>
      <c r="DN286" s="294"/>
      <c r="DO286" s="59"/>
      <c r="DP286" s="66"/>
      <c r="DQ286" s="66"/>
      <c r="DR286" s="66"/>
      <c r="DS286" s="294"/>
      <c r="DT286" s="59"/>
      <c r="DU286" s="66"/>
      <c r="DV286" s="66"/>
      <c r="DW286" s="66"/>
      <c r="DX286" s="294"/>
      <c r="DY286" s="59"/>
      <c r="DZ286" s="59"/>
      <c r="EA286" s="59"/>
      <c r="EB286" s="59"/>
    </row>
    <row r="287" spans="1:132" s="105" customFormat="1" ht="12" customHeight="1">
      <c r="A287" s="68"/>
      <c r="B287" s="68"/>
      <c r="C287" s="95"/>
      <c r="D287" s="113"/>
      <c r="E287" s="113"/>
      <c r="F287" s="114"/>
      <c r="G287" s="113"/>
      <c r="H287" s="113"/>
      <c r="I287" s="113"/>
      <c r="J287" s="114"/>
      <c r="K287" s="114"/>
      <c r="L287" s="114"/>
      <c r="M287" s="114"/>
      <c r="N287" s="113"/>
      <c r="O287" s="114"/>
      <c r="P287" s="114"/>
      <c r="Q287" s="114"/>
      <c r="R287" s="114"/>
      <c r="S287" s="113"/>
      <c r="T287" s="114"/>
      <c r="U287" s="114"/>
      <c r="V287" s="114"/>
      <c r="W287" s="114"/>
      <c r="X287" s="113"/>
      <c r="Y287" s="114"/>
      <c r="Z287" s="114"/>
      <c r="AA287" s="114"/>
      <c r="AB287" s="114"/>
      <c r="AC287" s="113"/>
      <c r="AD287" s="114"/>
      <c r="AE287" s="114"/>
      <c r="AF287" s="114"/>
      <c r="AG287" s="114"/>
      <c r="AH287" s="113"/>
      <c r="AI287" s="94"/>
      <c r="AJ287" s="94"/>
      <c r="AK287" s="94"/>
      <c r="AL287" s="96"/>
      <c r="AM287" s="217"/>
      <c r="AN287" s="94"/>
      <c r="AO287" s="94"/>
      <c r="AP287" s="94"/>
      <c r="AQ287" s="96"/>
      <c r="AR287" s="217"/>
      <c r="AS287" s="94"/>
      <c r="AT287" s="94"/>
      <c r="AU287" s="94"/>
      <c r="AV287" s="96"/>
      <c r="AW287" s="217"/>
      <c r="AX287" s="94"/>
      <c r="AY287" s="94"/>
      <c r="AZ287" s="94"/>
      <c r="BA287" s="96"/>
      <c r="BB287" s="217"/>
      <c r="BC287" s="94"/>
      <c r="BD287" s="94"/>
      <c r="BE287" s="94"/>
      <c r="BF287" s="96"/>
      <c r="BG287" s="217"/>
      <c r="BH287" s="94"/>
      <c r="BI287" s="712"/>
      <c r="BJ287" s="94"/>
      <c r="BK287" s="96"/>
      <c r="BL287" s="217"/>
      <c r="BM287" s="94"/>
      <c r="BN287" s="712"/>
      <c r="BO287" s="94"/>
      <c r="BP287" s="96"/>
      <c r="BQ287" s="217"/>
      <c r="BR287" s="94"/>
      <c r="BS287" s="712"/>
      <c r="BT287" s="94"/>
      <c r="BU287" s="96"/>
      <c r="BV287" s="217"/>
      <c r="BW287" s="94"/>
      <c r="BX287" s="712"/>
      <c r="BY287" s="94"/>
      <c r="BZ287" s="96"/>
      <c r="CA287" s="217"/>
      <c r="CB287" s="94"/>
      <c r="CC287" s="712"/>
      <c r="CD287" s="94"/>
      <c r="CE287" s="96"/>
      <c r="CF287" s="217"/>
      <c r="CG287" s="712"/>
      <c r="CH287" s="712"/>
      <c r="CI287" s="712"/>
      <c r="CJ287" s="712"/>
      <c r="CK287" s="217"/>
      <c r="CL287" s="96"/>
      <c r="CM287" s="96"/>
      <c r="CN287" s="96"/>
      <c r="CO287" s="96"/>
      <c r="CP287" s="217"/>
      <c r="CQ287" s="96"/>
      <c r="CR287" s="96"/>
      <c r="CS287" s="96"/>
      <c r="CT287" s="96"/>
      <c r="CU287" s="217"/>
      <c r="CV287" s="96"/>
      <c r="CW287" s="96"/>
      <c r="CX287" s="96"/>
      <c r="CY287" s="96"/>
      <c r="CZ287" s="217"/>
      <c r="DA287" s="96"/>
      <c r="DB287" s="96"/>
      <c r="DC287" s="96"/>
      <c r="DD287" s="96"/>
      <c r="DE287" s="217"/>
      <c r="DF287" s="104"/>
      <c r="DG287" s="1054"/>
      <c r="DH287" s="1054"/>
      <c r="DI287" s="96"/>
      <c r="DJ287" s="217"/>
      <c r="DK287" s="104"/>
      <c r="DL287" s="104"/>
      <c r="DM287" s="104"/>
      <c r="DN287" s="96"/>
      <c r="DO287" s="217"/>
      <c r="DP287" s="104"/>
      <c r="DQ287" s="104"/>
      <c r="DR287" s="104"/>
      <c r="DS287" s="96"/>
      <c r="DT287" s="217"/>
      <c r="DU287" s="104"/>
      <c r="DV287" s="104"/>
      <c r="DW287" s="104"/>
      <c r="DX287" s="96"/>
      <c r="DY287" s="217"/>
      <c r="DZ287" s="217"/>
      <c r="EA287" s="217"/>
      <c r="EB287" s="217"/>
    </row>
    <row r="288" spans="1:132" s="105" customFormat="1" ht="12" customHeight="1">
      <c r="A288" s="68"/>
      <c r="B288" s="68" t="s">
        <v>288</v>
      </c>
      <c r="C288" s="11"/>
      <c r="D288" s="11">
        <v>28887</v>
      </c>
      <c r="E288" s="11">
        <v>27621</v>
      </c>
      <c r="F288" s="10">
        <v>29102</v>
      </c>
      <c r="G288" s="11">
        <v>32693</v>
      </c>
      <c r="H288" s="11">
        <v>25122</v>
      </c>
      <c r="I288" s="11">
        <v>39931</v>
      </c>
      <c r="J288" s="10"/>
      <c r="K288" s="10"/>
      <c r="L288" s="10"/>
      <c r="M288" s="10"/>
      <c r="N288" s="11">
        <v>42781</v>
      </c>
      <c r="O288" s="10"/>
      <c r="P288" s="10"/>
      <c r="Q288" s="10"/>
      <c r="R288" s="10"/>
      <c r="S288" s="11">
        <v>45183</v>
      </c>
      <c r="T288" s="10"/>
      <c r="U288" s="10"/>
      <c r="V288" s="10"/>
      <c r="W288" s="10"/>
      <c r="X288" s="11">
        <v>45582</v>
      </c>
      <c r="Y288" s="10"/>
      <c r="Z288" s="10"/>
      <c r="AA288" s="10"/>
      <c r="AB288" s="10"/>
      <c r="AC288" s="11">
        <v>45734</v>
      </c>
      <c r="AD288" s="10"/>
      <c r="AE288" s="10"/>
      <c r="AF288" s="10"/>
      <c r="AG288" s="10"/>
      <c r="AH288" s="11">
        <v>49017</v>
      </c>
      <c r="AI288" s="10"/>
      <c r="AJ288" s="10"/>
      <c r="AK288" s="10"/>
      <c r="AL288" s="10"/>
      <c r="AM288" s="11">
        <v>52166</v>
      </c>
      <c r="AN288" s="10"/>
      <c r="AO288" s="10"/>
      <c r="AP288" s="10"/>
      <c r="AQ288" s="10"/>
      <c r="AR288" s="11">
        <v>59106</v>
      </c>
      <c r="AS288" s="10"/>
      <c r="AT288" s="10"/>
      <c r="AU288" s="10"/>
      <c r="AV288" s="10"/>
      <c r="AW288" s="11">
        <v>67651</v>
      </c>
      <c r="AX288" s="10"/>
      <c r="AY288" s="10"/>
      <c r="AZ288" s="10"/>
      <c r="BA288" s="10"/>
      <c r="BB288" s="11">
        <v>75895</v>
      </c>
      <c r="BC288" s="10"/>
      <c r="BD288" s="10"/>
      <c r="BE288" s="10"/>
      <c r="BF288" s="10"/>
      <c r="BG288" s="11">
        <v>68625</v>
      </c>
      <c r="BH288" s="10"/>
      <c r="BI288" s="717"/>
      <c r="BJ288" s="10"/>
      <c r="BK288" s="10"/>
      <c r="BL288" s="11">
        <v>78391</v>
      </c>
      <c r="BM288" s="10"/>
      <c r="BN288" s="717"/>
      <c r="BO288" s="10"/>
      <c r="BP288" s="10"/>
      <c r="BQ288" s="11">
        <v>74388</v>
      </c>
      <c r="BR288" s="10"/>
      <c r="BS288" s="717"/>
      <c r="BT288" s="10"/>
      <c r="BU288" s="10"/>
      <c r="BV288" s="11">
        <v>76745</v>
      </c>
      <c r="BW288" s="10"/>
      <c r="BX288" s="717"/>
      <c r="BY288" s="10"/>
      <c r="BZ288" s="10"/>
      <c r="CA288" s="11">
        <v>80393</v>
      </c>
      <c r="CB288" s="10"/>
      <c r="CC288" s="717"/>
      <c r="CD288" s="10"/>
      <c r="CE288" s="10"/>
      <c r="CF288" s="11">
        <v>71424</v>
      </c>
      <c r="CG288" s="717"/>
      <c r="CH288" s="717"/>
      <c r="CI288" s="717"/>
      <c r="CJ288" s="717"/>
      <c r="CK288" s="11">
        <v>77645</v>
      </c>
      <c r="CL288" s="10"/>
      <c r="CM288" s="10"/>
      <c r="CN288" s="10"/>
      <c r="CO288" s="10"/>
      <c r="CP288" s="11">
        <v>82415</v>
      </c>
      <c r="CQ288" s="10"/>
      <c r="CR288" s="10"/>
      <c r="CS288" s="10"/>
      <c r="CT288" s="10"/>
      <c r="CU288" s="11">
        <v>76635</v>
      </c>
      <c r="CV288" s="10"/>
      <c r="CW288" s="10"/>
      <c r="CX288" s="10"/>
      <c r="CY288" s="10"/>
      <c r="CZ288" s="11">
        <v>55117</v>
      </c>
      <c r="DA288" s="10"/>
      <c r="DB288" s="10"/>
      <c r="DC288" s="10"/>
      <c r="DD288" s="10"/>
      <c r="DE288" s="11">
        <v>54325</v>
      </c>
      <c r="DF288" s="10"/>
      <c r="DG288" s="393"/>
      <c r="DH288" s="393"/>
      <c r="DI288" s="10"/>
      <c r="DJ288" s="11">
        <v>50421</v>
      </c>
      <c r="DK288" s="10"/>
      <c r="DL288" s="10"/>
      <c r="DM288" s="10"/>
      <c r="DN288" s="10"/>
      <c r="DO288" s="11">
        <v>51425</v>
      </c>
      <c r="DP288" s="10"/>
      <c r="DQ288" s="10"/>
      <c r="DR288" s="10"/>
      <c r="DS288" s="10"/>
      <c r="DT288" s="11"/>
      <c r="DU288" s="10"/>
      <c r="DV288" s="10"/>
      <c r="DW288" s="10"/>
      <c r="DX288" s="10"/>
      <c r="DY288" s="11"/>
      <c r="DZ288" s="11"/>
      <c r="EA288" s="11"/>
      <c r="EB288" s="11"/>
    </row>
    <row r="289" spans="1:132" s="105" customFormat="1" ht="12" customHeight="1">
      <c r="A289" s="68"/>
      <c r="B289" s="68" t="s">
        <v>289</v>
      </c>
      <c r="C289" s="11"/>
      <c r="D289" s="11">
        <v>32609</v>
      </c>
      <c r="E289" s="11">
        <v>37026</v>
      </c>
      <c r="F289" s="10">
        <v>42856</v>
      </c>
      <c r="G289" s="11">
        <v>33810</v>
      </c>
      <c r="H289" s="11">
        <v>19709</v>
      </c>
      <c r="I289" s="11">
        <v>33209</v>
      </c>
      <c r="J289" s="10"/>
      <c r="K289" s="10"/>
      <c r="L289" s="10"/>
      <c r="M289" s="10"/>
      <c r="N289" s="11">
        <v>38977</v>
      </c>
      <c r="O289" s="10"/>
      <c r="P289" s="10"/>
      <c r="Q289" s="10"/>
      <c r="R289" s="10"/>
      <c r="S289" s="11">
        <v>43484</v>
      </c>
      <c r="T289" s="10"/>
      <c r="U289" s="10"/>
      <c r="V289" s="10"/>
      <c r="W289" s="10"/>
      <c r="X289" s="11">
        <v>46203</v>
      </c>
      <c r="Y289" s="10"/>
      <c r="Z289" s="10"/>
      <c r="AA289" s="10"/>
      <c r="AB289" s="10"/>
      <c r="AC289" s="11">
        <v>50439</v>
      </c>
      <c r="AD289" s="10"/>
      <c r="AE289" s="10"/>
      <c r="AF289" s="10"/>
      <c r="AG289" s="10"/>
      <c r="AH289" s="11">
        <v>40597</v>
      </c>
      <c r="AI289" s="10"/>
      <c r="AJ289" s="10"/>
      <c r="AK289" s="10"/>
      <c r="AL289" s="10"/>
      <c r="AM289" s="11">
        <v>45810</v>
      </c>
      <c r="AN289" s="10"/>
      <c r="AO289" s="10"/>
      <c r="AP289" s="10"/>
      <c r="AQ289" s="10"/>
      <c r="AR289" s="11">
        <v>49252</v>
      </c>
      <c r="AS289" s="10"/>
      <c r="AT289" s="10"/>
      <c r="AU289" s="10"/>
      <c r="AV289" s="10"/>
      <c r="AW289" s="11">
        <v>51051</v>
      </c>
      <c r="AX289" s="10"/>
      <c r="AY289" s="10"/>
      <c r="AZ289" s="10"/>
      <c r="BA289" s="10"/>
      <c r="BB289" s="11">
        <v>56178</v>
      </c>
      <c r="BC289" s="10"/>
      <c r="BD289" s="10"/>
      <c r="BE289" s="10"/>
      <c r="BF289" s="10"/>
      <c r="BG289" s="11">
        <v>58131</v>
      </c>
      <c r="BH289" s="10"/>
      <c r="BI289" s="717"/>
      <c r="BJ289" s="10"/>
      <c r="BK289" s="10"/>
      <c r="BL289" s="11">
        <v>61119</v>
      </c>
      <c r="BM289" s="10"/>
      <c r="BN289" s="717"/>
      <c r="BO289" s="10"/>
      <c r="BP289" s="10"/>
      <c r="BQ289" s="11">
        <v>56514</v>
      </c>
      <c r="BR289" s="10"/>
      <c r="BS289" s="717"/>
      <c r="BT289" s="10"/>
      <c r="BU289" s="10"/>
      <c r="BV289" s="11">
        <v>56692</v>
      </c>
      <c r="BW289" s="10"/>
      <c r="BX289" s="717"/>
      <c r="BY289" s="10"/>
      <c r="BZ289" s="10"/>
      <c r="CA289" s="11">
        <v>64011</v>
      </c>
      <c r="CB289" s="10"/>
      <c r="CC289" s="717"/>
      <c r="CD289" s="10"/>
      <c r="CE289" s="10"/>
      <c r="CF289" s="11">
        <v>56102</v>
      </c>
      <c r="CG289" s="717"/>
      <c r="CH289" s="717"/>
      <c r="CI289" s="717"/>
      <c r="CJ289" s="717"/>
      <c r="CK289" s="11">
        <v>61711</v>
      </c>
      <c r="CL289" s="10"/>
      <c r="CM289" s="10"/>
      <c r="CN289" s="10"/>
      <c r="CO289" s="10"/>
      <c r="CP289" s="11">
        <v>68696</v>
      </c>
      <c r="CQ289" s="10"/>
      <c r="CR289" s="10"/>
      <c r="CS289" s="10"/>
      <c r="CT289" s="10"/>
      <c r="CU289" s="11">
        <v>67813</v>
      </c>
      <c r="CV289" s="10"/>
      <c r="CW289" s="10"/>
      <c r="CX289" s="10"/>
      <c r="CY289" s="10"/>
      <c r="CZ289" s="11">
        <v>49825</v>
      </c>
      <c r="DA289" s="10"/>
      <c r="DB289" s="10"/>
      <c r="DC289" s="10"/>
      <c r="DD289" s="10"/>
      <c r="DE289" s="11">
        <v>48891</v>
      </c>
      <c r="DF289" s="10"/>
      <c r="DG289" s="393"/>
      <c r="DH289" s="393"/>
      <c r="DI289" s="10"/>
      <c r="DJ289" s="11">
        <v>48891</v>
      </c>
      <c r="DK289" s="10"/>
      <c r="DL289" s="10"/>
      <c r="DM289" s="10"/>
      <c r="DN289" s="10"/>
      <c r="DO289" s="11">
        <v>47147</v>
      </c>
      <c r="DP289" s="10"/>
      <c r="DQ289" s="10"/>
      <c r="DR289" s="10"/>
      <c r="DS289" s="10"/>
      <c r="DT289" s="11"/>
      <c r="DU289" s="10"/>
      <c r="DV289" s="10"/>
      <c r="DW289" s="10"/>
      <c r="DX289" s="10"/>
      <c r="DY289" s="11"/>
      <c r="DZ289" s="11"/>
      <c r="EA289" s="11"/>
      <c r="EB289" s="11"/>
    </row>
    <row r="290" spans="1:132" s="277" customFormat="1" ht="12" customHeight="1">
      <c r="A290" s="74"/>
      <c r="B290" s="74" t="s">
        <v>290</v>
      </c>
      <c r="C290" s="11"/>
      <c r="D290" s="11">
        <f t="shared" ref="D290:I290" si="649">D289-D288</f>
        <v>3722</v>
      </c>
      <c r="E290" s="11">
        <f t="shared" si="649"/>
        <v>9405</v>
      </c>
      <c r="F290" s="10">
        <f t="shared" si="649"/>
        <v>13754</v>
      </c>
      <c r="G290" s="11">
        <f t="shared" si="649"/>
        <v>1117</v>
      </c>
      <c r="H290" s="11">
        <f t="shared" si="649"/>
        <v>-5413</v>
      </c>
      <c r="I290" s="11">
        <f t="shared" si="649"/>
        <v>-6722</v>
      </c>
      <c r="J290" s="10"/>
      <c r="K290" s="10"/>
      <c r="L290" s="10"/>
      <c r="M290" s="10"/>
      <c r="N290" s="11">
        <f>N289-N288</f>
        <v>-3804</v>
      </c>
      <c r="O290" s="10"/>
      <c r="P290" s="10"/>
      <c r="Q290" s="10"/>
      <c r="R290" s="10"/>
      <c r="S290" s="11">
        <f>S289-S288</f>
        <v>-1699</v>
      </c>
      <c r="T290" s="10"/>
      <c r="U290" s="10"/>
      <c r="V290" s="10"/>
      <c r="W290" s="10"/>
      <c r="X290" s="11">
        <f>X289-X288</f>
        <v>621</v>
      </c>
      <c r="Y290" s="10"/>
      <c r="Z290" s="10"/>
      <c r="AA290" s="10"/>
      <c r="AB290" s="10"/>
      <c r="AC290" s="11">
        <f>AC289-AC288</f>
        <v>4705</v>
      </c>
      <c r="AD290" s="10"/>
      <c r="AE290" s="10"/>
      <c r="AF290" s="10"/>
      <c r="AG290" s="10"/>
      <c r="AH290" s="11">
        <f>AH289-AH288</f>
        <v>-8420</v>
      </c>
      <c r="AI290" s="10"/>
      <c r="AJ290" s="10"/>
      <c r="AK290" s="10"/>
      <c r="AL290" s="10"/>
      <c r="AM290" s="11">
        <f>AM289-AM288</f>
        <v>-6356</v>
      </c>
      <c r="AN290" s="10"/>
      <c r="AO290" s="10"/>
      <c r="AP290" s="10"/>
      <c r="AQ290" s="10"/>
      <c r="AR290" s="11">
        <f>AR289-AR288</f>
        <v>-9854</v>
      </c>
      <c r="AS290" s="10"/>
      <c r="AT290" s="10"/>
      <c r="AU290" s="10"/>
      <c r="AV290" s="10"/>
      <c r="AW290" s="11">
        <f>AW289-AW288</f>
        <v>-16600</v>
      </c>
      <c r="AX290" s="10"/>
      <c r="AY290" s="10"/>
      <c r="AZ290" s="10"/>
      <c r="BA290" s="10"/>
      <c r="BB290" s="11">
        <f>BB289-BB288</f>
        <v>-19717</v>
      </c>
      <c r="BC290" s="10"/>
      <c r="BD290" s="10"/>
      <c r="BE290" s="10"/>
      <c r="BF290" s="10"/>
      <c r="BG290" s="11">
        <f>BG289-BG288</f>
        <v>-10494</v>
      </c>
      <c r="BH290" s="10"/>
      <c r="BI290" s="717"/>
      <c r="BJ290" s="10"/>
      <c r="BK290" s="10"/>
      <c r="BL290" s="11">
        <f>BL289-BL288</f>
        <v>-17272</v>
      </c>
      <c r="BM290" s="10"/>
      <c r="BN290" s="717"/>
      <c r="BO290" s="10"/>
      <c r="BP290" s="10"/>
      <c r="BQ290" s="11">
        <f>BQ289-BQ288</f>
        <v>-17874</v>
      </c>
      <c r="BR290" s="10"/>
      <c r="BS290" s="717"/>
      <c r="BT290" s="10"/>
      <c r="BU290" s="10"/>
      <c r="BV290" s="11">
        <f>BV289-BV288</f>
        <v>-20053</v>
      </c>
      <c r="BW290" s="10"/>
      <c r="BX290" s="717"/>
      <c r="BY290" s="10"/>
      <c r="BZ290" s="10"/>
      <c r="CA290" s="11">
        <f>CA289-CA288</f>
        <v>-16382</v>
      </c>
      <c r="CB290" s="10"/>
      <c r="CC290" s="717"/>
      <c r="CD290" s="10"/>
      <c r="CE290" s="10"/>
      <c r="CF290" s="11">
        <f>CF289-CF288</f>
        <v>-15322</v>
      </c>
      <c r="CG290" s="717"/>
      <c r="CH290" s="717"/>
      <c r="CI290" s="717"/>
      <c r="CJ290" s="717"/>
      <c r="CK290" s="11">
        <f>CK289-CK288</f>
        <v>-15934</v>
      </c>
      <c r="CL290" s="10"/>
      <c r="CM290" s="10"/>
      <c r="CN290" s="10"/>
      <c r="CO290" s="10"/>
      <c r="CP290" s="11">
        <f>CP289-CP288</f>
        <v>-13719</v>
      </c>
      <c r="CQ290" s="10"/>
      <c r="CR290" s="10"/>
      <c r="CS290" s="10"/>
      <c r="CT290" s="10"/>
      <c r="CU290" s="11">
        <f>CU289-CU288</f>
        <v>-8822</v>
      </c>
      <c r="CV290" s="10"/>
      <c r="CW290" s="10"/>
      <c r="CX290" s="10"/>
      <c r="CY290" s="10"/>
      <c r="CZ290" s="11">
        <f>CZ289-CZ288</f>
        <v>-5292</v>
      </c>
      <c r="DA290" s="10"/>
      <c r="DB290" s="10"/>
      <c r="DC290" s="10"/>
      <c r="DD290" s="10"/>
      <c r="DE290" s="11">
        <f>DE289-DE288</f>
        <v>-5434</v>
      </c>
      <c r="DF290" s="10"/>
      <c r="DG290" s="393"/>
      <c r="DH290" s="393"/>
      <c r="DI290" s="10"/>
      <c r="DJ290" s="11">
        <v>-4847</v>
      </c>
      <c r="DK290" s="10"/>
      <c r="DL290" s="10"/>
      <c r="DM290" s="10"/>
      <c r="DN290" s="10"/>
      <c r="DO290" s="11">
        <v>-4278</v>
      </c>
      <c r="DP290" s="10"/>
      <c r="DQ290" s="10"/>
      <c r="DR290" s="10"/>
      <c r="DS290" s="10"/>
      <c r="DT290" s="11"/>
      <c r="DU290" s="10"/>
      <c r="DV290" s="10"/>
      <c r="DW290" s="10"/>
      <c r="DX290" s="10"/>
      <c r="DY290" s="11"/>
      <c r="DZ290" s="11"/>
      <c r="EA290" s="11"/>
      <c r="EB290" s="11"/>
    </row>
    <row r="291" spans="1:132" s="277" customFormat="1" ht="12" customHeight="1">
      <c r="A291" s="74"/>
      <c r="B291" s="102" t="s">
        <v>459</v>
      </c>
      <c r="C291" s="11"/>
      <c r="D291" s="11"/>
      <c r="E291" s="11"/>
      <c r="F291" s="10"/>
      <c r="G291" s="11"/>
      <c r="H291" s="11"/>
      <c r="I291" s="11"/>
      <c r="J291" s="10"/>
      <c r="K291" s="10"/>
      <c r="L291" s="10"/>
      <c r="M291" s="10"/>
      <c r="N291" s="11"/>
      <c r="O291" s="10"/>
      <c r="P291" s="10"/>
      <c r="Q291" s="10"/>
      <c r="R291" s="10"/>
      <c r="S291" s="11">
        <v>0</v>
      </c>
      <c r="T291" s="10"/>
      <c r="U291" s="10"/>
      <c r="V291" s="10"/>
      <c r="W291" s="10"/>
      <c r="X291" s="11">
        <v>-8389</v>
      </c>
      <c r="Y291" s="10"/>
      <c r="Z291" s="10"/>
      <c r="AA291" s="10"/>
      <c r="AB291" s="10"/>
      <c r="AC291" s="11">
        <v>-6969</v>
      </c>
      <c r="AD291" s="10"/>
      <c r="AE291" s="10"/>
      <c r="AF291" s="10"/>
      <c r="AG291" s="10"/>
      <c r="AH291" s="11">
        <v>-13421</v>
      </c>
      <c r="AI291" s="10"/>
      <c r="AJ291" s="10"/>
      <c r="AK291" s="10"/>
      <c r="AL291" s="10"/>
      <c r="AM291" s="11">
        <v>-12154</v>
      </c>
      <c r="AN291" s="10"/>
      <c r="AO291" s="10"/>
      <c r="AP291" s="10"/>
      <c r="AQ291" s="10"/>
      <c r="AR291" s="11">
        <v>-14079</v>
      </c>
      <c r="AS291" s="10"/>
      <c r="AT291" s="10"/>
      <c r="AU291" s="10"/>
      <c r="AV291" s="10"/>
      <c r="AW291" s="11">
        <v>-16755</v>
      </c>
      <c r="AX291" s="10"/>
      <c r="AY291" s="10"/>
      <c r="AZ291" s="10"/>
      <c r="BA291" s="10"/>
      <c r="BB291" s="11">
        <v>-17708</v>
      </c>
      <c r="BC291" s="10"/>
      <c r="BD291" s="10"/>
      <c r="BE291" s="10"/>
      <c r="BF291" s="10"/>
      <c r="BG291" s="11">
        <v>-10030</v>
      </c>
      <c r="BH291" s="10"/>
      <c r="BI291" s="717"/>
      <c r="BJ291" s="10"/>
      <c r="BK291" s="10"/>
      <c r="BL291" s="11">
        <v>-13812</v>
      </c>
      <c r="BM291" s="10"/>
      <c r="BN291" s="717"/>
      <c r="BO291" s="10"/>
      <c r="BP291" s="10"/>
      <c r="BQ291" s="11">
        <v>-12512</v>
      </c>
      <c r="BR291" s="10"/>
      <c r="BS291" s="717"/>
      <c r="BT291" s="10"/>
      <c r="BU291" s="10"/>
      <c r="BV291" s="11">
        <v>-13351</v>
      </c>
      <c r="BW291" s="10"/>
      <c r="BX291" s="717"/>
      <c r="BY291" s="10"/>
      <c r="BZ291" s="10"/>
      <c r="CA291" s="11">
        <v>-13404</v>
      </c>
      <c r="CB291" s="10"/>
      <c r="CC291" s="717"/>
      <c r="CD291" s="10"/>
      <c r="CE291" s="10"/>
      <c r="CF291" s="11">
        <v>-14920</v>
      </c>
      <c r="CG291" s="717"/>
      <c r="CH291" s="717"/>
      <c r="CI291" s="717"/>
      <c r="CJ291" s="717"/>
      <c r="CK291" s="11">
        <v>-15942</v>
      </c>
      <c r="CL291" s="10"/>
      <c r="CM291" s="10"/>
      <c r="CN291" s="10"/>
      <c r="CO291" s="10"/>
      <c r="CP291" s="11">
        <v>-17061</v>
      </c>
      <c r="CQ291" s="10"/>
      <c r="CR291" s="10"/>
      <c r="CS291" s="10"/>
      <c r="CT291" s="10"/>
      <c r="CU291" s="11">
        <v>-11561</v>
      </c>
      <c r="CV291" s="10"/>
      <c r="CW291" s="10"/>
      <c r="CX291" s="10"/>
      <c r="CY291" s="10"/>
      <c r="CZ291" s="11">
        <v>-9359</v>
      </c>
      <c r="DA291" s="10"/>
      <c r="DB291" s="10"/>
      <c r="DC291" s="10"/>
      <c r="DD291" s="10"/>
      <c r="DE291" s="11">
        <v>-10185</v>
      </c>
      <c r="DF291" s="10"/>
      <c r="DG291" s="393"/>
      <c r="DH291" s="393"/>
      <c r="DI291" s="10"/>
      <c r="DJ291" s="11">
        <v>-10528</v>
      </c>
      <c r="DK291" s="10"/>
      <c r="DL291" s="10"/>
      <c r="DM291" s="10"/>
      <c r="DN291" s="10"/>
      <c r="DO291" s="11"/>
      <c r="DP291" s="10"/>
      <c r="DQ291" s="10"/>
      <c r="DR291" s="10"/>
      <c r="DS291" s="10"/>
      <c r="DT291" s="11"/>
      <c r="DU291" s="10"/>
      <c r="DV291" s="10"/>
      <c r="DW291" s="10"/>
      <c r="DX291" s="10"/>
      <c r="DY291" s="11"/>
      <c r="DZ291" s="11"/>
      <c r="EA291" s="11"/>
      <c r="EB291" s="11"/>
    </row>
    <row r="292" spans="1:132" s="105" customFormat="1" ht="12" customHeight="1">
      <c r="A292" s="68"/>
      <c r="B292" s="166"/>
      <c r="C292" s="93"/>
      <c r="D292" s="93"/>
      <c r="E292" s="93"/>
      <c r="F292" s="93"/>
      <c r="G292" s="93"/>
      <c r="H292" s="93"/>
      <c r="I292" s="93"/>
      <c r="J292" s="75"/>
      <c r="K292" s="75"/>
      <c r="L292" s="75"/>
      <c r="M292" s="75"/>
      <c r="N292" s="93"/>
      <c r="O292" s="75"/>
      <c r="P292" s="75"/>
      <c r="Q292" s="75"/>
      <c r="R292" s="75"/>
      <c r="S292" s="93"/>
      <c r="T292" s="75"/>
      <c r="U292" s="75"/>
      <c r="V292" s="75"/>
      <c r="W292" s="75"/>
      <c r="X292" s="93"/>
      <c r="Y292" s="75"/>
      <c r="Z292" s="75"/>
      <c r="AA292" s="75"/>
      <c r="AB292" s="75"/>
      <c r="AC292" s="93"/>
      <c r="AD292" s="75"/>
      <c r="AE292" s="75"/>
      <c r="AF292" s="75"/>
      <c r="AG292" s="75"/>
      <c r="AH292" s="93"/>
      <c r="AI292" s="75"/>
      <c r="AJ292" s="75"/>
      <c r="AK292" s="75"/>
      <c r="AL292" s="75"/>
      <c r="AM292" s="93"/>
      <c r="AN292" s="75"/>
      <c r="AO292" s="75"/>
      <c r="AP292" s="75"/>
      <c r="AQ292" s="75"/>
      <c r="AR292" s="93"/>
      <c r="AS292" s="75"/>
      <c r="AT292" s="75"/>
      <c r="AU292" s="75"/>
      <c r="AV292" s="75"/>
      <c r="AW292" s="93"/>
      <c r="AX292" s="75"/>
      <c r="AY292" s="75"/>
      <c r="AZ292" s="75"/>
      <c r="BA292" s="75"/>
      <c r="BB292" s="93"/>
      <c r="BC292" s="75"/>
      <c r="BD292" s="75"/>
      <c r="BE292" s="75"/>
      <c r="BF292" s="75"/>
      <c r="BG292" s="93"/>
      <c r="BH292" s="75"/>
      <c r="BI292" s="710"/>
      <c r="BJ292" s="75"/>
      <c r="BK292" s="75"/>
      <c r="BL292" s="93"/>
      <c r="BM292" s="75"/>
      <c r="BN292" s="710"/>
      <c r="BO292" s="75"/>
      <c r="BP292" s="75"/>
      <c r="BQ292" s="93"/>
      <c r="BR292" s="75"/>
      <c r="BS292" s="710"/>
      <c r="BT292" s="75"/>
      <c r="BU292" s="75"/>
      <c r="BV292" s="93"/>
      <c r="BW292" s="75"/>
      <c r="BX292" s="710"/>
      <c r="BY292" s="75"/>
      <c r="BZ292" s="75"/>
      <c r="CA292" s="93"/>
      <c r="CB292" s="75"/>
      <c r="CC292" s="710"/>
      <c r="CD292" s="75"/>
      <c r="CE292" s="75"/>
      <c r="CF292" s="93"/>
      <c r="CG292" s="710"/>
      <c r="CH292" s="710"/>
      <c r="CI292" s="710"/>
      <c r="CJ292" s="710"/>
      <c r="CK292" s="93"/>
      <c r="CL292" s="75"/>
      <c r="CM292" s="75"/>
      <c r="CN292" s="75"/>
      <c r="CO292" s="75"/>
      <c r="CP292" s="93"/>
      <c r="CQ292" s="75"/>
      <c r="CR292" s="75"/>
      <c r="CS292" s="75"/>
      <c r="CT292" s="75"/>
      <c r="CU292" s="93"/>
      <c r="CV292" s="75"/>
      <c r="CW292" s="75"/>
      <c r="CX292" s="75"/>
      <c r="CY292" s="75"/>
      <c r="CZ292" s="93"/>
      <c r="DA292" s="75"/>
      <c r="DB292" s="75"/>
      <c r="DC292" s="75"/>
      <c r="DD292" s="75"/>
      <c r="DE292" s="93"/>
      <c r="DG292" s="278"/>
      <c r="DH292" s="278"/>
      <c r="DI292" s="75"/>
      <c r="DJ292" s="93"/>
      <c r="DN292" s="75"/>
      <c r="DO292" s="93"/>
      <c r="DS292" s="75"/>
      <c r="DT292" s="93"/>
      <c r="DX292" s="75"/>
      <c r="DY292" s="93"/>
      <c r="DZ292" s="93"/>
      <c r="EA292" s="93"/>
      <c r="EB292" s="93"/>
    </row>
    <row r="293" spans="1:132" s="105" customFormat="1" ht="12" customHeight="1">
      <c r="A293" s="68"/>
      <c r="B293" s="164" t="s">
        <v>318</v>
      </c>
      <c r="C293" s="93"/>
      <c r="D293" s="93"/>
      <c r="E293" s="93"/>
      <c r="F293" s="93"/>
      <c r="G293" s="93"/>
      <c r="H293" s="93"/>
      <c r="I293" s="93"/>
      <c r="J293" s="75"/>
      <c r="K293" s="75"/>
      <c r="L293" s="75"/>
      <c r="M293" s="75"/>
      <c r="N293" s="93"/>
      <c r="O293" s="75"/>
      <c r="P293" s="75"/>
      <c r="Q293" s="75"/>
      <c r="R293" s="75"/>
      <c r="S293" s="93"/>
      <c r="T293" s="75"/>
      <c r="U293" s="75"/>
      <c r="V293" s="75"/>
      <c r="W293" s="75"/>
      <c r="X293" s="438"/>
      <c r="Y293" s="75"/>
      <c r="Z293" s="75"/>
      <c r="AA293" s="75"/>
      <c r="AB293" s="75"/>
      <c r="AC293" s="438"/>
      <c r="AD293" s="75"/>
      <c r="AE293" s="75"/>
      <c r="AF293" s="75"/>
      <c r="AG293" s="75"/>
      <c r="AH293" s="438"/>
      <c r="AI293" s="75"/>
      <c r="AJ293" s="75"/>
      <c r="AK293" s="75"/>
      <c r="AL293" s="75"/>
      <c r="AM293" s="438"/>
      <c r="AN293" s="75"/>
      <c r="AO293" s="75"/>
      <c r="AP293" s="75"/>
      <c r="AQ293" s="75"/>
      <c r="AR293" s="438"/>
      <c r="AS293" s="75"/>
      <c r="AT293" s="75"/>
      <c r="AU293" s="75"/>
      <c r="AV293" s="75"/>
      <c r="AW293" s="93"/>
      <c r="AX293" s="75"/>
      <c r="AY293" s="75"/>
      <c r="AZ293" s="75"/>
      <c r="BA293" s="75"/>
      <c r="BB293" s="93"/>
      <c r="BC293" s="75"/>
      <c r="BD293" s="75"/>
      <c r="BE293" s="75"/>
      <c r="BF293" s="75"/>
      <c r="BG293" s="93"/>
      <c r="BH293" s="75"/>
      <c r="BI293" s="710"/>
      <c r="BJ293" s="75"/>
      <c r="BK293" s="75"/>
      <c r="BL293" s="93"/>
      <c r="BM293" s="75"/>
      <c r="BN293" s="710"/>
      <c r="BO293" s="75"/>
      <c r="BP293" s="75"/>
      <c r="BQ293" s="93"/>
      <c r="BR293" s="75"/>
      <c r="BS293" s="710"/>
      <c r="BT293" s="75"/>
      <c r="BU293" s="75"/>
      <c r="BV293" s="93"/>
      <c r="BW293" s="75"/>
      <c r="BX293" s="710"/>
      <c r="BY293" s="75"/>
      <c r="BZ293" s="75"/>
      <c r="CA293" s="93"/>
      <c r="CB293" s="75"/>
      <c r="CC293" s="710"/>
      <c r="CD293" s="75"/>
      <c r="CE293" s="75"/>
      <c r="CF293" s="93"/>
      <c r="CG293" s="710"/>
      <c r="CH293" s="710"/>
      <c r="CI293" s="710"/>
      <c r="CJ293" s="710"/>
      <c r="CK293" s="93"/>
      <c r="CL293" s="75"/>
      <c r="CM293" s="75"/>
      <c r="CN293" s="75"/>
      <c r="CO293" s="75"/>
      <c r="CP293" s="93"/>
      <c r="CQ293" s="75"/>
      <c r="CR293" s="75"/>
      <c r="CS293" s="75"/>
      <c r="CT293" s="75"/>
      <c r="CU293" s="93"/>
      <c r="CV293" s="75"/>
      <c r="CW293" s="75"/>
      <c r="CX293" s="75"/>
      <c r="CY293" s="75"/>
      <c r="CZ293" s="93"/>
      <c r="DA293" s="75"/>
      <c r="DB293" s="75"/>
      <c r="DC293" s="75"/>
      <c r="DD293" s="75"/>
      <c r="DE293" s="93"/>
      <c r="DG293" s="278"/>
      <c r="DH293" s="278"/>
      <c r="DI293" s="75"/>
      <c r="DJ293" s="93"/>
      <c r="DN293" s="75"/>
      <c r="DO293" s="93"/>
      <c r="DS293" s="75"/>
      <c r="DT293" s="93"/>
      <c r="DX293" s="75"/>
      <c r="DY293" s="93"/>
      <c r="DZ293" s="93"/>
      <c r="EA293" s="93"/>
      <c r="EB293" s="93"/>
    </row>
    <row r="294" spans="1:132" s="105" customFormat="1" ht="12" customHeight="1">
      <c r="A294" s="68"/>
      <c r="B294" s="68" t="s">
        <v>105</v>
      </c>
      <c r="C294" s="76">
        <v>1208</v>
      </c>
      <c r="D294" s="76">
        <v>1021</v>
      </c>
      <c r="E294" s="76">
        <v>585</v>
      </c>
      <c r="F294" s="76">
        <v>585</v>
      </c>
      <c r="G294" s="76">
        <v>858</v>
      </c>
      <c r="H294" s="76">
        <v>768</v>
      </c>
      <c r="I294" s="76">
        <v>676</v>
      </c>
      <c r="J294" s="77">
        <v>225</v>
      </c>
      <c r="K294" s="77">
        <v>251</v>
      </c>
      <c r="L294" s="77">
        <v>220</v>
      </c>
      <c r="M294" s="77">
        <f>N294-L294-K294-J294</f>
        <v>245</v>
      </c>
      <c r="N294" s="76">
        <v>941</v>
      </c>
      <c r="O294" s="77">
        <v>291</v>
      </c>
      <c r="P294" s="77">
        <v>343</v>
      </c>
      <c r="Q294" s="77">
        <v>287</v>
      </c>
      <c r="R294" s="77">
        <f>S294-Q294-P294-O294</f>
        <v>381</v>
      </c>
      <c r="S294" s="76">
        <v>1302</v>
      </c>
      <c r="T294" s="77">
        <v>530</v>
      </c>
      <c r="U294" s="77">
        <v>526</v>
      </c>
      <c r="V294" s="77">
        <v>612</v>
      </c>
      <c r="W294" s="77">
        <f>X294-V294-U294-T294</f>
        <v>722</v>
      </c>
      <c r="X294" s="76">
        <v>2390</v>
      </c>
      <c r="Y294" s="77">
        <v>788</v>
      </c>
      <c r="Z294" s="77">
        <v>769</v>
      </c>
      <c r="AA294" s="77">
        <v>635</v>
      </c>
      <c r="AB294" s="77">
        <f>AC294-AA294-Z294-Y294</f>
        <v>770</v>
      </c>
      <c r="AC294" s="76">
        <v>2962</v>
      </c>
      <c r="AD294" s="77">
        <v>633</v>
      </c>
      <c r="AE294" s="77">
        <v>770</v>
      </c>
      <c r="AF294" s="77">
        <v>705</v>
      </c>
      <c r="AG294" s="77">
        <f>AH294-AF294-AE294-AD294</f>
        <v>730</v>
      </c>
      <c r="AH294" s="76">
        <v>2838</v>
      </c>
      <c r="AI294" s="77">
        <v>711</v>
      </c>
      <c r="AJ294" s="77">
        <v>659</v>
      </c>
      <c r="AK294" s="77">
        <v>3272</v>
      </c>
      <c r="AL294" s="68">
        <v>741</v>
      </c>
      <c r="AM294" s="59">
        <f>SUM(AI294:AL294)</f>
        <v>5383</v>
      </c>
      <c r="AN294" s="77">
        <v>698</v>
      </c>
      <c r="AO294" s="77">
        <v>693</v>
      </c>
      <c r="AP294" s="77">
        <v>711</v>
      </c>
      <c r="AQ294" s="68">
        <v>873</v>
      </c>
      <c r="AR294" s="59">
        <f>SUM(AN294:AQ294)</f>
        <v>2975</v>
      </c>
      <c r="AS294" s="288">
        <v>787</v>
      </c>
      <c r="AT294" s="288">
        <v>771</v>
      </c>
      <c r="AU294" s="288">
        <v>633</v>
      </c>
      <c r="AV294" s="288">
        <v>524</v>
      </c>
      <c r="AW294" s="59">
        <f>SUM(AS294:AV294)</f>
        <v>2715</v>
      </c>
      <c r="AX294" s="288">
        <v>544</v>
      </c>
      <c r="AY294" s="288">
        <v>560</v>
      </c>
      <c r="AZ294" s="288">
        <v>534</v>
      </c>
      <c r="BA294" s="288">
        <v>411</v>
      </c>
      <c r="BB294" s="59">
        <f>SUM(AX294:BA294)</f>
        <v>2049</v>
      </c>
      <c r="BC294" s="543">
        <v>419</v>
      </c>
      <c r="BD294" s="543">
        <v>446</v>
      </c>
      <c r="BE294" s="288">
        <v>432</v>
      </c>
      <c r="BF294" s="288">
        <f>BG294-SUM(BC294:BE294)</f>
        <v>510</v>
      </c>
      <c r="BG294" s="59">
        <v>1807</v>
      </c>
      <c r="BH294" s="543">
        <v>529</v>
      </c>
      <c r="BI294" s="703">
        <v>441</v>
      </c>
      <c r="BJ294" s="288">
        <v>452</v>
      </c>
      <c r="BK294" s="288">
        <f>BL294-SUM(BH294:BJ294)</f>
        <v>459</v>
      </c>
      <c r="BL294" s="59">
        <v>1881</v>
      </c>
      <c r="BM294" s="543">
        <v>543</v>
      </c>
      <c r="BN294" s="703">
        <v>554</v>
      </c>
      <c r="BO294" s="288">
        <v>616</v>
      </c>
      <c r="BP294" s="288">
        <f>BQ294-SUM(BM294:BO294)</f>
        <v>627</v>
      </c>
      <c r="BQ294" s="59">
        <v>2340</v>
      </c>
      <c r="BR294" s="543">
        <v>659</v>
      </c>
      <c r="BS294" s="703">
        <v>1860</v>
      </c>
      <c r="BT294" s="288">
        <v>633</v>
      </c>
      <c r="BU294" s="288">
        <v>554</v>
      </c>
      <c r="BV294" s="59">
        <f>SUM(BR294:BU294)</f>
        <v>3706</v>
      </c>
      <c r="BW294" s="543">
        <v>625</v>
      </c>
      <c r="BX294" s="703">
        <v>592</v>
      </c>
      <c r="BY294" s="288">
        <v>538</v>
      </c>
      <c r="BZ294" s="288">
        <f>+CA294-SUM(BW294:BY294)</f>
        <v>492</v>
      </c>
      <c r="CA294" s="59">
        <v>2247</v>
      </c>
      <c r="CB294" s="543">
        <v>549</v>
      </c>
      <c r="CC294" s="703">
        <v>550</v>
      </c>
      <c r="CD294" s="288">
        <v>517</v>
      </c>
      <c r="CE294" s="288">
        <f>+CF294-SUM(CB294:CD294)</f>
        <v>572</v>
      </c>
      <c r="CF294" s="59">
        <v>2188</v>
      </c>
      <c r="CG294" s="703">
        <v>564</v>
      </c>
      <c r="CH294" s="703">
        <v>498</v>
      </c>
      <c r="CI294" s="703">
        <v>467</v>
      </c>
      <c r="CJ294" s="288">
        <f>+CK294-SUM(CG294:CI294)</f>
        <v>427</v>
      </c>
      <c r="CK294" s="59">
        <v>1956</v>
      </c>
      <c r="CL294" s="288">
        <v>425</v>
      </c>
      <c r="CM294" s="288">
        <v>361</v>
      </c>
      <c r="CN294" s="288">
        <v>321</v>
      </c>
      <c r="CO294" s="288">
        <f>+CP294-SUM(CL294:CN294)</f>
        <v>278</v>
      </c>
      <c r="CP294" s="59">
        <v>1385</v>
      </c>
      <c r="CQ294" s="288">
        <v>269</v>
      </c>
      <c r="CR294" s="288">
        <v>255</v>
      </c>
      <c r="CS294" s="288">
        <v>293</v>
      </c>
      <c r="CT294" s="288">
        <f>+CU294-SUM(CQ294:CS294)</f>
        <v>323</v>
      </c>
      <c r="CU294" s="59">
        <v>1140</v>
      </c>
      <c r="CV294" s="288"/>
      <c r="CW294" s="288"/>
      <c r="CX294" s="288"/>
      <c r="CY294" s="288"/>
      <c r="CZ294" s="59">
        <v>1510</v>
      </c>
      <c r="DA294" s="288"/>
      <c r="DB294" s="288"/>
      <c r="DC294" s="288"/>
      <c r="DD294" s="288"/>
      <c r="DE294" s="59">
        <v>2036</v>
      </c>
      <c r="DF294" s="66"/>
      <c r="DG294" s="437"/>
      <c r="DH294" s="437"/>
      <c r="DI294" s="288"/>
      <c r="DJ294" s="59">
        <v>2386</v>
      </c>
      <c r="DK294" s="66"/>
      <c r="DL294" s="66"/>
      <c r="DM294" s="66"/>
      <c r="DN294" s="288"/>
      <c r="DO294" s="59">
        <v>2202</v>
      </c>
      <c r="DP294" s="66"/>
      <c r="DQ294" s="66"/>
      <c r="DR294" s="66"/>
      <c r="DS294" s="288"/>
      <c r="DT294" s="59"/>
      <c r="DU294" s="66"/>
      <c r="DV294" s="66"/>
      <c r="DW294" s="66"/>
      <c r="DX294" s="288"/>
      <c r="DY294" s="59"/>
      <c r="DZ294" s="59"/>
      <c r="EA294" s="59"/>
      <c r="EB294" s="59"/>
    </row>
    <row r="295" spans="1:132" s="105" customFormat="1" ht="12" hidden="1" customHeight="1" outlineLevel="1">
      <c r="A295" s="68"/>
      <c r="B295" s="157" t="s">
        <v>106</v>
      </c>
      <c r="C295" s="76"/>
      <c r="D295" s="76"/>
      <c r="E295" s="76"/>
      <c r="F295" s="76"/>
      <c r="G295" s="76"/>
      <c r="H295" s="76"/>
      <c r="I295" s="76"/>
      <c r="J295" s="77"/>
      <c r="K295" s="77"/>
      <c r="L295" s="77"/>
      <c r="M295" s="77"/>
      <c r="N295" s="76"/>
      <c r="O295" s="77">
        <v>94</v>
      </c>
      <c r="P295" s="77">
        <v>116</v>
      </c>
      <c r="Q295" s="77">
        <v>118</v>
      </c>
      <c r="R295" s="77">
        <f>S295-SUM(O295:Q295)</f>
        <v>112</v>
      </c>
      <c r="S295" s="76">
        <v>440</v>
      </c>
      <c r="T295" s="77">
        <v>106</v>
      </c>
      <c r="U295" s="77">
        <v>101</v>
      </c>
      <c r="V295" s="77">
        <v>90</v>
      </c>
      <c r="W295" s="77">
        <f>X295-SUM(T295:V295)</f>
        <v>107</v>
      </c>
      <c r="X295" s="76">
        <v>404</v>
      </c>
      <c r="Y295" s="77">
        <v>110</v>
      </c>
      <c r="Z295" s="77">
        <v>110</v>
      </c>
      <c r="AA295" s="77">
        <v>118</v>
      </c>
      <c r="AB295" s="77">
        <f>AC295-SUM(Y295:AA295)</f>
        <v>109</v>
      </c>
      <c r="AC295" s="76">
        <v>447</v>
      </c>
      <c r="AD295" s="77">
        <v>125</v>
      </c>
      <c r="AE295" s="77">
        <v>115</v>
      </c>
      <c r="AF295" s="77">
        <v>121</v>
      </c>
      <c r="AG295" s="77">
        <f>AH295-AF295-AE295-AD295</f>
        <v>121</v>
      </c>
      <c r="AH295" s="76">
        <v>482</v>
      </c>
      <c r="AI295" s="77">
        <v>130</v>
      </c>
      <c r="AJ295" s="77">
        <v>157</v>
      </c>
      <c r="AK295" s="77">
        <v>143</v>
      </c>
      <c r="AL295" s="288">
        <v>111</v>
      </c>
      <c r="AM295" s="59">
        <f>SUM(AI295:AL295)</f>
        <v>541</v>
      </c>
      <c r="AN295" s="77">
        <v>162</v>
      </c>
      <c r="AO295" s="77">
        <v>158</v>
      </c>
      <c r="AP295" s="77">
        <v>139</v>
      </c>
      <c r="AQ295" s="288">
        <v>130</v>
      </c>
      <c r="AR295" s="59">
        <f>SUM(AN295:AQ295)</f>
        <v>589</v>
      </c>
      <c r="AS295" s="543">
        <v>125</v>
      </c>
      <c r="AT295" s="543">
        <v>125</v>
      </c>
      <c r="AU295" s="543">
        <v>119</v>
      </c>
      <c r="AV295" s="543">
        <v>172</v>
      </c>
      <c r="AW295" s="59">
        <f>SUM(AS295:AV295)</f>
        <v>541</v>
      </c>
      <c r="AX295" s="543">
        <v>145</v>
      </c>
      <c r="AY295" s="543">
        <v>144</v>
      </c>
      <c r="AZ295" s="543">
        <v>166</v>
      </c>
      <c r="BA295" s="580"/>
      <c r="BB295" s="59"/>
      <c r="BC295" s="543"/>
      <c r="BD295" s="543"/>
      <c r="BE295" s="543"/>
      <c r="BF295" s="580"/>
      <c r="BG295" s="59"/>
      <c r="BH295" s="543"/>
      <c r="BI295" s="703"/>
      <c r="BJ295" s="543"/>
      <c r="BK295" s="580"/>
      <c r="BL295" s="59"/>
      <c r="BM295" s="543"/>
      <c r="BN295" s="703"/>
      <c r="BO295" s="543"/>
      <c r="BP295" s="580"/>
      <c r="BQ295" s="59"/>
      <c r="BR295" s="543"/>
      <c r="BS295" s="703"/>
      <c r="BT295" s="543"/>
      <c r="BU295" s="580"/>
      <c r="BV295" s="59"/>
      <c r="BW295" s="543"/>
      <c r="BX295" s="703"/>
      <c r="BY295" s="543"/>
      <c r="BZ295" s="288">
        <f t="shared" ref="BZ295:BZ306" si="650">+CA295-SUM(BW295:BY295)</f>
        <v>0</v>
      </c>
      <c r="CA295" s="59"/>
      <c r="CB295" s="543"/>
      <c r="CC295" s="703"/>
      <c r="CD295" s="543"/>
      <c r="CE295" s="288">
        <f t="shared" ref="CE295:CE306" si="651">+CF295-SUM(CB295:CD295)</f>
        <v>0</v>
      </c>
      <c r="CF295" s="59"/>
      <c r="CG295" s="703"/>
      <c r="CH295" s="703"/>
      <c r="CI295" s="703"/>
      <c r="CJ295" s="288">
        <f t="shared" ref="CJ295:CJ306" si="652">+CK295-SUM(CG295:CI295)</f>
        <v>0</v>
      </c>
      <c r="CK295" s="59"/>
      <c r="CL295" s="580"/>
      <c r="CM295" s="580"/>
      <c r="CN295" s="580"/>
      <c r="CO295" s="288">
        <f t="shared" ref="CO295:CO306" si="653">+CP295-SUM(CL295:CN295)</f>
        <v>0</v>
      </c>
      <c r="CP295" s="59"/>
      <c r="CQ295" s="580"/>
      <c r="CR295" s="580"/>
      <c r="CS295" s="580"/>
      <c r="CT295" s="288">
        <f t="shared" ref="CT295:CT306" si="654">+CU295-SUM(CQ295:CS295)</f>
        <v>0</v>
      </c>
      <c r="CU295" s="59"/>
      <c r="CV295" s="580"/>
      <c r="CW295" s="580"/>
      <c r="CX295" s="580"/>
      <c r="CY295" s="580"/>
      <c r="CZ295" s="59"/>
      <c r="DA295" s="580"/>
      <c r="DB295" s="580"/>
      <c r="DC295" s="580"/>
      <c r="DD295" s="580"/>
      <c r="DE295" s="59"/>
      <c r="DF295" s="66"/>
      <c r="DG295" s="437"/>
      <c r="DH295" s="437"/>
      <c r="DI295" s="580"/>
      <c r="DJ295" s="59"/>
      <c r="DK295" s="66"/>
      <c r="DL295" s="66"/>
      <c r="DM295" s="66"/>
      <c r="DN295" s="580"/>
      <c r="DO295" s="59"/>
      <c r="DP295" s="66"/>
      <c r="DQ295" s="66"/>
      <c r="DR295" s="66"/>
      <c r="DS295" s="580"/>
      <c r="DT295" s="59"/>
      <c r="DU295" s="66"/>
      <c r="DV295" s="66"/>
      <c r="DW295" s="66"/>
      <c r="DX295" s="580"/>
      <c r="DY295" s="59"/>
      <c r="DZ295" s="59"/>
      <c r="EA295" s="59"/>
      <c r="EB295" s="59"/>
    </row>
    <row r="296" spans="1:132" s="105" customFormat="1" ht="12" hidden="1" customHeight="1" outlineLevel="1">
      <c r="A296" s="68"/>
      <c r="B296" s="157" t="s">
        <v>107</v>
      </c>
      <c r="C296" s="76"/>
      <c r="D296" s="76"/>
      <c r="E296" s="76"/>
      <c r="F296" s="76"/>
      <c r="G296" s="76"/>
      <c r="H296" s="76"/>
      <c r="I296" s="76"/>
      <c r="J296" s="77"/>
      <c r="K296" s="77"/>
      <c r="L296" s="77"/>
      <c r="M296" s="77"/>
      <c r="N296" s="76"/>
      <c r="O296" s="77">
        <v>78</v>
      </c>
      <c r="P296" s="77">
        <v>96</v>
      </c>
      <c r="Q296" s="77">
        <v>84</v>
      </c>
      <c r="R296" s="77">
        <f>S296-SUM(O296:Q296)</f>
        <v>76</v>
      </c>
      <c r="S296" s="76">
        <v>334</v>
      </c>
      <c r="T296" s="77">
        <v>77</v>
      </c>
      <c r="U296" s="77">
        <v>80</v>
      </c>
      <c r="V296" s="77">
        <v>68</v>
      </c>
      <c r="W296" s="77">
        <f>X296-SUM(T296:V296)</f>
        <v>76</v>
      </c>
      <c r="X296" s="76">
        <v>301</v>
      </c>
      <c r="Y296" s="77">
        <v>73</v>
      </c>
      <c r="Z296" s="77">
        <v>76</v>
      </c>
      <c r="AA296" s="77">
        <v>82</v>
      </c>
      <c r="AB296" s="77">
        <f>AC296-SUM(Y296:AA296)</f>
        <v>69</v>
      </c>
      <c r="AC296" s="76">
        <v>300</v>
      </c>
      <c r="AD296" s="77">
        <v>76</v>
      </c>
      <c r="AE296" s="77">
        <v>78</v>
      </c>
      <c r="AF296" s="77">
        <v>73</v>
      </c>
      <c r="AG296" s="77">
        <f>AH296-AF296-AE296-AD296</f>
        <v>71</v>
      </c>
      <c r="AH296" s="76">
        <v>298</v>
      </c>
      <c r="AI296" s="77">
        <v>86</v>
      </c>
      <c r="AJ296" s="77">
        <v>99</v>
      </c>
      <c r="AK296" s="77">
        <v>108</v>
      </c>
      <c r="AL296" s="288">
        <v>104</v>
      </c>
      <c r="AM296" s="59">
        <f>SUM(AI296:AL296)</f>
        <v>397</v>
      </c>
      <c r="AN296" s="77">
        <v>106</v>
      </c>
      <c r="AO296" s="77">
        <v>115</v>
      </c>
      <c r="AP296" s="77">
        <v>106</v>
      </c>
      <c r="AQ296" s="288">
        <v>90</v>
      </c>
      <c r="AR296" s="59">
        <f>SUM(AN296:AQ296)</f>
        <v>417</v>
      </c>
      <c r="AS296" s="543">
        <v>104</v>
      </c>
      <c r="AT296" s="543">
        <v>107</v>
      </c>
      <c r="AU296" s="543">
        <v>109</v>
      </c>
      <c r="AV296" s="543">
        <v>156</v>
      </c>
      <c r="AW296" s="59">
        <f>SUM(AS296:AV296)</f>
        <v>476</v>
      </c>
      <c r="AX296" s="543">
        <v>107</v>
      </c>
      <c r="AY296" s="543">
        <v>112</v>
      </c>
      <c r="AZ296" s="543">
        <v>116</v>
      </c>
      <c r="BA296" s="580"/>
      <c r="BB296" s="59"/>
      <c r="BC296" s="543"/>
      <c r="BD296" s="543"/>
      <c r="BE296" s="543"/>
      <c r="BF296" s="580"/>
      <c r="BG296" s="59"/>
      <c r="BH296" s="543"/>
      <c r="BI296" s="703"/>
      <c r="BJ296" s="543"/>
      <c r="BK296" s="580"/>
      <c r="BL296" s="59"/>
      <c r="BM296" s="543"/>
      <c r="BN296" s="703"/>
      <c r="BO296" s="543"/>
      <c r="BP296" s="580"/>
      <c r="BQ296" s="59"/>
      <c r="BR296" s="543"/>
      <c r="BS296" s="703"/>
      <c r="BT296" s="543"/>
      <c r="BU296" s="580"/>
      <c r="BV296" s="59"/>
      <c r="BW296" s="543"/>
      <c r="BX296" s="703"/>
      <c r="BY296" s="543"/>
      <c r="BZ296" s="288">
        <f t="shared" si="650"/>
        <v>0</v>
      </c>
      <c r="CA296" s="59"/>
      <c r="CB296" s="543"/>
      <c r="CC296" s="703"/>
      <c r="CD296" s="543"/>
      <c r="CE296" s="288">
        <f t="shared" si="651"/>
        <v>0</v>
      </c>
      <c r="CF296" s="59"/>
      <c r="CG296" s="703"/>
      <c r="CH296" s="703"/>
      <c r="CI296" s="703"/>
      <c r="CJ296" s="288">
        <f t="shared" si="652"/>
        <v>0</v>
      </c>
      <c r="CK296" s="59"/>
      <c r="CL296" s="580"/>
      <c r="CM296" s="580"/>
      <c r="CN296" s="580"/>
      <c r="CO296" s="288">
        <f t="shared" si="653"/>
        <v>0</v>
      </c>
      <c r="CP296" s="59"/>
      <c r="CQ296" s="580"/>
      <c r="CR296" s="580"/>
      <c r="CS296" s="580"/>
      <c r="CT296" s="288">
        <f t="shared" si="654"/>
        <v>0</v>
      </c>
      <c r="CU296" s="59"/>
      <c r="CV296" s="580"/>
      <c r="CW296" s="580"/>
      <c r="CX296" s="580"/>
      <c r="CY296" s="580"/>
      <c r="CZ296" s="59"/>
      <c r="DA296" s="580"/>
      <c r="DB296" s="580"/>
      <c r="DC296" s="580"/>
      <c r="DD296" s="580"/>
      <c r="DE296" s="59"/>
      <c r="DF296" s="66"/>
      <c r="DG296" s="437"/>
      <c r="DH296" s="437"/>
      <c r="DI296" s="580"/>
      <c r="DJ296" s="59"/>
      <c r="DK296" s="66"/>
      <c r="DL296" s="66"/>
      <c r="DM296" s="66"/>
      <c r="DN296" s="580"/>
      <c r="DO296" s="59"/>
      <c r="DP296" s="66"/>
      <c r="DQ296" s="66"/>
      <c r="DR296" s="66"/>
      <c r="DS296" s="580"/>
      <c r="DT296" s="59"/>
      <c r="DU296" s="66"/>
      <c r="DV296" s="66"/>
      <c r="DW296" s="66"/>
      <c r="DX296" s="580"/>
      <c r="DY296" s="59"/>
      <c r="DZ296" s="59"/>
      <c r="EA296" s="59"/>
      <c r="EB296" s="59"/>
    </row>
    <row r="297" spans="1:132" s="105" customFormat="1" ht="12" hidden="1" customHeight="1" outlineLevel="1">
      <c r="A297" s="68"/>
      <c r="B297" s="246" t="s">
        <v>108</v>
      </c>
      <c r="C297" s="87"/>
      <c r="D297" s="87"/>
      <c r="E297" s="87"/>
      <c r="F297" s="87"/>
      <c r="G297" s="87"/>
      <c r="H297" s="87"/>
      <c r="I297" s="87"/>
      <c r="J297" s="88"/>
      <c r="K297" s="88"/>
      <c r="L297" s="88"/>
      <c r="M297" s="88"/>
      <c r="N297" s="87"/>
      <c r="O297" s="88">
        <v>18</v>
      </c>
      <c r="P297" s="88">
        <v>21</v>
      </c>
      <c r="Q297" s="88">
        <v>21</v>
      </c>
      <c r="R297" s="88">
        <f>S297-SUM(O297:Q297)</f>
        <v>21</v>
      </c>
      <c r="S297" s="87">
        <v>81</v>
      </c>
      <c r="T297" s="88">
        <v>23</v>
      </c>
      <c r="U297" s="88">
        <v>19</v>
      </c>
      <c r="V297" s="88">
        <v>21</v>
      </c>
      <c r="W297" s="88">
        <f>X297-SUM(T297:V297)</f>
        <v>23</v>
      </c>
      <c r="X297" s="87">
        <v>86</v>
      </c>
      <c r="Y297" s="88">
        <v>23</v>
      </c>
      <c r="Z297" s="88">
        <v>24</v>
      </c>
      <c r="AA297" s="88">
        <v>27</v>
      </c>
      <c r="AB297" s="88">
        <f>AC297-SUM(Y297:AA297)</f>
        <v>30</v>
      </c>
      <c r="AC297" s="87">
        <v>104</v>
      </c>
      <c r="AD297" s="88">
        <v>34</v>
      </c>
      <c r="AE297" s="88">
        <v>41</v>
      </c>
      <c r="AF297" s="88">
        <v>38</v>
      </c>
      <c r="AG297" s="89">
        <f>AH297-AF297-AE297-AD297</f>
        <v>40</v>
      </c>
      <c r="AH297" s="76">
        <v>153</v>
      </c>
      <c r="AI297" s="103">
        <v>34</v>
      </c>
      <c r="AJ297" s="103">
        <v>50</v>
      </c>
      <c r="AK297" s="103">
        <v>42</v>
      </c>
      <c r="AL297" s="288">
        <v>37</v>
      </c>
      <c r="AM297" s="59">
        <f>SUM(AI297:AL297)</f>
        <v>163</v>
      </c>
      <c r="AN297" s="103">
        <v>34</v>
      </c>
      <c r="AO297" s="103">
        <v>35</v>
      </c>
      <c r="AP297" s="103">
        <v>30</v>
      </c>
      <c r="AQ297" s="288">
        <v>31</v>
      </c>
      <c r="AR297" s="59">
        <f>SUM(AN297:AQ297)</f>
        <v>130</v>
      </c>
      <c r="AS297" s="543">
        <v>32</v>
      </c>
      <c r="AT297" s="543">
        <v>30</v>
      </c>
      <c r="AU297" s="543">
        <v>22</v>
      </c>
      <c r="AV297" s="543">
        <v>37</v>
      </c>
      <c r="AW297" s="59">
        <f>SUM(AS297:AV297)</f>
        <v>121</v>
      </c>
      <c r="AX297" s="543">
        <v>29</v>
      </c>
      <c r="AY297" s="543">
        <v>25</v>
      </c>
      <c r="AZ297" s="543">
        <v>24</v>
      </c>
      <c r="BA297" s="543"/>
      <c r="BB297" s="59"/>
      <c r="BC297" s="543"/>
      <c r="BD297" s="543"/>
      <c r="BE297" s="543"/>
      <c r="BF297" s="543"/>
      <c r="BG297" s="59"/>
      <c r="BH297" s="543"/>
      <c r="BI297" s="703"/>
      <c r="BJ297" s="543"/>
      <c r="BK297" s="543"/>
      <c r="BL297" s="59"/>
      <c r="BM297" s="543"/>
      <c r="BN297" s="703"/>
      <c r="BO297" s="543"/>
      <c r="BP297" s="543"/>
      <c r="BQ297" s="59"/>
      <c r="BR297" s="543"/>
      <c r="BS297" s="703"/>
      <c r="BT297" s="543"/>
      <c r="BU297" s="543"/>
      <c r="BV297" s="59"/>
      <c r="BW297" s="543"/>
      <c r="BX297" s="703"/>
      <c r="BY297" s="543"/>
      <c r="BZ297" s="288">
        <f t="shared" si="650"/>
        <v>0</v>
      </c>
      <c r="CA297" s="59"/>
      <c r="CB297" s="543"/>
      <c r="CC297" s="703"/>
      <c r="CD297" s="543"/>
      <c r="CE297" s="288">
        <f t="shared" si="651"/>
        <v>0</v>
      </c>
      <c r="CF297" s="59"/>
      <c r="CG297" s="703"/>
      <c r="CH297" s="703"/>
      <c r="CI297" s="703"/>
      <c r="CJ297" s="288">
        <f t="shared" si="652"/>
        <v>0</v>
      </c>
      <c r="CK297" s="59"/>
      <c r="CL297" s="543"/>
      <c r="CM297" s="543"/>
      <c r="CN297" s="543"/>
      <c r="CO297" s="288">
        <f t="shared" si="653"/>
        <v>0</v>
      </c>
      <c r="CP297" s="59"/>
      <c r="CQ297" s="543"/>
      <c r="CR297" s="543"/>
      <c r="CS297" s="543"/>
      <c r="CT297" s="288">
        <f t="shared" si="654"/>
        <v>0</v>
      </c>
      <c r="CU297" s="59"/>
      <c r="CV297" s="543"/>
      <c r="CW297" s="543"/>
      <c r="CX297" s="543"/>
      <c r="CY297" s="543"/>
      <c r="CZ297" s="59"/>
      <c r="DA297" s="543"/>
      <c r="DB297" s="543"/>
      <c r="DC297" s="543"/>
      <c r="DD297" s="543"/>
      <c r="DE297" s="59"/>
      <c r="DF297" s="66"/>
      <c r="DG297" s="437"/>
      <c r="DH297" s="437"/>
      <c r="DI297" s="543"/>
      <c r="DJ297" s="59"/>
      <c r="DK297" s="66"/>
      <c r="DL297" s="66"/>
      <c r="DM297" s="66"/>
      <c r="DN297" s="543"/>
      <c r="DO297" s="59"/>
      <c r="DP297" s="66"/>
      <c r="DQ297" s="66"/>
      <c r="DR297" s="66"/>
      <c r="DS297" s="543"/>
      <c r="DT297" s="59"/>
      <c r="DU297" s="66"/>
      <c r="DV297" s="66"/>
      <c r="DW297" s="66"/>
      <c r="DX297" s="543"/>
      <c r="DY297" s="59"/>
      <c r="DZ297" s="59"/>
      <c r="EA297" s="59"/>
      <c r="EB297" s="59"/>
    </row>
    <row r="298" spans="1:132" s="105" customFormat="1" ht="12" hidden="1" customHeight="1" outlineLevel="1">
      <c r="A298" s="68"/>
      <c r="B298" s="159" t="s">
        <v>130</v>
      </c>
      <c r="C298" s="76"/>
      <c r="D298" s="76"/>
      <c r="E298" s="76"/>
      <c r="F298" s="76"/>
      <c r="G298" s="76">
        <v>209</v>
      </c>
      <c r="H298" s="76">
        <v>304</v>
      </c>
      <c r="I298" s="76">
        <v>360</v>
      </c>
      <c r="J298" s="77">
        <v>107</v>
      </c>
      <c r="K298" s="77">
        <v>95</v>
      </c>
      <c r="L298" s="77">
        <v>97</v>
      </c>
      <c r="M298" s="77">
        <f>N298-L298-K298-J298</f>
        <v>83</v>
      </c>
      <c r="N298" s="76">
        <v>382</v>
      </c>
      <c r="O298" s="77">
        <v>86</v>
      </c>
      <c r="P298" s="77">
        <v>96</v>
      </c>
      <c r="Q298" s="77">
        <v>101</v>
      </c>
      <c r="R298" s="77">
        <f>S298-Q298-P298-O298</f>
        <v>91</v>
      </c>
      <c r="S298" s="76">
        <v>374</v>
      </c>
      <c r="T298" s="77"/>
      <c r="U298" s="77"/>
      <c r="V298" s="77"/>
      <c r="W298" s="77"/>
      <c r="X298" s="76"/>
      <c r="Y298" s="77"/>
      <c r="Z298" s="77"/>
      <c r="AA298" s="77"/>
      <c r="AB298" s="77"/>
      <c r="AC298" s="76"/>
      <c r="AD298" s="77"/>
      <c r="AE298" s="77"/>
      <c r="AF298" s="77"/>
      <c r="AG298" s="77"/>
      <c r="AH298" s="252"/>
      <c r="AI298" s="253"/>
      <c r="AJ298" s="253"/>
      <c r="AK298" s="253"/>
      <c r="AL298" s="273"/>
      <c r="AM298" s="274"/>
      <c r="AN298" s="253"/>
      <c r="AO298" s="253"/>
      <c r="AP298" s="253"/>
      <c r="AQ298" s="273"/>
      <c r="AR298" s="274"/>
      <c r="AS298" s="273"/>
      <c r="AT298" s="273"/>
      <c r="AU298" s="273"/>
      <c r="AV298" s="273"/>
      <c r="AW298" s="274"/>
      <c r="AX298" s="273"/>
      <c r="AY298" s="273"/>
      <c r="AZ298" s="273"/>
      <c r="BA298" s="273"/>
      <c r="BB298" s="274"/>
      <c r="BC298" s="273"/>
      <c r="BD298" s="273"/>
      <c r="BE298" s="273"/>
      <c r="BF298" s="273"/>
      <c r="BG298" s="274"/>
      <c r="BH298" s="273"/>
      <c r="BI298" s="719"/>
      <c r="BJ298" s="273"/>
      <c r="BK298" s="273"/>
      <c r="BL298" s="274"/>
      <c r="BM298" s="273"/>
      <c r="BN298" s="719"/>
      <c r="BO298" s="273"/>
      <c r="BP298" s="273"/>
      <c r="BQ298" s="274"/>
      <c r="BR298" s="273"/>
      <c r="BS298" s="719"/>
      <c r="BT298" s="273"/>
      <c r="BU298" s="273"/>
      <c r="BV298" s="274"/>
      <c r="BW298" s="273"/>
      <c r="BX298" s="719"/>
      <c r="BY298" s="273"/>
      <c r="BZ298" s="288">
        <f t="shared" si="650"/>
        <v>0</v>
      </c>
      <c r="CA298" s="274"/>
      <c r="CB298" s="273"/>
      <c r="CC298" s="719"/>
      <c r="CD298" s="273"/>
      <c r="CE298" s="288">
        <f t="shared" si="651"/>
        <v>0</v>
      </c>
      <c r="CF298" s="274"/>
      <c r="CG298" s="719"/>
      <c r="CH298" s="719"/>
      <c r="CI298" s="719"/>
      <c r="CJ298" s="288">
        <f t="shared" si="652"/>
        <v>0</v>
      </c>
      <c r="CK298" s="274"/>
      <c r="CL298" s="273"/>
      <c r="CM298" s="273"/>
      <c r="CN298" s="273"/>
      <c r="CO298" s="288">
        <f t="shared" si="653"/>
        <v>0</v>
      </c>
      <c r="CP298" s="274"/>
      <c r="CQ298" s="273"/>
      <c r="CR298" s="273"/>
      <c r="CS298" s="273"/>
      <c r="CT298" s="288">
        <f t="shared" si="654"/>
        <v>0</v>
      </c>
      <c r="CU298" s="274"/>
      <c r="CV298" s="273"/>
      <c r="CW298" s="273"/>
      <c r="CX298" s="273"/>
      <c r="CY298" s="273"/>
      <c r="CZ298" s="274"/>
      <c r="DA298" s="273"/>
      <c r="DB298" s="273"/>
      <c r="DC298" s="273"/>
      <c r="DD298" s="273"/>
      <c r="DE298" s="274"/>
      <c r="DF298" s="273"/>
      <c r="DG298" s="581"/>
      <c r="DH298" s="581"/>
      <c r="DI298" s="273"/>
      <c r="DJ298" s="274"/>
      <c r="DK298" s="273"/>
      <c r="DL298" s="273"/>
      <c r="DM298" s="273"/>
      <c r="DN298" s="273"/>
      <c r="DO298" s="274"/>
      <c r="DP298" s="273"/>
      <c r="DQ298" s="273"/>
      <c r="DR298" s="273"/>
      <c r="DS298" s="273"/>
      <c r="DT298" s="274"/>
      <c r="DU298" s="273"/>
      <c r="DV298" s="273"/>
      <c r="DW298" s="273"/>
      <c r="DX298" s="273"/>
      <c r="DY298" s="274"/>
      <c r="DZ298" s="274"/>
      <c r="EA298" s="274"/>
      <c r="EB298" s="274"/>
    </row>
    <row r="299" spans="1:132" s="105" customFormat="1" ht="12" hidden="1" customHeight="1" outlineLevel="1">
      <c r="A299" s="68"/>
      <c r="B299" s="159" t="s">
        <v>131</v>
      </c>
      <c r="C299" s="76"/>
      <c r="D299" s="76"/>
      <c r="E299" s="76"/>
      <c r="F299" s="76"/>
      <c r="G299" s="76">
        <v>196</v>
      </c>
      <c r="H299" s="76">
        <v>132</v>
      </c>
      <c r="I299" s="76">
        <v>195</v>
      </c>
      <c r="J299" s="77">
        <v>60</v>
      </c>
      <c r="K299" s="77">
        <v>71</v>
      </c>
      <c r="L299" s="77">
        <v>72</v>
      </c>
      <c r="M299" s="77">
        <f>N299-L299-K299-J299</f>
        <v>31</v>
      </c>
      <c r="N299" s="76">
        <v>234</v>
      </c>
      <c r="O299" s="77">
        <v>61</v>
      </c>
      <c r="P299" s="77">
        <v>80</v>
      </c>
      <c r="Q299" s="77">
        <v>72</v>
      </c>
      <c r="R299" s="77">
        <f>S299-Q299-P299-O299</f>
        <v>72</v>
      </c>
      <c r="S299" s="76">
        <v>285</v>
      </c>
      <c r="T299" s="77"/>
      <c r="U299" s="77"/>
      <c r="V299" s="77"/>
      <c r="W299" s="77"/>
      <c r="X299" s="76"/>
      <c r="Y299" s="77"/>
      <c r="Z299" s="77"/>
      <c r="AA299" s="77"/>
      <c r="AB299" s="77"/>
      <c r="AC299" s="76"/>
      <c r="AD299" s="77"/>
      <c r="AE299" s="77"/>
      <c r="AF299" s="77"/>
      <c r="AG299" s="77"/>
      <c r="AH299" s="76"/>
      <c r="AI299" s="77"/>
      <c r="AJ299" s="77"/>
      <c r="AK299" s="77"/>
      <c r="AL299"/>
      <c r="AM299" s="59"/>
      <c r="AN299" s="77"/>
      <c r="AO299" s="77"/>
      <c r="AP299" s="77"/>
      <c r="AQ299"/>
      <c r="AR299" s="59"/>
      <c r="AS299"/>
      <c r="AT299"/>
      <c r="AU299"/>
      <c r="AV299"/>
      <c r="AW299" s="59"/>
      <c r="AX299"/>
      <c r="AY299"/>
      <c r="AZ299"/>
      <c r="BA299"/>
      <c r="BB299" s="59"/>
      <c r="BC299"/>
      <c r="BD299"/>
      <c r="BE299"/>
      <c r="BF299"/>
      <c r="BG299" s="59"/>
      <c r="BH299"/>
      <c r="BI299" s="720"/>
      <c r="BJ299"/>
      <c r="BK299"/>
      <c r="BL299" s="59"/>
      <c r="BM299"/>
      <c r="BN299" s="720"/>
      <c r="BO299"/>
      <c r="BP299"/>
      <c r="BQ299" s="59"/>
      <c r="BR299"/>
      <c r="BS299" s="720"/>
      <c r="BT299"/>
      <c r="BU299"/>
      <c r="BV299" s="59"/>
      <c r="BW299"/>
      <c r="BX299" s="720"/>
      <c r="BY299"/>
      <c r="BZ299" s="288">
        <f t="shared" si="650"/>
        <v>0</v>
      </c>
      <c r="CA299" s="59"/>
      <c r="CB299"/>
      <c r="CC299" s="720"/>
      <c r="CD299"/>
      <c r="CE299" s="288">
        <f t="shared" si="651"/>
        <v>0</v>
      </c>
      <c r="CF299" s="59"/>
      <c r="CG299" s="720"/>
      <c r="CH299" s="720"/>
      <c r="CI299" s="720"/>
      <c r="CJ299" s="288">
        <f t="shared" si="652"/>
        <v>0</v>
      </c>
      <c r="CK299" s="59"/>
      <c r="CL299"/>
      <c r="CM299"/>
      <c r="CN299"/>
      <c r="CO299" s="288">
        <f t="shared" si="653"/>
        <v>0</v>
      </c>
      <c r="CP299" s="59"/>
      <c r="CQ299"/>
      <c r="CR299"/>
      <c r="CS299"/>
      <c r="CT299" s="288">
        <f t="shared" si="654"/>
        <v>0</v>
      </c>
      <c r="CU299" s="59"/>
      <c r="CV299"/>
      <c r="CW299"/>
      <c r="CX299"/>
      <c r="CY299"/>
      <c r="CZ299" s="59"/>
      <c r="DA299"/>
      <c r="DB299"/>
      <c r="DC299"/>
      <c r="DD299"/>
      <c r="DE299" s="59"/>
      <c r="DF299" s="66"/>
      <c r="DG299" s="437"/>
      <c r="DH299" s="437"/>
      <c r="DI299"/>
      <c r="DJ299" s="59"/>
      <c r="DK299" s="66"/>
      <c r="DL299" s="66"/>
      <c r="DM299" s="66"/>
      <c r="DN299"/>
      <c r="DO299" s="59"/>
      <c r="DP299" s="66"/>
      <c r="DQ299" s="66"/>
      <c r="DR299" s="66"/>
      <c r="DS299"/>
      <c r="DT299" s="59"/>
      <c r="DU299" s="66"/>
      <c r="DV299" s="66"/>
      <c r="DW299" s="66"/>
      <c r="DX299"/>
      <c r="DY299" s="59"/>
      <c r="DZ299" s="59"/>
      <c r="EA299" s="59"/>
      <c r="EB299" s="59"/>
    </row>
    <row r="300" spans="1:132" s="105" customFormat="1" ht="12" hidden="1" customHeight="1" outlineLevel="1">
      <c r="A300" s="68"/>
      <c r="B300" s="159" t="s">
        <v>125</v>
      </c>
      <c r="C300" s="76"/>
      <c r="D300" s="76"/>
      <c r="E300" s="76"/>
      <c r="F300" s="76"/>
      <c r="G300" s="76">
        <v>51</v>
      </c>
      <c r="H300" s="76">
        <v>43</v>
      </c>
      <c r="I300" s="76">
        <v>59</v>
      </c>
      <c r="J300" s="77">
        <v>16</v>
      </c>
      <c r="K300" s="77">
        <v>14</v>
      </c>
      <c r="L300" s="77">
        <v>14</v>
      </c>
      <c r="M300" s="77">
        <f>N300-L300-K300-J300</f>
        <v>13</v>
      </c>
      <c r="N300" s="76">
        <v>57</v>
      </c>
      <c r="O300" s="77">
        <v>17</v>
      </c>
      <c r="P300" s="77">
        <v>22</v>
      </c>
      <c r="Q300" s="77">
        <v>21</v>
      </c>
      <c r="R300" s="77">
        <f>S300-Q300-P300-O300</f>
        <v>20</v>
      </c>
      <c r="S300" s="76">
        <v>80</v>
      </c>
      <c r="T300" s="77"/>
      <c r="U300" s="77"/>
      <c r="V300" s="77"/>
      <c r="W300" s="77"/>
      <c r="X300" s="76"/>
      <c r="Y300" s="77"/>
      <c r="Z300" s="77"/>
      <c r="AA300" s="77"/>
      <c r="AB300" s="77"/>
      <c r="AC300" s="76"/>
      <c r="AD300" s="77"/>
      <c r="AE300" s="77"/>
      <c r="AF300" s="77"/>
      <c r="AG300" s="77"/>
      <c r="AH300" s="76"/>
      <c r="AI300" s="77"/>
      <c r="AJ300" s="77"/>
      <c r="AK300" s="77"/>
      <c r="AL300"/>
      <c r="AM300" s="59"/>
      <c r="AN300" s="77"/>
      <c r="AO300" s="77"/>
      <c r="AP300" s="77"/>
      <c r="AQ300"/>
      <c r="AR300" s="59"/>
      <c r="AS300"/>
      <c r="AT300"/>
      <c r="AU300"/>
      <c r="AV300"/>
      <c r="AW300" s="59"/>
      <c r="AX300"/>
      <c r="AY300"/>
      <c r="AZ300"/>
      <c r="BA300"/>
      <c r="BB300" s="59"/>
      <c r="BC300"/>
      <c r="BD300"/>
      <c r="BE300"/>
      <c r="BF300"/>
      <c r="BG300" s="59"/>
      <c r="BH300"/>
      <c r="BI300" s="720"/>
      <c r="BJ300"/>
      <c r="BK300"/>
      <c r="BL300" s="59"/>
      <c r="BM300"/>
      <c r="BN300" s="720"/>
      <c r="BO300"/>
      <c r="BP300"/>
      <c r="BQ300" s="59"/>
      <c r="BR300"/>
      <c r="BS300" s="720"/>
      <c r="BT300"/>
      <c r="BU300"/>
      <c r="BV300" s="59"/>
      <c r="BW300"/>
      <c r="BX300" s="720"/>
      <c r="BY300"/>
      <c r="BZ300" s="288">
        <f t="shared" si="650"/>
        <v>0</v>
      </c>
      <c r="CA300" s="59"/>
      <c r="CB300"/>
      <c r="CC300" s="720"/>
      <c r="CD300"/>
      <c r="CE300" s="288">
        <f t="shared" si="651"/>
        <v>0</v>
      </c>
      <c r="CF300" s="59"/>
      <c r="CG300" s="720"/>
      <c r="CH300" s="720"/>
      <c r="CI300" s="720"/>
      <c r="CJ300" s="288">
        <f t="shared" si="652"/>
        <v>0</v>
      </c>
      <c r="CK300" s="59"/>
      <c r="CL300"/>
      <c r="CM300"/>
      <c r="CN300"/>
      <c r="CO300" s="288">
        <f t="shared" si="653"/>
        <v>0</v>
      </c>
      <c r="CP300" s="59"/>
      <c r="CQ300"/>
      <c r="CR300"/>
      <c r="CS300"/>
      <c r="CT300" s="288">
        <f t="shared" si="654"/>
        <v>0</v>
      </c>
      <c r="CU300" s="59"/>
      <c r="CV300"/>
      <c r="CW300"/>
      <c r="CX300"/>
      <c r="CY300"/>
      <c r="CZ300" s="59"/>
      <c r="DA300"/>
      <c r="DB300"/>
      <c r="DC300"/>
      <c r="DD300"/>
      <c r="DE300" s="59"/>
      <c r="DF300" s="66"/>
      <c r="DG300" s="437"/>
      <c r="DH300" s="437"/>
      <c r="DI300"/>
      <c r="DJ300" s="59"/>
      <c r="DK300" s="66"/>
      <c r="DL300" s="66"/>
      <c r="DM300" s="66"/>
      <c r="DN300"/>
      <c r="DO300" s="59"/>
      <c r="DP300" s="66"/>
      <c r="DQ300" s="66"/>
      <c r="DR300" s="66"/>
      <c r="DS300"/>
      <c r="DT300" s="59"/>
      <c r="DU300" s="66"/>
      <c r="DV300" s="66"/>
      <c r="DW300" s="66"/>
      <c r="DX300"/>
      <c r="DY300" s="59"/>
      <c r="DZ300" s="59"/>
      <c r="EA300" s="59"/>
      <c r="EB300" s="59"/>
    </row>
    <row r="301" spans="1:132" s="105" customFormat="1" ht="12" hidden="1" customHeight="1" outlineLevel="1">
      <c r="A301" s="68"/>
      <c r="B301" s="161" t="s">
        <v>132</v>
      </c>
      <c r="C301" s="87"/>
      <c r="D301" s="87"/>
      <c r="E301" s="87"/>
      <c r="F301" s="87"/>
      <c r="G301" s="87">
        <v>328</v>
      </c>
      <c r="H301" s="87">
        <v>263</v>
      </c>
      <c r="I301" s="87">
        <v>232</v>
      </c>
      <c r="J301" s="88">
        <v>37</v>
      </c>
      <c r="K301" s="88">
        <v>57</v>
      </c>
      <c r="L301" s="88">
        <v>44</v>
      </c>
      <c r="M301" s="88">
        <f>N301-L301-K301-J301</f>
        <v>23</v>
      </c>
      <c r="N301" s="87">
        <v>161</v>
      </c>
      <c r="O301" s="88">
        <v>25</v>
      </c>
      <c r="P301" s="88">
        <v>37</v>
      </c>
      <c r="Q301" s="88">
        <v>28</v>
      </c>
      <c r="R301" s="88">
        <f>S301-Q301-P301-O301</f>
        <v>26</v>
      </c>
      <c r="S301" s="87">
        <v>116</v>
      </c>
      <c r="T301" s="88"/>
      <c r="U301" s="88"/>
      <c r="V301" s="88"/>
      <c r="W301" s="88"/>
      <c r="X301" s="87"/>
      <c r="Y301" s="88"/>
      <c r="Z301" s="88"/>
      <c r="AA301" s="88"/>
      <c r="AB301" s="88"/>
      <c r="AC301" s="87"/>
      <c r="AD301" s="88"/>
      <c r="AE301" s="88"/>
      <c r="AF301" s="88"/>
      <c r="AG301" s="89"/>
      <c r="AH301" s="87"/>
      <c r="AI301" s="88"/>
      <c r="AJ301" s="88"/>
      <c r="AK301" s="88"/>
      <c r="AL301" s="275"/>
      <c r="AM301" s="276"/>
      <c r="AN301" s="88"/>
      <c r="AO301" s="88"/>
      <c r="AP301" s="88"/>
      <c r="AQ301" s="275"/>
      <c r="AR301" s="276"/>
      <c r="AS301" s="275"/>
      <c r="AT301" s="275"/>
      <c r="AU301" s="275"/>
      <c r="AV301" s="275"/>
      <c r="AW301" s="276"/>
      <c r="AX301" s="275"/>
      <c r="AY301" s="275"/>
      <c r="AZ301" s="275"/>
      <c r="BA301" s="275"/>
      <c r="BB301" s="276"/>
      <c r="BC301" s="275"/>
      <c r="BD301" s="275"/>
      <c r="BE301" s="275"/>
      <c r="BF301" s="275"/>
      <c r="BG301" s="276"/>
      <c r="BH301" s="275"/>
      <c r="BI301" s="721"/>
      <c r="BJ301" s="275"/>
      <c r="BK301" s="275"/>
      <c r="BL301" s="276"/>
      <c r="BM301" s="275"/>
      <c r="BN301" s="721"/>
      <c r="BO301" s="275"/>
      <c r="BP301" s="275"/>
      <c r="BQ301" s="276"/>
      <c r="BR301" s="275"/>
      <c r="BS301" s="721"/>
      <c r="BT301" s="275"/>
      <c r="BU301" s="275"/>
      <c r="BV301" s="276"/>
      <c r="BW301" s="275"/>
      <c r="BX301" s="721"/>
      <c r="BY301" s="275"/>
      <c r="BZ301" s="288">
        <f t="shared" si="650"/>
        <v>0</v>
      </c>
      <c r="CA301" s="276"/>
      <c r="CB301" s="275"/>
      <c r="CC301" s="721"/>
      <c r="CD301" s="275"/>
      <c r="CE301" s="288">
        <f t="shared" si="651"/>
        <v>0</v>
      </c>
      <c r="CF301" s="276"/>
      <c r="CG301" s="721"/>
      <c r="CH301" s="721"/>
      <c r="CI301" s="721"/>
      <c r="CJ301" s="288">
        <f t="shared" si="652"/>
        <v>0</v>
      </c>
      <c r="CK301" s="276"/>
      <c r="CL301" s="275"/>
      <c r="CM301" s="275"/>
      <c r="CN301" s="275"/>
      <c r="CO301" s="288">
        <f t="shared" si="653"/>
        <v>0</v>
      </c>
      <c r="CP301" s="276"/>
      <c r="CQ301" s="275"/>
      <c r="CR301" s="275"/>
      <c r="CS301" s="275"/>
      <c r="CT301" s="288">
        <f t="shared" si="654"/>
        <v>0</v>
      </c>
      <c r="CU301" s="276"/>
      <c r="CV301" s="275"/>
      <c r="CW301" s="275"/>
      <c r="CX301" s="275"/>
      <c r="CY301" s="275"/>
      <c r="CZ301" s="276"/>
      <c r="DA301" s="275"/>
      <c r="DB301" s="275"/>
      <c r="DC301" s="275"/>
      <c r="DD301" s="275"/>
      <c r="DE301" s="276"/>
      <c r="DF301" s="275"/>
      <c r="DG301" s="550"/>
      <c r="DH301" s="550"/>
      <c r="DI301" s="275"/>
      <c r="DJ301" s="276"/>
      <c r="DK301" s="275"/>
      <c r="DL301" s="275"/>
      <c r="DM301" s="275"/>
      <c r="DN301" s="275"/>
      <c r="DO301" s="276"/>
      <c r="DP301" s="275"/>
      <c r="DQ301" s="275"/>
      <c r="DR301" s="275"/>
      <c r="DS301" s="275"/>
      <c r="DT301" s="276"/>
      <c r="DU301" s="275"/>
      <c r="DV301" s="275"/>
      <c r="DW301" s="275"/>
      <c r="DX301" s="275"/>
      <c r="DY301" s="276"/>
      <c r="DZ301" s="276"/>
      <c r="EA301" s="276"/>
      <c r="EB301" s="276"/>
    </row>
    <row r="302" spans="1:132" s="105" customFormat="1" ht="12" hidden="1" customHeight="1" outlineLevel="1">
      <c r="A302" s="68"/>
      <c r="B302" s="159" t="s">
        <v>133</v>
      </c>
      <c r="C302" s="76"/>
      <c r="D302" s="76">
        <v>304</v>
      </c>
      <c r="E302" s="76">
        <v>264</v>
      </c>
      <c r="F302" s="76">
        <v>262</v>
      </c>
      <c r="G302" s="76">
        <v>258</v>
      </c>
      <c r="H302" s="76">
        <v>345</v>
      </c>
      <c r="I302" s="76"/>
      <c r="J302" s="77"/>
      <c r="K302" s="77"/>
      <c r="L302" s="77"/>
      <c r="M302" s="77"/>
      <c r="N302" s="76"/>
      <c r="O302" s="77"/>
      <c r="P302" s="77"/>
      <c r="Q302" s="77"/>
      <c r="R302" s="77"/>
      <c r="S302" s="76"/>
      <c r="T302" s="77"/>
      <c r="U302" s="77"/>
      <c r="V302" s="77"/>
      <c r="W302" s="77"/>
      <c r="X302" s="76"/>
      <c r="Y302" s="77"/>
      <c r="Z302" s="77"/>
      <c r="AA302" s="77"/>
      <c r="AB302" s="77"/>
      <c r="AC302" s="76"/>
      <c r="AD302" s="77"/>
      <c r="AE302" s="77"/>
      <c r="AF302" s="77"/>
      <c r="AG302" s="77"/>
      <c r="AH302" s="76"/>
      <c r="AI302" s="77"/>
      <c r="AJ302" s="77"/>
      <c r="AK302" s="77"/>
      <c r="AL302"/>
      <c r="AM302" s="59"/>
      <c r="AN302" s="77"/>
      <c r="AO302" s="77"/>
      <c r="AP302" s="77"/>
      <c r="AQ302"/>
      <c r="AR302" s="59"/>
      <c r="AS302"/>
      <c r="AT302"/>
      <c r="AU302"/>
      <c r="AV302"/>
      <c r="AW302" s="59"/>
      <c r="AX302"/>
      <c r="AY302"/>
      <c r="AZ302"/>
      <c r="BA302"/>
      <c r="BB302" s="59"/>
      <c r="BC302"/>
      <c r="BD302"/>
      <c r="BE302"/>
      <c r="BF302"/>
      <c r="BG302" s="59"/>
      <c r="BH302"/>
      <c r="BI302" s="720"/>
      <c r="BJ302"/>
      <c r="BK302"/>
      <c r="BL302" s="59"/>
      <c r="BM302"/>
      <c r="BN302" s="720"/>
      <c r="BO302"/>
      <c r="BP302"/>
      <c r="BQ302" s="59"/>
      <c r="BR302"/>
      <c r="BS302" s="720"/>
      <c r="BT302"/>
      <c r="BU302"/>
      <c r="BV302" s="59"/>
      <c r="BW302"/>
      <c r="BX302" s="720"/>
      <c r="BY302"/>
      <c r="BZ302" s="288">
        <f t="shared" si="650"/>
        <v>0</v>
      </c>
      <c r="CA302" s="59"/>
      <c r="CB302"/>
      <c r="CC302" s="720"/>
      <c r="CD302"/>
      <c r="CE302" s="288">
        <f t="shared" si="651"/>
        <v>0</v>
      </c>
      <c r="CF302" s="59"/>
      <c r="CG302" s="720"/>
      <c r="CH302" s="720"/>
      <c r="CI302" s="720"/>
      <c r="CJ302" s="288">
        <f t="shared" si="652"/>
        <v>0</v>
      </c>
      <c r="CK302" s="59"/>
      <c r="CL302"/>
      <c r="CM302"/>
      <c r="CN302"/>
      <c r="CO302" s="288">
        <f t="shared" si="653"/>
        <v>0</v>
      </c>
      <c r="CP302" s="59"/>
      <c r="CQ302"/>
      <c r="CR302"/>
      <c r="CS302"/>
      <c r="CT302" s="288">
        <f t="shared" si="654"/>
        <v>0</v>
      </c>
      <c r="CU302" s="59"/>
      <c r="CV302"/>
      <c r="CW302"/>
      <c r="CX302"/>
      <c r="CY302"/>
      <c r="CZ302" s="59"/>
      <c r="DA302"/>
      <c r="DB302"/>
      <c r="DC302"/>
      <c r="DD302"/>
      <c r="DE302" s="59"/>
      <c r="DF302" s="66"/>
      <c r="DG302" s="437"/>
      <c r="DH302" s="437"/>
      <c r="DI302"/>
      <c r="DJ302" s="59"/>
      <c r="DK302" s="66"/>
      <c r="DL302" s="66"/>
      <c r="DM302" s="66"/>
      <c r="DN302"/>
      <c r="DO302" s="59"/>
      <c r="DP302" s="66"/>
      <c r="DQ302" s="66"/>
      <c r="DR302" s="66"/>
      <c r="DS302"/>
      <c r="DT302" s="59"/>
      <c r="DU302" s="66"/>
      <c r="DV302" s="66"/>
      <c r="DW302" s="66"/>
      <c r="DX302"/>
      <c r="DY302" s="59"/>
      <c r="DZ302" s="59"/>
      <c r="EA302" s="59"/>
      <c r="EB302" s="59"/>
    </row>
    <row r="303" spans="1:132" s="105" customFormat="1" ht="12" hidden="1" customHeight="1" outlineLevel="1">
      <c r="A303" s="68"/>
      <c r="B303" s="161" t="s">
        <v>134</v>
      </c>
      <c r="C303" s="87"/>
      <c r="D303" s="87">
        <v>570</v>
      </c>
      <c r="E303" s="87">
        <v>492</v>
      </c>
      <c r="F303" s="87">
        <v>605</v>
      </c>
      <c r="G303" s="87">
        <v>526</v>
      </c>
      <c r="H303" s="87">
        <v>397</v>
      </c>
      <c r="I303" s="87"/>
      <c r="J303" s="88"/>
      <c r="K303" s="88"/>
      <c r="L303" s="88"/>
      <c r="M303" s="88"/>
      <c r="N303" s="87"/>
      <c r="O303" s="88"/>
      <c r="P303" s="88"/>
      <c r="Q303" s="88"/>
      <c r="R303" s="88"/>
      <c r="S303" s="87"/>
      <c r="T303" s="88"/>
      <c r="U303" s="88"/>
      <c r="V303" s="88"/>
      <c r="W303" s="88"/>
      <c r="X303" s="87"/>
      <c r="Y303" s="88"/>
      <c r="Z303" s="88"/>
      <c r="AA303" s="88"/>
      <c r="AB303" s="88"/>
      <c r="AC303" s="87"/>
      <c r="AD303" s="88"/>
      <c r="AE303" s="88"/>
      <c r="AF303" s="88"/>
      <c r="AG303" s="88"/>
      <c r="AH303" s="87"/>
      <c r="AI303" s="88"/>
      <c r="AJ303" s="88"/>
      <c r="AK303" s="88"/>
      <c r="AL303" s="275"/>
      <c r="AM303" s="276"/>
      <c r="AN303" s="88"/>
      <c r="AO303" s="88"/>
      <c r="AP303" s="88"/>
      <c r="AQ303" s="275"/>
      <c r="AR303" s="276"/>
      <c r="AS303" s="275"/>
      <c r="AT303" s="275"/>
      <c r="AU303" s="275"/>
      <c r="AV303" s="275"/>
      <c r="AW303" s="276"/>
      <c r="AX303" s="275"/>
      <c r="AY303" s="275"/>
      <c r="AZ303" s="275"/>
      <c r="BA303" s="275"/>
      <c r="BB303" s="276"/>
      <c r="BC303" s="275"/>
      <c r="BD303" s="275"/>
      <c r="BE303" s="275"/>
      <c r="BF303" s="275"/>
      <c r="BG303" s="276"/>
      <c r="BH303" s="275"/>
      <c r="BI303" s="721"/>
      <c r="BJ303" s="275"/>
      <c r="BK303" s="275"/>
      <c r="BL303" s="276"/>
      <c r="BM303" s="275"/>
      <c r="BN303" s="721"/>
      <c r="BO303" s="275"/>
      <c r="BP303" s="275"/>
      <c r="BQ303" s="276"/>
      <c r="BR303" s="275"/>
      <c r="BS303" s="721"/>
      <c r="BT303" s="275"/>
      <c r="BU303" s="275"/>
      <c r="BV303" s="276"/>
      <c r="BW303" s="275"/>
      <c r="BX303" s="721"/>
      <c r="BY303" s="275"/>
      <c r="BZ303" s="288">
        <f t="shared" si="650"/>
        <v>0</v>
      </c>
      <c r="CA303" s="276"/>
      <c r="CB303" s="275"/>
      <c r="CC303" s="721"/>
      <c r="CD303" s="275"/>
      <c r="CE303" s="288">
        <f t="shared" si="651"/>
        <v>0</v>
      </c>
      <c r="CF303" s="276"/>
      <c r="CG303" s="721"/>
      <c r="CH303" s="721"/>
      <c r="CI303" s="721"/>
      <c r="CJ303" s="288">
        <f t="shared" si="652"/>
        <v>0</v>
      </c>
      <c r="CK303" s="276"/>
      <c r="CL303" s="275"/>
      <c r="CM303" s="275"/>
      <c r="CN303" s="275"/>
      <c r="CO303" s="288">
        <f t="shared" si="653"/>
        <v>0</v>
      </c>
      <c r="CP303" s="276"/>
      <c r="CQ303" s="275"/>
      <c r="CR303" s="275"/>
      <c r="CS303" s="275"/>
      <c r="CT303" s="288">
        <f t="shared" si="654"/>
        <v>0</v>
      </c>
      <c r="CU303" s="276"/>
      <c r="CV303" s="275"/>
      <c r="CW303" s="275"/>
      <c r="CX303" s="275"/>
      <c r="CY303" s="275"/>
      <c r="CZ303" s="276"/>
      <c r="DA303" s="275"/>
      <c r="DB303" s="275"/>
      <c r="DC303" s="275"/>
      <c r="DD303" s="275"/>
      <c r="DE303" s="276"/>
      <c r="DF303" s="275"/>
      <c r="DG303" s="550"/>
      <c r="DH303" s="550"/>
      <c r="DI303" s="275"/>
      <c r="DJ303" s="276"/>
      <c r="DK303" s="275"/>
      <c r="DL303" s="275"/>
      <c r="DM303" s="275"/>
      <c r="DN303" s="275"/>
      <c r="DO303" s="276"/>
      <c r="DP303" s="275"/>
      <c r="DQ303" s="275"/>
      <c r="DR303" s="275"/>
      <c r="DS303" s="275"/>
      <c r="DT303" s="276"/>
      <c r="DU303" s="275"/>
      <c r="DV303" s="275"/>
      <c r="DW303" s="275"/>
      <c r="DX303" s="275"/>
      <c r="DY303" s="276"/>
      <c r="DZ303" s="276"/>
      <c r="EA303" s="276"/>
      <c r="EB303" s="276"/>
    </row>
    <row r="304" spans="1:132" s="105" customFormat="1" ht="12" customHeight="1" collapsed="1">
      <c r="A304" s="68"/>
      <c r="B304" s="121" t="s">
        <v>391</v>
      </c>
      <c r="C304" s="76">
        <v>716</v>
      </c>
      <c r="D304" s="76">
        <f>SUM(D302:D303)</f>
        <v>874</v>
      </c>
      <c r="E304" s="76">
        <f>SUM(E302:E303)</f>
        <v>756</v>
      </c>
      <c r="F304" s="76">
        <f>SUM(F302:F303)</f>
        <v>867</v>
      </c>
      <c r="G304" s="76">
        <f>SUM(G302:G303)</f>
        <v>784</v>
      </c>
      <c r="H304" s="76">
        <f>SUM(H302:H303)</f>
        <v>742</v>
      </c>
      <c r="I304" s="76">
        <f>SUM(I298:I301)</f>
        <v>846</v>
      </c>
      <c r="J304" s="77">
        <f>SUM(J298:J301)</f>
        <v>220</v>
      </c>
      <c r="K304" s="77">
        <f>SUM(K298:K301)</f>
        <v>237</v>
      </c>
      <c r="L304" s="77">
        <f>SUM(L298:L301)</f>
        <v>227</v>
      </c>
      <c r="M304" s="77">
        <f>N304-L304-K304-J304</f>
        <v>150</v>
      </c>
      <c r="N304" s="76">
        <f>SUM(N298:N301)</f>
        <v>834</v>
      </c>
      <c r="O304" s="77">
        <f>SUM(O298:O301)</f>
        <v>189</v>
      </c>
      <c r="P304" s="77">
        <f>SUM(P298:P301)</f>
        <v>235</v>
      </c>
      <c r="Q304" s="77">
        <f>SUM(Q298:Q301)</f>
        <v>222</v>
      </c>
      <c r="R304" s="77">
        <f>S304-Q304-P304-O304</f>
        <v>209</v>
      </c>
      <c r="S304" s="76">
        <f>SUM(S298:S301)</f>
        <v>855</v>
      </c>
      <c r="T304" s="77">
        <f>SUM(T295:T297)</f>
        <v>206</v>
      </c>
      <c r="U304" s="77">
        <f>SUM(U295:U297)</f>
        <v>200</v>
      </c>
      <c r="V304" s="77">
        <f>SUM(V295:V297)</f>
        <v>179</v>
      </c>
      <c r="W304" s="77">
        <f>X304-V304-U304-T304</f>
        <v>206</v>
      </c>
      <c r="X304" s="76">
        <f>SUM(X295:X297)</f>
        <v>791</v>
      </c>
      <c r="Y304" s="77">
        <f>SUM(Y295:Y297)</f>
        <v>206</v>
      </c>
      <c r="Z304" s="77">
        <f>SUM(Z295:Z297)</f>
        <v>210</v>
      </c>
      <c r="AA304" s="77">
        <f>SUM(AA295:AA297)</f>
        <v>227</v>
      </c>
      <c r="AB304" s="77">
        <f>AC304-AA304-Z304-Y304</f>
        <v>208</v>
      </c>
      <c r="AC304" s="76">
        <f>SUM(AC295:AC297)</f>
        <v>851</v>
      </c>
      <c r="AD304" s="77">
        <f>SUM(AD295:AD297)</f>
        <v>235</v>
      </c>
      <c r="AE304" s="77">
        <f>SUM(AE295:AE297)</f>
        <v>234</v>
      </c>
      <c r="AF304" s="77">
        <f>SUM(AF295:AF297)</f>
        <v>232</v>
      </c>
      <c r="AG304" s="77">
        <f>AH304-AF304-AE304-AD304</f>
        <v>232</v>
      </c>
      <c r="AH304" s="76">
        <f>SUM(AH295:AH297)</f>
        <v>933</v>
      </c>
      <c r="AI304" s="77">
        <f>SUM(AI295:AI297)</f>
        <v>250</v>
      </c>
      <c r="AJ304" s="77">
        <f>SUM(AJ295:AJ297)</f>
        <v>306</v>
      </c>
      <c r="AK304" s="77">
        <f>SUM(AK295:AK297)</f>
        <v>293</v>
      </c>
      <c r="AL304" s="77">
        <f>SUM(AL295:AL297)</f>
        <v>252</v>
      </c>
      <c r="AM304" s="59">
        <f>SUM(AI304:AL304)</f>
        <v>1101</v>
      </c>
      <c r="AN304" s="77">
        <f>SUM(AN295:AN297)</f>
        <v>302</v>
      </c>
      <c r="AO304" s="77">
        <f>SUM(AO295:AO297)</f>
        <v>308</v>
      </c>
      <c r="AP304" s="77">
        <f>SUM(AP295:AP297)</f>
        <v>275</v>
      </c>
      <c r="AQ304" s="77">
        <f>SUM(AQ295:AQ297)</f>
        <v>251</v>
      </c>
      <c r="AR304" s="59">
        <f>SUM(AN304:AQ304)</f>
        <v>1136</v>
      </c>
      <c r="AS304" s="77">
        <f>SUM(AS295:AS297)</f>
        <v>261</v>
      </c>
      <c r="AT304">
        <f>SUM(AT295:AT297)</f>
        <v>262</v>
      </c>
      <c r="AU304">
        <f>SUM(AU295:AU297)</f>
        <v>250</v>
      </c>
      <c r="AV304">
        <f>SUM(AV295:AV297)</f>
        <v>365</v>
      </c>
      <c r="AW304" s="59">
        <f>SUM(AS304:AV304)</f>
        <v>1138</v>
      </c>
      <c r="AX304">
        <f>SUM(AX295:AX297)</f>
        <v>281</v>
      </c>
      <c r="AY304">
        <f>SUM(AY295:AY297)</f>
        <v>281</v>
      </c>
      <c r="AZ304">
        <f>SUM(AZ295:AZ297)</f>
        <v>306</v>
      </c>
      <c r="BA304" s="121">
        <v>321</v>
      </c>
      <c r="BB304" s="59">
        <f>SUM(AX304:BA304)</f>
        <v>1189</v>
      </c>
      <c r="BC304">
        <v>272</v>
      </c>
      <c r="BD304">
        <v>307</v>
      </c>
      <c r="BE304">
        <v>313</v>
      </c>
      <c r="BF304" s="288">
        <f>BG304-SUM(BC304:BE304)</f>
        <v>323</v>
      </c>
      <c r="BG304" s="59">
        <v>1215</v>
      </c>
      <c r="BH304" s="294">
        <v>280</v>
      </c>
      <c r="BI304" s="720">
        <v>297</v>
      </c>
      <c r="BJ304" s="294">
        <v>289</v>
      </c>
      <c r="BK304" s="288">
        <f>BL304-SUM(BH304:BJ304)</f>
        <v>292</v>
      </c>
      <c r="BL304" s="59">
        <v>1158</v>
      </c>
      <c r="BM304" s="294">
        <v>224</v>
      </c>
      <c r="BN304" s="720">
        <v>250</v>
      </c>
      <c r="BO304" s="294">
        <v>241</v>
      </c>
      <c r="BP304" s="288">
        <f>BQ304-SUM(BM304:BO304)</f>
        <v>271</v>
      </c>
      <c r="BQ304" s="59">
        <v>986</v>
      </c>
      <c r="BR304" s="294">
        <v>232</v>
      </c>
      <c r="BS304" s="720">
        <v>233</v>
      </c>
      <c r="BT304" s="294">
        <v>201</v>
      </c>
      <c r="BU304" s="288">
        <v>149</v>
      </c>
      <c r="BV304" s="59">
        <f>SUM(BR304:BU304)</f>
        <v>815</v>
      </c>
      <c r="BW304" s="294">
        <v>196</v>
      </c>
      <c r="BX304" s="720">
        <v>196</v>
      </c>
      <c r="BY304" s="294">
        <v>207</v>
      </c>
      <c r="BZ304" s="288">
        <f t="shared" si="650"/>
        <v>235</v>
      </c>
      <c r="CA304" s="59">
        <v>834</v>
      </c>
      <c r="CB304" s="294">
        <v>483</v>
      </c>
      <c r="CC304" s="720">
        <v>219</v>
      </c>
      <c r="CD304" s="294">
        <v>211</v>
      </c>
      <c r="CE304" s="288">
        <f t="shared" si="651"/>
        <v>-125</v>
      </c>
      <c r="CF304" s="59">
        <v>788</v>
      </c>
      <c r="CG304" s="720">
        <v>188</v>
      </c>
      <c r="CH304" s="720">
        <v>196</v>
      </c>
      <c r="CI304" s="720">
        <v>185</v>
      </c>
      <c r="CJ304" s="288">
        <f t="shared" si="652"/>
        <v>189</v>
      </c>
      <c r="CK304" s="59">
        <v>758</v>
      </c>
      <c r="CL304" s="288">
        <v>163</v>
      </c>
      <c r="CM304" s="288">
        <v>167</v>
      </c>
      <c r="CN304" s="288">
        <v>164</v>
      </c>
      <c r="CO304" s="288">
        <f t="shared" si="653"/>
        <v>219</v>
      </c>
      <c r="CP304" s="59">
        <v>713</v>
      </c>
      <c r="CQ304" s="288">
        <v>163</v>
      </c>
      <c r="CR304" s="288">
        <v>174</v>
      </c>
      <c r="CS304" s="288">
        <v>193</v>
      </c>
      <c r="CT304" s="288">
        <f t="shared" si="654"/>
        <v>288</v>
      </c>
      <c r="CU304" s="59">
        <v>818</v>
      </c>
      <c r="CV304" s="288"/>
      <c r="CW304" s="288"/>
      <c r="CX304" s="288"/>
      <c r="CY304" s="288"/>
      <c r="CZ304" s="59">
        <v>945</v>
      </c>
      <c r="DA304" s="288"/>
      <c r="DB304" s="288"/>
      <c r="DC304" s="288"/>
      <c r="DD304" s="288"/>
      <c r="DE304" s="59">
        <v>919</v>
      </c>
      <c r="DF304" s="66"/>
      <c r="DG304" s="437"/>
      <c r="DH304" s="437"/>
      <c r="DI304" s="288"/>
      <c r="DJ304" s="59">
        <v>917</v>
      </c>
      <c r="DK304" s="66"/>
      <c r="DL304" s="66"/>
      <c r="DM304" s="66"/>
      <c r="DN304" s="288"/>
      <c r="DO304" s="59">
        <v>877</v>
      </c>
      <c r="DP304" s="66"/>
      <c r="DQ304" s="66"/>
      <c r="DR304" s="66"/>
      <c r="DS304" s="288"/>
      <c r="DT304" s="59"/>
      <c r="DU304" s="66"/>
      <c r="DV304" s="66"/>
      <c r="DW304" s="66"/>
      <c r="DX304" s="288"/>
      <c r="DY304" s="59"/>
      <c r="DZ304" s="59"/>
      <c r="EA304" s="59"/>
      <c r="EB304" s="59"/>
    </row>
    <row r="305" spans="1:132" s="105" customFormat="1" ht="12" customHeight="1">
      <c r="A305" s="68"/>
      <c r="B305" s="828" t="s">
        <v>575</v>
      </c>
      <c r="C305" s="76"/>
      <c r="D305" s="76"/>
      <c r="E305" s="76"/>
      <c r="F305" s="76"/>
      <c r="G305" s="76"/>
      <c r="H305" s="76"/>
      <c r="I305" s="76"/>
      <c r="J305" s="77"/>
      <c r="K305" s="77"/>
      <c r="L305" s="77"/>
      <c r="M305" s="77"/>
      <c r="N305" s="76"/>
      <c r="O305" s="77"/>
      <c r="P305" s="77"/>
      <c r="Q305" s="77"/>
      <c r="R305" s="77"/>
      <c r="S305" s="76"/>
      <c r="T305" s="77"/>
      <c r="U305" s="77"/>
      <c r="V305" s="77"/>
      <c r="W305" s="77"/>
      <c r="X305" s="76"/>
      <c r="Y305" s="77"/>
      <c r="Z305" s="77"/>
      <c r="AA305" s="77"/>
      <c r="AB305" s="77"/>
      <c r="AC305" s="76"/>
      <c r="AD305" s="77"/>
      <c r="AE305" s="77"/>
      <c r="AF305" s="77"/>
      <c r="AG305" s="77"/>
      <c r="AH305" s="76"/>
      <c r="AI305" s="77"/>
      <c r="AJ305" s="77"/>
      <c r="AK305" s="77"/>
      <c r="AL305" s="77"/>
      <c r="AM305" s="59"/>
      <c r="AN305" s="77"/>
      <c r="AO305" s="77"/>
      <c r="AP305" s="77"/>
      <c r="AQ305" s="77"/>
      <c r="AR305" s="59"/>
      <c r="AS305" s="77"/>
      <c r="AT305"/>
      <c r="AU305"/>
      <c r="AV305"/>
      <c r="AW305" s="59"/>
      <c r="AX305"/>
      <c r="AY305"/>
      <c r="AZ305"/>
      <c r="BA305" s="121"/>
      <c r="BB305" s="59"/>
      <c r="BC305"/>
      <c r="BD305"/>
      <c r="BE305"/>
      <c r="BF305" s="288"/>
      <c r="BG305" s="59"/>
      <c r="BH305" s="294"/>
      <c r="BI305" s="720"/>
      <c r="BJ305" s="294"/>
      <c r="BK305" s="288"/>
      <c r="BL305" s="59"/>
      <c r="BM305" s="294"/>
      <c r="BN305" s="720"/>
      <c r="BO305" s="294"/>
      <c r="BP305" s="288"/>
      <c r="BQ305" s="59"/>
      <c r="BR305" s="294">
        <v>38</v>
      </c>
      <c r="BS305" s="720">
        <v>47</v>
      </c>
      <c r="BT305" s="294">
        <v>41</v>
      </c>
      <c r="BU305" s="288">
        <v>27</v>
      </c>
      <c r="BV305" s="59">
        <f>SUM(BR305:BU305)</f>
        <v>153</v>
      </c>
      <c r="BW305" s="294">
        <v>28</v>
      </c>
      <c r="BX305" s="720">
        <v>35</v>
      </c>
      <c r="BY305" s="294">
        <v>38</v>
      </c>
      <c r="BZ305" s="288">
        <f t="shared" si="650"/>
        <v>39</v>
      </c>
      <c r="CA305" s="59">
        <v>140</v>
      </c>
      <c r="CB305" s="294">
        <v>34</v>
      </c>
      <c r="CC305" s="720">
        <v>37</v>
      </c>
      <c r="CD305" s="294">
        <v>48</v>
      </c>
      <c r="CE305" s="288">
        <f t="shared" si="651"/>
        <v>42</v>
      </c>
      <c r="CF305" s="59">
        <v>161</v>
      </c>
      <c r="CG305" s="720">
        <v>10</v>
      </c>
      <c r="CH305" s="720">
        <v>33</v>
      </c>
      <c r="CI305" s="720">
        <v>29</v>
      </c>
      <c r="CJ305" s="288">
        <f t="shared" si="652"/>
        <v>49</v>
      </c>
      <c r="CK305" s="59">
        <v>121</v>
      </c>
      <c r="CL305" s="288">
        <v>30</v>
      </c>
      <c r="CM305" s="288">
        <v>35</v>
      </c>
      <c r="CN305" s="288">
        <v>45</v>
      </c>
      <c r="CO305" s="288">
        <f t="shared" si="653"/>
        <v>28</v>
      </c>
      <c r="CP305" s="59">
        <v>138</v>
      </c>
      <c r="CQ305" s="288">
        <v>25</v>
      </c>
      <c r="CR305" s="288">
        <v>25</v>
      </c>
      <c r="CS305" s="288">
        <v>30</v>
      </c>
      <c r="CT305" s="288">
        <f t="shared" si="654"/>
        <v>27</v>
      </c>
      <c r="CU305" s="59">
        <v>107</v>
      </c>
      <c r="CV305" s="288"/>
      <c r="CW305" s="288"/>
      <c r="CX305" s="288"/>
      <c r="CY305" s="288"/>
      <c r="CZ305" s="59">
        <v>119</v>
      </c>
      <c r="DA305" s="288"/>
      <c r="DB305" s="288"/>
      <c r="DC305" s="288"/>
      <c r="DD305" s="288"/>
      <c r="DE305" s="59">
        <v>107</v>
      </c>
      <c r="DF305" s="66"/>
      <c r="DG305" s="437"/>
      <c r="DH305" s="437"/>
      <c r="DI305" s="288"/>
      <c r="DJ305" s="59">
        <v>132</v>
      </c>
      <c r="DK305" s="66"/>
      <c r="DL305" s="66"/>
      <c r="DM305" s="66"/>
      <c r="DN305" s="288"/>
      <c r="DO305" s="59">
        <v>125</v>
      </c>
      <c r="DP305" s="66"/>
      <c r="DQ305" s="66"/>
      <c r="DR305" s="66"/>
      <c r="DS305" s="288"/>
      <c r="DT305" s="59"/>
      <c r="DU305" s="66"/>
      <c r="DV305" s="66"/>
      <c r="DW305" s="66"/>
      <c r="DX305" s="288"/>
      <c r="DY305" s="59"/>
      <c r="DZ305" s="59"/>
      <c r="EA305" s="59"/>
      <c r="EB305" s="59"/>
    </row>
    <row r="306" spans="1:132" s="105" customFormat="1" ht="12" customHeight="1">
      <c r="A306" s="68"/>
      <c r="B306" s="68" t="s">
        <v>93</v>
      </c>
      <c r="C306" s="79">
        <v>0</v>
      </c>
      <c r="D306" s="79">
        <v>0</v>
      </c>
      <c r="E306" s="79">
        <f>E307-E304-E294</f>
        <v>0</v>
      </c>
      <c r="F306" s="79">
        <v>0</v>
      </c>
      <c r="G306" s="79">
        <v>294</v>
      </c>
      <c r="H306" s="79">
        <f>H307-H304-H294</f>
        <v>129</v>
      </c>
      <c r="I306" s="79">
        <f>I307-I304-I294</f>
        <v>129</v>
      </c>
      <c r="J306" s="80">
        <v>29</v>
      </c>
      <c r="K306" s="80">
        <v>34</v>
      </c>
      <c r="L306" s="80">
        <v>22</v>
      </c>
      <c r="M306" s="80">
        <f>N306-L306-K306-J306</f>
        <v>19</v>
      </c>
      <c r="N306" s="79">
        <v>104</v>
      </c>
      <c r="O306" s="80">
        <v>12</v>
      </c>
      <c r="P306" s="80">
        <v>13</v>
      </c>
      <c r="Q306" s="80">
        <v>12</v>
      </c>
      <c r="R306" s="80">
        <f>S306-Q306-P306-O306</f>
        <v>11</v>
      </c>
      <c r="S306" s="79">
        <v>48</v>
      </c>
      <c r="T306" s="80">
        <v>12</v>
      </c>
      <c r="U306" s="80">
        <v>13</v>
      </c>
      <c r="V306" s="80">
        <v>42</v>
      </c>
      <c r="W306" s="80">
        <f>X306-V306-U306-T306</f>
        <v>9</v>
      </c>
      <c r="X306" s="79">
        <v>76</v>
      </c>
      <c r="Y306" s="80">
        <v>5</v>
      </c>
      <c r="Z306" s="80">
        <v>10</v>
      </c>
      <c r="AA306" s="80">
        <v>7</v>
      </c>
      <c r="AB306" s="80">
        <f>AC306-AA306-Z306-Y306</f>
        <v>15</v>
      </c>
      <c r="AC306" s="79">
        <v>37</v>
      </c>
      <c r="AD306" s="80">
        <v>1</v>
      </c>
      <c r="AE306" s="80">
        <v>1</v>
      </c>
      <c r="AF306" s="80">
        <v>0</v>
      </c>
      <c r="AG306" s="80">
        <f>AH306-AF306-AE306-AD306</f>
        <v>-5</v>
      </c>
      <c r="AH306" s="79">
        <v>-3</v>
      </c>
      <c r="AI306" s="80">
        <v>9</v>
      </c>
      <c r="AJ306" s="80">
        <v>-5</v>
      </c>
      <c r="AK306" s="80">
        <v>9</v>
      </c>
      <c r="AL306" s="289">
        <v>9</v>
      </c>
      <c r="AM306" s="291">
        <f>SUM(AI306:AL306)</f>
        <v>22</v>
      </c>
      <c r="AN306" s="80">
        <v>0</v>
      </c>
      <c r="AO306" s="80">
        <v>0</v>
      </c>
      <c r="AP306" s="80">
        <v>0</v>
      </c>
      <c r="AQ306" s="80">
        <v>10</v>
      </c>
      <c r="AR306" s="291">
        <f>SUM(AN306:AQ306)</f>
        <v>10</v>
      </c>
      <c r="AS306" s="80">
        <v>9</v>
      </c>
      <c r="AT306" s="289">
        <v>14</v>
      </c>
      <c r="AU306" s="289">
        <v>18</v>
      </c>
      <c r="AV306" s="289">
        <v>24</v>
      </c>
      <c r="AW306" s="69">
        <f>SUM(AS306:AV306)</f>
        <v>65</v>
      </c>
      <c r="AX306" s="289">
        <v>10</v>
      </c>
      <c r="AY306" s="289">
        <v>16</v>
      </c>
      <c r="AZ306" s="289">
        <v>13</v>
      </c>
      <c r="BA306" s="289">
        <v>21</v>
      </c>
      <c r="BB306" s="69">
        <f>SUM(AX306:BA306)</f>
        <v>60</v>
      </c>
      <c r="BC306" s="289">
        <v>14</v>
      </c>
      <c r="BD306" s="289">
        <v>10</v>
      </c>
      <c r="BE306" s="289">
        <v>10</v>
      </c>
      <c r="BF306" s="288">
        <f>BG306-SUM(BC306:BE306)</f>
        <v>15</v>
      </c>
      <c r="BG306" s="69">
        <v>49</v>
      </c>
      <c r="BH306" s="289">
        <v>0</v>
      </c>
      <c r="BI306" s="722">
        <v>-5</v>
      </c>
      <c r="BJ306" s="289">
        <v>9</v>
      </c>
      <c r="BK306" s="289">
        <f>BL306-SUM(BH306:BJ306)</f>
        <v>4</v>
      </c>
      <c r="BL306" s="69">
        <v>8</v>
      </c>
      <c r="BM306" s="289">
        <v>2</v>
      </c>
      <c r="BN306" s="722">
        <v>-4</v>
      </c>
      <c r="BO306" s="289">
        <v>0</v>
      </c>
      <c r="BP306" s="289">
        <f>BQ306-SUM(BM306:BO306)</f>
        <v>7</v>
      </c>
      <c r="BQ306" s="69">
        <v>5</v>
      </c>
      <c r="BR306" s="289">
        <v>-12</v>
      </c>
      <c r="BS306" s="722">
        <v>-13</v>
      </c>
      <c r="BT306" s="289">
        <v>-18</v>
      </c>
      <c r="BU306" s="289">
        <f>BV306-SUM(BR306:BT306)</f>
        <v>-4</v>
      </c>
      <c r="BV306" s="59">
        <v>-47</v>
      </c>
      <c r="BW306" s="289">
        <v>-11</v>
      </c>
      <c r="BX306" s="722">
        <v>-10</v>
      </c>
      <c r="BY306" s="289">
        <v>-16</v>
      </c>
      <c r="BZ306" s="289">
        <f t="shared" si="650"/>
        <v>-5</v>
      </c>
      <c r="CA306" s="59">
        <v>-42</v>
      </c>
      <c r="CB306" s="289">
        <v>-2</v>
      </c>
      <c r="CC306" s="722">
        <v>21</v>
      </c>
      <c r="CD306" s="289">
        <v>50</v>
      </c>
      <c r="CE306" s="289">
        <f t="shared" si="651"/>
        <v>63</v>
      </c>
      <c r="CF306" s="59">
        <v>132</v>
      </c>
      <c r="CG306" s="722">
        <v>74</v>
      </c>
      <c r="CH306" s="722">
        <v>99</v>
      </c>
      <c r="CI306" s="722">
        <v>97</v>
      </c>
      <c r="CJ306" s="289">
        <f t="shared" si="652"/>
        <v>114</v>
      </c>
      <c r="CK306" s="59">
        <v>384</v>
      </c>
      <c r="CL306" s="288">
        <v>54</v>
      </c>
      <c r="CM306" s="288">
        <v>62</v>
      </c>
      <c r="CN306" s="288">
        <v>44</v>
      </c>
      <c r="CO306" s="289">
        <f t="shared" si="653"/>
        <v>80</v>
      </c>
      <c r="CP306" s="59">
        <v>240</v>
      </c>
      <c r="CQ306" s="288">
        <v>42</v>
      </c>
      <c r="CR306" s="288">
        <v>43</v>
      </c>
      <c r="CS306" s="288">
        <v>59</v>
      </c>
      <c r="CT306" s="289">
        <f t="shared" si="654"/>
        <v>40</v>
      </c>
      <c r="CU306" s="59">
        <v>184</v>
      </c>
      <c r="CV306" s="288"/>
      <c r="CW306" s="288"/>
      <c r="CX306" s="288"/>
      <c r="CY306" s="288"/>
      <c r="CZ306" s="59">
        <v>278</v>
      </c>
      <c r="DA306" s="288"/>
      <c r="DB306" s="288"/>
      <c r="DC306" s="288"/>
      <c r="DD306" s="288"/>
      <c r="DE306" s="59">
        <v>315</v>
      </c>
      <c r="DF306" s="66"/>
      <c r="DG306" s="437"/>
      <c r="DH306" s="437"/>
      <c r="DI306" s="288"/>
      <c r="DJ306" s="59">
        <v>377</v>
      </c>
      <c r="DK306" s="66"/>
      <c r="DL306" s="66"/>
      <c r="DM306" s="66"/>
      <c r="DN306" s="288"/>
      <c r="DO306" s="59">
        <v>411</v>
      </c>
      <c r="DP306" s="66"/>
      <c r="DQ306" s="66"/>
      <c r="DR306" s="66"/>
      <c r="DS306" s="288"/>
      <c r="DT306" s="59"/>
      <c r="DU306" s="66"/>
      <c r="DV306" s="66"/>
      <c r="DW306" s="66"/>
      <c r="DX306" s="288"/>
      <c r="DY306" s="59"/>
      <c r="DZ306" s="59"/>
      <c r="EA306" s="59"/>
      <c r="EB306" s="59"/>
    </row>
    <row r="307" spans="1:132" s="277" customFormat="1" ht="12" customHeight="1">
      <c r="A307" s="74"/>
      <c r="B307" s="74" t="s">
        <v>126</v>
      </c>
      <c r="C307" s="71">
        <f>C306+C304+C294</f>
        <v>1924</v>
      </c>
      <c r="D307" s="71">
        <f>D306+D304+D294</f>
        <v>1895</v>
      </c>
      <c r="E307" s="71">
        <v>1341</v>
      </c>
      <c r="F307" s="71">
        <v>1441</v>
      </c>
      <c r="G307" s="71">
        <f>G294+G304+G306</f>
        <v>1936</v>
      </c>
      <c r="H307" s="71">
        <v>1639</v>
      </c>
      <c r="I307" s="71">
        <v>1651</v>
      </c>
      <c r="J307" s="72">
        <f>J294+J304+J306</f>
        <v>474</v>
      </c>
      <c r="K307" s="72">
        <f>K294+K304+K306</f>
        <v>522</v>
      </c>
      <c r="L307" s="72">
        <f>L294+L304+L306</f>
        <v>469</v>
      </c>
      <c r="M307" s="72">
        <f>N307-L307-K307-J307</f>
        <v>414</v>
      </c>
      <c r="N307" s="71">
        <f>N294+N304+N306</f>
        <v>1879</v>
      </c>
      <c r="O307" s="72">
        <f>O294+O304+O306</f>
        <v>492</v>
      </c>
      <c r="P307" s="72">
        <f>P294+P304+P306</f>
        <v>591</v>
      </c>
      <c r="Q307" s="72">
        <f>Q294+Q304+Q306</f>
        <v>521</v>
      </c>
      <c r="R307" s="72">
        <f>S307-Q307-P307-O307</f>
        <v>601</v>
      </c>
      <c r="S307" s="71">
        <f>S294+S304+S306</f>
        <v>2205</v>
      </c>
      <c r="T307" s="72">
        <f>T294+T304+T306</f>
        <v>748</v>
      </c>
      <c r="U307" s="72">
        <f>U294+U304+U306</f>
        <v>739</v>
      </c>
      <c r="V307" s="72">
        <f>V294+V304+V306</f>
        <v>833</v>
      </c>
      <c r="W307" s="72">
        <f>X307-V307-U307-T307</f>
        <v>937</v>
      </c>
      <c r="X307" s="71">
        <f>X294+X304+X306</f>
        <v>3257</v>
      </c>
      <c r="Y307" s="72">
        <f>Y294+Y304+Y306</f>
        <v>999</v>
      </c>
      <c r="Z307" s="72">
        <f>Z294+Z304+Z306</f>
        <v>989</v>
      </c>
      <c r="AA307" s="72">
        <f>AA294+AA304+AA306</f>
        <v>869</v>
      </c>
      <c r="AB307" s="72">
        <f>AC307-AA307-Z307-Y307</f>
        <v>993</v>
      </c>
      <c r="AC307" s="71">
        <f>AC294+AC304+AC306</f>
        <v>3850</v>
      </c>
      <c r="AD307" s="72">
        <f>AD294+AD304+AD306</f>
        <v>869</v>
      </c>
      <c r="AE307" s="72">
        <f>AE294+AE304+AE306</f>
        <v>1005</v>
      </c>
      <c r="AF307" s="72">
        <f>AF294+AF304+AF306</f>
        <v>937</v>
      </c>
      <c r="AG307" s="72">
        <f>AH307-AF307-AE307-AD307</f>
        <v>957</v>
      </c>
      <c r="AH307" s="71">
        <f t="shared" ref="AH307:BP307" si="655">AH294+AH304+AH306</f>
        <v>3768</v>
      </c>
      <c r="AI307" s="72">
        <f t="shared" si="655"/>
        <v>970</v>
      </c>
      <c r="AJ307" s="72">
        <f t="shared" si="655"/>
        <v>960</v>
      </c>
      <c r="AK307" s="72">
        <f t="shared" si="655"/>
        <v>3574</v>
      </c>
      <c r="AL307" s="72">
        <f t="shared" si="655"/>
        <v>1002</v>
      </c>
      <c r="AM307" s="117">
        <f t="shared" si="655"/>
        <v>6506</v>
      </c>
      <c r="AN307" s="72">
        <f t="shared" si="655"/>
        <v>1000</v>
      </c>
      <c r="AO307" s="72">
        <f t="shared" si="655"/>
        <v>1001</v>
      </c>
      <c r="AP307" s="72">
        <f t="shared" si="655"/>
        <v>986</v>
      </c>
      <c r="AQ307" s="72">
        <f t="shared" si="655"/>
        <v>1134</v>
      </c>
      <c r="AR307" s="117">
        <f t="shared" si="655"/>
        <v>4121</v>
      </c>
      <c r="AS307" s="72">
        <f t="shared" si="655"/>
        <v>1057</v>
      </c>
      <c r="AT307" s="74">
        <f t="shared" si="655"/>
        <v>1047</v>
      </c>
      <c r="AU307" s="74">
        <f t="shared" si="655"/>
        <v>901</v>
      </c>
      <c r="AV307" s="74">
        <f t="shared" si="655"/>
        <v>913</v>
      </c>
      <c r="AW307" s="193">
        <f t="shared" si="655"/>
        <v>3918</v>
      </c>
      <c r="AX307" s="74">
        <f t="shared" si="655"/>
        <v>835</v>
      </c>
      <c r="AY307" s="74">
        <f t="shared" si="655"/>
        <v>857</v>
      </c>
      <c r="AZ307" s="74">
        <f t="shared" si="655"/>
        <v>853</v>
      </c>
      <c r="BA307" s="74">
        <f t="shared" si="655"/>
        <v>753</v>
      </c>
      <c r="BB307" s="193">
        <f t="shared" si="655"/>
        <v>3298</v>
      </c>
      <c r="BC307" s="74">
        <f t="shared" si="655"/>
        <v>705</v>
      </c>
      <c r="BD307" s="74">
        <f t="shared" si="655"/>
        <v>763</v>
      </c>
      <c r="BE307" s="74">
        <f t="shared" si="655"/>
        <v>755</v>
      </c>
      <c r="BF307" s="74">
        <f t="shared" si="655"/>
        <v>848</v>
      </c>
      <c r="BG307" s="193">
        <f t="shared" si="655"/>
        <v>3071</v>
      </c>
      <c r="BH307" s="74">
        <f t="shared" si="655"/>
        <v>809</v>
      </c>
      <c r="BI307" s="74">
        <f t="shared" si="655"/>
        <v>733</v>
      </c>
      <c r="BJ307" s="74">
        <f t="shared" si="655"/>
        <v>750</v>
      </c>
      <c r="BK307" s="74">
        <f t="shared" si="655"/>
        <v>755</v>
      </c>
      <c r="BL307" s="193">
        <f>BL294+BL304+BL306</f>
        <v>3047</v>
      </c>
      <c r="BM307" s="74">
        <f t="shared" si="655"/>
        <v>769</v>
      </c>
      <c r="BN307" s="74">
        <f t="shared" si="655"/>
        <v>800</v>
      </c>
      <c r="BO307" s="74">
        <f t="shared" si="655"/>
        <v>857</v>
      </c>
      <c r="BP307" s="74">
        <f t="shared" si="655"/>
        <v>905</v>
      </c>
      <c r="BQ307" s="193">
        <f>BQ294+BQ304+BQ306</f>
        <v>3331</v>
      </c>
      <c r="BR307" s="74">
        <f>BR294+BR304+BR306+BR305</f>
        <v>917</v>
      </c>
      <c r="BS307" s="74">
        <f>BS294+BS304+BS306+BS305</f>
        <v>2127</v>
      </c>
      <c r="BT307" s="74">
        <f>BT294+BT304+BT306+BT305</f>
        <v>857</v>
      </c>
      <c r="BU307" s="74">
        <f>BU294+BU304+BU306+BU305</f>
        <v>726</v>
      </c>
      <c r="BV307" s="193">
        <f>BV294+BV304+BV306</f>
        <v>4474</v>
      </c>
      <c r="BW307" s="74">
        <f t="shared" ref="BW307:CE307" si="656">BW294+BW304+BW306+BW305</f>
        <v>838</v>
      </c>
      <c r="BX307" s="74">
        <f t="shared" si="656"/>
        <v>813</v>
      </c>
      <c r="BY307" s="74">
        <f t="shared" si="656"/>
        <v>767</v>
      </c>
      <c r="BZ307" s="74">
        <f t="shared" si="656"/>
        <v>761</v>
      </c>
      <c r="CA307" s="193">
        <f t="shared" si="656"/>
        <v>3179</v>
      </c>
      <c r="CB307" s="74">
        <f t="shared" si="656"/>
        <v>1064</v>
      </c>
      <c r="CC307" s="74">
        <f t="shared" si="656"/>
        <v>827</v>
      </c>
      <c r="CD307" s="74">
        <f t="shared" si="656"/>
        <v>826</v>
      </c>
      <c r="CE307" s="74">
        <f t="shared" si="656"/>
        <v>552</v>
      </c>
      <c r="CF307" s="193">
        <f>CF294+CF304+CF306+CF305</f>
        <v>3269</v>
      </c>
      <c r="CG307" s="971">
        <f>CG294+CG304+CG306+CG305</f>
        <v>836</v>
      </c>
      <c r="CH307" s="102">
        <f>CH294+CH304+CH306+CH305</f>
        <v>826</v>
      </c>
      <c r="CI307" s="102">
        <f>CI294+CI304+CI306+CI305</f>
        <v>778</v>
      </c>
      <c r="CJ307" s="74">
        <f t="shared" ref="CJ307" si="657">CJ294+CJ304+CJ306+CJ305</f>
        <v>779</v>
      </c>
      <c r="CK307" s="193">
        <f>CK294+CK304+CK306+CK305</f>
        <v>3219</v>
      </c>
      <c r="CL307" s="971">
        <f>CL294+CL304+CL306+CL305</f>
        <v>672</v>
      </c>
      <c r="CM307" s="102">
        <f>CM294+CM304+CM306+CM305</f>
        <v>625</v>
      </c>
      <c r="CN307" s="102">
        <f>CN294+CN304+CN306+CN305</f>
        <v>574</v>
      </c>
      <c r="CO307" s="74">
        <f t="shared" ref="CO307" si="658">CO294+CO304+CO306+CO305</f>
        <v>605</v>
      </c>
      <c r="CP307" s="193">
        <f t="shared" ref="CP307" si="659">CP294+CP304+CP306+CP305</f>
        <v>2476</v>
      </c>
      <c r="CQ307" s="971">
        <f>CQ294+CQ304+CQ306+CQ305</f>
        <v>499</v>
      </c>
      <c r="CR307" s="102">
        <f>CR294+CR304+CR306+CR305</f>
        <v>497</v>
      </c>
      <c r="CS307" s="102">
        <f>CS294+CS304+CS306+CS305</f>
        <v>575</v>
      </c>
      <c r="CT307" s="74">
        <f t="shared" ref="CT307" si="660">CT294+CT304+CT306+CT305</f>
        <v>678</v>
      </c>
      <c r="CU307" s="193">
        <f t="shared" ref="CU307" si="661">CU294+CU304+CU306+CU305</f>
        <v>2249</v>
      </c>
      <c r="CV307" s="74"/>
      <c r="CW307" s="74"/>
      <c r="CX307" s="74"/>
      <c r="CY307" s="74"/>
      <c r="CZ307" s="193">
        <f t="shared" ref="CZ307" si="662">CZ294+CZ304+CZ306+CZ305</f>
        <v>2852</v>
      </c>
      <c r="DA307" s="74"/>
      <c r="DB307" s="74"/>
      <c r="DC307" s="74"/>
      <c r="DD307" s="74"/>
      <c r="DE307" s="193">
        <f t="shared" ref="DE307" si="663">DE294+DE304+DE306+DE305</f>
        <v>3377</v>
      </c>
      <c r="DF307" s="66"/>
      <c r="DG307" s="437"/>
      <c r="DH307" s="437"/>
      <c r="DI307" s="74"/>
      <c r="DJ307" s="193">
        <f>+SUM(DJ294:DJ306)</f>
        <v>3812</v>
      </c>
      <c r="DK307" s="66"/>
      <c r="DL307" s="66"/>
      <c r="DM307" s="66"/>
      <c r="DN307" s="74"/>
      <c r="DO307" s="193">
        <f>+SUM(DO294:DO306)</f>
        <v>3615</v>
      </c>
      <c r="DP307" s="66"/>
      <c r="DQ307" s="66"/>
      <c r="DR307" s="66"/>
      <c r="DS307" s="74"/>
      <c r="DT307" s="59"/>
      <c r="DU307" s="66"/>
      <c r="DV307" s="66"/>
      <c r="DW307" s="66"/>
      <c r="DX307" s="74"/>
      <c r="DY307" s="59"/>
      <c r="DZ307" s="59"/>
      <c r="EA307" s="59"/>
      <c r="EB307" s="59"/>
    </row>
    <row r="308" spans="1:132" s="105" customFormat="1" ht="12" customHeight="1">
      <c r="A308" s="68"/>
      <c r="B308" s="98"/>
      <c r="C308" s="95"/>
      <c r="D308" s="95"/>
      <c r="E308" s="95"/>
      <c r="F308" s="94"/>
      <c r="G308" s="95"/>
      <c r="H308" s="95"/>
      <c r="I308" s="95"/>
      <c r="J308" s="94"/>
      <c r="K308" s="94"/>
      <c r="L308" s="94"/>
      <c r="M308" s="94"/>
      <c r="N308" s="95"/>
      <c r="O308" s="94"/>
      <c r="P308" s="94"/>
      <c r="Q308" s="94"/>
      <c r="R308" s="94"/>
      <c r="S308" s="95"/>
      <c r="T308" s="94"/>
      <c r="U308" s="94"/>
      <c r="V308" s="94"/>
      <c r="W308" s="94"/>
      <c r="X308" s="95"/>
      <c r="Y308" s="94"/>
      <c r="Z308" s="94"/>
      <c r="AA308" s="94"/>
      <c r="AB308" s="94"/>
      <c r="AC308" s="95"/>
      <c r="AD308" s="94"/>
      <c r="AE308" s="94"/>
      <c r="AF308" s="94"/>
      <c r="AG308" s="94"/>
      <c r="AH308" s="95"/>
      <c r="AI308" s="94"/>
      <c r="AJ308" s="94"/>
      <c r="AK308" s="94"/>
      <c r="AL308" s="96"/>
      <c r="AM308" s="217"/>
      <c r="AN308" s="94"/>
      <c r="AO308" s="94"/>
      <c r="AP308" s="94"/>
      <c r="AQ308" s="96"/>
      <c r="AR308" s="217"/>
      <c r="AS308" s="94"/>
      <c r="AT308" s="94"/>
      <c r="AU308" s="94"/>
      <c r="AV308" s="96"/>
      <c r="AW308" s="217"/>
      <c r="AX308" s="94"/>
      <c r="AY308" s="94"/>
      <c r="AZ308" s="94"/>
      <c r="BA308" s="96"/>
      <c r="BB308" s="217"/>
      <c r="BC308" s="94"/>
      <c r="BD308" s="94"/>
      <c r="BE308" s="94"/>
      <c r="BF308" s="96"/>
      <c r="BG308" s="217"/>
      <c r="BH308" s="94"/>
      <c r="BI308" s="712"/>
      <c r="BJ308" s="94"/>
      <c r="BK308" s="96"/>
      <c r="BL308" s="217"/>
      <c r="BM308" s="94"/>
      <c r="BN308" s="712"/>
      <c r="BO308" s="94"/>
      <c r="BP308" s="96"/>
      <c r="BQ308" s="217"/>
      <c r="BR308" s="94"/>
      <c r="BS308" s="712"/>
      <c r="BT308" s="94"/>
      <c r="BU308" s="96"/>
      <c r="BV308" s="217"/>
      <c r="BW308" s="94"/>
      <c r="BX308" s="712"/>
      <c r="BY308" s="94"/>
      <c r="BZ308" s="96"/>
      <c r="CA308" s="217"/>
      <c r="CB308" s="94"/>
      <c r="CC308" s="712"/>
      <c r="CD308" s="94"/>
      <c r="CE308" s="96"/>
      <c r="CF308" s="217"/>
      <c r="CG308" s="712"/>
      <c r="CH308" s="712"/>
      <c r="CI308" s="712"/>
      <c r="CJ308" s="712"/>
      <c r="CK308" s="217"/>
      <c r="CL308" s="96"/>
      <c r="CM308" s="96"/>
      <c r="CN308" s="96"/>
      <c r="CO308" s="96"/>
      <c r="CP308" s="217"/>
      <c r="CQ308" s="96"/>
      <c r="CR308" s="96"/>
      <c r="CS308" s="96"/>
      <c r="CT308" s="96"/>
      <c r="CU308" s="217"/>
      <c r="CV308" s="96"/>
      <c r="CW308" s="96"/>
      <c r="CX308" s="96"/>
      <c r="CY308" s="96"/>
      <c r="CZ308" s="217"/>
      <c r="DA308" s="96"/>
      <c r="DB308" s="96"/>
      <c r="DC308" s="96"/>
      <c r="DD308" s="96"/>
      <c r="DE308" s="217"/>
      <c r="DF308" s="104"/>
      <c r="DG308" s="1054"/>
      <c r="DH308" s="1054"/>
      <c r="DI308" s="96"/>
      <c r="DJ308" s="217"/>
      <c r="DK308" s="104"/>
      <c r="DL308" s="104"/>
      <c r="DM308" s="104"/>
      <c r="DN308" s="96"/>
      <c r="DO308" s="217"/>
      <c r="DP308" s="104"/>
      <c r="DQ308" s="104"/>
      <c r="DR308" s="104"/>
      <c r="DS308" s="96"/>
      <c r="DT308" s="217"/>
      <c r="DU308" s="104"/>
      <c r="DV308" s="104"/>
      <c r="DW308" s="104"/>
      <c r="DX308" s="96"/>
      <c r="DY308" s="217"/>
      <c r="DZ308" s="217"/>
      <c r="EA308" s="217"/>
      <c r="EB308" s="217"/>
    </row>
    <row r="309" spans="1:132" s="105" customFormat="1" ht="12" customHeight="1">
      <c r="A309" s="68"/>
      <c r="B309" s="164" t="s">
        <v>100</v>
      </c>
      <c r="C309" s="95"/>
      <c r="D309" s="95"/>
      <c r="E309" s="95"/>
      <c r="F309" s="94"/>
      <c r="G309" s="95"/>
      <c r="H309" s="95"/>
      <c r="I309" s="95"/>
      <c r="J309" s="94"/>
      <c r="K309" s="94"/>
      <c r="L309" s="94"/>
      <c r="M309" s="94"/>
      <c r="N309" s="95"/>
      <c r="O309" s="94"/>
      <c r="P309" s="94"/>
      <c r="Q309" s="94"/>
      <c r="R309" s="94"/>
      <c r="S309" s="95"/>
      <c r="T309" s="94"/>
      <c r="U309" s="94"/>
      <c r="V309" s="94"/>
      <c r="W309" s="94"/>
      <c r="X309" s="95"/>
      <c r="Y309" s="94"/>
      <c r="Z309" s="94"/>
      <c r="AA309" s="94"/>
      <c r="AB309" s="94"/>
      <c r="AC309" s="95"/>
      <c r="AD309" s="94"/>
      <c r="AE309" s="94"/>
      <c r="AF309" s="94"/>
      <c r="AG309" s="94"/>
      <c r="AH309" s="95"/>
      <c r="AI309" s="94"/>
      <c r="AJ309" s="94"/>
      <c r="AK309" s="94"/>
      <c r="AL309" s="96"/>
      <c r="AM309" s="217"/>
      <c r="AN309" s="94"/>
      <c r="AO309" s="94"/>
      <c r="AP309" s="94"/>
      <c r="AQ309" s="96"/>
      <c r="AR309" s="217"/>
      <c r="AS309" s="94"/>
      <c r="AT309" s="94"/>
      <c r="AU309" s="94"/>
      <c r="AV309" s="96"/>
      <c r="AW309" s="217"/>
      <c r="AX309" s="94"/>
      <c r="AY309" s="94"/>
      <c r="AZ309" s="94"/>
      <c r="BA309" s="96"/>
      <c r="BB309" s="217"/>
      <c r="BC309" s="94"/>
      <c r="BD309" s="94"/>
      <c r="BE309" s="94"/>
      <c r="BF309" s="96"/>
      <c r="BG309" s="217"/>
      <c r="BH309" s="94"/>
      <c r="BI309" s="712"/>
      <c r="BJ309" s="94"/>
      <c r="BK309" s="96"/>
      <c r="BL309" s="217"/>
      <c r="BM309" s="94"/>
      <c r="BN309" s="712"/>
      <c r="BO309" s="94"/>
      <c r="BP309" s="96"/>
      <c r="BQ309" s="217"/>
      <c r="BR309" s="94"/>
      <c r="BS309" s="712"/>
      <c r="BT309" s="94"/>
      <c r="BU309" s="96"/>
      <c r="BV309" s="13"/>
      <c r="BW309" s="94"/>
      <c r="BX309" s="712"/>
      <c r="BY309" s="94"/>
      <c r="BZ309" s="96"/>
      <c r="CA309" s="217"/>
      <c r="CB309" s="94"/>
      <c r="CC309" s="712"/>
      <c r="CD309" s="94"/>
      <c r="CE309" s="96"/>
      <c r="CF309" s="217"/>
      <c r="CG309" s="712"/>
      <c r="CH309" s="712"/>
      <c r="CI309" s="712"/>
      <c r="CJ309" s="712"/>
      <c r="CK309" s="217"/>
      <c r="CL309" s="96"/>
      <c r="CM309" s="96"/>
      <c r="CN309" s="96"/>
      <c r="CO309" s="96"/>
      <c r="CP309" s="217"/>
      <c r="CQ309" s="96"/>
      <c r="CR309" s="96"/>
      <c r="CS309" s="96"/>
      <c r="CT309" s="96"/>
      <c r="CU309" s="217"/>
      <c r="CV309" s="96"/>
      <c r="CW309" s="96"/>
      <c r="CX309" s="96"/>
      <c r="CY309" s="96"/>
      <c r="CZ309" s="217"/>
      <c r="DA309" s="96"/>
      <c r="DB309" s="96"/>
      <c r="DC309" s="96"/>
      <c r="DD309" s="96"/>
      <c r="DE309" s="217"/>
      <c r="DF309" s="104"/>
      <c r="DG309" s="1054"/>
      <c r="DH309" s="1054"/>
      <c r="DI309" s="96"/>
      <c r="DJ309" s="217"/>
      <c r="DK309" s="104"/>
      <c r="DL309" s="104"/>
      <c r="DM309" s="104"/>
      <c r="DN309" s="96"/>
      <c r="DO309" s="217"/>
      <c r="DP309" s="104"/>
      <c r="DQ309" s="104"/>
      <c r="DR309" s="104"/>
      <c r="DS309" s="96"/>
      <c r="DT309" s="217"/>
      <c r="DU309" s="104"/>
      <c r="DV309" s="104"/>
      <c r="DW309" s="104"/>
      <c r="DX309" s="96"/>
      <c r="DY309" s="217"/>
      <c r="DZ309" s="217"/>
      <c r="EA309" s="217"/>
      <c r="EB309" s="217"/>
    </row>
    <row r="310" spans="1:132" s="483" customFormat="1" ht="12" customHeight="1">
      <c r="A310" s="475"/>
      <c r="B310" s="476" t="s">
        <v>382</v>
      </c>
      <c r="C310" s="478"/>
      <c r="D310" s="478"/>
      <c r="E310" s="478"/>
      <c r="F310" s="477"/>
      <c r="G310" s="478"/>
      <c r="H310" s="478"/>
      <c r="I310" s="478"/>
      <c r="J310" s="477"/>
      <c r="K310" s="477"/>
      <c r="L310" s="477"/>
      <c r="M310" s="477"/>
      <c r="N310" s="478"/>
      <c r="O310" s="479">
        <v>160203</v>
      </c>
      <c r="P310" s="479">
        <v>162332</v>
      </c>
      <c r="Q310" s="479">
        <v>152091</v>
      </c>
      <c r="R310" s="479">
        <v>153309</v>
      </c>
      <c r="S310" s="480">
        <f>R310</f>
        <v>153309</v>
      </c>
      <c r="T310" s="479">
        <v>153952</v>
      </c>
      <c r="U310" s="479">
        <v>155139</v>
      </c>
      <c r="V310" s="479">
        <v>156332</v>
      </c>
      <c r="W310" s="479">
        <v>154031</v>
      </c>
      <c r="X310" s="480">
        <f>W310</f>
        <v>154031</v>
      </c>
      <c r="Y310" s="479">
        <v>155031</v>
      </c>
      <c r="Z310" s="479">
        <v>157104</v>
      </c>
      <c r="AA310" s="479">
        <v>158453</v>
      </c>
      <c r="AB310" s="479">
        <v>159313</v>
      </c>
      <c r="AC310" s="480">
        <f>AB310</f>
        <v>159313</v>
      </c>
      <c r="AD310" s="479">
        <v>161493</v>
      </c>
      <c r="AE310" s="479">
        <v>163851</v>
      </c>
      <c r="AF310" s="479">
        <v>164202</v>
      </c>
      <c r="AG310" s="479">
        <v>162191</v>
      </c>
      <c r="AH310" s="480">
        <f>AG310</f>
        <v>162191</v>
      </c>
      <c r="AI310" s="479">
        <v>160932</v>
      </c>
      <c r="AJ310" s="479">
        <v>158744</v>
      </c>
      <c r="AK310" s="479">
        <v>158094</v>
      </c>
      <c r="AL310" s="481">
        <v>157073</v>
      </c>
      <c r="AM310" s="482">
        <f>AL310</f>
        <v>157073</v>
      </c>
      <c r="AN310" s="479">
        <v>159948</v>
      </c>
      <c r="AO310" s="479">
        <v>159856</v>
      </c>
      <c r="AP310" s="479">
        <v>159600</v>
      </c>
      <c r="AQ310" s="481">
        <v>160500</v>
      </c>
      <c r="AR310" s="482">
        <f>AQ310</f>
        <v>160500</v>
      </c>
      <c r="AS310" s="479">
        <v>163800</v>
      </c>
      <c r="AT310" s="549">
        <v>166900</v>
      </c>
      <c r="AU310" s="549">
        <v>170600</v>
      </c>
      <c r="AV310" s="481">
        <v>171700</v>
      </c>
      <c r="AW310" s="482">
        <f>+AV310</f>
        <v>171700</v>
      </c>
      <c r="AX310" s="479"/>
      <c r="AY310" s="479"/>
      <c r="AZ310" s="479"/>
      <c r="BA310" s="481"/>
      <c r="BB310" s="482">
        <v>174400</v>
      </c>
      <c r="BC310" s="479"/>
      <c r="BD310" s="479"/>
      <c r="BE310" s="479"/>
      <c r="BF310" s="481"/>
      <c r="BG310" s="482">
        <v>168400</v>
      </c>
      <c r="BH310" s="479"/>
      <c r="BI310" s="723"/>
      <c r="BJ310" s="479"/>
      <c r="BK310" s="481"/>
      <c r="BL310" s="482">
        <v>165500</v>
      </c>
      <c r="BM310" s="479"/>
      <c r="BN310" s="723"/>
      <c r="BO310" s="479"/>
      <c r="BP310" s="481"/>
      <c r="BQ310" s="482">
        <v>161400</v>
      </c>
      <c r="BR310" s="479"/>
      <c r="BS310" s="723"/>
      <c r="BT310" s="479"/>
      <c r="BU310" s="481"/>
      <c r="BV310" s="482">
        <v>150500</v>
      </c>
      <c r="BW310" s="479"/>
      <c r="BX310" s="723"/>
      <c r="BY310" s="479"/>
      <c r="BZ310" s="481"/>
      <c r="CA310" s="482">
        <v>140800</v>
      </c>
      <c r="CB310" s="479"/>
      <c r="CC310" s="723"/>
      <c r="CD310" s="479"/>
      <c r="CE310" s="481"/>
      <c r="CF310" s="482">
        <v>153000</v>
      </c>
      <c r="CG310" s="723"/>
      <c r="CH310" s="723"/>
      <c r="CI310" s="723"/>
      <c r="CJ310" s="723"/>
      <c r="CK310" s="482">
        <v>161100</v>
      </c>
      <c r="CL310" s="481"/>
      <c r="CM310" s="481"/>
      <c r="CN310" s="481"/>
      <c r="CO310" s="481"/>
      <c r="CP310" s="482">
        <v>141000</v>
      </c>
      <c r="CQ310" s="481"/>
      <c r="CR310" s="481"/>
      <c r="CS310" s="481"/>
      <c r="CT310" s="481"/>
      <c r="CU310" s="482">
        <v>142000</v>
      </c>
      <c r="CV310" s="481"/>
      <c r="CW310" s="481"/>
      <c r="CX310" s="481"/>
      <c r="CY310" s="481"/>
      <c r="CZ310" s="482">
        <v>156000</v>
      </c>
      <c r="DA310" s="481"/>
      <c r="DB310" s="481"/>
      <c r="DC310" s="481"/>
      <c r="DD310" s="481"/>
      <c r="DE310" s="482">
        <v>171000</v>
      </c>
      <c r="DG310" s="1058"/>
      <c r="DH310" s="1058"/>
      <c r="DI310" s="481"/>
      <c r="DJ310" s="482">
        <v>172000</v>
      </c>
      <c r="DN310" s="481"/>
      <c r="DO310" s="482">
        <v>182000</v>
      </c>
      <c r="DS310" s="481"/>
      <c r="DT310" s="482"/>
      <c r="DX310" s="481"/>
      <c r="DY310" s="482"/>
      <c r="DZ310" s="482"/>
      <c r="EA310" s="482"/>
      <c r="EB310" s="482"/>
    </row>
    <row r="311" spans="1:132" s="105" customFormat="1" ht="12" customHeight="1">
      <c r="A311" s="68"/>
      <c r="B311" s="48"/>
      <c r="C311" s="95"/>
      <c r="D311" s="95"/>
      <c r="E311" s="95"/>
      <c r="F311" s="94"/>
      <c r="G311" s="95"/>
      <c r="H311" s="95"/>
      <c r="I311" s="95"/>
      <c r="J311" s="94"/>
      <c r="K311" s="94"/>
      <c r="L311" s="94"/>
      <c r="M311" s="94"/>
      <c r="N311" s="95"/>
      <c r="O311" s="94"/>
      <c r="P311" s="94"/>
      <c r="Q311" s="94"/>
      <c r="R311" s="94"/>
      <c r="S311" s="95"/>
      <c r="T311" s="94"/>
      <c r="U311" s="94"/>
      <c r="V311" s="94"/>
      <c r="W311" s="94"/>
      <c r="X311" s="95"/>
      <c r="Y311" s="94"/>
      <c r="Z311" s="94"/>
      <c r="AA311" s="94"/>
      <c r="AB311" s="94"/>
      <c r="AC311" s="95"/>
      <c r="AD311" s="94"/>
      <c r="AE311" s="94"/>
      <c r="AF311" s="94"/>
      <c r="AG311" s="94"/>
      <c r="AH311" s="95"/>
      <c r="AI311" s="94"/>
      <c r="AJ311" s="94"/>
      <c r="AK311" s="94"/>
      <c r="AL311" s="96"/>
      <c r="AM311" s="217"/>
      <c r="AN311" s="94"/>
      <c r="AO311" s="94"/>
      <c r="AP311" s="94"/>
      <c r="AQ311" s="96"/>
      <c r="AR311" s="217"/>
      <c r="AS311" s="94"/>
      <c r="AT311" s="94"/>
      <c r="AU311" s="94"/>
      <c r="AV311" s="96"/>
      <c r="AW311" s="217"/>
      <c r="AX311" s="94"/>
      <c r="AY311" s="94"/>
      <c r="AZ311" s="94"/>
      <c r="BA311" s="96"/>
      <c r="BB311" s="217"/>
      <c r="BC311" s="94"/>
      <c r="BD311" s="94"/>
      <c r="BE311" s="94"/>
      <c r="BF311" s="96"/>
      <c r="BG311" s="217"/>
      <c r="BH311" s="94"/>
      <c r="BI311" s="712"/>
      <c r="BJ311" s="94"/>
      <c r="BK311" s="96"/>
      <c r="BL311" s="217"/>
      <c r="BM311" s="94"/>
      <c r="BN311" s="712"/>
      <c r="BO311" s="94"/>
      <c r="BP311" s="96"/>
      <c r="BQ311" s="217"/>
      <c r="BR311" s="94"/>
      <c r="BS311" s="712"/>
      <c r="BT311" s="94"/>
      <c r="BU311" s="96"/>
      <c r="BV311" s="217"/>
      <c r="BW311" s="94"/>
      <c r="BX311" s="712"/>
      <c r="BY311" s="94"/>
      <c r="BZ311" s="96"/>
      <c r="CA311" s="217"/>
      <c r="CB311" s="94"/>
      <c r="CC311" s="712"/>
      <c r="CD311" s="94"/>
      <c r="CE311" s="96"/>
      <c r="CF311" s="217"/>
      <c r="CG311" s="712"/>
      <c r="CH311" s="712"/>
      <c r="CI311" s="712"/>
      <c r="CJ311" s="712"/>
      <c r="CK311" s="217"/>
      <c r="CL311" s="96"/>
      <c r="CM311" s="96"/>
      <c r="CN311" s="96"/>
      <c r="CO311" s="96"/>
      <c r="CP311" s="217"/>
      <c r="CQ311" s="96"/>
      <c r="CR311" s="96"/>
      <c r="CS311" s="96"/>
      <c r="CT311" s="96"/>
      <c r="CU311" s="217"/>
      <c r="CV311" s="96"/>
      <c r="CW311" s="96"/>
      <c r="CX311" s="96"/>
      <c r="CY311" s="96"/>
      <c r="CZ311" s="217"/>
      <c r="DA311" s="96"/>
      <c r="DB311" s="96"/>
      <c r="DC311" s="96"/>
      <c r="DD311" s="96"/>
      <c r="DE311" s="217"/>
      <c r="DF311" s="104"/>
      <c r="DG311" s="1054"/>
      <c r="DH311" s="1054"/>
      <c r="DI311" s="96"/>
      <c r="DJ311" s="217"/>
      <c r="DK311" s="104"/>
      <c r="DL311" s="104"/>
      <c r="DM311" s="104"/>
      <c r="DN311" s="96"/>
      <c r="DO311" s="217"/>
      <c r="DP311" s="104"/>
      <c r="DQ311" s="104"/>
      <c r="DR311" s="104"/>
      <c r="DS311" s="96"/>
      <c r="DT311" s="217"/>
      <c r="DU311" s="104"/>
      <c r="DV311" s="104"/>
      <c r="DW311" s="104"/>
      <c r="DX311" s="96"/>
      <c r="DY311" s="217"/>
      <c r="DZ311" s="217"/>
      <c r="EA311" s="217"/>
      <c r="EB311" s="217"/>
    </row>
    <row r="312" spans="1:132" s="396" customFormat="1" ht="12" customHeight="1">
      <c r="A312" s="170"/>
      <c r="B312" s="395" t="s">
        <v>360</v>
      </c>
      <c r="C312" s="397">
        <f t="shared" ref="C312:I312" si="664">C314-C313</f>
        <v>19294</v>
      </c>
      <c r="D312" s="397">
        <f t="shared" si="664"/>
        <v>20241</v>
      </c>
      <c r="E312" s="397">
        <f t="shared" si="664"/>
        <v>20119</v>
      </c>
      <c r="F312" s="396">
        <f t="shared" si="664"/>
        <v>20970</v>
      </c>
      <c r="G312" s="397">
        <f t="shared" si="664"/>
        <v>20828</v>
      </c>
      <c r="H312" s="397">
        <f t="shared" si="664"/>
        <v>21484</v>
      </c>
      <c r="I312" s="397">
        <f t="shared" si="664"/>
        <v>21395</v>
      </c>
      <c r="N312" s="397">
        <f>N314-N313</f>
        <v>21405</v>
      </c>
      <c r="S312" s="397">
        <f>S314-S313</f>
        <v>19692</v>
      </c>
      <c r="X312" s="397">
        <f>X314-X313</f>
        <v>19310</v>
      </c>
      <c r="AC312" s="397">
        <f>AC314-AC313</f>
        <v>20180</v>
      </c>
      <c r="AH312" s="397">
        <f>AH314-AH313</f>
        <v>21042</v>
      </c>
      <c r="AL312" s="395"/>
      <c r="AM312" s="397">
        <f>AM314-AM313</f>
        <v>21579</v>
      </c>
      <c r="AQ312" s="395"/>
      <c r="AR312" s="397">
        <f>AR314-AR313</f>
        <v>22254.5</v>
      </c>
      <c r="AV312" s="395"/>
      <c r="AW312" s="397">
        <f>AW314-AW313</f>
        <v>23146.45</v>
      </c>
      <c r="BA312" s="395"/>
      <c r="BB312" s="397">
        <f>BB314-BB313</f>
        <v>24305</v>
      </c>
      <c r="BF312" s="395"/>
      <c r="BG312" s="397">
        <f>BG314-BG313</f>
        <v>25294</v>
      </c>
      <c r="BI312" s="713"/>
      <c r="BK312" s="395"/>
      <c r="BL312" s="397">
        <f>BL314-BL313</f>
        <v>26696</v>
      </c>
      <c r="BN312" s="713"/>
      <c r="BP312" s="395"/>
      <c r="BQ312" s="397">
        <f>BQ314-BQ313</f>
        <v>28362</v>
      </c>
      <c r="BS312" s="713"/>
      <c r="BU312" s="395"/>
      <c r="BV312" s="397">
        <f>BV314-BV313</f>
        <v>29690</v>
      </c>
      <c r="BX312" s="713"/>
      <c r="BZ312" s="395"/>
      <c r="CA312" s="397">
        <f>CA314-CA313</f>
        <v>30313</v>
      </c>
      <c r="CC312" s="713"/>
      <c r="CE312" s="395"/>
      <c r="CF312" s="397">
        <f>CF314-CF313</f>
        <v>31213</v>
      </c>
      <c r="CG312" s="713"/>
      <c r="CH312" s="713"/>
      <c r="CI312" s="713"/>
      <c r="CJ312" s="713"/>
      <c r="CK312" s="397">
        <f>CK314-CK313</f>
        <v>31844</v>
      </c>
      <c r="CL312" s="395"/>
      <c r="CM312" s="395"/>
      <c r="CN312" s="395"/>
      <c r="CO312" s="395"/>
      <c r="CP312" s="397">
        <f>CP314-CP313</f>
        <v>32327</v>
      </c>
      <c r="CQ312" s="395"/>
      <c r="CR312" s="395"/>
      <c r="CS312" s="395"/>
      <c r="CT312" s="395"/>
      <c r="CU312" s="397">
        <f>CU314-CU313</f>
        <v>31456</v>
      </c>
      <c r="CV312" s="395"/>
      <c r="CW312" s="395"/>
      <c r="CX312" s="395"/>
      <c r="CY312" s="395"/>
      <c r="CZ312" s="397">
        <f>CZ314-CZ313</f>
        <v>31992</v>
      </c>
      <c r="DA312" s="395"/>
      <c r="DB312" s="395"/>
      <c r="DC312" s="395"/>
      <c r="DD312" s="395"/>
      <c r="DE312" s="397">
        <f>DE314-DE313</f>
        <v>32906</v>
      </c>
      <c r="DG312" s="1059"/>
      <c r="DH312" s="1059"/>
      <c r="DI312" s="395"/>
      <c r="DJ312" s="397">
        <f>DJ314-DJ313</f>
        <v>34299.599999999999</v>
      </c>
      <c r="DN312" s="395"/>
      <c r="DO312" s="397">
        <f>DO314-DO313</f>
        <v>38932.149999999994</v>
      </c>
      <c r="DS312" s="395"/>
      <c r="DT312" s="397">
        <f>DT314-DT313</f>
        <v>41448.300000000003</v>
      </c>
      <c r="DX312" s="395"/>
      <c r="DY312" s="397">
        <f>DY314-DY313</f>
        <v>43022.8</v>
      </c>
      <c r="DZ312" s="397">
        <f>DZ314-DZ313</f>
        <v>44077.8</v>
      </c>
      <c r="EA312" s="397">
        <f t="shared" ref="EA312:EB312" si="665">EA314-EA313</f>
        <v>45200.3</v>
      </c>
      <c r="EB312" s="397">
        <f t="shared" si="665"/>
        <v>46490.3</v>
      </c>
    </row>
    <row r="313" spans="1:132" s="396" customFormat="1" ht="12" customHeight="1">
      <c r="A313" s="170"/>
      <c r="B313" s="395" t="s">
        <v>321</v>
      </c>
      <c r="C313" s="399">
        <v>-10903</v>
      </c>
      <c r="D313" s="399">
        <v>-11652</v>
      </c>
      <c r="E313" s="399">
        <v>-11874</v>
      </c>
      <c r="F313" s="398">
        <v>-12156</v>
      </c>
      <c r="G313" s="399">
        <v>-12369</v>
      </c>
      <c r="H313" s="399">
        <v>-12719</v>
      </c>
      <c r="I313" s="399">
        <v>-12963</v>
      </c>
      <c r="J313" s="400"/>
      <c r="K313" s="400"/>
      <c r="L313" s="400"/>
      <c r="M313" s="400"/>
      <c r="N313" s="399">
        <v>-12962</v>
      </c>
      <c r="O313" s="400"/>
      <c r="P313" s="400"/>
      <c r="Q313" s="400"/>
      <c r="R313" s="400"/>
      <c r="S313" s="399">
        <v>-11272</v>
      </c>
      <c r="T313" s="400"/>
      <c r="U313" s="400"/>
      <c r="V313" s="400"/>
      <c r="W313" s="400"/>
      <c r="X313" s="399">
        <v>-11635</v>
      </c>
      <c r="Y313" s="400"/>
      <c r="Z313" s="400"/>
      <c r="AA313" s="400"/>
      <c r="AB313" s="400"/>
      <c r="AC313" s="399">
        <v>-11915</v>
      </c>
      <c r="AD313" s="400"/>
      <c r="AE313" s="400"/>
      <c r="AF313" s="400"/>
      <c r="AG313" s="400"/>
      <c r="AH313" s="399">
        <v>-12280</v>
      </c>
      <c r="AI313" s="400"/>
      <c r="AJ313" s="400"/>
      <c r="AK313" s="400"/>
      <c r="AL313" s="400"/>
      <c r="AM313" s="399">
        <v>-12795</v>
      </c>
      <c r="AN313" s="400"/>
      <c r="AO313" s="400"/>
      <c r="AP313" s="400"/>
      <c r="AQ313" s="400"/>
      <c r="AR313" s="399">
        <f>AM313-CFLO!AR9*0.35</f>
        <v>-13323.5</v>
      </c>
      <c r="AS313" s="400"/>
      <c r="AT313" s="400"/>
      <c r="AU313" s="400"/>
      <c r="AV313" s="400"/>
      <c r="AW313" s="399">
        <f>AR313-CFLO!AW9*0.35</f>
        <v>-13833.45</v>
      </c>
      <c r="AX313" s="400"/>
      <c r="AY313" s="400"/>
      <c r="AZ313" s="400"/>
      <c r="BA313" s="400"/>
      <c r="BB313" s="399">
        <v>-14645</v>
      </c>
      <c r="BC313" s="400"/>
      <c r="BD313" s="400"/>
      <c r="BE313" s="400"/>
      <c r="BF313" s="400"/>
      <c r="BG313" s="399">
        <v>-15070</v>
      </c>
      <c r="BH313" s="400"/>
      <c r="BI313" s="724"/>
      <c r="BJ313" s="400"/>
      <c r="BK313" s="400"/>
      <c r="BL313" s="399">
        <v>-15689</v>
      </c>
      <c r="BM313" s="400"/>
      <c r="BN313" s="724"/>
      <c r="BO313" s="400"/>
      <c r="BP313" s="400"/>
      <c r="BQ313" s="399">
        <v>-16286</v>
      </c>
      <c r="BR313" s="400"/>
      <c r="BS313" s="724"/>
      <c r="BT313" s="400"/>
      <c r="BU313" s="400"/>
      <c r="BV313" s="399">
        <v>-16883</v>
      </c>
      <c r="BW313" s="400"/>
      <c r="BX313" s="724"/>
      <c r="BY313" s="400"/>
      <c r="BZ313" s="400"/>
      <c r="CA313" s="399">
        <v>-17641</v>
      </c>
      <c r="CB313" s="400"/>
      <c r="CC313" s="724"/>
      <c r="CD313" s="400"/>
      <c r="CE313" s="400"/>
      <c r="CF313" s="399">
        <v>-18568</v>
      </c>
      <c r="CG313" s="724"/>
      <c r="CH313" s="724"/>
      <c r="CI313" s="724"/>
      <c r="CJ313" s="724"/>
      <c r="CK313" s="399">
        <v>-19342</v>
      </c>
      <c r="CL313" s="400"/>
      <c r="CM313" s="400"/>
      <c r="CN313" s="400"/>
      <c r="CO313" s="400"/>
      <c r="CP313" s="399">
        <v>-20507</v>
      </c>
      <c r="CQ313" s="400"/>
      <c r="CR313" s="400"/>
      <c r="CS313" s="400"/>
      <c r="CT313" s="400"/>
      <c r="CU313" s="399">
        <v>-20538</v>
      </c>
      <c r="CV313" s="400"/>
      <c r="CW313" s="400"/>
      <c r="CX313" s="400"/>
      <c r="CY313" s="400"/>
      <c r="CZ313" s="399">
        <v>-21442</v>
      </c>
      <c r="DA313" s="400"/>
      <c r="DB313" s="400"/>
      <c r="DC313" s="400"/>
      <c r="DD313" s="400"/>
      <c r="DE313" s="399">
        <v>-22245</v>
      </c>
      <c r="DF313" s="1019"/>
      <c r="DG313" s="398"/>
      <c r="DH313" s="398"/>
      <c r="DI313" s="400"/>
      <c r="DJ313" s="592">
        <f>DE313-CFLO!DJ9*0.35</f>
        <v>-22887.599999999999</v>
      </c>
      <c r="DK313" s="1019"/>
      <c r="DL313" s="1019"/>
      <c r="DM313" s="1019"/>
      <c r="DN313" s="400"/>
      <c r="DO313" s="592">
        <f>DJ313-CFLO!DO9*0.35</f>
        <v>-23571.149999999998</v>
      </c>
      <c r="DP313" s="1019"/>
      <c r="DQ313" s="1019"/>
      <c r="DR313" s="1019"/>
      <c r="DS313" s="400"/>
      <c r="DT313" s="592">
        <f>DO313-CFLO!DT9*0.35</f>
        <v>-24407.3</v>
      </c>
      <c r="DU313" s="1019"/>
      <c r="DV313" s="1019"/>
      <c r="DW313" s="1019"/>
      <c r="DX313" s="400"/>
      <c r="DY313" s="592">
        <f>DT313-CFLO!DY9*0.35</f>
        <v>-25271.8</v>
      </c>
      <c r="DZ313" s="592">
        <f>DY313-CFLO!DZ9*0.35</f>
        <v>-26146.799999999999</v>
      </c>
      <c r="EA313" s="592">
        <f>DZ313-CFLO!EA9*0.35</f>
        <v>-27039.3</v>
      </c>
      <c r="EB313" s="592">
        <f>EA313-CFLO!EB9*0.35</f>
        <v>-27949.3</v>
      </c>
    </row>
    <row r="314" spans="1:132" s="396" customFormat="1" ht="12" customHeight="1">
      <c r="A314" s="170"/>
      <c r="B314" s="395" t="s">
        <v>57</v>
      </c>
      <c r="C314" s="397">
        <f>BS!C17</f>
        <v>8391</v>
      </c>
      <c r="D314" s="397">
        <f>BS!D17</f>
        <v>8589</v>
      </c>
      <c r="E314" s="397">
        <f>BS!E17</f>
        <v>8245</v>
      </c>
      <c r="F314" s="396">
        <f>BS!F17</f>
        <v>8814</v>
      </c>
      <c r="G314" s="397">
        <f>BS!G17</f>
        <v>8459</v>
      </c>
      <c r="H314" s="397">
        <f>BS!H17</f>
        <v>8765</v>
      </c>
      <c r="I314" s="397">
        <f>BS!I17</f>
        <v>8432</v>
      </c>
      <c r="N314" s="397">
        <f>BS!N17</f>
        <v>8443</v>
      </c>
      <c r="S314" s="397">
        <f>BS!S17</f>
        <v>8420</v>
      </c>
      <c r="X314" s="397">
        <f>BS!X17</f>
        <v>7675</v>
      </c>
      <c r="AC314" s="397">
        <f>BS!AC17</f>
        <v>8265</v>
      </c>
      <c r="AH314" s="397">
        <f>BS!AH17</f>
        <v>8762</v>
      </c>
      <c r="AL314" s="395"/>
      <c r="AM314" s="397">
        <f>BS!AM17</f>
        <v>8784</v>
      </c>
      <c r="AQ314" s="395"/>
      <c r="AR314" s="397">
        <f>BS!AR17</f>
        <v>8931</v>
      </c>
      <c r="AV314" s="395"/>
      <c r="AW314" s="397">
        <f>BS!AW17</f>
        <v>9313</v>
      </c>
      <c r="BA314" s="395"/>
      <c r="BB314" s="397">
        <f>BS!BB17</f>
        <v>9660</v>
      </c>
      <c r="BF314" s="395"/>
      <c r="BG314" s="397">
        <f>BS!BG17</f>
        <v>10224</v>
      </c>
      <c r="BI314" s="713"/>
      <c r="BK314" s="395"/>
      <c r="BL314" s="397">
        <f>BS!BL17</f>
        <v>11007</v>
      </c>
      <c r="BN314" s="713"/>
      <c r="BP314" s="395"/>
      <c r="BQ314" s="397">
        <f>BS!BQ17</f>
        <v>12076</v>
      </c>
      <c r="BS314" s="713"/>
      <c r="BU314" s="395"/>
      <c r="BV314" s="397">
        <f>BS!BV17</f>
        <v>12807</v>
      </c>
      <c r="BX314" s="713"/>
      <c r="BZ314" s="395"/>
      <c r="CA314" s="397">
        <f>BS!CA17</f>
        <v>12672</v>
      </c>
      <c r="CC314" s="713"/>
      <c r="CE314" s="395"/>
      <c r="CF314" s="397">
        <f>BS!CF17</f>
        <v>12645</v>
      </c>
      <c r="CG314" s="713"/>
      <c r="CH314" s="713"/>
      <c r="CI314" s="713"/>
      <c r="CJ314" s="713"/>
      <c r="CK314" s="397">
        <f>BS!CK17</f>
        <v>12502</v>
      </c>
      <c r="CL314" s="395"/>
      <c r="CM314" s="395"/>
      <c r="CN314" s="395"/>
      <c r="CO314" s="395"/>
      <c r="CP314" s="397">
        <f>BS!CP17</f>
        <v>11820</v>
      </c>
      <c r="CQ314" s="395"/>
      <c r="CR314" s="395"/>
      <c r="CS314" s="395"/>
      <c r="CT314" s="395"/>
      <c r="CU314" s="397">
        <f>BS!CU17</f>
        <v>10918</v>
      </c>
      <c r="CV314" s="395"/>
      <c r="CW314" s="395"/>
      <c r="CX314" s="395"/>
      <c r="CY314" s="395"/>
      <c r="CZ314" s="397">
        <f>BS!CZ17</f>
        <v>10550</v>
      </c>
      <c r="DA314" s="395"/>
      <c r="DB314" s="395"/>
      <c r="DC314" s="395"/>
      <c r="DD314" s="395"/>
      <c r="DE314" s="397">
        <f>BS!DE17</f>
        <v>10661</v>
      </c>
      <c r="DG314" s="1059"/>
      <c r="DH314" s="1059"/>
      <c r="DI314" s="395"/>
      <c r="DJ314" s="397">
        <f>BS!DJ17</f>
        <v>11412</v>
      </c>
      <c r="DN314" s="395"/>
      <c r="DO314" s="397">
        <f>BS!DO17</f>
        <v>15361</v>
      </c>
      <c r="DS314" s="395"/>
      <c r="DT314" s="397">
        <f>BS!DT17</f>
        <v>17041</v>
      </c>
      <c r="DX314" s="395"/>
      <c r="DY314" s="397">
        <f>BS!DY17</f>
        <v>17751</v>
      </c>
      <c r="DZ314" s="397">
        <f>BS!DZ17</f>
        <v>17931</v>
      </c>
      <c r="EA314" s="397">
        <f>BS!EA17</f>
        <v>18161</v>
      </c>
      <c r="EB314" s="397">
        <f>BS!EB17</f>
        <v>18541</v>
      </c>
    </row>
    <row r="315" spans="1:132" s="396" customFormat="1" ht="12" customHeight="1">
      <c r="A315" s="170"/>
      <c r="B315" s="395" t="s">
        <v>262</v>
      </c>
      <c r="C315" s="397"/>
      <c r="D315" s="397"/>
      <c r="E315" s="397"/>
      <c r="G315" s="397"/>
      <c r="H315" s="397">
        <v>-194</v>
      </c>
      <c r="I315" s="397">
        <v>-286</v>
      </c>
      <c r="N315" s="397">
        <f>-142-384</f>
        <v>-526</v>
      </c>
      <c r="S315" s="397">
        <f>-204-475</f>
        <v>-679</v>
      </c>
      <c r="X315" s="397">
        <f>-272-567</f>
        <v>-839</v>
      </c>
      <c r="AC315" s="397">
        <f>-385-724</f>
        <v>-1109</v>
      </c>
      <c r="AH315" s="397">
        <f>-882-400</f>
        <v>-1282</v>
      </c>
      <c r="AL315" s="395"/>
      <c r="AM315" s="397">
        <f>-1097-492</f>
        <v>-1589</v>
      </c>
      <c r="AQ315" s="395"/>
      <c r="AR315" s="397">
        <f>-630-1310</f>
        <v>-1940</v>
      </c>
      <c r="AV315" s="395"/>
      <c r="AW315" s="397">
        <f>AR315-CFLO!AW10</f>
        <v>-2143</v>
      </c>
      <c r="BA315" s="395"/>
      <c r="BB315" s="397">
        <v>-1721</v>
      </c>
      <c r="BF315" s="395"/>
      <c r="BG315" s="397">
        <f>BB315-CFLO!BG10</f>
        <v>-1721</v>
      </c>
      <c r="BI315" s="713"/>
      <c r="BK315" s="395"/>
      <c r="BL315" s="397">
        <f>BG315-CFLO!BL10</f>
        <v>-1721</v>
      </c>
      <c r="BN315" s="713"/>
      <c r="BP315" s="395"/>
      <c r="BQ315" s="397">
        <f>BL315-CFLO!BQ10</f>
        <v>-1721</v>
      </c>
      <c r="BS315" s="713"/>
      <c r="BU315" s="395"/>
      <c r="BV315" s="397">
        <f>BQ315-CFLO!BV10</f>
        <v>-1721</v>
      </c>
      <c r="BX315" s="713"/>
      <c r="BZ315" s="395"/>
      <c r="CA315" s="397">
        <f>BV315-CFLO!CA10</f>
        <v>-1721</v>
      </c>
      <c r="CC315" s="713"/>
      <c r="CE315" s="395"/>
      <c r="CF315" s="397">
        <f>CA315-CFLO!CF10</f>
        <v>-1721</v>
      </c>
      <c r="CG315" s="713"/>
      <c r="CH315" s="713"/>
      <c r="CI315" s="713"/>
      <c r="CJ315" s="713"/>
      <c r="CK315" s="397">
        <f>CF315-CFLO!CK10</f>
        <v>-1721</v>
      </c>
      <c r="CL315" s="395"/>
      <c r="CM315" s="395"/>
      <c r="CN315" s="395"/>
      <c r="CO315" s="395"/>
      <c r="CP315" s="397">
        <f>CK315-CFLO!CP10</f>
        <v>-1721</v>
      </c>
      <c r="CQ315" s="395"/>
      <c r="CR315" s="395"/>
      <c r="CS315" s="395"/>
      <c r="CT315" s="395"/>
      <c r="CU315" s="397">
        <f>CP315-CFLO!CU10</f>
        <v>-1721</v>
      </c>
      <c r="CV315" s="395"/>
      <c r="CW315" s="395"/>
      <c r="CX315" s="395"/>
      <c r="CY315" s="395"/>
      <c r="CZ315" s="397">
        <f>CU315-CFLO!CZ10</f>
        <v>-1721</v>
      </c>
      <c r="DA315" s="395"/>
      <c r="DB315" s="395"/>
      <c r="DC315" s="395"/>
      <c r="DD315" s="395"/>
      <c r="DE315" s="397">
        <f>CZ315-CFLO!DE10</f>
        <v>-1721</v>
      </c>
      <c r="DG315" s="1059"/>
      <c r="DH315" s="1059"/>
      <c r="DI315" s="395"/>
      <c r="DJ315" s="397">
        <f>DE315-CFLO!DJ10</f>
        <v>-1721</v>
      </c>
      <c r="DN315" s="395"/>
      <c r="DO315" s="397">
        <f>DJ315-CFLO!DO10</f>
        <v>-1721</v>
      </c>
      <c r="DS315" s="395"/>
      <c r="DT315" s="397">
        <f>DO315-CFLO!DT10</f>
        <v>-1721</v>
      </c>
      <c r="DX315" s="395"/>
      <c r="DY315" s="397">
        <f>DT315-CFLO!DY10</f>
        <v>-1721</v>
      </c>
      <c r="DZ315" s="397">
        <f>DY315-CFLO!DZ10</f>
        <v>-1721</v>
      </c>
      <c r="EA315" s="397">
        <f>DZ315-CFLO!EA10</f>
        <v>-1721</v>
      </c>
      <c r="EB315" s="397">
        <f>EA315-CFLO!EB10</f>
        <v>-1721</v>
      </c>
    </row>
    <row r="316" spans="1:132" s="115" customFormat="1" ht="12" customHeight="1">
      <c r="A316" s="198"/>
      <c r="B316" s="114" t="s">
        <v>291</v>
      </c>
      <c r="C316" s="113"/>
      <c r="D316" s="113">
        <v>-153</v>
      </c>
      <c r="E316" s="113">
        <v>-209</v>
      </c>
      <c r="F316" s="114">
        <v>-316</v>
      </c>
      <c r="G316" s="113">
        <v>-316</v>
      </c>
      <c r="H316" s="113">
        <v>-447</v>
      </c>
      <c r="I316" s="113">
        <v>-456</v>
      </c>
      <c r="J316" s="114">
        <v>-119</v>
      </c>
      <c r="K316" s="114">
        <f>-283-J316</f>
        <v>-164</v>
      </c>
      <c r="L316" s="114">
        <f>-449-K316-J316</f>
        <v>-166</v>
      </c>
      <c r="M316" s="114">
        <f>-576-L316-K316-J316</f>
        <v>-127</v>
      </c>
      <c r="N316" s="113">
        <f>SUM(J316:M316)</f>
        <v>-576</v>
      </c>
      <c r="O316" s="114">
        <v>-245</v>
      </c>
      <c r="P316" s="114">
        <f>-446-O316</f>
        <v>-201</v>
      </c>
      <c r="Q316" s="114">
        <f>-604-P316-O316</f>
        <v>-158</v>
      </c>
      <c r="R316" s="114">
        <f>-720-Q316-P316-O316</f>
        <v>-116</v>
      </c>
      <c r="S316" s="113">
        <f>SUM(O316:R316)</f>
        <v>-720</v>
      </c>
      <c r="T316" s="114">
        <v>-133</v>
      </c>
      <c r="U316" s="114">
        <f>-313-T316</f>
        <v>-180</v>
      </c>
      <c r="V316" s="114">
        <f>-404-U316-T316</f>
        <v>-91</v>
      </c>
      <c r="W316" s="114">
        <f>-487-V316-U316-T316</f>
        <v>-83</v>
      </c>
      <c r="X316" s="113">
        <f>SUM(T316:W316)</f>
        <v>-487</v>
      </c>
      <c r="Y316" s="114">
        <v>-69</v>
      </c>
      <c r="Z316" s="114">
        <f>-178-Y316</f>
        <v>-109</v>
      </c>
      <c r="AA316" s="114">
        <f>-239-Z316-Y316</f>
        <v>-61</v>
      </c>
      <c r="AB316" s="114">
        <f>-287-AA316-Z316-Y316</f>
        <v>-48</v>
      </c>
      <c r="AC316" s="113">
        <f>SUM(Y316:AB316)</f>
        <v>-287</v>
      </c>
      <c r="AD316" s="114">
        <v>-58</v>
      </c>
      <c r="AE316" s="114">
        <f>-119-AD316</f>
        <v>-61</v>
      </c>
      <c r="AF316" s="114">
        <f>-178-AE316-AD316</f>
        <v>-59</v>
      </c>
      <c r="AG316" s="114">
        <f>-209-AF316-AE316-AD316</f>
        <v>-31</v>
      </c>
      <c r="AH316" s="113">
        <f>SUM(AD316:AG316)</f>
        <v>-209</v>
      </c>
      <c r="AI316" s="114">
        <v>-63</v>
      </c>
      <c r="AJ316" s="114">
        <f>-124-AI316</f>
        <v>-61</v>
      </c>
      <c r="AK316" s="114">
        <f>-184-AJ316-AI316</f>
        <v>-60</v>
      </c>
      <c r="AL316" s="116">
        <f>AM316-SUM(AI316:AK316)</f>
        <v>-54</v>
      </c>
      <c r="AM316" s="218">
        <f>-238</f>
        <v>-238</v>
      </c>
      <c r="AN316" s="114">
        <v>-47</v>
      </c>
      <c r="AO316" s="114">
        <v>-43</v>
      </c>
      <c r="AP316" s="114">
        <v>-47</v>
      </c>
      <c r="AQ316" s="116">
        <f>AR316-SUM(AN316:AP316)</f>
        <v>-78</v>
      </c>
      <c r="AR316" s="218">
        <v>-215</v>
      </c>
      <c r="AS316" s="236"/>
      <c r="AT316" s="236"/>
      <c r="AU316" s="236"/>
      <c r="AV316" s="236"/>
      <c r="AW316" s="218"/>
      <c r="AX316" s="236"/>
      <c r="AY316" s="236"/>
      <c r="AZ316" s="236"/>
      <c r="BA316" s="236"/>
      <c r="BB316" s="237"/>
      <c r="BC316" s="236"/>
      <c r="BD316" s="236"/>
      <c r="BE316" s="236"/>
      <c r="BF316" s="236"/>
      <c r="BG316" s="237"/>
      <c r="BH316" s="236"/>
      <c r="BI316" s="725"/>
      <c r="BJ316" s="236"/>
      <c r="BK316" s="236"/>
      <c r="BL316" s="237"/>
      <c r="BM316" s="236"/>
      <c r="BN316" s="725"/>
      <c r="BO316" s="236"/>
      <c r="BP316" s="236"/>
      <c r="BQ316" s="237"/>
      <c r="BR316" s="236"/>
      <c r="BS316" s="725"/>
      <c r="BT316" s="236"/>
      <c r="BU316" s="236"/>
      <c r="BV316" s="237"/>
      <c r="BW316" s="236"/>
      <c r="BX316" s="725"/>
      <c r="BY316" s="236"/>
      <c r="BZ316" s="236"/>
      <c r="CA316" s="237"/>
      <c r="CB316" s="236"/>
      <c r="CC316" s="725"/>
      <c r="CD316" s="236"/>
      <c r="CE316" s="236"/>
      <c r="CF316" s="237"/>
      <c r="CG316" s="725"/>
      <c r="CH316" s="725"/>
      <c r="CI316" s="725"/>
      <c r="CJ316" s="725"/>
      <c r="CK316" s="237"/>
      <c r="CL316" s="236"/>
      <c r="CM316" s="236"/>
      <c r="CN316" s="236"/>
      <c r="CO316" s="236"/>
      <c r="CP316" s="237"/>
      <c r="CQ316" s="236"/>
      <c r="CR316" s="236"/>
      <c r="CS316" s="236"/>
      <c r="CT316" s="236"/>
      <c r="CU316" s="237"/>
      <c r="CV316" s="236"/>
      <c r="CW316" s="236"/>
      <c r="CX316" s="236"/>
      <c r="CY316" s="236"/>
      <c r="CZ316" s="237"/>
      <c r="DA316" s="236"/>
      <c r="DB316" s="236"/>
      <c r="DC316" s="236"/>
      <c r="DD316" s="236"/>
      <c r="DE316" s="237"/>
      <c r="DF316" s="1020"/>
      <c r="DG316" s="1060"/>
      <c r="DH316" s="1060"/>
      <c r="DI316" s="236"/>
      <c r="DJ316" s="237"/>
      <c r="DK316" s="1020"/>
      <c r="DL316" s="1020"/>
      <c r="DM316" s="1020"/>
      <c r="DN316" s="236"/>
      <c r="DO316" s="237"/>
      <c r="DP316" s="1020"/>
      <c r="DQ316" s="1020"/>
      <c r="DR316" s="1020"/>
      <c r="DS316" s="236"/>
      <c r="DT316" s="237"/>
      <c r="DU316" s="1020"/>
      <c r="DV316" s="1020"/>
      <c r="DW316" s="1020"/>
      <c r="DX316" s="236"/>
      <c r="DY316" s="237"/>
      <c r="DZ316" s="237"/>
      <c r="EA316" s="237"/>
      <c r="EB316" s="237"/>
    </row>
    <row r="317" spans="1:132" s="115" customFormat="1" ht="12" customHeight="1">
      <c r="A317" s="198"/>
      <c r="B317" s="114"/>
      <c r="C317" s="113"/>
      <c r="D317" s="113"/>
      <c r="E317" s="113"/>
      <c r="F317" s="114"/>
      <c r="G317" s="113"/>
      <c r="H317" s="113"/>
      <c r="I317" s="113"/>
      <c r="J317" s="114"/>
      <c r="K317" s="114"/>
      <c r="L317" s="114"/>
      <c r="M317" s="114"/>
      <c r="N317" s="113"/>
      <c r="O317" s="114"/>
      <c r="P317" s="114"/>
      <c r="Q317" s="114"/>
      <c r="R317" s="114"/>
      <c r="S317" s="113"/>
      <c r="T317" s="114"/>
      <c r="U317" s="114"/>
      <c r="V317" s="114"/>
      <c r="W317" s="114"/>
      <c r="X317" s="113"/>
      <c r="Y317" s="114"/>
      <c r="Z317" s="114"/>
      <c r="AA317" s="114"/>
      <c r="AB317" s="114"/>
      <c r="AC317" s="113"/>
      <c r="AD317" s="114"/>
      <c r="AE317" s="114"/>
      <c r="AF317" s="114"/>
      <c r="AG317" s="114"/>
      <c r="AH317" s="113"/>
      <c r="AI317" s="114"/>
      <c r="AJ317" s="114"/>
      <c r="AK317" s="114"/>
      <c r="AL317" s="116"/>
      <c r="AM317" s="218"/>
      <c r="AN317" s="114"/>
      <c r="AO317" s="114"/>
      <c r="AP317" s="114"/>
      <c r="AQ317" s="116"/>
      <c r="AR317" s="218"/>
      <c r="AS317" s="236"/>
      <c r="AT317" s="236"/>
      <c r="AU317" s="236"/>
      <c r="AV317" s="236"/>
      <c r="AW317" s="218"/>
      <c r="AX317" s="236"/>
      <c r="AY317" s="236"/>
      <c r="AZ317" s="236"/>
      <c r="BA317" s="236"/>
      <c r="BB317" s="237"/>
      <c r="BC317" s="236"/>
      <c r="BD317" s="236"/>
      <c r="BE317" s="236"/>
      <c r="BF317" s="236"/>
      <c r="BG317" s="237"/>
      <c r="BH317" s="236"/>
      <c r="BI317" s="725"/>
      <c r="BJ317" s="236"/>
      <c r="BK317" s="236"/>
      <c r="BL317" s="237"/>
      <c r="BM317" s="236"/>
      <c r="BN317" s="725"/>
      <c r="BO317" s="236"/>
      <c r="BP317" s="236"/>
      <c r="BQ317" s="237"/>
      <c r="BR317" s="236"/>
      <c r="BS317" s="725"/>
      <c r="BT317" s="236"/>
      <c r="BU317" s="236"/>
      <c r="BV317" s="237"/>
      <c r="BW317" s="236"/>
      <c r="BX317" s="725"/>
      <c r="BY317" s="236"/>
      <c r="BZ317" s="236"/>
      <c r="CA317" s="237"/>
      <c r="CB317" s="236"/>
      <c r="CC317" s="725"/>
      <c r="CD317" s="236"/>
      <c r="CE317" s="236"/>
      <c r="CF317" s="237"/>
      <c r="CG317" s="725"/>
      <c r="CH317" s="725"/>
      <c r="CI317" s="725"/>
      <c r="CJ317" s="725"/>
      <c r="CK317" s="237"/>
      <c r="CL317" s="236"/>
      <c r="CM317" s="236"/>
      <c r="CN317" s="236"/>
      <c r="CO317" s="236"/>
      <c r="CP317" s="237"/>
      <c r="CQ317" s="236"/>
      <c r="CR317" s="236"/>
      <c r="CS317" s="236"/>
      <c r="CT317" s="236"/>
      <c r="CU317" s="237"/>
      <c r="CV317" s="236"/>
      <c r="CW317" s="236"/>
      <c r="CX317" s="236"/>
      <c r="CY317" s="236"/>
      <c r="CZ317" s="237"/>
      <c r="DA317" s="236"/>
      <c r="DB317" s="236"/>
      <c r="DC317" s="236"/>
      <c r="DD317" s="236"/>
      <c r="DE317" s="237"/>
      <c r="DF317" s="1020"/>
      <c r="DG317" s="1060"/>
      <c r="DH317" s="1060"/>
      <c r="DI317" s="236"/>
      <c r="DJ317" s="237"/>
      <c r="DK317" s="1020"/>
      <c r="DL317" s="1020"/>
      <c r="DM317" s="1020"/>
      <c r="DN317" s="236"/>
      <c r="DO317" s="237"/>
      <c r="DP317" s="1020"/>
      <c r="DQ317" s="1020"/>
      <c r="DR317" s="1020"/>
      <c r="DS317" s="236"/>
      <c r="DT317" s="237"/>
      <c r="DU317" s="1020"/>
      <c r="DV317" s="1020"/>
      <c r="DW317" s="1020"/>
      <c r="DX317" s="236"/>
      <c r="DY317" s="237"/>
      <c r="DZ317" s="237"/>
      <c r="EA317" s="237"/>
      <c r="EB317" s="237"/>
    </row>
    <row r="318" spans="1:132" s="115" customFormat="1" ht="12" customHeight="1">
      <c r="A318" s="198"/>
      <c r="B318" s="686" t="s">
        <v>461</v>
      </c>
      <c r="C318" s="113"/>
      <c r="D318" s="113"/>
      <c r="E318" s="113"/>
      <c r="F318" s="114"/>
      <c r="G318" s="113"/>
      <c r="H318" s="113"/>
      <c r="I318" s="113"/>
      <c r="J318" s="114"/>
      <c r="K318" s="114"/>
      <c r="L318" s="114"/>
      <c r="M318" s="114"/>
      <c r="N318" s="113"/>
      <c r="O318" s="114"/>
      <c r="P318" s="114"/>
      <c r="Q318" s="114"/>
      <c r="R318" s="114"/>
      <c r="S318" s="113"/>
      <c r="T318" s="114"/>
      <c r="U318" s="114"/>
      <c r="V318" s="114"/>
      <c r="W318" s="114"/>
      <c r="X318" s="113"/>
      <c r="Y318" s="114"/>
      <c r="Z318" s="114"/>
      <c r="AA318" s="114"/>
      <c r="AB318" s="114"/>
      <c r="AC318" s="113"/>
      <c r="AD318" s="114"/>
      <c r="AE318" s="114"/>
      <c r="AF318" s="114"/>
      <c r="AG318" s="114"/>
      <c r="AH318" s="113">
        <v>4114</v>
      </c>
      <c r="AI318" s="114"/>
      <c r="AJ318" s="114"/>
      <c r="AK318" s="114"/>
      <c r="AL318" s="116"/>
      <c r="AM318" s="218">
        <v>3062</v>
      </c>
      <c r="AN318" s="114"/>
      <c r="AO318" s="114"/>
      <c r="AP318" s="114"/>
      <c r="AQ318" s="116"/>
      <c r="AR318" s="218">
        <v>4031</v>
      </c>
      <c r="AS318" s="684">
        <f t="shared" ref="AS318:BY318" si="666">AS60</f>
        <v>3862</v>
      </c>
      <c r="AT318" s="684">
        <f t="shared" si="666"/>
        <v>3697</v>
      </c>
      <c r="AU318" s="684">
        <f t="shared" si="666"/>
        <v>3709</v>
      </c>
      <c r="AV318" s="684">
        <f t="shared" si="666"/>
        <v>5892</v>
      </c>
      <c r="AW318" s="218">
        <f t="shared" si="666"/>
        <v>5892</v>
      </c>
      <c r="AX318" s="684">
        <f t="shared" si="666"/>
        <v>5791</v>
      </c>
      <c r="AY318" s="684">
        <f t="shared" si="666"/>
        <v>5781</v>
      </c>
      <c r="AZ318" s="684">
        <f t="shared" si="666"/>
        <v>5520</v>
      </c>
      <c r="BA318" s="684">
        <f t="shared" si="666"/>
        <v>6753</v>
      </c>
      <c r="BB318" s="218">
        <f t="shared" si="666"/>
        <v>6753</v>
      </c>
      <c r="BC318" s="684">
        <f t="shared" si="666"/>
        <v>6522</v>
      </c>
      <c r="BD318" s="684">
        <f t="shared" si="666"/>
        <v>6307</v>
      </c>
      <c r="BE318" s="684">
        <f t="shared" si="666"/>
        <v>5957</v>
      </c>
      <c r="BF318" s="684">
        <f t="shared" si="666"/>
        <v>2939</v>
      </c>
      <c r="BG318" s="218">
        <f t="shared" si="666"/>
        <v>2939</v>
      </c>
      <c r="BH318" s="684">
        <f t="shared" si="666"/>
        <v>2463</v>
      </c>
      <c r="BI318" s="684">
        <f t="shared" si="666"/>
        <v>2664</v>
      </c>
      <c r="BJ318" s="684">
        <f t="shared" si="666"/>
        <v>2546</v>
      </c>
      <c r="BK318" s="684">
        <f t="shared" si="666"/>
        <v>6576</v>
      </c>
      <c r="BL318" s="218">
        <f t="shared" si="666"/>
        <v>6576</v>
      </c>
      <c r="BM318" s="684">
        <f t="shared" si="666"/>
        <v>6485</v>
      </c>
      <c r="BN318" s="684">
        <f t="shared" si="666"/>
        <v>6264</v>
      </c>
      <c r="BO318" s="684">
        <f t="shared" si="666"/>
        <v>6146</v>
      </c>
      <c r="BP318" s="684">
        <f t="shared" si="666"/>
        <v>265</v>
      </c>
      <c r="BQ318" s="218">
        <f t="shared" si="666"/>
        <v>265</v>
      </c>
      <c r="BR318" s="684">
        <f t="shared" si="666"/>
        <v>267</v>
      </c>
      <c r="BS318" s="684">
        <f t="shared" si="666"/>
        <v>267</v>
      </c>
      <c r="BT318" s="684">
        <f t="shared" si="666"/>
        <v>265</v>
      </c>
      <c r="BU318" s="684">
        <f t="shared" si="666"/>
        <v>332</v>
      </c>
      <c r="BV318" s="218">
        <f t="shared" si="666"/>
        <v>332</v>
      </c>
      <c r="BW318" s="684">
        <f t="shared" si="666"/>
        <v>336</v>
      </c>
      <c r="BX318" s="684">
        <f t="shared" si="666"/>
        <v>325</v>
      </c>
      <c r="BY318" s="684">
        <f t="shared" si="666"/>
        <v>298</v>
      </c>
      <c r="BZ318" s="684">
        <v>341</v>
      </c>
      <c r="CA318" s="218">
        <f t="shared" ref="CA318:CM318" si="667">CA60</f>
        <v>341</v>
      </c>
      <c r="CB318" s="684">
        <f t="shared" si="667"/>
        <v>325</v>
      </c>
      <c r="CC318" s="684">
        <f t="shared" si="667"/>
        <v>325</v>
      </c>
      <c r="CD318" s="684">
        <f t="shared" si="667"/>
        <v>323</v>
      </c>
      <c r="CE318" s="684">
        <f t="shared" si="667"/>
        <v>284</v>
      </c>
      <c r="CF318" s="218">
        <f t="shared" si="667"/>
        <v>284</v>
      </c>
      <c r="CG318" s="684">
        <f t="shared" si="667"/>
        <v>281</v>
      </c>
      <c r="CH318" s="684">
        <f t="shared" si="667"/>
        <v>357</v>
      </c>
      <c r="CI318" s="684">
        <f t="shared" si="667"/>
        <v>296</v>
      </c>
      <c r="CJ318" s="684">
        <f t="shared" si="667"/>
        <v>683</v>
      </c>
      <c r="CK318" s="218">
        <f t="shared" si="667"/>
        <v>683</v>
      </c>
      <c r="CL318" s="684">
        <f t="shared" si="667"/>
        <v>678</v>
      </c>
      <c r="CM318" s="684">
        <f t="shared" si="667"/>
        <v>729</v>
      </c>
      <c r="CN318" s="684">
        <v>704</v>
      </c>
      <c r="CO318" s="684">
        <f>CO60</f>
        <v>86</v>
      </c>
      <c r="CP318" s="218">
        <f>CP60</f>
        <v>86</v>
      </c>
      <c r="CQ318" s="684">
        <f t="shared" ref="CQ318:CR318" si="668">CQ60</f>
        <v>79</v>
      </c>
      <c r="CR318" s="684">
        <f t="shared" si="668"/>
        <v>84</v>
      </c>
      <c r="CS318" s="684">
        <f t="shared" ref="CS318" si="669">CS60</f>
        <v>74</v>
      </c>
      <c r="CT318" s="684">
        <f>CT60</f>
        <v>77</v>
      </c>
      <c r="CU318" s="218">
        <f>CU60</f>
        <v>77</v>
      </c>
      <c r="CV318" s="684"/>
      <c r="CW318" s="684"/>
      <c r="CX318" s="684"/>
      <c r="CY318" s="684"/>
      <c r="CZ318" s="237"/>
      <c r="DA318" s="684"/>
      <c r="DB318" s="684"/>
      <c r="DC318" s="684"/>
      <c r="DD318" s="684"/>
      <c r="DE318" s="237"/>
      <c r="DF318" s="1020"/>
      <c r="DG318" s="1060"/>
      <c r="DH318" s="1060"/>
      <c r="DI318" s="684"/>
      <c r="DJ318" s="237"/>
      <c r="DK318" s="1020"/>
      <c r="DL318" s="1020"/>
      <c r="DM318" s="1020"/>
      <c r="DN318" s="684"/>
      <c r="DO318" s="237"/>
      <c r="DP318" s="1020"/>
      <c r="DQ318" s="1020"/>
      <c r="DR318" s="1020"/>
      <c r="DS318" s="684"/>
      <c r="DT318" s="237"/>
      <c r="DU318" s="1020"/>
      <c r="DV318" s="1020"/>
      <c r="DW318" s="1020"/>
      <c r="DX318" s="684"/>
      <c r="DY318" s="237"/>
      <c r="DZ318" s="237"/>
      <c r="EA318" s="237"/>
      <c r="EB318" s="237"/>
    </row>
    <row r="319" spans="1:132" s="115" customFormat="1" ht="12" customHeight="1">
      <c r="A319" s="198"/>
      <c r="B319" s="686" t="s">
        <v>462</v>
      </c>
      <c r="C319" s="113"/>
      <c r="D319" s="113"/>
      <c r="E319" s="113"/>
      <c r="F319" s="114"/>
      <c r="G319" s="113"/>
      <c r="H319" s="113"/>
      <c r="I319" s="113"/>
      <c r="J319" s="114"/>
      <c r="K319" s="114"/>
      <c r="L319" s="114"/>
      <c r="M319" s="114"/>
      <c r="N319" s="113"/>
      <c r="O319" s="114"/>
      <c r="P319" s="114"/>
      <c r="Q319" s="114"/>
      <c r="R319" s="114"/>
      <c r="S319" s="113"/>
      <c r="T319" s="114"/>
      <c r="U319" s="114"/>
      <c r="V319" s="114"/>
      <c r="W319" s="114"/>
      <c r="X319" s="113"/>
      <c r="Y319" s="114"/>
      <c r="Z319" s="114"/>
      <c r="AA319" s="114"/>
      <c r="AB319" s="114"/>
      <c r="AC319" s="113"/>
      <c r="AD319" s="114"/>
      <c r="AE319" s="114"/>
      <c r="AF319" s="114"/>
      <c r="AG319" s="114"/>
      <c r="AH319" s="685">
        <v>-1154</v>
      </c>
      <c r="AI319" s="684"/>
      <c r="AJ319" s="684"/>
      <c r="AK319" s="684"/>
      <c r="AL319" s="687"/>
      <c r="AM319" s="685">
        <v>-827</v>
      </c>
      <c r="AN319" s="684"/>
      <c r="AO319" s="684"/>
      <c r="AP319" s="684"/>
      <c r="AQ319" s="687"/>
      <c r="AR319" s="685">
        <v>-418</v>
      </c>
      <c r="AS319" s="684">
        <f t="shared" ref="AS319:BY319" si="670">-AS76</f>
        <v>-427</v>
      </c>
      <c r="AT319" s="684">
        <f t="shared" si="670"/>
        <v>-383</v>
      </c>
      <c r="AU319" s="684">
        <f t="shared" si="670"/>
        <v>-390</v>
      </c>
      <c r="AV319" s="684">
        <f t="shared" si="670"/>
        <v>-122</v>
      </c>
      <c r="AW319" s="685">
        <f t="shared" si="670"/>
        <v>-122</v>
      </c>
      <c r="AX319" s="684">
        <f t="shared" si="670"/>
        <v>-192</v>
      </c>
      <c r="AY319" s="684">
        <f t="shared" si="670"/>
        <v>-226</v>
      </c>
      <c r="AZ319" s="684">
        <f t="shared" si="670"/>
        <v>-166</v>
      </c>
      <c r="BA319" s="684">
        <f t="shared" si="670"/>
        <v>-366</v>
      </c>
      <c r="BB319" s="685">
        <f t="shared" si="670"/>
        <v>-366</v>
      </c>
      <c r="BC319" s="684">
        <f t="shared" si="670"/>
        <v>-241</v>
      </c>
      <c r="BD319" s="684">
        <f t="shared" si="670"/>
        <v>-275</v>
      </c>
      <c r="BE319" s="684">
        <f t="shared" si="670"/>
        <v>-299</v>
      </c>
      <c r="BF319" s="684">
        <f t="shared" si="670"/>
        <v>-156</v>
      </c>
      <c r="BG319" s="685">
        <f t="shared" si="670"/>
        <v>-156</v>
      </c>
      <c r="BH319" s="684">
        <f t="shared" si="670"/>
        <v>-166</v>
      </c>
      <c r="BI319" s="684">
        <f t="shared" si="670"/>
        <v>-740</v>
      </c>
      <c r="BJ319" s="684">
        <f t="shared" si="670"/>
        <v>-709</v>
      </c>
      <c r="BK319" s="684">
        <f t="shared" si="670"/>
        <v>-358</v>
      </c>
      <c r="BL319" s="685">
        <f t="shared" si="670"/>
        <v>-358</v>
      </c>
      <c r="BM319" s="684">
        <f t="shared" si="670"/>
        <v>-352</v>
      </c>
      <c r="BN319" s="684">
        <f t="shared" si="670"/>
        <v>-389</v>
      </c>
      <c r="BO319" s="684">
        <f t="shared" si="670"/>
        <v>-378</v>
      </c>
      <c r="BP319" s="684">
        <f t="shared" si="670"/>
        <v>-2392</v>
      </c>
      <c r="BQ319" s="685">
        <f t="shared" si="670"/>
        <v>-2392</v>
      </c>
      <c r="BR319" s="684">
        <f t="shared" si="670"/>
        <v>-2297</v>
      </c>
      <c r="BS319" s="684">
        <f t="shared" si="670"/>
        <v>-2422</v>
      </c>
      <c r="BT319" s="684">
        <f t="shared" si="670"/>
        <v>-2211</v>
      </c>
      <c r="BU319" s="684">
        <f t="shared" si="670"/>
        <v>-1338</v>
      </c>
      <c r="BV319" s="685">
        <f t="shared" si="670"/>
        <v>-1338</v>
      </c>
      <c r="BW319" s="684">
        <f t="shared" si="670"/>
        <v>-1339</v>
      </c>
      <c r="BX319" s="684">
        <f t="shared" si="670"/>
        <v>-1415</v>
      </c>
      <c r="BY319" s="684">
        <f t="shared" si="670"/>
        <v>-2884</v>
      </c>
      <c r="BZ319" s="684">
        <v>-1839</v>
      </c>
      <c r="CA319" s="685">
        <f t="shared" ref="CA319:CM319" si="671">-CA76</f>
        <v>-1839</v>
      </c>
      <c r="CB319" s="684">
        <f t="shared" si="671"/>
        <v>-2001</v>
      </c>
      <c r="CC319" s="684">
        <f t="shared" si="671"/>
        <v>-1900</v>
      </c>
      <c r="CD319" s="684">
        <f t="shared" si="671"/>
        <v>-1738</v>
      </c>
      <c r="CE319" s="684">
        <f t="shared" si="671"/>
        <v>-1736</v>
      </c>
      <c r="CF319" s="685">
        <f t="shared" si="671"/>
        <v>-1736</v>
      </c>
      <c r="CG319" s="684">
        <f t="shared" si="671"/>
        <v>-1656</v>
      </c>
      <c r="CH319" s="684">
        <f t="shared" si="671"/>
        <v>0</v>
      </c>
      <c r="CI319" s="684">
        <f t="shared" si="671"/>
        <v>-1615</v>
      </c>
      <c r="CJ319" s="982">
        <f t="shared" si="671"/>
        <v>-413</v>
      </c>
      <c r="CK319" s="685">
        <f t="shared" si="671"/>
        <v>-413</v>
      </c>
      <c r="CL319" s="684">
        <f t="shared" si="671"/>
        <v>-336</v>
      </c>
      <c r="CM319" s="684">
        <f t="shared" si="671"/>
        <v>-404</v>
      </c>
      <c r="CN319" s="684">
        <v>-503</v>
      </c>
      <c r="CO319" s="982">
        <f>-CO76</f>
        <v>-1010</v>
      </c>
      <c r="CP319" s="685">
        <f>-CP76</f>
        <v>-1010</v>
      </c>
      <c r="CQ319" s="684">
        <f t="shared" ref="CQ319:CR319" si="672">-CQ76</f>
        <v>-908</v>
      </c>
      <c r="CR319" s="684">
        <f t="shared" si="672"/>
        <v>-1064</v>
      </c>
      <c r="CS319" s="684">
        <f t="shared" ref="CS319" si="673">-CS76</f>
        <v>-1185</v>
      </c>
      <c r="CT319" s="982">
        <f>-CT76</f>
        <v>-218</v>
      </c>
      <c r="CU319" s="685">
        <f>-CU76</f>
        <v>-218</v>
      </c>
      <c r="CV319" s="684"/>
      <c r="CW319" s="684"/>
      <c r="CX319" s="684"/>
      <c r="CY319" s="684"/>
      <c r="CZ319" s="237"/>
      <c r="DA319" s="684"/>
      <c r="DB319" s="684"/>
      <c r="DC319" s="684"/>
      <c r="DD319" s="684"/>
      <c r="DE319" s="237"/>
      <c r="DF319" s="1020"/>
      <c r="DG319" s="1060"/>
      <c r="DH319" s="1060"/>
      <c r="DI319" s="684"/>
      <c r="DJ319" s="237"/>
      <c r="DK319" s="1020"/>
      <c r="DL319" s="1020"/>
      <c r="DM319" s="1020"/>
      <c r="DN319" s="684"/>
      <c r="DO319" s="237"/>
      <c r="DP319" s="1020"/>
      <c r="DQ319" s="1020"/>
      <c r="DR319" s="1020"/>
      <c r="DS319" s="684"/>
      <c r="DT319" s="237"/>
      <c r="DU319" s="1020"/>
      <c r="DV319" s="1020"/>
      <c r="DW319" s="1020"/>
      <c r="DX319" s="684"/>
      <c r="DY319" s="237"/>
      <c r="DZ319" s="237"/>
      <c r="EA319" s="237"/>
      <c r="EB319" s="237"/>
    </row>
    <row r="320" spans="1:132" s="115" customFormat="1" ht="12" customHeight="1">
      <c r="A320" s="198"/>
      <c r="B320" s="684" t="s">
        <v>460</v>
      </c>
      <c r="C320" s="113"/>
      <c r="D320" s="113"/>
      <c r="E320" s="113"/>
      <c r="F320" s="114"/>
      <c r="G320" s="113"/>
      <c r="H320" s="113"/>
      <c r="I320" s="113"/>
      <c r="J320" s="114"/>
      <c r="K320" s="114"/>
      <c r="L320" s="114"/>
      <c r="M320" s="114"/>
      <c r="N320" s="113"/>
      <c r="O320" s="114"/>
      <c r="P320" s="114"/>
      <c r="Q320" s="114"/>
      <c r="R320" s="114"/>
      <c r="S320" s="113"/>
      <c r="T320" s="114"/>
      <c r="U320" s="114"/>
      <c r="V320" s="114"/>
      <c r="W320" s="114"/>
      <c r="X320" s="113"/>
      <c r="Y320" s="114"/>
      <c r="Z320" s="114"/>
      <c r="AA320" s="114"/>
      <c r="AB320" s="114"/>
      <c r="AC320" s="113"/>
      <c r="AD320" s="114"/>
      <c r="AE320" s="114"/>
      <c r="AF320" s="114"/>
      <c r="AG320" s="114"/>
      <c r="AH320" s="688">
        <v>270</v>
      </c>
      <c r="AI320" s="684"/>
      <c r="AJ320" s="684"/>
      <c r="AK320" s="684"/>
      <c r="AL320" s="687"/>
      <c r="AM320" s="685">
        <v>477</v>
      </c>
      <c r="AN320" s="684"/>
      <c r="AO320" s="684"/>
      <c r="AP320" s="684"/>
      <c r="AQ320" s="687"/>
      <c r="AR320" s="685">
        <v>300</v>
      </c>
      <c r="AS320" s="684"/>
      <c r="AT320" s="684"/>
      <c r="AU320" s="684"/>
      <c r="AV320" s="684"/>
      <c r="AW320" s="685">
        <v>488</v>
      </c>
      <c r="AX320" s="684"/>
      <c r="AY320" s="684"/>
      <c r="AZ320" s="684"/>
      <c r="BA320" s="684"/>
      <c r="BB320" s="685">
        <v>307</v>
      </c>
      <c r="BC320" s="684"/>
      <c r="BD320" s="684"/>
      <c r="BE320" s="684"/>
      <c r="BF320" s="684"/>
      <c r="BG320" s="685">
        <v>362</v>
      </c>
      <c r="BH320" s="684"/>
      <c r="BI320" s="726"/>
      <c r="BJ320" s="684"/>
      <c r="BK320" s="684"/>
      <c r="BL320" s="685">
        <v>266</v>
      </c>
      <c r="BM320" s="684"/>
      <c r="BN320" s="726"/>
      <c r="BO320" s="684"/>
      <c r="BP320" s="684"/>
      <c r="BQ320" s="237"/>
      <c r="BR320" s="684"/>
      <c r="BS320" s="726"/>
      <c r="BT320" s="684"/>
      <c r="BU320" s="684"/>
      <c r="BV320" s="237"/>
      <c r="BW320" s="684"/>
      <c r="BX320" s="726"/>
      <c r="BY320" s="684"/>
      <c r="BZ320" s="684"/>
      <c r="CA320" s="237"/>
      <c r="CB320" s="684"/>
      <c r="CC320" s="726"/>
      <c r="CD320" s="684"/>
      <c r="CE320" s="684"/>
      <c r="CF320" s="237"/>
      <c r="CG320" s="726"/>
      <c r="CH320" s="726"/>
      <c r="CI320" s="726"/>
      <c r="CJ320" s="726"/>
      <c r="CK320" s="237"/>
      <c r="CL320" s="684"/>
      <c r="CM320" s="684"/>
      <c r="CN320" s="684"/>
      <c r="CO320" s="684"/>
      <c r="CP320" s="237"/>
      <c r="CQ320" s="684"/>
      <c r="CR320" s="684"/>
      <c r="CS320" s="684"/>
      <c r="CT320" s="684"/>
      <c r="CU320" s="237"/>
      <c r="CV320" s="684"/>
      <c r="CW320" s="684"/>
      <c r="CX320" s="684"/>
      <c r="CY320" s="684"/>
      <c r="CZ320" s="237"/>
      <c r="DA320" s="684"/>
      <c r="DB320" s="684"/>
      <c r="DC320" s="684"/>
      <c r="DD320" s="684"/>
      <c r="DE320" s="237"/>
      <c r="DF320" s="1020"/>
      <c r="DG320" s="1060"/>
      <c r="DH320" s="1060"/>
      <c r="DI320" s="684"/>
      <c r="DJ320" s="237"/>
      <c r="DK320" s="1020"/>
      <c r="DL320" s="1020"/>
      <c r="DM320" s="1020"/>
      <c r="DN320" s="684"/>
      <c r="DO320" s="237"/>
      <c r="DP320" s="1020"/>
      <c r="DQ320" s="1020"/>
      <c r="DR320" s="1020"/>
      <c r="DS320" s="684"/>
      <c r="DT320" s="237"/>
      <c r="DU320" s="1020"/>
      <c r="DV320" s="1020"/>
      <c r="DW320" s="1020"/>
      <c r="DX320" s="684"/>
      <c r="DY320" s="237"/>
      <c r="DZ320" s="237"/>
      <c r="EA320" s="237"/>
      <c r="EB320" s="237"/>
    </row>
    <row r="321" spans="1:132" s="115" customFormat="1" ht="12" customHeight="1">
      <c r="A321" s="198"/>
      <c r="B321" s="114"/>
      <c r="C321" s="113"/>
      <c r="D321" s="113"/>
      <c r="E321" s="113"/>
      <c r="F321" s="114"/>
      <c r="G321" s="113"/>
      <c r="H321" s="113"/>
      <c r="I321" s="113"/>
      <c r="J321" s="114"/>
      <c r="K321" s="114"/>
      <c r="L321" s="114"/>
      <c r="M321" s="114"/>
      <c r="N321" s="113"/>
      <c r="O321" s="114"/>
      <c r="P321" s="114"/>
      <c r="Q321" s="114"/>
      <c r="R321" s="114"/>
      <c r="S321" s="113"/>
      <c r="T321" s="114"/>
      <c r="U321" s="114"/>
      <c r="V321" s="114"/>
      <c r="W321" s="114"/>
      <c r="X321" s="113"/>
      <c r="Y321" s="114"/>
      <c r="Z321" s="114"/>
      <c r="AA321" s="114"/>
      <c r="AB321" s="114"/>
      <c r="AC321" s="113"/>
      <c r="AD321" s="114"/>
      <c r="AE321" s="114"/>
      <c r="AF321" s="114"/>
      <c r="AG321" s="114"/>
      <c r="AH321" s="113"/>
      <c r="AI321" s="114"/>
      <c r="AJ321" s="114"/>
      <c r="AK321" s="114"/>
      <c r="AL321" s="116"/>
      <c r="AM321" s="218"/>
      <c r="AN321" s="114"/>
      <c r="AO321" s="114"/>
      <c r="AP321" s="114"/>
      <c r="AQ321" s="116"/>
      <c r="AR321" s="218"/>
      <c r="AS321" s="236"/>
      <c r="AT321" s="236"/>
      <c r="AU321" s="236"/>
      <c r="AV321" s="236"/>
      <c r="AW321" s="218"/>
      <c r="AX321" s="236"/>
      <c r="AY321" s="236"/>
      <c r="AZ321" s="236"/>
      <c r="BA321" s="236"/>
      <c r="BB321" s="237"/>
      <c r="BC321" s="236"/>
      <c r="BD321" s="236"/>
      <c r="BE321" s="236"/>
      <c r="BF321" s="236"/>
      <c r="BG321" s="237"/>
      <c r="BH321" s="236"/>
      <c r="BI321" s="725"/>
      <c r="BJ321" s="236"/>
      <c r="BK321" s="236"/>
      <c r="BL321" s="237"/>
      <c r="BM321" s="236"/>
      <c r="BN321" s="725"/>
      <c r="BO321" s="236"/>
      <c r="BP321" s="236"/>
      <c r="BQ321" s="237"/>
      <c r="BR321" s="236"/>
      <c r="BS321" s="725"/>
      <c r="BT321" s="236"/>
      <c r="BU321" s="236"/>
      <c r="BV321" s="237"/>
      <c r="BW321" s="236"/>
      <c r="BX321" s="725"/>
      <c r="BY321" s="236"/>
      <c r="BZ321" s="236"/>
      <c r="CA321" s="237"/>
      <c r="CB321" s="236"/>
      <c r="CC321" s="725"/>
      <c r="CD321" s="236"/>
      <c r="CE321" s="236"/>
      <c r="CF321" s="237"/>
      <c r="CG321" s="725"/>
      <c r="CH321" s="725"/>
      <c r="CI321" s="725"/>
      <c r="CJ321" s="725"/>
      <c r="CK321" s="237"/>
      <c r="CL321" s="236"/>
      <c r="CM321" s="236"/>
      <c r="CN321" s="236"/>
      <c r="CO321" s="236"/>
      <c r="CP321" s="237"/>
      <c r="CQ321" s="236"/>
      <c r="CR321" s="236"/>
      <c r="CS321" s="236"/>
      <c r="CT321" s="236"/>
      <c r="CU321" s="237"/>
      <c r="CV321" s="236"/>
      <c r="CW321" s="236"/>
      <c r="CX321" s="236"/>
      <c r="CY321" s="236"/>
      <c r="CZ321" s="237"/>
      <c r="DA321" s="236"/>
      <c r="DB321" s="236"/>
      <c r="DC321" s="236"/>
      <c r="DD321" s="236"/>
      <c r="DE321" s="237"/>
      <c r="DF321" s="1020"/>
      <c r="DG321" s="1060"/>
      <c r="DH321" s="1060"/>
      <c r="DI321" s="236"/>
      <c r="DJ321" s="237"/>
      <c r="DK321" s="1020"/>
      <c r="DL321" s="1020"/>
      <c r="DM321" s="1020"/>
      <c r="DN321" s="236"/>
      <c r="DO321" s="237"/>
      <c r="DP321" s="1020"/>
      <c r="DQ321" s="1020"/>
      <c r="DR321" s="1020"/>
      <c r="DS321" s="236"/>
      <c r="DT321" s="237"/>
      <c r="DU321" s="1020"/>
      <c r="DV321" s="1020"/>
      <c r="DW321" s="1020"/>
      <c r="DX321" s="236"/>
      <c r="DY321" s="237"/>
      <c r="DZ321" s="237"/>
      <c r="EA321" s="237"/>
      <c r="EB321" s="237"/>
    </row>
    <row r="322" spans="1:132" s="115" customFormat="1" ht="12" customHeight="1">
      <c r="A322" s="198"/>
      <c r="B322" s="477" t="s">
        <v>305</v>
      </c>
      <c r="C322" s="113"/>
      <c r="D322" s="113"/>
      <c r="E322" s="113"/>
      <c r="F322" s="114"/>
      <c r="G322" s="113"/>
      <c r="H322" s="113"/>
      <c r="I322" s="113"/>
      <c r="J322" s="114"/>
      <c r="K322" s="114"/>
      <c r="L322" s="114"/>
      <c r="M322" s="114"/>
      <c r="N322" s="113"/>
      <c r="O322" s="114"/>
      <c r="P322" s="114"/>
      <c r="Q322" s="114"/>
      <c r="R322" s="114"/>
      <c r="S322" s="113"/>
      <c r="T322" s="114"/>
      <c r="U322" s="114"/>
      <c r="V322" s="114"/>
      <c r="W322" s="114"/>
      <c r="X322" s="13">
        <v>0</v>
      </c>
      <c r="Y322" s="114"/>
      <c r="Z322" s="114"/>
      <c r="AA322" s="114"/>
      <c r="AB322" s="114"/>
      <c r="AC322" s="13">
        <v>0</v>
      </c>
      <c r="AD322" s="114"/>
      <c r="AE322" s="114"/>
      <c r="AF322" s="114"/>
      <c r="AG322" s="114"/>
      <c r="AH322" s="13">
        <v>0</v>
      </c>
      <c r="AI322" s="114"/>
      <c r="AJ322" s="114"/>
      <c r="AK322" s="114"/>
      <c r="AL322" s="116"/>
      <c r="AM322" s="13">
        <v>0</v>
      </c>
      <c r="AN322" s="114"/>
      <c r="AO322" s="114"/>
      <c r="AP322" s="114"/>
      <c r="AQ322" s="116"/>
      <c r="AR322" s="13">
        <v>0</v>
      </c>
      <c r="AS322" s="236"/>
      <c r="AT322" s="236"/>
      <c r="AU322" s="236"/>
      <c r="AV322" s="236"/>
      <c r="AW322" s="13">
        <v>0</v>
      </c>
      <c r="AX322" s="236"/>
      <c r="AY322" s="236"/>
      <c r="AZ322" s="236"/>
      <c r="BA322" s="236"/>
      <c r="BB322" s="13">
        <v>0</v>
      </c>
      <c r="BC322" s="236"/>
      <c r="BD322" s="236"/>
      <c r="BE322" s="236"/>
      <c r="BF322" s="236"/>
      <c r="BG322" s="13">
        <v>0</v>
      </c>
      <c r="BH322" s="236"/>
      <c r="BI322" s="725"/>
      <c r="BJ322" s="236"/>
      <c r="BK322" s="236"/>
      <c r="BL322" s="13">
        <v>0</v>
      </c>
      <c r="BM322" s="236"/>
      <c r="BN322" s="725"/>
      <c r="BO322" s="236"/>
      <c r="BP322" s="236"/>
      <c r="BQ322" s="13">
        <v>0</v>
      </c>
      <c r="BR322" s="236"/>
      <c r="BS322" s="725"/>
      <c r="BT322" s="236"/>
      <c r="BU322" s="236"/>
      <c r="BV322" s="13">
        <v>0</v>
      </c>
      <c r="BW322" s="236"/>
      <c r="BX322" s="725"/>
      <c r="BY322" s="236"/>
      <c r="BZ322" s="236"/>
      <c r="CA322" s="13">
        <v>0</v>
      </c>
      <c r="CB322" s="236"/>
      <c r="CC322" s="725"/>
      <c r="CD322" s="236"/>
      <c r="CE322" s="236"/>
      <c r="CF322" s="13">
        <v>0</v>
      </c>
      <c r="CG322" s="725"/>
      <c r="CH322" s="725"/>
      <c r="CI322" s="725"/>
      <c r="CJ322" s="725"/>
      <c r="CK322" s="13">
        <v>0</v>
      </c>
      <c r="CL322" s="236"/>
      <c r="CM322" s="236"/>
      <c r="CN322" s="236"/>
      <c r="CO322" s="236"/>
      <c r="CP322" s="13">
        <v>0</v>
      </c>
      <c r="CQ322" s="236"/>
      <c r="CR322" s="236"/>
      <c r="CS322" s="236"/>
      <c r="CT322" s="236"/>
      <c r="CU322" s="13">
        <v>0</v>
      </c>
      <c r="CV322" s="236"/>
      <c r="CW322" s="236"/>
      <c r="CX322" s="236"/>
      <c r="CY322" s="236"/>
      <c r="CZ322" s="13">
        <v>0</v>
      </c>
      <c r="DA322" s="236"/>
      <c r="DB322" s="236"/>
      <c r="DC322" s="236"/>
      <c r="DD322" s="236"/>
      <c r="DE322" s="13">
        <v>0</v>
      </c>
      <c r="DF322" s="12"/>
      <c r="DG322" s="450"/>
      <c r="DH322" s="450"/>
      <c r="DI322" s="236"/>
      <c r="DJ322" s="13">
        <v>0</v>
      </c>
      <c r="DK322" s="12"/>
      <c r="DL322" s="12"/>
      <c r="DM322" s="12"/>
      <c r="DN322" s="236"/>
      <c r="DO322" s="13">
        <v>0</v>
      </c>
      <c r="DP322" s="12"/>
      <c r="DQ322" s="12"/>
      <c r="DR322" s="12"/>
      <c r="DS322" s="236"/>
      <c r="DT322" s="13">
        <v>0</v>
      </c>
      <c r="DU322" s="12"/>
      <c r="DV322" s="12"/>
      <c r="DW322" s="12"/>
      <c r="DX322" s="236"/>
      <c r="DY322" s="13">
        <v>0</v>
      </c>
      <c r="DZ322" s="13">
        <v>0</v>
      </c>
      <c r="EA322" s="13">
        <v>0</v>
      </c>
      <c r="EB322" s="13">
        <v>0</v>
      </c>
    </row>
    <row r="323" spans="1:132" s="115" customFormat="1" ht="12" customHeight="1">
      <c r="A323" s="198"/>
      <c r="B323" t="s">
        <v>306</v>
      </c>
      <c r="C323" s="466"/>
      <c r="D323" s="466">
        <f t="shared" ref="D323:I323" si="674">1-D324</f>
        <v>0.64599138084553198</v>
      </c>
      <c r="E323" s="466">
        <f t="shared" si="674"/>
        <v>0.6714948355836049</v>
      </c>
      <c r="F323" s="466">
        <f t="shared" si="674"/>
        <v>0.60569747276943164</v>
      </c>
      <c r="G323" s="466">
        <f t="shared" si="674"/>
        <v>0.60797621911405886</v>
      </c>
      <c r="H323" s="466">
        <f t="shared" si="674"/>
        <v>0.53842312600565945</v>
      </c>
      <c r="I323" s="466">
        <f t="shared" si="674"/>
        <v>0.45803704070515994</v>
      </c>
      <c r="J323" s="114"/>
      <c r="K323" s="114"/>
      <c r="L323" s="114"/>
      <c r="M323" s="114"/>
      <c r="N323" s="466">
        <f>1-N324</f>
        <v>0.41923861448424427</v>
      </c>
      <c r="O323" s="114"/>
      <c r="P323" s="114"/>
      <c r="Q323" s="114"/>
      <c r="R323" s="114"/>
      <c r="S323" s="466">
        <f>1-S324</f>
        <v>0.43858145683289274</v>
      </c>
      <c r="T323" s="114"/>
      <c r="U323" s="114"/>
      <c r="V323" s="114"/>
      <c r="W323" s="114"/>
      <c r="X323" s="466">
        <f>1-X324</f>
        <v>0.47279375914188204</v>
      </c>
      <c r="Y323" s="114"/>
      <c r="Z323" s="114"/>
      <c r="AA323" s="114"/>
      <c r="AB323" s="114"/>
      <c r="AC323" s="466">
        <f>1-AC324</f>
        <v>0.51677286215674756</v>
      </c>
      <c r="AD323" s="114"/>
      <c r="AE323" s="114"/>
      <c r="AF323" s="114"/>
      <c r="AG323" s="114"/>
      <c r="AH323" s="466">
        <f>1-AH324</f>
        <v>0.47377665424580184</v>
      </c>
      <c r="AI323" s="114"/>
      <c r="AJ323" s="114"/>
      <c r="AK323" s="114"/>
      <c r="AL323" s="116"/>
      <c r="AM323" s="466">
        <f>1-AM324</f>
        <v>0.50702245134078294</v>
      </c>
      <c r="AN323" s="114"/>
      <c r="AO323" s="114"/>
      <c r="AP323" s="114"/>
      <c r="AQ323" s="116"/>
      <c r="AR323" s="466">
        <f>1-AR324</f>
        <v>0.50326563617702857</v>
      </c>
      <c r="AS323" s="236"/>
      <c r="AT323" s="236"/>
      <c r="AU323" s="236"/>
      <c r="AV323" s="236"/>
      <c r="AW323" s="466">
        <f>1-AW324</f>
        <v>0.53479304575543751</v>
      </c>
      <c r="AX323" s="236"/>
      <c r="AY323" s="236"/>
      <c r="AZ323" s="236"/>
      <c r="BA323" s="236"/>
      <c r="BB323" s="466">
        <f>1-BB324</f>
        <v>0.60088374256407751</v>
      </c>
      <c r="BC323" s="236"/>
      <c r="BD323" s="236"/>
      <c r="BE323" s="236"/>
      <c r="BF323" s="236"/>
      <c r="BG323" s="466">
        <f>1-BG324</f>
        <v>0.61676592787390927</v>
      </c>
      <c r="BH323" s="236"/>
      <c r="BI323" s="725"/>
      <c r="BJ323" s="236"/>
      <c r="BK323" s="236"/>
      <c r="BL323" s="466">
        <f>1-BL324</f>
        <v>0.65975848923558322</v>
      </c>
      <c r="BM323" s="236"/>
      <c r="BN323" s="725"/>
      <c r="BO323" s="236"/>
      <c r="BP323" s="236"/>
      <c r="BQ323" s="466">
        <f>1-BQ324</f>
        <v>0.6838337807187298</v>
      </c>
      <c r="BR323" s="236"/>
      <c r="BS323" s="725"/>
      <c r="BT323" s="236"/>
      <c r="BU323" s="236"/>
      <c r="BV323" s="466">
        <f>1-BV324</f>
        <v>0.76141734781275439</v>
      </c>
      <c r="BW323" s="236"/>
      <c r="BX323" s="725"/>
      <c r="BY323" s="236"/>
      <c r="BZ323" s="236"/>
      <c r="CA323" s="466">
        <f>1-CA324</f>
        <v>0.78127759161746713</v>
      </c>
      <c r="CB323" s="236"/>
      <c r="CC323" s="725"/>
      <c r="CD323" s="236"/>
      <c r="CE323" s="236"/>
      <c r="CF323" s="466">
        <f>1-CF324</f>
        <v>0.73902123072967663</v>
      </c>
      <c r="CG323" s="725"/>
      <c r="CH323" s="725"/>
      <c r="CI323" s="725"/>
      <c r="CJ323" s="725"/>
      <c r="CK323" s="466">
        <f>1-CK324</f>
        <v>0.65795007771783853</v>
      </c>
      <c r="CL323" s="236"/>
      <c r="CM323" s="236"/>
      <c r="CN323" s="236"/>
      <c r="CO323" s="236"/>
      <c r="CP323" s="466">
        <f>1-CP324</f>
        <v>0.54852298909866226</v>
      </c>
      <c r="CQ323" s="236"/>
      <c r="CR323" s="236"/>
      <c r="CS323" s="236"/>
      <c r="CT323" s="236"/>
      <c r="CU323" s="466">
        <f>1-CU324</f>
        <v>0.57390103715120566</v>
      </c>
      <c r="CV323" s="236"/>
      <c r="CW323" s="236"/>
      <c r="CX323" s="236"/>
      <c r="CY323" s="236"/>
      <c r="CZ323" s="466">
        <f>1-CZ324</f>
        <v>0.65226399231323562</v>
      </c>
      <c r="DA323" s="236"/>
      <c r="DB323" s="236"/>
      <c r="DC323" s="236"/>
      <c r="DD323" s="236"/>
      <c r="DE323" s="466">
        <f>1-DE324</f>
        <v>0.67949970434737894</v>
      </c>
      <c r="DF323" s="450"/>
      <c r="DG323" s="450"/>
      <c r="DH323" s="450"/>
      <c r="DI323" s="236"/>
      <c r="DJ323" s="466">
        <f>1-DJ324</f>
        <v>0.64042274907166585</v>
      </c>
      <c r="DK323" s="450"/>
      <c r="DL323" s="450"/>
      <c r="DM323" s="450"/>
      <c r="DN323" s="236"/>
      <c r="DO323" s="466">
        <f>1-DO324</f>
        <v>0.69558364910633452</v>
      </c>
      <c r="DP323" s="450"/>
      <c r="DQ323" s="450"/>
      <c r="DR323" s="450"/>
      <c r="DS323" s="236"/>
      <c r="DT323" s="466">
        <f>1-DT324</f>
        <v>0.68434255882889827</v>
      </c>
      <c r="DU323" s="450"/>
      <c r="DV323" s="450"/>
      <c r="DW323" s="450"/>
      <c r="DX323" s="236"/>
      <c r="DY323" s="466">
        <f>1-DY324</f>
        <v>0.71297474173085873</v>
      </c>
      <c r="DZ323" s="466">
        <f>1-DZ324</f>
        <v>0.72637923724566344</v>
      </c>
      <c r="EA323" s="466">
        <f t="shared" ref="EA323:EB323" si="675">1-EA324</f>
        <v>0.73947463611439734</v>
      </c>
      <c r="EB323" s="466">
        <f t="shared" si="675"/>
        <v>0.74446900856090548</v>
      </c>
    </row>
    <row r="324" spans="1:132" s="115" customFormat="1" ht="12" customHeight="1">
      <c r="A324" s="114"/>
      <c r="B324" s="66" t="s">
        <v>307</v>
      </c>
      <c r="C324" s="466"/>
      <c r="D324" s="466">
        <f>SEG!D143</f>
        <v>0.35400861915446807</v>
      </c>
      <c r="E324" s="466">
        <f>SEG!E143</f>
        <v>0.3285051644163951</v>
      </c>
      <c r="F324" s="466">
        <f>SEG!F143</f>
        <v>0.39430252723056836</v>
      </c>
      <c r="G324" s="466">
        <f>SEG!G143</f>
        <v>0.39202378088594114</v>
      </c>
      <c r="H324" s="466">
        <f>SEG!H143</f>
        <v>0.46157687399434055</v>
      </c>
      <c r="I324" s="466">
        <f>SEG!I143</f>
        <v>0.54196295929484006</v>
      </c>
      <c r="J324" s="114"/>
      <c r="K324" s="114"/>
      <c r="L324" s="114"/>
      <c r="M324" s="114"/>
      <c r="N324" s="466">
        <f>SEG!N143</f>
        <v>0.58076138551575573</v>
      </c>
      <c r="O324" s="114"/>
      <c r="P324" s="114"/>
      <c r="Q324" s="114"/>
      <c r="R324" s="114"/>
      <c r="S324" s="466">
        <f>SEG!S143</f>
        <v>0.56141854316710726</v>
      </c>
      <c r="T324" s="114"/>
      <c r="U324" s="114"/>
      <c r="V324" s="114"/>
      <c r="W324" s="114"/>
      <c r="X324" s="466">
        <f>SEG!X143</f>
        <v>0.52720624085811796</v>
      </c>
      <c r="Y324" s="114"/>
      <c r="Z324" s="114"/>
      <c r="AA324" s="114"/>
      <c r="AB324" s="114"/>
      <c r="AC324" s="466">
        <f>SEG!AC143</f>
        <v>0.48322713784325244</v>
      </c>
      <c r="AD324" s="114"/>
      <c r="AE324" s="114"/>
      <c r="AF324" s="114"/>
      <c r="AG324" s="114"/>
      <c r="AH324" s="466">
        <f>SEG!AH143</f>
        <v>0.52622334575419816</v>
      </c>
      <c r="AI324" s="114"/>
      <c r="AJ324" s="114"/>
      <c r="AK324" s="114"/>
      <c r="AM324" s="466">
        <f>SEG!AM143</f>
        <v>0.49297754865921706</v>
      </c>
      <c r="AN324" s="114"/>
      <c r="AO324" s="114"/>
      <c r="AP324" s="114"/>
      <c r="AR324" s="466">
        <f>SEG!AR143</f>
        <v>0.49673436382297143</v>
      </c>
      <c r="AS324" s="236"/>
      <c r="AT324" s="236"/>
      <c r="AU324" s="236"/>
      <c r="AV324" s="236"/>
      <c r="AW324" s="466">
        <f>SEG!AW143</f>
        <v>0.46520695424456243</v>
      </c>
      <c r="AX324" s="236"/>
      <c r="AY324" s="236"/>
      <c r="AZ324" s="236"/>
      <c r="BA324" s="236"/>
      <c r="BB324" s="466">
        <f>SEG!BB143</f>
        <v>0.39911625743592249</v>
      </c>
      <c r="BC324" s="236"/>
      <c r="BD324" s="236"/>
      <c r="BE324" s="236"/>
      <c r="BF324" s="236"/>
      <c r="BG324" s="466">
        <f>SEG!BG143</f>
        <v>0.38323407212609079</v>
      </c>
      <c r="BH324" s="236"/>
      <c r="BI324" s="725"/>
      <c r="BJ324" s="236"/>
      <c r="BK324" s="236"/>
      <c r="BL324" s="466">
        <f>SEG!BL143</f>
        <v>0.34024151076441683</v>
      </c>
      <c r="BM324" s="236"/>
      <c r="BN324" s="725"/>
      <c r="BO324" s="236"/>
      <c r="BP324" s="236"/>
      <c r="BQ324" s="466">
        <f>SEG!BQ143</f>
        <v>0.31616621928127014</v>
      </c>
      <c r="BR324" s="236"/>
      <c r="BS324" s="725"/>
      <c r="BT324" s="236"/>
      <c r="BU324" s="236"/>
      <c r="BV324" s="466">
        <f>SEG!BV143</f>
        <v>0.23858265218724556</v>
      </c>
      <c r="BW324" s="236"/>
      <c r="BX324" s="725"/>
      <c r="BY324" s="236"/>
      <c r="BZ324" s="236"/>
      <c r="CA324" s="466">
        <f>SEG!CA143</f>
        <v>0.21872240838253285</v>
      </c>
      <c r="CB324" s="236"/>
      <c r="CC324" s="725"/>
      <c r="CD324" s="236"/>
      <c r="CE324" s="236"/>
      <c r="CF324" s="466">
        <f>SEG!CF143</f>
        <v>0.26097876927032343</v>
      </c>
      <c r="CG324" s="725"/>
      <c r="CH324" s="725"/>
      <c r="CI324" s="725"/>
      <c r="CJ324" s="725"/>
      <c r="CK324" s="466">
        <f>SEG!CK143</f>
        <v>0.34204992228216147</v>
      </c>
      <c r="CL324" s="236"/>
      <c r="CM324" s="236"/>
      <c r="CN324" s="236"/>
      <c r="CO324" s="236"/>
      <c r="CP324" s="466">
        <f>SEG!CP143</f>
        <v>0.45147701090133774</v>
      </c>
      <c r="CQ324" s="236"/>
      <c r="CR324" s="236"/>
      <c r="CS324" s="236"/>
      <c r="CT324" s="236"/>
      <c r="CU324" s="466">
        <f>SEG!CU143</f>
        <v>0.42609896284879428</v>
      </c>
      <c r="CV324" s="236"/>
      <c r="CW324" s="236"/>
      <c r="CX324" s="236"/>
      <c r="CY324" s="236"/>
      <c r="CZ324" s="466">
        <f>SEG!CZ143</f>
        <v>0.34773600768676433</v>
      </c>
      <c r="DA324" s="236"/>
      <c r="DB324" s="236"/>
      <c r="DC324" s="236"/>
      <c r="DD324" s="236"/>
      <c r="DE324" s="466">
        <f>SEG!DE143</f>
        <v>0.320500295652621</v>
      </c>
      <c r="DF324" s="450"/>
      <c r="DG324" s="450"/>
      <c r="DH324" s="450"/>
      <c r="DI324" s="236"/>
      <c r="DJ324" s="466">
        <f>SEG!DJ143</f>
        <v>0.35957725092833409</v>
      </c>
      <c r="DK324" s="450"/>
      <c r="DL324" s="450"/>
      <c r="DM324" s="450"/>
      <c r="DN324" s="236"/>
      <c r="DO324" s="466">
        <f>SEG!DO143</f>
        <v>0.30441635089366553</v>
      </c>
      <c r="DP324" s="450"/>
      <c r="DQ324" s="450"/>
      <c r="DR324" s="450"/>
      <c r="DS324" s="236"/>
      <c r="DT324" s="466">
        <f>SEG!DT143</f>
        <v>0.31565744117110178</v>
      </c>
      <c r="DU324" s="450"/>
      <c r="DV324" s="450"/>
      <c r="DW324" s="450"/>
      <c r="DX324" s="236"/>
      <c r="DY324" s="466">
        <f>SEG!DY143</f>
        <v>0.28702525826914133</v>
      </c>
      <c r="DZ324" s="466">
        <f>SEG!DZ143</f>
        <v>0.2736207627543365</v>
      </c>
      <c r="EA324" s="466">
        <f>SEG!EA143</f>
        <v>0.26052536388560266</v>
      </c>
      <c r="EB324" s="466">
        <f>SEG!EB143</f>
        <v>0.25553099143909452</v>
      </c>
    </row>
    <row r="325" spans="1:132" s="115" customFormat="1" ht="12" customHeight="1">
      <c r="A325" s="114"/>
      <c r="C325" s="466"/>
      <c r="D325" s="466"/>
      <c r="E325" s="466"/>
      <c r="F325" s="466"/>
      <c r="G325" s="466"/>
      <c r="H325" s="466"/>
      <c r="I325" s="466"/>
      <c r="J325" s="114"/>
      <c r="K325" s="114"/>
      <c r="L325" s="114"/>
      <c r="M325" s="114"/>
      <c r="N325" s="466"/>
      <c r="O325" s="114"/>
      <c r="P325" s="114"/>
      <c r="Q325" s="114"/>
      <c r="R325" s="114"/>
      <c r="S325" s="466"/>
      <c r="T325" s="114"/>
      <c r="U325" s="114"/>
      <c r="V325" s="114"/>
      <c r="W325" s="114"/>
      <c r="X325" s="466"/>
      <c r="Y325" s="114"/>
      <c r="Z325" s="114"/>
      <c r="AA325" s="114"/>
      <c r="AB325" s="114"/>
      <c r="AC325" s="466"/>
      <c r="AD325" s="114"/>
      <c r="AE325" s="114"/>
      <c r="AF325" s="114"/>
      <c r="AG325" s="114"/>
      <c r="AH325" s="466"/>
      <c r="AI325" s="114"/>
      <c r="AJ325" s="114"/>
      <c r="AK325" s="114"/>
      <c r="AM325" s="466"/>
      <c r="AN325" s="114"/>
      <c r="AO325" s="114"/>
      <c r="AP325" s="114"/>
      <c r="AR325" s="466"/>
      <c r="AS325" s="236"/>
      <c r="AT325" s="236"/>
      <c r="AU325" s="236"/>
      <c r="AV325" s="236"/>
      <c r="AW325" s="466"/>
      <c r="AX325" s="236"/>
      <c r="AY325" s="236"/>
      <c r="AZ325" s="236"/>
      <c r="BA325" s="236"/>
      <c r="BB325" s="466"/>
      <c r="BC325" s="236"/>
      <c r="BD325" s="236"/>
      <c r="BE325" s="236"/>
      <c r="BF325" s="236"/>
      <c r="BG325" s="466"/>
      <c r="BH325" s="236"/>
      <c r="BI325" s="725"/>
      <c r="BJ325" s="236"/>
      <c r="BK325" s="236"/>
      <c r="BL325" s="466"/>
      <c r="BM325" s="236"/>
      <c r="BN325" s="725"/>
      <c r="BO325" s="236"/>
      <c r="BP325" s="236"/>
      <c r="BQ325" s="466"/>
      <c r="BR325" s="236"/>
      <c r="BS325" s="725"/>
      <c r="BT325" s="236"/>
      <c r="BU325" s="236"/>
      <c r="BV325" s="466"/>
      <c r="BW325" s="236"/>
      <c r="BX325" s="725"/>
      <c r="BY325" s="236"/>
      <c r="BZ325" s="236"/>
      <c r="CA325" s="466"/>
      <c r="CB325" s="236"/>
      <c r="CC325" s="725"/>
      <c r="CD325" s="236"/>
      <c r="CE325" s="236"/>
      <c r="CF325" s="466"/>
      <c r="CG325" s="725"/>
      <c r="CH325" s="725"/>
      <c r="CI325" s="725"/>
      <c r="CJ325" s="725"/>
      <c r="CK325" s="466"/>
      <c r="CL325" s="236"/>
      <c r="CM325" s="236"/>
      <c r="CN325" s="236"/>
      <c r="CO325" s="236"/>
      <c r="CP325" s="466"/>
      <c r="CQ325" s="236"/>
      <c r="CR325" s="236"/>
      <c r="CS325" s="236"/>
      <c r="CT325" s="236"/>
      <c r="CU325" s="466"/>
      <c r="CV325" s="236"/>
      <c r="CW325" s="236"/>
      <c r="CX325" s="236"/>
      <c r="CY325" s="236"/>
      <c r="CZ325" s="466"/>
      <c r="DA325" s="236"/>
      <c r="DB325" s="236"/>
      <c r="DC325" s="236"/>
      <c r="DD325" s="236"/>
      <c r="DE325" s="466"/>
      <c r="DF325" s="450"/>
      <c r="DG325" s="450"/>
      <c r="DH325" s="450"/>
      <c r="DI325" s="236"/>
      <c r="DJ325" s="466"/>
      <c r="DK325" s="450"/>
      <c r="DL325" s="450"/>
      <c r="DM325" s="450"/>
      <c r="DN325" s="236"/>
      <c r="DO325" s="466"/>
      <c r="DP325" s="450"/>
      <c r="DQ325" s="450"/>
      <c r="DR325" s="450"/>
      <c r="DS325" s="236"/>
      <c r="DT325" s="466"/>
      <c r="DU325" s="450"/>
      <c r="DV325" s="450"/>
      <c r="DW325" s="450"/>
      <c r="DX325" s="236"/>
      <c r="DY325" s="466"/>
      <c r="DZ325" s="466"/>
      <c r="EA325" s="466"/>
      <c r="EB325" s="466"/>
    </row>
    <row r="326" spans="1:132" s="115" customFormat="1" ht="12" customHeight="1">
      <c r="A326" s="114"/>
      <c r="B326" s="547" t="s">
        <v>409</v>
      </c>
      <c r="C326" s="466"/>
      <c r="D326" s="438">
        <f>SEG!D145</f>
        <v>1.2999964383659223E-2</v>
      </c>
      <c r="E326" s="438">
        <f>SEG!E145</f>
        <v>1.4432776369561844E-2</v>
      </c>
      <c r="F326" s="438">
        <f>SEG!F145</f>
        <v>1.4769782350304943E-2</v>
      </c>
      <c r="G326" s="438">
        <f>SEG!G145</f>
        <v>1.4828688271074607E-2</v>
      </c>
      <c r="H326" s="438">
        <f>SEG!H145</f>
        <v>1.8383916846991807E-2</v>
      </c>
      <c r="I326" s="438">
        <f>SEG!I145</f>
        <v>2.4185401604436961E-2</v>
      </c>
      <c r="J326" s="427">
        <f>SEG!J145</f>
        <v>2.3690099544717957E-2</v>
      </c>
      <c r="K326" s="427">
        <f>SEG!K145</f>
        <v>1.7496943765281173E-2</v>
      </c>
      <c r="L326" s="427">
        <f>SEG!L145</f>
        <v>1.9236618004866181E-2</v>
      </c>
      <c r="M326" s="427">
        <f>SEG!M145</f>
        <v>1.2822446824558758E-2</v>
      </c>
      <c r="N326" s="438">
        <f>SEG!N145</f>
        <v>1.8281640200545207E-2</v>
      </c>
      <c r="O326" s="427">
        <f>SEG!O145</f>
        <v>1.8249018249018249E-2</v>
      </c>
      <c r="P326" s="427">
        <f>SEG!P145</f>
        <v>1.7567207878626565E-2</v>
      </c>
      <c r="Q326" s="427">
        <f>SEG!Q145</f>
        <v>1.821205162720722E-2</v>
      </c>
      <c r="R326" s="427">
        <f>SEG!R145</f>
        <v>1.6548130413351174E-2</v>
      </c>
      <c r="S326" s="438">
        <f>SEG!S145</f>
        <v>1.7613273771537971E-2</v>
      </c>
      <c r="T326" s="427">
        <f>SEG!T145</f>
        <v>1.6615255187885584E-2</v>
      </c>
      <c r="U326" s="427">
        <f>SEG!U145</f>
        <v>1.6215134125183505E-2</v>
      </c>
      <c r="V326" s="427">
        <f>SEG!V145</f>
        <v>2.0625551258565709E-2</v>
      </c>
      <c r="W326" s="427">
        <f>SEG!W145</f>
        <v>1.3739239496037853E-2</v>
      </c>
      <c r="X326" s="438">
        <f>SEG!X145</f>
        <v>1.6658540549325532E-2</v>
      </c>
      <c r="Y326" s="427">
        <f>SEG!Y145</f>
        <v>1.3862674910510901E-2</v>
      </c>
      <c r="Z326" s="427">
        <f>SEG!Z145</f>
        <v>1.227390180878553E-2</v>
      </c>
      <c r="AA326" s="427">
        <f>SEG!AA145</f>
        <v>1.1927105406550826E-2</v>
      </c>
      <c r="AB326" s="427">
        <f>SEG!AB145</f>
        <v>1.1214739371745722E-2</v>
      </c>
      <c r="AC326" s="438">
        <f>SEG!AC145</f>
        <v>1.2276499917152454E-2</v>
      </c>
      <c r="AD326" s="427">
        <f>SEG!AD145</f>
        <v>1.1569731081926203E-2</v>
      </c>
      <c r="AE326" s="427">
        <f>SEG!AE145</f>
        <v>1.0553000825374366E-2</v>
      </c>
      <c r="AF326" s="427">
        <f>SEG!AF145</f>
        <v>1.1181586346694566E-2</v>
      </c>
      <c r="AG326" s="427">
        <f>SEG!AG145</f>
        <v>1.3255483667350481E-2</v>
      </c>
      <c r="AH326" s="438">
        <f>SEG!AH145</f>
        <v>1.1539913655838081E-2</v>
      </c>
      <c r="AI326" s="427">
        <f>SEG!AI145</f>
        <v>9.8775905950793837E-3</v>
      </c>
      <c r="AJ326" s="427">
        <f>SEG!AJ145</f>
        <v>9.735338696513933E-3</v>
      </c>
      <c r="AK326" s="427">
        <f>SEG!AK145</f>
        <v>9.9472674976030673E-3</v>
      </c>
      <c r="AL326" s="560">
        <f>SEG!AL145</f>
        <v>9.1431120031220375E-3</v>
      </c>
      <c r="AM326" s="438">
        <f>SEG!AM145</f>
        <v>9.6659392803268851E-3</v>
      </c>
      <c r="AN326" s="427">
        <f>SEG!AN145</f>
        <v>1.0646687697160883E-2</v>
      </c>
      <c r="AO326" s="427">
        <f>SEG!AO145</f>
        <v>1.0402619919090734E-2</v>
      </c>
      <c r="AP326" s="427">
        <f>SEG!AP145</f>
        <v>1.0019449519655802E-2</v>
      </c>
      <c r="AQ326" s="560">
        <f>SEG!AQ145</f>
        <v>8.7613293051359512E-3</v>
      </c>
      <c r="AR326" s="438">
        <f>SEG!AR145</f>
        <v>9.9368643672441137E-3</v>
      </c>
      <c r="AS326" s="295">
        <f>SEG!AS145</f>
        <v>9.5908786049631115E-3</v>
      </c>
      <c r="AT326" s="295">
        <f>SEG!AT145</f>
        <v>8.8859336275161696E-3</v>
      </c>
      <c r="AU326" s="295">
        <f>SEG!AU145</f>
        <v>7.1078016584870535E-3</v>
      </c>
      <c r="AV326" s="295">
        <f>SEG!AV145</f>
        <v>5.9319867041677321E-3</v>
      </c>
      <c r="AW326" s="438">
        <f>SEG!AW145</f>
        <v>7.7398705172037532E-3</v>
      </c>
      <c r="AX326" s="295">
        <f>SEG!AX145</f>
        <v>6.4489501109219419E-3</v>
      </c>
      <c r="AY326" s="295">
        <f>SEG!AY145</f>
        <v>4.9487628092976755E-3</v>
      </c>
      <c r="AZ326" s="295">
        <f>SEG!AZ145</f>
        <v>5.0479808076769293E-3</v>
      </c>
      <c r="BA326" s="295">
        <f>SEG!BA145</f>
        <v>5.2013272352255399E-3</v>
      </c>
      <c r="BB326" s="438">
        <f>SEG!BB145</f>
        <v>5.3979289578692255E-3</v>
      </c>
      <c r="BC326" s="295">
        <f>SEG!BC145</f>
        <v>5.5576139310855874E-3</v>
      </c>
      <c r="BD326" s="295">
        <f>SEG!BD145</f>
        <v>4.7673619069447627E-3</v>
      </c>
      <c r="BE326" s="295">
        <f>SEG!BE145</f>
        <v>4.2476276547672841E-3</v>
      </c>
      <c r="BF326" s="295">
        <f>SEG!BF145</f>
        <v>4.4144913034521328E-3</v>
      </c>
      <c r="BG326" s="438">
        <f>SEG!BG145</f>
        <v>4.7100491438215814E-3</v>
      </c>
      <c r="BH326" s="295">
        <f>SEG!BH145</f>
        <v>4.0068409479599313E-3</v>
      </c>
      <c r="BI326" s="727">
        <f>SEG!BI145</f>
        <v>4.0825584032660464E-3</v>
      </c>
      <c r="BJ326" s="295">
        <f>SEG!BJ145</f>
        <v>3.8261015808947192E-3</v>
      </c>
      <c r="BK326" s="295">
        <f>SEG!BK145</f>
        <v>6.2530652280529675E-3</v>
      </c>
      <c r="BL326" s="438">
        <f>SEG!BL145</f>
        <v>4.583415967034662E-3</v>
      </c>
      <c r="BM326" s="295">
        <f>SEG!BM145</f>
        <v>3.8827938055894171E-3</v>
      </c>
      <c r="BN326" s="295">
        <f>SEG!BN145</f>
        <v>4.6856537505602413E-3</v>
      </c>
      <c r="BO326" s="295">
        <f>SEG!BO145</f>
        <v>4.410228635537158E-3</v>
      </c>
      <c r="BP326" s="295">
        <f>SEG!BP145</f>
        <v>4.1572986043354682E-3</v>
      </c>
      <c r="BQ326" s="438">
        <f>SEG!BQ145</f>
        <v>4.2969806687891462E-3</v>
      </c>
      <c r="BR326" s="295">
        <f>SEG!BR145</f>
        <v>2.8278543655001769E-3</v>
      </c>
      <c r="BS326" s="295">
        <f>SEG!BS145</f>
        <v>3.3932538881034134E-3</v>
      </c>
      <c r="BT326" s="295">
        <f>SEG!BT145</f>
        <v>2.6362038664323375E-3</v>
      </c>
      <c r="BU326" s="295">
        <f>SEG!BU145</f>
        <v>3.7361504766812675E-3</v>
      </c>
      <c r="BV326" s="438">
        <f>SEG!BV145</f>
        <v>3.1510716815937234E-3</v>
      </c>
      <c r="BW326" s="295">
        <f>SEG!BW145</f>
        <v>4.1892445699194024E-3</v>
      </c>
      <c r="BX326" s="295">
        <f>SEG!BX145</f>
        <v>3.1235087414862696E-3</v>
      </c>
      <c r="BY326" s="295">
        <f>SEG!BY145</f>
        <v>2.8898154646410435E-3</v>
      </c>
      <c r="BZ326" s="295">
        <f>SEG!BZ145</f>
        <v>2.9471134436818733E-3</v>
      </c>
      <c r="CA326" s="438">
        <f>SEG!CA145</f>
        <v>3.2657837349077175E-3</v>
      </c>
      <c r="CB326" s="295">
        <f>SEG!CB145</f>
        <v>2.7799161748353436E-3</v>
      </c>
      <c r="CC326" s="295">
        <f>SEG!CC145</f>
        <v>2.968093000247341E-3</v>
      </c>
      <c r="CD326" s="295">
        <f>SEG!CD145</f>
        <v>3.0621172353455816E-3</v>
      </c>
      <c r="CE326" s="295">
        <f>SEG!CE145</f>
        <v>2.1170742034508309E-3</v>
      </c>
      <c r="CF326" s="438">
        <f>SEG!CF145</f>
        <v>2.7094643369228793E-3</v>
      </c>
      <c r="CG326" s="295">
        <f>SEG!CG145</f>
        <v>2.8799581097002226E-3</v>
      </c>
      <c r="CH326" s="295">
        <f>SEG!CH145</f>
        <v>4.761602437940448E-3</v>
      </c>
      <c r="CI326" s="295">
        <f>SEG!CI145</f>
        <v>3.3033033033033031E-3</v>
      </c>
      <c r="CJ326" s="295">
        <f>SEG!CJ145</f>
        <v>2.0657696387694712E-3</v>
      </c>
      <c r="CK326" s="438">
        <f>SEG!CK145</f>
        <v>3.1870844708002978E-3</v>
      </c>
      <c r="CL326" s="295">
        <f>SEG!CL145</f>
        <v>3.8443340430565414E-3</v>
      </c>
      <c r="CM326" s="295">
        <f>SEG!CM145</f>
        <v>5.8439908528838827E-3</v>
      </c>
      <c r="CN326" s="295">
        <f>SEG!CN145</f>
        <v>5.0215715397128506E-3</v>
      </c>
      <c r="CO326" s="295">
        <f>SEG!CO145</f>
        <v>3.6591740721380033E-3</v>
      </c>
      <c r="CP326" s="438">
        <f>SEG!CP145</f>
        <v>4.487774682760755E-3</v>
      </c>
      <c r="CQ326" s="295">
        <f>SEG!CQ145</f>
        <v>3.942958533219426E-3</v>
      </c>
      <c r="CR326" s="295">
        <f>SEG!CR145</f>
        <v>4.5887751500176491E-3</v>
      </c>
      <c r="CS326" s="295">
        <f>SEG!CS145</f>
        <v>4.6472051315617231E-3</v>
      </c>
      <c r="CT326" s="295">
        <f>SEG!CT145</f>
        <v>4.2587710403569259E-3</v>
      </c>
      <c r="CU326" s="438">
        <f>SEG!CU145</f>
        <v>4.36695244517227E-3</v>
      </c>
      <c r="CV326" s="295">
        <f>SEG!CV145</f>
        <v>3.2878278893574441E-3</v>
      </c>
      <c r="CW326" s="295"/>
      <c r="CX326" s="295"/>
      <c r="CY326" s="295"/>
      <c r="CZ326" s="438">
        <f>SEG!CZ145</f>
        <v>2.9876291136199857E-3</v>
      </c>
      <c r="DA326" s="295"/>
      <c r="DB326" s="295"/>
      <c r="DC326" s="295"/>
      <c r="DD326" s="295"/>
      <c r="DE326" s="438">
        <f>SEG!DE145</f>
        <v>0</v>
      </c>
      <c r="DF326" s="486"/>
      <c r="DG326" s="486"/>
      <c r="DH326" s="486"/>
      <c r="DI326" s="295"/>
      <c r="DJ326" s="438">
        <f>SEG!DJ145</f>
        <v>0</v>
      </c>
      <c r="DK326" s="486"/>
      <c r="DL326" s="486"/>
      <c r="DM326" s="486"/>
      <c r="DN326" s="295"/>
      <c r="DO326" s="438">
        <f>SEG!DO145</f>
        <v>0</v>
      </c>
      <c r="DP326" s="486"/>
      <c r="DQ326" s="486"/>
      <c r="DR326" s="486"/>
      <c r="DS326" s="295"/>
      <c r="DT326" s="438">
        <f>SEG!DT145</f>
        <v>0</v>
      </c>
      <c r="DU326" s="486"/>
      <c r="DV326" s="486"/>
      <c r="DW326" s="486"/>
      <c r="DX326" s="295"/>
      <c r="DY326" s="438">
        <f>SEG!DY145</f>
        <v>0</v>
      </c>
      <c r="DZ326" s="438">
        <f>SEG!DZ145</f>
        <v>0</v>
      </c>
      <c r="EA326" s="438">
        <f>SEG!EA145</f>
        <v>0</v>
      </c>
      <c r="EB326" s="438">
        <f>SEG!EB145</f>
        <v>0</v>
      </c>
    </row>
    <row r="327" spans="1:132" s="115" customFormat="1" ht="12" customHeight="1">
      <c r="A327" s="114"/>
      <c r="B327" s="547" t="s">
        <v>410</v>
      </c>
      <c r="C327" s="466"/>
      <c r="D327" s="438">
        <f>SEG!D214</f>
        <v>0.23420548819400128</v>
      </c>
      <c r="E327" s="438">
        <f>SEG!E214</f>
        <v>0.15520504731861198</v>
      </c>
      <c r="F327" s="438">
        <f>SEG!F214</f>
        <v>0.16154349247874428</v>
      </c>
      <c r="G327" s="438">
        <f>SEG!G214</f>
        <v>0.15297741273100615</v>
      </c>
      <c r="H327" s="438">
        <f>SEG!H214</f>
        <v>0.12461220268872802</v>
      </c>
      <c r="I327" s="438">
        <f>SEG!I214</f>
        <v>0.31848552338530067</v>
      </c>
      <c r="J327" s="427">
        <f>SEG!J214</f>
        <v>0.10381861575178998</v>
      </c>
      <c r="K327" s="427">
        <f>SEG!K214</f>
        <v>2.3291925465838508E-2</v>
      </c>
      <c r="L327" s="427">
        <f>SEG!L214</f>
        <v>0.11741682974559686</v>
      </c>
      <c r="M327" s="427">
        <f>SEG!M214</f>
        <v>1.5</v>
      </c>
      <c r="N327" s="438">
        <f>SEG!N214</f>
        <v>9.1180866965620333E-2</v>
      </c>
      <c r="O327" s="427">
        <f>SEG!O214</f>
        <v>6.3953488372093026E-2</v>
      </c>
      <c r="P327" s="427">
        <f>SEG!P214</f>
        <v>0.13827160493827159</v>
      </c>
      <c r="Q327" s="427">
        <f>SEG!Q214</f>
        <v>3.669724770642202E-2</v>
      </c>
      <c r="R327" s="427">
        <f>SEG!R214</f>
        <v>8.7114337568058073E-2</v>
      </c>
      <c r="S327" s="438">
        <f>SEG!S214</f>
        <v>8.2503556187766711E-2</v>
      </c>
      <c r="T327" s="427">
        <f>SEG!T214</f>
        <v>7.2992700729927001E-2</v>
      </c>
      <c r="U327" s="427">
        <f>SEG!U214</f>
        <v>0.11854684512428298</v>
      </c>
      <c r="V327" s="427">
        <f>SEG!V214</f>
        <v>0.12828601472134596</v>
      </c>
      <c r="W327" s="427">
        <f>SEG!W214</f>
        <v>3.2118055555555552E-2</v>
      </c>
      <c r="X327" s="438">
        <f>SEG!X214</f>
        <v>8.117154811715481E-2</v>
      </c>
      <c r="Y327" s="427">
        <f>SEG!Y214</f>
        <v>5.5767761650114593E-2</v>
      </c>
      <c r="Z327" s="427">
        <f>SEG!Z214</f>
        <v>4.6480743691899071E-2</v>
      </c>
      <c r="AA327" s="427">
        <f>SEG!AA214</f>
        <v>4.0693795863909275E-2</v>
      </c>
      <c r="AB327" s="427">
        <f>SEG!AB214</f>
        <v>1.9788918205804751E-2</v>
      </c>
      <c r="AC327" s="438">
        <f>SEG!AC214</f>
        <v>4.0137221269296738E-2</v>
      </c>
      <c r="AD327" s="427">
        <f>SEG!AD214</f>
        <v>3.3907726514730403E-2</v>
      </c>
      <c r="AE327" s="427">
        <f>SEG!AE214</f>
        <v>3.6086607858861267E-2</v>
      </c>
      <c r="AF327" s="427">
        <f>SEG!AF214</f>
        <v>3.2258064516129031E-2</v>
      </c>
      <c r="AG327" s="427">
        <f>SEG!AG214</f>
        <v>-7.8189300411522639E-2</v>
      </c>
      <c r="AH327" s="438">
        <f>SEG!AH214</f>
        <v>4.1012658227848102E-2</v>
      </c>
      <c r="AI327" s="427">
        <f>SEG!AI214</f>
        <v>3.6097560975609753E-2</v>
      </c>
      <c r="AJ327" s="427">
        <f>SEG!AJ214</f>
        <v>2.354480052321779E-2</v>
      </c>
      <c r="AK327" s="427">
        <f>SEG!AK214</f>
        <v>-1.813110181311018E-2</v>
      </c>
      <c r="AL327" s="560">
        <f>SEG!AL214</f>
        <v>8.2693443591258121E-3</v>
      </c>
      <c r="AM327" s="438">
        <f>SEG!AM214</f>
        <v>6.0114503816793896E-2</v>
      </c>
      <c r="AN327" s="427">
        <f>SEG!AN214</f>
        <v>3.9182282793867124E-2</v>
      </c>
      <c r="AO327" s="427">
        <f>SEG!AO214</f>
        <v>4.2081101759755164E-2</v>
      </c>
      <c r="AP327" s="427">
        <f>SEG!AP214</f>
        <v>3.2444124008651765E-2</v>
      </c>
      <c r="AQ327" s="560">
        <f>SEG!AQ214</f>
        <v>5.4397098821396192E-3</v>
      </c>
      <c r="AR327" s="438">
        <f>SEG!AR214</f>
        <v>3.0577348622007644E-2</v>
      </c>
      <c r="AS327" s="295">
        <f>SEG!AS214</f>
        <v>5.1999999999999998E-2</v>
      </c>
      <c r="AT327" s="295">
        <f>SEG!AT214</f>
        <v>4.0417209908735333E-2</v>
      </c>
      <c r="AU327" s="295">
        <f>SEG!AU214</f>
        <v>1.1085180863477246E-2</v>
      </c>
      <c r="AV327" s="295">
        <f>SEG!AV214</f>
        <v>-5.0093926111458983E-3</v>
      </c>
      <c r="AW327" s="438">
        <f>SEG!AW214</f>
        <v>2.1385799828913601E-2</v>
      </c>
      <c r="AX327" s="295">
        <f>SEG!AX214</f>
        <v>2.4203821656050957E-2</v>
      </c>
      <c r="AY327" s="295">
        <f>SEG!AY214</f>
        <v>2.0025839793281652E-2</v>
      </c>
      <c r="AZ327" s="295">
        <f>SEG!AZ214</f>
        <v>2.1099744245524295E-2</v>
      </c>
      <c r="BA327" s="295">
        <f>SEG!BA214</f>
        <v>-1.2277470841006752E-2</v>
      </c>
      <c r="BB327" s="438">
        <f>SEG!BB214</f>
        <v>1.299318649976232E-2</v>
      </c>
      <c r="BC327" s="295">
        <f>SEG!BC214</f>
        <v>2.8795811518324606E-2</v>
      </c>
      <c r="BD327" s="295">
        <f>SEG!BD214</f>
        <v>1.1072261072261072E-2</v>
      </c>
      <c r="BE327" s="295">
        <f>SEG!BE214</f>
        <v>1.9412090959511925E-2</v>
      </c>
      <c r="BF327" s="295">
        <f>SEG!BF214</f>
        <v>5.9394179370421702E-3</v>
      </c>
      <c r="BG327" s="438">
        <f>SEG!BG214</f>
        <v>1.6305258826935679E-2</v>
      </c>
      <c r="BH327" s="295">
        <f>SEG!BH214</f>
        <v>2.8534370946822308E-2</v>
      </c>
      <c r="BI327" s="727">
        <f>SEG!BI214</f>
        <v>1.8466703973139341E-2</v>
      </c>
      <c r="BJ327" s="295">
        <f>SEG!BJ214</f>
        <v>-5.1911278905143934E-3</v>
      </c>
      <c r="BK327" s="295">
        <f>SEG!BK214</f>
        <v>1.2839506172839505E-2</v>
      </c>
      <c r="BL327" s="438">
        <f>SEG!BL214</f>
        <v>1.231098621704804E-2</v>
      </c>
      <c r="BM327" s="295">
        <f>SEG!BM214</f>
        <v>9.9058940069341253E-3</v>
      </c>
      <c r="BN327" s="295">
        <f>SEG!BN214</f>
        <v>6.5359477124183009E-3</v>
      </c>
      <c r="BO327" s="295">
        <f>SEG!BO214</f>
        <v>3.875968992248062E-3</v>
      </c>
      <c r="BP327" s="295">
        <f>SEG!BP214</f>
        <v>7.7519379844961239E-3</v>
      </c>
      <c r="BQ327" s="438">
        <f>SEG!BQ214</f>
        <v>6.7177213489184465E-3</v>
      </c>
      <c r="BR327" s="295">
        <f>SEG!BR214</f>
        <v>2.7964205816554811E-3</v>
      </c>
      <c r="BS327" s="295">
        <f>SEG!BS214</f>
        <v>-4.2959427207637228E-2</v>
      </c>
      <c r="BT327" s="295">
        <f>SEG!BT214</f>
        <v>5.6967572304995615E-3</v>
      </c>
      <c r="BU327" s="295">
        <f>SEG!BU214</f>
        <v>1.0535959688502062E-2</v>
      </c>
      <c r="BV327" s="438">
        <f>SEG!BV214</f>
        <v>1.0113129928008228E-2</v>
      </c>
      <c r="BW327" s="295">
        <f>SEG!BW214</f>
        <v>1.7679057116953764E-2</v>
      </c>
      <c r="BX327" s="295">
        <f>SEG!BX214</f>
        <v>9.881422924901186E-3</v>
      </c>
      <c r="BY327" s="295">
        <f>SEG!BY214</f>
        <v>8.7452471482889742E-3</v>
      </c>
      <c r="BZ327" s="295">
        <f>SEG!BZ214</f>
        <v>9.0664875755540626E-3</v>
      </c>
      <c r="CA327" s="438">
        <f>SEG!CA214</f>
        <v>1.1020881670533642E-2</v>
      </c>
      <c r="CB327" s="295">
        <f>SEG!CB214</f>
        <v>6.956521739130435E-3</v>
      </c>
      <c r="CC327" s="295">
        <f>SEG!CC214</f>
        <v>8.8560885608856086E-3</v>
      </c>
      <c r="CD327" s="295">
        <f>SEG!CD214</f>
        <v>1.2123933542882801E-2</v>
      </c>
      <c r="CE327" s="295">
        <f>SEG!CE214</f>
        <v>1.9161676646706587E-3</v>
      </c>
      <c r="CF327" s="438">
        <f>SEG!CF214</f>
        <v>6.5904730124301328E-3</v>
      </c>
      <c r="CG327" s="295">
        <f>SEG!CG214</f>
        <v>8.5106382978723406E-3</v>
      </c>
      <c r="CH327" s="295">
        <f>SEG!CH214</f>
        <v>-1.0946745562130178E-2</v>
      </c>
      <c r="CI327" s="295">
        <f>SEG!CI214</f>
        <v>2.3034154090548053E-2</v>
      </c>
      <c r="CJ327" s="295">
        <f>SEG!CJ214</f>
        <v>2.6315789473684209E-2</v>
      </c>
      <c r="CK327" s="438">
        <f>-SEG!CK214</f>
        <v>1.4177215189873417E-2</v>
      </c>
      <c r="CL327" s="295">
        <f>SEG!CL214</f>
        <v>-1.7738359201773836E-2</v>
      </c>
      <c r="CM327" s="295">
        <f>SEG!CM214</f>
        <v>2.3616734143049934E-3</v>
      </c>
      <c r="CN327" s="295">
        <f>SEG!CN214</f>
        <v>-7.4812967581047385E-2</v>
      </c>
      <c r="CO327" s="295">
        <f>SEG!CO214</f>
        <v>-1.987824574481302E-3</v>
      </c>
      <c r="CP327" s="438">
        <f>-SEG!CP214</f>
        <v>4.9345970079110206E-3</v>
      </c>
      <c r="CQ327" s="295">
        <f>-SEG!CQ214</f>
        <v>0.25301204819277107</v>
      </c>
      <c r="CR327" s="295">
        <f>SEG!CR214</f>
        <v>3.519061583577713E-2</v>
      </c>
      <c r="CS327" s="295">
        <f>SEG!CS214</f>
        <v>0.1276595744680851</v>
      </c>
      <c r="CT327" s="295">
        <f>-SEG!CT214</f>
        <v>1.6782546152001919E-3</v>
      </c>
      <c r="CU327" s="438">
        <f>-SEG!CU214</f>
        <v>3.6526533425223981E-2</v>
      </c>
      <c r="CV327" s="295">
        <f>SEG!CV214</f>
        <v>3.0795551753635585E-2</v>
      </c>
      <c r="CW327" s="295"/>
      <c r="CX327" s="295"/>
      <c r="CY327" s="295"/>
      <c r="CZ327" s="438">
        <f>SEG!CZ214</f>
        <v>-8.1759233154778694E-3</v>
      </c>
      <c r="DA327" s="295"/>
      <c r="DB327" s="295"/>
      <c r="DC327" s="295"/>
      <c r="DD327" s="295"/>
      <c r="DE327" s="438">
        <f>SEG!DE214</f>
        <v>0</v>
      </c>
      <c r="DF327" s="486"/>
      <c r="DG327" s="486"/>
      <c r="DH327" s="486"/>
      <c r="DI327" s="295"/>
      <c r="DJ327" s="438">
        <f>SEG!DJ214</f>
        <v>0</v>
      </c>
      <c r="DK327" s="486"/>
      <c r="DL327" s="486"/>
      <c r="DM327" s="486"/>
      <c r="DN327" s="295"/>
      <c r="DO327" s="438">
        <f>SEG!DO214</f>
        <v>0</v>
      </c>
      <c r="DP327" s="486"/>
      <c r="DQ327" s="486"/>
      <c r="DR327" s="486"/>
      <c r="DS327" s="295"/>
      <c r="DT327" s="438">
        <f>SEG!DT214</f>
        <v>0</v>
      </c>
      <c r="DU327" s="486"/>
      <c r="DV327" s="486"/>
      <c r="DW327" s="486"/>
      <c r="DX327" s="295"/>
      <c r="DY327" s="438">
        <f>SEG!DY214</f>
        <v>0</v>
      </c>
      <c r="DZ327" s="438">
        <f>SEG!DZ214</f>
        <v>0</v>
      </c>
      <c r="EA327" s="438">
        <f>SEG!EA214</f>
        <v>0</v>
      </c>
      <c r="EB327" s="438">
        <f>SEG!EB214</f>
        <v>0</v>
      </c>
    </row>
    <row r="328" spans="1:132" s="115" customFormat="1" ht="12" customHeight="1">
      <c r="A328" s="114"/>
      <c r="B328" s="547" t="s">
        <v>456</v>
      </c>
      <c r="C328" s="466"/>
      <c r="D328" s="466">
        <v>0</v>
      </c>
      <c r="E328" s="466">
        <v>0</v>
      </c>
      <c r="F328" s="466">
        <v>0</v>
      </c>
      <c r="G328" s="466">
        <v>0</v>
      </c>
      <c r="H328" s="466">
        <v>0</v>
      </c>
      <c r="I328" s="466">
        <v>0</v>
      </c>
      <c r="J328" s="557">
        <v>0</v>
      </c>
      <c r="K328" s="557">
        <v>0</v>
      </c>
      <c r="L328" s="557">
        <v>0</v>
      </c>
      <c r="M328" s="557">
        <v>0</v>
      </c>
      <c r="N328" s="466">
        <v>0</v>
      </c>
      <c r="O328" s="557">
        <v>0</v>
      </c>
      <c r="P328" s="557">
        <v>0</v>
      </c>
      <c r="Q328" s="557">
        <v>0</v>
      </c>
      <c r="R328" s="557">
        <v>0</v>
      </c>
      <c r="S328" s="466">
        <v>0</v>
      </c>
      <c r="T328" s="557">
        <v>0</v>
      </c>
      <c r="U328" s="557">
        <v>0</v>
      </c>
      <c r="V328" s="557">
        <v>0</v>
      </c>
      <c r="W328" s="557">
        <v>0</v>
      </c>
      <c r="X328" s="466">
        <v>0</v>
      </c>
      <c r="Y328" s="557">
        <v>0</v>
      </c>
      <c r="Z328" s="557">
        <v>0</v>
      </c>
      <c r="AA328" s="557">
        <v>0</v>
      </c>
      <c r="AB328" s="557">
        <v>0</v>
      </c>
      <c r="AC328" s="466">
        <v>0</v>
      </c>
      <c r="AD328" s="557">
        <v>0</v>
      </c>
      <c r="AE328" s="557">
        <v>0</v>
      </c>
      <c r="AF328" s="557">
        <v>0</v>
      </c>
      <c r="AG328" s="557">
        <v>0</v>
      </c>
      <c r="AH328" s="466">
        <v>0</v>
      </c>
      <c r="AI328" s="557">
        <v>0</v>
      </c>
      <c r="AJ328" s="557">
        <v>0</v>
      </c>
      <c r="AK328" s="557">
        <v>0</v>
      </c>
      <c r="AL328" s="558">
        <v>0</v>
      </c>
      <c r="AM328" s="466">
        <v>0</v>
      </c>
      <c r="AN328" s="557">
        <v>0</v>
      </c>
      <c r="AO328" s="557">
        <v>0</v>
      </c>
      <c r="AP328" s="557">
        <v>0</v>
      </c>
      <c r="AQ328" s="558">
        <v>0</v>
      </c>
      <c r="AR328" s="466">
        <v>0</v>
      </c>
      <c r="AS328" s="469">
        <v>0</v>
      </c>
      <c r="AT328" s="469">
        <v>0</v>
      </c>
      <c r="AU328" s="469">
        <v>0</v>
      </c>
      <c r="AV328" s="469">
        <v>0</v>
      </c>
      <c r="AW328" s="466">
        <v>0</v>
      </c>
      <c r="AX328" s="469">
        <v>0</v>
      </c>
      <c r="AY328" s="469">
        <v>0</v>
      </c>
      <c r="AZ328" s="469">
        <v>0</v>
      </c>
      <c r="BA328" s="469">
        <v>0</v>
      </c>
      <c r="BB328" s="466">
        <v>0.01</v>
      </c>
      <c r="BC328" s="469">
        <v>0</v>
      </c>
      <c r="BD328" s="469">
        <v>0</v>
      </c>
      <c r="BE328" s="469">
        <v>0</v>
      </c>
      <c r="BF328" s="469">
        <v>0</v>
      </c>
      <c r="BG328" s="466">
        <v>0.01</v>
      </c>
      <c r="BH328" s="469">
        <v>0</v>
      </c>
      <c r="BI328" s="587"/>
      <c r="BJ328" s="469"/>
      <c r="BK328" s="469"/>
      <c r="BL328" s="466">
        <v>0.01</v>
      </c>
      <c r="BM328" s="469"/>
      <c r="BN328" s="587"/>
      <c r="BO328" s="469"/>
      <c r="BP328" s="469"/>
      <c r="BQ328" s="466">
        <v>0.01</v>
      </c>
      <c r="BR328" s="469"/>
      <c r="BS328" s="587"/>
      <c r="BT328" s="469"/>
      <c r="BU328" s="469"/>
      <c r="BV328" s="466">
        <v>0.01</v>
      </c>
      <c r="BW328" s="469"/>
      <c r="BX328" s="587"/>
      <c r="BY328" s="469"/>
      <c r="BZ328" s="469"/>
      <c r="CA328" s="466">
        <v>0</v>
      </c>
      <c r="CB328" s="469"/>
      <c r="CC328" s="587"/>
      <c r="CD328" s="469"/>
      <c r="CE328" s="469"/>
      <c r="CF328" s="466">
        <v>0</v>
      </c>
      <c r="CG328" s="587"/>
      <c r="CH328" s="587"/>
      <c r="CI328" s="587"/>
      <c r="CJ328" s="587"/>
      <c r="CK328" s="466">
        <v>0</v>
      </c>
      <c r="CL328" s="469"/>
      <c r="CM328" s="469"/>
      <c r="CN328" s="469"/>
      <c r="CO328" s="469"/>
      <c r="CP328" s="466">
        <v>0</v>
      </c>
      <c r="CQ328" s="469"/>
      <c r="CR328" s="469"/>
      <c r="CS328" s="469"/>
      <c r="CT328" s="469"/>
      <c r="CU328" s="466">
        <v>0</v>
      </c>
      <c r="CV328" s="469"/>
      <c r="CW328" s="469"/>
      <c r="CX328" s="469"/>
      <c r="CY328" s="469"/>
      <c r="CZ328" s="466">
        <v>0</v>
      </c>
      <c r="DA328" s="469"/>
      <c r="DB328" s="469"/>
      <c r="DC328" s="469"/>
      <c r="DD328" s="469"/>
      <c r="DE328" s="466">
        <v>0</v>
      </c>
      <c r="DF328" s="450"/>
      <c r="DG328" s="450"/>
      <c r="DH328" s="450"/>
      <c r="DI328" s="469"/>
      <c r="DJ328" s="466">
        <v>0</v>
      </c>
      <c r="DK328" s="450"/>
      <c r="DL328" s="450"/>
      <c r="DM328" s="450"/>
      <c r="DN328" s="469"/>
      <c r="DO328" s="466">
        <v>0</v>
      </c>
      <c r="DP328" s="450"/>
      <c r="DQ328" s="450"/>
      <c r="DR328" s="450"/>
      <c r="DS328" s="469"/>
      <c r="DT328" s="466">
        <v>0</v>
      </c>
      <c r="DU328" s="450"/>
      <c r="DV328" s="450"/>
      <c r="DW328" s="450"/>
      <c r="DX328" s="469"/>
      <c r="DY328" s="466">
        <v>0</v>
      </c>
      <c r="DZ328" s="466">
        <v>0</v>
      </c>
      <c r="EA328" s="466">
        <v>0</v>
      </c>
      <c r="EB328" s="466">
        <v>0</v>
      </c>
    </row>
    <row r="329" spans="1:132" s="115" customFormat="1" ht="12" customHeight="1">
      <c r="A329" s="114"/>
      <c r="B329" s="547" t="s">
        <v>499</v>
      </c>
      <c r="C329" s="806"/>
      <c r="D329" s="806"/>
      <c r="E329" s="806"/>
      <c r="F329" s="806"/>
      <c r="G329" s="806"/>
      <c r="H329" s="806"/>
      <c r="I329" s="806"/>
      <c r="J329" s="557"/>
      <c r="K329" s="557"/>
      <c r="L329" s="557"/>
      <c r="M329" s="557"/>
      <c r="N329" s="806"/>
      <c r="O329" s="557"/>
      <c r="P329" s="557"/>
      <c r="Q329" s="557"/>
      <c r="R329" s="557"/>
      <c r="S329" s="806"/>
      <c r="T329" s="557"/>
      <c r="U329" s="557"/>
      <c r="V329" s="557"/>
      <c r="W329" s="557"/>
      <c r="X329" s="806"/>
      <c r="Y329" s="557"/>
      <c r="Z329" s="557"/>
      <c r="AA329" s="557"/>
      <c r="AB329" s="557"/>
      <c r="AC329" s="806"/>
      <c r="AD329" s="557"/>
      <c r="AE329" s="557"/>
      <c r="AF329" s="557"/>
      <c r="AG329" s="557"/>
      <c r="AH329" s="806"/>
      <c r="AI329" s="557"/>
      <c r="AJ329" s="557"/>
      <c r="AK329" s="557"/>
      <c r="AL329" s="558"/>
      <c r="AM329" s="806"/>
      <c r="AN329" s="557"/>
      <c r="AO329" s="557"/>
      <c r="AP329" s="557"/>
      <c r="AQ329" s="558"/>
      <c r="AR329" s="806"/>
      <c r="AS329" s="469"/>
      <c r="AT329" s="469"/>
      <c r="AU329" s="469"/>
      <c r="AV329" s="469"/>
      <c r="AW329" s="806"/>
      <c r="AX329" s="469"/>
      <c r="AY329" s="469"/>
      <c r="AZ329" s="469"/>
      <c r="BA329" s="469"/>
      <c r="BB329" s="806">
        <v>0</v>
      </c>
      <c r="BC329" s="469"/>
      <c r="BD329" s="469"/>
      <c r="BE329" s="469"/>
      <c r="BF329" s="469"/>
      <c r="BG329" s="806">
        <v>0</v>
      </c>
      <c r="BH329" s="469"/>
      <c r="BI329" s="587"/>
      <c r="BJ329" s="469"/>
      <c r="BK329" s="469"/>
      <c r="BL329" s="806">
        <v>0</v>
      </c>
      <c r="BM329" s="469"/>
      <c r="BN329" s="587"/>
      <c r="BO329" s="469"/>
      <c r="BP329" s="469"/>
      <c r="BQ329" s="806">
        <v>0</v>
      </c>
      <c r="BR329" s="469"/>
      <c r="BS329" s="587"/>
      <c r="BT329" s="469"/>
      <c r="BU329" s="469"/>
      <c r="BV329" s="806">
        <v>0</v>
      </c>
      <c r="BW329" s="469"/>
      <c r="BX329" s="587"/>
      <c r="BY329" s="469"/>
      <c r="BZ329" s="469"/>
      <c r="CA329" s="806"/>
      <c r="CB329" s="469"/>
      <c r="CC329" s="587"/>
      <c r="CD329" s="469"/>
      <c r="CE329" s="469"/>
      <c r="CF329" s="806"/>
      <c r="CG329" s="587"/>
      <c r="CH329" s="587"/>
      <c r="CI329" s="587"/>
      <c r="CJ329" s="587"/>
      <c r="CK329" s="806"/>
      <c r="CL329" s="469"/>
      <c r="CM329" s="469"/>
      <c r="CN329" s="469"/>
      <c r="CO329" s="469"/>
      <c r="CP329" s="806"/>
      <c r="CQ329" s="469"/>
      <c r="CR329" s="469"/>
      <c r="CS329" s="469"/>
      <c r="CT329" s="469"/>
      <c r="CU329" s="806"/>
      <c r="CV329" s="469"/>
      <c r="CW329" s="469"/>
      <c r="CX329" s="469"/>
      <c r="CY329" s="469"/>
      <c r="CZ329" s="806"/>
      <c r="DA329" s="469"/>
      <c r="DB329" s="469"/>
      <c r="DC329" s="469"/>
      <c r="DD329" s="469"/>
      <c r="DE329" s="806"/>
      <c r="DF329" s="450"/>
      <c r="DG329" s="450"/>
      <c r="DH329" s="450"/>
      <c r="DI329" s="469"/>
      <c r="DJ329" s="806"/>
      <c r="DK329" s="450"/>
      <c r="DL329" s="450"/>
      <c r="DM329" s="450"/>
      <c r="DN329" s="469"/>
      <c r="DO329" s="806"/>
      <c r="DP329" s="450"/>
      <c r="DQ329" s="450"/>
      <c r="DR329" s="450"/>
      <c r="DS329" s="469"/>
      <c r="DT329" s="806"/>
      <c r="DU329" s="450"/>
      <c r="DV329" s="450"/>
      <c r="DW329" s="450"/>
      <c r="DX329" s="469"/>
      <c r="DY329" s="806"/>
      <c r="DZ329" s="806"/>
      <c r="EA329" s="806"/>
      <c r="EB329" s="806"/>
    </row>
    <row r="330" spans="1:132" s="115" customFormat="1" ht="12" customHeight="1">
      <c r="A330" s="114"/>
      <c r="B330" s="547" t="s">
        <v>392</v>
      </c>
      <c r="C330" s="466"/>
      <c r="D330" s="466"/>
      <c r="E330" s="466"/>
      <c r="F330" s="466"/>
      <c r="G330" s="466"/>
      <c r="H330" s="466"/>
      <c r="I330" s="466"/>
      <c r="J330" s="557"/>
      <c r="K330" s="557"/>
      <c r="L330" s="557"/>
      <c r="M330" s="557"/>
      <c r="N330" s="466"/>
      <c r="O330" s="557"/>
      <c r="P330" s="557"/>
      <c r="Q330" s="557"/>
      <c r="R330" s="557"/>
      <c r="S330" s="466"/>
      <c r="T330" s="557"/>
      <c r="U330" s="557"/>
      <c r="V330" s="557"/>
      <c r="W330" s="557"/>
      <c r="X330" s="466">
        <v>0</v>
      </c>
      <c r="Y330" s="557">
        <v>0</v>
      </c>
      <c r="Z330" s="557">
        <v>0</v>
      </c>
      <c r="AA330" s="557">
        <v>0</v>
      </c>
      <c r="AB330" s="557">
        <v>0</v>
      </c>
      <c r="AC330" s="466">
        <v>0</v>
      </c>
      <c r="AD330" s="557">
        <v>0</v>
      </c>
      <c r="AE330" s="557">
        <v>0</v>
      </c>
      <c r="AF330" s="557">
        <v>0</v>
      </c>
      <c r="AG330" s="557">
        <v>0</v>
      </c>
      <c r="AH330" s="466">
        <v>0</v>
      </c>
      <c r="AI330" s="557">
        <v>0</v>
      </c>
      <c r="AJ330" s="557">
        <v>0</v>
      </c>
      <c r="AK330" s="557">
        <v>0</v>
      </c>
      <c r="AL330" s="558">
        <v>0</v>
      </c>
      <c r="AM330" s="466">
        <v>0</v>
      </c>
      <c r="AN330" s="557">
        <v>0</v>
      </c>
      <c r="AO330" s="557">
        <v>0</v>
      </c>
      <c r="AP330" s="557">
        <v>0</v>
      </c>
      <c r="AQ330" s="558">
        <v>0</v>
      </c>
      <c r="AR330" s="466">
        <v>0</v>
      </c>
      <c r="AS330" s="469">
        <v>0</v>
      </c>
      <c r="AT330" s="469">
        <v>0</v>
      </c>
      <c r="AU330" s="469">
        <v>0</v>
      </c>
      <c r="AV330" s="469">
        <v>0</v>
      </c>
      <c r="AW330" s="466">
        <v>0</v>
      </c>
      <c r="AX330" s="469">
        <v>0</v>
      </c>
      <c r="AY330" s="469">
        <v>0</v>
      </c>
      <c r="AZ330" s="469">
        <v>0</v>
      </c>
      <c r="BA330" s="469">
        <v>0</v>
      </c>
      <c r="BB330" s="466">
        <v>0</v>
      </c>
      <c r="BC330" s="469">
        <v>0</v>
      </c>
      <c r="BD330" s="469">
        <v>0</v>
      </c>
      <c r="BE330" s="469">
        <v>0</v>
      </c>
      <c r="BF330" s="469">
        <v>0</v>
      </c>
      <c r="BG330" s="466">
        <v>0</v>
      </c>
      <c r="BH330" s="469">
        <v>0</v>
      </c>
      <c r="BI330" s="587"/>
      <c r="BJ330" s="469"/>
      <c r="BK330" s="469"/>
      <c r="BL330" s="466">
        <v>0</v>
      </c>
      <c r="BM330" s="469"/>
      <c r="BN330" s="587"/>
      <c r="BO330" s="469"/>
      <c r="BP330" s="469"/>
      <c r="BQ330" s="466">
        <v>0</v>
      </c>
      <c r="BR330" s="469"/>
      <c r="BS330" s="587"/>
      <c r="BT330" s="469"/>
      <c r="BU330" s="469"/>
      <c r="BV330" s="466">
        <v>0</v>
      </c>
      <c r="BW330" s="469"/>
      <c r="BX330" s="587"/>
      <c r="BY330" s="469"/>
      <c r="BZ330" s="469"/>
      <c r="CA330" s="466">
        <v>0</v>
      </c>
      <c r="CB330" s="469"/>
      <c r="CC330" s="587"/>
      <c r="CD330" s="469"/>
      <c r="CE330" s="469"/>
      <c r="CF330" s="466">
        <v>0</v>
      </c>
      <c r="CG330" s="587"/>
      <c r="CH330" s="587"/>
      <c r="CI330" s="587"/>
      <c r="CJ330" s="587"/>
      <c r="CK330" s="466">
        <v>0</v>
      </c>
      <c r="CL330" s="469"/>
      <c r="CM330" s="469"/>
      <c r="CN330" s="469"/>
      <c r="CO330" s="469"/>
      <c r="CP330" s="466">
        <v>0</v>
      </c>
      <c r="CQ330" s="469"/>
      <c r="CR330" s="469"/>
      <c r="CS330" s="469"/>
      <c r="CT330" s="469"/>
      <c r="CU330" s="466">
        <v>0</v>
      </c>
      <c r="CV330" s="469"/>
      <c r="CW330" s="469"/>
      <c r="CX330" s="469"/>
      <c r="CY330" s="469"/>
      <c r="CZ330" s="466">
        <v>0</v>
      </c>
      <c r="DA330" s="469"/>
      <c r="DB330" s="469"/>
      <c r="DC330" s="469"/>
      <c r="DD330" s="469"/>
      <c r="DE330" s="466">
        <v>0</v>
      </c>
      <c r="DF330" s="450"/>
      <c r="DG330" s="450"/>
      <c r="DH330" s="450"/>
      <c r="DI330" s="469"/>
      <c r="DJ330" s="466">
        <v>0</v>
      </c>
      <c r="DK330" s="450"/>
      <c r="DL330" s="450"/>
      <c r="DM330" s="450"/>
      <c r="DN330" s="469"/>
      <c r="DO330" s="466">
        <v>0</v>
      </c>
      <c r="DP330" s="450"/>
      <c r="DQ330" s="450"/>
      <c r="DR330" s="450"/>
      <c r="DS330" s="469"/>
      <c r="DT330" s="466">
        <v>0</v>
      </c>
      <c r="DU330" s="450"/>
      <c r="DV330" s="450"/>
      <c r="DW330" s="450"/>
      <c r="DX330" s="469"/>
      <c r="DY330" s="466">
        <v>0</v>
      </c>
      <c r="DZ330" s="466">
        <v>0</v>
      </c>
      <c r="EA330" s="466">
        <v>0</v>
      </c>
      <c r="EB330" s="466">
        <v>0</v>
      </c>
    </row>
    <row r="331" spans="1:132" s="115" customFormat="1" ht="12" customHeight="1">
      <c r="A331" s="114"/>
      <c r="B331" s="547"/>
      <c r="C331" s="466"/>
      <c r="D331" s="466"/>
      <c r="E331" s="466"/>
      <c r="F331" s="466"/>
      <c r="G331" s="466"/>
      <c r="H331" s="466"/>
      <c r="I331" s="466"/>
      <c r="J331" s="557"/>
      <c r="K331" s="557"/>
      <c r="L331" s="557"/>
      <c r="M331" s="557"/>
      <c r="N331" s="466"/>
      <c r="O331" s="557"/>
      <c r="P331" s="557"/>
      <c r="Q331" s="557"/>
      <c r="R331" s="557"/>
      <c r="S331" s="466"/>
      <c r="T331" s="557"/>
      <c r="U331" s="557"/>
      <c r="V331" s="557"/>
      <c r="W331" s="557"/>
      <c r="X331" s="466"/>
      <c r="Y331" s="557"/>
      <c r="Z331" s="557"/>
      <c r="AA331" s="557"/>
      <c r="AB331" s="557"/>
      <c r="AC331" s="466"/>
      <c r="AD331" s="557"/>
      <c r="AE331" s="557"/>
      <c r="AF331" s="557"/>
      <c r="AG331" s="557"/>
      <c r="AH331" s="466"/>
      <c r="AI331" s="557"/>
      <c r="AJ331" s="557"/>
      <c r="AK331" s="557"/>
      <c r="AL331" s="558"/>
      <c r="AM331" s="466"/>
      <c r="AN331" s="557"/>
      <c r="AO331" s="557"/>
      <c r="AP331" s="557"/>
      <c r="AQ331" s="558"/>
      <c r="AR331" s="466"/>
      <c r="AS331" s="469"/>
      <c r="AT331" s="469"/>
      <c r="AU331" s="469"/>
      <c r="AV331" s="469"/>
      <c r="AW331" s="466"/>
      <c r="AX331" s="469"/>
      <c r="AY331" s="469"/>
      <c r="AZ331" s="469"/>
      <c r="BA331" s="469"/>
      <c r="BB331" s="466"/>
      <c r="BC331" s="469"/>
      <c r="BD331" s="469"/>
      <c r="BE331" s="469"/>
      <c r="BF331" s="469"/>
      <c r="BG331" s="466"/>
      <c r="BH331" s="469"/>
      <c r="BI331" s="587"/>
      <c r="BJ331" s="469"/>
      <c r="BK331" s="469"/>
      <c r="BL331" s="466"/>
      <c r="BM331" s="469"/>
      <c r="BN331" s="587"/>
      <c r="BO331" s="469"/>
      <c r="BP331" s="469"/>
      <c r="BQ331" s="466"/>
      <c r="BR331" s="469"/>
      <c r="BS331" s="587"/>
      <c r="BT331" s="469"/>
      <c r="BU331" s="469"/>
      <c r="BV331" s="466"/>
      <c r="BW331" s="469"/>
      <c r="BX331" s="587"/>
      <c r="BY331" s="469"/>
      <c r="BZ331" s="469"/>
      <c r="CA331" s="466"/>
      <c r="CB331" s="469"/>
      <c r="CC331" s="587"/>
      <c r="CD331" s="469"/>
      <c r="CE331" s="469"/>
      <c r="CF331" s="466"/>
      <c r="CG331" s="587"/>
      <c r="CH331" s="587"/>
      <c r="CI331" s="587"/>
      <c r="CJ331" s="587"/>
      <c r="CK331" s="466"/>
      <c r="CL331" s="469"/>
      <c r="CM331" s="469"/>
      <c r="CN331" s="469"/>
      <c r="CO331" s="469"/>
      <c r="CP331" s="466"/>
      <c r="CQ331" s="469"/>
      <c r="CR331" s="469"/>
      <c r="CS331" s="469"/>
      <c r="CT331" s="469"/>
      <c r="CU331" s="466"/>
      <c r="CV331" s="469"/>
      <c r="CW331" s="469"/>
      <c r="CX331" s="469"/>
      <c r="CY331" s="469"/>
      <c r="CZ331" s="466"/>
      <c r="DA331" s="469"/>
      <c r="DB331" s="469"/>
      <c r="DC331" s="469"/>
      <c r="DD331" s="469"/>
      <c r="DE331" s="466"/>
      <c r="DF331" s="450"/>
      <c r="DG331" s="450"/>
      <c r="DH331" s="450"/>
      <c r="DI331" s="469"/>
      <c r="DJ331" s="466"/>
      <c r="DK331" s="450"/>
      <c r="DL331" s="450"/>
      <c r="DM331" s="450"/>
      <c r="DN331" s="469"/>
      <c r="DO331" s="466"/>
      <c r="DP331" s="450"/>
      <c r="DQ331" s="450"/>
      <c r="DR331" s="450"/>
      <c r="DS331" s="469"/>
      <c r="DT331" s="466"/>
      <c r="DU331" s="450"/>
      <c r="DV331" s="450"/>
      <c r="DW331" s="450"/>
      <c r="DX331" s="469"/>
      <c r="DY331" s="466"/>
      <c r="DZ331" s="466"/>
      <c r="EA331" s="466"/>
      <c r="EB331" s="466"/>
    </row>
    <row r="332" spans="1:132" s="102" customFormat="1">
      <c r="A332" s="74"/>
      <c r="B332" s="811" t="s">
        <v>500</v>
      </c>
      <c r="C332" s="193"/>
      <c r="D332" s="193"/>
      <c r="E332" s="193"/>
      <c r="F332" s="193"/>
      <c r="G332" s="193"/>
      <c r="H332" s="193"/>
      <c r="I332" s="193"/>
      <c r="J332" s="74"/>
      <c r="K332" s="74"/>
      <c r="L332" s="74"/>
      <c r="M332" s="74"/>
      <c r="N332" s="193"/>
      <c r="O332" s="74"/>
      <c r="P332" s="74"/>
      <c r="Q332" s="74"/>
      <c r="R332" s="74"/>
      <c r="S332" s="193"/>
      <c r="T332" s="74"/>
      <c r="U332" s="74"/>
      <c r="V332" s="74"/>
      <c r="W332" s="74"/>
      <c r="X332" s="193"/>
      <c r="Y332" s="74"/>
      <c r="Z332" s="74"/>
      <c r="AA332" s="74"/>
      <c r="AB332" s="74"/>
      <c r="AC332" s="193"/>
      <c r="AD332" s="74"/>
      <c r="AE332" s="74"/>
      <c r="AF332" s="74"/>
      <c r="AG332" s="74"/>
      <c r="AH332" s="193"/>
      <c r="AI332" s="74"/>
      <c r="AJ332" s="74"/>
      <c r="AK332" s="74"/>
      <c r="AL332" s="74"/>
      <c r="AM332" s="193"/>
      <c r="AN332" s="74"/>
      <c r="AO332" s="74"/>
      <c r="AP332" s="74"/>
      <c r="AQ332" s="74"/>
      <c r="AR332" s="193"/>
      <c r="AS332" s="74"/>
      <c r="AT332" s="74"/>
      <c r="AU332" s="74"/>
      <c r="AV332" s="74"/>
      <c r="AW332" s="809"/>
      <c r="AX332" s="808"/>
      <c r="AY332" s="808"/>
      <c r="AZ332" s="808"/>
      <c r="BA332" s="808"/>
      <c r="BB332" s="809"/>
      <c r="BC332" s="808"/>
      <c r="BD332" s="808"/>
      <c r="BE332" s="808"/>
      <c r="BF332" s="808"/>
      <c r="BG332" s="809"/>
      <c r="BH332" s="808"/>
      <c r="BI332" s="808"/>
      <c r="BJ332" s="808"/>
      <c r="BK332" s="808"/>
      <c r="BL332" s="809"/>
      <c r="BM332" s="808"/>
      <c r="BN332" s="808"/>
      <c r="BO332" s="808"/>
      <c r="BP332" s="808"/>
      <c r="BQ332" s="809"/>
      <c r="BR332" s="808"/>
      <c r="BS332" s="808"/>
      <c r="BT332" s="808"/>
      <c r="BU332" s="808"/>
      <c r="BV332" s="809"/>
      <c r="BW332" s="808"/>
      <c r="BX332" s="808"/>
      <c r="BY332" s="808"/>
      <c r="BZ332" s="808"/>
      <c r="CA332" s="809"/>
      <c r="CB332" s="808"/>
      <c r="CC332" s="808"/>
      <c r="CD332" s="808"/>
      <c r="CE332" s="808"/>
      <c r="CF332" s="809"/>
      <c r="CG332" s="808"/>
      <c r="CH332" s="808"/>
      <c r="CI332" s="808"/>
      <c r="CJ332" s="808"/>
      <c r="CK332" s="809"/>
      <c r="CL332" s="808"/>
      <c r="CM332" s="808"/>
      <c r="CN332" s="808"/>
      <c r="CO332" s="808"/>
      <c r="CP332" s="809"/>
      <c r="CQ332" s="808"/>
      <c r="CR332" s="808"/>
      <c r="CS332" s="808"/>
      <c r="CT332" s="808"/>
      <c r="CU332" s="809"/>
      <c r="CV332" s="808"/>
      <c r="CW332" s="808"/>
      <c r="CX332" s="808"/>
      <c r="CY332" s="808"/>
      <c r="CZ332" s="809"/>
      <c r="DA332" s="808"/>
      <c r="DB332" s="808"/>
      <c r="DC332" s="808"/>
      <c r="DD332" s="808"/>
      <c r="DE332" s="809"/>
      <c r="DF332" s="1021"/>
      <c r="DG332" s="1021"/>
      <c r="DH332" s="1021"/>
      <c r="DI332" s="808"/>
      <c r="DJ332" s="809"/>
      <c r="DK332" s="1021"/>
      <c r="DL332" s="1021"/>
      <c r="DM332" s="1021"/>
      <c r="DN332" s="808"/>
      <c r="DO332" s="809"/>
      <c r="DP332" s="1021"/>
      <c r="DQ332" s="1021"/>
      <c r="DR332" s="1021"/>
      <c r="DS332" s="808"/>
      <c r="DT332" s="809"/>
      <c r="DU332" s="1021"/>
      <c r="DV332" s="1021"/>
      <c r="DW332" s="1021"/>
      <c r="DX332" s="808"/>
      <c r="DY332" s="809"/>
      <c r="DZ332" s="809"/>
      <c r="EA332" s="809"/>
      <c r="EB332" s="809"/>
    </row>
    <row r="333" spans="1:132" s="102" customFormat="1">
      <c r="A333" s="74"/>
      <c r="B333" s="810" t="s">
        <v>501</v>
      </c>
      <c r="C333" s="193"/>
      <c r="D333" s="193"/>
      <c r="E333" s="193"/>
      <c r="F333" s="193"/>
      <c r="G333" s="193"/>
      <c r="H333" s="193"/>
      <c r="I333" s="193"/>
      <c r="J333" s="74"/>
      <c r="K333" s="74"/>
      <c r="L333" s="74"/>
      <c r="M333" s="74"/>
      <c r="N333" s="193"/>
      <c r="O333" s="74"/>
      <c r="P333" s="74"/>
      <c r="Q333" s="74"/>
      <c r="R333" s="74"/>
      <c r="S333" s="193"/>
      <c r="T333" s="74"/>
      <c r="U333" s="74"/>
      <c r="V333" s="74"/>
      <c r="W333" s="74"/>
      <c r="X333" s="193"/>
      <c r="Y333" s="74"/>
      <c r="Z333" s="74"/>
      <c r="AA333" s="74"/>
      <c r="AB333" s="74"/>
      <c r="AC333" s="193"/>
      <c r="AD333" s="74"/>
      <c r="AE333" s="74"/>
      <c r="AF333" s="74"/>
      <c r="AG333" s="74"/>
      <c r="AH333" s="193"/>
      <c r="AI333" s="74"/>
      <c r="AJ333" s="74"/>
      <c r="AK333" s="74"/>
      <c r="AL333" s="74"/>
      <c r="AM333" s="193"/>
      <c r="AN333" s="74"/>
      <c r="AO333" s="74"/>
      <c r="AP333" s="74"/>
      <c r="AQ333" s="74"/>
      <c r="AR333" s="193"/>
      <c r="AS333" s="74"/>
      <c r="AT333" s="74"/>
      <c r="AU333" s="74"/>
      <c r="AV333" s="74"/>
      <c r="AW333" s="809"/>
      <c r="AX333" s="808"/>
      <c r="AY333" s="808"/>
      <c r="AZ333" s="808"/>
      <c r="BA333" s="808"/>
      <c r="BB333" s="809">
        <v>0.01</v>
      </c>
      <c r="BC333" s="808"/>
      <c r="BD333" s="808"/>
      <c r="BE333" s="808"/>
      <c r="BF333" s="808"/>
      <c r="BG333" s="809">
        <v>0.02</v>
      </c>
      <c r="BH333" s="808"/>
      <c r="BI333" s="808"/>
      <c r="BJ333" s="808"/>
      <c r="BK333" s="808"/>
      <c r="BL333" s="809">
        <v>0.02</v>
      </c>
      <c r="BM333" s="808"/>
      <c r="BN333" s="808"/>
      <c r="BO333" s="808"/>
      <c r="BP333" s="808"/>
      <c r="BQ333" s="809">
        <f>+BQ253</f>
        <v>1.9456062592338265E-2</v>
      </c>
      <c r="BR333" s="808"/>
      <c r="BS333" s="808"/>
      <c r="BT333" s="808"/>
      <c r="BU333" s="808"/>
      <c r="BV333" s="809">
        <f>+BV253</f>
        <v>2.1951761110699897E-2</v>
      </c>
      <c r="BW333" s="808"/>
      <c r="BX333" s="808"/>
      <c r="BY333" s="808"/>
      <c r="BZ333" s="808"/>
      <c r="CA333" s="809">
        <f>+CA253</f>
        <v>2.3524498886414252E-2</v>
      </c>
      <c r="CB333" s="808"/>
      <c r="CC333" s="808"/>
      <c r="CD333" s="808"/>
      <c r="CE333" s="808"/>
      <c r="CF333" s="809">
        <f>CA333</f>
        <v>2.3524498886414252E-2</v>
      </c>
      <c r="CG333" s="808"/>
      <c r="CH333" s="808"/>
      <c r="CI333" s="808"/>
      <c r="CJ333" s="808"/>
      <c r="CK333" s="809">
        <f t="shared" ref="CK333:CK380" si="676">CF333</f>
        <v>2.3524498886414252E-2</v>
      </c>
      <c r="CL333" s="808"/>
      <c r="CM333" s="808"/>
      <c r="CN333" s="808"/>
      <c r="CO333" s="808"/>
      <c r="CP333" s="809">
        <f t="shared" ref="CP333:CP380" si="677">CK333</f>
        <v>2.3524498886414252E-2</v>
      </c>
      <c r="CQ333" s="808"/>
      <c r="CR333" s="808"/>
      <c r="CS333" s="808"/>
      <c r="CT333" s="808"/>
      <c r="CU333" s="809">
        <f t="shared" ref="CU333:CU380" si="678">CP333</f>
        <v>2.3524498886414252E-2</v>
      </c>
      <c r="CV333" s="808"/>
      <c r="CW333" s="808"/>
      <c r="CX333" s="808"/>
      <c r="CY333" s="808"/>
      <c r="CZ333" s="809">
        <f t="shared" ref="CZ333:CZ380" si="679">CU333</f>
        <v>2.3524498886414252E-2</v>
      </c>
      <c r="DA333" s="808"/>
      <c r="DB333" s="808"/>
      <c r="DC333" s="808"/>
      <c r="DD333" s="808"/>
      <c r="DE333" s="809">
        <f t="shared" ref="DE333:DE380" si="680">CZ333</f>
        <v>2.3524498886414252E-2</v>
      </c>
      <c r="DF333" s="1021"/>
      <c r="DG333" s="1021"/>
      <c r="DH333" s="1021"/>
      <c r="DI333" s="808"/>
      <c r="DJ333" s="809">
        <f t="shared" ref="DJ333:DJ380" si="681">DE333</f>
        <v>2.3524498886414252E-2</v>
      </c>
      <c r="DK333" s="1021"/>
      <c r="DL333" s="1021"/>
      <c r="DM333" s="1021"/>
      <c r="DN333" s="808"/>
      <c r="DO333" s="809">
        <f t="shared" ref="DO333:DO380" si="682">DJ333</f>
        <v>2.3524498886414252E-2</v>
      </c>
      <c r="DP333" s="1021"/>
      <c r="DQ333" s="1021"/>
      <c r="DR333" s="1021"/>
      <c r="DS333" s="808"/>
      <c r="DT333" s="809">
        <f t="shared" ref="DT333:DT380" si="683">DO333</f>
        <v>2.3524498886414252E-2</v>
      </c>
      <c r="DU333" s="1021"/>
      <c r="DV333" s="1021"/>
      <c r="DW333" s="1021"/>
      <c r="DX333" s="808"/>
      <c r="DY333" s="809">
        <f t="shared" ref="DY333:DY380" si="684">DT333</f>
        <v>2.3524498886414252E-2</v>
      </c>
      <c r="DZ333" s="809">
        <f>DY333</f>
        <v>2.3524498886414252E-2</v>
      </c>
      <c r="EA333" s="809">
        <f t="shared" ref="EA333:EB348" si="685">DZ333</f>
        <v>2.3524498886414252E-2</v>
      </c>
      <c r="EB333" s="809">
        <f t="shared" si="685"/>
        <v>2.3524498886414252E-2</v>
      </c>
    </row>
    <row r="334" spans="1:132" s="102" customFormat="1">
      <c r="A334" s="74"/>
      <c r="B334" s="810" t="s">
        <v>502</v>
      </c>
      <c r="C334" s="193"/>
      <c r="D334" s="193"/>
      <c r="E334" s="193"/>
      <c r="F334" s="193"/>
      <c r="G334" s="193"/>
      <c r="H334" s="193"/>
      <c r="I334" s="193"/>
      <c r="J334" s="74"/>
      <c r="K334" s="74"/>
      <c r="L334" s="74"/>
      <c r="M334" s="74"/>
      <c r="N334" s="193"/>
      <c r="O334" s="74"/>
      <c r="P334" s="74"/>
      <c r="Q334" s="74"/>
      <c r="R334" s="74"/>
      <c r="S334" s="193"/>
      <c r="T334" s="74"/>
      <c r="U334" s="74"/>
      <c r="V334" s="74"/>
      <c r="W334" s="74"/>
      <c r="X334" s="193"/>
      <c r="Y334" s="74"/>
      <c r="Z334" s="74"/>
      <c r="AA334" s="74"/>
      <c r="AB334" s="74"/>
      <c r="AC334" s="193"/>
      <c r="AD334" s="74"/>
      <c r="AE334" s="74"/>
      <c r="AF334" s="74"/>
      <c r="AG334" s="74"/>
      <c r="AH334" s="193"/>
      <c r="AI334" s="74"/>
      <c r="AJ334" s="74"/>
      <c r="AK334" s="74"/>
      <c r="AL334" s="74"/>
      <c r="AM334" s="193"/>
      <c r="AN334" s="74"/>
      <c r="AO334" s="74"/>
      <c r="AP334" s="74"/>
      <c r="AQ334" s="74"/>
      <c r="AR334" s="193"/>
      <c r="AS334" s="74"/>
      <c r="AT334" s="74"/>
      <c r="AU334" s="74"/>
      <c r="AV334" s="74"/>
      <c r="AW334" s="809"/>
      <c r="AX334" s="808"/>
      <c r="AY334" s="808"/>
      <c r="AZ334" s="808"/>
      <c r="BA334" s="808"/>
      <c r="BB334" s="809">
        <v>0.45</v>
      </c>
      <c r="BC334" s="808"/>
      <c r="BD334" s="808"/>
      <c r="BE334" s="808"/>
      <c r="BF334" s="808"/>
      <c r="BG334" s="809">
        <v>0.43</v>
      </c>
      <c r="BH334" s="808"/>
      <c r="BI334" s="808"/>
      <c r="BJ334" s="808"/>
      <c r="BK334" s="808"/>
      <c r="BL334" s="809">
        <v>0.42</v>
      </c>
      <c r="BM334" s="808"/>
      <c r="BN334" s="808"/>
      <c r="BO334" s="808"/>
      <c r="BP334" s="808"/>
      <c r="BQ334" s="809">
        <f>+BQ252</f>
        <v>0.40875418773539757</v>
      </c>
      <c r="BR334" s="808"/>
      <c r="BS334" s="808"/>
      <c r="BT334" s="808"/>
      <c r="BU334" s="808"/>
      <c r="BV334" s="809">
        <f>+BV252</f>
        <v>0.40990367025832442</v>
      </c>
      <c r="BW334" s="808"/>
      <c r="BX334" s="808"/>
      <c r="BY334" s="808"/>
      <c r="BZ334" s="808"/>
      <c r="CA334" s="809">
        <f>+CA252</f>
        <v>0.45326152132945008</v>
      </c>
      <c r="CB334" s="808"/>
      <c r="CC334" s="808"/>
      <c r="CD334" s="808"/>
      <c r="CE334" s="808"/>
      <c r="CF334" s="809">
        <f t="shared" ref="CF334:CF380" si="686">CA334</f>
        <v>0.45326152132945008</v>
      </c>
      <c r="CG334" s="808"/>
      <c r="CH334" s="808"/>
      <c r="CI334" s="808"/>
      <c r="CJ334" s="808"/>
      <c r="CK334" s="809">
        <f t="shared" si="676"/>
        <v>0.45326152132945008</v>
      </c>
      <c r="CL334" s="808"/>
      <c r="CM334" s="808"/>
      <c r="CN334" s="808"/>
      <c r="CO334" s="808"/>
      <c r="CP334" s="809">
        <f t="shared" si="677"/>
        <v>0.45326152132945008</v>
      </c>
      <c r="CQ334" s="808"/>
      <c r="CR334" s="808"/>
      <c r="CS334" s="808"/>
      <c r="CT334" s="808"/>
      <c r="CU334" s="809">
        <f t="shared" si="678"/>
        <v>0.45326152132945008</v>
      </c>
      <c r="CV334" s="808"/>
      <c r="CW334" s="808"/>
      <c r="CX334" s="808"/>
      <c r="CY334" s="808"/>
      <c r="CZ334" s="809">
        <f t="shared" si="679"/>
        <v>0.45326152132945008</v>
      </c>
      <c r="DA334" s="808"/>
      <c r="DB334" s="808"/>
      <c r="DC334" s="808"/>
      <c r="DD334" s="808"/>
      <c r="DE334" s="809">
        <f t="shared" si="680"/>
        <v>0.45326152132945008</v>
      </c>
      <c r="DF334" s="1021"/>
      <c r="DG334" s="1021"/>
      <c r="DH334" s="1021"/>
      <c r="DI334" s="808"/>
      <c r="DJ334" s="809">
        <f t="shared" si="681"/>
        <v>0.45326152132945008</v>
      </c>
      <c r="DK334" s="1021"/>
      <c r="DL334" s="1021"/>
      <c r="DM334" s="1021"/>
      <c r="DN334" s="808"/>
      <c r="DO334" s="809">
        <f t="shared" si="682"/>
        <v>0.45326152132945008</v>
      </c>
      <c r="DP334" s="1021"/>
      <c r="DQ334" s="1021"/>
      <c r="DR334" s="1021"/>
      <c r="DS334" s="808"/>
      <c r="DT334" s="809">
        <f t="shared" si="683"/>
        <v>0.45326152132945008</v>
      </c>
      <c r="DU334" s="1021"/>
      <c r="DV334" s="1021"/>
      <c r="DW334" s="1021"/>
      <c r="DX334" s="808"/>
      <c r="DY334" s="809">
        <f t="shared" si="684"/>
        <v>0.45326152132945008</v>
      </c>
      <c r="DZ334" s="809">
        <f t="shared" ref="DZ334:DZ380" si="687">DY334</f>
        <v>0.45326152132945008</v>
      </c>
      <c r="EA334" s="809">
        <f t="shared" si="685"/>
        <v>0.45326152132945008</v>
      </c>
      <c r="EB334" s="809">
        <f t="shared" si="685"/>
        <v>0.45326152132945008</v>
      </c>
    </row>
    <row r="335" spans="1:132" s="102" customFormat="1">
      <c r="A335" s="74"/>
      <c r="B335" s="810" t="s">
        <v>503</v>
      </c>
      <c r="C335" s="193"/>
      <c r="D335" s="193"/>
      <c r="E335" s="193"/>
      <c r="F335" s="193"/>
      <c r="G335" s="193"/>
      <c r="H335" s="193"/>
      <c r="I335" s="193"/>
      <c r="J335" s="74"/>
      <c r="K335" s="74"/>
      <c r="L335" s="74"/>
      <c r="M335" s="74"/>
      <c r="N335" s="193"/>
      <c r="O335" s="74"/>
      <c r="P335" s="74"/>
      <c r="Q335" s="74"/>
      <c r="R335" s="74"/>
      <c r="S335" s="193"/>
      <c r="T335" s="74"/>
      <c r="U335" s="74"/>
      <c r="V335" s="74"/>
      <c r="W335" s="74"/>
      <c r="X335" s="193"/>
      <c r="Y335" s="74"/>
      <c r="Z335" s="74"/>
      <c r="AA335" s="74"/>
      <c r="AB335" s="74"/>
      <c r="AC335" s="193"/>
      <c r="AD335" s="74"/>
      <c r="AE335" s="74"/>
      <c r="AF335" s="74"/>
      <c r="AG335" s="74"/>
      <c r="AH335" s="193"/>
      <c r="AI335" s="74"/>
      <c r="AJ335" s="74"/>
      <c r="AK335" s="74"/>
      <c r="AL335" s="74"/>
      <c r="AM335" s="193"/>
      <c r="AN335" s="74"/>
      <c r="AO335" s="74"/>
      <c r="AP335" s="74"/>
      <c r="AQ335" s="74"/>
      <c r="AR335" s="193"/>
      <c r="AS335" s="74"/>
      <c r="AT335" s="74"/>
      <c r="AU335" s="74"/>
      <c r="AV335" s="74"/>
      <c r="AW335" s="809"/>
      <c r="AX335" s="808"/>
      <c r="AY335" s="808"/>
      <c r="AZ335" s="808"/>
      <c r="BA335" s="808"/>
      <c r="BB335" s="809">
        <v>0</v>
      </c>
      <c r="BC335" s="808"/>
      <c r="BD335" s="808"/>
      <c r="BE335" s="808"/>
      <c r="BF335" s="808"/>
      <c r="BG335" s="809">
        <v>0</v>
      </c>
      <c r="BH335" s="808"/>
      <c r="BI335" s="808"/>
      <c r="BJ335" s="808"/>
      <c r="BK335" s="808"/>
      <c r="BL335" s="809">
        <v>0</v>
      </c>
      <c r="BM335" s="808"/>
      <c r="BN335" s="808"/>
      <c r="BO335" s="808"/>
      <c r="BP335" s="808"/>
      <c r="BQ335" s="809">
        <v>0</v>
      </c>
      <c r="BR335" s="808"/>
      <c r="BS335" s="808"/>
      <c r="BT335" s="808"/>
      <c r="BU335" s="808"/>
      <c r="BV335" s="809">
        <f t="shared" ref="BV335:BV377" si="688">BQ335</f>
        <v>0</v>
      </c>
      <c r="BW335" s="808"/>
      <c r="BX335" s="808"/>
      <c r="BY335" s="808"/>
      <c r="BZ335" s="808"/>
      <c r="CA335" s="809">
        <f t="shared" ref="CA335:CA377" si="689">BV335</f>
        <v>0</v>
      </c>
      <c r="CB335" s="808"/>
      <c r="CC335" s="808"/>
      <c r="CD335" s="808"/>
      <c r="CE335" s="808"/>
      <c r="CF335" s="809">
        <f t="shared" si="686"/>
        <v>0</v>
      </c>
      <c r="CG335" s="808"/>
      <c r="CH335" s="808"/>
      <c r="CI335" s="808"/>
      <c r="CJ335" s="808"/>
      <c r="CK335" s="809">
        <f t="shared" si="676"/>
        <v>0</v>
      </c>
      <c r="CL335" s="808"/>
      <c r="CM335" s="808"/>
      <c r="CN335" s="808"/>
      <c r="CO335" s="808"/>
      <c r="CP335" s="809">
        <f t="shared" si="677"/>
        <v>0</v>
      </c>
      <c r="CQ335" s="808"/>
      <c r="CR335" s="808"/>
      <c r="CS335" s="808"/>
      <c r="CT335" s="808"/>
      <c r="CU335" s="809">
        <f t="shared" si="678"/>
        <v>0</v>
      </c>
      <c r="CV335" s="808"/>
      <c r="CW335" s="808"/>
      <c r="CX335" s="808"/>
      <c r="CY335" s="808"/>
      <c r="CZ335" s="809">
        <f t="shared" si="679"/>
        <v>0</v>
      </c>
      <c r="DA335" s="808"/>
      <c r="DB335" s="808"/>
      <c r="DC335" s="808"/>
      <c r="DD335" s="808"/>
      <c r="DE335" s="809">
        <f t="shared" si="680"/>
        <v>0</v>
      </c>
      <c r="DF335" s="1021"/>
      <c r="DG335" s="1021"/>
      <c r="DH335" s="1021"/>
      <c r="DI335" s="808"/>
      <c r="DJ335" s="809">
        <f t="shared" si="681"/>
        <v>0</v>
      </c>
      <c r="DK335" s="1021"/>
      <c r="DL335" s="1021"/>
      <c r="DM335" s="1021"/>
      <c r="DN335" s="808"/>
      <c r="DO335" s="809">
        <f t="shared" si="682"/>
        <v>0</v>
      </c>
      <c r="DP335" s="1021"/>
      <c r="DQ335" s="1021"/>
      <c r="DR335" s="1021"/>
      <c r="DS335" s="808"/>
      <c r="DT335" s="809">
        <f t="shared" si="683"/>
        <v>0</v>
      </c>
      <c r="DU335" s="1021"/>
      <c r="DV335" s="1021"/>
      <c r="DW335" s="1021"/>
      <c r="DX335" s="808"/>
      <c r="DY335" s="809">
        <f t="shared" si="684"/>
        <v>0</v>
      </c>
      <c r="DZ335" s="809">
        <f t="shared" si="687"/>
        <v>0</v>
      </c>
      <c r="EA335" s="809">
        <f t="shared" si="685"/>
        <v>0</v>
      </c>
      <c r="EB335" s="809">
        <f t="shared" si="685"/>
        <v>0</v>
      </c>
    </row>
    <row r="336" spans="1:132" s="102" customFormat="1">
      <c r="A336" s="74"/>
      <c r="B336" s="810" t="s">
        <v>504</v>
      </c>
      <c r="C336" s="193"/>
      <c r="D336" s="193"/>
      <c r="E336" s="193"/>
      <c r="F336" s="193"/>
      <c r="G336" s="193"/>
      <c r="H336" s="193"/>
      <c r="I336" s="193"/>
      <c r="J336" s="74"/>
      <c r="K336" s="74"/>
      <c r="L336" s="74"/>
      <c r="M336" s="74"/>
      <c r="N336" s="193"/>
      <c r="O336" s="74"/>
      <c r="P336" s="74"/>
      <c r="Q336" s="74"/>
      <c r="R336" s="74"/>
      <c r="S336" s="193"/>
      <c r="T336" s="74"/>
      <c r="U336" s="74"/>
      <c r="V336" s="74"/>
      <c r="W336" s="74"/>
      <c r="X336" s="193"/>
      <c r="Y336" s="74"/>
      <c r="Z336" s="74"/>
      <c r="AA336" s="74"/>
      <c r="AB336" s="74"/>
      <c r="AC336" s="193"/>
      <c r="AD336" s="74"/>
      <c r="AE336" s="74"/>
      <c r="AF336" s="74"/>
      <c r="AG336" s="74"/>
      <c r="AH336" s="193"/>
      <c r="AI336" s="74"/>
      <c r="AJ336" s="74"/>
      <c r="AK336" s="74"/>
      <c r="AL336" s="74"/>
      <c r="AM336" s="193"/>
      <c r="AN336" s="74"/>
      <c r="AO336" s="74"/>
      <c r="AP336" s="74"/>
      <c r="AQ336" s="74"/>
      <c r="AR336" s="193"/>
      <c r="AS336" s="74"/>
      <c r="AT336" s="74"/>
      <c r="AU336" s="74"/>
      <c r="AV336" s="74"/>
      <c r="AW336" s="809"/>
      <c r="AX336" s="808"/>
      <c r="AY336" s="808"/>
      <c r="AZ336" s="808"/>
      <c r="BA336" s="808"/>
      <c r="BB336" s="809">
        <v>0</v>
      </c>
      <c r="BC336" s="808"/>
      <c r="BD336" s="808"/>
      <c r="BE336" s="808"/>
      <c r="BF336" s="808"/>
      <c r="BG336" s="809">
        <v>0</v>
      </c>
      <c r="BH336" s="808"/>
      <c r="BI336" s="808"/>
      <c r="BJ336" s="808"/>
      <c r="BK336" s="808"/>
      <c r="BL336" s="809">
        <v>0</v>
      </c>
      <c r="BM336" s="808"/>
      <c r="BN336" s="808"/>
      <c r="BO336" s="808"/>
      <c r="BP336" s="808"/>
      <c r="BQ336" s="809">
        <v>0</v>
      </c>
      <c r="BR336" s="808"/>
      <c r="BS336" s="808"/>
      <c r="BT336" s="808"/>
      <c r="BU336" s="808"/>
      <c r="BV336" s="809">
        <f t="shared" si="688"/>
        <v>0</v>
      </c>
      <c r="BW336" s="808"/>
      <c r="BX336" s="808"/>
      <c r="BY336" s="808"/>
      <c r="BZ336" s="808"/>
      <c r="CA336" s="809">
        <f t="shared" si="689"/>
        <v>0</v>
      </c>
      <c r="CB336" s="808"/>
      <c r="CC336" s="808"/>
      <c r="CD336" s="808"/>
      <c r="CE336" s="808"/>
      <c r="CF336" s="809">
        <f t="shared" si="686"/>
        <v>0</v>
      </c>
      <c r="CG336" s="808"/>
      <c r="CH336" s="808"/>
      <c r="CI336" s="808"/>
      <c r="CJ336" s="808"/>
      <c r="CK336" s="809">
        <f t="shared" si="676"/>
        <v>0</v>
      </c>
      <c r="CL336" s="808"/>
      <c r="CM336" s="808"/>
      <c r="CN336" s="808"/>
      <c r="CO336" s="808"/>
      <c r="CP336" s="809">
        <f t="shared" si="677"/>
        <v>0</v>
      </c>
      <c r="CQ336" s="808"/>
      <c r="CR336" s="808"/>
      <c r="CS336" s="808"/>
      <c r="CT336" s="808"/>
      <c r="CU336" s="809">
        <f t="shared" si="678"/>
        <v>0</v>
      </c>
      <c r="CV336" s="808"/>
      <c r="CW336" s="808"/>
      <c r="CX336" s="808"/>
      <c r="CY336" s="808"/>
      <c r="CZ336" s="809">
        <f t="shared" si="679"/>
        <v>0</v>
      </c>
      <c r="DA336" s="808"/>
      <c r="DB336" s="808"/>
      <c r="DC336" s="808"/>
      <c r="DD336" s="808"/>
      <c r="DE336" s="809">
        <f t="shared" si="680"/>
        <v>0</v>
      </c>
      <c r="DF336" s="1021"/>
      <c r="DG336" s="1021"/>
      <c r="DH336" s="1021"/>
      <c r="DI336" s="808"/>
      <c r="DJ336" s="809">
        <f t="shared" si="681"/>
        <v>0</v>
      </c>
      <c r="DK336" s="1021"/>
      <c r="DL336" s="1021"/>
      <c r="DM336" s="1021"/>
      <c r="DN336" s="808"/>
      <c r="DO336" s="809">
        <f t="shared" si="682"/>
        <v>0</v>
      </c>
      <c r="DP336" s="1021"/>
      <c r="DQ336" s="1021"/>
      <c r="DR336" s="1021"/>
      <c r="DS336" s="808"/>
      <c r="DT336" s="809">
        <f t="shared" si="683"/>
        <v>0</v>
      </c>
      <c r="DU336" s="1021"/>
      <c r="DV336" s="1021"/>
      <c r="DW336" s="1021"/>
      <c r="DX336" s="808"/>
      <c r="DY336" s="809">
        <f t="shared" si="684"/>
        <v>0</v>
      </c>
      <c r="DZ336" s="809">
        <f t="shared" si="687"/>
        <v>0</v>
      </c>
      <c r="EA336" s="809">
        <f t="shared" si="685"/>
        <v>0</v>
      </c>
      <c r="EB336" s="809">
        <f t="shared" si="685"/>
        <v>0</v>
      </c>
    </row>
    <row r="337" spans="1:132" s="102" customFormat="1">
      <c r="A337" s="74"/>
      <c r="B337" s="810" t="s">
        <v>505</v>
      </c>
      <c r="C337" s="193"/>
      <c r="D337" s="193"/>
      <c r="E337" s="193"/>
      <c r="F337" s="193"/>
      <c r="G337" s="193"/>
      <c r="H337" s="193"/>
      <c r="I337" s="193"/>
      <c r="J337" s="74"/>
      <c r="K337" s="74"/>
      <c r="L337" s="74"/>
      <c r="M337" s="74"/>
      <c r="N337" s="193"/>
      <c r="O337" s="74"/>
      <c r="P337" s="74"/>
      <c r="Q337" s="74"/>
      <c r="R337" s="74"/>
      <c r="S337" s="193"/>
      <c r="T337" s="74"/>
      <c r="U337" s="74"/>
      <c r="V337" s="74"/>
      <c r="W337" s="74"/>
      <c r="X337" s="193"/>
      <c r="Y337" s="74"/>
      <c r="Z337" s="74"/>
      <c r="AA337" s="74"/>
      <c r="AB337" s="74"/>
      <c r="AC337" s="193"/>
      <c r="AD337" s="74"/>
      <c r="AE337" s="74"/>
      <c r="AF337" s="74"/>
      <c r="AG337" s="74"/>
      <c r="AH337" s="193"/>
      <c r="AI337" s="74"/>
      <c r="AJ337" s="74"/>
      <c r="AK337" s="74"/>
      <c r="AL337" s="74"/>
      <c r="AM337" s="193"/>
      <c r="AN337" s="74"/>
      <c r="AO337" s="74"/>
      <c r="AP337" s="74"/>
      <c r="AQ337" s="74"/>
      <c r="AR337" s="193"/>
      <c r="AS337" s="74"/>
      <c r="AT337" s="74"/>
      <c r="AU337" s="74"/>
      <c r="AV337" s="74"/>
      <c r="AW337" s="809"/>
      <c r="AX337" s="808"/>
      <c r="AY337" s="808"/>
      <c r="AZ337" s="808"/>
      <c r="BA337" s="808"/>
      <c r="BB337" s="809">
        <v>0</v>
      </c>
      <c r="BC337" s="808"/>
      <c r="BD337" s="808"/>
      <c r="BE337" s="808"/>
      <c r="BF337" s="808"/>
      <c r="BG337" s="809">
        <v>0</v>
      </c>
      <c r="BH337" s="808"/>
      <c r="BI337" s="808"/>
      <c r="BJ337" s="808"/>
      <c r="BK337" s="808"/>
      <c r="BL337" s="809">
        <v>0</v>
      </c>
      <c r="BM337" s="808"/>
      <c r="BN337" s="808"/>
      <c r="BO337" s="808"/>
      <c r="BP337" s="808"/>
      <c r="BQ337" s="809">
        <v>0</v>
      </c>
      <c r="BR337" s="808"/>
      <c r="BS337" s="808"/>
      <c r="BT337" s="808"/>
      <c r="BU337" s="808"/>
      <c r="BV337" s="809">
        <f t="shared" si="688"/>
        <v>0</v>
      </c>
      <c r="BW337" s="808"/>
      <c r="BX337" s="808"/>
      <c r="BY337" s="808"/>
      <c r="BZ337" s="808"/>
      <c r="CA337" s="809">
        <f t="shared" si="689"/>
        <v>0</v>
      </c>
      <c r="CB337" s="808"/>
      <c r="CC337" s="808"/>
      <c r="CD337" s="808"/>
      <c r="CE337" s="808"/>
      <c r="CF337" s="809">
        <f t="shared" si="686"/>
        <v>0</v>
      </c>
      <c r="CG337" s="808"/>
      <c r="CH337" s="808"/>
      <c r="CI337" s="808"/>
      <c r="CJ337" s="808"/>
      <c r="CK337" s="809">
        <f t="shared" si="676"/>
        <v>0</v>
      </c>
      <c r="CL337" s="808"/>
      <c r="CM337" s="808"/>
      <c r="CN337" s="808"/>
      <c r="CO337" s="808"/>
      <c r="CP337" s="809">
        <f t="shared" si="677"/>
        <v>0</v>
      </c>
      <c r="CQ337" s="808"/>
      <c r="CR337" s="808"/>
      <c r="CS337" s="808"/>
      <c r="CT337" s="808"/>
      <c r="CU337" s="809">
        <f t="shared" si="678"/>
        <v>0</v>
      </c>
      <c r="CV337" s="808"/>
      <c r="CW337" s="808"/>
      <c r="CX337" s="808"/>
      <c r="CY337" s="808"/>
      <c r="CZ337" s="809">
        <f t="shared" si="679"/>
        <v>0</v>
      </c>
      <c r="DA337" s="808"/>
      <c r="DB337" s="808"/>
      <c r="DC337" s="808"/>
      <c r="DD337" s="808"/>
      <c r="DE337" s="809">
        <f t="shared" si="680"/>
        <v>0</v>
      </c>
      <c r="DF337" s="1021"/>
      <c r="DG337" s="1021"/>
      <c r="DH337" s="1021"/>
      <c r="DI337" s="808"/>
      <c r="DJ337" s="809">
        <f t="shared" si="681"/>
        <v>0</v>
      </c>
      <c r="DK337" s="1021"/>
      <c r="DL337" s="1021"/>
      <c r="DM337" s="1021"/>
      <c r="DN337" s="808"/>
      <c r="DO337" s="809">
        <f t="shared" si="682"/>
        <v>0</v>
      </c>
      <c r="DP337" s="1021"/>
      <c r="DQ337" s="1021"/>
      <c r="DR337" s="1021"/>
      <c r="DS337" s="808"/>
      <c r="DT337" s="809">
        <f t="shared" si="683"/>
        <v>0</v>
      </c>
      <c r="DU337" s="1021"/>
      <c r="DV337" s="1021"/>
      <c r="DW337" s="1021"/>
      <c r="DX337" s="808"/>
      <c r="DY337" s="809">
        <f t="shared" si="684"/>
        <v>0</v>
      </c>
      <c r="DZ337" s="809">
        <f t="shared" si="687"/>
        <v>0</v>
      </c>
      <c r="EA337" s="809">
        <f t="shared" si="685"/>
        <v>0</v>
      </c>
      <c r="EB337" s="809">
        <f t="shared" si="685"/>
        <v>0</v>
      </c>
    </row>
    <row r="338" spans="1:132" s="102" customFormat="1">
      <c r="A338" s="74"/>
      <c r="B338" s="810" t="s">
        <v>506</v>
      </c>
      <c r="C338" s="193"/>
      <c r="D338" s="193"/>
      <c r="E338" s="193"/>
      <c r="F338" s="193"/>
      <c r="G338" s="193"/>
      <c r="H338" s="193"/>
      <c r="I338" s="193"/>
      <c r="J338" s="74"/>
      <c r="K338" s="74"/>
      <c r="L338" s="74"/>
      <c r="M338" s="74"/>
      <c r="N338" s="193"/>
      <c r="O338" s="74"/>
      <c r="P338" s="74"/>
      <c r="Q338" s="74"/>
      <c r="R338" s="74"/>
      <c r="S338" s="193"/>
      <c r="T338" s="74"/>
      <c r="U338" s="74"/>
      <c r="V338" s="74"/>
      <c r="W338" s="74"/>
      <c r="X338" s="193"/>
      <c r="Y338" s="74"/>
      <c r="Z338" s="74"/>
      <c r="AA338" s="74"/>
      <c r="AB338" s="74"/>
      <c r="AC338" s="193"/>
      <c r="AD338" s="74"/>
      <c r="AE338" s="74"/>
      <c r="AF338" s="74"/>
      <c r="AG338" s="74"/>
      <c r="AH338" s="193"/>
      <c r="AI338" s="74"/>
      <c r="AJ338" s="74"/>
      <c r="AK338" s="74"/>
      <c r="AL338" s="74"/>
      <c r="AM338" s="193"/>
      <c r="AN338" s="74"/>
      <c r="AO338" s="74"/>
      <c r="AP338" s="74"/>
      <c r="AQ338" s="74"/>
      <c r="AR338" s="193"/>
      <c r="AS338" s="74"/>
      <c r="AT338" s="74"/>
      <c r="AU338" s="74"/>
      <c r="AV338" s="74"/>
      <c r="AW338" s="809"/>
      <c r="AX338" s="808"/>
      <c r="AY338" s="808"/>
      <c r="AZ338" s="808"/>
      <c r="BA338" s="808"/>
      <c r="BB338" s="809">
        <v>0</v>
      </c>
      <c r="BC338" s="808"/>
      <c r="BD338" s="808"/>
      <c r="BE338" s="808"/>
      <c r="BF338" s="808"/>
      <c r="BG338" s="809">
        <v>0</v>
      </c>
      <c r="BH338" s="808"/>
      <c r="BI338" s="808"/>
      <c r="BJ338" s="808"/>
      <c r="BK338" s="808"/>
      <c r="BL338" s="809">
        <v>0</v>
      </c>
      <c r="BM338" s="808"/>
      <c r="BN338" s="808"/>
      <c r="BO338" s="808"/>
      <c r="BP338" s="808"/>
      <c r="BQ338" s="809">
        <v>0</v>
      </c>
      <c r="BR338" s="808"/>
      <c r="BS338" s="808"/>
      <c r="BT338" s="808"/>
      <c r="BU338" s="808"/>
      <c r="BV338" s="809">
        <f t="shared" si="688"/>
        <v>0</v>
      </c>
      <c r="BW338" s="808"/>
      <c r="BX338" s="808"/>
      <c r="BY338" s="808"/>
      <c r="BZ338" s="808"/>
      <c r="CA338" s="809">
        <f t="shared" si="689"/>
        <v>0</v>
      </c>
      <c r="CB338" s="808"/>
      <c r="CC338" s="808"/>
      <c r="CD338" s="808"/>
      <c r="CE338" s="808"/>
      <c r="CF338" s="809">
        <f t="shared" si="686"/>
        <v>0</v>
      </c>
      <c r="CG338" s="808"/>
      <c r="CH338" s="808"/>
      <c r="CI338" s="808"/>
      <c r="CJ338" s="808"/>
      <c r="CK338" s="809">
        <f t="shared" si="676"/>
        <v>0</v>
      </c>
      <c r="CL338" s="808"/>
      <c r="CM338" s="808"/>
      <c r="CN338" s="808"/>
      <c r="CO338" s="808"/>
      <c r="CP338" s="809">
        <f t="shared" si="677"/>
        <v>0</v>
      </c>
      <c r="CQ338" s="808"/>
      <c r="CR338" s="808"/>
      <c r="CS338" s="808"/>
      <c r="CT338" s="808"/>
      <c r="CU338" s="809">
        <f t="shared" si="678"/>
        <v>0</v>
      </c>
      <c r="CV338" s="808"/>
      <c r="CW338" s="808"/>
      <c r="CX338" s="808"/>
      <c r="CY338" s="808"/>
      <c r="CZ338" s="809">
        <f t="shared" si="679"/>
        <v>0</v>
      </c>
      <c r="DA338" s="808"/>
      <c r="DB338" s="808"/>
      <c r="DC338" s="808"/>
      <c r="DD338" s="808"/>
      <c r="DE338" s="809">
        <f t="shared" si="680"/>
        <v>0</v>
      </c>
      <c r="DF338" s="1021"/>
      <c r="DG338" s="1021"/>
      <c r="DH338" s="1021"/>
      <c r="DI338" s="808"/>
      <c r="DJ338" s="809">
        <f t="shared" si="681"/>
        <v>0</v>
      </c>
      <c r="DK338" s="1021"/>
      <c r="DL338" s="1021"/>
      <c r="DM338" s="1021"/>
      <c r="DN338" s="808"/>
      <c r="DO338" s="809">
        <f t="shared" si="682"/>
        <v>0</v>
      </c>
      <c r="DP338" s="1021"/>
      <c r="DQ338" s="1021"/>
      <c r="DR338" s="1021"/>
      <c r="DS338" s="808"/>
      <c r="DT338" s="809">
        <f t="shared" si="683"/>
        <v>0</v>
      </c>
      <c r="DU338" s="1021"/>
      <c r="DV338" s="1021"/>
      <c r="DW338" s="1021"/>
      <c r="DX338" s="808"/>
      <c r="DY338" s="809">
        <f t="shared" si="684"/>
        <v>0</v>
      </c>
      <c r="DZ338" s="809">
        <f t="shared" si="687"/>
        <v>0</v>
      </c>
      <c r="EA338" s="809">
        <f t="shared" si="685"/>
        <v>0</v>
      </c>
      <c r="EB338" s="809">
        <f t="shared" si="685"/>
        <v>0</v>
      </c>
    </row>
    <row r="339" spans="1:132" s="102" customFormat="1">
      <c r="A339" s="74"/>
      <c r="B339" s="810" t="s">
        <v>507</v>
      </c>
      <c r="C339" s="193"/>
      <c r="D339" s="193"/>
      <c r="E339" s="193"/>
      <c r="F339" s="193"/>
      <c r="G339" s="193"/>
      <c r="H339" s="193"/>
      <c r="I339" s="193"/>
      <c r="J339" s="74"/>
      <c r="K339" s="74"/>
      <c r="L339" s="74"/>
      <c r="M339" s="74"/>
      <c r="N339" s="193"/>
      <c r="O339" s="74"/>
      <c r="P339" s="74"/>
      <c r="Q339" s="74"/>
      <c r="R339" s="74"/>
      <c r="S339" s="193"/>
      <c r="T339" s="74"/>
      <c r="U339" s="74"/>
      <c r="V339" s="74"/>
      <c r="W339" s="74"/>
      <c r="X339" s="193"/>
      <c r="Y339" s="74"/>
      <c r="Z339" s="74"/>
      <c r="AA339" s="74"/>
      <c r="AB339" s="74"/>
      <c r="AC339" s="193"/>
      <c r="AD339" s="74"/>
      <c r="AE339" s="74"/>
      <c r="AF339" s="74"/>
      <c r="AG339" s="74"/>
      <c r="AH339" s="193"/>
      <c r="AI339" s="74"/>
      <c r="AJ339" s="74"/>
      <c r="AK339" s="74"/>
      <c r="AL339" s="74"/>
      <c r="AM339" s="193"/>
      <c r="AN339" s="74"/>
      <c r="AO339" s="74"/>
      <c r="AP339" s="74"/>
      <c r="AQ339" s="74"/>
      <c r="AR339" s="193"/>
      <c r="AS339" s="74"/>
      <c r="AT339" s="74"/>
      <c r="AU339" s="74"/>
      <c r="AV339" s="74"/>
      <c r="AW339" s="809"/>
      <c r="AX339" s="808"/>
      <c r="AY339" s="808"/>
      <c r="AZ339" s="808"/>
      <c r="BA339" s="808"/>
      <c r="BB339" s="809">
        <v>0</v>
      </c>
      <c r="BC339" s="808"/>
      <c r="BD339" s="808"/>
      <c r="BE339" s="808"/>
      <c r="BF339" s="808"/>
      <c r="BG339" s="809">
        <v>0</v>
      </c>
      <c r="BH339" s="808"/>
      <c r="BI339" s="808"/>
      <c r="BJ339" s="808"/>
      <c r="BK339" s="808"/>
      <c r="BL339" s="809">
        <v>0</v>
      </c>
      <c r="BM339" s="808"/>
      <c r="BN339" s="808"/>
      <c r="BO339" s="808"/>
      <c r="BP339" s="808"/>
      <c r="BQ339" s="809">
        <v>0</v>
      </c>
      <c r="BR339" s="808"/>
      <c r="BS339" s="808"/>
      <c r="BT339" s="808"/>
      <c r="BU339" s="808"/>
      <c r="BV339" s="809">
        <f t="shared" si="688"/>
        <v>0</v>
      </c>
      <c r="BW339" s="808"/>
      <c r="BX339" s="808"/>
      <c r="BY339" s="808"/>
      <c r="BZ339" s="808"/>
      <c r="CA339" s="809">
        <f t="shared" si="689"/>
        <v>0</v>
      </c>
      <c r="CB339" s="808"/>
      <c r="CC339" s="808"/>
      <c r="CD339" s="808"/>
      <c r="CE339" s="808"/>
      <c r="CF339" s="809">
        <f t="shared" si="686"/>
        <v>0</v>
      </c>
      <c r="CG339" s="808"/>
      <c r="CH339" s="808"/>
      <c r="CI339" s="808"/>
      <c r="CJ339" s="808"/>
      <c r="CK339" s="809">
        <f t="shared" si="676"/>
        <v>0</v>
      </c>
      <c r="CL339" s="808"/>
      <c r="CM339" s="808"/>
      <c r="CN339" s="808"/>
      <c r="CO339" s="808"/>
      <c r="CP339" s="809">
        <f t="shared" si="677"/>
        <v>0</v>
      </c>
      <c r="CQ339" s="808"/>
      <c r="CR339" s="808"/>
      <c r="CS339" s="808"/>
      <c r="CT339" s="808"/>
      <c r="CU339" s="809">
        <f t="shared" si="678"/>
        <v>0</v>
      </c>
      <c r="CV339" s="808"/>
      <c r="CW339" s="808"/>
      <c r="CX339" s="808"/>
      <c r="CY339" s="808"/>
      <c r="CZ339" s="809">
        <f t="shared" si="679"/>
        <v>0</v>
      </c>
      <c r="DA339" s="808"/>
      <c r="DB339" s="808"/>
      <c r="DC339" s="808"/>
      <c r="DD339" s="808"/>
      <c r="DE339" s="809">
        <f t="shared" si="680"/>
        <v>0</v>
      </c>
      <c r="DF339" s="1021"/>
      <c r="DG339" s="1021"/>
      <c r="DH339" s="1021"/>
      <c r="DI339" s="808"/>
      <c r="DJ339" s="809">
        <f t="shared" si="681"/>
        <v>0</v>
      </c>
      <c r="DK339" s="1021"/>
      <c r="DL339" s="1021"/>
      <c r="DM339" s="1021"/>
      <c r="DN339" s="808"/>
      <c r="DO339" s="809">
        <f t="shared" si="682"/>
        <v>0</v>
      </c>
      <c r="DP339" s="1021"/>
      <c r="DQ339" s="1021"/>
      <c r="DR339" s="1021"/>
      <c r="DS339" s="808"/>
      <c r="DT339" s="809">
        <f t="shared" si="683"/>
        <v>0</v>
      </c>
      <c r="DU339" s="1021"/>
      <c r="DV339" s="1021"/>
      <c r="DW339" s="1021"/>
      <c r="DX339" s="808"/>
      <c r="DY339" s="809">
        <f t="shared" si="684"/>
        <v>0</v>
      </c>
      <c r="DZ339" s="809">
        <f t="shared" si="687"/>
        <v>0</v>
      </c>
      <c r="EA339" s="809">
        <f t="shared" si="685"/>
        <v>0</v>
      </c>
      <c r="EB339" s="809">
        <f t="shared" si="685"/>
        <v>0</v>
      </c>
    </row>
    <row r="340" spans="1:132" s="102" customFormat="1">
      <c r="A340" s="74"/>
      <c r="B340" s="810" t="s">
        <v>508</v>
      </c>
      <c r="C340" s="193"/>
      <c r="D340" s="193"/>
      <c r="E340" s="193"/>
      <c r="F340" s="193"/>
      <c r="G340" s="193"/>
      <c r="H340" s="193"/>
      <c r="I340" s="193"/>
      <c r="J340" s="74"/>
      <c r="K340" s="74"/>
      <c r="L340" s="74"/>
      <c r="M340" s="74"/>
      <c r="N340" s="193"/>
      <c r="O340" s="74"/>
      <c r="P340" s="74"/>
      <c r="Q340" s="74"/>
      <c r="R340" s="74"/>
      <c r="S340" s="193"/>
      <c r="T340" s="74"/>
      <c r="U340" s="74"/>
      <c r="V340" s="74"/>
      <c r="W340" s="74"/>
      <c r="X340" s="193"/>
      <c r="Y340" s="74"/>
      <c r="Z340" s="74"/>
      <c r="AA340" s="74"/>
      <c r="AB340" s="74"/>
      <c r="AC340" s="193"/>
      <c r="AD340" s="74"/>
      <c r="AE340" s="74"/>
      <c r="AF340" s="74"/>
      <c r="AG340" s="74"/>
      <c r="AH340" s="193"/>
      <c r="AI340" s="74"/>
      <c r="AJ340" s="74"/>
      <c r="AK340" s="74"/>
      <c r="AL340" s="74"/>
      <c r="AM340" s="193"/>
      <c r="AN340" s="74"/>
      <c r="AO340" s="74"/>
      <c r="AP340" s="74"/>
      <c r="AQ340" s="74"/>
      <c r="AR340" s="193"/>
      <c r="AS340" s="74"/>
      <c r="AT340" s="74"/>
      <c r="AU340" s="74"/>
      <c r="AV340" s="74"/>
      <c r="AW340" s="809"/>
      <c r="AX340" s="808"/>
      <c r="AY340" s="808"/>
      <c r="AZ340" s="808"/>
      <c r="BA340" s="808"/>
      <c r="BB340" s="809">
        <v>0</v>
      </c>
      <c r="BC340" s="808"/>
      <c r="BD340" s="808"/>
      <c r="BE340" s="808"/>
      <c r="BF340" s="808"/>
      <c r="BG340" s="809">
        <v>0</v>
      </c>
      <c r="BH340" s="808"/>
      <c r="BI340" s="808"/>
      <c r="BJ340" s="808"/>
      <c r="BK340" s="808"/>
      <c r="BL340" s="809">
        <v>0</v>
      </c>
      <c r="BM340" s="808"/>
      <c r="BN340" s="808"/>
      <c r="BO340" s="808"/>
      <c r="BP340" s="808"/>
      <c r="BQ340" s="809">
        <v>0</v>
      </c>
      <c r="BR340" s="808"/>
      <c r="BS340" s="808"/>
      <c r="BT340" s="808"/>
      <c r="BU340" s="808"/>
      <c r="BV340" s="809">
        <f t="shared" si="688"/>
        <v>0</v>
      </c>
      <c r="BW340" s="808"/>
      <c r="BX340" s="808"/>
      <c r="BY340" s="808"/>
      <c r="BZ340" s="808"/>
      <c r="CA340" s="809">
        <f t="shared" si="689"/>
        <v>0</v>
      </c>
      <c r="CB340" s="808"/>
      <c r="CC340" s="808"/>
      <c r="CD340" s="808"/>
      <c r="CE340" s="808"/>
      <c r="CF340" s="809">
        <f t="shared" si="686"/>
        <v>0</v>
      </c>
      <c r="CG340" s="808"/>
      <c r="CH340" s="808"/>
      <c r="CI340" s="808"/>
      <c r="CJ340" s="808"/>
      <c r="CK340" s="809">
        <f t="shared" si="676"/>
        <v>0</v>
      </c>
      <c r="CL340" s="808"/>
      <c r="CM340" s="808"/>
      <c r="CN340" s="808"/>
      <c r="CO340" s="808"/>
      <c r="CP340" s="809">
        <f t="shared" si="677"/>
        <v>0</v>
      </c>
      <c r="CQ340" s="808"/>
      <c r="CR340" s="808"/>
      <c r="CS340" s="808"/>
      <c r="CT340" s="808"/>
      <c r="CU340" s="809">
        <f t="shared" si="678"/>
        <v>0</v>
      </c>
      <c r="CV340" s="808"/>
      <c r="CW340" s="808"/>
      <c r="CX340" s="808"/>
      <c r="CY340" s="808"/>
      <c r="CZ340" s="809">
        <f t="shared" si="679"/>
        <v>0</v>
      </c>
      <c r="DA340" s="808"/>
      <c r="DB340" s="808"/>
      <c r="DC340" s="808"/>
      <c r="DD340" s="808"/>
      <c r="DE340" s="809">
        <f t="shared" si="680"/>
        <v>0</v>
      </c>
      <c r="DF340" s="1021"/>
      <c r="DG340" s="1021"/>
      <c r="DH340" s="1021"/>
      <c r="DI340" s="808"/>
      <c r="DJ340" s="809">
        <f t="shared" si="681"/>
        <v>0</v>
      </c>
      <c r="DK340" s="1021"/>
      <c r="DL340" s="1021"/>
      <c r="DM340" s="1021"/>
      <c r="DN340" s="808"/>
      <c r="DO340" s="809">
        <f t="shared" si="682"/>
        <v>0</v>
      </c>
      <c r="DP340" s="1021"/>
      <c r="DQ340" s="1021"/>
      <c r="DR340" s="1021"/>
      <c r="DS340" s="808"/>
      <c r="DT340" s="809">
        <f t="shared" si="683"/>
        <v>0</v>
      </c>
      <c r="DU340" s="1021"/>
      <c r="DV340" s="1021"/>
      <c r="DW340" s="1021"/>
      <c r="DX340" s="808"/>
      <c r="DY340" s="809">
        <f t="shared" si="684"/>
        <v>0</v>
      </c>
      <c r="DZ340" s="809">
        <f t="shared" si="687"/>
        <v>0</v>
      </c>
      <c r="EA340" s="809">
        <f t="shared" si="685"/>
        <v>0</v>
      </c>
      <c r="EB340" s="809">
        <f t="shared" si="685"/>
        <v>0</v>
      </c>
    </row>
    <row r="341" spans="1:132" s="102" customFormat="1">
      <c r="A341" s="74"/>
      <c r="B341" s="810" t="s">
        <v>509</v>
      </c>
      <c r="C341" s="193"/>
      <c r="D341" s="193"/>
      <c r="E341" s="193"/>
      <c r="F341" s="193"/>
      <c r="G341" s="193"/>
      <c r="H341" s="193"/>
      <c r="I341" s="193"/>
      <c r="J341" s="74"/>
      <c r="K341" s="74"/>
      <c r="L341" s="74"/>
      <c r="M341" s="74"/>
      <c r="N341" s="193"/>
      <c r="O341" s="74"/>
      <c r="P341" s="74"/>
      <c r="Q341" s="74"/>
      <c r="R341" s="74"/>
      <c r="S341" s="193"/>
      <c r="T341" s="74"/>
      <c r="U341" s="74"/>
      <c r="V341" s="74"/>
      <c r="W341" s="74"/>
      <c r="X341" s="193"/>
      <c r="Y341" s="74"/>
      <c r="Z341" s="74"/>
      <c r="AA341" s="74"/>
      <c r="AB341" s="74"/>
      <c r="AC341" s="193"/>
      <c r="AD341" s="74"/>
      <c r="AE341" s="74"/>
      <c r="AF341" s="74"/>
      <c r="AG341" s="74"/>
      <c r="AH341" s="193"/>
      <c r="AI341" s="74"/>
      <c r="AJ341" s="74"/>
      <c r="AK341" s="74"/>
      <c r="AL341" s="74"/>
      <c r="AM341" s="193"/>
      <c r="AN341" s="74"/>
      <c r="AO341" s="74"/>
      <c r="AP341" s="74"/>
      <c r="AQ341" s="74"/>
      <c r="AR341" s="193"/>
      <c r="AS341" s="74"/>
      <c r="AT341" s="74"/>
      <c r="AU341" s="74"/>
      <c r="AV341" s="74"/>
      <c r="AW341" s="809"/>
      <c r="AX341" s="808"/>
      <c r="AY341" s="808"/>
      <c r="AZ341" s="808"/>
      <c r="BA341" s="808"/>
      <c r="BB341" s="809">
        <v>0</v>
      </c>
      <c r="BC341" s="808"/>
      <c r="BD341" s="808"/>
      <c r="BE341" s="808"/>
      <c r="BF341" s="808"/>
      <c r="BG341" s="809">
        <v>0</v>
      </c>
      <c r="BH341" s="808"/>
      <c r="BI341" s="808"/>
      <c r="BJ341" s="808"/>
      <c r="BK341" s="808"/>
      <c r="BL341" s="809">
        <v>0</v>
      </c>
      <c r="BM341" s="808"/>
      <c r="BN341" s="808"/>
      <c r="BO341" s="808"/>
      <c r="BP341" s="808"/>
      <c r="BQ341" s="809">
        <v>0</v>
      </c>
      <c r="BR341" s="808"/>
      <c r="BS341" s="808"/>
      <c r="BT341" s="808"/>
      <c r="BU341" s="808"/>
      <c r="BV341" s="809">
        <f t="shared" si="688"/>
        <v>0</v>
      </c>
      <c r="BW341" s="808"/>
      <c r="BX341" s="808"/>
      <c r="BY341" s="808"/>
      <c r="BZ341" s="808"/>
      <c r="CA341" s="809">
        <f t="shared" si="689"/>
        <v>0</v>
      </c>
      <c r="CB341" s="808"/>
      <c r="CC341" s="808"/>
      <c r="CD341" s="808"/>
      <c r="CE341" s="808"/>
      <c r="CF341" s="809">
        <f t="shared" si="686"/>
        <v>0</v>
      </c>
      <c r="CG341" s="808"/>
      <c r="CH341" s="808"/>
      <c r="CI341" s="808"/>
      <c r="CJ341" s="808"/>
      <c r="CK341" s="809">
        <f t="shared" si="676"/>
        <v>0</v>
      </c>
      <c r="CL341" s="808"/>
      <c r="CM341" s="808"/>
      <c r="CN341" s="808"/>
      <c r="CO341" s="808"/>
      <c r="CP341" s="809">
        <f t="shared" si="677"/>
        <v>0</v>
      </c>
      <c r="CQ341" s="808"/>
      <c r="CR341" s="808"/>
      <c r="CS341" s="808"/>
      <c r="CT341" s="808"/>
      <c r="CU341" s="809">
        <f t="shared" si="678"/>
        <v>0</v>
      </c>
      <c r="CV341" s="808"/>
      <c r="CW341" s="808"/>
      <c r="CX341" s="808"/>
      <c r="CY341" s="808"/>
      <c r="CZ341" s="809">
        <f t="shared" si="679"/>
        <v>0</v>
      </c>
      <c r="DA341" s="808"/>
      <c r="DB341" s="808"/>
      <c r="DC341" s="808"/>
      <c r="DD341" s="808"/>
      <c r="DE341" s="809">
        <f t="shared" si="680"/>
        <v>0</v>
      </c>
      <c r="DF341" s="1021"/>
      <c r="DG341" s="1021"/>
      <c r="DH341" s="1021"/>
      <c r="DI341" s="808"/>
      <c r="DJ341" s="809">
        <f t="shared" si="681"/>
        <v>0</v>
      </c>
      <c r="DK341" s="1021"/>
      <c r="DL341" s="1021"/>
      <c r="DM341" s="1021"/>
      <c r="DN341" s="808"/>
      <c r="DO341" s="809">
        <f t="shared" si="682"/>
        <v>0</v>
      </c>
      <c r="DP341" s="1021"/>
      <c r="DQ341" s="1021"/>
      <c r="DR341" s="1021"/>
      <c r="DS341" s="808"/>
      <c r="DT341" s="809">
        <f t="shared" si="683"/>
        <v>0</v>
      </c>
      <c r="DU341" s="1021"/>
      <c r="DV341" s="1021"/>
      <c r="DW341" s="1021"/>
      <c r="DX341" s="808"/>
      <c r="DY341" s="809">
        <f t="shared" si="684"/>
        <v>0</v>
      </c>
      <c r="DZ341" s="809">
        <f t="shared" si="687"/>
        <v>0</v>
      </c>
      <c r="EA341" s="809">
        <f t="shared" si="685"/>
        <v>0</v>
      </c>
      <c r="EB341" s="809">
        <f t="shared" si="685"/>
        <v>0</v>
      </c>
    </row>
    <row r="342" spans="1:132" s="102" customFormat="1">
      <c r="A342" s="74"/>
      <c r="B342" s="810" t="s">
        <v>510</v>
      </c>
      <c r="C342" s="193"/>
      <c r="D342" s="193"/>
      <c r="E342" s="193"/>
      <c r="F342" s="193"/>
      <c r="G342" s="193"/>
      <c r="H342" s="193"/>
      <c r="I342" s="193"/>
      <c r="J342" s="74"/>
      <c r="K342" s="74"/>
      <c r="L342" s="74"/>
      <c r="M342" s="74"/>
      <c r="N342" s="193"/>
      <c r="O342" s="74"/>
      <c r="P342" s="74"/>
      <c r="Q342" s="74"/>
      <c r="R342" s="74"/>
      <c r="S342" s="193"/>
      <c r="T342" s="74"/>
      <c r="U342" s="74"/>
      <c r="V342" s="74"/>
      <c r="W342" s="74"/>
      <c r="X342" s="193"/>
      <c r="Y342" s="74"/>
      <c r="Z342" s="74"/>
      <c r="AA342" s="74"/>
      <c r="AB342" s="74"/>
      <c r="AC342" s="193"/>
      <c r="AD342" s="74"/>
      <c r="AE342" s="74"/>
      <c r="AF342" s="74"/>
      <c r="AG342" s="74"/>
      <c r="AH342" s="193"/>
      <c r="AI342" s="74"/>
      <c r="AJ342" s="74"/>
      <c r="AK342" s="74"/>
      <c r="AL342" s="74"/>
      <c r="AM342" s="193"/>
      <c r="AN342" s="74"/>
      <c r="AO342" s="74"/>
      <c r="AP342" s="74"/>
      <c r="AQ342" s="74"/>
      <c r="AR342" s="193"/>
      <c r="AS342" s="74"/>
      <c r="AT342" s="74"/>
      <c r="AU342" s="74"/>
      <c r="AV342" s="74"/>
      <c r="AW342" s="809"/>
      <c r="AX342" s="808"/>
      <c r="AY342" s="808"/>
      <c r="AZ342" s="808"/>
      <c r="BA342" s="808"/>
      <c r="BB342" s="809">
        <v>0.04</v>
      </c>
      <c r="BC342" s="808"/>
      <c r="BD342" s="808"/>
      <c r="BE342" s="808"/>
      <c r="BF342" s="808"/>
      <c r="BG342" s="809">
        <v>0.03</v>
      </c>
      <c r="BH342" s="808"/>
      <c r="BI342" s="808"/>
      <c r="BJ342" s="808"/>
      <c r="BK342" s="808"/>
      <c r="BL342" s="809">
        <v>0.03</v>
      </c>
      <c r="BM342" s="808"/>
      <c r="BN342" s="808"/>
      <c r="BO342" s="808"/>
      <c r="BP342" s="808"/>
      <c r="BQ342" s="916">
        <v>0.02</v>
      </c>
      <c r="BR342" s="917"/>
      <c r="BS342" s="917"/>
      <c r="BT342" s="917"/>
      <c r="BU342" s="917"/>
      <c r="BV342" s="916">
        <f>+BV260</f>
        <v>2.0471391864313584E-2</v>
      </c>
      <c r="BW342" s="808"/>
      <c r="BX342" s="808"/>
      <c r="BY342" s="808"/>
      <c r="BZ342" s="808"/>
      <c r="CA342" s="916">
        <f>+CA260</f>
        <v>1.5997087544971731E-2</v>
      </c>
      <c r="CB342" s="808"/>
      <c r="CC342" s="808"/>
      <c r="CD342" s="808"/>
      <c r="CE342" s="808"/>
      <c r="CF342" s="809">
        <f t="shared" si="686"/>
        <v>1.5997087544971731E-2</v>
      </c>
      <c r="CG342" s="808"/>
      <c r="CH342" s="808"/>
      <c r="CI342" s="808"/>
      <c r="CJ342" s="808"/>
      <c r="CK342" s="809">
        <f t="shared" si="676"/>
        <v>1.5997087544971731E-2</v>
      </c>
      <c r="CL342" s="808"/>
      <c r="CM342" s="808"/>
      <c r="CN342" s="808"/>
      <c r="CO342" s="808"/>
      <c r="CP342" s="809">
        <f t="shared" si="677"/>
        <v>1.5997087544971731E-2</v>
      </c>
      <c r="CQ342" s="808"/>
      <c r="CR342" s="808"/>
      <c r="CS342" s="808"/>
      <c r="CT342" s="808"/>
      <c r="CU342" s="809">
        <f t="shared" si="678"/>
        <v>1.5997087544971731E-2</v>
      </c>
      <c r="CV342" s="808"/>
      <c r="CW342" s="808"/>
      <c r="CX342" s="808"/>
      <c r="CY342" s="808"/>
      <c r="CZ342" s="809">
        <f t="shared" si="679"/>
        <v>1.5997087544971731E-2</v>
      </c>
      <c r="DA342" s="808"/>
      <c r="DB342" s="808"/>
      <c r="DC342" s="808"/>
      <c r="DD342" s="808"/>
      <c r="DE342" s="809">
        <f t="shared" si="680"/>
        <v>1.5997087544971731E-2</v>
      </c>
      <c r="DF342" s="1021"/>
      <c r="DG342" s="1021"/>
      <c r="DH342" s="1021"/>
      <c r="DI342" s="808"/>
      <c r="DJ342" s="809">
        <f t="shared" si="681"/>
        <v>1.5997087544971731E-2</v>
      </c>
      <c r="DK342" s="1021"/>
      <c r="DL342" s="1021"/>
      <c r="DM342" s="1021"/>
      <c r="DN342" s="808"/>
      <c r="DO342" s="809">
        <f t="shared" si="682"/>
        <v>1.5997087544971731E-2</v>
      </c>
      <c r="DP342" s="1021"/>
      <c r="DQ342" s="1021"/>
      <c r="DR342" s="1021"/>
      <c r="DS342" s="808"/>
      <c r="DT342" s="809">
        <f t="shared" si="683"/>
        <v>1.5997087544971731E-2</v>
      </c>
      <c r="DU342" s="1021"/>
      <c r="DV342" s="1021"/>
      <c r="DW342" s="1021"/>
      <c r="DX342" s="808"/>
      <c r="DY342" s="809">
        <f t="shared" si="684"/>
        <v>1.5997087544971731E-2</v>
      </c>
      <c r="DZ342" s="809">
        <f t="shared" si="687"/>
        <v>1.5997087544971731E-2</v>
      </c>
      <c r="EA342" s="809">
        <f t="shared" si="685"/>
        <v>1.5997087544971731E-2</v>
      </c>
      <c r="EB342" s="809">
        <f t="shared" si="685"/>
        <v>1.5997087544971731E-2</v>
      </c>
    </row>
    <row r="343" spans="1:132" s="102" customFormat="1">
      <c r="A343" s="74"/>
      <c r="B343" s="810" t="s">
        <v>511</v>
      </c>
      <c r="C343" s="193"/>
      <c r="D343" s="193"/>
      <c r="E343" s="193"/>
      <c r="F343" s="193"/>
      <c r="G343" s="193"/>
      <c r="H343" s="193"/>
      <c r="I343" s="193"/>
      <c r="J343" s="74"/>
      <c r="K343" s="74"/>
      <c r="L343" s="74"/>
      <c r="M343" s="74"/>
      <c r="N343" s="193"/>
      <c r="O343" s="74"/>
      <c r="P343" s="74"/>
      <c r="Q343" s="74"/>
      <c r="R343" s="74"/>
      <c r="S343" s="193"/>
      <c r="T343" s="74"/>
      <c r="U343" s="74"/>
      <c r="V343" s="74"/>
      <c r="W343" s="74"/>
      <c r="X343" s="193"/>
      <c r="Y343" s="74"/>
      <c r="Z343" s="74"/>
      <c r="AA343" s="74"/>
      <c r="AB343" s="74"/>
      <c r="AC343" s="193"/>
      <c r="AD343" s="74"/>
      <c r="AE343" s="74"/>
      <c r="AF343" s="74"/>
      <c r="AG343" s="74"/>
      <c r="AH343" s="193"/>
      <c r="AI343" s="74"/>
      <c r="AJ343" s="74"/>
      <c r="AK343" s="74"/>
      <c r="AL343" s="74"/>
      <c r="AM343" s="193"/>
      <c r="AN343" s="74"/>
      <c r="AO343" s="74"/>
      <c r="AP343" s="74"/>
      <c r="AQ343" s="74"/>
      <c r="AR343" s="193"/>
      <c r="AS343" s="74"/>
      <c r="AT343" s="74"/>
      <c r="AU343" s="74"/>
      <c r="AV343" s="74"/>
      <c r="AW343" s="809"/>
      <c r="AX343" s="808"/>
      <c r="AY343" s="808"/>
      <c r="AZ343" s="808"/>
      <c r="BA343" s="808"/>
      <c r="BB343" s="809">
        <v>0</v>
      </c>
      <c r="BC343" s="808"/>
      <c r="BD343" s="808"/>
      <c r="BE343" s="808"/>
      <c r="BF343" s="808"/>
      <c r="BG343" s="809">
        <v>0</v>
      </c>
      <c r="BH343" s="808"/>
      <c r="BI343" s="808"/>
      <c r="BJ343" s="808"/>
      <c r="BK343" s="808"/>
      <c r="BL343" s="809">
        <v>0</v>
      </c>
      <c r="BM343" s="808"/>
      <c r="BN343" s="808"/>
      <c r="BO343" s="808"/>
      <c r="BP343" s="808"/>
      <c r="BQ343" s="809">
        <v>0</v>
      </c>
      <c r="BR343" s="808"/>
      <c r="BS343" s="808"/>
      <c r="BT343" s="808"/>
      <c r="BU343" s="808"/>
      <c r="BV343" s="809">
        <f t="shared" si="688"/>
        <v>0</v>
      </c>
      <c r="BW343" s="808"/>
      <c r="BX343" s="808"/>
      <c r="BY343" s="808"/>
      <c r="BZ343" s="808"/>
      <c r="CA343" s="809">
        <f t="shared" si="689"/>
        <v>0</v>
      </c>
      <c r="CB343" s="808"/>
      <c r="CC343" s="808"/>
      <c r="CD343" s="808"/>
      <c r="CE343" s="808"/>
      <c r="CF343" s="809">
        <f t="shared" si="686"/>
        <v>0</v>
      </c>
      <c r="CG343" s="808"/>
      <c r="CH343" s="808"/>
      <c r="CI343" s="808"/>
      <c r="CJ343" s="808"/>
      <c r="CK343" s="809">
        <f t="shared" si="676"/>
        <v>0</v>
      </c>
      <c r="CL343" s="808"/>
      <c r="CM343" s="808"/>
      <c r="CN343" s="808"/>
      <c r="CO343" s="808"/>
      <c r="CP343" s="809">
        <f t="shared" si="677"/>
        <v>0</v>
      </c>
      <c r="CQ343" s="808"/>
      <c r="CR343" s="808"/>
      <c r="CS343" s="808"/>
      <c r="CT343" s="808"/>
      <c r="CU343" s="809">
        <f t="shared" si="678"/>
        <v>0</v>
      </c>
      <c r="CV343" s="808"/>
      <c r="CW343" s="808"/>
      <c r="CX343" s="808"/>
      <c r="CY343" s="808"/>
      <c r="CZ343" s="809">
        <f t="shared" si="679"/>
        <v>0</v>
      </c>
      <c r="DA343" s="808"/>
      <c r="DB343" s="808"/>
      <c r="DC343" s="808"/>
      <c r="DD343" s="808"/>
      <c r="DE343" s="809">
        <f t="shared" si="680"/>
        <v>0</v>
      </c>
      <c r="DF343" s="1021"/>
      <c r="DG343" s="1021"/>
      <c r="DH343" s="1021"/>
      <c r="DI343" s="808"/>
      <c r="DJ343" s="809">
        <f t="shared" si="681"/>
        <v>0</v>
      </c>
      <c r="DK343" s="1021"/>
      <c r="DL343" s="1021"/>
      <c r="DM343" s="1021"/>
      <c r="DN343" s="808"/>
      <c r="DO343" s="809">
        <f t="shared" si="682"/>
        <v>0</v>
      </c>
      <c r="DP343" s="1021"/>
      <c r="DQ343" s="1021"/>
      <c r="DR343" s="1021"/>
      <c r="DS343" s="808"/>
      <c r="DT343" s="809">
        <f t="shared" si="683"/>
        <v>0</v>
      </c>
      <c r="DU343" s="1021"/>
      <c r="DV343" s="1021"/>
      <c r="DW343" s="1021"/>
      <c r="DX343" s="808"/>
      <c r="DY343" s="809">
        <f t="shared" si="684"/>
        <v>0</v>
      </c>
      <c r="DZ343" s="809">
        <f t="shared" si="687"/>
        <v>0</v>
      </c>
      <c r="EA343" s="809">
        <f t="shared" si="685"/>
        <v>0</v>
      </c>
      <c r="EB343" s="809">
        <f t="shared" si="685"/>
        <v>0</v>
      </c>
    </row>
    <row r="344" spans="1:132" s="102" customFormat="1">
      <c r="A344" s="74"/>
      <c r="B344" s="810" t="s">
        <v>512</v>
      </c>
      <c r="C344" s="193"/>
      <c r="D344" s="193"/>
      <c r="E344" s="193"/>
      <c r="F344" s="193"/>
      <c r="G344" s="193"/>
      <c r="H344" s="193"/>
      <c r="I344" s="193"/>
      <c r="J344" s="74"/>
      <c r="K344" s="74"/>
      <c r="L344" s="74"/>
      <c r="M344" s="74"/>
      <c r="N344" s="193"/>
      <c r="O344" s="74"/>
      <c r="P344" s="74"/>
      <c r="Q344" s="74"/>
      <c r="R344" s="74"/>
      <c r="S344" s="193"/>
      <c r="T344" s="74"/>
      <c r="U344" s="74"/>
      <c r="V344" s="74"/>
      <c r="W344" s="74"/>
      <c r="X344" s="193"/>
      <c r="Y344" s="74"/>
      <c r="Z344" s="74"/>
      <c r="AA344" s="74"/>
      <c r="AB344" s="74"/>
      <c r="AC344" s="193"/>
      <c r="AD344" s="74"/>
      <c r="AE344" s="74"/>
      <c r="AF344" s="74"/>
      <c r="AG344" s="74"/>
      <c r="AH344" s="193"/>
      <c r="AI344" s="74"/>
      <c r="AJ344" s="74"/>
      <c r="AK344" s="74"/>
      <c r="AL344" s="74"/>
      <c r="AM344" s="193"/>
      <c r="AN344" s="74"/>
      <c r="AO344" s="74"/>
      <c r="AP344" s="74"/>
      <c r="AQ344" s="74"/>
      <c r="AR344" s="193"/>
      <c r="AS344" s="74"/>
      <c r="AT344" s="74"/>
      <c r="AU344" s="74"/>
      <c r="AV344" s="74"/>
      <c r="AW344" s="809"/>
      <c r="AX344" s="808"/>
      <c r="AY344" s="808"/>
      <c r="AZ344" s="808"/>
      <c r="BA344" s="808"/>
      <c r="BB344" s="809">
        <v>0</v>
      </c>
      <c r="BC344" s="808"/>
      <c r="BD344" s="808"/>
      <c r="BE344" s="808"/>
      <c r="BF344" s="808"/>
      <c r="BG344" s="809">
        <v>0</v>
      </c>
      <c r="BH344" s="808"/>
      <c r="BI344" s="808"/>
      <c r="BJ344" s="808"/>
      <c r="BK344" s="808"/>
      <c r="BL344" s="809">
        <v>0</v>
      </c>
      <c r="BM344" s="808"/>
      <c r="BN344" s="808"/>
      <c r="BO344" s="808"/>
      <c r="BP344" s="808"/>
      <c r="BQ344" s="809">
        <v>0</v>
      </c>
      <c r="BR344" s="808"/>
      <c r="BS344" s="808"/>
      <c r="BT344" s="808"/>
      <c r="BU344" s="808"/>
      <c r="BV344" s="809">
        <f t="shared" si="688"/>
        <v>0</v>
      </c>
      <c r="BW344" s="808"/>
      <c r="BX344" s="808"/>
      <c r="BY344" s="808"/>
      <c r="BZ344" s="808"/>
      <c r="CA344" s="809">
        <f t="shared" si="689"/>
        <v>0</v>
      </c>
      <c r="CB344" s="808"/>
      <c r="CC344" s="808"/>
      <c r="CD344" s="808"/>
      <c r="CE344" s="808"/>
      <c r="CF344" s="809">
        <f t="shared" si="686"/>
        <v>0</v>
      </c>
      <c r="CG344" s="808"/>
      <c r="CH344" s="808"/>
      <c r="CI344" s="808"/>
      <c r="CJ344" s="808"/>
      <c r="CK344" s="809">
        <f t="shared" si="676"/>
        <v>0</v>
      </c>
      <c r="CL344" s="808"/>
      <c r="CM344" s="808"/>
      <c r="CN344" s="808"/>
      <c r="CO344" s="808"/>
      <c r="CP344" s="809">
        <f t="shared" si="677"/>
        <v>0</v>
      </c>
      <c r="CQ344" s="808"/>
      <c r="CR344" s="808"/>
      <c r="CS344" s="808"/>
      <c r="CT344" s="808"/>
      <c r="CU344" s="809">
        <f t="shared" si="678"/>
        <v>0</v>
      </c>
      <c r="CV344" s="808"/>
      <c r="CW344" s="808"/>
      <c r="CX344" s="808"/>
      <c r="CY344" s="808"/>
      <c r="CZ344" s="809">
        <f t="shared" si="679"/>
        <v>0</v>
      </c>
      <c r="DA344" s="808"/>
      <c r="DB344" s="808"/>
      <c r="DC344" s="808"/>
      <c r="DD344" s="808"/>
      <c r="DE344" s="809">
        <f t="shared" si="680"/>
        <v>0</v>
      </c>
      <c r="DF344" s="1021"/>
      <c r="DG344" s="1021"/>
      <c r="DH344" s="1021"/>
      <c r="DI344" s="808"/>
      <c r="DJ344" s="809">
        <f t="shared" si="681"/>
        <v>0</v>
      </c>
      <c r="DK344" s="1021"/>
      <c r="DL344" s="1021"/>
      <c r="DM344" s="1021"/>
      <c r="DN344" s="808"/>
      <c r="DO344" s="809">
        <f t="shared" si="682"/>
        <v>0</v>
      </c>
      <c r="DP344" s="1021"/>
      <c r="DQ344" s="1021"/>
      <c r="DR344" s="1021"/>
      <c r="DS344" s="808"/>
      <c r="DT344" s="809">
        <f t="shared" si="683"/>
        <v>0</v>
      </c>
      <c r="DU344" s="1021"/>
      <c r="DV344" s="1021"/>
      <c r="DW344" s="1021"/>
      <c r="DX344" s="808"/>
      <c r="DY344" s="809">
        <f t="shared" si="684"/>
        <v>0</v>
      </c>
      <c r="DZ344" s="809">
        <f t="shared" si="687"/>
        <v>0</v>
      </c>
      <c r="EA344" s="809">
        <f t="shared" si="685"/>
        <v>0</v>
      </c>
      <c r="EB344" s="809">
        <f t="shared" si="685"/>
        <v>0</v>
      </c>
    </row>
    <row r="345" spans="1:132" s="102" customFormat="1">
      <c r="A345" s="74"/>
      <c r="B345" s="810" t="s">
        <v>513</v>
      </c>
      <c r="C345" s="193"/>
      <c r="D345" s="193"/>
      <c r="E345" s="193"/>
      <c r="F345" s="193"/>
      <c r="G345" s="193"/>
      <c r="H345" s="193"/>
      <c r="I345" s="193"/>
      <c r="J345" s="74"/>
      <c r="K345" s="74"/>
      <c r="L345" s="74"/>
      <c r="M345" s="74"/>
      <c r="N345" s="193"/>
      <c r="O345" s="74"/>
      <c r="P345" s="74"/>
      <c r="Q345" s="74"/>
      <c r="R345" s="74"/>
      <c r="S345" s="193"/>
      <c r="T345" s="74"/>
      <c r="U345" s="74"/>
      <c r="V345" s="74"/>
      <c r="W345" s="74"/>
      <c r="X345" s="193"/>
      <c r="Y345" s="74"/>
      <c r="Z345" s="74"/>
      <c r="AA345" s="74"/>
      <c r="AB345" s="74"/>
      <c r="AC345" s="193"/>
      <c r="AD345" s="74"/>
      <c r="AE345" s="74"/>
      <c r="AF345" s="74"/>
      <c r="AG345" s="74"/>
      <c r="AH345" s="193"/>
      <c r="AI345" s="74"/>
      <c r="AJ345" s="74"/>
      <c r="AK345" s="74"/>
      <c r="AL345" s="74"/>
      <c r="AM345" s="193"/>
      <c r="AN345" s="74"/>
      <c r="AO345" s="74"/>
      <c r="AP345" s="74"/>
      <c r="AQ345" s="74"/>
      <c r="AR345" s="193"/>
      <c r="AS345" s="74"/>
      <c r="AT345" s="74"/>
      <c r="AU345" s="74"/>
      <c r="AV345" s="74"/>
      <c r="AW345" s="809"/>
      <c r="AX345" s="808"/>
      <c r="AY345" s="808"/>
      <c r="AZ345" s="808"/>
      <c r="BA345" s="808"/>
      <c r="BB345" s="809">
        <v>0.05</v>
      </c>
      <c r="BC345" s="808"/>
      <c r="BD345" s="808"/>
      <c r="BE345" s="808"/>
      <c r="BF345" s="808"/>
      <c r="BG345" s="809">
        <v>0</v>
      </c>
      <c r="BH345" s="808"/>
      <c r="BI345" s="808"/>
      <c r="BJ345" s="808"/>
      <c r="BK345" s="808"/>
      <c r="BL345" s="809">
        <v>0</v>
      </c>
      <c r="BM345" s="808"/>
      <c r="BN345" s="808"/>
      <c r="BO345" s="808"/>
      <c r="BP345" s="808"/>
      <c r="BQ345" s="809">
        <v>0</v>
      </c>
      <c r="BR345" s="808"/>
      <c r="BS345" s="808"/>
      <c r="BT345" s="808"/>
      <c r="BU345" s="808"/>
      <c r="BV345" s="809">
        <f t="shared" si="688"/>
        <v>0</v>
      </c>
      <c r="BW345" s="808"/>
      <c r="BX345" s="808"/>
      <c r="BY345" s="808"/>
      <c r="BZ345" s="808"/>
      <c r="CA345" s="809">
        <f t="shared" si="689"/>
        <v>0</v>
      </c>
      <c r="CB345" s="808"/>
      <c r="CC345" s="808"/>
      <c r="CD345" s="808"/>
      <c r="CE345" s="808"/>
      <c r="CF345" s="809">
        <f t="shared" si="686"/>
        <v>0</v>
      </c>
      <c r="CG345" s="808"/>
      <c r="CH345" s="808"/>
      <c r="CI345" s="808"/>
      <c r="CJ345" s="808"/>
      <c r="CK345" s="809">
        <f t="shared" si="676"/>
        <v>0</v>
      </c>
      <c r="CL345" s="808"/>
      <c r="CM345" s="808"/>
      <c r="CN345" s="808"/>
      <c r="CO345" s="808"/>
      <c r="CP345" s="809">
        <f t="shared" si="677"/>
        <v>0</v>
      </c>
      <c r="CQ345" s="808"/>
      <c r="CR345" s="808"/>
      <c r="CS345" s="808"/>
      <c r="CT345" s="808"/>
      <c r="CU345" s="809">
        <f t="shared" si="678"/>
        <v>0</v>
      </c>
      <c r="CV345" s="808"/>
      <c r="CW345" s="808"/>
      <c r="CX345" s="808"/>
      <c r="CY345" s="808"/>
      <c r="CZ345" s="809">
        <f t="shared" si="679"/>
        <v>0</v>
      </c>
      <c r="DA345" s="808"/>
      <c r="DB345" s="808"/>
      <c r="DC345" s="808"/>
      <c r="DD345" s="808"/>
      <c r="DE345" s="809">
        <f t="shared" si="680"/>
        <v>0</v>
      </c>
      <c r="DF345" s="1021"/>
      <c r="DG345" s="1021"/>
      <c r="DH345" s="1021"/>
      <c r="DI345" s="808"/>
      <c r="DJ345" s="809">
        <f t="shared" si="681"/>
        <v>0</v>
      </c>
      <c r="DK345" s="1021"/>
      <c r="DL345" s="1021"/>
      <c r="DM345" s="1021"/>
      <c r="DN345" s="808"/>
      <c r="DO345" s="809">
        <f t="shared" si="682"/>
        <v>0</v>
      </c>
      <c r="DP345" s="1021"/>
      <c r="DQ345" s="1021"/>
      <c r="DR345" s="1021"/>
      <c r="DS345" s="808"/>
      <c r="DT345" s="809">
        <f t="shared" si="683"/>
        <v>0</v>
      </c>
      <c r="DU345" s="1021"/>
      <c r="DV345" s="1021"/>
      <c r="DW345" s="1021"/>
      <c r="DX345" s="808"/>
      <c r="DY345" s="809">
        <f t="shared" si="684"/>
        <v>0</v>
      </c>
      <c r="DZ345" s="809">
        <f t="shared" si="687"/>
        <v>0</v>
      </c>
      <c r="EA345" s="809">
        <f t="shared" si="685"/>
        <v>0</v>
      </c>
      <c r="EB345" s="809">
        <f t="shared" si="685"/>
        <v>0</v>
      </c>
    </row>
    <row r="346" spans="1:132" s="102" customFormat="1">
      <c r="A346" s="74"/>
      <c r="B346" s="810" t="s">
        <v>514</v>
      </c>
      <c r="C346" s="193"/>
      <c r="D346" s="193"/>
      <c r="E346" s="193"/>
      <c r="F346" s="193"/>
      <c r="G346" s="193"/>
      <c r="H346" s="193"/>
      <c r="I346" s="193"/>
      <c r="J346" s="74"/>
      <c r="K346" s="74"/>
      <c r="L346" s="74"/>
      <c r="M346" s="74"/>
      <c r="N346" s="193"/>
      <c r="O346" s="74"/>
      <c r="P346" s="74"/>
      <c r="Q346" s="74"/>
      <c r="R346" s="74"/>
      <c r="S346" s="193"/>
      <c r="T346" s="74"/>
      <c r="U346" s="74"/>
      <c r="V346" s="74"/>
      <c r="W346" s="74"/>
      <c r="X346" s="193"/>
      <c r="Y346" s="74"/>
      <c r="Z346" s="74"/>
      <c r="AA346" s="74"/>
      <c r="AB346" s="74"/>
      <c r="AC346" s="193"/>
      <c r="AD346" s="74"/>
      <c r="AE346" s="74"/>
      <c r="AF346" s="74"/>
      <c r="AG346" s="74"/>
      <c r="AH346" s="193"/>
      <c r="AI346" s="74"/>
      <c r="AJ346" s="74"/>
      <c r="AK346" s="74"/>
      <c r="AL346" s="74"/>
      <c r="AM346" s="193"/>
      <c r="AN346" s="74"/>
      <c r="AO346" s="74"/>
      <c r="AP346" s="74"/>
      <c r="AQ346" s="74"/>
      <c r="AR346" s="193"/>
      <c r="AS346" s="74"/>
      <c r="AT346" s="74"/>
      <c r="AU346" s="74"/>
      <c r="AV346" s="74"/>
      <c r="AW346" s="809"/>
      <c r="AX346" s="808"/>
      <c r="AY346" s="808"/>
      <c r="AZ346" s="808"/>
      <c r="BA346" s="808"/>
      <c r="BB346" s="809">
        <v>0.05</v>
      </c>
      <c r="BC346" s="808"/>
      <c r="BD346" s="808"/>
      <c r="BE346" s="808"/>
      <c r="BF346" s="808"/>
      <c r="BG346" s="809">
        <v>0</v>
      </c>
      <c r="BH346" s="808"/>
      <c r="BI346" s="808"/>
      <c r="BJ346" s="808"/>
      <c r="BK346" s="808"/>
      <c r="BL346" s="809">
        <v>0</v>
      </c>
      <c r="BM346" s="808"/>
      <c r="BN346" s="808"/>
      <c r="BO346" s="808"/>
      <c r="BP346" s="808"/>
      <c r="BQ346" s="809">
        <v>0</v>
      </c>
      <c r="BR346" s="808"/>
      <c r="BS346" s="808"/>
      <c r="BT346" s="808"/>
      <c r="BU346" s="808"/>
      <c r="BV346" s="809">
        <f t="shared" si="688"/>
        <v>0</v>
      </c>
      <c r="BW346" s="808"/>
      <c r="BX346" s="808"/>
      <c r="BY346" s="808"/>
      <c r="BZ346" s="808"/>
      <c r="CA346" s="809">
        <f t="shared" si="689"/>
        <v>0</v>
      </c>
      <c r="CB346" s="808"/>
      <c r="CC346" s="808"/>
      <c r="CD346" s="808"/>
      <c r="CE346" s="808"/>
      <c r="CF346" s="809">
        <f t="shared" si="686"/>
        <v>0</v>
      </c>
      <c r="CG346" s="808"/>
      <c r="CH346" s="808"/>
      <c r="CI346" s="808"/>
      <c r="CJ346" s="808"/>
      <c r="CK346" s="809">
        <f t="shared" si="676"/>
        <v>0</v>
      </c>
      <c r="CL346" s="808"/>
      <c r="CM346" s="808"/>
      <c r="CN346" s="808"/>
      <c r="CO346" s="808"/>
      <c r="CP346" s="809">
        <f t="shared" si="677"/>
        <v>0</v>
      </c>
      <c r="CQ346" s="808"/>
      <c r="CR346" s="808"/>
      <c r="CS346" s="808"/>
      <c r="CT346" s="808"/>
      <c r="CU346" s="809">
        <f t="shared" si="678"/>
        <v>0</v>
      </c>
      <c r="CV346" s="808"/>
      <c r="CW346" s="808"/>
      <c r="CX346" s="808"/>
      <c r="CY346" s="808"/>
      <c r="CZ346" s="809">
        <f t="shared" si="679"/>
        <v>0</v>
      </c>
      <c r="DA346" s="808"/>
      <c r="DB346" s="808"/>
      <c r="DC346" s="808"/>
      <c r="DD346" s="808"/>
      <c r="DE346" s="809">
        <f t="shared" si="680"/>
        <v>0</v>
      </c>
      <c r="DF346" s="1021"/>
      <c r="DG346" s="1021"/>
      <c r="DH346" s="1021"/>
      <c r="DI346" s="808"/>
      <c r="DJ346" s="809">
        <f t="shared" si="681"/>
        <v>0</v>
      </c>
      <c r="DK346" s="1021"/>
      <c r="DL346" s="1021"/>
      <c r="DM346" s="1021"/>
      <c r="DN346" s="808"/>
      <c r="DO346" s="809">
        <f t="shared" si="682"/>
        <v>0</v>
      </c>
      <c r="DP346" s="1021"/>
      <c r="DQ346" s="1021"/>
      <c r="DR346" s="1021"/>
      <c r="DS346" s="808"/>
      <c r="DT346" s="809">
        <f t="shared" si="683"/>
        <v>0</v>
      </c>
      <c r="DU346" s="1021"/>
      <c r="DV346" s="1021"/>
      <c r="DW346" s="1021"/>
      <c r="DX346" s="808"/>
      <c r="DY346" s="809">
        <f t="shared" si="684"/>
        <v>0</v>
      </c>
      <c r="DZ346" s="809">
        <f t="shared" si="687"/>
        <v>0</v>
      </c>
      <c r="EA346" s="809">
        <f t="shared" si="685"/>
        <v>0</v>
      </c>
      <c r="EB346" s="809">
        <f t="shared" si="685"/>
        <v>0</v>
      </c>
    </row>
    <row r="347" spans="1:132" s="102" customFormat="1">
      <c r="A347" s="74"/>
      <c r="B347" s="810" t="s">
        <v>515</v>
      </c>
      <c r="C347" s="193"/>
      <c r="D347" s="193"/>
      <c r="E347" s="193"/>
      <c r="F347" s="193"/>
      <c r="G347" s="193"/>
      <c r="H347" s="193"/>
      <c r="I347" s="193"/>
      <c r="J347" s="74"/>
      <c r="K347" s="74"/>
      <c r="L347" s="74"/>
      <c r="M347" s="74"/>
      <c r="N347" s="193"/>
      <c r="O347" s="74"/>
      <c r="P347" s="74"/>
      <c r="Q347" s="74"/>
      <c r="R347" s="74"/>
      <c r="S347" s="193"/>
      <c r="T347" s="74"/>
      <c r="U347" s="74"/>
      <c r="V347" s="74"/>
      <c r="W347" s="74"/>
      <c r="X347" s="193"/>
      <c r="Y347" s="74"/>
      <c r="Z347" s="74"/>
      <c r="AA347" s="74"/>
      <c r="AB347" s="74"/>
      <c r="AC347" s="193"/>
      <c r="AD347" s="74"/>
      <c r="AE347" s="74"/>
      <c r="AF347" s="74"/>
      <c r="AG347" s="74"/>
      <c r="AH347" s="193"/>
      <c r="AI347" s="74"/>
      <c r="AJ347" s="74"/>
      <c r="AK347" s="74"/>
      <c r="AL347" s="74"/>
      <c r="AM347" s="193"/>
      <c r="AN347" s="74"/>
      <c r="AO347" s="74"/>
      <c r="AP347" s="74"/>
      <c r="AQ347" s="74"/>
      <c r="AR347" s="193"/>
      <c r="AS347" s="74"/>
      <c r="AT347" s="74"/>
      <c r="AU347" s="74"/>
      <c r="AV347" s="74"/>
      <c r="AW347" s="809"/>
      <c r="AX347" s="808"/>
      <c r="AY347" s="808"/>
      <c r="AZ347" s="808"/>
      <c r="BA347" s="808"/>
      <c r="BB347" s="809">
        <v>0</v>
      </c>
      <c r="BC347" s="808"/>
      <c r="BD347" s="808"/>
      <c r="BE347" s="808"/>
      <c r="BF347" s="808"/>
      <c r="BG347" s="809">
        <v>0</v>
      </c>
      <c r="BH347" s="808"/>
      <c r="BI347" s="808"/>
      <c r="BJ347" s="808"/>
      <c r="BK347" s="808"/>
      <c r="BL347" s="809">
        <v>0</v>
      </c>
      <c r="BM347" s="808"/>
      <c r="BN347" s="808"/>
      <c r="BO347" s="808"/>
      <c r="BP347" s="808"/>
      <c r="BQ347" s="809">
        <v>0</v>
      </c>
      <c r="BR347" s="808"/>
      <c r="BS347" s="808"/>
      <c r="BT347" s="808"/>
      <c r="BU347" s="808"/>
      <c r="BV347" s="809">
        <f t="shared" si="688"/>
        <v>0</v>
      </c>
      <c r="BW347" s="808"/>
      <c r="BX347" s="808"/>
      <c r="BY347" s="808"/>
      <c r="BZ347" s="808"/>
      <c r="CA347" s="809">
        <f t="shared" si="689"/>
        <v>0</v>
      </c>
      <c r="CB347" s="808"/>
      <c r="CC347" s="808"/>
      <c r="CD347" s="808"/>
      <c r="CE347" s="808"/>
      <c r="CF347" s="809">
        <f t="shared" si="686"/>
        <v>0</v>
      </c>
      <c r="CG347" s="808"/>
      <c r="CH347" s="808"/>
      <c r="CI347" s="808"/>
      <c r="CJ347" s="808"/>
      <c r="CK347" s="809">
        <f t="shared" si="676"/>
        <v>0</v>
      </c>
      <c r="CL347" s="808"/>
      <c r="CM347" s="808"/>
      <c r="CN347" s="808"/>
      <c r="CO347" s="808"/>
      <c r="CP347" s="809">
        <f t="shared" si="677"/>
        <v>0</v>
      </c>
      <c r="CQ347" s="808"/>
      <c r="CR347" s="808"/>
      <c r="CS347" s="808"/>
      <c r="CT347" s="808"/>
      <c r="CU347" s="809">
        <f t="shared" si="678"/>
        <v>0</v>
      </c>
      <c r="CV347" s="808"/>
      <c r="CW347" s="808"/>
      <c r="CX347" s="808"/>
      <c r="CY347" s="808"/>
      <c r="CZ347" s="809">
        <f t="shared" si="679"/>
        <v>0</v>
      </c>
      <c r="DA347" s="808"/>
      <c r="DB347" s="808"/>
      <c r="DC347" s="808"/>
      <c r="DD347" s="808"/>
      <c r="DE347" s="809">
        <f t="shared" si="680"/>
        <v>0</v>
      </c>
      <c r="DF347" s="1021"/>
      <c r="DG347" s="1021"/>
      <c r="DH347" s="1021"/>
      <c r="DI347" s="808"/>
      <c r="DJ347" s="809">
        <f t="shared" si="681"/>
        <v>0</v>
      </c>
      <c r="DK347" s="1021"/>
      <c r="DL347" s="1021"/>
      <c r="DM347" s="1021"/>
      <c r="DN347" s="808"/>
      <c r="DO347" s="809">
        <f t="shared" si="682"/>
        <v>0</v>
      </c>
      <c r="DP347" s="1021"/>
      <c r="DQ347" s="1021"/>
      <c r="DR347" s="1021"/>
      <c r="DS347" s="808"/>
      <c r="DT347" s="809">
        <f t="shared" si="683"/>
        <v>0</v>
      </c>
      <c r="DU347" s="1021"/>
      <c r="DV347" s="1021"/>
      <c r="DW347" s="1021"/>
      <c r="DX347" s="808"/>
      <c r="DY347" s="809">
        <f t="shared" si="684"/>
        <v>0</v>
      </c>
      <c r="DZ347" s="809">
        <f t="shared" si="687"/>
        <v>0</v>
      </c>
      <c r="EA347" s="809">
        <f t="shared" si="685"/>
        <v>0</v>
      </c>
      <c r="EB347" s="809">
        <f t="shared" si="685"/>
        <v>0</v>
      </c>
    </row>
    <row r="348" spans="1:132" s="102" customFormat="1">
      <c r="A348" s="74"/>
      <c r="B348" s="810" t="s">
        <v>516</v>
      </c>
      <c r="C348" s="193"/>
      <c r="D348" s="193"/>
      <c r="E348" s="193"/>
      <c r="F348" s="193"/>
      <c r="G348" s="193"/>
      <c r="H348" s="193"/>
      <c r="I348" s="193"/>
      <c r="J348" s="74"/>
      <c r="K348" s="74"/>
      <c r="L348" s="74"/>
      <c r="M348" s="74"/>
      <c r="N348" s="193"/>
      <c r="O348" s="74"/>
      <c r="P348" s="74"/>
      <c r="Q348" s="74"/>
      <c r="R348" s="74"/>
      <c r="S348" s="193"/>
      <c r="T348" s="74"/>
      <c r="U348" s="74"/>
      <c r="V348" s="74"/>
      <c r="W348" s="74"/>
      <c r="X348" s="193"/>
      <c r="Y348" s="74"/>
      <c r="Z348" s="74"/>
      <c r="AA348" s="74"/>
      <c r="AB348" s="74"/>
      <c r="AC348" s="193"/>
      <c r="AD348" s="74"/>
      <c r="AE348" s="74"/>
      <c r="AF348" s="74"/>
      <c r="AG348" s="74"/>
      <c r="AH348" s="193"/>
      <c r="AI348" s="74"/>
      <c r="AJ348" s="74"/>
      <c r="AK348" s="74"/>
      <c r="AL348" s="74"/>
      <c r="AM348" s="193"/>
      <c r="AN348" s="74"/>
      <c r="AO348" s="74"/>
      <c r="AP348" s="74"/>
      <c r="AQ348" s="74"/>
      <c r="AR348" s="193"/>
      <c r="AS348" s="74"/>
      <c r="AT348" s="74"/>
      <c r="AU348" s="74"/>
      <c r="AV348" s="74"/>
      <c r="AW348" s="809"/>
      <c r="AX348" s="808"/>
      <c r="AY348" s="808"/>
      <c r="AZ348" s="808"/>
      <c r="BA348" s="808"/>
      <c r="BB348" s="809">
        <v>0</v>
      </c>
      <c r="BC348" s="808"/>
      <c r="BD348" s="808"/>
      <c r="BE348" s="808"/>
      <c r="BF348" s="808"/>
      <c r="BG348" s="809">
        <v>0</v>
      </c>
      <c r="BH348" s="808"/>
      <c r="BI348" s="808"/>
      <c r="BJ348" s="808"/>
      <c r="BK348" s="808"/>
      <c r="BL348" s="809">
        <v>0</v>
      </c>
      <c r="BM348" s="808"/>
      <c r="BN348" s="808"/>
      <c r="BO348" s="808"/>
      <c r="BP348" s="808"/>
      <c r="BQ348" s="809">
        <v>0</v>
      </c>
      <c r="BR348" s="808"/>
      <c r="BS348" s="808"/>
      <c r="BT348" s="808"/>
      <c r="BU348" s="808"/>
      <c r="BV348" s="809">
        <f t="shared" si="688"/>
        <v>0</v>
      </c>
      <c r="BW348" s="808"/>
      <c r="BX348" s="808"/>
      <c r="BY348" s="808"/>
      <c r="BZ348" s="808"/>
      <c r="CA348" s="809">
        <f t="shared" si="689"/>
        <v>0</v>
      </c>
      <c r="CB348" s="808"/>
      <c r="CC348" s="808"/>
      <c r="CD348" s="808"/>
      <c r="CE348" s="808"/>
      <c r="CF348" s="809">
        <f t="shared" si="686"/>
        <v>0</v>
      </c>
      <c r="CG348" s="808"/>
      <c r="CH348" s="808"/>
      <c r="CI348" s="808"/>
      <c r="CJ348" s="808"/>
      <c r="CK348" s="809">
        <f t="shared" si="676"/>
        <v>0</v>
      </c>
      <c r="CL348" s="808"/>
      <c r="CM348" s="808"/>
      <c r="CN348" s="808"/>
      <c r="CO348" s="808"/>
      <c r="CP348" s="809">
        <f t="shared" si="677"/>
        <v>0</v>
      </c>
      <c r="CQ348" s="808"/>
      <c r="CR348" s="808"/>
      <c r="CS348" s="808"/>
      <c r="CT348" s="808"/>
      <c r="CU348" s="809">
        <f t="shared" si="678"/>
        <v>0</v>
      </c>
      <c r="CV348" s="808"/>
      <c r="CW348" s="808"/>
      <c r="CX348" s="808"/>
      <c r="CY348" s="808"/>
      <c r="CZ348" s="809">
        <f t="shared" si="679"/>
        <v>0</v>
      </c>
      <c r="DA348" s="808"/>
      <c r="DB348" s="808"/>
      <c r="DC348" s="808"/>
      <c r="DD348" s="808"/>
      <c r="DE348" s="809">
        <f t="shared" si="680"/>
        <v>0</v>
      </c>
      <c r="DF348" s="1021"/>
      <c r="DG348" s="1021"/>
      <c r="DH348" s="1021"/>
      <c r="DI348" s="808"/>
      <c r="DJ348" s="809">
        <f t="shared" si="681"/>
        <v>0</v>
      </c>
      <c r="DK348" s="1021"/>
      <c r="DL348" s="1021"/>
      <c r="DM348" s="1021"/>
      <c r="DN348" s="808"/>
      <c r="DO348" s="809">
        <f t="shared" si="682"/>
        <v>0</v>
      </c>
      <c r="DP348" s="1021"/>
      <c r="DQ348" s="1021"/>
      <c r="DR348" s="1021"/>
      <c r="DS348" s="808"/>
      <c r="DT348" s="809">
        <f t="shared" si="683"/>
        <v>0</v>
      </c>
      <c r="DU348" s="1021"/>
      <c r="DV348" s="1021"/>
      <c r="DW348" s="1021"/>
      <c r="DX348" s="808"/>
      <c r="DY348" s="809">
        <f t="shared" si="684"/>
        <v>0</v>
      </c>
      <c r="DZ348" s="809">
        <f t="shared" si="687"/>
        <v>0</v>
      </c>
      <c r="EA348" s="809">
        <f t="shared" si="685"/>
        <v>0</v>
      </c>
      <c r="EB348" s="809">
        <f t="shared" si="685"/>
        <v>0</v>
      </c>
    </row>
    <row r="349" spans="1:132" s="102" customFormat="1">
      <c r="A349" s="74"/>
      <c r="B349" s="810" t="s">
        <v>517</v>
      </c>
      <c r="C349" s="193"/>
      <c r="D349" s="193"/>
      <c r="E349" s="193"/>
      <c r="F349" s="193"/>
      <c r="G349" s="193"/>
      <c r="H349" s="193"/>
      <c r="I349" s="193"/>
      <c r="J349" s="74"/>
      <c r="K349" s="74"/>
      <c r="L349" s="74"/>
      <c r="M349" s="74"/>
      <c r="N349" s="193"/>
      <c r="O349" s="74"/>
      <c r="P349" s="74"/>
      <c r="Q349" s="74"/>
      <c r="R349" s="74"/>
      <c r="S349" s="193"/>
      <c r="T349" s="74"/>
      <c r="U349" s="74"/>
      <c r="V349" s="74"/>
      <c r="W349" s="74"/>
      <c r="X349" s="193"/>
      <c r="Y349" s="74"/>
      <c r="Z349" s="74"/>
      <c r="AA349" s="74"/>
      <c r="AB349" s="74"/>
      <c r="AC349" s="193"/>
      <c r="AD349" s="74"/>
      <c r="AE349" s="74"/>
      <c r="AF349" s="74"/>
      <c r="AG349" s="74"/>
      <c r="AH349" s="193"/>
      <c r="AI349" s="74"/>
      <c r="AJ349" s="74"/>
      <c r="AK349" s="74"/>
      <c r="AL349" s="74"/>
      <c r="AM349" s="193"/>
      <c r="AN349" s="74"/>
      <c r="AO349" s="74"/>
      <c r="AP349" s="74"/>
      <c r="AQ349" s="74"/>
      <c r="AR349" s="193"/>
      <c r="AS349" s="74"/>
      <c r="AT349" s="74"/>
      <c r="AU349" s="74"/>
      <c r="AV349" s="74"/>
      <c r="AW349" s="809"/>
      <c r="AX349" s="808"/>
      <c r="AY349" s="808"/>
      <c r="AZ349" s="808"/>
      <c r="BA349" s="808"/>
      <c r="BB349" s="809">
        <v>0</v>
      </c>
      <c r="BC349" s="808"/>
      <c r="BD349" s="808"/>
      <c r="BE349" s="808"/>
      <c r="BF349" s="808"/>
      <c r="BG349" s="809">
        <v>0</v>
      </c>
      <c r="BH349" s="808"/>
      <c r="BI349" s="808"/>
      <c r="BJ349" s="808"/>
      <c r="BK349" s="808"/>
      <c r="BL349" s="809">
        <v>0</v>
      </c>
      <c r="BM349" s="808"/>
      <c r="BN349" s="808"/>
      <c r="BO349" s="808"/>
      <c r="BP349" s="808"/>
      <c r="BQ349" s="809">
        <v>0</v>
      </c>
      <c r="BR349" s="808"/>
      <c r="BS349" s="808"/>
      <c r="BT349" s="808"/>
      <c r="BU349" s="808"/>
      <c r="BV349" s="809">
        <f t="shared" si="688"/>
        <v>0</v>
      </c>
      <c r="BW349" s="808"/>
      <c r="BX349" s="808"/>
      <c r="BY349" s="808"/>
      <c r="BZ349" s="808"/>
      <c r="CA349" s="809">
        <f t="shared" si="689"/>
        <v>0</v>
      </c>
      <c r="CB349" s="808"/>
      <c r="CC349" s="808"/>
      <c r="CD349" s="808"/>
      <c r="CE349" s="808"/>
      <c r="CF349" s="809">
        <f t="shared" si="686"/>
        <v>0</v>
      </c>
      <c r="CG349" s="808"/>
      <c r="CH349" s="808"/>
      <c r="CI349" s="808"/>
      <c r="CJ349" s="808"/>
      <c r="CK349" s="809">
        <f t="shared" si="676"/>
        <v>0</v>
      </c>
      <c r="CL349" s="808"/>
      <c r="CM349" s="808"/>
      <c r="CN349" s="808"/>
      <c r="CO349" s="808"/>
      <c r="CP349" s="809">
        <f t="shared" si="677"/>
        <v>0</v>
      </c>
      <c r="CQ349" s="808"/>
      <c r="CR349" s="808"/>
      <c r="CS349" s="808"/>
      <c r="CT349" s="808"/>
      <c r="CU349" s="809">
        <f t="shared" si="678"/>
        <v>0</v>
      </c>
      <c r="CV349" s="808"/>
      <c r="CW349" s="808"/>
      <c r="CX349" s="808"/>
      <c r="CY349" s="808"/>
      <c r="CZ349" s="809">
        <f t="shared" si="679"/>
        <v>0</v>
      </c>
      <c r="DA349" s="808"/>
      <c r="DB349" s="808"/>
      <c r="DC349" s="808"/>
      <c r="DD349" s="808"/>
      <c r="DE349" s="809">
        <f t="shared" si="680"/>
        <v>0</v>
      </c>
      <c r="DF349" s="1021"/>
      <c r="DG349" s="1021"/>
      <c r="DH349" s="1021"/>
      <c r="DI349" s="808"/>
      <c r="DJ349" s="809">
        <f t="shared" si="681"/>
        <v>0</v>
      </c>
      <c r="DK349" s="1021"/>
      <c r="DL349" s="1021"/>
      <c r="DM349" s="1021"/>
      <c r="DN349" s="808"/>
      <c r="DO349" s="809">
        <f t="shared" si="682"/>
        <v>0</v>
      </c>
      <c r="DP349" s="1021"/>
      <c r="DQ349" s="1021"/>
      <c r="DR349" s="1021"/>
      <c r="DS349" s="808"/>
      <c r="DT349" s="809">
        <f t="shared" si="683"/>
        <v>0</v>
      </c>
      <c r="DU349" s="1021"/>
      <c r="DV349" s="1021"/>
      <c r="DW349" s="1021"/>
      <c r="DX349" s="808"/>
      <c r="DY349" s="809">
        <f t="shared" si="684"/>
        <v>0</v>
      </c>
      <c r="DZ349" s="809">
        <f t="shared" si="687"/>
        <v>0</v>
      </c>
      <c r="EA349" s="809">
        <f t="shared" ref="EA349:EA380" si="690">DZ349</f>
        <v>0</v>
      </c>
      <c r="EB349" s="809">
        <f t="shared" ref="EB349:EB380" si="691">EA349</f>
        <v>0</v>
      </c>
    </row>
    <row r="350" spans="1:132" s="102" customFormat="1">
      <c r="A350" s="74"/>
      <c r="B350" s="810" t="s">
        <v>518</v>
      </c>
      <c r="C350" s="193"/>
      <c r="D350" s="193"/>
      <c r="E350" s="193"/>
      <c r="F350" s="193"/>
      <c r="G350" s="193"/>
      <c r="H350" s="193"/>
      <c r="I350" s="193"/>
      <c r="J350" s="74"/>
      <c r="K350" s="74"/>
      <c r="L350" s="74"/>
      <c r="M350" s="74"/>
      <c r="N350" s="193"/>
      <c r="O350" s="74"/>
      <c r="P350" s="74"/>
      <c r="Q350" s="74"/>
      <c r="R350" s="74"/>
      <c r="S350" s="193"/>
      <c r="T350" s="74"/>
      <c r="U350" s="74"/>
      <c r="V350" s="74"/>
      <c r="W350" s="74"/>
      <c r="X350" s="193"/>
      <c r="Y350" s="74"/>
      <c r="Z350" s="74"/>
      <c r="AA350" s="74"/>
      <c r="AB350" s="74"/>
      <c r="AC350" s="193"/>
      <c r="AD350" s="74"/>
      <c r="AE350" s="74"/>
      <c r="AF350" s="74"/>
      <c r="AG350" s="74"/>
      <c r="AH350" s="193"/>
      <c r="AI350" s="74"/>
      <c r="AJ350" s="74"/>
      <c r="AK350" s="74"/>
      <c r="AL350" s="74"/>
      <c r="AM350" s="193"/>
      <c r="AN350" s="74"/>
      <c r="AO350" s="74"/>
      <c r="AP350" s="74"/>
      <c r="AQ350" s="74"/>
      <c r="AR350" s="193"/>
      <c r="AS350" s="74"/>
      <c r="AT350" s="74"/>
      <c r="AU350" s="74"/>
      <c r="AV350" s="74"/>
      <c r="AW350" s="809"/>
      <c r="AX350" s="808"/>
      <c r="AY350" s="808"/>
      <c r="AZ350" s="808"/>
      <c r="BA350" s="808"/>
      <c r="BB350" s="809">
        <v>0</v>
      </c>
      <c r="BC350" s="808"/>
      <c r="BD350" s="808"/>
      <c r="BE350" s="808"/>
      <c r="BF350" s="808"/>
      <c r="BG350" s="809">
        <v>0</v>
      </c>
      <c r="BH350" s="808"/>
      <c r="BI350" s="808"/>
      <c r="BJ350" s="808"/>
      <c r="BK350" s="808"/>
      <c r="BL350" s="809">
        <v>0</v>
      </c>
      <c r="BM350" s="808"/>
      <c r="BN350" s="808"/>
      <c r="BO350" s="808"/>
      <c r="BP350" s="808"/>
      <c r="BQ350" s="809">
        <v>0</v>
      </c>
      <c r="BR350" s="808"/>
      <c r="BS350" s="808"/>
      <c r="BT350" s="808"/>
      <c r="BU350" s="808"/>
      <c r="BV350" s="809">
        <f t="shared" si="688"/>
        <v>0</v>
      </c>
      <c r="BW350" s="808"/>
      <c r="BX350" s="808"/>
      <c r="BY350" s="808"/>
      <c r="BZ350" s="808"/>
      <c r="CA350" s="809">
        <f t="shared" si="689"/>
        <v>0</v>
      </c>
      <c r="CB350" s="808"/>
      <c r="CC350" s="808"/>
      <c r="CD350" s="808"/>
      <c r="CE350" s="808"/>
      <c r="CF350" s="809">
        <f t="shared" si="686"/>
        <v>0</v>
      </c>
      <c r="CG350" s="808"/>
      <c r="CH350" s="808"/>
      <c r="CI350" s="808"/>
      <c r="CJ350" s="808"/>
      <c r="CK350" s="809">
        <f t="shared" si="676"/>
        <v>0</v>
      </c>
      <c r="CL350" s="808"/>
      <c r="CM350" s="808"/>
      <c r="CN350" s="808"/>
      <c r="CO350" s="808"/>
      <c r="CP350" s="809">
        <f t="shared" si="677"/>
        <v>0</v>
      </c>
      <c r="CQ350" s="808"/>
      <c r="CR350" s="808"/>
      <c r="CS350" s="808"/>
      <c r="CT350" s="808"/>
      <c r="CU350" s="809">
        <f t="shared" si="678"/>
        <v>0</v>
      </c>
      <c r="CV350" s="808"/>
      <c r="CW350" s="808"/>
      <c r="CX350" s="808"/>
      <c r="CY350" s="808"/>
      <c r="CZ350" s="809">
        <f t="shared" si="679"/>
        <v>0</v>
      </c>
      <c r="DA350" s="808"/>
      <c r="DB350" s="808"/>
      <c r="DC350" s="808"/>
      <c r="DD350" s="808"/>
      <c r="DE350" s="809">
        <f t="shared" si="680"/>
        <v>0</v>
      </c>
      <c r="DF350" s="1021"/>
      <c r="DG350" s="1021"/>
      <c r="DH350" s="1021"/>
      <c r="DI350" s="808"/>
      <c r="DJ350" s="809">
        <f t="shared" si="681"/>
        <v>0</v>
      </c>
      <c r="DK350" s="1021"/>
      <c r="DL350" s="1021"/>
      <c r="DM350" s="1021"/>
      <c r="DN350" s="808"/>
      <c r="DO350" s="809">
        <f t="shared" si="682"/>
        <v>0</v>
      </c>
      <c r="DP350" s="1021"/>
      <c r="DQ350" s="1021"/>
      <c r="DR350" s="1021"/>
      <c r="DS350" s="808"/>
      <c r="DT350" s="809">
        <f t="shared" si="683"/>
        <v>0</v>
      </c>
      <c r="DU350" s="1021"/>
      <c r="DV350" s="1021"/>
      <c r="DW350" s="1021"/>
      <c r="DX350" s="808"/>
      <c r="DY350" s="809">
        <f t="shared" si="684"/>
        <v>0</v>
      </c>
      <c r="DZ350" s="809">
        <f t="shared" si="687"/>
        <v>0</v>
      </c>
      <c r="EA350" s="809">
        <f t="shared" si="690"/>
        <v>0</v>
      </c>
      <c r="EB350" s="809">
        <f t="shared" si="691"/>
        <v>0</v>
      </c>
    </row>
    <row r="351" spans="1:132" s="102" customFormat="1">
      <c r="A351" s="74"/>
      <c r="B351" s="810" t="s">
        <v>519</v>
      </c>
      <c r="C351" s="193"/>
      <c r="D351" s="193"/>
      <c r="E351" s="193"/>
      <c r="F351" s="193"/>
      <c r="G351" s="193"/>
      <c r="H351" s="193"/>
      <c r="I351" s="193"/>
      <c r="J351" s="74"/>
      <c r="K351" s="74"/>
      <c r="L351" s="74"/>
      <c r="M351" s="74"/>
      <c r="N351" s="193"/>
      <c r="O351" s="74"/>
      <c r="P351" s="74"/>
      <c r="Q351" s="74"/>
      <c r="R351" s="74"/>
      <c r="S351" s="193"/>
      <c r="T351" s="74"/>
      <c r="U351" s="74"/>
      <c r="V351" s="74"/>
      <c r="W351" s="74"/>
      <c r="X351" s="193"/>
      <c r="Y351" s="74"/>
      <c r="Z351" s="74"/>
      <c r="AA351" s="74"/>
      <c r="AB351" s="74"/>
      <c r="AC351" s="193"/>
      <c r="AD351" s="74"/>
      <c r="AE351" s="74"/>
      <c r="AF351" s="74"/>
      <c r="AG351" s="74"/>
      <c r="AH351" s="193"/>
      <c r="AI351" s="74"/>
      <c r="AJ351" s="74"/>
      <c r="AK351" s="74"/>
      <c r="AL351" s="74"/>
      <c r="AM351" s="193"/>
      <c r="AN351" s="74"/>
      <c r="AO351" s="74"/>
      <c r="AP351" s="74"/>
      <c r="AQ351" s="74"/>
      <c r="AR351" s="193"/>
      <c r="AS351" s="74"/>
      <c r="AT351" s="74"/>
      <c r="AU351" s="74"/>
      <c r="AV351" s="74"/>
      <c r="AW351" s="809"/>
      <c r="AX351" s="808"/>
      <c r="AY351" s="808"/>
      <c r="AZ351" s="808"/>
      <c r="BA351" s="808"/>
      <c r="BB351" s="809">
        <v>0</v>
      </c>
      <c r="BC351" s="808"/>
      <c r="BD351" s="808"/>
      <c r="BE351" s="808"/>
      <c r="BF351" s="808"/>
      <c r="BG351" s="809">
        <v>0</v>
      </c>
      <c r="BH351" s="808"/>
      <c r="BI351" s="808"/>
      <c r="BJ351" s="808"/>
      <c r="BK351" s="808"/>
      <c r="BL351" s="809">
        <v>0</v>
      </c>
      <c r="BM351" s="808"/>
      <c r="BN351" s="808"/>
      <c r="BO351" s="808"/>
      <c r="BP351" s="808"/>
      <c r="BQ351" s="809">
        <v>0</v>
      </c>
      <c r="BR351" s="808"/>
      <c r="BS351" s="808"/>
      <c r="BT351" s="808"/>
      <c r="BU351" s="808"/>
      <c r="BV351" s="809">
        <f t="shared" si="688"/>
        <v>0</v>
      </c>
      <c r="BW351" s="808"/>
      <c r="BX351" s="808"/>
      <c r="BY351" s="808"/>
      <c r="BZ351" s="808"/>
      <c r="CA351" s="809">
        <f t="shared" si="689"/>
        <v>0</v>
      </c>
      <c r="CB351" s="808"/>
      <c r="CC351" s="808"/>
      <c r="CD351" s="808"/>
      <c r="CE351" s="808"/>
      <c r="CF351" s="809">
        <f t="shared" si="686"/>
        <v>0</v>
      </c>
      <c r="CG351" s="808"/>
      <c r="CH351" s="808"/>
      <c r="CI351" s="808"/>
      <c r="CJ351" s="808"/>
      <c r="CK351" s="809">
        <f t="shared" si="676"/>
        <v>0</v>
      </c>
      <c r="CL351" s="808"/>
      <c r="CM351" s="808"/>
      <c r="CN351" s="808"/>
      <c r="CO351" s="808"/>
      <c r="CP351" s="809">
        <f t="shared" si="677"/>
        <v>0</v>
      </c>
      <c r="CQ351" s="808"/>
      <c r="CR351" s="808"/>
      <c r="CS351" s="808"/>
      <c r="CT351" s="808"/>
      <c r="CU351" s="809">
        <f t="shared" si="678"/>
        <v>0</v>
      </c>
      <c r="CV351" s="808"/>
      <c r="CW351" s="808"/>
      <c r="CX351" s="808"/>
      <c r="CY351" s="808"/>
      <c r="CZ351" s="809">
        <f t="shared" si="679"/>
        <v>0</v>
      </c>
      <c r="DA351" s="808"/>
      <c r="DB351" s="808"/>
      <c r="DC351" s="808"/>
      <c r="DD351" s="808"/>
      <c r="DE351" s="809">
        <f t="shared" si="680"/>
        <v>0</v>
      </c>
      <c r="DF351" s="1021"/>
      <c r="DG351" s="1021"/>
      <c r="DH351" s="1021"/>
      <c r="DI351" s="808"/>
      <c r="DJ351" s="809">
        <f t="shared" si="681"/>
        <v>0</v>
      </c>
      <c r="DK351" s="1021"/>
      <c r="DL351" s="1021"/>
      <c r="DM351" s="1021"/>
      <c r="DN351" s="808"/>
      <c r="DO351" s="809">
        <f t="shared" si="682"/>
        <v>0</v>
      </c>
      <c r="DP351" s="1021"/>
      <c r="DQ351" s="1021"/>
      <c r="DR351" s="1021"/>
      <c r="DS351" s="808"/>
      <c r="DT351" s="809">
        <f t="shared" si="683"/>
        <v>0</v>
      </c>
      <c r="DU351" s="1021"/>
      <c r="DV351" s="1021"/>
      <c r="DW351" s="1021"/>
      <c r="DX351" s="808"/>
      <c r="DY351" s="809">
        <f t="shared" si="684"/>
        <v>0</v>
      </c>
      <c r="DZ351" s="809">
        <f t="shared" si="687"/>
        <v>0</v>
      </c>
      <c r="EA351" s="809">
        <f t="shared" si="690"/>
        <v>0</v>
      </c>
      <c r="EB351" s="809">
        <f t="shared" si="691"/>
        <v>0</v>
      </c>
    </row>
    <row r="352" spans="1:132" s="102" customFormat="1">
      <c r="A352" s="74"/>
      <c r="B352" s="810" t="s">
        <v>520</v>
      </c>
      <c r="C352" s="193"/>
      <c r="D352" s="193"/>
      <c r="E352" s="193"/>
      <c r="F352" s="193"/>
      <c r="G352" s="193"/>
      <c r="H352" s="193"/>
      <c r="I352" s="193"/>
      <c r="J352" s="74"/>
      <c r="K352" s="74"/>
      <c r="L352" s="74"/>
      <c r="M352" s="74"/>
      <c r="N352" s="193"/>
      <c r="O352" s="74"/>
      <c r="P352" s="74"/>
      <c r="Q352" s="74"/>
      <c r="R352" s="74"/>
      <c r="S352" s="193"/>
      <c r="T352" s="74"/>
      <c r="U352" s="74"/>
      <c r="V352" s="74"/>
      <c r="W352" s="74"/>
      <c r="X352" s="193"/>
      <c r="Y352" s="74"/>
      <c r="Z352" s="74"/>
      <c r="AA352" s="74"/>
      <c r="AB352" s="74"/>
      <c r="AC352" s="193"/>
      <c r="AD352" s="74"/>
      <c r="AE352" s="74"/>
      <c r="AF352" s="74"/>
      <c r="AG352" s="74"/>
      <c r="AH352" s="193"/>
      <c r="AI352" s="74"/>
      <c r="AJ352" s="74"/>
      <c r="AK352" s="74"/>
      <c r="AL352" s="74"/>
      <c r="AM352" s="193"/>
      <c r="AN352" s="74"/>
      <c r="AO352" s="74"/>
      <c r="AP352" s="74"/>
      <c r="AQ352" s="74"/>
      <c r="AR352" s="193"/>
      <c r="AS352" s="74"/>
      <c r="AT352" s="74"/>
      <c r="AU352" s="74"/>
      <c r="AV352" s="74"/>
      <c r="AW352" s="809"/>
      <c r="AX352" s="808"/>
      <c r="AY352" s="808"/>
      <c r="AZ352" s="808"/>
      <c r="BA352" s="808"/>
      <c r="BB352" s="809">
        <v>0</v>
      </c>
      <c r="BC352" s="808"/>
      <c r="BD352" s="808"/>
      <c r="BE352" s="808"/>
      <c r="BF352" s="808"/>
      <c r="BG352" s="809">
        <v>0</v>
      </c>
      <c r="BH352" s="808"/>
      <c r="BI352" s="808"/>
      <c r="BJ352" s="808"/>
      <c r="BK352" s="808"/>
      <c r="BL352" s="809">
        <v>0</v>
      </c>
      <c r="BM352" s="808"/>
      <c r="BN352" s="808"/>
      <c r="BO352" s="808"/>
      <c r="BP352" s="808"/>
      <c r="BQ352" s="809">
        <v>0</v>
      </c>
      <c r="BR352" s="808"/>
      <c r="BS352" s="808"/>
      <c r="BT352" s="808"/>
      <c r="BU352" s="808"/>
      <c r="BV352" s="809">
        <f t="shared" si="688"/>
        <v>0</v>
      </c>
      <c r="BW352" s="808"/>
      <c r="BX352" s="808"/>
      <c r="BY352" s="808"/>
      <c r="BZ352" s="808"/>
      <c r="CA352" s="809">
        <f t="shared" si="689"/>
        <v>0</v>
      </c>
      <c r="CB352" s="808"/>
      <c r="CC352" s="808"/>
      <c r="CD352" s="808"/>
      <c r="CE352" s="808"/>
      <c r="CF352" s="809">
        <f t="shared" si="686"/>
        <v>0</v>
      </c>
      <c r="CG352" s="808"/>
      <c r="CH352" s="808"/>
      <c r="CI352" s="808"/>
      <c r="CJ352" s="808"/>
      <c r="CK352" s="809">
        <f t="shared" si="676"/>
        <v>0</v>
      </c>
      <c r="CL352" s="808"/>
      <c r="CM352" s="808"/>
      <c r="CN352" s="808"/>
      <c r="CO352" s="808"/>
      <c r="CP352" s="809">
        <f t="shared" si="677"/>
        <v>0</v>
      </c>
      <c r="CQ352" s="808"/>
      <c r="CR352" s="808"/>
      <c r="CS352" s="808"/>
      <c r="CT352" s="808"/>
      <c r="CU352" s="809">
        <f t="shared" si="678"/>
        <v>0</v>
      </c>
      <c r="CV352" s="808"/>
      <c r="CW352" s="808"/>
      <c r="CX352" s="808"/>
      <c r="CY352" s="808"/>
      <c r="CZ352" s="809">
        <f t="shared" si="679"/>
        <v>0</v>
      </c>
      <c r="DA352" s="808"/>
      <c r="DB352" s="808"/>
      <c r="DC352" s="808"/>
      <c r="DD352" s="808"/>
      <c r="DE352" s="809">
        <f t="shared" si="680"/>
        <v>0</v>
      </c>
      <c r="DF352" s="1021"/>
      <c r="DG352" s="1021"/>
      <c r="DH352" s="1021"/>
      <c r="DI352" s="808"/>
      <c r="DJ352" s="809">
        <f t="shared" si="681"/>
        <v>0</v>
      </c>
      <c r="DK352" s="1021"/>
      <c r="DL352" s="1021"/>
      <c r="DM352" s="1021"/>
      <c r="DN352" s="808"/>
      <c r="DO352" s="809">
        <f t="shared" si="682"/>
        <v>0</v>
      </c>
      <c r="DP352" s="1021"/>
      <c r="DQ352" s="1021"/>
      <c r="DR352" s="1021"/>
      <c r="DS352" s="808"/>
      <c r="DT352" s="809">
        <f t="shared" si="683"/>
        <v>0</v>
      </c>
      <c r="DU352" s="1021"/>
      <c r="DV352" s="1021"/>
      <c r="DW352" s="1021"/>
      <c r="DX352" s="808"/>
      <c r="DY352" s="809">
        <f t="shared" si="684"/>
        <v>0</v>
      </c>
      <c r="DZ352" s="809">
        <f t="shared" si="687"/>
        <v>0</v>
      </c>
      <c r="EA352" s="809">
        <f t="shared" si="690"/>
        <v>0</v>
      </c>
      <c r="EB352" s="809">
        <f t="shared" si="691"/>
        <v>0</v>
      </c>
    </row>
    <row r="353" spans="1:132" s="102" customFormat="1">
      <c r="A353" s="74"/>
      <c r="B353" s="810" t="s">
        <v>521</v>
      </c>
      <c r="C353" s="193"/>
      <c r="D353" s="193"/>
      <c r="E353" s="193"/>
      <c r="F353" s="193"/>
      <c r="G353" s="193"/>
      <c r="H353" s="193"/>
      <c r="I353" s="193"/>
      <c r="J353" s="74"/>
      <c r="K353" s="74"/>
      <c r="L353" s="74"/>
      <c r="M353" s="74"/>
      <c r="N353" s="193"/>
      <c r="O353" s="74"/>
      <c r="P353" s="74"/>
      <c r="Q353" s="74"/>
      <c r="R353" s="74"/>
      <c r="S353" s="193"/>
      <c r="T353" s="74"/>
      <c r="U353" s="74"/>
      <c r="V353" s="74"/>
      <c r="W353" s="74"/>
      <c r="X353" s="193"/>
      <c r="Y353" s="74"/>
      <c r="Z353" s="74"/>
      <c r="AA353" s="74"/>
      <c r="AB353" s="74"/>
      <c r="AC353" s="193"/>
      <c r="AD353" s="74"/>
      <c r="AE353" s="74"/>
      <c r="AF353" s="74"/>
      <c r="AG353" s="74"/>
      <c r="AH353" s="193"/>
      <c r="AI353" s="74"/>
      <c r="AJ353" s="74"/>
      <c r="AK353" s="74"/>
      <c r="AL353" s="74"/>
      <c r="AM353" s="193"/>
      <c r="AN353" s="74"/>
      <c r="AO353" s="74"/>
      <c r="AP353" s="74"/>
      <c r="AQ353" s="74"/>
      <c r="AR353" s="193"/>
      <c r="AS353" s="74"/>
      <c r="AT353" s="74"/>
      <c r="AU353" s="74"/>
      <c r="AV353" s="74"/>
      <c r="AW353" s="809"/>
      <c r="AX353" s="808"/>
      <c r="AY353" s="808"/>
      <c r="AZ353" s="808"/>
      <c r="BA353" s="808"/>
      <c r="BB353" s="809">
        <v>0</v>
      </c>
      <c r="BC353" s="808"/>
      <c r="BD353" s="808"/>
      <c r="BE353" s="808"/>
      <c r="BF353" s="808"/>
      <c r="BG353" s="809">
        <v>0</v>
      </c>
      <c r="BH353" s="808"/>
      <c r="BI353" s="808"/>
      <c r="BJ353" s="808"/>
      <c r="BK353" s="808"/>
      <c r="BL353" s="809">
        <v>0</v>
      </c>
      <c r="BM353" s="808"/>
      <c r="BN353" s="808"/>
      <c r="BO353" s="808"/>
      <c r="BP353" s="808"/>
      <c r="BQ353" s="809">
        <v>0</v>
      </c>
      <c r="BR353" s="808"/>
      <c r="BS353" s="808"/>
      <c r="BT353" s="808"/>
      <c r="BU353" s="808"/>
      <c r="BV353" s="809">
        <f t="shared" si="688"/>
        <v>0</v>
      </c>
      <c r="BW353" s="808"/>
      <c r="BX353" s="808"/>
      <c r="BY353" s="808"/>
      <c r="BZ353" s="808"/>
      <c r="CA353" s="809">
        <f t="shared" si="689"/>
        <v>0</v>
      </c>
      <c r="CB353" s="808"/>
      <c r="CC353" s="808"/>
      <c r="CD353" s="808"/>
      <c r="CE353" s="808"/>
      <c r="CF353" s="809">
        <f t="shared" si="686"/>
        <v>0</v>
      </c>
      <c r="CG353" s="808"/>
      <c r="CH353" s="808"/>
      <c r="CI353" s="808"/>
      <c r="CJ353" s="808"/>
      <c r="CK353" s="809">
        <f t="shared" si="676"/>
        <v>0</v>
      </c>
      <c r="CL353" s="808"/>
      <c r="CM353" s="808"/>
      <c r="CN353" s="808"/>
      <c r="CO353" s="808"/>
      <c r="CP353" s="809">
        <f t="shared" si="677"/>
        <v>0</v>
      </c>
      <c r="CQ353" s="808"/>
      <c r="CR353" s="808"/>
      <c r="CS353" s="808"/>
      <c r="CT353" s="808"/>
      <c r="CU353" s="809">
        <f t="shared" si="678"/>
        <v>0</v>
      </c>
      <c r="CV353" s="808"/>
      <c r="CW353" s="808"/>
      <c r="CX353" s="808"/>
      <c r="CY353" s="808"/>
      <c r="CZ353" s="809">
        <f t="shared" si="679"/>
        <v>0</v>
      </c>
      <c r="DA353" s="808"/>
      <c r="DB353" s="808"/>
      <c r="DC353" s="808"/>
      <c r="DD353" s="808"/>
      <c r="DE353" s="809">
        <f t="shared" si="680"/>
        <v>0</v>
      </c>
      <c r="DF353" s="1021"/>
      <c r="DG353" s="1021"/>
      <c r="DH353" s="1021"/>
      <c r="DI353" s="808"/>
      <c r="DJ353" s="809">
        <f t="shared" si="681"/>
        <v>0</v>
      </c>
      <c r="DK353" s="1021"/>
      <c r="DL353" s="1021"/>
      <c r="DM353" s="1021"/>
      <c r="DN353" s="808"/>
      <c r="DO353" s="809">
        <f t="shared" si="682"/>
        <v>0</v>
      </c>
      <c r="DP353" s="1021"/>
      <c r="DQ353" s="1021"/>
      <c r="DR353" s="1021"/>
      <c r="DS353" s="808"/>
      <c r="DT353" s="809">
        <f t="shared" si="683"/>
        <v>0</v>
      </c>
      <c r="DU353" s="1021"/>
      <c r="DV353" s="1021"/>
      <c r="DW353" s="1021"/>
      <c r="DX353" s="808"/>
      <c r="DY353" s="809">
        <f t="shared" si="684"/>
        <v>0</v>
      </c>
      <c r="DZ353" s="809">
        <f t="shared" si="687"/>
        <v>0</v>
      </c>
      <c r="EA353" s="809">
        <f t="shared" si="690"/>
        <v>0</v>
      </c>
      <c r="EB353" s="809">
        <f t="shared" si="691"/>
        <v>0</v>
      </c>
    </row>
    <row r="354" spans="1:132" s="102" customFormat="1">
      <c r="A354" s="74"/>
      <c r="B354" s="810" t="s">
        <v>522</v>
      </c>
      <c r="C354" s="193"/>
      <c r="D354" s="193"/>
      <c r="E354" s="193"/>
      <c r="F354" s="193"/>
      <c r="G354" s="193"/>
      <c r="H354" s="193"/>
      <c r="I354" s="193"/>
      <c r="J354" s="74"/>
      <c r="K354" s="74"/>
      <c r="L354" s="74"/>
      <c r="M354" s="74"/>
      <c r="N354" s="193"/>
      <c r="O354" s="74"/>
      <c r="P354" s="74"/>
      <c r="Q354" s="74"/>
      <c r="R354" s="74"/>
      <c r="S354" s="193"/>
      <c r="T354" s="74"/>
      <c r="U354" s="74"/>
      <c r="V354" s="74"/>
      <c r="W354" s="74"/>
      <c r="X354" s="193"/>
      <c r="Y354" s="74"/>
      <c r="Z354" s="74"/>
      <c r="AA354" s="74"/>
      <c r="AB354" s="74"/>
      <c r="AC354" s="193"/>
      <c r="AD354" s="74"/>
      <c r="AE354" s="74"/>
      <c r="AF354" s="74"/>
      <c r="AG354" s="74"/>
      <c r="AH354" s="193"/>
      <c r="AI354" s="74"/>
      <c r="AJ354" s="74"/>
      <c r="AK354" s="74"/>
      <c r="AL354" s="74"/>
      <c r="AM354" s="193"/>
      <c r="AN354" s="74"/>
      <c r="AO354" s="74"/>
      <c r="AP354" s="74"/>
      <c r="AQ354" s="74"/>
      <c r="AR354" s="193"/>
      <c r="AS354" s="74"/>
      <c r="AT354" s="74"/>
      <c r="AU354" s="74"/>
      <c r="AV354" s="74"/>
      <c r="AW354" s="809"/>
      <c r="AX354" s="808"/>
      <c r="AY354" s="808"/>
      <c r="AZ354" s="808"/>
      <c r="BA354" s="808"/>
      <c r="BB354" s="809">
        <v>0</v>
      </c>
      <c r="BC354" s="808"/>
      <c r="BD354" s="808"/>
      <c r="BE354" s="808"/>
      <c r="BF354" s="808"/>
      <c r="BG354" s="809">
        <v>0</v>
      </c>
      <c r="BH354" s="808"/>
      <c r="BI354" s="808"/>
      <c r="BJ354" s="808"/>
      <c r="BK354" s="808"/>
      <c r="BL354" s="809">
        <v>0</v>
      </c>
      <c r="BM354" s="808"/>
      <c r="BN354" s="808"/>
      <c r="BO354" s="808"/>
      <c r="BP354" s="808"/>
      <c r="BQ354" s="809">
        <v>0</v>
      </c>
      <c r="BR354" s="808"/>
      <c r="BS354" s="808"/>
      <c r="BT354" s="808"/>
      <c r="BU354" s="808"/>
      <c r="BV354" s="809">
        <f t="shared" si="688"/>
        <v>0</v>
      </c>
      <c r="BW354" s="808"/>
      <c r="BX354" s="808"/>
      <c r="BY354" s="808"/>
      <c r="BZ354" s="808"/>
      <c r="CA354" s="916">
        <f t="shared" si="689"/>
        <v>0</v>
      </c>
      <c r="CB354" s="808"/>
      <c r="CC354" s="808"/>
      <c r="CD354" s="808"/>
      <c r="CE354" s="808"/>
      <c r="CF354" s="809">
        <f t="shared" si="686"/>
        <v>0</v>
      </c>
      <c r="CG354" s="808"/>
      <c r="CH354" s="808"/>
      <c r="CI354" s="808"/>
      <c r="CJ354" s="808"/>
      <c r="CK354" s="809">
        <f t="shared" si="676"/>
        <v>0</v>
      </c>
      <c r="CL354" s="808"/>
      <c r="CM354" s="808"/>
      <c r="CN354" s="808"/>
      <c r="CO354" s="808"/>
      <c r="CP354" s="809">
        <f t="shared" si="677"/>
        <v>0</v>
      </c>
      <c r="CQ354" s="808"/>
      <c r="CR354" s="808"/>
      <c r="CS354" s="808"/>
      <c r="CT354" s="808"/>
      <c r="CU354" s="809">
        <f t="shared" si="678"/>
        <v>0</v>
      </c>
      <c r="CV354" s="808"/>
      <c r="CW354" s="808"/>
      <c r="CX354" s="808"/>
      <c r="CY354" s="808"/>
      <c r="CZ354" s="809">
        <f t="shared" si="679"/>
        <v>0</v>
      </c>
      <c r="DA354" s="808"/>
      <c r="DB354" s="808"/>
      <c r="DC354" s="808"/>
      <c r="DD354" s="808"/>
      <c r="DE354" s="809">
        <f t="shared" si="680"/>
        <v>0</v>
      </c>
      <c r="DF354" s="1021"/>
      <c r="DG354" s="1021"/>
      <c r="DH354" s="1021"/>
      <c r="DI354" s="808"/>
      <c r="DJ354" s="809">
        <f t="shared" si="681"/>
        <v>0</v>
      </c>
      <c r="DK354" s="1021"/>
      <c r="DL354" s="1021"/>
      <c r="DM354" s="1021"/>
      <c r="DN354" s="808"/>
      <c r="DO354" s="809">
        <f t="shared" si="682"/>
        <v>0</v>
      </c>
      <c r="DP354" s="1021"/>
      <c r="DQ354" s="1021"/>
      <c r="DR354" s="1021"/>
      <c r="DS354" s="808"/>
      <c r="DT354" s="809">
        <f t="shared" si="683"/>
        <v>0</v>
      </c>
      <c r="DU354" s="1021"/>
      <c r="DV354" s="1021"/>
      <c r="DW354" s="1021"/>
      <c r="DX354" s="808"/>
      <c r="DY354" s="809">
        <f t="shared" si="684"/>
        <v>0</v>
      </c>
      <c r="DZ354" s="809">
        <f t="shared" si="687"/>
        <v>0</v>
      </c>
      <c r="EA354" s="809">
        <f t="shared" si="690"/>
        <v>0</v>
      </c>
      <c r="EB354" s="809">
        <f t="shared" si="691"/>
        <v>0</v>
      </c>
    </row>
    <row r="355" spans="1:132" s="102" customFormat="1">
      <c r="A355" s="74"/>
      <c r="B355" s="810" t="s">
        <v>523</v>
      </c>
      <c r="C355" s="193"/>
      <c r="D355" s="193"/>
      <c r="E355" s="193"/>
      <c r="F355" s="193"/>
      <c r="G355" s="193"/>
      <c r="H355" s="193"/>
      <c r="I355" s="193"/>
      <c r="J355" s="74"/>
      <c r="K355" s="74"/>
      <c r="L355" s="74"/>
      <c r="M355" s="74"/>
      <c r="N355" s="193"/>
      <c r="O355" s="74"/>
      <c r="P355" s="74"/>
      <c r="Q355" s="74"/>
      <c r="R355" s="74"/>
      <c r="S355" s="193"/>
      <c r="T355" s="74"/>
      <c r="U355" s="74"/>
      <c r="V355" s="74"/>
      <c r="W355" s="74"/>
      <c r="X355" s="193"/>
      <c r="Y355" s="74"/>
      <c r="Z355" s="74"/>
      <c r="AA355" s="74"/>
      <c r="AB355" s="74"/>
      <c r="AC355" s="193"/>
      <c r="AD355" s="74"/>
      <c r="AE355" s="74"/>
      <c r="AF355" s="74"/>
      <c r="AG355" s="74"/>
      <c r="AH355" s="193"/>
      <c r="AI355" s="74"/>
      <c r="AJ355" s="74"/>
      <c r="AK355" s="74"/>
      <c r="AL355" s="74"/>
      <c r="AM355" s="193"/>
      <c r="AN355" s="74"/>
      <c r="AO355" s="74"/>
      <c r="AP355" s="74"/>
      <c r="AQ355" s="74"/>
      <c r="AR355" s="193"/>
      <c r="AS355" s="74"/>
      <c r="AT355" s="74"/>
      <c r="AU355" s="74"/>
      <c r="AV355" s="74"/>
      <c r="AW355" s="809"/>
      <c r="AX355" s="808"/>
      <c r="AY355" s="808"/>
      <c r="AZ355" s="808"/>
      <c r="BA355" s="808"/>
      <c r="BB355" s="809">
        <v>0</v>
      </c>
      <c r="BC355" s="808"/>
      <c r="BD355" s="808"/>
      <c r="BE355" s="808"/>
      <c r="BF355" s="808"/>
      <c r="BG355" s="809">
        <v>0</v>
      </c>
      <c r="BH355" s="808"/>
      <c r="BI355" s="808"/>
      <c r="BJ355" s="808"/>
      <c r="BK355" s="808"/>
      <c r="BL355" s="809">
        <v>0</v>
      </c>
      <c r="BM355" s="808"/>
      <c r="BN355" s="808"/>
      <c r="BO355" s="808"/>
      <c r="BP355" s="808"/>
      <c r="BQ355" s="916">
        <v>0</v>
      </c>
      <c r="BR355" s="917"/>
      <c r="BS355" s="917"/>
      <c r="BT355" s="917"/>
      <c r="BU355" s="917"/>
      <c r="BV355" s="916">
        <f t="shared" si="688"/>
        <v>0</v>
      </c>
      <c r="BW355" s="808"/>
      <c r="BX355" s="808"/>
      <c r="BY355" s="808"/>
      <c r="BZ355" s="808"/>
      <c r="CA355" s="916">
        <f t="shared" si="689"/>
        <v>0</v>
      </c>
      <c r="CB355" s="808"/>
      <c r="CC355" s="808"/>
      <c r="CD355" s="808"/>
      <c r="CE355" s="808"/>
      <c r="CF355" s="809">
        <f t="shared" si="686"/>
        <v>0</v>
      </c>
      <c r="CG355" s="808"/>
      <c r="CH355" s="808"/>
      <c r="CI355" s="808"/>
      <c r="CJ355" s="808"/>
      <c r="CK355" s="809">
        <f t="shared" si="676"/>
        <v>0</v>
      </c>
      <c r="CL355" s="808"/>
      <c r="CM355" s="808"/>
      <c r="CN355" s="808"/>
      <c r="CO355" s="808"/>
      <c r="CP355" s="809">
        <f t="shared" si="677"/>
        <v>0</v>
      </c>
      <c r="CQ355" s="808"/>
      <c r="CR355" s="808"/>
      <c r="CS355" s="808"/>
      <c r="CT355" s="808"/>
      <c r="CU355" s="809">
        <f t="shared" si="678"/>
        <v>0</v>
      </c>
      <c r="CV355" s="808"/>
      <c r="CW355" s="808"/>
      <c r="CX355" s="808"/>
      <c r="CY355" s="808"/>
      <c r="CZ355" s="809">
        <f t="shared" si="679"/>
        <v>0</v>
      </c>
      <c r="DA355" s="808"/>
      <c r="DB355" s="808"/>
      <c r="DC355" s="808"/>
      <c r="DD355" s="808"/>
      <c r="DE355" s="809">
        <f t="shared" si="680"/>
        <v>0</v>
      </c>
      <c r="DF355" s="1021"/>
      <c r="DG355" s="1021"/>
      <c r="DH355" s="1021"/>
      <c r="DI355" s="808"/>
      <c r="DJ355" s="809">
        <f t="shared" si="681"/>
        <v>0</v>
      </c>
      <c r="DK355" s="1021"/>
      <c r="DL355" s="1021"/>
      <c r="DM355" s="1021"/>
      <c r="DN355" s="808"/>
      <c r="DO355" s="809">
        <f t="shared" si="682"/>
        <v>0</v>
      </c>
      <c r="DP355" s="1021"/>
      <c r="DQ355" s="1021"/>
      <c r="DR355" s="1021"/>
      <c r="DS355" s="808"/>
      <c r="DT355" s="809">
        <f t="shared" si="683"/>
        <v>0</v>
      </c>
      <c r="DU355" s="1021"/>
      <c r="DV355" s="1021"/>
      <c r="DW355" s="1021"/>
      <c r="DX355" s="808"/>
      <c r="DY355" s="809">
        <f t="shared" si="684"/>
        <v>0</v>
      </c>
      <c r="DZ355" s="809">
        <f t="shared" si="687"/>
        <v>0</v>
      </c>
      <c r="EA355" s="809">
        <f t="shared" si="690"/>
        <v>0</v>
      </c>
      <c r="EB355" s="809">
        <f t="shared" si="691"/>
        <v>0</v>
      </c>
    </row>
    <row r="356" spans="1:132" s="102" customFormat="1">
      <c r="A356" s="74"/>
      <c r="B356" s="810" t="s">
        <v>524</v>
      </c>
      <c r="C356" s="193"/>
      <c r="D356" s="193"/>
      <c r="E356" s="193"/>
      <c r="F356" s="193"/>
      <c r="G356" s="193"/>
      <c r="H356" s="193"/>
      <c r="I356" s="193"/>
      <c r="J356" s="74"/>
      <c r="K356" s="74"/>
      <c r="L356" s="74"/>
      <c r="M356" s="74"/>
      <c r="N356" s="193"/>
      <c r="O356" s="74"/>
      <c r="P356" s="74"/>
      <c r="Q356" s="74"/>
      <c r="R356" s="74"/>
      <c r="S356" s="193"/>
      <c r="T356" s="74"/>
      <c r="U356" s="74"/>
      <c r="V356" s="74"/>
      <c r="W356" s="74"/>
      <c r="X356" s="193"/>
      <c r="Y356" s="74"/>
      <c r="Z356" s="74"/>
      <c r="AA356" s="74"/>
      <c r="AB356" s="74"/>
      <c r="AC356" s="193"/>
      <c r="AD356" s="74"/>
      <c r="AE356" s="74"/>
      <c r="AF356" s="74"/>
      <c r="AG356" s="74"/>
      <c r="AH356" s="193"/>
      <c r="AI356" s="74"/>
      <c r="AJ356" s="74"/>
      <c r="AK356" s="74"/>
      <c r="AL356" s="74"/>
      <c r="AM356" s="193"/>
      <c r="AN356" s="74"/>
      <c r="AO356" s="74"/>
      <c r="AP356" s="74"/>
      <c r="AQ356" s="74"/>
      <c r="AR356" s="193"/>
      <c r="AS356" s="74"/>
      <c r="AT356" s="74"/>
      <c r="AU356" s="74"/>
      <c r="AV356" s="74"/>
      <c r="AW356" s="809"/>
      <c r="AX356" s="808"/>
      <c r="AY356" s="808"/>
      <c r="AZ356" s="808"/>
      <c r="BA356" s="808"/>
      <c r="BB356" s="809">
        <v>0.01</v>
      </c>
      <c r="BC356" s="808"/>
      <c r="BD356" s="808"/>
      <c r="BE356" s="808"/>
      <c r="BF356" s="808"/>
      <c r="BG356" s="809">
        <v>0.01</v>
      </c>
      <c r="BH356" s="808"/>
      <c r="BI356" s="808"/>
      <c r="BJ356" s="808"/>
      <c r="BK356" s="808"/>
      <c r="BL356" s="809">
        <v>0.01</v>
      </c>
      <c r="BM356" s="808"/>
      <c r="BN356" s="808"/>
      <c r="BO356" s="808"/>
      <c r="BP356" s="808"/>
      <c r="BQ356" s="916">
        <v>0.01</v>
      </c>
      <c r="BR356" s="917"/>
      <c r="BS356" s="917"/>
      <c r="BT356" s="917"/>
      <c r="BU356" s="917"/>
      <c r="BV356" s="916">
        <f t="shared" si="688"/>
        <v>0.01</v>
      </c>
      <c r="BW356" s="808"/>
      <c r="BX356" s="808"/>
      <c r="BY356" s="808"/>
      <c r="BZ356" s="808"/>
      <c r="CA356" s="916">
        <f t="shared" si="689"/>
        <v>0.01</v>
      </c>
      <c r="CB356" s="808"/>
      <c r="CC356" s="808"/>
      <c r="CD356" s="808"/>
      <c r="CE356" s="808"/>
      <c r="CF356" s="809">
        <f t="shared" si="686"/>
        <v>0.01</v>
      </c>
      <c r="CG356" s="808"/>
      <c r="CH356" s="808"/>
      <c r="CI356" s="808"/>
      <c r="CJ356" s="808"/>
      <c r="CK356" s="809">
        <f t="shared" si="676"/>
        <v>0.01</v>
      </c>
      <c r="CL356" s="808"/>
      <c r="CM356" s="808"/>
      <c r="CN356" s="808"/>
      <c r="CO356" s="808"/>
      <c r="CP356" s="809">
        <f t="shared" si="677"/>
        <v>0.01</v>
      </c>
      <c r="CQ356" s="808"/>
      <c r="CR356" s="808"/>
      <c r="CS356" s="808"/>
      <c r="CT356" s="808"/>
      <c r="CU356" s="809">
        <f t="shared" si="678"/>
        <v>0.01</v>
      </c>
      <c r="CV356" s="808"/>
      <c r="CW356" s="808"/>
      <c r="CX356" s="808"/>
      <c r="CY356" s="808"/>
      <c r="CZ356" s="809">
        <f t="shared" si="679"/>
        <v>0.01</v>
      </c>
      <c r="DA356" s="808"/>
      <c r="DB356" s="808"/>
      <c r="DC356" s="808"/>
      <c r="DD356" s="808"/>
      <c r="DE356" s="809">
        <f t="shared" si="680"/>
        <v>0.01</v>
      </c>
      <c r="DF356" s="1021"/>
      <c r="DG356" s="1021"/>
      <c r="DH356" s="1021"/>
      <c r="DI356" s="808"/>
      <c r="DJ356" s="809">
        <f t="shared" si="681"/>
        <v>0.01</v>
      </c>
      <c r="DK356" s="1021"/>
      <c r="DL356" s="1021"/>
      <c r="DM356" s="1021"/>
      <c r="DN356" s="808"/>
      <c r="DO356" s="809">
        <f t="shared" si="682"/>
        <v>0.01</v>
      </c>
      <c r="DP356" s="1021"/>
      <c r="DQ356" s="1021"/>
      <c r="DR356" s="1021"/>
      <c r="DS356" s="808"/>
      <c r="DT356" s="809">
        <f t="shared" si="683"/>
        <v>0.01</v>
      </c>
      <c r="DU356" s="1021"/>
      <c r="DV356" s="1021"/>
      <c r="DW356" s="1021"/>
      <c r="DX356" s="808"/>
      <c r="DY356" s="809">
        <f t="shared" si="684"/>
        <v>0.01</v>
      </c>
      <c r="DZ356" s="809">
        <f t="shared" si="687"/>
        <v>0.01</v>
      </c>
      <c r="EA356" s="809">
        <f t="shared" si="690"/>
        <v>0.01</v>
      </c>
      <c r="EB356" s="809">
        <f t="shared" si="691"/>
        <v>0.01</v>
      </c>
    </row>
    <row r="357" spans="1:132" s="102" customFormat="1">
      <c r="A357" s="74"/>
      <c r="B357" s="810" t="s">
        <v>525</v>
      </c>
      <c r="C357" s="193"/>
      <c r="D357" s="193"/>
      <c r="E357" s="193"/>
      <c r="F357" s="193"/>
      <c r="G357" s="193"/>
      <c r="H357" s="193"/>
      <c r="I357" s="193"/>
      <c r="J357" s="74"/>
      <c r="K357" s="74"/>
      <c r="L357" s="74"/>
      <c r="M357" s="74"/>
      <c r="N357" s="193"/>
      <c r="O357" s="74"/>
      <c r="P357" s="74"/>
      <c r="Q357" s="74"/>
      <c r="R357" s="74"/>
      <c r="S357" s="193"/>
      <c r="T357" s="74"/>
      <c r="U357" s="74"/>
      <c r="V357" s="74"/>
      <c r="W357" s="74"/>
      <c r="X357" s="193"/>
      <c r="Y357" s="74"/>
      <c r="Z357" s="74"/>
      <c r="AA357" s="74"/>
      <c r="AB357" s="74"/>
      <c r="AC357" s="193"/>
      <c r="AD357" s="74"/>
      <c r="AE357" s="74"/>
      <c r="AF357" s="74"/>
      <c r="AG357" s="74"/>
      <c r="AH357" s="193"/>
      <c r="AI357" s="74"/>
      <c r="AJ357" s="74"/>
      <c r="AK357" s="74"/>
      <c r="AL357" s="74"/>
      <c r="AM357" s="193"/>
      <c r="AN357" s="74"/>
      <c r="AO357" s="74"/>
      <c r="AP357" s="74"/>
      <c r="AQ357" s="74"/>
      <c r="AR357" s="193"/>
      <c r="AS357" s="74"/>
      <c r="AT357" s="74"/>
      <c r="AU357" s="74"/>
      <c r="AV357" s="74"/>
      <c r="AW357" s="809"/>
      <c r="AX357" s="808"/>
      <c r="AY357" s="808"/>
      <c r="AZ357" s="808"/>
      <c r="BA357" s="808"/>
      <c r="BB357" s="809">
        <v>0.02</v>
      </c>
      <c r="BC357" s="808"/>
      <c r="BD357" s="808"/>
      <c r="BE357" s="808"/>
      <c r="BF357" s="808"/>
      <c r="BG357" s="809">
        <v>0.11</v>
      </c>
      <c r="BH357" s="808"/>
      <c r="BI357" s="808"/>
      <c r="BJ357" s="808"/>
      <c r="BK357" s="808"/>
      <c r="BL357" s="809">
        <v>0.12</v>
      </c>
      <c r="BM357" s="808"/>
      <c r="BN357" s="808"/>
      <c r="BO357" s="808"/>
      <c r="BP357" s="808"/>
      <c r="BQ357" s="916">
        <v>0.12</v>
      </c>
      <c r="BR357" s="917"/>
      <c r="BS357" s="917"/>
      <c r="BT357" s="917"/>
      <c r="BU357" s="917"/>
      <c r="BV357" s="916">
        <f>+BV254-BV356</f>
        <v>0.13581637076905181</v>
      </c>
      <c r="BW357" s="808"/>
      <c r="BX357" s="808"/>
      <c r="BY357" s="808"/>
      <c r="BZ357" s="808"/>
      <c r="CA357" s="916">
        <f>+CA254-CA356</f>
        <v>0.11267646051053624</v>
      </c>
      <c r="CB357" s="808"/>
      <c r="CC357" s="808"/>
      <c r="CD357" s="808"/>
      <c r="CE357" s="808"/>
      <c r="CF357" s="809">
        <f t="shared" si="686"/>
        <v>0.11267646051053624</v>
      </c>
      <c r="CG357" s="808"/>
      <c r="CH357" s="808"/>
      <c r="CI357" s="808"/>
      <c r="CJ357" s="808"/>
      <c r="CK357" s="809">
        <f t="shared" si="676"/>
        <v>0.11267646051053624</v>
      </c>
      <c r="CL357" s="808"/>
      <c r="CM357" s="808"/>
      <c r="CN357" s="808"/>
      <c r="CO357" s="808"/>
      <c r="CP357" s="809">
        <f t="shared" si="677"/>
        <v>0.11267646051053624</v>
      </c>
      <c r="CQ357" s="808"/>
      <c r="CR357" s="808"/>
      <c r="CS357" s="808"/>
      <c r="CT357" s="808"/>
      <c r="CU357" s="809">
        <f t="shared" si="678"/>
        <v>0.11267646051053624</v>
      </c>
      <c r="CV357" s="808"/>
      <c r="CW357" s="808"/>
      <c r="CX357" s="808"/>
      <c r="CY357" s="808"/>
      <c r="CZ357" s="809">
        <f t="shared" si="679"/>
        <v>0.11267646051053624</v>
      </c>
      <c r="DA357" s="808"/>
      <c r="DB357" s="808"/>
      <c r="DC357" s="808"/>
      <c r="DD357" s="808"/>
      <c r="DE357" s="809">
        <f t="shared" si="680"/>
        <v>0.11267646051053624</v>
      </c>
      <c r="DF357" s="1021"/>
      <c r="DG357" s="1021"/>
      <c r="DH357" s="1021"/>
      <c r="DI357" s="808"/>
      <c r="DJ357" s="809">
        <f t="shared" si="681"/>
        <v>0.11267646051053624</v>
      </c>
      <c r="DK357" s="1021"/>
      <c r="DL357" s="1021"/>
      <c r="DM357" s="1021"/>
      <c r="DN357" s="808"/>
      <c r="DO357" s="809">
        <f t="shared" si="682"/>
        <v>0.11267646051053624</v>
      </c>
      <c r="DP357" s="1021"/>
      <c r="DQ357" s="1021"/>
      <c r="DR357" s="1021"/>
      <c r="DS357" s="808"/>
      <c r="DT357" s="809">
        <f t="shared" si="683"/>
        <v>0.11267646051053624</v>
      </c>
      <c r="DU357" s="1021"/>
      <c r="DV357" s="1021"/>
      <c r="DW357" s="1021"/>
      <c r="DX357" s="808"/>
      <c r="DY357" s="809">
        <f t="shared" si="684"/>
        <v>0.11267646051053624</v>
      </c>
      <c r="DZ357" s="809">
        <f t="shared" si="687"/>
        <v>0.11267646051053624</v>
      </c>
      <c r="EA357" s="809">
        <f t="shared" si="690"/>
        <v>0.11267646051053624</v>
      </c>
      <c r="EB357" s="809">
        <f t="shared" si="691"/>
        <v>0.11267646051053624</v>
      </c>
    </row>
    <row r="358" spans="1:132" s="102" customFormat="1">
      <c r="A358" s="74"/>
      <c r="B358" s="810" t="s">
        <v>526</v>
      </c>
      <c r="C358" s="193"/>
      <c r="D358" s="193"/>
      <c r="E358" s="193"/>
      <c r="F358" s="193"/>
      <c r="G358" s="193"/>
      <c r="H358" s="193"/>
      <c r="I358" s="193"/>
      <c r="J358" s="74"/>
      <c r="K358" s="74"/>
      <c r="L358" s="74"/>
      <c r="M358" s="74"/>
      <c r="N358" s="193"/>
      <c r="O358" s="74"/>
      <c r="P358" s="74"/>
      <c r="Q358" s="74"/>
      <c r="R358" s="74"/>
      <c r="S358" s="193"/>
      <c r="T358" s="74"/>
      <c r="U358" s="74"/>
      <c r="V358" s="74"/>
      <c r="W358" s="74"/>
      <c r="X358" s="193"/>
      <c r="Y358" s="74"/>
      <c r="Z358" s="74"/>
      <c r="AA358" s="74"/>
      <c r="AB358" s="74"/>
      <c r="AC358" s="193"/>
      <c r="AD358" s="74"/>
      <c r="AE358" s="74"/>
      <c r="AF358" s="74"/>
      <c r="AG358" s="74"/>
      <c r="AH358" s="193"/>
      <c r="AI358" s="74"/>
      <c r="AJ358" s="74"/>
      <c r="AK358" s="74"/>
      <c r="AL358" s="74"/>
      <c r="AM358" s="193"/>
      <c r="AN358" s="74"/>
      <c r="AO358" s="74"/>
      <c r="AP358" s="74"/>
      <c r="AQ358" s="74"/>
      <c r="AR358" s="193"/>
      <c r="AS358" s="74"/>
      <c r="AT358" s="74"/>
      <c r="AU358" s="74"/>
      <c r="AV358" s="74"/>
      <c r="AW358" s="809"/>
      <c r="AX358" s="808"/>
      <c r="AY358" s="808"/>
      <c r="AZ358" s="808"/>
      <c r="BA358" s="808"/>
      <c r="BB358" s="809">
        <v>0</v>
      </c>
      <c r="BC358" s="808"/>
      <c r="BD358" s="808"/>
      <c r="BE358" s="808"/>
      <c r="BF358" s="808"/>
      <c r="BG358" s="809">
        <v>0</v>
      </c>
      <c r="BH358" s="808"/>
      <c r="BI358" s="808"/>
      <c r="BJ358" s="808"/>
      <c r="BK358" s="808"/>
      <c r="BL358" s="809">
        <v>0</v>
      </c>
      <c r="BM358" s="808"/>
      <c r="BN358" s="808"/>
      <c r="BO358" s="808"/>
      <c r="BP358" s="808"/>
      <c r="BQ358" s="809">
        <v>0</v>
      </c>
      <c r="BR358" s="808"/>
      <c r="BS358" s="808"/>
      <c r="BT358" s="808"/>
      <c r="BU358" s="808"/>
      <c r="BV358" s="809">
        <f t="shared" si="688"/>
        <v>0</v>
      </c>
      <c r="BW358" s="808"/>
      <c r="BX358" s="808"/>
      <c r="BY358" s="808"/>
      <c r="BZ358" s="808"/>
      <c r="CA358" s="916">
        <f t="shared" si="689"/>
        <v>0</v>
      </c>
      <c r="CB358" s="808"/>
      <c r="CC358" s="808"/>
      <c r="CD358" s="808"/>
      <c r="CE358" s="808"/>
      <c r="CF358" s="809">
        <f t="shared" si="686"/>
        <v>0</v>
      </c>
      <c r="CG358" s="808"/>
      <c r="CH358" s="808"/>
      <c r="CI358" s="808"/>
      <c r="CJ358" s="808"/>
      <c r="CK358" s="809">
        <f t="shared" si="676"/>
        <v>0</v>
      </c>
      <c r="CL358" s="808"/>
      <c r="CM358" s="808"/>
      <c r="CN358" s="808"/>
      <c r="CO358" s="808"/>
      <c r="CP358" s="809">
        <f t="shared" si="677"/>
        <v>0</v>
      </c>
      <c r="CQ358" s="808"/>
      <c r="CR358" s="808"/>
      <c r="CS358" s="808"/>
      <c r="CT358" s="808"/>
      <c r="CU358" s="809">
        <f t="shared" si="678"/>
        <v>0</v>
      </c>
      <c r="CV358" s="808"/>
      <c r="CW358" s="808"/>
      <c r="CX358" s="808"/>
      <c r="CY358" s="808"/>
      <c r="CZ358" s="809">
        <f t="shared" si="679"/>
        <v>0</v>
      </c>
      <c r="DA358" s="808"/>
      <c r="DB358" s="808"/>
      <c r="DC358" s="808"/>
      <c r="DD358" s="808"/>
      <c r="DE358" s="809">
        <f t="shared" si="680"/>
        <v>0</v>
      </c>
      <c r="DF358" s="1021"/>
      <c r="DG358" s="1021"/>
      <c r="DH358" s="1021"/>
      <c r="DI358" s="808"/>
      <c r="DJ358" s="809">
        <f t="shared" si="681"/>
        <v>0</v>
      </c>
      <c r="DK358" s="1021"/>
      <c r="DL358" s="1021"/>
      <c r="DM358" s="1021"/>
      <c r="DN358" s="808"/>
      <c r="DO358" s="809">
        <f t="shared" si="682"/>
        <v>0</v>
      </c>
      <c r="DP358" s="1021"/>
      <c r="DQ358" s="1021"/>
      <c r="DR358" s="1021"/>
      <c r="DS358" s="808"/>
      <c r="DT358" s="809">
        <f t="shared" si="683"/>
        <v>0</v>
      </c>
      <c r="DU358" s="1021"/>
      <c r="DV358" s="1021"/>
      <c r="DW358" s="1021"/>
      <c r="DX358" s="808"/>
      <c r="DY358" s="809">
        <f t="shared" si="684"/>
        <v>0</v>
      </c>
      <c r="DZ358" s="809">
        <f t="shared" si="687"/>
        <v>0</v>
      </c>
      <c r="EA358" s="809">
        <f t="shared" si="690"/>
        <v>0</v>
      </c>
      <c r="EB358" s="809">
        <f t="shared" si="691"/>
        <v>0</v>
      </c>
    </row>
    <row r="359" spans="1:132" s="102" customFormat="1">
      <c r="A359" s="74"/>
      <c r="B359" s="810" t="s">
        <v>527</v>
      </c>
      <c r="C359" s="193"/>
      <c r="D359" s="193"/>
      <c r="E359" s="193"/>
      <c r="F359" s="193"/>
      <c r="G359" s="193"/>
      <c r="H359" s="193"/>
      <c r="I359" s="193"/>
      <c r="J359" s="74"/>
      <c r="K359" s="74"/>
      <c r="L359" s="74"/>
      <c r="M359" s="74"/>
      <c r="N359" s="193"/>
      <c r="O359" s="74"/>
      <c r="P359" s="74"/>
      <c r="Q359" s="74"/>
      <c r="R359" s="74"/>
      <c r="S359" s="193"/>
      <c r="T359" s="74"/>
      <c r="U359" s="74"/>
      <c r="V359" s="74"/>
      <c r="W359" s="74"/>
      <c r="X359" s="193"/>
      <c r="Y359" s="74"/>
      <c r="Z359" s="74"/>
      <c r="AA359" s="74"/>
      <c r="AB359" s="74"/>
      <c r="AC359" s="193"/>
      <c r="AD359" s="74"/>
      <c r="AE359" s="74"/>
      <c r="AF359" s="74"/>
      <c r="AG359" s="74"/>
      <c r="AH359" s="193"/>
      <c r="AI359" s="74"/>
      <c r="AJ359" s="74"/>
      <c r="AK359" s="74"/>
      <c r="AL359" s="74"/>
      <c r="AM359" s="193"/>
      <c r="AN359" s="74"/>
      <c r="AO359" s="74"/>
      <c r="AP359" s="74"/>
      <c r="AQ359" s="74"/>
      <c r="AR359" s="193"/>
      <c r="AS359" s="74"/>
      <c r="AT359" s="74"/>
      <c r="AU359" s="74"/>
      <c r="AV359" s="74"/>
      <c r="AW359" s="809"/>
      <c r="AX359" s="808"/>
      <c r="AY359" s="808"/>
      <c r="AZ359" s="808"/>
      <c r="BA359" s="808"/>
      <c r="BB359" s="809">
        <v>0</v>
      </c>
      <c r="BC359" s="808"/>
      <c r="BD359" s="808"/>
      <c r="BE359" s="808"/>
      <c r="BF359" s="808"/>
      <c r="BG359" s="809">
        <v>0</v>
      </c>
      <c r="BH359" s="808"/>
      <c r="BI359" s="808"/>
      <c r="BJ359" s="808"/>
      <c r="BK359" s="808"/>
      <c r="BL359" s="809">
        <v>0</v>
      </c>
      <c r="BM359" s="808"/>
      <c r="BN359" s="808"/>
      <c r="BO359" s="808"/>
      <c r="BP359" s="808"/>
      <c r="BQ359" s="809">
        <v>0</v>
      </c>
      <c r="BR359" s="808"/>
      <c r="BS359" s="808"/>
      <c r="BT359" s="808"/>
      <c r="BU359" s="808"/>
      <c r="BV359" s="809">
        <f t="shared" si="688"/>
        <v>0</v>
      </c>
      <c r="BW359" s="808"/>
      <c r="BX359" s="808"/>
      <c r="BY359" s="808"/>
      <c r="BZ359" s="808"/>
      <c r="CA359" s="809">
        <f t="shared" si="689"/>
        <v>0</v>
      </c>
      <c r="CB359" s="808"/>
      <c r="CC359" s="808"/>
      <c r="CD359" s="808"/>
      <c r="CE359" s="808"/>
      <c r="CF359" s="809">
        <f t="shared" si="686"/>
        <v>0</v>
      </c>
      <c r="CG359" s="808"/>
      <c r="CH359" s="808"/>
      <c r="CI359" s="808"/>
      <c r="CJ359" s="808"/>
      <c r="CK359" s="809">
        <f t="shared" si="676"/>
        <v>0</v>
      </c>
      <c r="CL359" s="808"/>
      <c r="CM359" s="808"/>
      <c r="CN359" s="808"/>
      <c r="CO359" s="808"/>
      <c r="CP359" s="809">
        <f t="shared" si="677"/>
        <v>0</v>
      </c>
      <c r="CQ359" s="808"/>
      <c r="CR359" s="808"/>
      <c r="CS359" s="808"/>
      <c r="CT359" s="808"/>
      <c r="CU359" s="809">
        <f t="shared" si="678"/>
        <v>0</v>
      </c>
      <c r="CV359" s="808"/>
      <c r="CW359" s="808"/>
      <c r="CX359" s="808"/>
      <c r="CY359" s="808"/>
      <c r="CZ359" s="809">
        <f t="shared" si="679"/>
        <v>0</v>
      </c>
      <c r="DA359" s="808"/>
      <c r="DB359" s="808"/>
      <c r="DC359" s="808"/>
      <c r="DD359" s="808"/>
      <c r="DE359" s="809">
        <f t="shared" si="680"/>
        <v>0</v>
      </c>
      <c r="DF359" s="1021"/>
      <c r="DG359" s="1021"/>
      <c r="DH359" s="1021"/>
      <c r="DI359" s="808"/>
      <c r="DJ359" s="809">
        <f t="shared" si="681"/>
        <v>0</v>
      </c>
      <c r="DK359" s="1021"/>
      <c r="DL359" s="1021"/>
      <c r="DM359" s="1021"/>
      <c r="DN359" s="808"/>
      <c r="DO359" s="809">
        <f t="shared" si="682"/>
        <v>0</v>
      </c>
      <c r="DP359" s="1021"/>
      <c r="DQ359" s="1021"/>
      <c r="DR359" s="1021"/>
      <c r="DS359" s="808"/>
      <c r="DT359" s="809">
        <f t="shared" si="683"/>
        <v>0</v>
      </c>
      <c r="DU359" s="1021"/>
      <c r="DV359" s="1021"/>
      <c r="DW359" s="1021"/>
      <c r="DX359" s="808"/>
      <c r="DY359" s="809">
        <f t="shared" si="684"/>
        <v>0</v>
      </c>
      <c r="DZ359" s="809">
        <f t="shared" si="687"/>
        <v>0</v>
      </c>
      <c r="EA359" s="809">
        <f t="shared" si="690"/>
        <v>0</v>
      </c>
      <c r="EB359" s="809">
        <f t="shared" si="691"/>
        <v>0</v>
      </c>
    </row>
    <row r="360" spans="1:132" s="102" customFormat="1">
      <c r="A360" s="74"/>
      <c r="B360" s="810" t="s">
        <v>528</v>
      </c>
      <c r="C360" s="193"/>
      <c r="D360" s="193"/>
      <c r="E360" s="193"/>
      <c r="F360" s="193"/>
      <c r="G360" s="193"/>
      <c r="H360" s="193"/>
      <c r="I360" s="193"/>
      <c r="J360" s="74"/>
      <c r="K360" s="74"/>
      <c r="L360" s="74"/>
      <c r="M360" s="74"/>
      <c r="N360" s="193"/>
      <c r="O360" s="74"/>
      <c r="P360" s="74"/>
      <c r="Q360" s="74"/>
      <c r="R360" s="74"/>
      <c r="S360" s="193"/>
      <c r="T360" s="74"/>
      <c r="U360" s="74"/>
      <c r="V360" s="74"/>
      <c r="W360" s="74"/>
      <c r="X360" s="193"/>
      <c r="Y360" s="74"/>
      <c r="Z360" s="74"/>
      <c r="AA360" s="74"/>
      <c r="AB360" s="74"/>
      <c r="AC360" s="193"/>
      <c r="AD360" s="74"/>
      <c r="AE360" s="74"/>
      <c r="AF360" s="74"/>
      <c r="AG360" s="74"/>
      <c r="AH360" s="193"/>
      <c r="AI360" s="74"/>
      <c r="AJ360" s="74"/>
      <c r="AK360" s="74"/>
      <c r="AL360" s="74"/>
      <c r="AM360" s="193"/>
      <c r="AN360" s="74"/>
      <c r="AO360" s="74"/>
      <c r="AP360" s="74"/>
      <c r="AQ360" s="74"/>
      <c r="AR360" s="193"/>
      <c r="AS360" s="74"/>
      <c r="AT360" s="74"/>
      <c r="AU360" s="74"/>
      <c r="AV360" s="74"/>
      <c r="AW360" s="809"/>
      <c r="AX360" s="808"/>
      <c r="AY360" s="808"/>
      <c r="AZ360" s="808"/>
      <c r="BA360" s="808"/>
      <c r="BB360" s="809">
        <v>0</v>
      </c>
      <c r="BC360" s="808"/>
      <c r="BD360" s="808"/>
      <c r="BE360" s="808"/>
      <c r="BF360" s="808"/>
      <c r="BG360" s="809">
        <v>0</v>
      </c>
      <c r="BH360" s="808"/>
      <c r="BI360" s="808"/>
      <c r="BJ360" s="808"/>
      <c r="BK360" s="808"/>
      <c r="BL360" s="809">
        <v>0</v>
      </c>
      <c r="BM360" s="808"/>
      <c r="BN360" s="808"/>
      <c r="BO360" s="808"/>
      <c r="BP360" s="808"/>
      <c r="BQ360" s="809">
        <v>0</v>
      </c>
      <c r="BR360" s="808"/>
      <c r="BS360" s="808"/>
      <c r="BT360" s="808"/>
      <c r="BU360" s="808"/>
      <c r="BV360" s="809">
        <f t="shared" si="688"/>
        <v>0</v>
      </c>
      <c r="BW360" s="808"/>
      <c r="BX360" s="808"/>
      <c r="BY360" s="808"/>
      <c r="BZ360" s="808"/>
      <c r="CA360" s="809">
        <f t="shared" si="689"/>
        <v>0</v>
      </c>
      <c r="CB360" s="808"/>
      <c r="CC360" s="808"/>
      <c r="CD360" s="808"/>
      <c r="CE360" s="808"/>
      <c r="CF360" s="809">
        <f t="shared" si="686"/>
        <v>0</v>
      </c>
      <c r="CG360" s="808"/>
      <c r="CH360" s="808"/>
      <c r="CI360" s="808"/>
      <c r="CJ360" s="808"/>
      <c r="CK360" s="809">
        <f t="shared" si="676"/>
        <v>0</v>
      </c>
      <c r="CL360" s="808"/>
      <c r="CM360" s="808"/>
      <c r="CN360" s="808"/>
      <c r="CO360" s="808"/>
      <c r="CP360" s="809">
        <f t="shared" si="677"/>
        <v>0</v>
      </c>
      <c r="CQ360" s="808"/>
      <c r="CR360" s="808"/>
      <c r="CS360" s="808"/>
      <c r="CT360" s="808"/>
      <c r="CU360" s="809">
        <f t="shared" si="678"/>
        <v>0</v>
      </c>
      <c r="CV360" s="808"/>
      <c r="CW360" s="808"/>
      <c r="CX360" s="808"/>
      <c r="CY360" s="808"/>
      <c r="CZ360" s="809">
        <f t="shared" si="679"/>
        <v>0</v>
      </c>
      <c r="DA360" s="808"/>
      <c r="DB360" s="808"/>
      <c r="DC360" s="808"/>
      <c r="DD360" s="808"/>
      <c r="DE360" s="809">
        <f t="shared" si="680"/>
        <v>0</v>
      </c>
      <c r="DF360" s="1021"/>
      <c r="DG360" s="1021"/>
      <c r="DH360" s="1021"/>
      <c r="DI360" s="808"/>
      <c r="DJ360" s="809">
        <f t="shared" si="681"/>
        <v>0</v>
      </c>
      <c r="DK360" s="1021"/>
      <c r="DL360" s="1021"/>
      <c r="DM360" s="1021"/>
      <c r="DN360" s="808"/>
      <c r="DO360" s="809">
        <f t="shared" si="682"/>
        <v>0</v>
      </c>
      <c r="DP360" s="1021"/>
      <c r="DQ360" s="1021"/>
      <c r="DR360" s="1021"/>
      <c r="DS360" s="808"/>
      <c r="DT360" s="809">
        <f t="shared" si="683"/>
        <v>0</v>
      </c>
      <c r="DU360" s="1021"/>
      <c r="DV360" s="1021"/>
      <c r="DW360" s="1021"/>
      <c r="DX360" s="808"/>
      <c r="DY360" s="809">
        <f t="shared" si="684"/>
        <v>0</v>
      </c>
      <c r="DZ360" s="809">
        <f t="shared" si="687"/>
        <v>0</v>
      </c>
      <c r="EA360" s="809">
        <f t="shared" si="690"/>
        <v>0</v>
      </c>
      <c r="EB360" s="809">
        <f t="shared" si="691"/>
        <v>0</v>
      </c>
    </row>
    <row r="361" spans="1:132" s="102" customFormat="1">
      <c r="A361" s="74"/>
      <c r="B361" s="810" t="s">
        <v>529</v>
      </c>
      <c r="C361" s="193"/>
      <c r="D361" s="193"/>
      <c r="E361" s="193"/>
      <c r="F361" s="193"/>
      <c r="G361" s="193"/>
      <c r="H361" s="193"/>
      <c r="I361" s="193"/>
      <c r="J361" s="74"/>
      <c r="K361" s="74"/>
      <c r="L361" s="74"/>
      <c r="M361" s="74"/>
      <c r="N361" s="193"/>
      <c r="O361" s="74"/>
      <c r="P361" s="74"/>
      <c r="Q361" s="74"/>
      <c r="R361" s="74"/>
      <c r="S361" s="193"/>
      <c r="T361" s="74"/>
      <c r="U361" s="74"/>
      <c r="V361" s="74"/>
      <c r="W361" s="74"/>
      <c r="X361" s="193"/>
      <c r="Y361" s="74"/>
      <c r="Z361" s="74"/>
      <c r="AA361" s="74"/>
      <c r="AB361" s="74"/>
      <c r="AC361" s="193"/>
      <c r="AD361" s="74"/>
      <c r="AE361" s="74"/>
      <c r="AF361" s="74"/>
      <c r="AG361" s="74"/>
      <c r="AH361" s="193"/>
      <c r="AI361" s="74"/>
      <c r="AJ361" s="74"/>
      <c r="AK361" s="74"/>
      <c r="AL361" s="74"/>
      <c r="AM361" s="193"/>
      <c r="AN361" s="74"/>
      <c r="AO361" s="74"/>
      <c r="AP361" s="74"/>
      <c r="AQ361" s="74"/>
      <c r="AR361" s="193"/>
      <c r="AS361" s="74"/>
      <c r="AT361" s="74"/>
      <c r="AU361" s="74"/>
      <c r="AV361" s="74"/>
      <c r="AW361" s="809"/>
      <c r="AX361" s="808"/>
      <c r="AY361" s="808"/>
      <c r="AZ361" s="808"/>
      <c r="BA361" s="808"/>
      <c r="BB361" s="809">
        <v>0</v>
      </c>
      <c r="BC361" s="808"/>
      <c r="BD361" s="808"/>
      <c r="BE361" s="808"/>
      <c r="BF361" s="808"/>
      <c r="BG361" s="809">
        <v>0</v>
      </c>
      <c r="BH361" s="808"/>
      <c r="BI361" s="808"/>
      <c r="BJ361" s="808"/>
      <c r="BK361" s="808"/>
      <c r="BL361" s="809">
        <v>0</v>
      </c>
      <c r="BM361" s="808"/>
      <c r="BN361" s="808"/>
      <c r="BO361" s="808"/>
      <c r="BP361" s="808"/>
      <c r="BQ361" s="809">
        <v>0</v>
      </c>
      <c r="BR361" s="808"/>
      <c r="BS361" s="808"/>
      <c r="BT361" s="808"/>
      <c r="BU361" s="808"/>
      <c r="BV361" s="809">
        <f t="shared" si="688"/>
        <v>0</v>
      </c>
      <c r="BW361" s="808"/>
      <c r="BX361" s="808"/>
      <c r="BY361" s="808"/>
      <c r="BZ361" s="808"/>
      <c r="CA361" s="809">
        <f t="shared" si="689"/>
        <v>0</v>
      </c>
      <c r="CB361" s="808"/>
      <c r="CC361" s="808"/>
      <c r="CD361" s="808"/>
      <c r="CE361" s="808"/>
      <c r="CF361" s="809">
        <f t="shared" si="686"/>
        <v>0</v>
      </c>
      <c r="CG361" s="808"/>
      <c r="CH361" s="808"/>
      <c r="CI361" s="808"/>
      <c r="CJ361" s="808"/>
      <c r="CK361" s="809">
        <f t="shared" si="676"/>
        <v>0</v>
      </c>
      <c r="CL361" s="808"/>
      <c r="CM361" s="808"/>
      <c r="CN361" s="808"/>
      <c r="CO361" s="808"/>
      <c r="CP361" s="809">
        <f t="shared" si="677"/>
        <v>0</v>
      </c>
      <c r="CQ361" s="808"/>
      <c r="CR361" s="808"/>
      <c r="CS361" s="808"/>
      <c r="CT361" s="808"/>
      <c r="CU361" s="809">
        <f t="shared" si="678"/>
        <v>0</v>
      </c>
      <c r="CV361" s="808"/>
      <c r="CW361" s="808"/>
      <c r="CX361" s="808"/>
      <c r="CY361" s="808"/>
      <c r="CZ361" s="809">
        <f t="shared" si="679"/>
        <v>0</v>
      </c>
      <c r="DA361" s="808"/>
      <c r="DB361" s="808"/>
      <c r="DC361" s="808"/>
      <c r="DD361" s="808"/>
      <c r="DE361" s="809">
        <f t="shared" si="680"/>
        <v>0</v>
      </c>
      <c r="DF361" s="1021"/>
      <c r="DG361" s="1021"/>
      <c r="DH361" s="1021"/>
      <c r="DI361" s="808"/>
      <c r="DJ361" s="809">
        <f t="shared" si="681"/>
        <v>0</v>
      </c>
      <c r="DK361" s="1021"/>
      <c r="DL361" s="1021"/>
      <c r="DM361" s="1021"/>
      <c r="DN361" s="808"/>
      <c r="DO361" s="809">
        <f t="shared" si="682"/>
        <v>0</v>
      </c>
      <c r="DP361" s="1021"/>
      <c r="DQ361" s="1021"/>
      <c r="DR361" s="1021"/>
      <c r="DS361" s="808"/>
      <c r="DT361" s="809">
        <f t="shared" si="683"/>
        <v>0</v>
      </c>
      <c r="DU361" s="1021"/>
      <c r="DV361" s="1021"/>
      <c r="DW361" s="1021"/>
      <c r="DX361" s="808"/>
      <c r="DY361" s="809">
        <f t="shared" si="684"/>
        <v>0</v>
      </c>
      <c r="DZ361" s="809">
        <f t="shared" si="687"/>
        <v>0</v>
      </c>
      <c r="EA361" s="809">
        <f t="shared" si="690"/>
        <v>0</v>
      </c>
      <c r="EB361" s="809">
        <f t="shared" si="691"/>
        <v>0</v>
      </c>
    </row>
    <row r="362" spans="1:132" s="102" customFormat="1">
      <c r="A362" s="74"/>
      <c r="B362" s="810" t="s">
        <v>530</v>
      </c>
      <c r="C362" s="193"/>
      <c r="D362" s="193"/>
      <c r="E362" s="193"/>
      <c r="F362" s="193"/>
      <c r="G362" s="193"/>
      <c r="H362" s="193"/>
      <c r="I362" s="193"/>
      <c r="J362" s="74"/>
      <c r="K362" s="74"/>
      <c r="L362" s="74"/>
      <c r="M362" s="74"/>
      <c r="N362" s="193"/>
      <c r="O362" s="74"/>
      <c r="P362" s="74"/>
      <c r="Q362" s="74"/>
      <c r="R362" s="74"/>
      <c r="S362" s="193"/>
      <c r="T362" s="74"/>
      <c r="U362" s="74"/>
      <c r="V362" s="74"/>
      <c r="W362" s="74"/>
      <c r="X362" s="193"/>
      <c r="Y362" s="74"/>
      <c r="Z362" s="74"/>
      <c r="AA362" s="74"/>
      <c r="AB362" s="74"/>
      <c r="AC362" s="193"/>
      <c r="AD362" s="74"/>
      <c r="AE362" s="74"/>
      <c r="AF362" s="74"/>
      <c r="AG362" s="74"/>
      <c r="AH362" s="193"/>
      <c r="AI362" s="74"/>
      <c r="AJ362" s="74"/>
      <c r="AK362" s="74"/>
      <c r="AL362" s="74"/>
      <c r="AM362" s="193"/>
      <c r="AN362" s="74"/>
      <c r="AO362" s="74"/>
      <c r="AP362" s="74"/>
      <c r="AQ362" s="74"/>
      <c r="AR362" s="193"/>
      <c r="AS362" s="74"/>
      <c r="AT362" s="74"/>
      <c r="AU362" s="74"/>
      <c r="AV362" s="74"/>
      <c r="AW362" s="809"/>
      <c r="AX362" s="808"/>
      <c r="AY362" s="808"/>
      <c r="AZ362" s="808"/>
      <c r="BA362" s="808"/>
      <c r="BB362" s="809">
        <v>0.03</v>
      </c>
      <c r="BC362" s="808"/>
      <c r="BD362" s="808"/>
      <c r="BE362" s="808"/>
      <c r="BF362" s="808"/>
      <c r="BG362" s="809">
        <v>0.03</v>
      </c>
      <c r="BH362" s="808"/>
      <c r="BI362" s="808"/>
      <c r="BJ362" s="808"/>
      <c r="BK362" s="808"/>
      <c r="BL362" s="809">
        <v>0.02</v>
      </c>
      <c r="BM362" s="808"/>
      <c r="BN362" s="808"/>
      <c r="BO362" s="808"/>
      <c r="BP362" s="808"/>
      <c r="BQ362" s="916">
        <v>0.03</v>
      </c>
      <c r="BR362" s="808"/>
      <c r="BS362" s="808"/>
      <c r="BT362" s="808"/>
      <c r="BU362" s="808"/>
      <c r="BV362" s="916">
        <f>+BV255*0.25</f>
        <v>3.5150839052140719E-2</v>
      </c>
      <c r="BW362" s="808"/>
      <c r="BX362" s="808"/>
      <c r="BY362" s="808"/>
      <c r="BZ362" s="808"/>
      <c r="CA362" s="916">
        <f>+CA255*0.25</f>
        <v>3.2890932842213463E-2</v>
      </c>
      <c r="CB362" s="808"/>
      <c r="CC362" s="808"/>
      <c r="CD362" s="808"/>
      <c r="CE362" s="808"/>
      <c r="CF362" s="809">
        <f t="shared" si="686"/>
        <v>3.2890932842213463E-2</v>
      </c>
      <c r="CG362" s="808"/>
      <c r="CH362" s="808"/>
      <c r="CI362" s="808"/>
      <c r="CJ362" s="808"/>
      <c r="CK362" s="809">
        <f t="shared" si="676"/>
        <v>3.2890932842213463E-2</v>
      </c>
      <c r="CL362" s="808"/>
      <c r="CM362" s="808"/>
      <c r="CN362" s="808"/>
      <c r="CO362" s="808"/>
      <c r="CP362" s="809">
        <f t="shared" si="677"/>
        <v>3.2890932842213463E-2</v>
      </c>
      <c r="CQ362" s="808"/>
      <c r="CR362" s="808"/>
      <c r="CS362" s="808"/>
      <c r="CT362" s="808"/>
      <c r="CU362" s="809">
        <f t="shared" si="678"/>
        <v>3.2890932842213463E-2</v>
      </c>
      <c r="CV362" s="808"/>
      <c r="CW362" s="808"/>
      <c r="CX362" s="808"/>
      <c r="CY362" s="808"/>
      <c r="CZ362" s="809">
        <f t="shared" si="679"/>
        <v>3.2890932842213463E-2</v>
      </c>
      <c r="DA362" s="808"/>
      <c r="DB362" s="808"/>
      <c r="DC362" s="808"/>
      <c r="DD362" s="808"/>
      <c r="DE362" s="809">
        <f t="shared" si="680"/>
        <v>3.2890932842213463E-2</v>
      </c>
      <c r="DF362" s="1021"/>
      <c r="DG362" s="1021"/>
      <c r="DH362" s="1021"/>
      <c r="DI362" s="808"/>
      <c r="DJ362" s="809">
        <f t="shared" si="681"/>
        <v>3.2890932842213463E-2</v>
      </c>
      <c r="DK362" s="1021"/>
      <c r="DL362" s="1021"/>
      <c r="DM362" s="1021"/>
      <c r="DN362" s="808"/>
      <c r="DO362" s="809">
        <f t="shared" si="682"/>
        <v>3.2890932842213463E-2</v>
      </c>
      <c r="DP362" s="1021"/>
      <c r="DQ362" s="1021"/>
      <c r="DR362" s="1021"/>
      <c r="DS362" s="808"/>
      <c r="DT362" s="809">
        <f t="shared" si="683"/>
        <v>3.2890932842213463E-2</v>
      </c>
      <c r="DU362" s="1021"/>
      <c r="DV362" s="1021"/>
      <c r="DW362" s="1021"/>
      <c r="DX362" s="808"/>
      <c r="DY362" s="809">
        <f t="shared" si="684"/>
        <v>3.2890932842213463E-2</v>
      </c>
      <c r="DZ362" s="809">
        <f t="shared" si="687"/>
        <v>3.2890932842213463E-2</v>
      </c>
      <c r="EA362" s="809">
        <f t="shared" si="690"/>
        <v>3.2890932842213463E-2</v>
      </c>
      <c r="EB362" s="809">
        <f t="shared" si="691"/>
        <v>3.2890932842213463E-2</v>
      </c>
    </row>
    <row r="363" spans="1:132" s="102" customFormat="1">
      <c r="A363" s="74"/>
      <c r="B363" s="810" t="s">
        <v>531</v>
      </c>
      <c r="C363" s="193"/>
      <c r="D363" s="193"/>
      <c r="E363" s="193"/>
      <c r="F363" s="193"/>
      <c r="G363" s="193"/>
      <c r="H363" s="193"/>
      <c r="I363" s="193"/>
      <c r="J363" s="74"/>
      <c r="K363" s="74"/>
      <c r="L363" s="74"/>
      <c r="M363" s="74"/>
      <c r="N363" s="193"/>
      <c r="O363" s="74"/>
      <c r="P363" s="74"/>
      <c r="Q363" s="74"/>
      <c r="R363" s="74"/>
      <c r="S363" s="193"/>
      <c r="T363" s="74"/>
      <c r="U363" s="74"/>
      <c r="V363" s="74"/>
      <c r="W363" s="74"/>
      <c r="X363" s="193"/>
      <c r="Y363" s="74"/>
      <c r="Z363" s="74"/>
      <c r="AA363" s="74"/>
      <c r="AB363" s="74"/>
      <c r="AC363" s="193"/>
      <c r="AD363" s="74"/>
      <c r="AE363" s="74"/>
      <c r="AF363" s="74"/>
      <c r="AG363" s="74"/>
      <c r="AH363" s="193"/>
      <c r="AI363" s="74"/>
      <c r="AJ363" s="74"/>
      <c r="AK363" s="74"/>
      <c r="AL363" s="74"/>
      <c r="AM363" s="193"/>
      <c r="AN363" s="74"/>
      <c r="AO363" s="74"/>
      <c r="AP363" s="74"/>
      <c r="AQ363" s="74"/>
      <c r="AR363" s="193"/>
      <c r="AS363" s="74"/>
      <c r="AT363" s="74"/>
      <c r="AU363" s="74"/>
      <c r="AV363" s="74"/>
      <c r="AW363" s="809"/>
      <c r="AX363" s="808"/>
      <c r="AY363" s="808"/>
      <c r="AZ363" s="808"/>
      <c r="BA363" s="808"/>
      <c r="BB363" s="809">
        <v>0.05</v>
      </c>
      <c r="BC363" s="808"/>
      <c r="BD363" s="808"/>
      <c r="BE363" s="808"/>
      <c r="BF363" s="808"/>
      <c r="BG363" s="809">
        <v>0.05</v>
      </c>
      <c r="BH363" s="808"/>
      <c r="BI363" s="808"/>
      <c r="BJ363" s="808"/>
      <c r="BK363" s="808"/>
      <c r="BL363" s="809">
        <v>0.05</v>
      </c>
      <c r="BM363" s="808"/>
      <c r="BN363" s="808"/>
      <c r="BO363" s="808"/>
      <c r="BP363" s="808"/>
      <c r="BQ363" s="916">
        <v>0.05</v>
      </c>
      <c r="BR363" s="808"/>
      <c r="BS363" s="808"/>
      <c r="BT363" s="808"/>
      <c r="BU363" s="808"/>
      <c r="BV363" s="916">
        <f>+BV255*0.5</f>
        <v>7.0301678104281437E-2</v>
      </c>
      <c r="BW363" s="808"/>
      <c r="BX363" s="808"/>
      <c r="BY363" s="808"/>
      <c r="BZ363" s="808"/>
      <c r="CA363" s="916">
        <f>+CA255*0.5</f>
        <v>6.5781865684426927E-2</v>
      </c>
      <c r="CB363" s="808"/>
      <c r="CC363" s="808"/>
      <c r="CD363" s="808"/>
      <c r="CE363" s="808"/>
      <c r="CF363" s="809">
        <f t="shared" si="686"/>
        <v>6.5781865684426927E-2</v>
      </c>
      <c r="CG363" s="808"/>
      <c r="CH363" s="808"/>
      <c r="CI363" s="808"/>
      <c r="CJ363" s="808"/>
      <c r="CK363" s="809">
        <f t="shared" si="676"/>
        <v>6.5781865684426927E-2</v>
      </c>
      <c r="CL363" s="808"/>
      <c r="CM363" s="808"/>
      <c r="CN363" s="808"/>
      <c r="CO363" s="808"/>
      <c r="CP363" s="809">
        <f t="shared" si="677"/>
        <v>6.5781865684426927E-2</v>
      </c>
      <c r="CQ363" s="808"/>
      <c r="CR363" s="808"/>
      <c r="CS363" s="808"/>
      <c r="CT363" s="808"/>
      <c r="CU363" s="809">
        <f t="shared" si="678"/>
        <v>6.5781865684426927E-2</v>
      </c>
      <c r="CV363" s="808"/>
      <c r="CW363" s="808"/>
      <c r="CX363" s="808"/>
      <c r="CY363" s="808"/>
      <c r="CZ363" s="809">
        <f t="shared" si="679"/>
        <v>6.5781865684426927E-2</v>
      </c>
      <c r="DA363" s="808"/>
      <c r="DB363" s="808"/>
      <c r="DC363" s="808"/>
      <c r="DD363" s="808"/>
      <c r="DE363" s="809">
        <f t="shared" si="680"/>
        <v>6.5781865684426927E-2</v>
      </c>
      <c r="DF363" s="1021"/>
      <c r="DG363" s="1021"/>
      <c r="DH363" s="1021"/>
      <c r="DI363" s="808"/>
      <c r="DJ363" s="809">
        <f t="shared" si="681"/>
        <v>6.5781865684426927E-2</v>
      </c>
      <c r="DK363" s="1021"/>
      <c r="DL363" s="1021"/>
      <c r="DM363" s="1021"/>
      <c r="DN363" s="808"/>
      <c r="DO363" s="809">
        <f t="shared" si="682"/>
        <v>6.5781865684426927E-2</v>
      </c>
      <c r="DP363" s="1021"/>
      <c r="DQ363" s="1021"/>
      <c r="DR363" s="1021"/>
      <c r="DS363" s="808"/>
      <c r="DT363" s="809">
        <f t="shared" si="683"/>
        <v>6.5781865684426927E-2</v>
      </c>
      <c r="DU363" s="1021"/>
      <c r="DV363" s="1021"/>
      <c r="DW363" s="1021"/>
      <c r="DX363" s="808"/>
      <c r="DY363" s="809">
        <f t="shared" si="684"/>
        <v>6.5781865684426927E-2</v>
      </c>
      <c r="DZ363" s="809">
        <f t="shared" si="687"/>
        <v>6.5781865684426927E-2</v>
      </c>
      <c r="EA363" s="809">
        <f t="shared" si="690"/>
        <v>6.5781865684426927E-2</v>
      </c>
      <c r="EB363" s="809">
        <f t="shared" si="691"/>
        <v>6.5781865684426927E-2</v>
      </c>
    </row>
    <row r="364" spans="1:132" s="102" customFormat="1">
      <c r="A364" s="74"/>
      <c r="B364" s="810" t="s">
        <v>532</v>
      </c>
      <c r="C364" s="193"/>
      <c r="D364" s="193"/>
      <c r="E364" s="193"/>
      <c r="F364" s="193"/>
      <c r="G364" s="193"/>
      <c r="H364" s="193"/>
      <c r="I364" s="193"/>
      <c r="J364" s="74"/>
      <c r="K364" s="74"/>
      <c r="L364" s="74"/>
      <c r="M364" s="74"/>
      <c r="N364" s="193"/>
      <c r="O364" s="74"/>
      <c r="P364" s="74"/>
      <c r="Q364" s="74"/>
      <c r="R364" s="74"/>
      <c r="S364" s="193"/>
      <c r="T364" s="74"/>
      <c r="U364" s="74"/>
      <c r="V364" s="74"/>
      <c r="W364" s="74"/>
      <c r="X364" s="193"/>
      <c r="Y364" s="74"/>
      <c r="Z364" s="74"/>
      <c r="AA364" s="74"/>
      <c r="AB364" s="74"/>
      <c r="AC364" s="193"/>
      <c r="AD364" s="74"/>
      <c r="AE364" s="74"/>
      <c r="AF364" s="74"/>
      <c r="AG364" s="74"/>
      <c r="AH364" s="193"/>
      <c r="AI364" s="74"/>
      <c r="AJ364" s="74"/>
      <c r="AK364" s="74"/>
      <c r="AL364" s="74"/>
      <c r="AM364" s="193"/>
      <c r="AN364" s="74"/>
      <c r="AO364" s="74"/>
      <c r="AP364" s="74"/>
      <c r="AQ364" s="74"/>
      <c r="AR364" s="193"/>
      <c r="AS364" s="74"/>
      <c r="AT364" s="74"/>
      <c r="AU364" s="74"/>
      <c r="AV364" s="74"/>
      <c r="AW364" s="809"/>
      <c r="AX364" s="808"/>
      <c r="AY364" s="808"/>
      <c r="AZ364" s="808"/>
      <c r="BA364" s="808"/>
      <c r="BB364" s="809">
        <v>0.05</v>
      </c>
      <c r="BC364" s="808"/>
      <c r="BD364" s="808"/>
      <c r="BE364" s="808"/>
      <c r="BF364" s="808"/>
      <c r="BG364" s="809">
        <v>0.03</v>
      </c>
      <c r="BH364" s="808"/>
      <c r="BI364" s="808"/>
      <c r="BJ364" s="808"/>
      <c r="BK364" s="808"/>
      <c r="BL364" s="809">
        <v>0.03</v>
      </c>
      <c r="BM364" s="808"/>
      <c r="BN364" s="808"/>
      <c r="BO364" s="808"/>
      <c r="BP364" s="808"/>
      <c r="BQ364" s="916">
        <v>0.03</v>
      </c>
      <c r="BR364" s="808"/>
      <c r="BS364" s="808"/>
      <c r="BT364" s="808"/>
      <c r="BU364" s="808"/>
      <c r="BV364" s="916">
        <f>+BV255*0.25</f>
        <v>3.5150839052140719E-2</v>
      </c>
      <c r="BW364" s="808"/>
      <c r="BX364" s="808"/>
      <c r="BY364" s="808"/>
      <c r="BZ364" s="808"/>
      <c r="CA364" s="916">
        <f>+CA255*0.25</f>
        <v>3.2890932842213463E-2</v>
      </c>
      <c r="CB364" s="808"/>
      <c r="CC364" s="808"/>
      <c r="CD364" s="808"/>
      <c r="CE364" s="808"/>
      <c r="CF364" s="809">
        <f t="shared" si="686"/>
        <v>3.2890932842213463E-2</v>
      </c>
      <c r="CG364" s="808"/>
      <c r="CH364" s="808"/>
      <c r="CI364" s="808"/>
      <c r="CJ364" s="808"/>
      <c r="CK364" s="809">
        <f t="shared" si="676"/>
        <v>3.2890932842213463E-2</v>
      </c>
      <c r="CL364" s="808"/>
      <c r="CM364" s="808"/>
      <c r="CN364" s="808"/>
      <c r="CO364" s="808"/>
      <c r="CP364" s="809">
        <f t="shared" si="677"/>
        <v>3.2890932842213463E-2</v>
      </c>
      <c r="CQ364" s="808"/>
      <c r="CR364" s="808"/>
      <c r="CS364" s="808"/>
      <c r="CT364" s="808"/>
      <c r="CU364" s="809">
        <f t="shared" si="678"/>
        <v>3.2890932842213463E-2</v>
      </c>
      <c r="CV364" s="808"/>
      <c r="CW364" s="808"/>
      <c r="CX364" s="808"/>
      <c r="CY364" s="808"/>
      <c r="CZ364" s="809">
        <f t="shared" si="679"/>
        <v>3.2890932842213463E-2</v>
      </c>
      <c r="DA364" s="808"/>
      <c r="DB364" s="808"/>
      <c r="DC364" s="808"/>
      <c r="DD364" s="808"/>
      <c r="DE364" s="809">
        <f t="shared" si="680"/>
        <v>3.2890932842213463E-2</v>
      </c>
      <c r="DF364" s="1021"/>
      <c r="DG364" s="1021"/>
      <c r="DH364" s="1021"/>
      <c r="DI364" s="808"/>
      <c r="DJ364" s="809">
        <f t="shared" si="681"/>
        <v>3.2890932842213463E-2</v>
      </c>
      <c r="DK364" s="1021"/>
      <c r="DL364" s="1021"/>
      <c r="DM364" s="1021"/>
      <c r="DN364" s="808"/>
      <c r="DO364" s="809">
        <f t="shared" si="682"/>
        <v>3.2890932842213463E-2</v>
      </c>
      <c r="DP364" s="1021"/>
      <c r="DQ364" s="1021"/>
      <c r="DR364" s="1021"/>
      <c r="DS364" s="808"/>
      <c r="DT364" s="809">
        <f t="shared" si="683"/>
        <v>3.2890932842213463E-2</v>
      </c>
      <c r="DU364" s="1021"/>
      <c r="DV364" s="1021"/>
      <c r="DW364" s="1021"/>
      <c r="DX364" s="808"/>
      <c r="DY364" s="809">
        <f t="shared" si="684"/>
        <v>3.2890932842213463E-2</v>
      </c>
      <c r="DZ364" s="809">
        <f t="shared" si="687"/>
        <v>3.2890932842213463E-2</v>
      </c>
      <c r="EA364" s="809">
        <f t="shared" si="690"/>
        <v>3.2890932842213463E-2</v>
      </c>
      <c r="EB364" s="809">
        <f t="shared" si="691"/>
        <v>3.2890932842213463E-2</v>
      </c>
    </row>
    <row r="365" spans="1:132" s="102" customFormat="1">
      <c r="A365" s="74"/>
      <c r="B365" s="810" t="s">
        <v>533</v>
      </c>
      <c r="C365" s="193"/>
      <c r="D365" s="193"/>
      <c r="E365" s="193"/>
      <c r="F365" s="193"/>
      <c r="G365" s="193"/>
      <c r="H365" s="193"/>
      <c r="I365" s="193"/>
      <c r="J365" s="74"/>
      <c r="K365" s="74"/>
      <c r="L365" s="74"/>
      <c r="M365" s="74"/>
      <c r="N365" s="193"/>
      <c r="O365" s="74"/>
      <c r="P365" s="74"/>
      <c r="Q365" s="74"/>
      <c r="R365" s="74"/>
      <c r="S365" s="193"/>
      <c r="T365" s="74"/>
      <c r="U365" s="74"/>
      <c r="V365" s="74"/>
      <c r="W365" s="74"/>
      <c r="X365" s="193"/>
      <c r="Y365" s="74"/>
      <c r="Z365" s="74"/>
      <c r="AA365" s="74"/>
      <c r="AB365" s="74"/>
      <c r="AC365" s="193"/>
      <c r="AD365" s="74"/>
      <c r="AE365" s="74"/>
      <c r="AF365" s="74"/>
      <c r="AG365" s="74"/>
      <c r="AH365" s="193"/>
      <c r="AI365" s="74"/>
      <c r="AJ365" s="74"/>
      <c r="AK365" s="74"/>
      <c r="AL365" s="74"/>
      <c r="AM365" s="193"/>
      <c r="AN365" s="74"/>
      <c r="AO365" s="74"/>
      <c r="AP365" s="74"/>
      <c r="AQ365" s="74"/>
      <c r="AR365" s="193"/>
      <c r="AS365" s="74"/>
      <c r="AT365" s="74"/>
      <c r="AU365" s="74"/>
      <c r="AV365" s="74"/>
      <c r="AW365" s="809"/>
      <c r="AX365" s="808"/>
      <c r="AY365" s="808"/>
      <c r="AZ365" s="808"/>
      <c r="BA365" s="808"/>
      <c r="BB365" s="809">
        <v>0</v>
      </c>
      <c r="BC365" s="808"/>
      <c r="BD365" s="808"/>
      <c r="BE365" s="808"/>
      <c r="BF365" s="808"/>
      <c r="BG365" s="809">
        <v>0</v>
      </c>
      <c r="BH365" s="808"/>
      <c r="BI365" s="808"/>
      <c r="BJ365" s="808"/>
      <c r="BK365" s="808"/>
      <c r="BL365" s="809">
        <v>0</v>
      </c>
      <c r="BM365" s="808"/>
      <c r="BN365" s="808"/>
      <c r="BO365" s="808"/>
      <c r="BP365" s="808"/>
      <c r="BQ365" s="809">
        <v>0</v>
      </c>
      <c r="BR365" s="808"/>
      <c r="BS365" s="808"/>
      <c r="BT365" s="808"/>
      <c r="BU365" s="808"/>
      <c r="BV365" s="809">
        <f t="shared" si="688"/>
        <v>0</v>
      </c>
      <c r="BW365" s="808"/>
      <c r="BX365" s="808"/>
      <c r="BY365" s="808"/>
      <c r="BZ365" s="808"/>
      <c r="CA365" s="809">
        <f t="shared" si="689"/>
        <v>0</v>
      </c>
      <c r="CB365" s="808"/>
      <c r="CC365" s="808"/>
      <c r="CD365" s="808"/>
      <c r="CE365" s="808"/>
      <c r="CF365" s="809">
        <f t="shared" si="686"/>
        <v>0</v>
      </c>
      <c r="CG365" s="808"/>
      <c r="CH365" s="808"/>
      <c r="CI365" s="808"/>
      <c r="CJ365" s="808"/>
      <c r="CK365" s="809">
        <f t="shared" si="676"/>
        <v>0</v>
      </c>
      <c r="CL365" s="808"/>
      <c r="CM365" s="808"/>
      <c r="CN365" s="808"/>
      <c r="CO365" s="808"/>
      <c r="CP365" s="809">
        <f t="shared" si="677"/>
        <v>0</v>
      </c>
      <c r="CQ365" s="808"/>
      <c r="CR365" s="808"/>
      <c r="CS365" s="808"/>
      <c r="CT365" s="808"/>
      <c r="CU365" s="809">
        <f t="shared" si="678"/>
        <v>0</v>
      </c>
      <c r="CV365" s="808"/>
      <c r="CW365" s="808"/>
      <c r="CX365" s="808"/>
      <c r="CY365" s="808"/>
      <c r="CZ365" s="809">
        <f t="shared" si="679"/>
        <v>0</v>
      </c>
      <c r="DA365" s="808"/>
      <c r="DB365" s="808"/>
      <c r="DC365" s="808"/>
      <c r="DD365" s="808"/>
      <c r="DE365" s="809">
        <f t="shared" si="680"/>
        <v>0</v>
      </c>
      <c r="DF365" s="1021"/>
      <c r="DG365" s="1021"/>
      <c r="DH365" s="1021"/>
      <c r="DI365" s="808"/>
      <c r="DJ365" s="809">
        <f t="shared" si="681"/>
        <v>0</v>
      </c>
      <c r="DK365" s="1021"/>
      <c r="DL365" s="1021"/>
      <c r="DM365" s="1021"/>
      <c r="DN365" s="808"/>
      <c r="DO365" s="809">
        <f t="shared" si="682"/>
        <v>0</v>
      </c>
      <c r="DP365" s="1021"/>
      <c r="DQ365" s="1021"/>
      <c r="DR365" s="1021"/>
      <c r="DS365" s="808"/>
      <c r="DT365" s="809">
        <f t="shared" si="683"/>
        <v>0</v>
      </c>
      <c r="DU365" s="1021"/>
      <c r="DV365" s="1021"/>
      <c r="DW365" s="1021"/>
      <c r="DX365" s="808"/>
      <c r="DY365" s="809">
        <f t="shared" si="684"/>
        <v>0</v>
      </c>
      <c r="DZ365" s="809">
        <f t="shared" si="687"/>
        <v>0</v>
      </c>
      <c r="EA365" s="809">
        <f t="shared" si="690"/>
        <v>0</v>
      </c>
      <c r="EB365" s="809">
        <f t="shared" si="691"/>
        <v>0</v>
      </c>
    </row>
    <row r="366" spans="1:132" s="102" customFormat="1">
      <c r="A366" s="74"/>
      <c r="B366" s="810" t="s">
        <v>534</v>
      </c>
      <c r="C366" s="193"/>
      <c r="D366" s="193"/>
      <c r="E366" s="193"/>
      <c r="F366" s="193"/>
      <c r="G366" s="193"/>
      <c r="H366" s="193"/>
      <c r="I366" s="193"/>
      <c r="J366" s="74"/>
      <c r="K366" s="74"/>
      <c r="L366" s="74"/>
      <c r="M366" s="74"/>
      <c r="N366" s="193"/>
      <c r="O366" s="74"/>
      <c r="P366" s="74"/>
      <c r="Q366" s="74"/>
      <c r="R366" s="74"/>
      <c r="S366" s="193"/>
      <c r="T366" s="74"/>
      <c r="U366" s="74"/>
      <c r="V366" s="74"/>
      <c r="W366" s="74"/>
      <c r="X366" s="193"/>
      <c r="Y366" s="74"/>
      <c r="Z366" s="74"/>
      <c r="AA366" s="74"/>
      <c r="AB366" s="74"/>
      <c r="AC366" s="193"/>
      <c r="AD366" s="74"/>
      <c r="AE366" s="74"/>
      <c r="AF366" s="74"/>
      <c r="AG366" s="74"/>
      <c r="AH366" s="193"/>
      <c r="AI366" s="74"/>
      <c r="AJ366" s="74"/>
      <c r="AK366" s="74"/>
      <c r="AL366" s="74"/>
      <c r="AM366" s="193"/>
      <c r="AN366" s="74"/>
      <c r="AO366" s="74"/>
      <c r="AP366" s="74"/>
      <c r="AQ366" s="74"/>
      <c r="AR366" s="193"/>
      <c r="AS366" s="74"/>
      <c r="AT366" s="74"/>
      <c r="AU366" s="74"/>
      <c r="AV366" s="74"/>
      <c r="AW366" s="809"/>
      <c r="AX366" s="808"/>
      <c r="AY366" s="808"/>
      <c r="AZ366" s="808"/>
      <c r="BA366" s="808"/>
      <c r="BB366" s="809">
        <v>0</v>
      </c>
      <c r="BC366" s="808"/>
      <c r="BD366" s="808"/>
      <c r="BE366" s="808"/>
      <c r="BF366" s="808"/>
      <c r="BG366" s="809">
        <v>0</v>
      </c>
      <c r="BH366" s="808"/>
      <c r="BI366" s="808"/>
      <c r="BJ366" s="808"/>
      <c r="BK366" s="808"/>
      <c r="BL366" s="809">
        <v>0</v>
      </c>
      <c r="BM366" s="808"/>
      <c r="BN366" s="808"/>
      <c r="BO366" s="808"/>
      <c r="BP366" s="808"/>
      <c r="BQ366" s="809">
        <v>0</v>
      </c>
      <c r="BR366" s="808"/>
      <c r="BS366" s="808"/>
      <c r="BT366" s="808"/>
      <c r="BU366" s="808"/>
      <c r="BV366" s="809">
        <f t="shared" si="688"/>
        <v>0</v>
      </c>
      <c r="BW366" s="808"/>
      <c r="BX366" s="808"/>
      <c r="BY366" s="808"/>
      <c r="BZ366" s="808"/>
      <c r="CA366" s="809">
        <f t="shared" si="689"/>
        <v>0</v>
      </c>
      <c r="CB366" s="808"/>
      <c r="CC366" s="808"/>
      <c r="CD366" s="808"/>
      <c r="CE366" s="808"/>
      <c r="CF366" s="809">
        <f t="shared" si="686"/>
        <v>0</v>
      </c>
      <c r="CG366" s="808"/>
      <c r="CH366" s="808"/>
      <c r="CI366" s="808"/>
      <c r="CJ366" s="808"/>
      <c r="CK366" s="809">
        <f t="shared" si="676"/>
        <v>0</v>
      </c>
      <c r="CL366" s="808"/>
      <c r="CM366" s="808"/>
      <c r="CN366" s="808"/>
      <c r="CO366" s="808"/>
      <c r="CP366" s="809">
        <f t="shared" si="677"/>
        <v>0</v>
      </c>
      <c r="CQ366" s="808"/>
      <c r="CR366" s="808"/>
      <c r="CS366" s="808"/>
      <c r="CT366" s="808"/>
      <c r="CU366" s="809">
        <f t="shared" si="678"/>
        <v>0</v>
      </c>
      <c r="CV366" s="808"/>
      <c r="CW366" s="808"/>
      <c r="CX366" s="808"/>
      <c r="CY366" s="808"/>
      <c r="CZ366" s="809">
        <f t="shared" si="679"/>
        <v>0</v>
      </c>
      <c r="DA366" s="808"/>
      <c r="DB366" s="808"/>
      <c r="DC366" s="808"/>
      <c r="DD366" s="808"/>
      <c r="DE366" s="809">
        <f t="shared" si="680"/>
        <v>0</v>
      </c>
      <c r="DF366" s="1021"/>
      <c r="DG366" s="1021"/>
      <c r="DH366" s="1021"/>
      <c r="DI366" s="808"/>
      <c r="DJ366" s="809">
        <f t="shared" si="681"/>
        <v>0</v>
      </c>
      <c r="DK366" s="1021"/>
      <c r="DL366" s="1021"/>
      <c r="DM366" s="1021"/>
      <c r="DN366" s="808"/>
      <c r="DO366" s="809">
        <f t="shared" si="682"/>
        <v>0</v>
      </c>
      <c r="DP366" s="1021"/>
      <c r="DQ366" s="1021"/>
      <c r="DR366" s="1021"/>
      <c r="DS366" s="808"/>
      <c r="DT366" s="809">
        <f t="shared" si="683"/>
        <v>0</v>
      </c>
      <c r="DU366" s="1021"/>
      <c r="DV366" s="1021"/>
      <c r="DW366" s="1021"/>
      <c r="DX366" s="808"/>
      <c r="DY366" s="809">
        <f t="shared" si="684"/>
        <v>0</v>
      </c>
      <c r="DZ366" s="809">
        <f t="shared" si="687"/>
        <v>0</v>
      </c>
      <c r="EA366" s="809">
        <f t="shared" si="690"/>
        <v>0</v>
      </c>
      <c r="EB366" s="809">
        <f t="shared" si="691"/>
        <v>0</v>
      </c>
    </row>
    <row r="367" spans="1:132" s="102" customFormat="1">
      <c r="A367" s="74"/>
      <c r="B367" s="810" t="s">
        <v>535</v>
      </c>
      <c r="C367" s="193"/>
      <c r="D367" s="193"/>
      <c r="E367" s="193"/>
      <c r="F367" s="193"/>
      <c r="G367" s="193"/>
      <c r="H367" s="193"/>
      <c r="I367" s="193"/>
      <c r="J367" s="74"/>
      <c r="K367" s="74"/>
      <c r="L367" s="74"/>
      <c r="M367" s="74"/>
      <c r="N367" s="193"/>
      <c r="O367" s="74"/>
      <c r="P367" s="74"/>
      <c r="Q367" s="74"/>
      <c r="R367" s="74"/>
      <c r="S367" s="193"/>
      <c r="T367" s="74"/>
      <c r="U367" s="74"/>
      <c r="V367" s="74"/>
      <c r="W367" s="74"/>
      <c r="X367" s="193"/>
      <c r="Y367" s="74"/>
      <c r="Z367" s="74"/>
      <c r="AA367" s="74"/>
      <c r="AB367" s="74"/>
      <c r="AC367" s="193"/>
      <c r="AD367" s="74"/>
      <c r="AE367" s="74"/>
      <c r="AF367" s="74"/>
      <c r="AG367" s="74"/>
      <c r="AH367" s="193"/>
      <c r="AI367" s="74"/>
      <c r="AJ367" s="74"/>
      <c r="AK367" s="74"/>
      <c r="AL367" s="74"/>
      <c r="AM367" s="193"/>
      <c r="AN367" s="74"/>
      <c r="AO367" s="74"/>
      <c r="AP367" s="74"/>
      <c r="AQ367" s="74"/>
      <c r="AR367" s="193"/>
      <c r="AS367" s="74"/>
      <c r="AT367" s="74"/>
      <c r="AU367" s="74"/>
      <c r="AV367" s="74"/>
      <c r="AW367" s="809"/>
      <c r="AX367" s="808"/>
      <c r="AY367" s="808"/>
      <c r="AZ367" s="808"/>
      <c r="BA367" s="808"/>
      <c r="BB367" s="809">
        <v>0.02</v>
      </c>
      <c r="BC367" s="808"/>
      <c r="BD367" s="808"/>
      <c r="BE367" s="808"/>
      <c r="BF367" s="808"/>
      <c r="BG367" s="809">
        <v>0.01</v>
      </c>
      <c r="BH367" s="808"/>
      <c r="BI367" s="808"/>
      <c r="BJ367" s="808"/>
      <c r="BK367" s="808"/>
      <c r="BL367" s="809">
        <v>0.03</v>
      </c>
      <c r="BM367" s="808"/>
      <c r="BN367" s="808"/>
      <c r="BO367" s="808"/>
      <c r="BP367" s="808"/>
      <c r="BQ367" s="916">
        <v>0.01</v>
      </c>
      <c r="BR367" s="808"/>
      <c r="BS367" s="808"/>
      <c r="BT367" s="808"/>
      <c r="BU367" s="808"/>
      <c r="BV367" s="916">
        <f>+BV256</f>
        <v>2.1137558025187426E-2</v>
      </c>
      <c r="BW367" s="808"/>
      <c r="BX367" s="808"/>
      <c r="BY367" s="808"/>
      <c r="BZ367" s="808"/>
      <c r="CA367" s="916">
        <f>+CA256</f>
        <v>8.0842042144937468E-3</v>
      </c>
      <c r="CB367" s="808"/>
      <c r="CC367" s="808"/>
      <c r="CD367" s="808"/>
      <c r="CE367" s="808"/>
      <c r="CF367" s="809">
        <f t="shared" si="686"/>
        <v>8.0842042144937468E-3</v>
      </c>
      <c r="CG367" s="808"/>
      <c r="CH367" s="808"/>
      <c r="CI367" s="808"/>
      <c r="CJ367" s="808"/>
      <c r="CK367" s="809">
        <f t="shared" si="676"/>
        <v>8.0842042144937468E-3</v>
      </c>
      <c r="CL367" s="808"/>
      <c r="CM367" s="808"/>
      <c r="CN367" s="808"/>
      <c r="CO367" s="808"/>
      <c r="CP367" s="809">
        <f t="shared" si="677"/>
        <v>8.0842042144937468E-3</v>
      </c>
      <c r="CQ367" s="808"/>
      <c r="CR367" s="808"/>
      <c r="CS367" s="808"/>
      <c r="CT367" s="808"/>
      <c r="CU367" s="809">
        <f t="shared" si="678"/>
        <v>8.0842042144937468E-3</v>
      </c>
      <c r="CV367" s="808"/>
      <c r="CW367" s="808"/>
      <c r="CX367" s="808"/>
      <c r="CY367" s="808"/>
      <c r="CZ367" s="809">
        <f t="shared" si="679"/>
        <v>8.0842042144937468E-3</v>
      </c>
      <c r="DA367" s="808"/>
      <c r="DB367" s="808"/>
      <c r="DC367" s="808"/>
      <c r="DD367" s="808"/>
      <c r="DE367" s="809">
        <f t="shared" si="680"/>
        <v>8.0842042144937468E-3</v>
      </c>
      <c r="DF367" s="1021"/>
      <c r="DG367" s="1021"/>
      <c r="DH367" s="1021"/>
      <c r="DI367" s="808"/>
      <c r="DJ367" s="809">
        <f t="shared" si="681"/>
        <v>8.0842042144937468E-3</v>
      </c>
      <c r="DK367" s="1021"/>
      <c r="DL367" s="1021"/>
      <c r="DM367" s="1021"/>
      <c r="DN367" s="808"/>
      <c r="DO367" s="809">
        <f t="shared" si="682"/>
        <v>8.0842042144937468E-3</v>
      </c>
      <c r="DP367" s="1021"/>
      <c r="DQ367" s="1021"/>
      <c r="DR367" s="1021"/>
      <c r="DS367" s="808"/>
      <c r="DT367" s="809">
        <f t="shared" si="683"/>
        <v>8.0842042144937468E-3</v>
      </c>
      <c r="DU367" s="1021"/>
      <c r="DV367" s="1021"/>
      <c r="DW367" s="1021"/>
      <c r="DX367" s="808"/>
      <c r="DY367" s="809">
        <f t="shared" si="684"/>
        <v>8.0842042144937468E-3</v>
      </c>
      <c r="DZ367" s="809">
        <f t="shared" si="687"/>
        <v>8.0842042144937468E-3</v>
      </c>
      <c r="EA367" s="809">
        <f t="shared" si="690"/>
        <v>8.0842042144937468E-3</v>
      </c>
      <c r="EB367" s="809">
        <f t="shared" si="691"/>
        <v>8.0842042144937468E-3</v>
      </c>
    </row>
    <row r="368" spans="1:132" s="102" customFormat="1">
      <c r="A368" s="74"/>
      <c r="B368" s="810" t="s">
        <v>536</v>
      </c>
      <c r="C368" s="193"/>
      <c r="D368" s="193"/>
      <c r="E368" s="193"/>
      <c r="F368" s="193"/>
      <c r="G368" s="193"/>
      <c r="H368" s="193"/>
      <c r="I368" s="193"/>
      <c r="J368" s="74"/>
      <c r="K368" s="74"/>
      <c r="L368" s="74"/>
      <c r="M368" s="74"/>
      <c r="N368" s="193"/>
      <c r="O368" s="74"/>
      <c r="P368" s="74"/>
      <c r="Q368" s="74"/>
      <c r="R368" s="74"/>
      <c r="S368" s="193"/>
      <c r="T368" s="74"/>
      <c r="U368" s="74"/>
      <c r="V368" s="74"/>
      <c r="W368" s="74"/>
      <c r="X368" s="193"/>
      <c r="Y368" s="74"/>
      <c r="Z368" s="74"/>
      <c r="AA368" s="74"/>
      <c r="AB368" s="74"/>
      <c r="AC368" s="193"/>
      <c r="AD368" s="74"/>
      <c r="AE368" s="74"/>
      <c r="AF368" s="74"/>
      <c r="AG368" s="74"/>
      <c r="AH368" s="193"/>
      <c r="AI368" s="74"/>
      <c r="AJ368" s="74"/>
      <c r="AK368" s="74"/>
      <c r="AL368" s="74"/>
      <c r="AM368" s="193"/>
      <c r="AN368" s="74"/>
      <c r="AO368" s="74"/>
      <c r="AP368" s="74"/>
      <c r="AQ368" s="74"/>
      <c r="AR368" s="193"/>
      <c r="AS368" s="74"/>
      <c r="AT368" s="74"/>
      <c r="AU368" s="74"/>
      <c r="AV368" s="74"/>
      <c r="AW368" s="809"/>
      <c r="AX368" s="808"/>
      <c r="AY368" s="808"/>
      <c r="AZ368" s="808"/>
      <c r="BA368" s="808"/>
      <c r="BB368" s="809">
        <v>0</v>
      </c>
      <c r="BC368" s="808"/>
      <c r="BD368" s="808"/>
      <c r="BE368" s="808"/>
      <c r="BF368" s="808"/>
      <c r="BG368" s="809">
        <v>0</v>
      </c>
      <c r="BH368" s="808"/>
      <c r="BI368" s="808"/>
      <c r="BJ368" s="808"/>
      <c r="BK368" s="808"/>
      <c r="BL368" s="809">
        <v>0</v>
      </c>
      <c r="BM368" s="808"/>
      <c r="BN368" s="808"/>
      <c r="BO368" s="808"/>
      <c r="BP368" s="808"/>
      <c r="BQ368" s="809">
        <v>0</v>
      </c>
      <c r="BR368" s="808"/>
      <c r="BS368" s="808"/>
      <c r="BT368" s="808"/>
      <c r="BU368" s="808"/>
      <c r="BV368" s="809">
        <f t="shared" si="688"/>
        <v>0</v>
      </c>
      <c r="BW368" s="808"/>
      <c r="BX368" s="808"/>
      <c r="BY368" s="808"/>
      <c r="BZ368" s="808"/>
      <c r="CA368" s="809">
        <f t="shared" si="689"/>
        <v>0</v>
      </c>
      <c r="CB368" s="808"/>
      <c r="CC368" s="808"/>
      <c r="CD368" s="808"/>
      <c r="CE368" s="808"/>
      <c r="CF368" s="809">
        <f t="shared" si="686"/>
        <v>0</v>
      </c>
      <c r="CG368" s="808"/>
      <c r="CH368" s="808"/>
      <c r="CI368" s="808"/>
      <c r="CJ368" s="808"/>
      <c r="CK368" s="809">
        <f t="shared" si="676"/>
        <v>0</v>
      </c>
      <c r="CL368" s="808"/>
      <c r="CM368" s="808"/>
      <c r="CN368" s="808"/>
      <c r="CO368" s="808"/>
      <c r="CP368" s="809">
        <f t="shared" si="677"/>
        <v>0</v>
      </c>
      <c r="CQ368" s="808"/>
      <c r="CR368" s="808"/>
      <c r="CS368" s="808"/>
      <c r="CT368" s="808"/>
      <c r="CU368" s="809">
        <f t="shared" si="678"/>
        <v>0</v>
      </c>
      <c r="CV368" s="808"/>
      <c r="CW368" s="808"/>
      <c r="CX368" s="808"/>
      <c r="CY368" s="808"/>
      <c r="CZ368" s="809">
        <f t="shared" si="679"/>
        <v>0</v>
      </c>
      <c r="DA368" s="808"/>
      <c r="DB368" s="808"/>
      <c r="DC368" s="808"/>
      <c r="DD368" s="808"/>
      <c r="DE368" s="809">
        <f t="shared" si="680"/>
        <v>0</v>
      </c>
      <c r="DF368" s="1021"/>
      <c r="DG368" s="1021"/>
      <c r="DH368" s="1021"/>
      <c r="DI368" s="808"/>
      <c r="DJ368" s="809">
        <f t="shared" si="681"/>
        <v>0</v>
      </c>
      <c r="DK368" s="1021"/>
      <c r="DL368" s="1021"/>
      <c r="DM368" s="1021"/>
      <c r="DN368" s="808"/>
      <c r="DO368" s="809">
        <f t="shared" si="682"/>
        <v>0</v>
      </c>
      <c r="DP368" s="1021"/>
      <c r="DQ368" s="1021"/>
      <c r="DR368" s="1021"/>
      <c r="DS368" s="808"/>
      <c r="DT368" s="809">
        <f t="shared" si="683"/>
        <v>0</v>
      </c>
      <c r="DU368" s="1021"/>
      <c r="DV368" s="1021"/>
      <c r="DW368" s="1021"/>
      <c r="DX368" s="808"/>
      <c r="DY368" s="809">
        <f t="shared" si="684"/>
        <v>0</v>
      </c>
      <c r="DZ368" s="809">
        <f t="shared" si="687"/>
        <v>0</v>
      </c>
      <c r="EA368" s="809">
        <f t="shared" si="690"/>
        <v>0</v>
      </c>
      <c r="EB368" s="809">
        <f t="shared" si="691"/>
        <v>0</v>
      </c>
    </row>
    <row r="369" spans="1:132" s="102" customFormat="1">
      <c r="A369" s="74"/>
      <c r="B369" s="810" t="s">
        <v>537</v>
      </c>
      <c r="C369" s="193"/>
      <c r="D369" s="193"/>
      <c r="E369" s="193"/>
      <c r="F369" s="193"/>
      <c r="G369" s="193"/>
      <c r="H369" s="193"/>
      <c r="I369" s="193"/>
      <c r="J369" s="74"/>
      <c r="K369" s="74"/>
      <c r="L369" s="74"/>
      <c r="M369" s="74"/>
      <c r="N369" s="193"/>
      <c r="O369" s="74"/>
      <c r="P369" s="74"/>
      <c r="Q369" s="74"/>
      <c r="R369" s="74"/>
      <c r="S369" s="193"/>
      <c r="T369" s="74"/>
      <c r="U369" s="74"/>
      <c r="V369" s="74"/>
      <c r="W369" s="74"/>
      <c r="X369" s="193"/>
      <c r="Y369" s="74"/>
      <c r="Z369" s="74"/>
      <c r="AA369" s="74"/>
      <c r="AB369" s="74"/>
      <c r="AC369" s="193"/>
      <c r="AD369" s="74"/>
      <c r="AE369" s="74"/>
      <c r="AF369" s="74"/>
      <c r="AG369" s="74"/>
      <c r="AH369" s="193"/>
      <c r="AI369" s="74"/>
      <c r="AJ369" s="74"/>
      <c r="AK369" s="74"/>
      <c r="AL369" s="74"/>
      <c r="AM369" s="193"/>
      <c r="AN369" s="74"/>
      <c r="AO369" s="74"/>
      <c r="AP369" s="74"/>
      <c r="AQ369" s="74"/>
      <c r="AR369" s="193"/>
      <c r="AS369" s="74"/>
      <c r="AT369" s="74"/>
      <c r="AU369" s="74"/>
      <c r="AV369" s="74"/>
      <c r="AW369" s="809"/>
      <c r="AX369" s="808"/>
      <c r="AY369" s="808"/>
      <c r="AZ369" s="808"/>
      <c r="BA369" s="808"/>
      <c r="BB369" s="809">
        <v>0.05</v>
      </c>
      <c r="BC369" s="808"/>
      <c r="BD369" s="808"/>
      <c r="BE369" s="808"/>
      <c r="BF369" s="808"/>
      <c r="BG369" s="809">
        <v>0.05</v>
      </c>
      <c r="BH369" s="808"/>
      <c r="BI369" s="808"/>
      <c r="BJ369" s="808"/>
      <c r="BK369" s="808"/>
      <c r="BL369" s="809">
        <v>0.05</v>
      </c>
      <c r="BM369" s="808"/>
      <c r="BN369" s="808"/>
      <c r="BO369" s="808"/>
      <c r="BP369" s="808"/>
      <c r="BQ369" s="916">
        <v>0.05</v>
      </c>
      <c r="BR369" s="808"/>
      <c r="BS369" s="808"/>
      <c r="BT369" s="808"/>
      <c r="BU369" s="808"/>
      <c r="BV369" s="916">
        <f>+BV257*0.35</f>
        <v>3.9055841642786901E-2</v>
      </c>
      <c r="BW369" s="808"/>
      <c r="BX369" s="808"/>
      <c r="BY369" s="808"/>
      <c r="BZ369" s="808"/>
      <c r="CA369" s="916">
        <f>+CA257*0.35</f>
        <v>3.3350286962480727E-2</v>
      </c>
      <c r="CB369" s="808"/>
      <c r="CC369" s="808"/>
      <c r="CD369" s="808"/>
      <c r="CE369" s="808"/>
      <c r="CF369" s="809">
        <f t="shared" si="686"/>
        <v>3.3350286962480727E-2</v>
      </c>
      <c r="CG369" s="808"/>
      <c r="CH369" s="808"/>
      <c r="CI369" s="808"/>
      <c r="CJ369" s="808"/>
      <c r="CK369" s="809">
        <f t="shared" si="676"/>
        <v>3.3350286962480727E-2</v>
      </c>
      <c r="CL369" s="808"/>
      <c r="CM369" s="808"/>
      <c r="CN369" s="808"/>
      <c r="CO369" s="808"/>
      <c r="CP369" s="809">
        <f t="shared" si="677"/>
        <v>3.3350286962480727E-2</v>
      </c>
      <c r="CQ369" s="808"/>
      <c r="CR369" s="808"/>
      <c r="CS369" s="808"/>
      <c r="CT369" s="808"/>
      <c r="CU369" s="809">
        <f t="shared" si="678"/>
        <v>3.3350286962480727E-2</v>
      </c>
      <c r="CV369" s="808"/>
      <c r="CW369" s="808"/>
      <c r="CX369" s="808"/>
      <c r="CY369" s="808"/>
      <c r="CZ369" s="809">
        <f t="shared" si="679"/>
        <v>3.3350286962480727E-2</v>
      </c>
      <c r="DA369" s="808"/>
      <c r="DB369" s="808"/>
      <c r="DC369" s="808"/>
      <c r="DD369" s="808"/>
      <c r="DE369" s="809">
        <f t="shared" si="680"/>
        <v>3.3350286962480727E-2</v>
      </c>
      <c r="DF369" s="1021"/>
      <c r="DG369" s="1021"/>
      <c r="DH369" s="1021"/>
      <c r="DI369" s="808"/>
      <c r="DJ369" s="809">
        <f t="shared" si="681"/>
        <v>3.3350286962480727E-2</v>
      </c>
      <c r="DK369" s="1021"/>
      <c r="DL369" s="1021"/>
      <c r="DM369" s="1021"/>
      <c r="DN369" s="808"/>
      <c r="DO369" s="809">
        <f t="shared" si="682"/>
        <v>3.3350286962480727E-2</v>
      </c>
      <c r="DP369" s="1021"/>
      <c r="DQ369" s="1021"/>
      <c r="DR369" s="1021"/>
      <c r="DS369" s="808"/>
      <c r="DT369" s="809">
        <f t="shared" si="683"/>
        <v>3.3350286962480727E-2</v>
      </c>
      <c r="DU369" s="1021"/>
      <c r="DV369" s="1021"/>
      <c r="DW369" s="1021"/>
      <c r="DX369" s="808"/>
      <c r="DY369" s="809">
        <f t="shared" si="684"/>
        <v>3.3350286962480727E-2</v>
      </c>
      <c r="DZ369" s="809">
        <f t="shared" si="687"/>
        <v>3.3350286962480727E-2</v>
      </c>
      <c r="EA369" s="809">
        <f t="shared" si="690"/>
        <v>3.3350286962480727E-2</v>
      </c>
      <c r="EB369" s="809">
        <f t="shared" si="691"/>
        <v>3.3350286962480727E-2</v>
      </c>
    </row>
    <row r="370" spans="1:132" s="102" customFormat="1">
      <c r="A370" s="74"/>
      <c r="B370" s="810" t="s">
        <v>538</v>
      </c>
      <c r="C370" s="193"/>
      <c r="D370" s="193"/>
      <c r="E370" s="193"/>
      <c r="F370" s="193"/>
      <c r="G370" s="193"/>
      <c r="H370" s="193"/>
      <c r="I370" s="193"/>
      <c r="J370" s="74"/>
      <c r="K370" s="74"/>
      <c r="L370" s="74"/>
      <c r="M370" s="74"/>
      <c r="N370" s="193"/>
      <c r="O370" s="74"/>
      <c r="P370" s="74"/>
      <c r="Q370" s="74"/>
      <c r="R370" s="74"/>
      <c r="S370" s="193"/>
      <c r="T370" s="74"/>
      <c r="U370" s="74"/>
      <c r="V370" s="74"/>
      <c r="W370" s="74"/>
      <c r="X370" s="193"/>
      <c r="Y370" s="74"/>
      <c r="Z370" s="74"/>
      <c r="AA370" s="74"/>
      <c r="AB370" s="74"/>
      <c r="AC370" s="193"/>
      <c r="AD370" s="74"/>
      <c r="AE370" s="74"/>
      <c r="AF370" s="74"/>
      <c r="AG370" s="74"/>
      <c r="AH370" s="193"/>
      <c r="AI370" s="74"/>
      <c r="AJ370" s="74"/>
      <c r="AK370" s="74"/>
      <c r="AL370" s="74"/>
      <c r="AM370" s="193"/>
      <c r="AN370" s="74"/>
      <c r="AO370" s="74"/>
      <c r="AP370" s="74"/>
      <c r="AQ370" s="74"/>
      <c r="AR370" s="193"/>
      <c r="AS370" s="74"/>
      <c r="AT370" s="74"/>
      <c r="AU370" s="74"/>
      <c r="AV370" s="74"/>
      <c r="AW370" s="809"/>
      <c r="AX370" s="808"/>
      <c r="AY370" s="808"/>
      <c r="AZ370" s="808"/>
      <c r="BA370" s="808"/>
      <c r="BB370" s="809">
        <v>0</v>
      </c>
      <c r="BC370" s="808"/>
      <c r="BD370" s="808"/>
      <c r="BE370" s="808"/>
      <c r="BF370" s="808"/>
      <c r="BG370" s="809">
        <v>0</v>
      </c>
      <c r="BH370" s="808"/>
      <c r="BI370" s="808"/>
      <c r="BJ370" s="808"/>
      <c r="BK370" s="808"/>
      <c r="BL370" s="809">
        <v>0</v>
      </c>
      <c r="BM370" s="808"/>
      <c r="BN370" s="808"/>
      <c r="BO370" s="808"/>
      <c r="BP370" s="808"/>
      <c r="BQ370" s="809">
        <v>0</v>
      </c>
      <c r="BR370" s="808"/>
      <c r="BS370" s="808"/>
      <c r="BT370" s="808"/>
      <c r="BU370" s="808"/>
      <c r="BV370" s="809">
        <f t="shared" si="688"/>
        <v>0</v>
      </c>
      <c r="BW370" s="808"/>
      <c r="BX370" s="808"/>
      <c r="BY370" s="808"/>
      <c r="BZ370" s="808"/>
      <c r="CA370" s="809">
        <f t="shared" si="689"/>
        <v>0</v>
      </c>
      <c r="CB370" s="808"/>
      <c r="CC370" s="808"/>
      <c r="CD370" s="808"/>
      <c r="CE370" s="808"/>
      <c r="CF370" s="809">
        <f t="shared" si="686"/>
        <v>0</v>
      </c>
      <c r="CG370" s="808"/>
      <c r="CH370" s="808"/>
      <c r="CI370" s="808"/>
      <c r="CJ370" s="808"/>
      <c r="CK370" s="809">
        <f t="shared" si="676"/>
        <v>0</v>
      </c>
      <c r="CL370" s="808"/>
      <c r="CM370" s="808"/>
      <c r="CN370" s="808"/>
      <c r="CO370" s="808"/>
      <c r="CP370" s="809">
        <f t="shared" si="677"/>
        <v>0</v>
      </c>
      <c r="CQ370" s="808"/>
      <c r="CR370" s="808"/>
      <c r="CS370" s="808"/>
      <c r="CT370" s="808"/>
      <c r="CU370" s="809">
        <f t="shared" si="678"/>
        <v>0</v>
      </c>
      <c r="CV370" s="808"/>
      <c r="CW370" s="808"/>
      <c r="CX370" s="808"/>
      <c r="CY370" s="808"/>
      <c r="CZ370" s="809">
        <f t="shared" si="679"/>
        <v>0</v>
      </c>
      <c r="DA370" s="808"/>
      <c r="DB370" s="808"/>
      <c r="DC370" s="808"/>
      <c r="DD370" s="808"/>
      <c r="DE370" s="809">
        <f t="shared" si="680"/>
        <v>0</v>
      </c>
      <c r="DF370" s="1021"/>
      <c r="DG370" s="1021"/>
      <c r="DH370" s="1021"/>
      <c r="DI370" s="808"/>
      <c r="DJ370" s="809">
        <f t="shared" si="681"/>
        <v>0</v>
      </c>
      <c r="DK370" s="1021"/>
      <c r="DL370" s="1021"/>
      <c r="DM370" s="1021"/>
      <c r="DN370" s="808"/>
      <c r="DO370" s="809">
        <f t="shared" si="682"/>
        <v>0</v>
      </c>
      <c r="DP370" s="1021"/>
      <c r="DQ370" s="1021"/>
      <c r="DR370" s="1021"/>
      <c r="DS370" s="808"/>
      <c r="DT370" s="809">
        <f t="shared" si="683"/>
        <v>0</v>
      </c>
      <c r="DU370" s="1021"/>
      <c r="DV370" s="1021"/>
      <c r="DW370" s="1021"/>
      <c r="DX370" s="808"/>
      <c r="DY370" s="809">
        <f t="shared" si="684"/>
        <v>0</v>
      </c>
      <c r="DZ370" s="809">
        <f t="shared" si="687"/>
        <v>0</v>
      </c>
      <c r="EA370" s="809">
        <f t="shared" si="690"/>
        <v>0</v>
      </c>
      <c r="EB370" s="809">
        <f t="shared" si="691"/>
        <v>0</v>
      </c>
    </row>
    <row r="371" spans="1:132" s="102" customFormat="1">
      <c r="A371" s="74"/>
      <c r="B371" s="810" t="s">
        <v>539</v>
      </c>
      <c r="C371" s="193"/>
      <c r="D371" s="193"/>
      <c r="E371" s="193"/>
      <c r="F371" s="193"/>
      <c r="G371" s="193"/>
      <c r="H371" s="193"/>
      <c r="I371" s="193"/>
      <c r="J371" s="74"/>
      <c r="K371" s="74"/>
      <c r="L371" s="74"/>
      <c r="M371" s="74"/>
      <c r="N371" s="193"/>
      <c r="O371" s="74"/>
      <c r="P371" s="74"/>
      <c r="Q371" s="74"/>
      <c r="R371" s="74"/>
      <c r="S371" s="193"/>
      <c r="T371" s="74"/>
      <c r="U371" s="74"/>
      <c r="V371" s="74"/>
      <c r="W371" s="74"/>
      <c r="X371" s="193"/>
      <c r="Y371" s="74"/>
      <c r="Z371" s="74"/>
      <c r="AA371" s="74"/>
      <c r="AB371" s="74"/>
      <c r="AC371" s="193"/>
      <c r="AD371" s="74"/>
      <c r="AE371" s="74"/>
      <c r="AF371" s="74"/>
      <c r="AG371" s="74"/>
      <c r="AH371" s="193"/>
      <c r="AI371" s="74"/>
      <c r="AJ371" s="74"/>
      <c r="AK371" s="74"/>
      <c r="AL371" s="74"/>
      <c r="AM371" s="193"/>
      <c r="AN371" s="74"/>
      <c r="AO371" s="74"/>
      <c r="AP371" s="74"/>
      <c r="AQ371" s="74"/>
      <c r="AR371" s="193"/>
      <c r="AS371" s="74"/>
      <c r="AT371" s="74"/>
      <c r="AU371" s="74"/>
      <c r="AV371" s="74"/>
      <c r="AW371" s="809"/>
      <c r="AX371" s="808"/>
      <c r="AY371" s="808"/>
      <c r="AZ371" s="808"/>
      <c r="BA371" s="808"/>
      <c r="BB371" s="809">
        <v>0</v>
      </c>
      <c r="BC371" s="808"/>
      <c r="BD371" s="808"/>
      <c r="BE371" s="808"/>
      <c r="BF371" s="808"/>
      <c r="BG371" s="809">
        <v>0</v>
      </c>
      <c r="BH371" s="808"/>
      <c r="BI371" s="808"/>
      <c r="BJ371" s="808"/>
      <c r="BK371" s="808"/>
      <c r="BL371" s="809">
        <v>0</v>
      </c>
      <c r="BM371" s="808"/>
      <c r="BN371" s="808"/>
      <c r="BO371" s="808"/>
      <c r="BP371" s="808"/>
      <c r="BQ371" s="809">
        <v>0</v>
      </c>
      <c r="BR371" s="808"/>
      <c r="BS371" s="808"/>
      <c r="BT371" s="808"/>
      <c r="BU371" s="808"/>
      <c r="BV371" s="809">
        <f t="shared" si="688"/>
        <v>0</v>
      </c>
      <c r="BW371" s="808"/>
      <c r="BX371" s="808"/>
      <c r="BY371" s="808"/>
      <c r="BZ371" s="808"/>
      <c r="CA371" s="809">
        <f t="shared" si="689"/>
        <v>0</v>
      </c>
      <c r="CB371" s="808"/>
      <c r="CC371" s="808"/>
      <c r="CD371" s="808"/>
      <c r="CE371" s="808"/>
      <c r="CF371" s="809">
        <f t="shared" si="686"/>
        <v>0</v>
      </c>
      <c r="CG371" s="808"/>
      <c r="CH371" s="808"/>
      <c r="CI371" s="808"/>
      <c r="CJ371" s="808"/>
      <c r="CK371" s="809">
        <f t="shared" si="676"/>
        <v>0</v>
      </c>
      <c r="CL371" s="808"/>
      <c r="CM371" s="808"/>
      <c r="CN371" s="808"/>
      <c r="CO371" s="808"/>
      <c r="CP371" s="809">
        <f t="shared" si="677"/>
        <v>0</v>
      </c>
      <c r="CQ371" s="808"/>
      <c r="CR371" s="808"/>
      <c r="CS371" s="808"/>
      <c r="CT371" s="808"/>
      <c r="CU371" s="809">
        <f t="shared" si="678"/>
        <v>0</v>
      </c>
      <c r="CV371" s="808"/>
      <c r="CW371" s="808"/>
      <c r="CX371" s="808"/>
      <c r="CY371" s="808"/>
      <c r="CZ371" s="809">
        <f t="shared" si="679"/>
        <v>0</v>
      </c>
      <c r="DA371" s="808"/>
      <c r="DB371" s="808"/>
      <c r="DC371" s="808"/>
      <c r="DD371" s="808"/>
      <c r="DE371" s="809">
        <f t="shared" si="680"/>
        <v>0</v>
      </c>
      <c r="DF371" s="1021"/>
      <c r="DG371" s="1021"/>
      <c r="DH371" s="1021"/>
      <c r="DI371" s="808"/>
      <c r="DJ371" s="809">
        <f t="shared" si="681"/>
        <v>0</v>
      </c>
      <c r="DK371" s="1021"/>
      <c r="DL371" s="1021"/>
      <c r="DM371" s="1021"/>
      <c r="DN371" s="808"/>
      <c r="DO371" s="809">
        <f t="shared" si="682"/>
        <v>0</v>
      </c>
      <c r="DP371" s="1021"/>
      <c r="DQ371" s="1021"/>
      <c r="DR371" s="1021"/>
      <c r="DS371" s="808"/>
      <c r="DT371" s="809">
        <f t="shared" si="683"/>
        <v>0</v>
      </c>
      <c r="DU371" s="1021"/>
      <c r="DV371" s="1021"/>
      <c r="DW371" s="1021"/>
      <c r="DX371" s="808"/>
      <c r="DY371" s="809">
        <f t="shared" si="684"/>
        <v>0</v>
      </c>
      <c r="DZ371" s="809">
        <f t="shared" si="687"/>
        <v>0</v>
      </c>
      <c r="EA371" s="809">
        <f t="shared" si="690"/>
        <v>0</v>
      </c>
      <c r="EB371" s="809">
        <f t="shared" si="691"/>
        <v>0</v>
      </c>
    </row>
    <row r="372" spans="1:132" s="102" customFormat="1">
      <c r="A372" s="74"/>
      <c r="B372" s="810" t="s">
        <v>540</v>
      </c>
      <c r="C372" s="193"/>
      <c r="D372" s="193"/>
      <c r="E372" s="193"/>
      <c r="F372" s="193"/>
      <c r="G372" s="193"/>
      <c r="H372" s="193"/>
      <c r="I372" s="193"/>
      <c r="J372" s="74"/>
      <c r="K372" s="74"/>
      <c r="L372" s="74"/>
      <c r="M372" s="74"/>
      <c r="N372" s="193"/>
      <c r="O372" s="74"/>
      <c r="P372" s="74"/>
      <c r="Q372" s="74"/>
      <c r="R372" s="74"/>
      <c r="S372" s="193"/>
      <c r="T372" s="74"/>
      <c r="U372" s="74"/>
      <c r="V372" s="74"/>
      <c r="W372" s="74"/>
      <c r="X372" s="193"/>
      <c r="Y372" s="74"/>
      <c r="Z372" s="74"/>
      <c r="AA372" s="74"/>
      <c r="AB372" s="74"/>
      <c r="AC372" s="193"/>
      <c r="AD372" s="74"/>
      <c r="AE372" s="74"/>
      <c r="AF372" s="74"/>
      <c r="AG372" s="74"/>
      <c r="AH372" s="193"/>
      <c r="AI372" s="74"/>
      <c r="AJ372" s="74"/>
      <c r="AK372" s="74"/>
      <c r="AL372" s="74"/>
      <c r="AM372" s="193"/>
      <c r="AN372" s="74"/>
      <c r="AO372" s="74"/>
      <c r="AP372" s="74"/>
      <c r="AQ372" s="74"/>
      <c r="AR372" s="193"/>
      <c r="AS372" s="74"/>
      <c r="AT372" s="74"/>
      <c r="AU372" s="74"/>
      <c r="AV372" s="74"/>
      <c r="AW372" s="809"/>
      <c r="AX372" s="808"/>
      <c r="AY372" s="808"/>
      <c r="AZ372" s="808"/>
      <c r="BA372" s="808"/>
      <c r="BB372" s="809">
        <v>0</v>
      </c>
      <c r="BC372" s="808"/>
      <c r="BD372" s="808"/>
      <c r="BE372" s="808"/>
      <c r="BF372" s="808"/>
      <c r="BG372" s="809">
        <v>0</v>
      </c>
      <c r="BH372" s="808"/>
      <c r="BI372" s="808"/>
      <c r="BJ372" s="808"/>
      <c r="BK372" s="808"/>
      <c r="BL372" s="809">
        <v>0</v>
      </c>
      <c r="BM372" s="808"/>
      <c r="BN372" s="808"/>
      <c r="BO372" s="808"/>
      <c r="BP372" s="808"/>
      <c r="BQ372" s="809">
        <v>0</v>
      </c>
      <c r="BR372" s="808"/>
      <c r="BS372" s="808"/>
      <c r="BT372" s="808"/>
      <c r="BU372" s="808"/>
      <c r="BV372" s="809">
        <f t="shared" si="688"/>
        <v>0</v>
      </c>
      <c r="BW372" s="808"/>
      <c r="BX372" s="808"/>
      <c r="BY372" s="808"/>
      <c r="BZ372" s="808"/>
      <c r="CA372" s="809">
        <f t="shared" si="689"/>
        <v>0</v>
      </c>
      <c r="CB372" s="808"/>
      <c r="CC372" s="808"/>
      <c r="CD372" s="808"/>
      <c r="CE372" s="808"/>
      <c r="CF372" s="809">
        <f t="shared" si="686"/>
        <v>0</v>
      </c>
      <c r="CG372" s="808"/>
      <c r="CH372" s="808"/>
      <c r="CI372" s="808"/>
      <c r="CJ372" s="808"/>
      <c r="CK372" s="809">
        <f t="shared" si="676"/>
        <v>0</v>
      </c>
      <c r="CL372" s="808"/>
      <c r="CM372" s="808"/>
      <c r="CN372" s="808"/>
      <c r="CO372" s="808"/>
      <c r="CP372" s="809">
        <f t="shared" si="677"/>
        <v>0</v>
      </c>
      <c r="CQ372" s="808"/>
      <c r="CR372" s="808"/>
      <c r="CS372" s="808"/>
      <c r="CT372" s="808"/>
      <c r="CU372" s="809">
        <f t="shared" si="678"/>
        <v>0</v>
      </c>
      <c r="CV372" s="808"/>
      <c r="CW372" s="808"/>
      <c r="CX372" s="808"/>
      <c r="CY372" s="808"/>
      <c r="CZ372" s="809">
        <f t="shared" si="679"/>
        <v>0</v>
      </c>
      <c r="DA372" s="808"/>
      <c r="DB372" s="808"/>
      <c r="DC372" s="808"/>
      <c r="DD372" s="808"/>
      <c r="DE372" s="809">
        <f t="shared" si="680"/>
        <v>0</v>
      </c>
      <c r="DF372" s="1021"/>
      <c r="DG372" s="1021"/>
      <c r="DH372" s="1021"/>
      <c r="DI372" s="808"/>
      <c r="DJ372" s="809">
        <f t="shared" si="681"/>
        <v>0</v>
      </c>
      <c r="DK372" s="1021"/>
      <c r="DL372" s="1021"/>
      <c r="DM372" s="1021"/>
      <c r="DN372" s="808"/>
      <c r="DO372" s="809">
        <f t="shared" si="682"/>
        <v>0</v>
      </c>
      <c r="DP372" s="1021"/>
      <c r="DQ372" s="1021"/>
      <c r="DR372" s="1021"/>
      <c r="DS372" s="808"/>
      <c r="DT372" s="809">
        <f t="shared" si="683"/>
        <v>0</v>
      </c>
      <c r="DU372" s="1021"/>
      <c r="DV372" s="1021"/>
      <c r="DW372" s="1021"/>
      <c r="DX372" s="808"/>
      <c r="DY372" s="809">
        <f t="shared" si="684"/>
        <v>0</v>
      </c>
      <c r="DZ372" s="809">
        <f t="shared" si="687"/>
        <v>0</v>
      </c>
      <c r="EA372" s="809">
        <f t="shared" si="690"/>
        <v>0</v>
      </c>
      <c r="EB372" s="809">
        <f t="shared" si="691"/>
        <v>0</v>
      </c>
    </row>
    <row r="373" spans="1:132" s="102" customFormat="1">
      <c r="A373" s="74"/>
      <c r="B373" s="810" t="s">
        <v>541</v>
      </c>
      <c r="C373" s="193"/>
      <c r="D373" s="193"/>
      <c r="E373" s="193"/>
      <c r="F373" s="193"/>
      <c r="G373" s="193"/>
      <c r="H373" s="193"/>
      <c r="I373" s="193"/>
      <c r="J373" s="74"/>
      <c r="K373" s="74"/>
      <c r="L373" s="74"/>
      <c r="M373" s="74"/>
      <c r="N373" s="193"/>
      <c r="O373" s="74"/>
      <c r="P373" s="74"/>
      <c r="Q373" s="74"/>
      <c r="R373" s="74"/>
      <c r="S373" s="193"/>
      <c r="T373" s="74"/>
      <c r="U373" s="74"/>
      <c r="V373" s="74"/>
      <c r="W373" s="74"/>
      <c r="X373" s="193"/>
      <c r="Y373" s="74"/>
      <c r="Z373" s="74"/>
      <c r="AA373" s="74"/>
      <c r="AB373" s="74"/>
      <c r="AC373" s="193"/>
      <c r="AD373" s="74"/>
      <c r="AE373" s="74"/>
      <c r="AF373" s="74"/>
      <c r="AG373" s="74"/>
      <c r="AH373" s="193"/>
      <c r="AI373" s="74"/>
      <c r="AJ373" s="74"/>
      <c r="AK373" s="74"/>
      <c r="AL373" s="74"/>
      <c r="AM373" s="193"/>
      <c r="AN373" s="74"/>
      <c r="AO373" s="74"/>
      <c r="AP373" s="74"/>
      <c r="AQ373" s="74"/>
      <c r="AR373" s="193"/>
      <c r="AS373" s="74"/>
      <c r="AT373" s="74"/>
      <c r="AU373" s="74"/>
      <c r="AV373" s="74"/>
      <c r="AW373" s="809"/>
      <c r="AX373" s="808"/>
      <c r="AY373" s="808"/>
      <c r="AZ373" s="808"/>
      <c r="BA373" s="808"/>
      <c r="BB373" s="809">
        <v>0.04</v>
      </c>
      <c r="BC373" s="808"/>
      <c r="BD373" s="808"/>
      <c r="BE373" s="808"/>
      <c r="BF373" s="808"/>
      <c r="BG373" s="809">
        <v>0.04</v>
      </c>
      <c r="BH373" s="808"/>
      <c r="BI373" s="808"/>
      <c r="BJ373" s="808"/>
      <c r="BK373" s="808"/>
      <c r="BL373" s="809">
        <v>0.04</v>
      </c>
      <c r="BM373" s="808"/>
      <c r="BN373" s="808"/>
      <c r="BO373" s="808"/>
      <c r="BP373" s="808"/>
      <c r="BQ373" s="916">
        <v>0.04</v>
      </c>
      <c r="BR373" s="808"/>
      <c r="BS373" s="808"/>
      <c r="BT373" s="808"/>
      <c r="BU373" s="808"/>
      <c r="BV373" s="916">
        <f>+BV257*0.3</f>
        <v>3.3476435693817343E-2</v>
      </c>
      <c r="BW373" s="808"/>
      <c r="BX373" s="808"/>
      <c r="BY373" s="808"/>
      <c r="BZ373" s="808"/>
      <c r="CA373" s="916">
        <f>+CA257*0.3</f>
        <v>2.8585960253554907E-2</v>
      </c>
      <c r="CB373" s="808"/>
      <c r="CC373" s="808"/>
      <c r="CD373" s="808"/>
      <c r="CE373" s="808"/>
      <c r="CF373" s="809">
        <f t="shared" si="686"/>
        <v>2.8585960253554907E-2</v>
      </c>
      <c r="CG373" s="808"/>
      <c r="CH373" s="808"/>
      <c r="CI373" s="808"/>
      <c r="CJ373" s="808"/>
      <c r="CK373" s="809">
        <f t="shared" si="676"/>
        <v>2.8585960253554907E-2</v>
      </c>
      <c r="CL373" s="808"/>
      <c r="CM373" s="808"/>
      <c r="CN373" s="808"/>
      <c r="CO373" s="808"/>
      <c r="CP373" s="809">
        <f t="shared" si="677"/>
        <v>2.8585960253554907E-2</v>
      </c>
      <c r="CQ373" s="808"/>
      <c r="CR373" s="808"/>
      <c r="CS373" s="808"/>
      <c r="CT373" s="808"/>
      <c r="CU373" s="809">
        <f t="shared" si="678"/>
        <v>2.8585960253554907E-2</v>
      </c>
      <c r="CV373" s="808"/>
      <c r="CW373" s="808"/>
      <c r="CX373" s="808"/>
      <c r="CY373" s="808"/>
      <c r="CZ373" s="809">
        <f t="shared" si="679"/>
        <v>2.8585960253554907E-2</v>
      </c>
      <c r="DA373" s="808"/>
      <c r="DB373" s="808"/>
      <c r="DC373" s="808"/>
      <c r="DD373" s="808"/>
      <c r="DE373" s="809">
        <f t="shared" si="680"/>
        <v>2.8585960253554907E-2</v>
      </c>
      <c r="DF373" s="1021"/>
      <c r="DG373" s="1021"/>
      <c r="DH373" s="1021"/>
      <c r="DI373" s="808"/>
      <c r="DJ373" s="809">
        <f t="shared" si="681"/>
        <v>2.8585960253554907E-2</v>
      </c>
      <c r="DK373" s="1021"/>
      <c r="DL373" s="1021"/>
      <c r="DM373" s="1021"/>
      <c r="DN373" s="808"/>
      <c r="DO373" s="809">
        <f t="shared" si="682"/>
        <v>2.8585960253554907E-2</v>
      </c>
      <c r="DP373" s="1021"/>
      <c r="DQ373" s="1021"/>
      <c r="DR373" s="1021"/>
      <c r="DS373" s="808"/>
      <c r="DT373" s="809">
        <f t="shared" si="683"/>
        <v>2.8585960253554907E-2</v>
      </c>
      <c r="DU373" s="1021"/>
      <c r="DV373" s="1021"/>
      <c r="DW373" s="1021"/>
      <c r="DX373" s="808"/>
      <c r="DY373" s="809">
        <f t="shared" si="684"/>
        <v>2.8585960253554907E-2</v>
      </c>
      <c r="DZ373" s="809">
        <f t="shared" si="687"/>
        <v>2.8585960253554907E-2</v>
      </c>
      <c r="EA373" s="809">
        <f t="shared" si="690"/>
        <v>2.8585960253554907E-2</v>
      </c>
      <c r="EB373" s="809">
        <f t="shared" si="691"/>
        <v>2.8585960253554907E-2</v>
      </c>
    </row>
    <row r="374" spans="1:132" s="102" customFormat="1">
      <c r="A374" s="74"/>
      <c r="B374" s="810" t="s">
        <v>542</v>
      </c>
      <c r="C374" s="193"/>
      <c r="D374" s="193"/>
      <c r="E374" s="193"/>
      <c r="F374" s="193"/>
      <c r="G374" s="193"/>
      <c r="H374" s="193"/>
      <c r="I374" s="193"/>
      <c r="J374" s="74"/>
      <c r="K374" s="74"/>
      <c r="L374" s="74"/>
      <c r="M374" s="74"/>
      <c r="N374" s="193"/>
      <c r="O374" s="74"/>
      <c r="P374" s="74"/>
      <c r="Q374" s="74"/>
      <c r="R374" s="74"/>
      <c r="S374" s="193"/>
      <c r="T374" s="74"/>
      <c r="U374" s="74"/>
      <c r="V374" s="74"/>
      <c r="W374" s="74"/>
      <c r="X374" s="193"/>
      <c r="Y374" s="74"/>
      <c r="Z374" s="74"/>
      <c r="AA374" s="74"/>
      <c r="AB374" s="74"/>
      <c r="AC374" s="193"/>
      <c r="AD374" s="74"/>
      <c r="AE374" s="74"/>
      <c r="AF374" s="74"/>
      <c r="AG374" s="74"/>
      <c r="AH374" s="193"/>
      <c r="AI374" s="74"/>
      <c r="AJ374" s="74"/>
      <c r="AK374" s="74"/>
      <c r="AL374" s="74"/>
      <c r="AM374" s="193"/>
      <c r="AN374" s="74"/>
      <c r="AO374" s="74"/>
      <c r="AP374" s="74"/>
      <c r="AQ374" s="74"/>
      <c r="AR374" s="193"/>
      <c r="AS374" s="74"/>
      <c r="AT374" s="74"/>
      <c r="AU374" s="74"/>
      <c r="AV374" s="74"/>
      <c r="AW374" s="809"/>
      <c r="AX374" s="808"/>
      <c r="AY374" s="808"/>
      <c r="AZ374" s="808"/>
      <c r="BA374" s="808"/>
      <c r="BB374" s="809">
        <v>7.0000000000000007E-2</v>
      </c>
      <c r="BC374" s="808"/>
      <c r="BD374" s="808"/>
      <c r="BE374" s="808"/>
      <c r="BF374" s="808"/>
      <c r="BG374" s="809">
        <v>0.12</v>
      </c>
      <c r="BH374" s="808"/>
      <c r="BI374" s="808"/>
      <c r="BJ374" s="808"/>
      <c r="BK374" s="808"/>
      <c r="BL374" s="809">
        <v>0.12</v>
      </c>
      <c r="BM374" s="808"/>
      <c r="BN374" s="808"/>
      <c r="BO374" s="808"/>
      <c r="BP374" s="808"/>
      <c r="BQ374" s="809">
        <f>+BQ258</f>
        <v>0.13063653578042742</v>
      </c>
      <c r="BR374" s="808"/>
      <c r="BS374" s="808"/>
      <c r="BT374" s="808"/>
      <c r="BU374" s="808"/>
      <c r="BV374" s="809">
        <f>+BV258</f>
        <v>0.10903976906239757</v>
      </c>
      <c r="BW374" s="808"/>
      <c r="BX374" s="808"/>
      <c r="BY374" s="808"/>
      <c r="BZ374" s="808"/>
      <c r="CA374" s="809">
        <f>+CA258</f>
        <v>0.12753769059448347</v>
      </c>
      <c r="CB374" s="808"/>
      <c r="CC374" s="808"/>
      <c r="CD374" s="808"/>
      <c r="CE374" s="808"/>
      <c r="CF374" s="809">
        <f t="shared" si="686"/>
        <v>0.12753769059448347</v>
      </c>
      <c r="CG374" s="808"/>
      <c r="CH374" s="808"/>
      <c r="CI374" s="808"/>
      <c r="CJ374" s="808"/>
      <c r="CK374" s="809">
        <f t="shared" si="676"/>
        <v>0.12753769059448347</v>
      </c>
      <c r="CL374" s="808"/>
      <c r="CM374" s="808"/>
      <c r="CN374" s="808"/>
      <c r="CO374" s="808"/>
      <c r="CP374" s="809">
        <f t="shared" si="677"/>
        <v>0.12753769059448347</v>
      </c>
      <c r="CQ374" s="808"/>
      <c r="CR374" s="808"/>
      <c r="CS374" s="808"/>
      <c r="CT374" s="808"/>
      <c r="CU374" s="809">
        <f t="shared" si="678"/>
        <v>0.12753769059448347</v>
      </c>
      <c r="CV374" s="808"/>
      <c r="CW374" s="808"/>
      <c r="CX374" s="808"/>
      <c r="CY374" s="808"/>
      <c r="CZ374" s="809">
        <f t="shared" si="679"/>
        <v>0.12753769059448347</v>
      </c>
      <c r="DA374" s="808"/>
      <c r="DB374" s="808"/>
      <c r="DC374" s="808"/>
      <c r="DD374" s="808"/>
      <c r="DE374" s="809">
        <f t="shared" si="680"/>
        <v>0.12753769059448347</v>
      </c>
      <c r="DF374" s="1021"/>
      <c r="DG374" s="1021"/>
      <c r="DH374" s="1021"/>
      <c r="DI374" s="808"/>
      <c r="DJ374" s="809">
        <f t="shared" si="681"/>
        <v>0.12753769059448347</v>
      </c>
      <c r="DK374" s="1021"/>
      <c r="DL374" s="1021"/>
      <c r="DM374" s="1021"/>
      <c r="DN374" s="808"/>
      <c r="DO374" s="809">
        <f t="shared" si="682"/>
        <v>0.12753769059448347</v>
      </c>
      <c r="DP374" s="1021"/>
      <c r="DQ374" s="1021"/>
      <c r="DR374" s="1021"/>
      <c r="DS374" s="808"/>
      <c r="DT374" s="809">
        <f t="shared" si="683"/>
        <v>0.12753769059448347</v>
      </c>
      <c r="DU374" s="1021"/>
      <c r="DV374" s="1021"/>
      <c r="DW374" s="1021"/>
      <c r="DX374" s="808"/>
      <c r="DY374" s="809">
        <f t="shared" si="684"/>
        <v>0.12753769059448347</v>
      </c>
      <c r="DZ374" s="809">
        <f t="shared" si="687"/>
        <v>0.12753769059448347</v>
      </c>
      <c r="EA374" s="809">
        <f t="shared" si="690"/>
        <v>0.12753769059448347</v>
      </c>
      <c r="EB374" s="809">
        <f t="shared" si="691"/>
        <v>0.12753769059448347</v>
      </c>
    </row>
    <row r="375" spans="1:132" s="102" customFormat="1">
      <c r="A375" s="74"/>
      <c r="B375" s="810" t="s">
        <v>543</v>
      </c>
      <c r="C375" s="193"/>
      <c r="D375" s="193"/>
      <c r="E375" s="193"/>
      <c r="F375" s="193"/>
      <c r="G375" s="193"/>
      <c r="H375" s="193"/>
      <c r="I375" s="193"/>
      <c r="J375" s="74"/>
      <c r="K375" s="74"/>
      <c r="L375" s="74"/>
      <c r="M375" s="74"/>
      <c r="N375" s="193"/>
      <c r="O375" s="74"/>
      <c r="P375" s="74"/>
      <c r="Q375" s="74"/>
      <c r="R375" s="74"/>
      <c r="S375" s="193"/>
      <c r="T375" s="74"/>
      <c r="U375" s="74"/>
      <c r="V375" s="74"/>
      <c r="W375" s="74"/>
      <c r="X375" s="193"/>
      <c r="Y375" s="74"/>
      <c r="Z375" s="74"/>
      <c r="AA375" s="74"/>
      <c r="AB375" s="74"/>
      <c r="AC375" s="193"/>
      <c r="AD375" s="74"/>
      <c r="AE375" s="74"/>
      <c r="AF375" s="74"/>
      <c r="AG375" s="74"/>
      <c r="AH375" s="193"/>
      <c r="AI375" s="74"/>
      <c r="AJ375" s="74"/>
      <c r="AK375" s="74"/>
      <c r="AL375" s="74"/>
      <c r="AM375" s="193"/>
      <c r="AN375" s="74"/>
      <c r="AO375" s="74"/>
      <c r="AP375" s="74"/>
      <c r="AQ375" s="74"/>
      <c r="AR375" s="193"/>
      <c r="AS375" s="74"/>
      <c r="AT375" s="74"/>
      <c r="AU375" s="74"/>
      <c r="AV375" s="74"/>
      <c r="AW375" s="809"/>
      <c r="AX375" s="808"/>
      <c r="AY375" s="808"/>
      <c r="AZ375" s="808"/>
      <c r="BA375" s="808"/>
      <c r="BB375" s="809">
        <v>0</v>
      </c>
      <c r="BC375" s="808"/>
      <c r="BD375" s="808"/>
      <c r="BE375" s="808"/>
      <c r="BF375" s="808"/>
      <c r="BG375" s="809">
        <v>0</v>
      </c>
      <c r="BH375" s="808"/>
      <c r="BI375" s="808"/>
      <c r="BJ375" s="808"/>
      <c r="BK375" s="808"/>
      <c r="BL375" s="809">
        <v>0</v>
      </c>
      <c r="BM375" s="808"/>
      <c r="BN375" s="808"/>
      <c r="BO375" s="808"/>
      <c r="BP375" s="808"/>
      <c r="BQ375" s="809">
        <v>0</v>
      </c>
      <c r="BR375" s="808"/>
      <c r="BS375" s="808"/>
      <c r="BT375" s="808"/>
      <c r="BU375" s="808"/>
      <c r="BV375" s="809">
        <f t="shared" si="688"/>
        <v>0</v>
      </c>
      <c r="BW375" s="808"/>
      <c r="BX375" s="808"/>
      <c r="BY375" s="808"/>
      <c r="BZ375" s="808"/>
      <c r="CA375" s="809">
        <f t="shared" si="689"/>
        <v>0</v>
      </c>
      <c r="CB375" s="808"/>
      <c r="CC375" s="808"/>
      <c r="CD375" s="808"/>
      <c r="CE375" s="808"/>
      <c r="CF375" s="809">
        <f t="shared" si="686"/>
        <v>0</v>
      </c>
      <c r="CG375" s="808"/>
      <c r="CH375" s="808"/>
      <c r="CI375" s="808"/>
      <c r="CJ375" s="808"/>
      <c r="CK375" s="809">
        <f t="shared" si="676"/>
        <v>0</v>
      </c>
      <c r="CL375" s="808"/>
      <c r="CM375" s="808"/>
      <c r="CN375" s="808"/>
      <c r="CO375" s="808"/>
      <c r="CP375" s="809">
        <f t="shared" si="677"/>
        <v>0</v>
      </c>
      <c r="CQ375" s="808"/>
      <c r="CR375" s="808"/>
      <c r="CS375" s="808"/>
      <c r="CT375" s="808"/>
      <c r="CU375" s="809">
        <f t="shared" si="678"/>
        <v>0</v>
      </c>
      <c r="CV375" s="808"/>
      <c r="CW375" s="808"/>
      <c r="CX375" s="808"/>
      <c r="CY375" s="808"/>
      <c r="CZ375" s="809">
        <f t="shared" si="679"/>
        <v>0</v>
      </c>
      <c r="DA375" s="808"/>
      <c r="DB375" s="808"/>
      <c r="DC375" s="808"/>
      <c r="DD375" s="808"/>
      <c r="DE375" s="809">
        <f t="shared" si="680"/>
        <v>0</v>
      </c>
      <c r="DF375" s="1021"/>
      <c r="DG375" s="1021"/>
      <c r="DH375" s="1021"/>
      <c r="DI375" s="808"/>
      <c r="DJ375" s="809">
        <f t="shared" si="681"/>
        <v>0</v>
      </c>
      <c r="DK375" s="1021"/>
      <c r="DL375" s="1021"/>
      <c r="DM375" s="1021"/>
      <c r="DN375" s="808"/>
      <c r="DO375" s="809">
        <f t="shared" si="682"/>
        <v>0</v>
      </c>
      <c r="DP375" s="1021"/>
      <c r="DQ375" s="1021"/>
      <c r="DR375" s="1021"/>
      <c r="DS375" s="808"/>
      <c r="DT375" s="809">
        <f t="shared" si="683"/>
        <v>0</v>
      </c>
      <c r="DU375" s="1021"/>
      <c r="DV375" s="1021"/>
      <c r="DW375" s="1021"/>
      <c r="DX375" s="808"/>
      <c r="DY375" s="809">
        <f t="shared" si="684"/>
        <v>0</v>
      </c>
      <c r="DZ375" s="809">
        <f t="shared" si="687"/>
        <v>0</v>
      </c>
      <c r="EA375" s="809">
        <f t="shared" si="690"/>
        <v>0</v>
      </c>
      <c r="EB375" s="809">
        <f t="shared" si="691"/>
        <v>0</v>
      </c>
    </row>
    <row r="376" spans="1:132" s="102" customFormat="1">
      <c r="A376" s="74"/>
      <c r="B376" s="810" t="s">
        <v>544</v>
      </c>
      <c r="C376" s="193"/>
      <c r="D376" s="193"/>
      <c r="E376" s="193"/>
      <c r="F376" s="193"/>
      <c r="G376" s="193"/>
      <c r="H376" s="193"/>
      <c r="I376" s="193"/>
      <c r="J376" s="74"/>
      <c r="K376" s="74"/>
      <c r="L376" s="74"/>
      <c r="M376" s="74"/>
      <c r="N376" s="193"/>
      <c r="O376" s="74"/>
      <c r="P376" s="74"/>
      <c r="Q376" s="74"/>
      <c r="R376" s="74"/>
      <c r="S376" s="193"/>
      <c r="T376" s="74"/>
      <c r="U376" s="74"/>
      <c r="V376" s="74"/>
      <c r="W376" s="74"/>
      <c r="X376" s="193"/>
      <c r="Y376" s="74"/>
      <c r="Z376" s="74"/>
      <c r="AA376" s="74"/>
      <c r="AB376" s="74"/>
      <c r="AC376" s="193"/>
      <c r="AD376" s="74"/>
      <c r="AE376" s="74"/>
      <c r="AF376" s="74"/>
      <c r="AG376" s="74"/>
      <c r="AH376" s="193"/>
      <c r="AI376" s="74"/>
      <c r="AJ376" s="74"/>
      <c r="AK376" s="74"/>
      <c r="AL376" s="74"/>
      <c r="AM376" s="193"/>
      <c r="AN376" s="74"/>
      <c r="AO376" s="74"/>
      <c r="AP376" s="74"/>
      <c r="AQ376" s="74"/>
      <c r="AR376" s="193"/>
      <c r="AS376" s="74"/>
      <c r="AT376" s="74"/>
      <c r="AU376" s="74"/>
      <c r="AV376" s="74"/>
      <c r="AW376" s="809"/>
      <c r="AX376" s="808"/>
      <c r="AY376" s="808"/>
      <c r="AZ376" s="808"/>
      <c r="BA376" s="808"/>
      <c r="BB376" s="809">
        <v>0</v>
      </c>
      <c r="BC376" s="808"/>
      <c r="BD376" s="808"/>
      <c r="BE376" s="808"/>
      <c r="BF376" s="808"/>
      <c r="BG376" s="809">
        <v>0</v>
      </c>
      <c r="BH376" s="808"/>
      <c r="BI376" s="808"/>
      <c r="BJ376" s="808"/>
      <c r="BK376" s="808"/>
      <c r="BL376" s="809">
        <v>0</v>
      </c>
      <c r="BM376" s="808"/>
      <c r="BN376" s="808"/>
      <c r="BO376" s="808"/>
      <c r="BP376" s="808"/>
      <c r="BQ376" s="809">
        <v>0</v>
      </c>
      <c r="BR376" s="808"/>
      <c r="BS376" s="808"/>
      <c r="BT376" s="808"/>
      <c r="BU376" s="808"/>
      <c r="BV376" s="809">
        <f t="shared" si="688"/>
        <v>0</v>
      </c>
      <c r="BW376" s="808"/>
      <c r="BX376" s="808"/>
      <c r="BY376" s="808"/>
      <c r="BZ376" s="808"/>
      <c r="CA376" s="809">
        <f t="shared" si="689"/>
        <v>0</v>
      </c>
      <c r="CB376" s="808"/>
      <c r="CC376" s="808"/>
      <c r="CD376" s="808"/>
      <c r="CE376" s="808"/>
      <c r="CF376" s="809">
        <f t="shared" si="686"/>
        <v>0</v>
      </c>
      <c r="CG376" s="808"/>
      <c r="CH376" s="808"/>
      <c r="CI376" s="808"/>
      <c r="CJ376" s="808"/>
      <c r="CK376" s="809">
        <f t="shared" si="676"/>
        <v>0</v>
      </c>
      <c r="CL376" s="808"/>
      <c r="CM376" s="808"/>
      <c r="CN376" s="808"/>
      <c r="CO376" s="808"/>
      <c r="CP376" s="809">
        <f t="shared" si="677"/>
        <v>0</v>
      </c>
      <c r="CQ376" s="808"/>
      <c r="CR376" s="808"/>
      <c r="CS376" s="808"/>
      <c r="CT376" s="808"/>
      <c r="CU376" s="809">
        <f t="shared" si="678"/>
        <v>0</v>
      </c>
      <c r="CV376" s="808"/>
      <c r="CW376" s="808"/>
      <c r="CX376" s="808"/>
      <c r="CY376" s="808"/>
      <c r="CZ376" s="809">
        <f t="shared" si="679"/>
        <v>0</v>
      </c>
      <c r="DA376" s="808"/>
      <c r="DB376" s="808"/>
      <c r="DC376" s="808"/>
      <c r="DD376" s="808"/>
      <c r="DE376" s="809">
        <f t="shared" si="680"/>
        <v>0</v>
      </c>
      <c r="DF376" s="1021"/>
      <c r="DG376" s="1021"/>
      <c r="DH376" s="1021"/>
      <c r="DI376" s="808"/>
      <c r="DJ376" s="809">
        <f t="shared" si="681"/>
        <v>0</v>
      </c>
      <c r="DK376" s="1021"/>
      <c r="DL376" s="1021"/>
      <c r="DM376" s="1021"/>
      <c r="DN376" s="808"/>
      <c r="DO376" s="809">
        <f t="shared" si="682"/>
        <v>0</v>
      </c>
      <c r="DP376" s="1021"/>
      <c r="DQ376" s="1021"/>
      <c r="DR376" s="1021"/>
      <c r="DS376" s="808"/>
      <c r="DT376" s="809">
        <f t="shared" si="683"/>
        <v>0</v>
      </c>
      <c r="DU376" s="1021"/>
      <c r="DV376" s="1021"/>
      <c r="DW376" s="1021"/>
      <c r="DX376" s="808"/>
      <c r="DY376" s="809">
        <f t="shared" si="684"/>
        <v>0</v>
      </c>
      <c r="DZ376" s="809">
        <f t="shared" si="687"/>
        <v>0</v>
      </c>
      <c r="EA376" s="809">
        <f t="shared" si="690"/>
        <v>0</v>
      </c>
      <c r="EB376" s="809">
        <f t="shared" si="691"/>
        <v>0</v>
      </c>
    </row>
    <row r="377" spans="1:132" s="102" customFormat="1">
      <c r="A377" s="74"/>
      <c r="B377" s="810" t="s">
        <v>545</v>
      </c>
      <c r="C377" s="193"/>
      <c r="D377" s="193"/>
      <c r="E377" s="193"/>
      <c r="F377" s="193"/>
      <c r="G377" s="193"/>
      <c r="H377" s="193"/>
      <c r="I377" s="193"/>
      <c r="J377" s="74"/>
      <c r="K377" s="74"/>
      <c r="L377" s="74"/>
      <c r="M377" s="74"/>
      <c r="N377" s="193"/>
      <c r="O377" s="74"/>
      <c r="P377" s="74"/>
      <c r="Q377" s="74"/>
      <c r="R377" s="74"/>
      <c r="S377" s="193"/>
      <c r="T377" s="74"/>
      <c r="U377" s="74"/>
      <c r="V377" s="74"/>
      <c r="W377" s="74"/>
      <c r="X377" s="193"/>
      <c r="Y377" s="74"/>
      <c r="Z377" s="74"/>
      <c r="AA377" s="74"/>
      <c r="AB377" s="74"/>
      <c r="AC377" s="193"/>
      <c r="AD377" s="74"/>
      <c r="AE377" s="74"/>
      <c r="AF377" s="74"/>
      <c r="AG377" s="74"/>
      <c r="AH377" s="193"/>
      <c r="AI377" s="74"/>
      <c r="AJ377" s="74"/>
      <c r="AK377" s="74"/>
      <c r="AL377" s="74"/>
      <c r="AM377" s="193"/>
      <c r="AN377" s="74"/>
      <c r="AO377" s="74"/>
      <c r="AP377" s="74"/>
      <c r="AQ377" s="74"/>
      <c r="AR377" s="193"/>
      <c r="AS377" s="74"/>
      <c r="AT377" s="74"/>
      <c r="AU377" s="74"/>
      <c r="AV377" s="74"/>
      <c r="AW377" s="809"/>
      <c r="AX377" s="808"/>
      <c r="AY377" s="808"/>
      <c r="AZ377" s="808"/>
      <c r="BA377" s="808"/>
      <c r="BB377" s="809">
        <v>0</v>
      </c>
      <c r="BC377" s="808"/>
      <c r="BD377" s="808"/>
      <c r="BE377" s="808"/>
      <c r="BF377" s="808"/>
      <c r="BG377" s="809">
        <v>0</v>
      </c>
      <c r="BH377" s="808"/>
      <c r="BI377" s="808"/>
      <c r="BJ377" s="808"/>
      <c r="BK377" s="808"/>
      <c r="BL377" s="809">
        <v>0</v>
      </c>
      <c r="BM377" s="808"/>
      <c r="BN377" s="808"/>
      <c r="BO377" s="808"/>
      <c r="BP377" s="808"/>
      <c r="BQ377" s="809">
        <v>0</v>
      </c>
      <c r="BR377" s="808"/>
      <c r="BS377" s="808"/>
      <c r="BT377" s="808"/>
      <c r="BU377" s="808"/>
      <c r="BV377" s="809">
        <f t="shared" si="688"/>
        <v>0</v>
      </c>
      <c r="BW377" s="808"/>
      <c r="BX377" s="808"/>
      <c r="BY377" s="808"/>
      <c r="BZ377" s="808"/>
      <c r="CA377" s="809">
        <f t="shared" si="689"/>
        <v>0</v>
      </c>
      <c r="CB377" s="808"/>
      <c r="CC377" s="808"/>
      <c r="CD377" s="808"/>
      <c r="CE377" s="808"/>
      <c r="CF377" s="809">
        <f t="shared" si="686"/>
        <v>0</v>
      </c>
      <c r="CG377" s="808"/>
      <c r="CH377" s="808"/>
      <c r="CI377" s="808"/>
      <c r="CJ377" s="808"/>
      <c r="CK377" s="809">
        <f t="shared" si="676"/>
        <v>0</v>
      </c>
      <c r="CL377" s="808"/>
      <c r="CM377" s="808"/>
      <c r="CN377" s="808"/>
      <c r="CO377" s="808"/>
      <c r="CP377" s="809">
        <f t="shared" si="677"/>
        <v>0</v>
      </c>
      <c r="CQ377" s="808"/>
      <c r="CR377" s="808"/>
      <c r="CS377" s="808"/>
      <c r="CT377" s="808"/>
      <c r="CU377" s="809">
        <f t="shared" si="678"/>
        <v>0</v>
      </c>
      <c r="CV377" s="808"/>
      <c r="CW377" s="808"/>
      <c r="CX377" s="808"/>
      <c r="CY377" s="808"/>
      <c r="CZ377" s="809">
        <f t="shared" si="679"/>
        <v>0</v>
      </c>
      <c r="DA377" s="808"/>
      <c r="DB377" s="808"/>
      <c r="DC377" s="808"/>
      <c r="DD377" s="808"/>
      <c r="DE377" s="809">
        <f t="shared" si="680"/>
        <v>0</v>
      </c>
      <c r="DF377" s="1021"/>
      <c r="DG377" s="1021"/>
      <c r="DH377" s="1021"/>
      <c r="DI377" s="808"/>
      <c r="DJ377" s="809">
        <f t="shared" si="681"/>
        <v>0</v>
      </c>
      <c r="DK377" s="1021"/>
      <c r="DL377" s="1021"/>
      <c r="DM377" s="1021"/>
      <c r="DN377" s="808"/>
      <c r="DO377" s="809">
        <f t="shared" si="682"/>
        <v>0</v>
      </c>
      <c r="DP377" s="1021"/>
      <c r="DQ377" s="1021"/>
      <c r="DR377" s="1021"/>
      <c r="DS377" s="808"/>
      <c r="DT377" s="809">
        <f t="shared" si="683"/>
        <v>0</v>
      </c>
      <c r="DU377" s="1021"/>
      <c r="DV377" s="1021"/>
      <c r="DW377" s="1021"/>
      <c r="DX377" s="808"/>
      <c r="DY377" s="809">
        <f t="shared" si="684"/>
        <v>0</v>
      </c>
      <c r="DZ377" s="809">
        <f t="shared" si="687"/>
        <v>0</v>
      </c>
      <c r="EA377" s="809">
        <f t="shared" si="690"/>
        <v>0</v>
      </c>
      <c r="EB377" s="809">
        <f t="shared" si="691"/>
        <v>0</v>
      </c>
    </row>
    <row r="378" spans="1:132" s="102" customFormat="1">
      <c r="A378" s="74"/>
      <c r="B378" s="810" t="s">
        <v>546</v>
      </c>
      <c r="C378" s="193"/>
      <c r="D378" s="193"/>
      <c r="E378" s="193"/>
      <c r="F378" s="193"/>
      <c r="G378" s="193"/>
      <c r="H378" s="193"/>
      <c r="I378" s="193"/>
      <c r="J378" s="74"/>
      <c r="K378" s="74"/>
      <c r="L378" s="74"/>
      <c r="M378" s="74"/>
      <c r="N378" s="193"/>
      <c r="O378" s="74"/>
      <c r="P378" s="74"/>
      <c r="Q378" s="74"/>
      <c r="R378" s="74"/>
      <c r="S378" s="193"/>
      <c r="T378" s="74"/>
      <c r="U378" s="74"/>
      <c r="V378" s="74"/>
      <c r="W378" s="74"/>
      <c r="X378" s="193"/>
      <c r="Y378" s="74"/>
      <c r="Z378" s="74"/>
      <c r="AA378" s="74"/>
      <c r="AB378" s="74"/>
      <c r="AC378" s="193"/>
      <c r="AD378" s="74"/>
      <c r="AE378" s="74"/>
      <c r="AF378" s="74"/>
      <c r="AG378" s="74"/>
      <c r="AH378" s="193"/>
      <c r="AI378" s="74"/>
      <c r="AJ378" s="74"/>
      <c r="AK378" s="74"/>
      <c r="AL378" s="74"/>
      <c r="AM378" s="193"/>
      <c r="AN378" s="74"/>
      <c r="AO378" s="74"/>
      <c r="AP378" s="74"/>
      <c r="AQ378" s="74"/>
      <c r="AR378" s="193"/>
      <c r="AS378" s="74"/>
      <c r="AT378" s="74"/>
      <c r="AU378" s="74"/>
      <c r="AV378" s="74"/>
      <c r="AW378" s="809"/>
      <c r="AX378" s="808"/>
      <c r="AY378" s="808"/>
      <c r="AZ378" s="808"/>
      <c r="BA378" s="808"/>
      <c r="BB378" s="809">
        <v>0.03</v>
      </c>
      <c r="BC378" s="808"/>
      <c r="BD378" s="808"/>
      <c r="BE378" s="808"/>
      <c r="BF378" s="808"/>
      <c r="BG378" s="809">
        <v>0.05</v>
      </c>
      <c r="BH378" s="808"/>
      <c r="BI378" s="808"/>
      <c r="BJ378" s="808"/>
      <c r="BK378" s="808"/>
      <c r="BL378" s="809">
        <v>0.04</v>
      </c>
      <c r="BM378" s="808"/>
      <c r="BN378" s="808"/>
      <c r="BO378" s="808"/>
      <c r="BP378" s="808"/>
      <c r="BQ378" s="916">
        <v>0.05</v>
      </c>
      <c r="BR378" s="808"/>
      <c r="BS378" s="808"/>
      <c r="BT378" s="808"/>
      <c r="BU378" s="808"/>
      <c r="BV378" s="916">
        <f>+BV257*0.35</f>
        <v>3.9055841642786901E-2</v>
      </c>
      <c r="BW378" s="808"/>
      <c r="BX378" s="808"/>
      <c r="BY378" s="808"/>
      <c r="BZ378" s="808"/>
      <c r="CA378" s="916">
        <f>+CA257*0.35</f>
        <v>3.3350286962480727E-2</v>
      </c>
      <c r="CB378" s="808"/>
      <c r="CC378" s="808"/>
      <c r="CD378" s="808"/>
      <c r="CE378" s="808"/>
      <c r="CF378" s="809">
        <f t="shared" si="686"/>
        <v>3.3350286962480727E-2</v>
      </c>
      <c r="CG378" s="808"/>
      <c r="CH378" s="808"/>
      <c r="CI378" s="808"/>
      <c r="CJ378" s="808"/>
      <c r="CK378" s="809">
        <f t="shared" si="676"/>
        <v>3.3350286962480727E-2</v>
      </c>
      <c r="CL378" s="808"/>
      <c r="CM378" s="808"/>
      <c r="CN378" s="808"/>
      <c r="CO378" s="808"/>
      <c r="CP378" s="809">
        <f t="shared" si="677"/>
        <v>3.3350286962480727E-2</v>
      </c>
      <c r="CQ378" s="808"/>
      <c r="CR378" s="808"/>
      <c r="CS378" s="808"/>
      <c r="CT378" s="808"/>
      <c r="CU378" s="809">
        <f t="shared" si="678"/>
        <v>3.3350286962480727E-2</v>
      </c>
      <c r="CV378" s="808"/>
      <c r="CW378" s="808"/>
      <c r="CX378" s="808"/>
      <c r="CY378" s="808"/>
      <c r="CZ378" s="809">
        <f t="shared" si="679"/>
        <v>3.3350286962480727E-2</v>
      </c>
      <c r="DA378" s="808"/>
      <c r="DB378" s="808"/>
      <c r="DC378" s="808"/>
      <c r="DD378" s="808"/>
      <c r="DE378" s="809">
        <f t="shared" si="680"/>
        <v>3.3350286962480727E-2</v>
      </c>
      <c r="DF378" s="1021"/>
      <c r="DG378" s="1021"/>
      <c r="DH378" s="1021"/>
      <c r="DI378" s="808"/>
      <c r="DJ378" s="809">
        <f t="shared" si="681"/>
        <v>3.3350286962480727E-2</v>
      </c>
      <c r="DK378" s="1021"/>
      <c r="DL378" s="1021"/>
      <c r="DM378" s="1021"/>
      <c r="DN378" s="808"/>
      <c r="DO378" s="809">
        <f t="shared" si="682"/>
        <v>3.3350286962480727E-2</v>
      </c>
      <c r="DP378" s="1021"/>
      <c r="DQ378" s="1021"/>
      <c r="DR378" s="1021"/>
      <c r="DS378" s="808"/>
      <c r="DT378" s="809">
        <f t="shared" si="683"/>
        <v>3.3350286962480727E-2</v>
      </c>
      <c r="DU378" s="1021"/>
      <c r="DV378" s="1021"/>
      <c r="DW378" s="1021"/>
      <c r="DX378" s="808"/>
      <c r="DY378" s="809">
        <f t="shared" si="684"/>
        <v>3.3350286962480727E-2</v>
      </c>
      <c r="DZ378" s="809">
        <f t="shared" si="687"/>
        <v>3.3350286962480727E-2</v>
      </c>
      <c r="EA378" s="809">
        <f t="shared" si="690"/>
        <v>3.3350286962480727E-2</v>
      </c>
      <c r="EB378" s="809">
        <f t="shared" si="691"/>
        <v>3.3350286962480727E-2</v>
      </c>
    </row>
    <row r="379" spans="1:132" s="102" customFormat="1">
      <c r="A379" s="74"/>
      <c r="B379" s="810" t="s">
        <v>547</v>
      </c>
      <c r="C379" s="193"/>
      <c r="D379" s="193"/>
      <c r="E379" s="193"/>
      <c r="F379" s="193"/>
      <c r="G379" s="193"/>
      <c r="H379" s="193"/>
      <c r="I379" s="193"/>
      <c r="J379" s="74"/>
      <c r="K379" s="74"/>
      <c r="L379" s="74"/>
      <c r="M379" s="74"/>
      <c r="N379" s="193"/>
      <c r="O379" s="74"/>
      <c r="P379" s="74"/>
      <c r="Q379" s="74"/>
      <c r="R379" s="74"/>
      <c r="S379" s="193"/>
      <c r="T379" s="74"/>
      <c r="U379" s="74"/>
      <c r="V379" s="74"/>
      <c r="W379" s="74"/>
      <c r="X379" s="193"/>
      <c r="Y379" s="74"/>
      <c r="Z379" s="74"/>
      <c r="AA379" s="74"/>
      <c r="AB379" s="74"/>
      <c r="AC379" s="193"/>
      <c r="AD379" s="74"/>
      <c r="AE379" s="74"/>
      <c r="AF379" s="74"/>
      <c r="AG379" s="74"/>
      <c r="AH379" s="193"/>
      <c r="AI379" s="74"/>
      <c r="AJ379" s="74"/>
      <c r="AK379" s="74"/>
      <c r="AL379" s="74"/>
      <c r="AM379" s="193"/>
      <c r="AN379" s="74"/>
      <c r="AO379" s="74"/>
      <c r="AP379" s="74"/>
      <c r="AQ379" s="74"/>
      <c r="AR379" s="193"/>
      <c r="AS379" s="74"/>
      <c r="AT379" s="74"/>
      <c r="AU379" s="74"/>
      <c r="AV379" s="74"/>
      <c r="AW379" s="809"/>
      <c r="AX379" s="808"/>
      <c r="AY379" s="808"/>
      <c r="AZ379" s="808"/>
      <c r="BA379" s="808"/>
      <c r="BB379" s="809">
        <v>0.02</v>
      </c>
      <c r="BC379" s="808"/>
      <c r="BD379" s="808"/>
      <c r="BE379" s="808"/>
      <c r="BF379" s="808"/>
      <c r="BG379" s="809">
        <v>0.01</v>
      </c>
      <c r="BH379" s="808"/>
      <c r="BI379" s="808"/>
      <c r="BJ379" s="808"/>
      <c r="BK379" s="808"/>
      <c r="BL379" s="809">
        <v>0.01</v>
      </c>
      <c r="BM379" s="808"/>
      <c r="BN379" s="808"/>
      <c r="BO379" s="808"/>
      <c r="BP379" s="808"/>
      <c r="BQ379" s="916">
        <v>0.02</v>
      </c>
      <c r="BR379" s="808"/>
      <c r="BS379" s="808"/>
      <c r="BT379" s="808"/>
      <c r="BU379" s="808"/>
      <c r="BV379" s="916">
        <f>+BV259*0.65</f>
        <v>1.266720241934631E-2</v>
      </c>
      <c r="BW379" s="808"/>
      <c r="BX379" s="808"/>
      <c r="BY379" s="808"/>
      <c r="BZ379" s="808"/>
      <c r="CA379" s="916">
        <f>+CA259*0.65</f>
        <v>1.4344376391982182E-2</v>
      </c>
      <c r="CB379" s="808"/>
      <c r="CC379" s="808"/>
      <c r="CD379" s="808"/>
      <c r="CE379" s="808"/>
      <c r="CF379" s="809">
        <f t="shared" si="686"/>
        <v>1.4344376391982182E-2</v>
      </c>
      <c r="CG379" s="808"/>
      <c r="CH379" s="808"/>
      <c r="CI379" s="808"/>
      <c r="CJ379" s="808"/>
      <c r="CK379" s="809">
        <f t="shared" si="676"/>
        <v>1.4344376391982182E-2</v>
      </c>
      <c r="CL379" s="808"/>
      <c r="CM379" s="808"/>
      <c r="CN379" s="808"/>
      <c r="CO379" s="808"/>
      <c r="CP379" s="809">
        <f t="shared" si="677"/>
        <v>1.4344376391982182E-2</v>
      </c>
      <c r="CQ379" s="808"/>
      <c r="CR379" s="808"/>
      <c r="CS379" s="808"/>
      <c r="CT379" s="808"/>
      <c r="CU379" s="809">
        <f t="shared" si="678"/>
        <v>1.4344376391982182E-2</v>
      </c>
      <c r="CV379" s="808"/>
      <c r="CW379" s="808"/>
      <c r="CX379" s="808"/>
      <c r="CY379" s="808"/>
      <c r="CZ379" s="809">
        <f t="shared" si="679"/>
        <v>1.4344376391982182E-2</v>
      </c>
      <c r="DA379" s="808"/>
      <c r="DB379" s="808"/>
      <c r="DC379" s="808"/>
      <c r="DD379" s="808"/>
      <c r="DE379" s="809">
        <f t="shared" si="680"/>
        <v>1.4344376391982182E-2</v>
      </c>
      <c r="DF379" s="1021"/>
      <c r="DG379" s="1021"/>
      <c r="DH379" s="1021"/>
      <c r="DI379" s="808"/>
      <c r="DJ379" s="809">
        <f t="shared" si="681"/>
        <v>1.4344376391982182E-2</v>
      </c>
      <c r="DK379" s="1021"/>
      <c r="DL379" s="1021"/>
      <c r="DM379" s="1021"/>
      <c r="DN379" s="808"/>
      <c r="DO379" s="809">
        <f t="shared" si="682"/>
        <v>1.4344376391982182E-2</v>
      </c>
      <c r="DP379" s="1021"/>
      <c r="DQ379" s="1021"/>
      <c r="DR379" s="1021"/>
      <c r="DS379" s="808"/>
      <c r="DT379" s="809">
        <f t="shared" si="683"/>
        <v>1.4344376391982182E-2</v>
      </c>
      <c r="DU379" s="1021"/>
      <c r="DV379" s="1021"/>
      <c r="DW379" s="1021"/>
      <c r="DX379" s="808"/>
      <c r="DY379" s="809">
        <f t="shared" si="684"/>
        <v>1.4344376391982182E-2</v>
      </c>
      <c r="DZ379" s="809">
        <f t="shared" si="687"/>
        <v>1.4344376391982182E-2</v>
      </c>
      <c r="EA379" s="809">
        <f t="shared" si="690"/>
        <v>1.4344376391982182E-2</v>
      </c>
      <c r="EB379" s="809">
        <f t="shared" si="691"/>
        <v>1.4344376391982182E-2</v>
      </c>
    </row>
    <row r="380" spans="1:132" s="102" customFormat="1">
      <c r="A380" s="74"/>
      <c r="B380" s="810" t="s">
        <v>548</v>
      </c>
      <c r="C380" s="193"/>
      <c r="D380" s="193"/>
      <c r="E380" s="193"/>
      <c r="F380" s="193"/>
      <c r="G380" s="193"/>
      <c r="H380" s="193"/>
      <c r="I380" s="193"/>
      <c r="J380" s="74"/>
      <c r="K380" s="74"/>
      <c r="L380" s="74"/>
      <c r="M380" s="74"/>
      <c r="N380" s="193"/>
      <c r="O380" s="74"/>
      <c r="P380" s="74"/>
      <c r="Q380" s="74"/>
      <c r="R380" s="74"/>
      <c r="S380" s="193"/>
      <c r="T380" s="74"/>
      <c r="U380" s="74"/>
      <c r="V380" s="74"/>
      <c r="W380" s="74"/>
      <c r="X380" s="193"/>
      <c r="Y380" s="74"/>
      <c r="Z380" s="74"/>
      <c r="AA380" s="74"/>
      <c r="AB380" s="74"/>
      <c r="AC380" s="193"/>
      <c r="AD380" s="74"/>
      <c r="AE380" s="74"/>
      <c r="AF380" s="74"/>
      <c r="AG380" s="74"/>
      <c r="AH380" s="193"/>
      <c r="AI380" s="74"/>
      <c r="AJ380" s="74"/>
      <c r="AK380" s="74"/>
      <c r="AL380" s="74"/>
      <c r="AM380" s="193"/>
      <c r="AN380" s="74"/>
      <c r="AO380" s="74"/>
      <c r="AP380" s="74"/>
      <c r="AQ380" s="74"/>
      <c r="AR380" s="193"/>
      <c r="AS380" s="74"/>
      <c r="AT380" s="74"/>
      <c r="AU380" s="74"/>
      <c r="AV380" s="74"/>
      <c r="AW380" s="809"/>
      <c r="AX380" s="808"/>
      <c r="AY380" s="808"/>
      <c r="AZ380" s="808"/>
      <c r="BA380" s="808"/>
      <c r="BB380" s="809">
        <v>0.01</v>
      </c>
      <c r="BC380" s="808"/>
      <c r="BD380" s="808"/>
      <c r="BE380" s="808"/>
      <c r="BF380" s="808"/>
      <c r="BG380" s="809">
        <v>0.01</v>
      </c>
      <c r="BH380" s="808"/>
      <c r="BI380" s="808"/>
      <c r="BJ380" s="808"/>
      <c r="BK380" s="808"/>
      <c r="BL380" s="809">
        <v>0.01</v>
      </c>
      <c r="BM380" s="808"/>
      <c r="BN380" s="808"/>
      <c r="BO380" s="808"/>
      <c r="BP380" s="808"/>
      <c r="BQ380" s="916">
        <v>0.01</v>
      </c>
      <c r="BR380" s="808"/>
      <c r="BS380" s="808"/>
      <c r="BT380" s="808"/>
      <c r="BU380" s="808"/>
      <c r="BV380" s="916">
        <f>+BV259*0.35</f>
        <v>6.8208013027249359E-3</v>
      </c>
      <c r="BW380" s="808"/>
      <c r="BX380" s="808"/>
      <c r="BY380" s="808"/>
      <c r="BZ380" s="808"/>
      <c r="CA380" s="916">
        <f>+CA259*0.35</f>
        <v>7.7238949802980973E-3</v>
      </c>
      <c r="CB380" s="808"/>
      <c r="CC380" s="808"/>
      <c r="CD380" s="808"/>
      <c r="CE380" s="808"/>
      <c r="CF380" s="809">
        <f t="shared" si="686"/>
        <v>7.7238949802980973E-3</v>
      </c>
      <c r="CG380" s="808"/>
      <c r="CH380" s="808"/>
      <c r="CI380" s="808"/>
      <c r="CJ380" s="808"/>
      <c r="CK380" s="809">
        <f t="shared" si="676"/>
        <v>7.7238949802980973E-3</v>
      </c>
      <c r="CL380" s="808"/>
      <c r="CM380" s="808"/>
      <c r="CN380" s="808"/>
      <c r="CO380" s="808"/>
      <c r="CP380" s="809">
        <f t="shared" si="677"/>
        <v>7.7238949802980973E-3</v>
      </c>
      <c r="CQ380" s="808"/>
      <c r="CR380" s="808"/>
      <c r="CS380" s="808"/>
      <c r="CT380" s="808"/>
      <c r="CU380" s="809">
        <f t="shared" si="678"/>
        <v>7.7238949802980973E-3</v>
      </c>
      <c r="CV380" s="808"/>
      <c r="CW380" s="808"/>
      <c r="CX380" s="808"/>
      <c r="CY380" s="808"/>
      <c r="CZ380" s="809">
        <f t="shared" si="679"/>
        <v>7.7238949802980973E-3</v>
      </c>
      <c r="DA380" s="808"/>
      <c r="DB380" s="808"/>
      <c r="DC380" s="808"/>
      <c r="DD380" s="808"/>
      <c r="DE380" s="809">
        <f t="shared" si="680"/>
        <v>7.7238949802980973E-3</v>
      </c>
      <c r="DF380" s="1021"/>
      <c r="DG380" s="1021"/>
      <c r="DH380" s="1021"/>
      <c r="DI380" s="808"/>
      <c r="DJ380" s="809">
        <f t="shared" si="681"/>
        <v>7.7238949802980973E-3</v>
      </c>
      <c r="DK380" s="1021"/>
      <c r="DL380" s="1021"/>
      <c r="DM380" s="1021"/>
      <c r="DN380" s="808"/>
      <c r="DO380" s="809">
        <f t="shared" si="682"/>
        <v>7.7238949802980973E-3</v>
      </c>
      <c r="DP380" s="1021"/>
      <c r="DQ380" s="1021"/>
      <c r="DR380" s="1021"/>
      <c r="DS380" s="808"/>
      <c r="DT380" s="809">
        <f t="shared" si="683"/>
        <v>7.7238949802980973E-3</v>
      </c>
      <c r="DU380" s="1021"/>
      <c r="DV380" s="1021"/>
      <c r="DW380" s="1021"/>
      <c r="DX380" s="808"/>
      <c r="DY380" s="809">
        <f t="shared" si="684"/>
        <v>7.7238949802980973E-3</v>
      </c>
      <c r="DZ380" s="809">
        <f t="shared" si="687"/>
        <v>7.7238949802980973E-3</v>
      </c>
      <c r="EA380" s="809">
        <f t="shared" si="690"/>
        <v>7.7238949802980973E-3</v>
      </c>
      <c r="EB380" s="809">
        <f t="shared" si="691"/>
        <v>7.7238949802980973E-3</v>
      </c>
    </row>
    <row r="381" spans="1:132" s="102" customFormat="1">
      <c r="A381" s="74"/>
      <c r="B381" s="807" t="s">
        <v>304</v>
      </c>
      <c r="C381" s="193"/>
      <c r="D381" s="193"/>
      <c r="E381" s="193"/>
      <c r="F381" s="193"/>
      <c r="G381" s="193"/>
      <c r="H381" s="193"/>
      <c r="I381" s="193"/>
      <c r="J381" s="74"/>
      <c r="K381" s="74"/>
      <c r="L381" s="74"/>
      <c r="M381" s="74"/>
      <c r="N381" s="193"/>
      <c r="O381" s="74"/>
      <c r="P381" s="74"/>
      <c r="Q381" s="74"/>
      <c r="R381" s="74"/>
      <c r="S381" s="193"/>
      <c r="T381" s="74"/>
      <c r="U381" s="74"/>
      <c r="V381" s="74"/>
      <c r="W381" s="74"/>
      <c r="X381" s="193"/>
      <c r="Y381" s="74"/>
      <c r="Z381" s="74"/>
      <c r="AA381" s="74"/>
      <c r="AB381" s="74"/>
      <c r="AC381" s="193"/>
      <c r="AD381" s="74"/>
      <c r="AE381" s="74"/>
      <c r="AF381" s="74"/>
      <c r="AG381" s="74"/>
      <c r="AH381" s="193"/>
      <c r="AI381" s="74"/>
      <c r="AJ381" s="74"/>
      <c r="AK381" s="74"/>
      <c r="AL381" s="74"/>
      <c r="AM381" s="193"/>
      <c r="AN381" s="74"/>
      <c r="AO381" s="74"/>
      <c r="AP381" s="74"/>
      <c r="AQ381" s="74"/>
      <c r="AR381" s="193"/>
      <c r="AS381" s="74"/>
      <c r="AT381" s="74"/>
      <c r="AU381" s="74"/>
      <c r="AV381" s="74"/>
      <c r="AW381" s="809"/>
      <c r="AX381" s="808"/>
      <c r="AY381" s="808"/>
      <c r="AZ381" s="808"/>
      <c r="BA381" s="808"/>
      <c r="BB381" s="809">
        <v>0</v>
      </c>
      <c r="BC381" s="808"/>
      <c r="BD381" s="808"/>
      <c r="BE381" s="808"/>
      <c r="BF381" s="808"/>
      <c r="BG381" s="809">
        <v>0</v>
      </c>
      <c r="BH381" s="808"/>
      <c r="BI381" s="808"/>
      <c r="BJ381" s="808"/>
      <c r="BK381" s="808"/>
      <c r="BL381" s="809">
        <v>0</v>
      </c>
      <c r="BM381" s="808"/>
      <c r="BN381" s="808"/>
      <c r="BO381" s="808"/>
      <c r="BP381" s="808"/>
      <c r="BQ381" s="809">
        <f>1-SUM(BQ333:BQ380)</f>
        <v>1.1532138918364243E-3</v>
      </c>
      <c r="BR381" s="808"/>
      <c r="BS381" s="808"/>
      <c r="BT381" s="808"/>
      <c r="BU381" s="808"/>
      <c r="BV381" s="809">
        <f>1-SUM(BV333:BV380)</f>
        <v>0</v>
      </c>
      <c r="BW381" s="808"/>
      <c r="BX381" s="808"/>
      <c r="BY381" s="808"/>
      <c r="BZ381" s="808"/>
      <c r="CA381" s="809">
        <f>1-SUM(CA333:CA380)</f>
        <v>0</v>
      </c>
      <c r="CB381" s="808"/>
      <c r="CC381" s="808"/>
      <c r="CD381" s="808"/>
      <c r="CE381" s="808"/>
      <c r="CF381" s="809">
        <f>1-SUM(CF333:CF380)</f>
        <v>0</v>
      </c>
      <c r="CG381" s="808"/>
      <c r="CH381" s="808"/>
      <c r="CI381" s="808"/>
      <c r="CJ381" s="808"/>
      <c r="CK381" s="809">
        <f>1-SUM(CK333:CK380)</f>
        <v>0</v>
      </c>
      <c r="CL381" s="808"/>
      <c r="CM381" s="808"/>
      <c r="CN381" s="808"/>
      <c r="CO381" s="808"/>
      <c r="CP381" s="809">
        <f>1-SUM(CP333:CP380)</f>
        <v>0</v>
      </c>
      <c r="CQ381" s="808"/>
      <c r="CR381" s="808"/>
      <c r="CS381" s="808"/>
      <c r="CT381" s="808"/>
      <c r="CU381" s="809">
        <f>1-SUM(CU333:CU380)</f>
        <v>0</v>
      </c>
      <c r="CV381" s="808"/>
      <c r="CW381" s="808"/>
      <c r="CX381" s="808"/>
      <c r="CY381" s="808"/>
      <c r="CZ381" s="809">
        <f>1-SUM(CZ333:CZ380)</f>
        <v>0</v>
      </c>
      <c r="DA381" s="808"/>
      <c r="DB381" s="808"/>
      <c r="DC381" s="808"/>
      <c r="DD381" s="808"/>
      <c r="DE381" s="809">
        <f>1-SUM(DE333:DE380)</f>
        <v>0</v>
      </c>
      <c r="DF381" s="1021"/>
      <c r="DG381" s="1021"/>
      <c r="DH381" s="1021"/>
      <c r="DI381" s="808"/>
      <c r="DJ381" s="809">
        <f>1-SUM(DJ333:DJ380)</f>
        <v>0</v>
      </c>
      <c r="DK381" s="1021"/>
      <c r="DL381" s="1021"/>
      <c r="DM381" s="1021"/>
      <c r="DN381" s="808"/>
      <c r="DO381" s="809">
        <f>1-SUM(DO333:DO380)</f>
        <v>0</v>
      </c>
      <c r="DP381" s="1021"/>
      <c r="DQ381" s="1021"/>
      <c r="DR381" s="1021"/>
      <c r="DS381" s="808"/>
      <c r="DT381" s="809">
        <f>1-SUM(DT333:DT380)</f>
        <v>0</v>
      </c>
      <c r="DU381" s="1021"/>
      <c r="DV381" s="1021"/>
      <c r="DW381" s="1021"/>
      <c r="DX381" s="808"/>
      <c r="DY381" s="809">
        <f>1-SUM(DY333:DY380)</f>
        <v>0</v>
      </c>
      <c r="DZ381" s="809">
        <f>1-SUM(DZ333:DZ380)</f>
        <v>0</v>
      </c>
      <c r="EA381" s="809">
        <f t="shared" ref="EA381:EB381" si="692">1-SUM(EA333:EA380)</f>
        <v>0</v>
      </c>
      <c r="EB381" s="809">
        <f t="shared" si="692"/>
        <v>0</v>
      </c>
    </row>
    <row r="382" spans="1:132" s="115" customFormat="1" ht="12" customHeight="1">
      <c r="A382" s="114"/>
      <c r="B382" s="547"/>
      <c r="C382" s="466"/>
      <c r="D382" s="466"/>
      <c r="E382" s="466"/>
      <c r="F382" s="466"/>
      <c r="G382" s="466"/>
      <c r="H382" s="466"/>
      <c r="I382" s="466"/>
      <c r="J382" s="557"/>
      <c r="K382" s="557"/>
      <c r="L382" s="557"/>
      <c r="M382" s="557"/>
      <c r="N382" s="466"/>
      <c r="O382" s="557"/>
      <c r="P382" s="557"/>
      <c r="Q382" s="557"/>
      <c r="R382" s="557"/>
      <c r="S382" s="466"/>
      <c r="T382" s="557"/>
      <c r="U382" s="557"/>
      <c r="V382" s="557"/>
      <c r="W382" s="557"/>
      <c r="X382" s="466"/>
      <c r="Y382" s="557"/>
      <c r="Z382" s="557"/>
      <c r="AA382" s="557"/>
      <c r="AB382" s="557"/>
      <c r="AC382" s="466"/>
      <c r="AD382" s="557"/>
      <c r="AE382" s="557"/>
      <c r="AF382" s="557"/>
      <c r="AG382" s="557"/>
      <c r="AH382" s="466"/>
      <c r="AI382" s="557"/>
      <c r="AJ382" s="557"/>
      <c r="AK382" s="557"/>
      <c r="AL382" s="558"/>
      <c r="AM382" s="466"/>
      <c r="AN382" s="557"/>
      <c r="AO382" s="557"/>
      <c r="AP382" s="557"/>
      <c r="AQ382" s="558"/>
      <c r="AR382" s="466"/>
      <c r="AS382" s="469"/>
      <c r="AT382" s="469"/>
      <c r="AU382" s="469"/>
      <c r="AV382" s="469"/>
      <c r="AW382" s="466"/>
      <c r="AX382" s="469"/>
      <c r="AY382" s="469"/>
      <c r="AZ382" s="469"/>
      <c r="BA382" s="469"/>
      <c r="BB382" s="466"/>
      <c r="BC382" s="469"/>
      <c r="BD382" s="469"/>
      <c r="BE382" s="559"/>
      <c r="BF382" s="469"/>
      <c r="BG382" s="466"/>
      <c r="BH382" s="469"/>
      <c r="BI382" s="587"/>
      <c r="BJ382" s="559"/>
      <c r="BK382" s="469"/>
      <c r="BL382" s="466"/>
      <c r="BM382" s="469"/>
      <c r="BN382" s="587"/>
      <c r="BO382" s="559"/>
      <c r="BP382" s="469"/>
      <c r="BQ382" s="466"/>
      <c r="BR382" s="469"/>
      <c r="BS382" s="587"/>
      <c r="BT382" s="559"/>
      <c r="BU382" s="469"/>
      <c r="BV382" s="466"/>
      <c r="BW382" s="469"/>
      <c r="BX382" s="587"/>
      <c r="BY382" s="559"/>
      <c r="BZ382" s="469"/>
      <c r="CA382" s="466"/>
      <c r="CB382" s="469"/>
      <c r="CC382" s="587"/>
      <c r="CD382" s="559"/>
      <c r="CE382" s="469"/>
      <c r="CF382" s="466"/>
      <c r="CG382" s="587"/>
      <c r="CH382" s="587"/>
      <c r="CI382" s="587"/>
      <c r="CJ382" s="587"/>
      <c r="CK382" s="466"/>
      <c r="CL382" s="469"/>
      <c r="CM382" s="469"/>
      <c r="CN382" s="469"/>
      <c r="CO382" s="469"/>
      <c r="CP382" s="466"/>
      <c r="CQ382" s="469"/>
      <c r="CR382" s="469"/>
      <c r="CS382" s="469"/>
      <c r="CT382" s="469"/>
      <c r="CU382" s="466"/>
      <c r="CV382" s="469"/>
      <c r="CW382" s="469"/>
      <c r="CX382" s="469"/>
      <c r="CY382" s="469"/>
      <c r="CZ382" s="466"/>
      <c r="DA382" s="469"/>
      <c r="DB382" s="469"/>
      <c r="DC382" s="469"/>
      <c r="DD382" s="469"/>
      <c r="DE382" s="466"/>
      <c r="DF382" s="450"/>
      <c r="DG382" s="450"/>
      <c r="DH382" s="450"/>
      <c r="DI382" s="469"/>
      <c r="DJ382" s="466"/>
      <c r="DK382" s="450"/>
      <c r="DL382" s="450"/>
      <c r="DM382" s="450"/>
      <c r="DN382" s="469"/>
      <c r="DO382" s="466"/>
      <c r="DP382" s="450"/>
      <c r="DQ382" s="450"/>
      <c r="DR382" s="450"/>
      <c r="DS382" s="469"/>
      <c r="DT382" s="466"/>
      <c r="DU382" s="450"/>
      <c r="DV382" s="450"/>
      <c r="DW382" s="450"/>
      <c r="DX382" s="469"/>
      <c r="DY382" s="466"/>
      <c r="DZ382" s="466"/>
      <c r="EA382" s="466"/>
      <c r="EB382" s="466"/>
    </row>
    <row r="383" spans="1:132" s="115" customFormat="1" ht="12" customHeight="1">
      <c r="A383" s="114"/>
      <c r="B383" s="816" t="s">
        <v>565</v>
      </c>
      <c r="C383" s="466"/>
      <c r="D383" s="466"/>
      <c r="E383" s="466"/>
      <c r="F383" s="466"/>
      <c r="G383" s="466"/>
      <c r="H383" s="466"/>
      <c r="I383" s="466"/>
      <c r="J383" s="557"/>
      <c r="K383" s="557"/>
      <c r="L383" s="557"/>
      <c r="M383" s="557"/>
      <c r="N383" s="466"/>
      <c r="O383" s="557"/>
      <c r="P383" s="557"/>
      <c r="Q383" s="557"/>
      <c r="R383" s="557"/>
      <c r="S383" s="466"/>
      <c r="T383" s="557"/>
      <c r="U383" s="557"/>
      <c r="V383" s="557"/>
      <c r="W383" s="557"/>
      <c r="X383" s="466"/>
      <c r="Y383" s="557"/>
      <c r="Z383" s="557"/>
      <c r="AA383" s="557"/>
      <c r="AB383" s="557"/>
      <c r="AC383" s="466"/>
      <c r="AD383" s="557"/>
      <c r="AE383" s="557"/>
      <c r="AF383" s="557"/>
      <c r="AG383" s="557"/>
      <c r="AH383" s="466"/>
      <c r="AI383" s="557"/>
      <c r="AJ383" s="557"/>
      <c r="AK383" s="557"/>
      <c r="AL383" s="558"/>
      <c r="AM383" s="466"/>
      <c r="AN383" s="557"/>
      <c r="AO383" s="557"/>
      <c r="AP383" s="557"/>
      <c r="AQ383" s="558"/>
      <c r="AR383" s="466"/>
      <c r="AS383" s="469"/>
      <c r="AT383" s="469"/>
      <c r="AU383" s="469"/>
      <c r="AV383" s="469"/>
      <c r="AW383" s="466"/>
      <c r="AX383" s="469"/>
      <c r="AY383" s="469"/>
      <c r="AZ383" s="469"/>
      <c r="BA383" s="469"/>
      <c r="BB383" s="466"/>
      <c r="BC383" s="469"/>
      <c r="BD383" s="469"/>
      <c r="BE383" s="559"/>
      <c r="BF383" s="469"/>
      <c r="BG383" s="466"/>
      <c r="BH383" s="469"/>
      <c r="BI383" s="587"/>
      <c r="BJ383" s="559"/>
      <c r="BK383" s="469"/>
      <c r="BL383" s="466"/>
      <c r="BM383" s="469"/>
      <c r="BN383" s="587"/>
      <c r="BO383" s="559"/>
      <c r="BP383" s="469"/>
      <c r="BQ383" s="466"/>
      <c r="BR383" s="469"/>
      <c r="BS383" s="587"/>
      <c r="BT383" s="559"/>
      <c r="BU383" s="469"/>
      <c r="BV383" s="466"/>
      <c r="BW383" s="469"/>
      <c r="BX383" s="587"/>
      <c r="BY383" s="559"/>
      <c r="BZ383" s="469"/>
      <c r="CA383" s="466"/>
      <c r="CB383" s="469"/>
      <c r="CC383" s="587"/>
      <c r="CD383" s="559"/>
      <c r="CE383" s="469"/>
      <c r="CF383" s="466"/>
      <c r="CG383" s="587"/>
      <c r="CH383" s="587"/>
      <c r="CI383" s="587"/>
      <c r="CJ383" s="587"/>
      <c r="CK383" s="466"/>
      <c r="CL383" s="469"/>
      <c r="CM383" s="469"/>
      <c r="CN383" s="469"/>
      <c r="CO383" s="469"/>
      <c r="CP383" s="466"/>
      <c r="CQ383" s="469"/>
      <c r="CR383" s="469"/>
      <c r="CS383" s="469"/>
      <c r="CT383" s="469"/>
      <c r="CU383" s="466"/>
      <c r="CV383" s="469"/>
      <c r="CW383" s="469"/>
      <c r="CX383" s="469"/>
      <c r="CY383" s="469"/>
      <c r="CZ383" s="466"/>
      <c r="DA383" s="469"/>
      <c r="DB383" s="469"/>
      <c r="DC383" s="469"/>
      <c r="DD383" s="469"/>
      <c r="DE383" s="466"/>
      <c r="DF383" s="450"/>
      <c r="DG383" s="450"/>
      <c r="DH383" s="450"/>
      <c r="DI383" s="469"/>
      <c r="DJ383" s="466"/>
      <c r="DK383" s="450"/>
      <c r="DL383" s="450"/>
      <c r="DM383" s="450"/>
      <c r="DN383" s="469"/>
      <c r="DO383" s="466"/>
      <c r="DP383" s="450"/>
      <c r="DQ383" s="450"/>
      <c r="DR383" s="450"/>
      <c r="DS383" s="469"/>
      <c r="DT383" s="466"/>
      <c r="DU383" s="450"/>
      <c r="DV383" s="450"/>
      <c r="DW383" s="450"/>
      <c r="DX383" s="469"/>
      <c r="DY383" s="466"/>
      <c r="DZ383" s="466"/>
      <c r="EA383" s="466"/>
      <c r="EB383" s="466"/>
    </row>
    <row r="384" spans="1:132" s="115" customFormat="1" ht="12" customHeight="1">
      <c r="A384" s="114"/>
      <c r="B384" s="815" t="s">
        <v>566</v>
      </c>
      <c r="C384" s="466"/>
      <c r="D384" s="466"/>
      <c r="E384" s="466"/>
      <c r="F384" s="466"/>
      <c r="G384" s="466"/>
      <c r="H384" s="466"/>
      <c r="I384" s="466"/>
      <c r="J384" s="557"/>
      <c r="K384" s="557"/>
      <c r="L384" s="557"/>
      <c r="M384" s="557"/>
      <c r="N384" s="466"/>
      <c r="O384" s="557"/>
      <c r="P384" s="557"/>
      <c r="Q384" s="557"/>
      <c r="R384" s="557"/>
      <c r="S384" s="466"/>
      <c r="T384" s="557"/>
      <c r="U384" s="557"/>
      <c r="V384" s="557"/>
      <c r="W384" s="557"/>
      <c r="X384" s="466"/>
      <c r="Y384" s="557"/>
      <c r="Z384" s="557"/>
      <c r="AA384" s="557"/>
      <c r="AB384" s="557"/>
      <c r="AC384" s="466"/>
      <c r="AD384" s="557"/>
      <c r="AE384" s="557"/>
      <c r="AF384" s="557"/>
      <c r="AG384" s="557"/>
      <c r="AH384" s="466"/>
      <c r="AI384" s="557"/>
      <c r="AJ384" s="557"/>
      <c r="AK384" s="557"/>
      <c r="AL384" s="558"/>
      <c r="AM384" s="466"/>
      <c r="AN384" s="557"/>
      <c r="AO384" s="557"/>
      <c r="AP384" s="557"/>
      <c r="AQ384" s="558"/>
      <c r="AR384" s="466"/>
      <c r="AS384" s="469"/>
      <c r="AT384" s="469"/>
      <c r="AU384" s="469"/>
      <c r="AV384" s="469"/>
      <c r="AW384" s="466"/>
      <c r="AX384" s="469"/>
      <c r="AY384" s="469"/>
      <c r="AZ384" s="469"/>
      <c r="BA384" s="469"/>
      <c r="BB384" s="466"/>
      <c r="BC384" s="469"/>
      <c r="BD384" s="469"/>
      <c r="BE384" s="559"/>
      <c r="BF384" s="469"/>
      <c r="BG384" s="466"/>
      <c r="BH384" s="469"/>
      <c r="BI384" s="587"/>
      <c r="BJ384" s="559"/>
      <c r="BK384" s="469"/>
      <c r="BL384" s="466"/>
      <c r="BM384" s="469"/>
      <c r="BN384" s="587"/>
      <c r="BO384" s="559"/>
      <c r="BP384" s="469"/>
      <c r="BQ384" s="466">
        <v>0.78</v>
      </c>
      <c r="BR384" s="469"/>
      <c r="BS384" s="587"/>
      <c r="BT384" s="559"/>
      <c r="BU384" s="469"/>
      <c r="BV384" s="466">
        <v>0.78</v>
      </c>
      <c r="BW384" s="469"/>
      <c r="BX384" s="587"/>
      <c r="BY384" s="559"/>
      <c r="BZ384" s="469"/>
      <c r="CA384" s="466">
        <f>BV384</f>
        <v>0.78</v>
      </c>
      <c r="CB384" s="469"/>
      <c r="CC384" s="587"/>
      <c r="CD384" s="559"/>
      <c r="CE384" s="469"/>
      <c r="CF384" s="466">
        <f>CA384</f>
        <v>0.78</v>
      </c>
      <c r="CG384" s="587"/>
      <c r="CH384" s="587"/>
      <c r="CI384" s="587"/>
      <c r="CJ384" s="587"/>
      <c r="CK384" s="466">
        <f>CF384</f>
        <v>0.78</v>
      </c>
      <c r="CL384" s="469"/>
      <c r="CM384" s="469"/>
      <c r="CN384" s="469"/>
      <c r="CO384" s="469"/>
      <c r="CP384" s="466">
        <f>CK384</f>
        <v>0.78</v>
      </c>
      <c r="CQ384" s="469"/>
      <c r="CR384" s="469"/>
      <c r="CS384" s="469"/>
      <c r="CT384" s="469"/>
      <c r="CU384" s="466">
        <f>CP384</f>
        <v>0.78</v>
      </c>
      <c r="CV384" s="469"/>
      <c r="CW384" s="469"/>
      <c r="CX384" s="469"/>
      <c r="CY384" s="469"/>
      <c r="CZ384" s="466">
        <f>CU384</f>
        <v>0.78</v>
      </c>
      <c r="DA384" s="469"/>
      <c r="DB384" s="469"/>
      <c r="DC384" s="469"/>
      <c r="DD384" s="469"/>
      <c r="DE384" s="466">
        <f>CZ384</f>
        <v>0.78</v>
      </c>
      <c r="DF384" s="450"/>
      <c r="DG384" s="450"/>
      <c r="DH384" s="450"/>
      <c r="DI384" s="469"/>
      <c r="DJ384" s="466">
        <f>DE384</f>
        <v>0.78</v>
      </c>
      <c r="DK384" s="450"/>
      <c r="DL384" s="450"/>
      <c r="DM384" s="450"/>
      <c r="DN384" s="469"/>
      <c r="DO384" s="466">
        <f>DJ384</f>
        <v>0.78</v>
      </c>
      <c r="DP384" s="450"/>
      <c r="DQ384" s="450"/>
      <c r="DR384" s="450"/>
      <c r="DS384" s="469"/>
      <c r="DT384" s="466">
        <f>DO384</f>
        <v>0.78</v>
      </c>
      <c r="DU384" s="450"/>
      <c r="DV384" s="450"/>
      <c r="DW384" s="450"/>
      <c r="DX384" s="469"/>
      <c r="DY384" s="466">
        <f>DT384</f>
        <v>0.78</v>
      </c>
      <c r="DZ384" s="466">
        <f>DY384</f>
        <v>0.78</v>
      </c>
      <c r="EA384" s="466">
        <f t="shared" ref="EA384:EB384" si="693">DZ384</f>
        <v>0.78</v>
      </c>
      <c r="EB384" s="466">
        <f t="shared" si="693"/>
        <v>0.78</v>
      </c>
    </row>
    <row r="385" spans="1:132" s="115" customFormat="1" ht="12" customHeight="1">
      <c r="A385" s="114"/>
      <c r="B385" s="815" t="s">
        <v>567</v>
      </c>
      <c r="C385" s="466"/>
      <c r="D385" s="466"/>
      <c r="E385" s="466"/>
      <c r="F385" s="466"/>
      <c r="G385" s="466"/>
      <c r="H385" s="466"/>
      <c r="I385" s="466"/>
      <c r="J385" s="557"/>
      <c r="K385" s="557"/>
      <c r="L385" s="557"/>
      <c r="M385" s="557"/>
      <c r="N385" s="466"/>
      <c r="O385" s="557"/>
      <c r="P385" s="557"/>
      <c r="Q385" s="557"/>
      <c r="R385" s="557"/>
      <c r="S385" s="466"/>
      <c r="T385" s="557"/>
      <c r="U385" s="557"/>
      <c r="V385" s="557"/>
      <c r="W385" s="557"/>
      <c r="X385" s="466"/>
      <c r="Y385" s="557"/>
      <c r="Z385" s="557"/>
      <c r="AA385" s="557"/>
      <c r="AB385" s="557"/>
      <c r="AC385" s="466"/>
      <c r="AD385" s="557"/>
      <c r="AE385" s="557"/>
      <c r="AF385" s="557"/>
      <c r="AG385" s="557"/>
      <c r="AH385" s="466"/>
      <c r="AI385" s="557"/>
      <c r="AJ385" s="557"/>
      <c r="AK385" s="557"/>
      <c r="AL385" s="558"/>
      <c r="AM385" s="466"/>
      <c r="AN385" s="557"/>
      <c r="AO385" s="557"/>
      <c r="AP385" s="557"/>
      <c r="AQ385" s="558"/>
      <c r="AR385" s="466"/>
      <c r="AS385" s="469"/>
      <c r="AT385" s="469"/>
      <c r="AU385" s="469"/>
      <c r="AV385" s="469"/>
      <c r="AW385" s="466"/>
      <c r="AX385" s="469"/>
      <c r="AY385" s="469"/>
      <c r="AZ385" s="469"/>
      <c r="BA385" s="469"/>
      <c r="BB385" s="466"/>
      <c r="BC385" s="469"/>
      <c r="BD385" s="469"/>
      <c r="BE385" s="559"/>
      <c r="BF385" s="469"/>
      <c r="BG385" s="466"/>
      <c r="BH385" s="469"/>
      <c r="BI385" s="587"/>
      <c r="BJ385" s="559"/>
      <c r="BK385" s="469"/>
      <c r="BL385" s="466"/>
      <c r="BM385" s="469"/>
      <c r="BN385" s="587"/>
      <c r="BO385" s="559"/>
      <c r="BP385" s="469"/>
      <c r="BQ385" s="466">
        <f>1-BQ384</f>
        <v>0.21999999999999997</v>
      </c>
      <c r="BR385" s="469"/>
      <c r="BS385" s="587"/>
      <c r="BT385" s="559"/>
      <c r="BU385" s="469"/>
      <c r="BV385" s="466">
        <f>1-BV384</f>
        <v>0.21999999999999997</v>
      </c>
      <c r="BW385" s="469"/>
      <c r="BX385" s="587"/>
      <c r="BY385" s="559"/>
      <c r="BZ385" s="469"/>
      <c r="CA385" s="466">
        <f>1-CA384</f>
        <v>0.21999999999999997</v>
      </c>
      <c r="CB385" s="469"/>
      <c r="CC385" s="587"/>
      <c r="CD385" s="559"/>
      <c r="CE385" s="469"/>
      <c r="CF385" s="466">
        <f>1-CF384</f>
        <v>0.21999999999999997</v>
      </c>
      <c r="CG385" s="587"/>
      <c r="CH385" s="587"/>
      <c r="CI385" s="587"/>
      <c r="CJ385" s="587"/>
      <c r="CK385" s="466">
        <f>1-CK384</f>
        <v>0.21999999999999997</v>
      </c>
      <c r="CL385" s="469"/>
      <c r="CM385" s="469"/>
      <c r="CN385" s="469"/>
      <c r="CO385" s="469"/>
      <c r="CP385" s="466">
        <f>1-CP384</f>
        <v>0.21999999999999997</v>
      </c>
      <c r="CQ385" s="469"/>
      <c r="CR385" s="469"/>
      <c r="CS385" s="469"/>
      <c r="CT385" s="469"/>
      <c r="CU385" s="466">
        <f>1-CU384</f>
        <v>0.21999999999999997</v>
      </c>
      <c r="CV385" s="469"/>
      <c r="CW385" s="469"/>
      <c r="CX385" s="469"/>
      <c r="CY385" s="469"/>
      <c r="CZ385" s="466">
        <f>1-CZ384</f>
        <v>0.21999999999999997</v>
      </c>
      <c r="DA385" s="469"/>
      <c r="DB385" s="469"/>
      <c r="DC385" s="469"/>
      <c r="DD385" s="469"/>
      <c r="DE385" s="466">
        <f>1-DE384</f>
        <v>0.21999999999999997</v>
      </c>
      <c r="DF385" s="450"/>
      <c r="DG385" s="450"/>
      <c r="DH385" s="450"/>
      <c r="DI385" s="469"/>
      <c r="DJ385" s="466">
        <f>1-DJ384</f>
        <v>0.21999999999999997</v>
      </c>
      <c r="DK385" s="450"/>
      <c r="DL385" s="450"/>
      <c r="DM385" s="450"/>
      <c r="DN385" s="469"/>
      <c r="DO385" s="466">
        <f>1-DO384</f>
        <v>0.21999999999999997</v>
      </c>
      <c r="DP385" s="450"/>
      <c r="DQ385" s="450"/>
      <c r="DR385" s="450"/>
      <c r="DS385" s="469"/>
      <c r="DT385" s="466">
        <f>1-DT384</f>
        <v>0.21999999999999997</v>
      </c>
      <c r="DU385" s="450"/>
      <c r="DV385" s="450"/>
      <c r="DW385" s="450"/>
      <c r="DX385" s="469"/>
      <c r="DY385" s="466">
        <f>1-DY384</f>
        <v>0.21999999999999997</v>
      </c>
      <c r="DZ385" s="466">
        <f>1-DZ384</f>
        <v>0.21999999999999997</v>
      </c>
      <c r="EA385" s="466">
        <f t="shared" ref="EA385:EB385" si="694">1-EA384</f>
        <v>0.21999999999999997</v>
      </c>
      <c r="EB385" s="466">
        <f t="shared" si="694"/>
        <v>0.21999999999999997</v>
      </c>
    </row>
    <row r="386" spans="1:132" s="115" customFormat="1" ht="12" customHeight="1">
      <c r="A386" s="114"/>
      <c r="B386" s="815" t="s">
        <v>568</v>
      </c>
      <c r="C386" s="466"/>
      <c r="D386" s="466"/>
      <c r="E386" s="466"/>
      <c r="F386" s="466"/>
      <c r="G386" s="466"/>
      <c r="H386" s="466"/>
      <c r="I386" s="466"/>
      <c r="J386" s="557"/>
      <c r="K386" s="557"/>
      <c r="L386" s="557"/>
      <c r="M386" s="557"/>
      <c r="N386" s="466"/>
      <c r="O386" s="557"/>
      <c r="P386" s="557"/>
      <c r="Q386" s="557"/>
      <c r="R386" s="557"/>
      <c r="S386" s="466"/>
      <c r="T386" s="557"/>
      <c r="U386" s="557"/>
      <c r="V386" s="557"/>
      <c r="W386" s="557"/>
      <c r="X386" s="466"/>
      <c r="Y386" s="557"/>
      <c r="Z386" s="557"/>
      <c r="AA386" s="557"/>
      <c r="AB386" s="557"/>
      <c r="AC386" s="466"/>
      <c r="AD386" s="557"/>
      <c r="AE386" s="557"/>
      <c r="AF386" s="557"/>
      <c r="AG386" s="557"/>
      <c r="AH386" s="466"/>
      <c r="AI386" s="557"/>
      <c r="AJ386" s="557"/>
      <c r="AK386" s="557"/>
      <c r="AL386" s="558"/>
      <c r="AM386" s="466"/>
      <c r="AN386" s="557"/>
      <c r="AO386" s="557"/>
      <c r="AP386" s="557"/>
      <c r="AQ386" s="558"/>
      <c r="AR386" s="466"/>
      <c r="AS386" s="469"/>
      <c r="AT386" s="469"/>
      <c r="AU386" s="469"/>
      <c r="AV386" s="469"/>
      <c r="AW386" s="466"/>
      <c r="AX386" s="469"/>
      <c r="AY386" s="469"/>
      <c r="AZ386" s="469"/>
      <c r="BA386" s="469"/>
      <c r="BB386" s="466"/>
      <c r="BC386" s="469"/>
      <c r="BD386" s="469"/>
      <c r="BE386" s="559"/>
      <c r="BF386" s="469"/>
      <c r="BG386" s="466"/>
      <c r="BH386" s="469"/>
      <c r="BI386" s="587"/>
      <c r="BJ386" s="559"/>
      <c r="BK386" s="469"/>
      <c r="BL386" s="466"/>
      <c r="BM386" s="469"/>
      <c r="BN386" s="587"/>
      <c r="BO386" s="559"/>
      <c r="BP386" s="469"/>
      <c r="BQ386" s="466">
        <f>BQ384</f>
        <v>0.78</v>
      </c>
      <c r="BR386" s="469"/>
      <c r="BS386" s="587"/>
      <c r="BT386" s="559"/>
      <c r="BU386" s="469"/>
      <c r="BV386" s="466">
        <f>BV384</f>
        <v>0.78</v>
      </c>
      <c r="BW386" s="469"/>
      <c r="BX386" s="587"/>
      <c r="BY386" s="559"/>
      <c r="BZ386" s="469"/>
      <c r="CA386" s="466">
        <f>BV386</f>
        <v>0.78</v>
      </c>
      <c r="CB386" s="469"/>
      <c r="CC386" s="587"/>
      <c r="CD386" s="559"/>
      <c r="CE386" s="469"/>
      <c r="CF386" s="466">
        <f>CA386</f>
        <v>0.78</v>
      </c>
      <c r="CG386" s="587"/>
      <c r="CH386" s="587"/>
      <c r="CI386" s="587"/>
      <c r="CJ386" s="587"/>
      <c r="CK386" s="466">
        <f>CF386</f>
        <v>0.78</v>
      </c>
      <c r="CL386" s="469"/>
      <c r="CM386" s="469"/>
      <c r="CN386" s="469"/>
      <c r="CO386" s="469"/>
      <c r="CP386" s="466">
        <f>CK386</f>
        <v>0.78</v>
      </c>
      <c r="CQ386" s="469"/>
      <c r="CR386" s="469"/>
      <c r="CS386" s="469"/>
      <c r="CT386" s="469"/>
      <c r="CU386" s="466">
        <f>CP386</f>
        <v>0.78</v>
      </c>
      <c r="CV386" s="469"/>
      <c r="CW386" s="469"/>
      <c r="CX386" s="469"/>
      <c r="CY386" s="469"/>
      <c r="CZ386" s="466">
        <f>CU386</f>
        <v>0.78</v>
      </c>
      <c r="DA386" s="469"/>
      <c r="DB386" s="469"/>
      <c r="DC386" s="469"/>
      <c r="DD386" s="469"/>
      <c r="DE386" s="466">
        <f>CZ386</f>
        <v>0.78</v>
      </c>
      <c r="DF386" s="450"/>
      <c r="DG386" s="450"/>
      <c r="DH386" s="450"/>
      <c r="DI386" s="469"/>
      <c r="DJ386" s="466">
        <f>DE386</f>
        <v>0.78</v>
      </c>
      <c r="DK386" s="450"/>
      <c r="DL386" s="450"/>
      <c r="DM386" s="450"/>
      <c r="DN386" s="469"/>
      <c r="DO386" s="466">
        <f>DJ386</f>
        <v>0.78</v>
      </c>
      <c r="DP386" s="450"/>
      <c r="DQ386" s="450"/>
      <c r="DR386" s="450"/>
      <c r="DS386" s="469"/>
      <c r="DT386" s="466">
        <f>DO386</f>
        <v>0.78</v>
      </c>
      <c r="DU386" s="450"/>
      <c r="DV386" s="450"/>
      <c r="DW386" s="450"/>
      <c r="DX386" s="469"/>
      <c r="DY386" s="466">
        <f>DT386</f>
        <v>0.78</v>
      </c>
      <c r="DZ386" s="466">
        <f>DY386</f>
        <v>0.78</v>
      </c>
      <c r="EA386" s="466">
        <f t="shared" ref="EA386:EB386" si="695">DZ386</f>
        <v>0.78</v>
      </c>
      <c r="EB386" s="466">
        <f t="shared" si="695"/>
        <v>0.78</v>
      </c>
    </row>
    <row r="387" spans="1:132" s="115" customFormat="1" ht="12" customHeight="1">
      <c r="A387" s="114"/>
      <c r="B387" s="815" t="s">
        <v>569</v>
      </c>
      <c r="C387" s="466"/>
      <c r="D387" s="466"/>
      <c r="E387" s="466"/>
      <c r="F387" s="466"/>
      <c r="G387" s="466"/>
      <c r="H387" s="466"/>
      <c r="I387" s="466"/>
      <c r="J387" s="557"/>
      <c r="K387" s="557"/>
      <c r="L387" s="557"/>
      <c r="M387" s="557"/>
      <c r="N387" s="466"/>
      <c r="O387" s="557"/>
      <c r="P387" s="557"/>
      <c r="Q387" s="557"/>
      <c r="R387" s="557"/>
      <c r="S387" s="466"/>
      <c r="T387" s="557"/>
      <c r="U387" s="557"/>
      <c r="V387" s="557"/>
      <c r="W387" s="557"/>
      <c r="X387" s="466"/>
      <c r="Y387" s="557"/>
      <c r="Z387" s="557"/>
      <c r="AA387" s="557"/>
      <c r="AB387" s="557"/>
      <c r="AC387" s="466"/>
      <c r="AD387" s="557"/>
      <c r="AE387" s="557"/>
      <c r="AF387" s="557"/>
      <c r="AG387" s="557"/>
      <c r="AH387" s="466"/>
      <c r="AI387" s="557"/>
      <c r="AJ387" s="557"/>
      <c r="AK387" s="557"/>
      <c r="AL387" s="558"/>
      <c r="AM387" s="466"/>
      <c r="AN387" s="557"/>
      <c r="AO387" s="557"/>
      <c r="AP387" s="557"/>
      <c r="AQ387" s="558"/>
      <c r="AR387" s="466"/>
      <c r="AS387" s="469"/>
      <c r="AT387" s="469"/>
      <c r="AU387" s="469"/>
      <c r="AV387" s="469"/>
      <c r="AW387" s="466"/>
      <c r="AX387" s="469"/>
      <c r="AY387" s="469"/>
      <c r="AZ387" s="469"/>
      <c r="BA387" s="469"/>
      <c r="BB387" s="466"/>
      <c r="BC387" s="469"/>
      <c r="BD387" s="469"/>
      <c r="BE387" s="559"/>
      <c r="BF387" s="469"/>
      <c r="BG387" s="466"/>
      <c r="BH387" s="469"/>
      <c r="BI387" s="587"/>
      <c r="BJ387" s="559"/>
      <c r="BK387" s="469"/>
      <c r="BL387" s="466"/>
      <c r="BM387" s="469"/>
      <c r="BN387" s="587"/>
      <c r="BO387" s="559"/>
      <c r="BP387" s="469"/>
      <c r="BQ387" s="466">
        <f>1-BQ386</f>
        <v>0.21999999999999997</v>
      </c>
      <c r="BR387" s="469"/>
      <c r="BS387" s="587"/>
      <c r="BT387" s="559"/>
      <c r="BU387" s="469"/>
      <c r="BV387" s="466">
        <f>1-BV386</f>
        <v>0.21999999999999997</v>
      </c>
      <c r="BW387" s="469"/>
      <c r="BX387" s="587"/>
      <c r="BY387" s="559"/>
      <c r="BZ387" s="469"/>
      <c r="CA387" s="466">
        <f>1-CA386</f>
        <v>0.21999999999999997</v>
      </c>
      <c r="CB387" s="469"/>
      <c r="CC387" s="587"/>
      <c r="CD387" s="559"/>
      <c r="CE387" s="469"/>
      <c r="CF387" s="466">
        <f>1-CF386</f>
        <v>0.21999999999999997</v>
      </c>
      <c r="CG387" s="587"/>
      <c r="CH387" s="587"/>
      <c r="CI387" s="587"/>
      <c r="CJ387" s="587"/>
      <c r="CK387" s="466">
        <f>1-CK386</f>
        <v>0.21999999999999997</v>
      </c>
      <c r="CL387" s="469"/>
      <c r="CM387" s="469"/>
      <c r="CN387" s="469"/>
      <c r="CO387" s="469"/>
      <c r="CP387" s="466">
        <f>1-CP386</f>
        <v>0.21999999999999997</v>
      </c>
      <c r="CQ387" s="469"/>
      <c r="CR387" s="469"/>
      <c r="CS387" s="469"/>
      <c r="CT387" s="469"/>
      <c r="CU387" s="466">
        <f>1-CU386</f>
        <v>0.21999999999999997</v>
      </c>
      <c r="CV387" s="469"/>
      <c r="CW387" s="469"/>
      <c r="CX387" s="469"/>
      <c r="CY387" s="469"/>
      <c r="CZ387" s="466">
        <f>1-CZ386</f>
        <v>0.21999999999999997</v>
      </c>
      <c r="DA387" s="469"/>
      <c r="DB387" s="469"/>
      <c r="DC387" s="469"/>
      <c r="DD387" s="469"/>
      <c r="DE387" s="466">
        <f>1-DE386</f>
        <v>0.21999999999999997</v>
      </c>
      <c r="DF387" s="450"/>
      <c r="DG387" s="450"/>
      <c r="DH387" s="450"/>
      <c r="DI387" s="469"/>
      <c r="DJ387" s="466">
        <f>1-DJ386</f>
        <v>0.21999999999999997</v>
      </c>
      <c r="DK387" s="450"/>
      <c r="DL387" s="450"/>
      <c r="DM387" s="450"/>
      <c r="DN387" s="469"/>
      <c r="DO387" s="466">
        <f>1-DO386</f>
        <v>0.21999999999999997</v>
      </c>
      <c r="DP387" s="450"/>
      <c r="DQ387" s="450"/>
      <c r="DR387" s="450"/>
      <c r="DS387" s="469"/>
      <c r="DT387" s="466">
        <f>1-DT386</f>
        <v>0.21999999999999997</v>
      </c>
      <c r="DU387" s="450"/>
      <c r="DV387" s="450"/>
      <c r="DW387" s="450"/>
      <c r="DX387" s="469"/>
      <c r="DY387" s="466">
        <f>1-DY386</f>
        <v>0.21999999999999997</v>
      </c>
      <c r="DZ387" s="466">
        <f>1-DZ386</f>
        <v>0.21999999999999997</v>
      </c>
      <c r="EA387" s="466">
        <f t="shared" ref="EA387:EB387" si="696">1-EA386</f>
        <v>0.21999999999999997</v>
      </c>
      <c r="EB387" s="466">
        <f t="shared" si="696"/>
        <v>0.21999999999999997</v>
      </c>
    </row>
    <row r="388" spans="1:132" s="115" customFormat="1" ht="12" customHeight="1">
      <c r="A388" s="114"/>
      <c r="B388" s="815"/>
      <c r="C388" s="466"/>
      <c r="D388" s="466"/>
      <c r="E388" s="466"/>
      <c r="F388" s="466"/>
      <c r="G388" s="466"/>
      <c r="H388" s="466"/>
      <c r="I388" s="466"/>
      <c r="J388" s="557"/>
      <c r="K388" s="557"/>
      <c r="L388" s="557"/>
      <c r="M388" s="557"/>
      <c r="N388" s="466"/>
      <c r="O388" s="557"/>
      <c r="P388" s="557"/>
      <c r="Q388" s="557"/>
      <c r="R388" s="557"/>
      <c r="S388" s="466"/>
      <c r="T388" s="557"/>
      <c r="U388" s="557"/>
      <c r="V388" s="557"/>
      <c r="W388" s="557"/>
      <c r="X388" s="466"/>
      <c r="Y388" s="557"/>
      <c r="Z388" s="557"/>
      <c r="AA388" s="557"/>
      <c r="AB388" s="557"/>
      <c r="AC388" s="466"/>
      <c r="AD388" s="557"/>
      <c r="AE388" s="557"/>
      <c r="AF388" s="557"/>
      <c r="AG388" s="557"/>
      <c r="AH388" s="466"/>
      <c r="AI388" s="557"/>
      <c r="AJ388" s="557"/>
      <c r="AK388" s="557"/>
      <c r="AL388" s="558"/>
      <c r="AM388" s="466"/>
      <c r="AN388" s="557"/>
      <c r="AO388" s="557"/>
      <c r="AP388" s="557"/>
      <c r="AQ388" s="558"/>
      <c r="AR388" s="466"/>
      <c r="AS388" s="469"/>
      <c r="AT388" s="469"/>
      <c r="AU388" s="469"/>
      <c r="AV388" s="469"/>
      <c r="AW388" s="466"/>
      <c r="AX388" s="469"/>
      <c r="AY388" s="469"/>
      <c r="AZ388" s="469"/>
      <c r="BA388" s="469"/>
      <c r="BB388" s="466"/>
      <c r="BC388" s="469"/>
      <c r="BD388" s="469"/>
      <c r="BE388" s="559"/>
      <c r="BF388" s="469"/>
      <c r="BG388" s="466"/>
      <c r="BH388" s="469"/>
      <c r="BI388" s="587"/>
      <c r="BJ388" s="559"/>
      <c r="BK388" s="469"/>
      <c r="BL388" s="466"/>
      <c r="BM388" s="469"/>
      <c r="BN388" s="587"/>
      <c r="BO388" s="559"/>
      <c r="BP388" s="469"/>
      <c r="BQ388" s="466"/>
      <c r="BR388" s="469"/>
      <c r="BS388" s="587"/>
      <c r="BT388" s="559"/>
      <c r="BU388" s="469"/>
      <c r="BV388" s="466"/>
      <c r="BW388" s="469"/>
      <c r="BX388" s="587"/>
      <c r="BY388" s="559"/>
      <c r="BZ388" s="469"/>
      <c r="CA388" s="466"/>
      <c r="CB388" s="469"/>
      <c r="CC388" s="587"/>
      <c r="CD388" s="559"/>
      <c r="CE388" s="469"/>
      <c r="CF388" s="466"/>
      <c r="CG388" s="587"/>
      <c r="CH388" s="587"/>
      <c r="CI388" s="587"/>
      <c r="CJ388" s="587"/>
      <c r="CK388" s="466"/>
      <c r="CL388" s="469"/>
      <c r="CM388" s="469"/>
      <c r="CN388" s="469"/>
      <c r="CO388" s="469"/>
      <c r="CP388" s="466"/>
      <c r="CQ388" s="469"/>
      <c r="CR388" s="469"/>
      <c r="CS388" s="469"/>
      <c r="CT388" s="469"/>
      <c r="CU388" s="466"/>
      <c r="CV388" s="469"/>
      <c r="CW388" s="469"/>
      <c r="CX388" s="469"/>
      <c r="CY388" s="469"/>
      <c r="CZ388" s="466"/>
      <c r="DA388" s="469"/>
      <c r="DB388" s="469"/>
      <c r="DC388" s="469"/>
      <c r="DD388" s="469"/>
      <c r="DE388" s="466"/>
      <c r="DF388" s="450"/>
      <c r="DG388" s="450"/>
      <c r="DH388" s="450"/>
      <c r="DI388" s="469"/>
      <c r="DJ388" s="466"/>
      <c r="DK388" s="450"/>
      <c r="DL388" s="450"/>
      <c r="DM388" s="450"/>
      <c r="DN388" s="469"/>
      <c r="DO388" s="466"/>
      <c r="DP388" s="450"/>
      <c r="DQ388" s="450"/>
      <c r="DR388" s="450"/>
      <c r="DS388" s="469"/>
      <c r="DT388" s="466"/>
      <c r="DU388" s="450"/>
      <c r="DV388" s="450"/>
      <c r="DW388" s="450"/>
      <c r="DX388" s="469"/>
      <c r="DY388" s="466"/>
      <c r="DZ388" s="466"/>
      <c r="EA388" s="466"/>
      <c r="EB388" s="466"/>
    </row>
    <row r="389" spans="1:132" s="115" customFormat="1" ht="12" customHeight="1">
      <c r="A389" s="114"/>
      <c r="B389" s="816" t="s">
        <v>570</v>
      </c>
      <c r="C389" s="466"/>
      <c r="D389" s="466"/>
      <c r="E389" s="466"/>
      <c r="F389" s="466"/>
      <c r="G389" s="466"/>
      <c r="H389" s="466"/>
      <c r="I389" s="466"/>
      <c r="J389" s="557"/>
      <c r="K389" s="557"/>
      <c r="L389" s="557"/>
      <c r="M389" s="557"/>
      <c r="N389" s="466"/>
      <c r="O389" s="557"/>
      <c r="P389" s="557"/>
      <c r="Q389" s="557"/>
      <c r="R389" s="557"/>
      <c r="S389" s="466"/>
      <c r="T389" s="557"/>
      <c r="U389" s="557"/>
      <c r="V389" s="557"/>
      <c r="W389" s="557"/>
      <c r="X389" s="466"/>
      <c r="Y389" s="557"/>
      <c r="Z389" s="557"/>
      <c r="AA389" s="557"/>
      <c r="AB389" s="557"/>
      <c r="AC389" s="466"/>
      <c r="AD389" s="557"/>
      <c r="AE389" s="557"/>
      <c r="AF389" s="557"/>
      <c r="AG389" s="557"/>
      <c r="AH389" s="466"/>
      <c r="AI389" s="557"/>
      <c r="AJ389" s="557"/>
      <c r="AK389" s="557"/>
      <c r="AL389" s="558"/>
      <c r="AM389" s="466"/>
      <c r="AN389" s="557"/>
      <c r="AO389" s="557"/>
      <c r="AP389" s="557"/>
      <c r="AQ389" s="558"/>
      <c r="AR389" s="466"/>
      <c r="AS389" s="469"/>
      <c r="AT389" s="469"/>
      <c r="AU389" s="469"/>
      <c r="AV389" s="469"/>
      <c r="AW389" s="466"/>
      <c r="AX389" s="469"/>
      <c r="AY389" s="469"/>
      <c r="AZ389" s="469"/>
      <c r="BA389" s="469"/>
      <c r="BB389" s="466"/>
      <c r="BC389" s="469"/>
      <c r="BD389" s="469"/>
      <c r="BE389" s="559"/>
      <c r="BF389" s="469"/>
      <c r="BG389" s="466"/>
      <c r="BH389" s="469"/>
      <c r="BI389" s="587"/>
      <c r="BJ389" s="559"/>
      <c r="BK389" s="469"/>
      <c r="BL389" s="466"/>
      <c r="BM389" s="469"/>
      <c r="BN389" s="587"/>
      <c r="BO389" s="559"/>
      <c r="BP389" s="469"/>
      <c r="BQ389" s="466"/>
      <c r="BR389" s="469"/>
      <c r="BS389" s="587"/>
      <c r="BT389" s="559"/>
      <c r="BU389" s="469"/>
      <c r="BV389" s="466"/>
      <c r="BW389" s="469"/>
      <c r="BX389" s="587"/>
      <c r="BY389" s="559"/>
      <c r="BZ389" s="469"/>
      <c r="CA389" s="466"/>
      <c r="CB389" s="469"/>
      <c r="CC389" s="587"/>
      <c r="CD389" s="559"/>
      <c r="CE389" s="469"/>
      <c r="CF389" s="466"/>
      <c r="CG389" s="587"/>
      <c r="CH389" s="587"/>
      <c r="CI389" s="587"/>
      <c r="CJ389" s="587"/>
      <c r="CK389" s="466"/>
      <c r="CL389" s="469"/>
      <c r="CM389" s="469"/>
      <c r="CN389" s="469"/>
      <c r="CO389" s="469"/>
      <c r="CP389" s="466"/>
      <c r="CQ389" s="469"/>
      <c r="CR389" s="469"/>
      <c r="CS389" s="469"/>
      <c r="CT389" s="469"/>
      <c r="CU389" s="466"/>
      <c r="CV389" s="469"/>
      <c r="CW389" s="469"/>
      <c r="CX389" s="469"/>
      <c r="CY389" s="469"/>
      <c r="CZ389" s="466"/>
      <c r="DA389" s="469"/>
      <c r="DB389" s="469"/>
      <c r="DC389" s="469"/>
      <c r="DD389" s="469"/>
      <c r="DE389" s="466"/>
      <c r="DF389" s="450"/>
      <c r="DG389" s="450"/>
      <c r="DH389" s="450"/>
      <c r="DI389" s="469"/>
      <c r="DJ389" s="466"/>
      <c r="DK389" s="450"/>
      <c r="DL389" s="450"/>
      <c r="DM389" s="450"/>
      <c r="DN389" s="469"/>
      <c r="DO389" s="466"/>
      <c r="DP389" s="450"/>
      <c r="DQ389" s="450"/>
      <c r="DR389" s="450"/>
      <c r="DS389" s="469"/>
      <c r="DT389" s="466"/>
      <c r="DU389" s="450"/>
      <c r="DV389" s="450"/>
      <c r="DW389" s="450"/>
      <c r="DX389" s="469"/>
      <c r="DY389" s="466"/>
      <c r="DZ389" s="466"/>
      <c r="EA389" s="466"/>
      <c r="EB389" s="466"/>
    </row>
    <row r="390" spans="1:132" s="115" customFormat="1" ht="12" customHeight="1">
      <c r="A390" s="114"/>
      <c r="B390" s="814" t="s">
        <v>571</v>
      </c>
      <c r="C390" s="466"/>
      <c r="D390" s="466"/>
      <c r="E390" s="466"/>
      <c r="F390" s="466"/>
      <c r="G390" s="466"/>
      <c r="H390" s="466"/>
      <c r="I390" s="466"/>
      <c r="J390" s="557"/>
      <c r="K390" s="557"/>
      <c r="L390" s="557"/>
      <c r="M390" s="557"/>
      <c r="N390" s="466"/>
      <c r="O390" s="557"/>
      <c r="P390" s="557"/>
      <c r="Q390" s="557"/>
      <c r="R390" s="557"/>
      <c r="S390" s="466"/>
      <c r="T390" s="557"/>
      <c r="U390" s="557"/>
      <c r="V390" s="557"/>
      <c r="W390" s="557"/>
      <c r="X390" s="466"/>
      <c r="Y390" s="557"/>
      <c r="Z390" s="557"/>
      <c r="AA390" s="557"/>
      <c r="AB390" s="557"/>
      <c r="AC390" s="466"/>
      <c r="AD390" s="557"/>
      <c r="AE390" s="557"/>
      <c r="AF390" s="557"/>
      <c r="AG390" s="557"/>
      <c r="AH390" s="466"/>
      <c r="AI390" s="557"/>
      <c r="AJ390" s="557"/>
      <c r="AK390" s="557"/>
      <c r="AL390" s="558"/>
      <c r="AM390" s="466"/>
      <c r="AN390" s="557"/>
      <c r="AO390" s="557"/>
      <c r="AP390" s="557"/>
      <c r="AQ390" s="558"/>
      <c r="AR390" s="466"/>
      <c r="AS390" s="469"/>
      <c r="AT390" s="469"/>
      <c r="AU390" s="469"/>
      <c r="AV390" s="469"/>
      <c r="AW390" s="466"/>
      <c r="AX390" s="469"/>
      <c r="AY390" s="469"/>
      <c r="AZ390" s="469"/>
      <c r="BA390" s="469"/>
      <c r="BB390" s="466"/>
      <c r="BC390" s="469"/>
      <c r="BD390" s="469"/>
      <c r="BE390" s="559"/>
      <c r="BF390" s="469"/>
      <c r="BG390" s="466"/>
      <c r="BH390" s="469"/>
      <c r="BI390" s="587"/>
      <c r="BJ390" s="559"/>
      <c r="BK390" s="469"/>
      <c r="BL390" s="466"/>
      <c r="BM390" s="469"/>
      <c r="BN390" s="587"/>
      <c r="BO390" s="559"/>
      <c r="BP390" s="469"/>
      <c r="BQ390" s="466">
        <f>(250+150)/9964</f>
        <v>4.0144520272982737E-2</v>
      </c>
      <c r="BR390" s="469"/>
      <c r="BS390" s="587"/>
      <c r="BT390" s="469"/>
      <c r="BU390" s="469">
        <f>(250+138)/9952</f>
        <v>3.8987138263665594E-2</v>
      </c>
      <c r="BV390" s="466">
        <f>BU390</f>
        <v>3.8987138263665594E-2</v>
      </c>
      <c r="BW390" s="469"/>
      <c r="BX390" s="587"/>
      <c r="BY390" s="559"/>
      <c r="BZ390" s="469"/>
      <c r="CA390" s="466">
        <f>BV390</f>
        <v>3.8987138263665594E-2</v>
      </c>
      <c r="CB390" s="469"/>
      <c r="CC390" s="587"/>
      <c r="CD390" s="559"/>
      <c r="CE390" s="469"/>
      <c r="CF390" s="466">
        <f>CA390</f>
        <v>3.8987138263665594E-2</v>
      </c>
      <c r="CG390" s="587"/>
      <c r="CH390" s="587"/>
      <c r="CI390" s="587"/>
      <c r="CJ390" s="587"/>
      <c r="CK390" s="466">
        <f>CF390</f>
        <v>3.8987138263665594E-2</v>
      </c>
      <c r="CL390" s="469"/>
      <c r="CM390" s="469"/>
      <c r="CN390" s="469"/>
      <c r="CO390" s="469"/>
      <c r="CP390" s="466">
        <f>CK390</f>
        <v>3.8987138263665594E-2</v>
      </c>
      <c r="CQ390" s="469"/>
      <c r="CR390" s="469"/>
      <c r="CS390" s="469"/>
      <c r="CT390" s="469"/>
      <c r="CU390" s="466">
        <f>CP390</f>
        <v>3.8987138263665594E-2</v>
      </c>
      <c r="CV390" s="469"/>
      <c r="CW390" s="469"/>
      <c r="CX390" s="469"/>
      <c r="CY390" s="469"/>
      <c r="CZ390" s="466">
        <f>CU390</f>
        <v>3.8987138263665594E-2</v>
      </c>
      <c r="DA390" s="469"/>
      <c r="DB390" s="469"/>
      <c r="DC390" s="469"/>
      <c r="DD390" s="469"/>
      <c r="DE390" s="466">
        <f>CZ390</f>
        <v>3.8987138263665594E-2</v>
      </c>
      <c r="DF390" s="450"/>
      <c r="DG390" s="450"/>
      <c r="DH390" s="450"/>
      <c r="DI390" s="469"/>
      <c r="DJ390" s="466">
        <f>DE390</f>
        <v>3.8987138263665594E-2</v>
      </c>
      <c r="DK390" s="450"/>
      <c r="DL390" s="450"/>
      <c r="DM390" s="450"/>
      <c r="DN390" s="469"/>
      <c r="DO390" s="466">
        <f>DJ390</f>
        <v>3.8987138263665594E-2</v>
      </c>
      <c r="DP390" s="450"/>
      <c r="DQ390" s="450"/>
      <c r="DR390" s="450"/>
      <c r="DS390" s="469"/>
      <c r="DT390" s="466">
        <f>DO390</f>
        <v>3.8987138263665594E-2</v>
      </c>
      <c r="DU390" s="450"/>
      <c r="DV390" s="450"/>
      <c r="DW390" s="450"/>
      <c r="DX390" s="469"/>
      <c r="DY390" s="466">
        <f>DT390</f>
        <v>3.8987138263665594E-2</v>
      </c>
      <c r="DZ390" s="466">
        <f t="shared" ref="DZ390:DZ391" si="697">DY390</f>
        <v>3.8987138263665594E-2</v>
      </c>
      <c r="EA390" s="466">
        <f t="shared" ref="EA390:EA391" si="698">DZ390</f>
        <v>3.8987138263665594E-2</v>
      </c>
      <c r="EB390" s="466">
        <f t="shared" ref="EB390:EB391" si="699">EA390</f>
        <v>3.8987138263665594E-2</v>
      </c>
    </row>
    <row r="391" spans="1:132" s="115" customFormat="1" ht="12" customHeight="1">
      <c r="A391" s="114"/>
      <c r="B391" s="814" t="s">
        <v>572</v>
      </c>
      <c r="C391" s="466"/>
      <c r="D391" s="466"/>
      <c r="E391" s="466"/>
      <c r="F391" s="466"/>
      <c r="G391" s="466"/>
      <c r="H391" s="466"/>
      <c r="I391" s="466"/>
      <c r="J391" s="557"/>
      <c r="K391" s="557"/>
      <c r="L391" s="557"/>
      <c r="M391" s="557"/>
      <c r="N391" s="466"/>
      <c r="O391" s="557"/>
      <c r="P391" s="557"/>
      <c r="Q391" s="557"/>
      <c r="R391" s="557"/>
      <c r="S391" s="466"/>
      <c r="T391" s="557"/>
      <c r="U391" s="557"/>
      <c r="V391" s="557"/>
      <c r="W391" s="557"/>
      <c r="X391" s="466"/>
      <c r="Y391" s="557"/>
      <c r="Z391" s="557"/>
      <c r="AA391" s="557"/>
      <c r="AB391" s="557"/>
      <c r="AC391" s="466"/>
      <c r="AD391" s="557"/>
      <c r="AE391" s="557"/>
      <c r="AF391" s="557"/>
      <c r="AG391" s="557"/>
      <c r="AH391" s="466"/>
      <c r="AI391" s="557"/>
      <c r="AJ391" s="557"/>
      <c r="AK391" s="557"/>
      <c r="AL391" s="558"/>
      <c r="AM391" s="466"/>
      <c r="AN391" s="557"/>
      <c r="AO391" s="557"/>
      <c r="AP391" s="557"/>
      <c r="AQ391" s="558"/>
      <c r="AR391" s="466"/>
      <c r="AS391" s="469"/>
      <c r="AT391" s="469"/>
      <c r="AU391" s="469"/>
      <c r="AV391" s="469"/>
      <c r="AW391" s="466"/>
      <c r="AX391" s="469"/>
      <c r="AY391" s="469"/>
      <c r="AZ391" s="469"/>
      <c r="BA391" s="469"/>
      <c r="BB391" s="466"/>
      <c r="BC391" s="469"/>
      <c r="BD391" s="469"/>
      <c r="BE391" s="559"/>
      <c r="BF391" s="469"/>
      <c r="BG391" s="466"/>
      <c r="BH391" s="469"/>
      <c r="BI391" s="587"/>
      <c r="BJ391" s="559"/>
      <c r="BK391" s="469"/>
      <c r="BL391" s="466"/>
      <c r="BM391" s="469"/>
      <c r="BN391" s="587"/>
      <c r="BO391" s="559"/>
      <c r="BP391" s="469"/>
      <c r="BQ391" s="466">
        <v>0</v>
      </c>
      <c r="BR391" s="469"/>
      <c r="BS391" s="587"/>
      <c r="BT391" s="469"/>
      <c r="BU391" s="469">
        <v>0</v>
      </c>
      <c r="BV391" s="466">
        <f>BU391</f>
        <v>0</v>
      </c>
      <c r="BW391" s="469"/>
      <c r="BX391" s="587"/>
      <c r="BY391" s="559"/>
      <c r="BZ391" s="469"/>
      <c r="CA391" s="466">
        <f>BV391</f>
        <v>0</v>
      </c>
      <c r="CB391" s="469"/>
      <c r="CC391" s="587"/>
      <c r="CD391" s="559"/>
      <c r="CE391" s="469"/>
      <c r="CF391" s="466">
        <f>CA391</f>
        <v>0</v>
      </c>
      <c r="CG391" s="587"/>
      <c r="CH391" s="587"/>
      <c r="CI391" s="587"/>
      <c r="CJ391" s="587"/>
      <c r="CK391" s="466">
        <f>CF391</f>
        <v>0</v>
      </c>
      <c r="CL391" s="469"/>
      <c r="CM391" s="469"/>
      <c r="CN391" s="469"/>
      <c r="CO391" s="469"/>
      <c r="CP391" s="466">
        <f>CK391</f>
        <v>0</v>
      </c>
      <c r="CQ391" s="469"/>
      <c r="CR391" s="469"/>
      <c r="CS391" s="469"/>
      <c r="CT391" s="469"/>
      <c r="CU391" s="466">
        <f>CP391</f>
        <v>0</v>
      </c>
      <c r="CV391" s="469"/>
      <c r="CW391" s="469"/>
      <c r="CX391" s="469"/>
      <c r="CY391" s="469"/>
      <c r="CZ391" s="466">
        <f>CU391</f>
        <v>0</v>
      </c>
      <c r="DA391" s="469"/>
      <c r="DB391" s="469"/>
      <c r="DC391" s="469"/>
      <c r="DD391" s="469"/>
      <c r="DE391" s="466">
        <f>CZ391</f>
        <v>0</v>
      </c>
      <c r="DF391" s="450"/>
      <c r="DG391" s="450"/>
      <c r="DH391" s="450"/>
      <c r="DI391" s="469"/>
      <c r="DJ391" s="466">
        <f>DE391</f>
        <v>0</v>
      </c>
      <c r="DK391" s="450"/>
      <c r="DL391" s="450"/>
      <c r="DM391" s="450"/>
      <c r="DN391" s="469"/>
      <c r="DO391" s="466">
        <f>DJ391</f>
        <v>0</v>
      </c>
      <c r="DP391" s="450"/>
      <c r="DQ391" s="450"/>
      <c r="DR391" s="450"/>
      <c r="DS391" s="469"/>
      <c r="DT391" s="466">
        <f>DO391</f>
        <v>0</v>
      </c>
      <c r="DU391" s="450"/>
      <c r="DV391" s="450"/>
      <c r="DW391" s="450"/>
      <c r="DX391" s="469"/>
      <c r="DY391" s="466">
        <f>DT391</f>
        <v>0</v>
      </c>
      <c r="DZ391" s="466">
        <f t="shared" si="697"/>
        <v>0</v>
      </c>
      <c r="EA391" s="466">
        <f t="shared" si="698"/>
        <v>0</v>
      </c>
      <c r="EB391" s="466">
        <f t="shared" si="699"/>
        <v>0</v>
      </c>
    </row>
    <row r="392" spans="1:132" s="115" customFormat="1" ht="12" customHeight="1">
      <c r="A392" s="114"/>
      <c r="B392" s="547"/>
      <c r="C392" s="466"/>
      <c r="D392" s="466"/>
      <c r="E392" s="466"/>
      <c r="F392" s="466"/>
      <c r="G392" s="466"/>
      <c r="H392" s="466"/>
      <c r="I392" s="466"/>
      <c r="J392" s="557"/>
      <c r="K392" s="557"/>
      <c r="L392" s="557"/>
      <c r="M392" s="557"/>
      <c r="N392" s="466"/>
      <c r="O392" s="557"/>
      <c r="P392" s="557"/>
      <c r="Q392" s="557"/>
      <c r="R392" s="557"/>
      <c r="S392" s="466"/>
      <c r="T392" s="557"/>
      <c r="U392" s="557"/>
      <c r="V392" s="557"/>
      <c r="W392" s="557"/>
      <c r="X392" s="466"/>
      <c r="Y392" s="557"/>
      <c r="Z392" s="557"/>
      <c r="AA392" s="557"/>
      <c r="AB392" s="557"/>
      <c r="AC392" s="466"/>
      <c r="AD392" s="557"/>
      <c r="AE392" s="557"/>
      <c r="AF392" s="557"/>
      <c r="AG392" s="557"/>
      <c r="AH392" s="466"/>
      <c r="AI392" s="557"/>
      <c r="AJ392" s="557"/>
      <c r="AK392" s="557"/>
      <c r="AL392" s="558"/>
      <c r="AM392" s="466"/>
      <c r="AN392" s="557"/>
      <c r="AO392" s="557"/>
      <c r="AP392" s="557"/>
      <c r="AQ392" s="558"/>
      <c r="AR392" s="466"/>
      <c r="AS392" s="469"/>
      <c r="AT392" s="469"/>
      <c r="AU392" s="469"/>
      <c r="AV392" s="469"/>
      <c r="AW392" s="466"/>
      <c r="AX392" s="469"/>
      <c r="AY392" s="469"/>
      <c r="AZ392" s="469"/>
      <c r="BA392" s="469"/>
      <c r="BB392" s="466"/>
      <c r="BC392" s="469"/>
      <c r="BD392" s="469"/>
      <c r="BE392" s="559"/>
      <c r="BF392" s="469"/>
      <c r="BG392" s="466"/>
      <c r="BH392" s="469"/>
      <c r="BI392" s="587"/>
      <c r="BJ392" s="559"/>
      <c r="BK392" s="469"/>
      <c r="BL392" s="466"/>
      <c r="BM392" s="469"/>
      <c r="BN392" s="587"/>
      <c r="BO392" s="559"/>
      <c r="BP392" s="469"/>
      <c r="BQ392" s="466"/>
      <c r="BR392" s="469"/>
      <c r="BS392" s="587"/>
      <c r="BT392" s="559"/>
      <c r="BU392" s="469"/>
      <c r="BV392" s="466"/>
      <c r="BW392" s="469"/>
      <c r="BX392" s="587"/>
      <c r="BY392" s="559"/>
      <c r="BZ392" s="469"/>
      <c r="CA392" s="466"/>
      <c r="CB392" s="469"/>
      <c r="CC392" s="587"/>
      <c r="CD392" s="559"/>
      <c r="CE392" s="469"/>
      <c r="CF392" s="466"/>
      <c r="CG392" s="587"/>
      <c r="CH392" s="587"/>
      <c r="CI392" s="587"/>
      <c r="CJ392" s="587"/>
      <c r="CK392" s="466"/>
      <c r="CL392" s="469"/>
      <c r="CM392" s="469"/>
      <c r="CN392" s="469"/>
      <c r="CO392" s="469"/>
      <c r="CP392" s="466"/>
      <c r="CQ392" s="469"/>
      <c r="CR392" s="469"/>
      <c r="CS392" s="469"/>
      <c r="CT392" s="469"/>
      <c r="CU392" s="466"/>
      <c r="CV392" s="469"/>
      <c r="CW392" s="469"/>
      <c r="CX392" s="469"/>
      <c r="CY392" s="469"/>
      <c r="CZ392" s="466"/>
      <c r="DA392" s="469"/>
      <c r="DB392" s="469"/>
      <c r="DC392" s="469"/>
      <c r="DD392" s="469"/>
      <c r="DE392" s="466"/>
      <c r="DF392" s="450"/>
      <c r="DG392" s="450"/>
      <c r="DH392" s="450"/>
      <c r="DI392" s="469"/>
      <c r="DJ392" s="466"/>
      <c r="DK392" s="450"/>
      <c r="DL392" s="450"/>
      <c r="DM392" s="450"/>
      <c r="DN392" s="469"/>
      <c r="DO392" s="466"/>
      <c r="DP392" s="450"/>
      <c r="DQ392" s="450"/>
      <c r="DR392" s="450"/>
      <c r="DS392" s="469"/>
      <c r="DT392" s="466"/>
      <c r="DU392" s="450"/>
      <c r="DV392" s="450"/>
      <c r="DW392" s="450"/>
      <c r="DX392" s="469"/>
      <c r="DY392" s="466"/>
      <c r="DZ392" s="466"/>
      <c r="EA392" s="466"/>
      <c r="EB392" s="466"/>
    </row>
    <row r="393" spans="1:132" s="115" customFormat="1" ht="12" customHeight="1">
      <c r="A393" s="114"/>
      <c r="B393" s="547"/>
      <c r="C393" s="466"/>
      <c r="D393" s="466"/>
      <c r="E393" s="466"/>
      <c r="F393" s="466"/>
      <c r="G393" s="466"/>
      <c r="H393" s="466"/>
      <c r="I393" s="466"/>
      <c r="J393" s="557"/>
      <c r="K393" s="557"/>
      <c r="L393" s="557"/>
      <c r="M393" s="557"/>
      <c r="N393" s="466"/>
      <c r="O393" s="557"/>
      <c r="P393" s="557"/>
      <c r="Q393" s="557"/>
      <c r="R393" s="557"/>
      <c r="S393" s="466"/>
      <c r="T393" s="557"/>
      <c r="U393" s="557"/>
      <c r="V393" s="557"/>
      <c r="W393" s="557"/>
      <c r="X393" s="466"/>
      <c r="Y393" s="557"/>
      <c r="Z393" s="557"/>
      <c r="AA393" s="557"/>
      <c r="AB393" s="557"/>
      <c r="AC393" s="466"/>
      <c r="AD393" s="557"/>
      <c r="AE393" s="557"/>
      <c r="AF393" s="557"/>
      <c r="AG393" s="557"/>
      <c r="AH393" s="466"/>
      <c r="AI393" s="557"/>
      <c r="AJ393" s="557"/>
      <c r="AK393" s="557"/>
      <c r="AL393" s="558"/>
      <c r="AM393" s="466"/>
      <c r="AN393" s="557"/>
      <c r="AO393" s="557"/>
      <c r="AP393" s="557"/>
      <c r="AQ393" s="558"/>
      <c r="AR393" s="466"/>
      <c r="AS393" s="469"/>
      <c r="AT393" s="469"/>
      <c r="AU393" s="469"/>
      <c r="AV393" s="469"/>
      <c r="AW393" s="466"/>
      <c r="AX393" s="469"/>
      <c r="AY393" s="469"/>
      <c r="AZ393" s="469"/>
      <c r="BA393" s="469"/>
      <c r="BB393" s="466"/>
      <c r="BC393" s="469"/>
      <c r="BD393" s="469"/>
      <c r="BE393" s="559"/>
      <c r="BF393" s="469"/>
      <c r="BG393" s="466"/>
      <c r="BH393" s="469"/>
      <c r="BI393" s="587"/>
      <c r="BJ393" s="559"/>
      <c r="BK393" s="469"/>
      <c r="BL393" s="466"/>
      <c r="BM393" s="469"/>
      <c r="BN393" s="587"/>
      <c r="BO393" s="559"/>
      <c r="BP393" s="469"/>
      <c r="BQ393" s="466"/>
      <c r="BR393" s="469"/>
      <c r="BS393" s="587"/>
      <c r="BT393" s="559"/>
      <c r="BU393" s="469"/>
      <c r="BV393" s="466"/>
      <c r="BW393" s="469"/>
      <c r="BX393" s="587"/>
      <c r="BY393" s="559"/>
      <c r="BZ393" s="469"/>
      <c r="CA393" s="466"/>
      <c r="CB393" s="469"/>
      <c r="CC393" s="587"/>
      <c r="CD393" s="559"/>
      <c r="CE393" s="469"/>
      <c r="CF393" s="466"/>
      <c r="CG393" s="587"/>
      <c r="CH393" s="587"/>
      <c r="CI393" s="587"/>
      <c r="CJ393" s="587"/>
      <c r="CK393" s="466"/>
      <c r="CL393" s="469"/>
      <c r="CM393" s="469"/>
      <c r="CN393" s="469"/>
      <c r="CO393" s="469"/>
      <c r="CP393" s="466"/>
      <c r="CQ393" s="469"/>
      <c r="CR393" s="469"/>
      <c r="CS393" s="469"/>
      <c r="CT393" s="469"/>
      <c r="CU393" s="466"/>
      <c r="CV393" s="469"/>
      <c r="CW393" s="469"/>
      <c r="CX393" s="469"/>
      <c r="CY393" s="469"/>
      <c r="CZ393" s="466"/>
      <c r="DA393" s="469"/>
      <c r="DB393" s="469"/>
      <c r="DC393" s="469"/>
      <c r="DD393" s="469"/>
      <c r="DE393" s="466"/>
      <c r="DF393" s="450"/>
      <c r="DG393" s="450"/>
      <c r="DH393" s="450"/>
      <c r="DI393" s="469"/>
      <c r="DJ393" s="466"/>
      <c r="DK393" s="450"/>
      <c r="DL393" s="450"/>
      <c r="DM393" s="450"/>
      <c r="DN393" s="469"/>
      <c r="DO393" s="466"/>
      <c r="DP393" s="450"/>
      <c r="DQ393" s="450"/>
      <c r="DR393" s="450"/>
      <c r="DS393" s="469"/>
      <c r="DT393" s="466"/>
      <c r="DU393" s="450"/>
      <c r="DV393" s="450"/>
      <c r="DW393" s="450"/>
      <c r="DX393" s="469"/>
      <c r="DY393" s="466"/>
      <c r="DZ393" s="466"/>
      <c r="EA393" s="466"/>
      <c r="EB393" s="466"/>
    </row>
    <row r="394" spans="1:132" s="115" customFormat="1" ht="12" customHeight="1">
      <c r="A394" s="114"/>
      <c r="B394" s="164" t="s">
        <v>419</v>
      </c>
      <c r="C394" s="466"/>
      <c r="D394" s="466"/>
      <c r="E394" s="466"/>
      <c r="F394" s="466"/>
      <c r="G394" s="466"/>
      <c r="H394" s="466"/>
      <c r="I394" s="466"/>
      <c r="J394" s="557"/>
      <c r="K394" s="557"/>
      <c r="L394" s="557"/>
      <c r="M394" s="557"/>
      <c r="N394" s="466"/>
      <c r="O394" s="557"/>
      <c r="P394" s="557"/>
      <c r="Q394" s="557"/>
      <c r="R394" s="557"/>
      <c r="S394" s="466"/>
      <c r="T394" s="557"/>
      <c r="U394" s="557"/>
      <c r="V394" s="557"/>
      <c r="W394" s="557"/>
      <c r="X394" s="466"/>
      <c r="Y394" s="557"/>
      <c r="Z394" s="557"/>
      <c r="AA394" s="557"/>
      <c r="AB394" s="557"/>
      <c r="AC394" s="466"/>
      <c r="AD394" s="557"/>
      <c r="AE394" s="557"/>
      <c r="AF394" s="557"/>
      <c r="AG394" s="557"/>
      <c r="AH394" s="466"/>
      <c r="AI394" s="557"/>
      <c r="AJ394" s="557"/>
      <c r="AK394" s="557"/>
      <c r="AL394" s="558"/>
      <c r="AM394" s="466"/>
      <c r="AN394" s="557"/>
      <c r="AO394" s="557"/>
      <c r="AP394" s="557"/>
      <c r="AQ394" s="558"/>
      <c r="AR394" s="466"/>
      <c r="AS394" s="469"/>
      <c r="AT394" s="469"/>
      <c r="AU394" s="469"/>
      <c r="AV394" s="469"/>
      <c r="AW394" s="466"/>
      <c r="AX394" s="469"/>
      <c r="AY394" s="469"/>
      <c r="AZ394" s="469"/>
      <c r="BA394" s="469"/>
      <c r="BB394" s="466"/>
      <c r="BC394" s="469"/>
      <c r="BD394" s="469"/>
      <c r="BE394" s="559"/>
      <c r="BF394" s="469"/>
      <c r="BG394" s="466"/>
      <c r="BH394" s="469"/>
      <c r="BI394" s="587"/>
      <c r="BJ394" s="559"/>
      <c r="BK394" s="469"/>
      <c r="BL394" s="466"/>
      <c r="BM394" s="469"/>
      <c r="BN394" s="587"/>
      <c r="BO394" s="559"/>
      <c r="BP394" s="469"/>
      <c r="BQ394" s="466"/>
      <c r="BR394" s="469"/>
      <c r="BS394" s="587"/>
      <c r="BT394" s="559"/>
      <c r="BU394" s="469"/>
      <c r="BV394" s="466"/>
      <c r="BW394" s="469"/>
      <c r="BX394" s="587"/>
      <c r="BY394" s="559"/>
      <c r="BZ394" s="469"/>
      <c r="CA394" s="466"/>
      <c r="CB394" s="469"/>
      <c r="CC394" s="587"/>
      <c r="CD394" s="559"/>
      <c r="CE394" s="469"/>
      <c r="CF394" s="466"/>
      <c r="CG394" s="587"/>
      <c r="CH394" s="587"/>
      <c r="CI394" s="587"/>
      <c r="CJ394" s="587"/>
      <c r="CK394" s="466"/>
      <c r="CL394" s="469"/>
      <c r="CM394" s="469"/>
      <c r="CN394" s="469"/>
      <c r="CO394" s="469"/>
      <c r="CP394" s="466"/>
      <c r="CQ394" s="469"/>
      <c r="CR394" s="469"/>
      <c r="CS394" s="469"/>
      <c r="CT394" s="469"/>
      <c r="CU394" s="466"/>
      <c r="CV394" s="469"/>
      <c r="CW394" s="469"/>
      <c r="CX394" s="469"/>
      <c r="CY394" s="469"/>
      <c r="CZ394" s="466"/>
      <c r="DA394" s="469"/>
      <c r="DB394" s="469"/>
      <c r="DC394" s="469"/>
      <c r="DD394" s="469"/>
      <c r="DE394" s="466"/>
      <c r="DF394" s="450"/>
      <c r="DG394" s="450"/>
      <c r="DH394" s="450"/>
      <c r="DI394" s="469"/>
      <c r="DJ394" s="466"/>
      <c r="DK394" s="450"/>
      <c r="DL394" s="450"/>
      <c r="DM394" s="450"/>
      <c r="DN394" s="469"/>
      <c r="DO394" s="466"/>
      <c r="DP394" s="450"/>
      <c r="DQ394" s="450"/>
      <c r="DR394" s="450"/>
      <c r="DS394" s="469"/>
      <c r="DT394" s="466"/>
      <c r="DU394" s="450"/>
      <c r="DV394" s="450"/>
      <c r="DW394" s="450"/>
      <c r="DX394" s="469"/>
      <c r="DY394" s="466"/>
      <c r="DZ394" s="466"/>
      <c r="EA394" s="466"/>
      <c r="EB394" s="466"/>
    </row>
    <row r="395" spans="1:132" s="115" customFormat="1" ht="12" customHeight="1">
      <c r="A395" s="114"/>
      <c r="B395" s="547" t="s">
        <v>422</v>
      </c>
      <c r="C395" s="466"/>
      <c r="D395" s="466"/>
      <c r="E395" s="466"/>
      <c r="F395" s="466"/>
      <c r="G395" s="466"/>
      <c r="H395" s="466"/>
      <c r="I395" s="466"/>
      <c r="J395" s="557"/>
      <c r="K395" s="557"/>
      <c r="L395" s="557"/>
      <c r="M395" s="557"/>
      <c r="N395" s="466"/>
      <c r="O395" s="557"/>
      <c r="P395" s="557"/>
      <c r="Q395" s="557"/>
      <c r="R395" s="557"/>
      <c r="S395" s="466"/>
      <c r="T395" s="557"/>
      <c r="U395" s="557"/>
      <c r="V395" s="557"/>
      <c r="W395" s="557"/>
      <c r="X395" s="466">
        <v>0</v>
      </c>
      <c r="Y395" s="557"/>
      <c r="Z395" s="557"/>
      <c r="AA395" s="557"/>
      <c r="AB395" s="557"/>
      <c r="AC395" s="466">
        <v>0</v>
      </c>
      <c r="AD395" s="557"/>
      <c r="AE395" s="557"/>
      <c r="AF395" s="557"/>
      <c r="AG395" s="557"/>
      <c r="AH395" s="466">
        <v>0</v>
      </c>
      <c r="AI395" s="557"/>
      <c r="AJ395" s="557"/>
      <c r="AK395" s="557"/>
      <c r="AL395" s="558"/>
      <c r="AM395" s="466">
        <v>0</v>
      </c>
      <c r="AN395" s="557"/>
      <c r="AO395" s="557"/>
      <c r="AP395" s="557"/>
      <c r="AQ395" s="558"/>
      <c r="AR395" s="466">
        <v>0</v>
      </c>
      <c r="AS395" s="469"/>
      <c r="AT395" s="469"/>
      <c r="AU395" s="469"/>
      <c r="AV395" s="469"/>
      <c r="AW395" s="466">
        <v>0</v>
      </c>
      <c r="AX395" s="469"/>
      <c r="AY395" s="469"/>
      <c r="AZ395" s="469"/>
      <c r="BA395" s="469"/>
      <c r="BB395" s="466">
        <v>0</v>
      </c>
      <c r="BC395" s="469"/>
      <c r="BD395" s="469"/>
      <c r="BE395" s="559"/>
      <c r="BF395" s="469"/>
      <c r="BG395" s="466">
        <v>0</v>
      </c>
      <c r="BH395" s="469"/>
      <c r="BI395" s="587"/>
      <c r="BJ395" s="559"/>
      <c r="BK395" s="469"/>
      <c r="BL395" s="466">
        <v>0</v>
      </c>
      <c r="BM395" s="469"/>
      <c r="BN395" s="587"/>
      <c r="BO395" s="559"/>
      <c r="BP395" s="469"/>
      <c r="BQ395" s="466">
        <v>0</v>
      </c>
      <c r="BR395" s="469"/>
      <c r="BS395" s="587"/>
      <c r="BT395" s="559"/>
      <c r="BU395" s="469"/>
      <c r="BV395" s="466">
        <v>0</v>
      </c>
      <c r="BW395" s="469"/>
      <c r="BX395" s="587"/>
      <c r="BY395" s="559"/>
      <c r="BZ395" s="469"/>
      <c r="CA395" s="466">
        <v>0</v>
      </c>
      <c r="CB395" s="469"/>
      <c r="CC395" s="587"/>
      <c r="CD395" s="559"/>
      <c r="CE395" s="469"/>
      <c r="CF395" s="466">
        <v>0</v>
      </c>
      <c r="CG395" s="587"/>
      <c r="CH395" s="587"/>
      <c r="CI395" s="587"/>
      <c r="CJ395" s="587"/>
      <c r="CK395" s="466">
        <v>0</v>
      </c>
      <c r="CL395" s="469"/>
      <c r="CM395" s="469"/>
      <c r="CN395" s="469"/>
      <c r="CO395" s="469"/>
      <c r="CP395" s="466">
        <v>0</v>
      </c>
      <c r="CQ395" s="469"/>
      <c r="CR395" s="469"/>
      <c r="CS395" s="469"/>
      <c r="CT395" s="469"/>
      <c r="CU395" s="466">
        <v>0</v>
      </c>
      <c r="CV395" s="469"/>
      <c r="CW395" s="469"/>
      <c r="CX395" s="469"/>
      <c r="CY395" s="469"/>
      <c r="CZ395" s="466">
        <v>0</v>
      </c>
      <c r="DA395" s="469"/>
      <c r="DB395" s="469"/>
      <c r="DC395" s="469"/>
      <c r="DD395" s="469"/>
      <c r="DE395" s="466">
        <v>0</v>
      </c>
      <c r="DF395" s="450"/>
      <c r="DG395" s="450"/>
      <c r="DH395" s="450"/>
      <c r="DI395" s="469"/>
      <c r="DJ395" s="466">
        <v>0</v>
      </c>
      <c r="DK395" s="450"/>
      <c r="DL395" s="450"/>
      <c r="DM395" s="450"/>
      <c r="DN395" s="469"/>
      <c r="DO395" s="466">
        <v>0</v>
      </c>
      <c r="DP395" s="450"/>
      <c r="DQ395" s="450"/>
      <c r="DR395" s="450"/>
      <c r="DS395" s="469"/>
      <c r="DT395" s="466">
        <v>0</v>
      </c>
      <c r="DU395" s="450"/>
      <c r="DV395" s="450"/>
      <c r="DW395" s="450"/>
      <c r="DX395" s="469"/>
      <c r="DY395" s="466">
        <v>0</v>
      </c>
      <c r="DZ395" s="466">
        <v>0</v>
      </c>
      <c r="EA395" s="466">
        <v>0</v>
      </c>
      <c r="EB395" s="466">
        <v>0</v>
      </c>
    </row>
    <row r="396" spans="1:132" s="115" customFormat="1" ht="12" customHeight="1">
      <c r="A396" s="114"/>
      <c r="B396" s="547" t="s">
        <v>439</v>
      </c>
      <c r="C396" s="466"/>
      <c r="D396" s="466"/>
      <c r="E396" s="466"/>
      <c r="F396" s="466"/>
      <c r="G396" s="466"/>
      <c r="H396" s="466"/>
      <c r="I396" s="466"/>
      <c r="J396" s="557"/>
      <c r="K396" s="557"/>
      <c r="L396" s="557"/>
      <c r="M396" s="557"/>
      <c r="N396" s="466"/>
      <c r="O396" s="557"/>
      <c r="P396" s="557"/>
      <c r="Q396" s="557"/>
      <c r="R396" s="557"/>
      <c r="S396" s="466"/>
      <c r="T396" s="557"/>
      <c r="U396" s="557"/>
      <c r="V396" s="557"/>
      <c r="W396" s="557"/>
      <c r="X396" s="466">
        <v>1</v>
      </c>
      <c r="Y396" s="557"/>
      <c r="Z396" s="557"/>
      <c r="AA396" s="557"/>
      <c r="AB396" s="557"/>
      <c r="AC396" s="466">
        <v>1</v>
      </c>
      <c r="AD396" s="557"/>
      <c r="AE396" s="557"/>
      <c r="AF396" s="557"/>
      <c r="AG396" s="557"/>
      <c r="AH396" s="466">
        <v>1</v>
      </c>
      <c r="AI396" s="557"/>
      <c r="AJ396" s="557"/>
      <c r="AK396" s="557"/>
      <c r="AL396" s="558"/>
      <c r="AM396" s="466">
        <v>1</v>
      </c>
      <c r="AN396" s="557"/>
      <c r="AO396" s="557"/>
      <c r="AP396" s="557"/>
      <c r="AQ396" s="558"/>
      <c r="AR396" s="466">
        <v>1</v>
      </c>
      <c r="AS396" s="469"/>
      <c r="AT396" s="469"/>
      <c r="AU396" s="469"/>
      <c r="AV396" s="469"/>
      <c r="AW396" s="466">
        <v>1</v>
      </c>
      <c r="AX396" s="469"/>
      <c r="AY396" s="469"/>
      <c r="AZ396" s="469"/>
      <c r="BA396" s="469"/>
      <c r="BB396" s="466">
        <v>1</v>
      </c>
      <c r="BC396" s="469"/>
      <c r="BD396" s="469"/>
      <c r="BE396" s="559"/>
      <c r="BF396" s="469"/>
      <c r="BG396" s="466">
        <v>1</v>
      </c>
      <c r="BH396" s="469"/>
      <c r="BI396" s="587"/>
      <c r="BJ396" s="559"/>
      <c r="BK396" s="469"/>
      <c r="BL396" s="466">
        <v>1</v>
      </c>
      <c r="BM396" s="469"/>
      <c r="BN396" s="587"/>
      <c r="BO396" s="559"/>
      <c r="BP396" s="469"/>
      <c r="BQ396" s="466">
        <v>1</v>
      </c>
      <c r="BR396" s="469"/>
      <c r="BS396" s="587"/>
      <c r="BT396" s="559"/>
      <c r="BU396" s="469"/>
      <c r="BV396" s="466">
        <v>1</v>
      </c>
      <c r="BW396" s="469"/>
      <c r="BX396" s="587"/>
      <c r="BY396" s="559"/>
      <c r="BZ396" s="469"/>
      <c r="CA396" s="466">
        <v>1</v>
      </c>
      <c r="CB396" s="469"/>
      <c r="CC396" s="587"/>
      <c r="CD396" s="559"/>
      <c r="CE396" s="469"/>
      <c r="CF396" s="466">
        <v>1</v>
      </c>
      <c r="CG396" s="587"/>
      <c r="CH396" s="587"/>
      <c r="CI396" s="587"/>
      <c r="CJ396" s="587"/>
      <c r="CK396" s="466">
        <v>1</v>
      </c>
      <c r="CL396" s="469"/>
      <c r="CM396" s="469"/>
      <c r="CN396" s="469"/>
      <c r="CO396" s="469"/>
      <c r="CP396" s="466">
        <v>1</v>
      </c>
      <c r="CQ396" s="469"/>
      <c r="CR396" s="469"/>
      <c r="CS396" s="469"/>
      <c r="CT396" s="469"/>
      <c r="CU396" s="466">
        <v>1</v>
      </c>
      <c r="CV396" s="469"/>
      <c r="CW396" s="469"/>
      <c r="CX396" s="469"/>
      <c r="CY396" s="469"/>
      <c r="CZ396" s="466">
        <v>1</v>
      </c>
      <c r="DA396" s="469"/>
      <c r="DB396" s="469"/>
      <c r="DC396" s="469"/>
      <c r="DD396" s="469"/>
      <c r="DE396" s="466">
        <v>1</v>
      </c>
      <c r="DF396" s="450"/>
      <c r="DG396" s="450"/>
      <c r="DH396" s="450"/>
      <c r="DI396" s="469"/>
      <c r="DJ396" s="466">
        <v>1</v>
      </c>
      <c r="DK396" s="450"/>
      <c r="DL396" s="450"/>
      <c r="DM396" s="450"/>
      <c r="DN396" s="469"/>
      <c r="DO396" s="466">
        <v>1</v>
      </c>
      <c r="DP396" s="450"/>
      <c r="DQ396" s="450"/>
      <c r="DR396" s="450"/>
      <c r="DS396" s="469"/>
      <c r="DT396" s="466">
        <v>1</v>
      </c>
      <c r="DU396" s="450"/>
      <c r="DV396" s="450"/>
      <c r="DW396" s="450"/>
      <c r="DX396" s="469"/>
      <c r="DY396" s="466">
        <v>1</v>
      </c>
      <c r="DZ396" s="466">
        <v>1</v>
      </c>
      <c r="EA396" s="466">
        <v>1</v>
      </c>
      <c r="EB396" s="466">
        <v>1</v>
      </c>
    </row>
    <row r="397" spans="1:132" s="115" customFormat="1" ht="12" customHeight="1">
      <c r="A397" s="114"/>
      <c r="B397" s="547"/>
      <c r="C397" s="466"/>
      <c r="D397" s="466"/>
      <c r="E397" s="466"/>
      <c r="F397" s="466"/>
      <c r="G397" s="466"/>
      <c r="H397" s="466"/>
      <c r="I397" s="466"/>
      <c r="J397" s="557"/>
      <c r="K397" s="557"/>
      <c r="L397" s="557"/>
      <c r="M397" s="557"/>
      <c r="N397" s="466"/>
      <c r="O397" s="557"/>
      <c r="P397" s="557"/>
      <c r="Q397" s="557"/>
      <c r="R397" s="557"/>
      <c r="S397" s="466"/>
      <c r="T397" s="557"/>
      <c r="U397" s="557"/>
      <c r="V397" s="557"/>
      <c r="W397" s="557"/>
      <c r="X397" s="466"/>
      <c r="Y397" s="557"/>
      <c r="Z397" s="557"/>
      <c r="AA397" s="557"/>
      <c r="AB397" s="557"/>
      <c r="AC397" s="466"/>
      <c r="AD397" s="557"/>
      <c r="AE397" s="557"/>
      <c r="AF397" s="557"/>
      <c r="AG397" s="557"/>
      <c r="AH397" s="466"/>
      <c r="AI397" s="557"/>
      <c r="AJ397" s="557"/>
      <c r="AK397" s="557"/>
      <c r="AL397" s="558"/>
      <c r="AM397" s="466"/>
      <c r="AN397" s="557"/>
      <c r="AO397" s="557"/>
      <c r="AP397" s="557"/>
      <c r="AQ397" s="558"/>
      <c r="AR397" s="466"/>
      <c r="AS397" s="469"/>
      <c r="AT397" s="469"/>
      <c r="AU397" s="469"/>
      <c r="AV397" s="469"/>
      <c r="AW397" s="466"/>
      <c r="AX397" s="469"/>
      <c r="AY397" s="469"/>
      <c r="AZ397" s="469"/>
      <c r="BA397" s="469"/>
      <c r="BB397" s="466"/>
      <c r="BC397" s="469"/>
      <c r="BD397" s="469"/>
      <c r="BE397" s="559"/>
      <c r="BF397" s="469"/>
      <c r="BG397" s="466"/>
      <c r="BH397" s="469"/>
      <c r="BI397" s="587"/>
      <c r="BJ397" s="559"/>
      <c r="BK397" s="469"/>
      <c r="BL397" s="466"/>
      <c r="BM397" s="469"/>
      <c r="BN397" s="587"/>
      <c r="BO397" s="559"/>
      <c r="BP397" s="469"/>
      <c r="BQ397" s="466"/>
      <c r="BR397" s="469"/>
      <c r="BS397" s="587"/>
      <c r="BT397" s="559"/>
      <c r="BU397" s="469"/>
      <c r="BV397" s="466"/>
      <c r="BW397" s="469"/>
      <c r="BX397" s="587"/>
      <c r="BY397" s="559"/>
      <c r="BZ397" s="469"/>
      <c r="CA397" s="466"/>
      <c r="CB397" s="469"/>
      <c r="CC397" s="587"/>
      <c r="CD397" s="559"/>
      <c r="CE397" s="469"/>
      <c r="CF397" s="466"/>
      <c r="CG397" s="587"/>
      <c r="CH397" s="587"/>
      <c r="CI397" s="587"/>
      <c r="CJ397" s="587"/>
      <c r="CK397" s="466"/>
      <c r="CL397" s="469"/>
      <c r="CM397" s="469"/>
      <c r="CN397" s="469"/>
      <c r="CO397" s="469"/>
      <c r="CP397" s="466"/>
      <c r="CQ397" s="469"/>
      <c r="CR397" s="469"/>
      <c r="CS397" s="469"/>
      <c r="CT397" s="469"/>
      <c r="CU397" s="466"/>
      <c r="CV397" s="469"/>
      <c r="CW397" s="469"/>
      <c r="CX397" s="469"/>
      <c r="CY397" s="469"/>
      <c r="CZ397" s="466"/>
      <c r="DA397" s="469"/>
      <c r="DB397" s="469"/>
      <c r="DC397" s="469"/>
      <c r="DD397" s="469"/>
      <c r="DE397" s="466"/>
      <c r="DF397" s="450"/>
      <c r="DG397" s="450"/>
      <c r="DH397" s="450"/>
      <c r="DI397" s="469"/>
      <c r="DJ397" s="466"/>
      <c r="DK397" s="450"/>
      <c r="DL397" s="450"/>
      <c r="DM397" s="450"/>
      <c r="DN397" s="469"/>
      <c r="DO397" s="466"/>
      <c r="DP397" s="450"/>
      <c r="DQ397" s="450"/>
      <c r="DR397" s="450"/>
      <c r="DS397" s="469"/>
      <c r="DT397" s="466"/>
      <c r="DU397" s="450"/>
      <c r="DV397" s="450"/>
      <c r="DW397" s="450"/>
      <c r="DX397" s="469"/>
      <c r="DY397" s="466"/>
      <c r="DZ397" s="466"/>
      <c r="EA397" s="466"/>
      <c r="EB397" s="466"/>
    </row>
    <row r="398" spans="1:132" s="115" customFormat="1" ht="12" customHeight="1">
      <c r="A398" s="114"/>
      <c r="B398" s="164" t="s">
        <v>420</v>
      </c>
      <c r="C398" s="466"/>
      <c r="D398" s="466"/>
      <c r="E398" s="466"/>
      <c r="F398" s="466"/>
      <c r="G398" s="466"/>
      <c r="H398" s="466"/>
      <c r="I398" s="466"/>
      <c r="J398" s="557"/>
      <c r="K398" s="557"/>
      <c r="L398" s="557"/>
      <c r="M398" s="557"/>
      <c r="N398" s="466"/>
      <c r="O398" s="557"/>
      <c r="P398" s="557"/>
      <c r="Q398" s="557"/>
      <c r="R398" s="557"/>
      <c r="S398" s="466"/>
      <c r="T398" s="557"/>
      <c r="U398" s="557"/>
      <c r="V398" s="557"/>
      <c r="W398" s="557"/>
      <c r="X398" s="466"/>
      <c r="Y398" s="557"/>
      <c r="Z398" s="557"/>
      <c r="AA398" s="557"/>
      <c r="AB398" s="557"/>
      <c r="AC398" s="466"/>
      <c r="AD398" s="557"/>
      <c r="AE398" s="557"/>
      <c r="AF398" s="557"/>
      <c r="AG398" s="557"/>
      <c r="AH398" s="466"/>
      <c r="AI398" s="557"/>
      <c r="AJ398" s="557"/>
      <c r="AK398" s="557"/>
      <c r="AL398" s="558"/>
      <c r="AM398" s="466"/>
      <c r="AN398" s="557"/>
      <c r="AO398" s="557"/>
      <c r="AP398" s="557"/>
      <c r="AQ398" s="558"/>
      <c r="AR398" s="466"/>
      <c r="AS398" s="469"/>
      <c r="AT398" s="469"/>
      <c r="AU398" s="469"/>
      <c r="AV398" s="469"/>
      <c r="AW398" s="466"/>
      <c r="AX398" s="469"/>
      <c r="AY398" s="469"/>
      <c r="AZ398" s="469"/>
      <c r="BA398" s="469"/>
      <c r="BB398" s="466"/>
      <c r="BC398" s="469"/>
      <c r="BD398" s="469"/>
      <c r="BE398" s="559"/>
      <c r="BF398" s="469"/>
      <c r="BG398" s="466"/>
      <c r="BH398" s="469"/>
      <c r="BI398" s="587"/>
      <c r="BJ398" s="559"/>
      <c r="BK398" s="469"/>
      <c r="BL398" s="466"/>
      <c r="BM398" s="469"/>
      <c r="BN398" s="587"/>
      <c r="BO398" s="559"/>
      <c r="BP398" s="469"/>
      <c r="BQ398" s="466"/>
      <c r="BR398" s="469"/>
      <c r="BS398" s="587"/>
      <c r="BT398" s="559"/>
      <c r="BU398" s="469"/>
      <c r="BV398" s="466"/>
      <c r="BW398" s="469"/>
      <c r="BX398" s="587"/>
      <c r="BY398" s="559"/>
      <c r="BZ398" s="469"/>
      <c r="CA398" s="466"/>
      <c r="CB398" s="469"/>
      <c r="CC398" s="587"/>
      <c r="CD398" s="559"/>
      <c r="CE398" s="469"/>
      <c r="CF398" s="466"/>
      <c r="CG398" s="587"/>
      <c r="CH398" s="587"/>
      <c r="CI398" s="587"/>
      <c r="CJ398" s="587"/>
      <c r="CK398" s="466"/>
      <c r="CL398" s="469"/>
      <c r="CM398" s="469"/>
      <c r="CN398" s="469"/>
      <c r="CO398" s="469"/>
      <c r="CP398" s="466"/>
      <c r="CQ398" s="469"/>
      <c r="CR398" s="469"/>
      <c r="CS398" s="469"/>
      <c r="CT398" s="469"/>
      <c r="CU398" s="466"/>
      <c r="CV398" s="469"/>
      <c r="CW398" s="469"/>
      <c r="CX398" s="469"/>
      <c r="CY398" s="469"/>
      <c r="CZ398" s="466"/>
      <c r="DA398" s="469"/>
      <c r="DB398" s="469"/>
      <c r="DC398" s="469"/>
      <c r="DD398" s="469"/>
      <c r="DE398" s="466"/>
      <c r="DF398" s="450"/>
      <c r="DG398" s="450"/>
      <c r="DH398" s="450"/>
      <c r="DI398" s="469"/>
      <c r="DJ398" s="466"/>
      <c r="DK398" s="450"/>
      <c r="DL398" s="450"/>
      <c r="DM398" s="450"/>
      <c r="DN398" s="469"/>
      <c r="DO398" s="466"/>
      <c r="DP398" s="450"/>
      <c r="DQ398" s="450"/>
      <c r="DR398" s="450"/>
      <c r="DS398" s="469"/>
      <c r="DT398" s="466"/>
      <c r="DU398" s="450"/>
      <c r="DV398" s="450"/>
      <c r="DW398" s="450"/>
      <c r="DX398" s="469"/>
      <c r="DY398" s="466"/>
      <c r="DZ398" s="466"/>
      <c r="EA398" s="466"/>
      <c r="EB398" s="466"/>
    </row>
    <row r="399" spans="1:132" s="115" customFormat="1" ht="12" customHeight="1">
      <c r="A399" s="114"/>
      <c r="B399" s="547" t="s">
        <v>423</v>
      </c>
      <c r="C399" s="466"/>
      <c r="D399" s="466"/>
      <c r="E399" s="466"/>
      <c r="F399" s="466"/>
      <c r="G399" s="466"/>
      <c r="H399" s="466"/>
      <c r="I399" s="466"/>
      <c r="J399" s="557"/>
      <c r="K399" s="557"/>
      <c r="L399" s="557"/>
      <c r="M399" s="557"/>
      <c r="N399" s="466"/>
      <c r="O399" s="557"/>
      <c r="P399" s="557"/>
      <c r="Q399" s="557"/>
      <c r="R399" s="557"/>
      <c r="S399" s="466"/>
      <c r="T399" s="557"/>
      <c r="U399" s="557"/>
      <c r="V399" s="557"/>
      <c r="W399" s="557"/>
      <c r="X399" s="466"/>
      <c r="Y399" s="557"/>
      <c r="Z399" s="557"/>
      <c r="AA399" s="557"/>
      <c r="AB399" s="557"/>
      <c r="AC399" s="466"/>
      <c r="AD399" s="557"/>
      <c r="AE399" s="557"/>
      <c r="AF399" s="557"/>
      <c r="AG399" s="557"/>
      <c r="AH399" s="466"/>
      <c r="AI399" s="557"/>
      <c r="AJ399" s="557"/>
      <c r="AK399" s="557"/>
      <c r="AL399" s="558"/>
      <c r="AM399" s="466"/>
      <c r="AN399" s="557"/>
      <c r="AO399" s="557"/>
      <c r="AP399" s="557"/>
      <c r="AQ399" s="558"/>
      <c r="AR399" s="466"/>
      <c r="AS399" s="469"/>
      <c r="AT399" s="469"/>
      <c r="AU399" s="469"/>
      <c r="AV399" s="469"/>
      <c r="AW399" s="466"/>
      <c r="AX399" s="469"/>
      <c r="AY399" s="469"/>
      <c r="AZ399" s="469"/>
      <c r="BA399" s="469"/>
      <c r="BB399" s="466">
        <v>0</v>
      </c>
      <c r="BC399" s="469"/>
      <c r="BD399" s="469"/>
      <c r="BE399" s="559"/>
      <c r="BF399" s="469"/>
      <c r="BG399" s="466">
        <v>0</v>
      </c>
      <c r="BH399" s="469"/>
      <c r="BI399" s="587"/>
      <c r="BJ399" s="559"/>
      <c r="BK399" s="469"/>
      <c r="BL399" s="466">
        <v>0</v>
      </c>
      <c r="BM399" s="469"/>
      <c r="BN399" s="587"/>
      <c r="BO399" s="559"/>
      <c r="BP399" s="469"/>
      <c r="BQ399" s="466">
        <v>0</v>
      </c>
      <c r="BR399" s="469"/>
      <c r="BS399" s="587"/>
      <c r="BT399" s="559"/>
      <c r="BU399" s="469"/>
      <c r="BV399" s="466">
        <v>0</v>
      </c>
      <c r="BW399" s="469"/>
      <c r="BX399" s="587"/>
      <c r="BY399" s="559"/>
      <c r="BZ399" s="469"/>
      <c r="CA399" s="466">
        <v>0</v>
      </c>
      <c r="CB399" s="469"/>
      <c r="CC399" s="587"/>
      <c r="CD399" s="559"/>
      <c r="CE399" s="469"/>
      <c r="CF399" s="466">
        <v>0</v>
      </c>
      <c r="CG399" s="587"/>
      <c r="CH399" s="587"/>
      <c r="CI399" s="587"/>
      <c r="CJ399" s="587"/>
      <c r="CK399" s="466">
        <v>0</v>
      </c>
      <c r="CL399" s="469"/>
      <c r="CM399" s="469"/>
      <c r="CN399" s="469"/>
      <c r="CO399" s="469"/>
      <c r="CP399" s="466">
        <v>0</v>
      </c>
      <c r="CQ399" s="469"/>
      <c r="CR399" s="469"/>
      <c r="CS399" s="469"/>
      <c r="CT399" s="469"/>
      <c r="CU399" s="466">
        <v>0</v>
      </c>
      <c r="CV399" s="469"/>
      <c r="CW399" s="469"/>
      <c r="CX399" s="469"/>
      <c r="CY399" s="469"/>
      <c r="CZ399" s="466">
        <v>0</v>
      </c>
      <c r="DA399" s="469"/>
      <c r="DB399" s="469"/>
      <c r="DC399" s="469"/>
      <c r="DD399" s="469"/>
      <c r="DE399" s="466">
        <v>0</v>
      </c>
      <c r="DF399" s="450"/>
      <c r="DG399" s="450"/>
      <c r="DH399" s="450"/>
      <c r="DI399" s="469"/>
      <c r="DJ399" s="466">
        <v>0</v>
      </c>
      <c r="DK399" s="450"/>
      <c r="DL399" s="450"/>
      <c r="DM399" s="450"/>
      <c r="DN399" s="469"/>
      <c r="DO399" s="466">
        <v>0</v>
      </c>
      <c r="DP399" s="450"/>
      <c r="DQ399" s="450"/>
      <c r="DR399" s="450"/>
      <c r="DS399" s="469"/>
      <c r="DT399" s="466">
        <v>0</v>
      </c>
      <c r="DU399" s="450"/>
      <c r="DV399" s="450"/>
      <c r="DW399" s="450"/>
      <c r="DX399" s="469"/>
      <c r="DY399" s="466">
        <v>0</v>
      </c>
      <c r="DZ399" s="466">
        <v>0</v>
      </c>
      <c r="EA399" s="466">
        <v>0</v>
      </c>
      <c r="EB399" s="466">
        <v>0</v>
      </c>
    </row>
    <row r="400" spans="1:132" s="115" customFormat="1" ht="12" customHeight="1">
      <c r="A400" s="114"/>
      <c r="B400" s="547" t="s">
        <v>440</v>
      </c>
      <c r="C400" s="466"/>
      <c r="D400" s="466"/>
      <c r="E400" s="466"/>
      <c r="F400" s="466"/>
      <c r="G400" s="466"/>
      <c r="H400" s="466"/>
      <c r="I400" s="466"/>
      <c r="J400" s="557"/>
      <c r="K400" s="557"/>
      <c r="L400" s="557"/>
      <c r="M400" s="557"/>
      <c r="N400" s="466"/>
      <c r="O400" s="557"/>
      <c r="P400" s="557"/>
      <c r="Q400" s="557"/>
      <c r="R400" s="557"/>
      <c r="S400" s="466"/>
      <c r="T400" s="557"/>
      <c r="U400" s="557"/>
      <c r="V400" s="557"/>
      <c r="W400" s="557"/>
      <c r="X400" s="466"/>
      <c r="Y400" s="557"/>
      <c r="Z400" s="557"/>
      <c r="AA400" s="557"/>
      <c r="AB400" s="557"/>
      <c r="AC400" s="466"/>
      <c r="AD400" s="557"/>
      <c r="AE400" s="557"/>
      <c r="AF400" s="557"/>
      <c r="AG400" s="557"/>
      <c r="AH400" s="466"/>
      <c r="AI400" s="557"/>
      <c r="AJ400" s="557"/>
      <c r="AK400" s="557"/>
      <c r="AL400" s="558"/>
      <c r="AM400" s="466"/>
      <c r="AN400" s="557"/>
      <c r="AO400" s="557"/>
      <c r="AP400" s="557"/>
      <c r="AQ400" s="558"/>
      <c r="AR400" s="466"/>
      <c r="AS400" s="469"/>
      <c r="AT400" s="469"/>
      <c r="AU400" s="469"/>
      <c r="AV400" s="469"/>
      <c r="AW400" s="466"/>
      <c r="AX400" s="469"/>
      <c r="AY400" s="469"/>
      <c r="AZ400" s="469"/>
      <c r="BA400" s="469"/>
      <c r="BB400" s="466">
        <v>0</v>
      </c>
      <c r="BC400" s="469"/>
      <c r="BD400" s="469"/>
      <c r="BE400" s="559"/>
      <c r="BF400" s="469"/>
      <c r="BG400" s="466">
        <v>0</v>
      </c>
      <c r="BH400" s="469"/>
      <c r="BI400" s="587"/>
      <c r="BJ400" s="559"/>
      <c r="BK400" s="469"/>
      <c r="BL400" s="466">
        <v>0</v>
      </c>
      <c r="BM400" s="469"/>
      <c r="BN400" s="587"/>
      <c r="BO400" s="559"/>
      <c r="BP400" s="469"/>
      <c r="BQ400" s="466">
        <v>0</v>
      </c>
      <c r="BR400" s="469"/>
      <c r="BS400" s="587"/>
      <c r="BT400" s="559"/>
      <c r="BU400" s="469"/>
      <c r="BV400" s="466">
        <v>0</v>
      </c>
      <c r="BW400" s="469"/>
      <c r="BX400" s="587"/>
      <c r="BY400" s="559"/>
      <c r="BZ400" s="469"/>
      <c r="CA400" s="466">
        <v>0</v>
      </c>
      <c r="CB400" s="469"/>
      <c r="CC400" s="587"/>
      <c r="CD400" s="559"/>
      <c r="CE400" s="469"/>
      <c r="CF400" s="466">
        <v>0</v>
      </c>
      <c r="CG400" s="587"/>
      <c r="CH400" s="587"/>
      <c r="CI400" s="587"/>
      <c r="CJ400" s="587"/>
      <c r="CK400" s="466">
        <v>0</v>
      </c>
      <c r="CL400" s="469"/>
      <c r="CM400" s="469"/>
      <c r="CN400" s="469"/>
      <c r="CO400" s="469"/>
      <c r="CP400" s="466">
        <v>0</v>
      </c>
      <c r="CQ400" s="469"/>
      <c r="CR400" s="469"/>
      <c r="CS400" s="469"/>
      <c r="CT400" s="469"/>
      <c r="CU400" s="466">
        <v>0</v>
      </c>
      <c r="CV400" s="469"/>
      <c r="CW400" s="469"/>
      <c r="CX400" s="469"/>
      <c r="CY400" s="469"/>
      <c r="CZ400" s="466">
        <v>0</v>
      </c>
      <c r="DA400" s="469"/>
      <c r="DB400" s="469"/>
      <c r="DC400" s="469"/>
      <c r="DD400" s="469"/>
      <c r="DE400" s="466">
        <v>0</v>
      </c>
      <c r="DF400" s="450"/>
      <c r="DG400" s="450"/>
      <c r="DH400" s="450"/>
      <c r="DI400" s="469"/>
      <c r="DJ400" s="466">
        <v>0</v>
      </c>
      <c r="DK400" s="450"/>
      <c r="DL400" s="450"/>
      <c r="DM400" s="450"/>
      <c r="DN400" s="469"/>
      <c r="DO400" s="466">
        <v>0</v>
      </c>
      <c r="DP400" s="450"/>
      <c r="DQ400" s="450"/>
      <c r="DR400" s="450"/>
      <c r="DS400" s="469"/>
      <c r="DT400" s="466">
        <v>0</v>
      </c>
      <c r="DU400" s="450"/>
      <c r="DV400" s="450"/>
      <c r="DW400" s="450"/>
      <c r="DX400" s="469"/>
      <c r="DY400" s="466">
        <v>0</v>
      </c>
      <c r="DZ400" s="466">
        <v>0</v>
      </c>
      <c r="EA400" s="466">
        <v>0</v>
      </c>
      <c r="EB400" s="466">
        <v>0</v>
      </c>
    </row>
    <row r="401" spans="1:132" s="115" customFormat="1" ht="12" customHeight="1">
      <c r="A401" s="114"/>
      <c r="B401" s="547" t="s">
        <v>441</v>
      </c>
      <c r="C401" s="466"/>
      <c r="D401" s="466"/>
      <c r="E401" s="466"/>
      <c r="F401" s="466"/>
      <c r="G401" s="466"/>
      <c r="H401" s="466"/>
      <c r="I401" s="466"/>
      <c r="J401" s="557"/>
      <c r="K401" s="557"/>
      <c r="L401" s="557"/>
      <c r="M401" s="557"/>
      <c r="N401" s="466"/>
      <c r="O401" s="557"/>
      <c r="P401" s="557"/>
      <c r="Q401" s="557"/>
      <c r="R401" s="557"/>
      <c r="S401" s="466"/>
      <c r="T401" s="557"/>
      <c r="U401" s="557"/>
      <c r="V401" s="557"/>
      <c r="W401" s="557"/>
      <c r="X401" s="466"/>
      <c r="Y401" s="557"/>
      <c r="Z401" s="557"/>
      <c r="AA401" s="557"/>
      <c r="AB401" s="557"/>
      <c r="AC401" s="466"/>
      <c r="AD401" s="557"/>
      <c r="AE401" s="557"/>
      <c r="AF401" s="557"/>
      <c r="AG401" s="557"/>
      <c r="AH401" s="466"/>
      <c r="AI401" s="557"/>
      <c r="AJ401" s="557"/>
      <c r="AK401" s="557"/>
      <c r="AL401" s="558"/>
      <c r="AM401" s="466"/>
      <c r="AN401" s="557"/>
      <c r="AO401" s="557"/>
      <c r="AP401" s="557"/>
      <c r="AQ401" s="558"/>
      <c r="AR401" s="466"/>
      <c r="AS401" s="469"/>
      <c r="AT401" s="469"/>
      <c r="AU401" s="469"/>
      <c r="AV401" s="469"/>
      <c r="AW401" s="466"/>
      <c r="AX401" s="469"/>
      <c r="AY401" s="469"/>
      <c r="AZ401" s="469"/>
      <c r="BA401" s="469"/>
      <c r="BB401" s="466"/>
      <c r="BC401" s="469"/>
      <c r="BD401" s="469"/>
      <c r="BE401" s="559"/>
      <c r="BF401" s="469"/>
      <c r="BG401" s="466"/>
      <c r="BH401" s="469"/>
      <c r="BI401" s="587"/>
      <c r="BJ401" s="559"/>
      <c r="BK401" s="469"/>
      <c r="BL401" s="466"/>
      <c r="BM401" s="469"/>
      <c r="BN401" s="587"/>
      <c r="BO401" s="559"/>
      <c r="BP401" s="469"/>
      <c r="BQ401" s="466"/>
      <c r="BR401" s="469"/>
      <c r="BS401" s="587"/>
      <c r="BT401" s="559"/>
      <c r="BU401" s="469"/>
      <c r="BV401" s="466"/>
      <c r="BW401" s="469"/>
      <c r="BX401" s="587"/>
      <c r="BY401" s="559"/>
      <c r="BZ401" s="469"/>
      <c r="CA401" s="466"/>
      <c r="CB401" s="469"/>
      <c r="CC401" s="587"/>
      <c r="CD401" s="559"/>
      <c r="CE401" s="469"/>
      <c r="CF401" s="466"/>
      <c r="CG401" s="587"/>
      <c r="CH401" s="587"/>
      <c r="CI401" s="587"/>
      <c r="CJ401" s="587"/>
      <c r="CK401" s="466"/>
      <c r="CL401" s="469"/>
      <c r="CM401" s="469"/>
      <c r="CN401" s="469"/>
      <c r="CO401" s="469"/>
      <c r="CP401" s="466"/>
      <c r="CQ401" s="469"/>
      <c r="CR401" s="469"/>
      <c r="CS401" s="469"/>
      <c r="CT401" s="469"/>
      <c r="CU401" s="466"/>
      <c r="CV401" s="469"/>
      <c r="CW401" s="469"/>
      <c r="CX401" s="469"/>
      <c r="CY401" s="469"/>
      <c r="CZ401" s="466"/>
      <c r="DA401" s="469"/>
      <c r="DB401" s="469"/>
      <c r="DC401" s="469"/>
      <c r="DD401" s="469"/>
      <c r="DE401" s="466"/>
      <c r="DF401" s="450"/>
      <c r="DG401" s="450"/>
      <c r="DH401" s="450"/>
      <c r="DI401" s="469"/>
      <c r="DJ401" s="466"/>
      <c r="DK401" s="450"/>
      <c r="DL401" s="450"/>
      <c r="DM401" s="450"/>
      <c r="DN401" s="469"/>
      <c r="DO401" s="466"/>
      <c r="DP401" s="450"/>
      <c r="DQ401" s="450"/>
      <c r="DR401" s="450"/>
      <c r="DS401" s="469"/>
      <c r="DT401" s="466"/>
      <c r="DU401" s="450"/>
      <c r="DV401" s="450"/>
      <c r="DW401" s="450"/>
      <c r="DX401" s="469"/>
      <c r="DY401" s="466"/>
      <c r="DZ401" s="466"/>
      <c r="EA401" s="466"/>
      <c r="EB401" s="466"/>
    </row>
    <row r="402" spans="1:132" s="115" customFormat="1" ht="12" customHeight="1">
      <c r="A402" s="114"/>
      <c r="B402" s="547" t="s">
        <v>442</v>
      </c>
      <c r="C402" s="466"/>
      <c r="D402" s="466"/>
      <c r="E402" s="466"/>
      <c r="F402" s="466"/>
      <c r="G402" s="466"/>
      <c r="H402" s="466"/>
      <c r="I402" s="466"/>
      <c r="J402" s="557"/>
      <c r="K402" s="557"/>
      <c r="L402" s="557"/>
      <c r="M402" s="557"/>
      <c r="N402" s="466"/>
      <c r="O402" s="557"/>
      <c r="P402" s="557"/>
      <c r="Q402" s="557"/>
      <c r="R402" s="557"/>
      <c r="S402" s="466"/>
      <c r="T402" s="557"/>
      <c r="U402" s="557"/>
      <c r="V402" s="557"/>
      <c r="W402" s="557"/>
      <c r="X402" s="466"/>
      <c r="Y402" s="557"/>
      <c r="Z402" s="557"/>
      <c r="AA402" s="557"/>
      <c r="AB402" s="557"/>
      <c r="AC402" s="466"/>
      <c r="AD402" s="557"/>
      <c r="AE402" s="557"/>
      <c r="AF402" s="557"/>
      <c r="AG402" s="557"/>
      <c r="AH402" s="466"/>
      <c r="AI402" s="557"/>
      <c r="AJ402" s="557"/>
      <c r="AK402" s="557"/>
      <c r="AL402" s="558"/>
      <c r="AM402" s="466"/>
      <c r="AN402" s="557"/>
      <c r="AO402" s="557"/>
      <c r="AP402" s="557"/>
      <c r="AQ402" s="558"/>
      <c r="AR402" s="466"/>
      <c r="AS402" s="469"/>
      <c r="AT402" s="469"/>
      <c r="AU402" s="469"/>
      <c r="AV402" s="469"/>
      <c r="AW402" s="466"/>
      <c r="AX402" s="469"/>
      <c r="AY402" s="469"/>
      <c r="AZ402" s="469"/>
      <c r="BA402" s="469"/>
      <c r="BB402" s="466"/>
      <c r="BC402" s="469"/>
      <c r="BD402" s="469"/>
      <c r="BE402" s="559"/>
      <c r="BF402" s="469"/>
      <c r="BG402" s="466"/>
      <c r="BH402" s="469"/>
      <c r="BI402" s="587"/>
      <c r="BJ402" s="559"/>
      <c r="BK402" s="469"/>
      <c r="BL402" s="466"/>
      <c r="BM402" s="469"/>
      <c r="BN402" s="587"/>
      <c r="BO402" s="559"/>
      <c r="BP402" s="469"/>
      <c r="BQ402" s="466"/>
      <c r="BR402" s="469"/>
      <c r="BS402" s="587"/>
      <c r="BT402" s="559"/>
      <c r="BU402" s="469"/>
      <c r="BV402" s="466"/>
      <c r="BW402" s="469"/>
      <c r="BX402" s="587"/>
      <c r="BY402" s="559"/>
      <c r="BZ402" s="469"/>
      <c r="CA402" s="466"/>
      <c r="CB402" s="469"/>
      <c r="CC402" s="587"/>
      <c r="CD402" s="559"/>
      <c r="CE402" s="469"/>
      <c r="CF402" s="466"/>
      <c r="CG402" s="587"/>
      <c r="CH402" s="587"/>
      <c r="CI402" s="587"/>
      <c r="CJ402" s="587"/>
      <c r="CK402" s="466"/>
      <c r="CL402" s="469"/>
      <c r="CM402" s="469"/>
      <c r="CN402" s="469"/>
      <c r="CO402" s="469"/>
      <c r="CP402" s="466"/>
      <c r="CQ402" s="469"/>
      <c r="CR402" s="469"/>
      <c r="CS402" s="469"/>
      <c r="CT402" s="469"/>
      <c r="CU402" s="466"/>
      <c r="CV402" s="469"/>
      <c r="CW402" s="469"/>
      <c r="CX402" s="469"/>
      <c r="CY402" s="469"/>
      <c r="CZ402" s="466"/>
      <c r="DA402" s="469"/>
      <c r="DB402" s="469"/>
      <c r="DC402" s="469"/>
      <c r="DD402" s="469"/>
      <c r="DE402" s="466"/>
      <c r="DF402" s="450"/>
      <c r="DG402" s="450"/>
      <c r="DH402" s="450"/>
      <c r="DI402" s="469"/>
      <c r="DJ402" s="466"/>
      <c r="DK402" s="450"/>
      <c r="DL402" s="450"/>
      <c r="DM402" s="450"/>
      <c r="DN402" s="469"/>
      <c r="DO402" s="466"/>
      <c r="DP402" s="450"/>
      <c r="DQ402" s="450"/>
      <c r="DR402" s="450"/>
      <c r="DS402" s="469"/>
      <c r="DT402" s="466"/>
      <c r="DU402" s="450"/>
      <c r="DV402" s="450"/>
      <c r="DW402" s="450"/>
      <c r="DX402" s="469"/>
      <c r="DY402" s="466"/>
      <c r="DZ402" s="466"/>
      <c r="EA402" s="466"/>
      <c r="EB402" s="466"/>
    </row>
    <row r="403" spans="1:132" s="115" customFormat="1" ht="12" customHeight="1">
      <c r="A403" s="114"/>
      <c r="B403" s="547" t="s">
        <v>443</v>
      </c>
      <c r="C403" s="466"/>
      <c r="D403" s="466"/>
      <c r="E403" s="466"/>
      <c r="F403" s="466"/>
      <c r="G403" s="466"/>
      <c r="H403" s="466"/>
      <c r="I403" s="466"/>
      <c r="J403" s="557"/>
      <c r="K403" s="557"/>
      <c r="L403" s="557"/>
      <c r="M403" s="557"/>
      <c r="N403" s="466"/>
      <c r="O403" s="557"/>
      <c r="P403" s="557"/>
      <c r="Q403" s="557"/>
      <c r="R403" s="557"/>
      <c r="S403" s="466"/>
      <c r="T403" s="557"/>
      <c r="U403" s="557"/>
      <c r="V403" s="557"/>
      <c r="W403" s="557"/>
      <c r="X403" s="466"/>
      <c r="Y403" s="557"/>
      <c r="Z403" s="557"/>
      <c r="AA403" s="557"/>
      <c r="AB403" s="557"/>
      <c r="AC403" s="466"/>
      <c r="AD403" s="557"/>
      <c r="AE403" s="557"/>
      <c r="AF403" s="557"/>
      <c r="AG403" s="557"/>
      <c r="AH403" s="466"/>
      <c r="AI403" s="557"/>
      <c r="AJ403" s="557"/>
      <c r="AK403" s="557"/>
      <c r="AL403" s="558"/>
      <c r="AM403" s="466"/>
      <c r="AN403" s="557"/>
      <c r="AO403" s="557"/>
      <c r="AP403" s="557"/>
      <c r="AQ403" s="558"/>
      <c r="AR403" s="466"/>
      <c r="AS403" s="469"/>
      <c r="AT403" s="469"/>
      <c r="AU403" s="469"/>
      <c r="AV403" s="469"/>
      <c r="AW403" s="466"/>
      <c r="AX403" s="469"/>
      <c r="AY403" s="469"/>
      <c r="AZ403" s="469"/>
      <c r="BA403" s="469"/>
      <c r="BB403" s="466"/>
      <c r="BC403" s="469"/>
      <c r="BD403" s="469"/>
      <c r="BE403" s="559"/>
      <c r="BF403" s="469"/>
      <c r="BG403" s="466"/>
      <c r="BH403" s="469"/>
      <c r="BI403" s="587"/>
      <c r="BJ403" s="559"/>
      <c r="BK403" s="469"/>
      <c r="BL403" s="466"/>
      <c r="BM403" s="469"/>
      <c r="BN403" s="587"/>
      <c r="BO403" s="559"/>
      <c r="BP403" s="469"/>
      <c r="BQ403" s="466"/>
      <c r="BR403" s="469"/>
      <c r="BS403" s="587"/>
      <c r="BT403" s="559"/>
      <c r="BU403" s="469"/>
      <c r="BV403" s="466"/>
      <c r="BW403" s="469"/>
      <c r="BX403" s="587"/>
      <c r="BY403" s="559"/>
      <c r="BZ403" s="469"/>
      <c r="CA403" s="466"/>
      <c r="CB403" s="469"/>
      <c r="CC403" s="587"/>
      <c r="CD403" s="559"/>
      <c r="CE403" s="469"/>
      <c r="CF403" s="466"/>
      <c r="CG403" s="587"/>
      <c r="CH403" s="587"/>
      <c r="CI403" s="587"/>
      <c r="CJ403" s="587"/>
      <c r="CK403" s="466"/>
      <c r="CL403" s="469"/>
      <c r="CM403" s="469"/>
      <c r="CN403" s="469"/>
      <c r="CO403" s="469"/>
      <c r="CP403" s="466"/>
      <c r="CQ403" s="469"/>
      <c r="CR403" s="469"/>
      <c r="CS403" s="469"/>
      <c r="CT403" s="469"/>
      <c r="CU403" s="466"/>
      <c r="CV403" s="469"/>
      <c r="CW403" s="469"/>
      <c r="CX403" s="469"/>
      <c r="CY403" s="469"/>
      <c r="CZ403" s="466"/>
      <c r="DA403" s="469"/>
      <c r="DB403" s="469"/>
      <c r="DC403" s="469"/>
      <c r="DD403" s="469"/>
      <c r="DE403" s="466"/>
      <c r="DF403" s="450"/>
      <c r="DG403" s="450"/>
      <c r="DH403" s="450"/>
      <c r="DI403" s="469"/>
      <c r="DJ403" s="466"/>
      <c r="DK403" s="450"/>
      <c r="DL403" s="450"/>
      <c r="DM403" s="450"/>
      <c r="DN403" s="469"/>
      <c r="DO403" s="466"/>
      <c r="DP403" s="450"/>
      <c r="DQ403" s="450"/>
      <c r="DR403" s="450"/>
      <c r="DS403" s="469"/>
      <c r="DT403" s="466"/>
      <c r="DU403" s="450"/>
      <c r="DV403" s="450"/>
      <c r="DW403" s="450"/>
      <c r="DX403" s="469"/>
      <c r="DY403" s="466"/>
      <c r="DZ403" s="466"/>
      <c r="EA403" s="466"/>
      <c r="EB403" s="466"/>
    </row>
    <row r="404" spans="1:132" s="115" customFormat="1" ht="12" customHeight="1">
      <c r="A404" s="114"/>
      <c r="B404" s="547" t="s">
        <v>444</v>
      </c>
      <c r="C404" s="466"/>
      <c r="D404" s="466"/>
      <c r="E404" s="466"/>
      <c r="F404" s="466"/>
      <c r="G404" s="466"/>
      <c r="H404" s="466"/>
      <c r="I404" s="466"/>
      <c r="J404" s="557"/>
      <c r="K404" s="557"/>
      <c r="L404" s="557"/>
      <c r="M404" s="557"/>
      <c r="N404" s="466"/>
      <c r="O404" s="557"/>
      <c r="P404" s="557"/>
      <c r="Q404" s="557"/>
      <c r="R404" s="557"/>
      <c r="S404" s="466"/>
      <c r="T404" s="557"/>
      <c r="U404" s="557"/>
      <c r="V404" s="557"/>
      <c r="W404" s="557"/>
      <c r="X404" s="466"/>
      <c r="Y404" s="557"/>
      <c r="Z404" s="557"/>
      <c r="AA404" s="557"/>
      <c r="AB404" s="557"/>
      <c r="AC404" s="466"/>
      <c r="AD404" s="557"/>
      <c r="AE404" s="557"/>
      <c r="AF404" s="557"/>
      <c r="AG404" s="557"/>
      <c r="AH404" s="466"/>
      <c r="AI404" s="557"/>
      <c r="AJ404" s="557"/>
      <c r="AK404" s="557"/>
      <c r="AL404" s="558"/>
      <c r="AM404" s="466"/>
      <c r="AN404" s="557"/>
      <c r="AO404" s="557"/>
      <c r="AP404" s="557"/>
      <c r="AQ404" s="558"/>
      <c r="AR404" s="466"/>
      <c r="AS404" s="469"/>
      <c r="AT404" s="469"/>
      <c r="AU404" s="469"/>
      <c r="AV404" s="469"/>
      <c r="AW404" s="466"/>
      <c r="AX404" s="469"/>
      <c r="AY404" s="469"/>
      <c r="AZ404" s="469"/>
      <c r="BA404" s="469"/>
      <c r="BB404" s="466"/>
      <c r="BC404" s="469"/>
      <c r="BD404" s="469"/>
      <c r="BE404" s="559"/>
      <c r="BF404" s="469"/>
      <c r="BG404" s="466"/>
      <c r="BH404" s="469"/>
      <c r="BI404" s="587"/>
      <c r="BJ404" s="559"/>
      <c r="BK404" s="469"/>
      <c r="BL404" s="466"/>
      <c r="BM404" s="469"/>
      <c r="BN404" s="587"/>
      <c r="BO404" s="559"/>
      <c r="BP404" s="469"/>
      <c r="BQ404" s="466"/>
      <c r="BR404" s="469"/>
      <c r="BS404" s="587"/>
      <c r="BT404" s="559"/>
      <c r="BU404" s="469"/>
      <c r="BV404" s="466"/>
      <c r="BW404" s="469"/>
      <c r="BX404" s="587"/>
      <c r="BY404" s="559"/>
      <c r="BZ404" s="469"/>
      <c r="CA404" s="466"/>
      <c r="CB404" s="469"/>
      <c r="CC404" s="587"/>
      <c r="CD404" s="559"/>
      <c r="CE404" s="469"/>
      <c r="CF404" s="466"/>
      <c r="CG404" s="587"/>
      <c r="CH404" s="587"/>
      <c r="CI404" s="587"/>
      <c r="CJ404" s="587"/>
      <c r="CK404" s="466"/>
      <c r="CL404" s="469"/>
      <c r="CM404" s="469"/>
      <c r="CN404" s="469"/>
      <c r="CO404" s="469"/>
      <c r="CP404" s="466"/>
      <c r="CQ404" s="469"/>
      <c r="CR404" s="469"/>
      <c r="CS404" s="469"/>
      <c r="CT404" s="469"/>
      <c r="CU404" s="466"/>
      <c r="CV404" s="469"/>
      <c r="CW404" s="469"/>
      <c r="CX404" s="469"/>
      <c r="CY404" s="469"/>
      <c r="CZ404" s="466"/>
      <c r="DA404" s="469"/>
      <c r="DB404" s="469"/>
      <c r="DC404" s="469"/>
      <c r="DD404" s="469"/>
      <c r="DE404" s="466"/>
      <c r="DF404" s="450"/>
      <c r="DG404" s="450"/>
      <c r="DH404" s="450"/>
      <c r="DI404" s="469"/>
      <c r="DJ404" s="466"/>
      <c r="DK404" s="450"/>
      <c r="DL404" s="450"/>
      <c r="DM404" s="450"/>
      <c r="DN404" s="469"/>
      <c r="DO404" s="466"/>
      <c r="DP404" s="450"/>
      <c r="DQ404" s="450"/>
      <c r="DR404" s="450"/>
      <c r="DS404" s="469"/>
      <c r="DT404" s="466"/>
      <c r="DU404" s="450"/>
      <c r="DV404" s="450"/>
      <c r="DW404" s="450"/>
      <c r="DX404" s="469"/>
      <c r="DY404" s="466"/>
      <c r="DZ404" s="466"/>
      <c r="EA404" s="466"/>
      <c r="EB404" s="466"/>
    </row>
    <row r="405" spans="1:132" s="115" customFormat="1" ht="12" customHeight="1">
      <c r="A405" s="114"/>
      <c r="B405" s="547" t="s">
        <v>445</v>
      </c>
      <c r="C405" s="466"/>
      <c r="D405" s="466"/>
      <c r="E405" s="466"/>
      <c r="F405" s="466"/>
      <c r="G405" s="466"/>
      <c r="H405" s="466"/>
      <c r="I405" s="466"/>
      <c r="J405" s="557"/>
      <c r="K405" s="557"/>
      <c r="L405" s="557"/>
      <c r="M405" s="557"/>
      <c r="N405" s="466"/>
      <c r="O405" s="557"/>
      <c r="P405" s="557"/>
      <c r="Q405" s="557"/>
      <c r="R405" s="557"/>
      <c r="S405" s="466"/>
      <c r="T405" s="557"/>
      <c r="U405" s="557"/>
      <c r="V405" s="557"/>
      <c r="W405" s="557"/>
      <c r="X405" s="466"/>
      <c r="Y405" s="557"/>
      <c r="Z405" s="557"/>
      <c r="AA405" s="557"/>
      <c r="AB405" s="557"/>
      <c r="AC405" s="466"/>
      <c r="AD405" s="557"/>
      <c r="AE405" s="557"/>
      <c r="AF405" s="557"/>
      <c r="AG405" s="557"/>
      <c r="AH405" s="466"/>
      <c r="AI405" s="557"/>
      <c r="AJ405" s="557"/>
      <c r="AK405" s="557"/>
      <c r="AL405" s="558"/>
      <c r="AM405" s="466"/>
      <c r="AN405" s="557"/>
      <c r="AO405" s="557"/>
      <c r="AP405" s="557"/>
      <c r="AQ405" s="558"/>
      <c r="AR405" s="466"/>
      <c r="AS405" s="469"/>
      <c r="AT405" s="469"/>
      <c r="AU405" s="469"/>
      <c r="AV405" s="469"/>
      <c r="AW405" s="466"/>
      <c r="AX405" s="469"/>
      <c r="AY405" s="469"/>
      <c r="AZ405" s="469"/>
      <c r="BA405" s="469"/>
      <c r="BB405" s="466"/>
      <c r="BC405" s="469"/>
      <c r="BD405" s="469"/>
      <c r="BE405" s="559"/>
      <c r="BF405" s="469"/>
      <c r="BG405" s="466"/>
      <c r="BH405" s="469"/>
      <c r="BI405" s="587"/>
      <c r="BJ405" s="559"/>
      <c r="BK405" s="469"/>
      <c r="BL405" s="466"/>
      <c r="BM405" s="469"/>
      <c r="BN405" s="587"/>
      <c r="BO405" s="559"/>
      <c r="BP405" s="469"/>
      <c r="BQ405" s="466"/>
      <c r="BR405" s="469"/>
      <c r="BS405" s="587"/>
      <c r="BT405" s="559"/>
      <c r="BU405" s="469"/>
      <c r="BV405" s="466"/>
      <c r="BW405" s="469"/>
      <c r="BX405" s="587"/>
      <c r="BY405" s="559"/>
      <c r="BZ405" s="469"/>
      <c r="CA405" s="466"/>
      <c r="CB405" s="469"/>
      <c r="CC405" s="587"/>
      <c r="CD405" s="559"/>
      <c r="CE405" s="469"/>
      <c r="CF405" s="466"/>
      <c r="CG405" s="587"/>
      <c r="CH405" s="587"/>
      <c r="CI405" s="587"/>
      <c r="CJ405" s="587"/>
      <c r="CK405" s="466"/>
      <c r="CL405" s="469"/>
      <c r="CM405" s="469"/>
      <c r="CN405" s="469"/>
      <c r="CO405" s="469"/>
      <c r="CP405" s="466"/>
      <c r="CQ405" s="469"/>
      <c r="CR405" s="469"/>
      <c r="CS405" s="469"/>
      <c r="CT405" s="469"/>
      <c r="CU405" s="466"/>
      <c r="CV405" s="469"/>
      <c r="CW405" s="469"/>
      <c r="CX405" s="469"/>
      <c r="CY405" s="469"/>
      <c r="CZ405" s="466"/>
      <c r="DA405" s="469"/>
      <c r="DB405" s="469"/>
      <c r="DC405" s="469"/>
      <c r="DD405" s="469"/>
      <c r="DE405" s="466"/>
      <c r="DF405" s="450"/>
      <c r="DG405" s="450"/>
      <c r="DH405" s="450"/>
      <c r="DI405" s="469"/>
      <c r="DJ405" s="466"/>
      <c r="DK405" s="450"/>
      <c r="DL405" s="450"/>
      <c r="DM405" s="450"/>
      <c r="DN405" s="469"/>
      <c r="DO405" s="466"/>
      <c r="DP405" s="450"/>
      <c r="DQ405" s="450"/>
      <c r="DR405" s="450"/>
      <c r="DS405" s="469"/>
      <c r="DT405" s="466"/>
      <c r="DU405" s="450"/>
      <c r="DV405" s="450"/>
      <c r="DW405" s="450"/>
      <c r="DX405" s="469"/>
      <c r="DY405" s="466"/>
      <c r="DZ405" s="466"/>
      <c r="EA405" s="466"/>
      <c r="EB405" s="466"/>
    </row>
    <row r="406" spans="1:132" s="115" customFormat="1" ht="12" customHeight="1">
      <c r="A406" s="114"/>
      <c r="B406" s="547" t="s">
        <v>446</v>
      </c>
      <c r="C406" s="466"/>
      <c r="D406" s="466"/>
      <c r="E406" s="466"/>
      <c r="F406" s="466"/>
      <c r="G406" s="466"/>
      <c r="H406" s="466"/>
      <c r="I406" s="466"/>
      <c r="J406" s="557"/>
      <c r="K406" s="557"/>
      <c r="L406" s="557"/>
      <c r="M406" s="557"/>
      <c r="N406" s="466"/>
      <c r="O406" s="557"/>
      <c r="P406" s="557"/>
      <c r="Q406" s="557"/>
      <c r="R406" s="557"/>
      <c r="S406" s="466"/>
      <c r="T406" s="557"/>
      <c r="U406" s="557"/>
      <c r="V406" s="557"/>
      <c r="W406" s="557"/>
      <c r="X406" s="466"/>
      <c r="Y406" s="557"/>
      <c r="Z406" s="557"/>
      <c r="AA406" s="557"/>
      <c r="AB406" s="557"/>
      <c r="AC406" s="466"/>
      <c r="AD406" s="557"/>
      <c r="AE406" s="557"/>
      <c r="AF406" s="557"/>
      <c r="AG406" s="557"/>
      <c r="AH406" s="466"/>
      <c r="AI406" s="557"/>
      <c r="AJ406" s="557"/>
      <c r="AK406" s="557"/>
      <c r="AL406" s="558"/>
      <c r="AM406" s="466"/>
      <c r="AN406" s="557"/>
      <c r="AO406" s="557"/>
      <c r="AP406" s="557"/>
      <c r="AQ406" s="558"/>
      <c r="AR406" s="466"/>
      <c r="AS406" s="469"/>
      <c r="AT406" s="469"/>
      <c r="AU406" s="469"/>
      <c r="AV406" s="469"/>
      <c r="AW406" s="466"/>
      <c r="AX406" s="469"/>
      <c r="AY406" s="469"/>
      <c r="AZ406" s="469"/>
      <c r="BA406" s="469"/>
      <c r="BB406" s="466"/>
      <c r="BC406" s="469"/>
      <c r="BD406" s="469"/>
      <c r="BE406" s="559"/>
      <c r="BF406" s="469"/>
      <c r="BG406" s="466"/>
      <c r="BH406" s="469"/>
      <c r="BI406" s="587"/>
      <c r="BJ406" s="559"/>
      <c r="BK406" s="469"/>
      <c r="BL406" s="466"/>
      <c r="BM406" s="469"/>
      <c r="BN406" s="587"/>
      <c r="BO406" s="559"/>
      <c r="BP406" s="469"/>
      <c r="BQ406" s="466"/>
      <c r="BR406" s="469"/>
      <c r="BS406" s="587"/>
      <c r="BT406" s="559"/>
      <c r="BU406" s="469"/>
      <c r="BV406" s="466"/>
      <c r="BW406" s="469"/>
      <c r="BX406" s="587"/>
      <c r="BY406" s="559"/>
      <c r="BZ406" s="469"/>
      <c r="CA406" s="466"/>
      <c r="CB406" s="469"/>
      <c r="CC406" s="587"/>
      <c r="CD406" s="559"/>
      <c r="CE406" s="469"/>
      <c r="CF406" s="466"/>
      <c r="CG406" s="587"/>
      <c r="CH406" s="587"/>
      <c r="CI406" s="587"/>
      <c r="CJ406" s="587"/>
      <c r="CK406" s="466"/>
      <c r="CL406" s="469"/>
      <c r="CM406" s="469"/>
      <c r="CN406" s="469"/>
      <c r="CO406" s="469"/>
      <c r="CP406" s="466"/>
      <c r="CQ406" s="469"/>
      <c r="CR406" s="469"/>
      <c r="CS406" s="469"/>
      <c r="CT406" s="469"/>
      <c r="CU406" s="466"/>
      <c r="CV406" s="469"/>
      <c r="CW406" s="469"/>
      <c r="CX406" s="469"/>
      <c r="CY406" s="469"/>
      <c r="CZ406" s="466"/>
      <c r="DA406" s="469"/>
      <c r="DB406" s="469"/>
      <c r="DC406" s="469"/>
      <c r="DD406" s="469"/>
      <c r="DE406" s="466"/>
      <c r="DF406" s="450"/>
      <c r="DG406" s="450"/>
      <c r="DH406" s="450"/>
      <c r="DI406" s="469"/>
      <c r="DJ406" s="466"/>
      <c r="DK406" s="450"/>
      <c r="DL406" s="450"/>
      <c r="DM406" s="450"/>
      <c r="DN406" s="469"/>
      <c r="DO406" s="466"/>
      <c r="DP406" s="450"/>
      <c r="DQ406" s="450"/>
      <c r="DR406" s="450"/>
      <c r="DS406" s="469"/>
      <c r="DT406" s="466"/>
      <c r="DU406" s="450"/>
      <c r="DV406" s="450"/>
      <c r="DW406" s="450"/>
      <c r="DX406" s="469"/>
      <c r="DY406" s="466"/>
      <c r="DZ406" s="466"/>
      <c r="EA406" s="466"/>
      <c r="EB406" s="466"/>
    </row>
    <row r="407" spans="1:132" s="115" customFormat="1" ht="12" customHeight="1">
      <c r="A407" s="114"/>
      <c r="B407" s="547" t="s">
        <v>447</v>
      </c>
      <c r="C407" s="466"/>
      <c r="D407" s="466"/>
      <c r="E407" s="466"/>
      <c r="F407" s="466"/>
      <c r="G407" s="466"/>
      <c r="H407" s="466"/>
      <c r="I407" s="466"/>
      <c r="J407" s="557"/>
      <c r="K407" s="557"/>
      <c r="L407" s="557"/>
      <c r="M407" s="557"/>
      <c r="N407" s="466"/>
      <c r="O407" s="557"/>
      <c r="P407" s="557"/>
      <c r="Q407" s="557"/>
      <c r="R407" s="557"/>
      <c r="S407" s="466"/>
      <c r="T407" s="557"/>
      <c r="U407" s="557"/>
      <c r="V407" s="557"/>
      <c r="W407" s="557"/>
      <c r="X407" s="466"/>
      <c r="Y407" s="557"/>
      <c r="Z407" s="557"/>
      <c r="AA407" s="557"/>
      <c r="AB407" s="557"/>
      <c r="AC407" s="466"/>
      <c r="AD407" s="557"/>
      <c r="AE407" s="557"/>
      <c r="AF407" s="557"/>
      <c r="AG407" s="557"/>
      <c r="AH407" s="466"/>
      <c r="AI407" s="557"/>
      <c r="AJ407" s="557"/>
      <c r="AK407" s="557"/>
      <c r="AL407" s="558"/>
      <c r="AM407" s="466"/>
      <c r="AN407" s="557"/>
      <c r="AO407" s="557"/>
      <c r="AP407" s="557"/>
      <c r="AQ407" s="558"/>
      <c r="AR407" s="466"/>
      <c r="AS407" s="469"/>
      <c r="AT407" s="469"/>
      <c r="AU407" s="469"/>
      <c r="AV407" s="469"/>
      <c r="AW407" s="466"/>
      <c r="AX407" s="469"/>
      <c r="AY407" s="469"/>
      <c r="AZ407" s="469"/>
      <c r="BA407" s="469"/>
      <c r="BB407" s="466">
        <v>0.3</v>
      </c>
      <c r="BC407" s="469"/>
      <c r="BD407" s="469"/>
      <c r="BE407" s="559"/>
      <c r="BF407" s="469"/>
      <c r="BG407" s="466">
        <v>0.3</v>
      </c>
      <c r="BH407" s="469"/>
      <c r="BI407" s="587"/>
      <c r="BJ407" s="559"/>
      <c r="BK407" s="469"/>
      <c r="BL407" s="466">
        <v>0.3</v>
      </c>
      <c r="BM407" s="469"/>
      <c r="BN407" s="587"/>
      <c r="BO407" s="559"/>
      <c r="BP407" s="469"/>
      <c r="BQ407" s="466">
        <v>0.3</v>
      </c>
      <c r="BR407" s="469"/>
      <c r="BS407" s="587"/>
      <c r="BT407" s="559"/>
      <c r="BU407" s="469"/>
      <c r="BV407" s="466">
        <v>0.3</v>
      </c>
      <c r="BW407" s="469"/>
      <c r="BX407" s="587"/>
      <c r="BY407" s="559"/>
      <c r="BZ407" s="469"/>
      <c r="CA407" s="466">
        <v>0.3</v>
      </c>
      <c r="CB407" s="469"/>
      <c r="CC407" s="587"/>
      <c r="CD407" s="559"/>
      <c r="CE407" s="469"/>
      <c r="CF407" s="466">
        <v>0.3</v>
      </c>
      <c r="CG407" s="587"/>
      <c r="CH407" s="587"/>
      <c r="CI407" s="587"/>
      <c r="CJ407" s="587"/>
      <c r="CK407" s="466">
        <v>0.3</v>
      </c>
      <c r="CL407" s="469"/>
      <c r="CM407" s="469"/>
      <c r="CN407" s="469"/>
      <c r="CO407" s="469"/>
      <c r="CP407" s="466">
        <v>0.3</v>
      </c>
      <c r="CQ407" s="469"/>
      <c r="CR407" s="469"/>
      <c r="CS407" s="469"/>
      <c r="CT407" s="469"/>
      <c r="CU407" s="466">
        <v>0.3</v>
      </c>
      <c r="CV407" s="469"/>
      <c r="CW407" s="469"/>
      <c r="CX407" s="469"/>
      <c r="CY407" s="469"/>
      <c r="CZ407" s="466">
        <v>0.3</v>
      </c>
      <c r="DA407" s="469"/>
      <c r="DB407" s="469"/>
      <c r="DC407" s="469"/>
      <c r="DD407" s="469"/>
      <c r="DE407" s="466">
        <v>0.3</v>
      </c>
      <c r="DF407" s="450"/>
      <c r="DG407" s="450"/>
      <c r="DH407" s="450"/>
      <c r="DI407" s="469"/>
      <c r="DJ407" s="466">
        <v>0.3</v>
      </c>
      <c r="DK407" s="450"/>
      <c r="DL407" s="450"/>
      <c r="DM407" s="450"/>
      <c r="DN407" s="469"/>
      <c r="DO407" s="466">
        <v>0.3</v>
      </c>
      <c r="DP407" s="450"/>
      <c r="DQ407" s="450"/>
      <c r="DR407" s="450"/>
      <c r="DS407" s="469"/>
      <c r="DT407" s="466">
        <v>0.3</v>
      </c>
      <c r="DU407" s="450"/>
      <c r="DV407" s="450"/>
      <c r="DW407" s="450"/>
      <c r="DX407" s="469"/>
      <c r="DY407" s="466">
        <v>0.3</v>
      </c>
      <c r="DZ407" s="466">
        <v>0.3</v>
      </c>
      <c r="EA407" s="466">
        <v>0.3</v>
      </c>
      <c r="EB407" s="466">
        <v>0.3</v>
      </c>
    </row>
    <row r="408" spans="1:132" s="115" customFormat="1" ht="12" customHeight="1">
      <c r="A408" s="114"/>
      <c r="B408" s="547" t="s">
        <v>448</v>
      </c>
      <c r="C408" s="466"/>
      <c r="D408" s="466"/>
      <c r="E408" s="466"/>
      <c r="F408" s="466"/>
      <c r="G408" s="466"/>
      <c r="H408" s="466"/>
      <c r="I408" s="466"/>
      <c r="J408" s="557"/>
      <c r="K408" s="557"/>
      <c r="L408" s="557"/>
      <c r="M408" s="557"/>
      <c r="N408" s="466"/>
      <c r="O408" s="557"/>
      <c r="P408" s="557"/>
      <c r="Q408" s="557"/>
      <c r="R408" s="557"/>
      <c r="S408" s="466"/>
      <c r="T408" s="557"/>
      <c r="U408" s="557"/>
      <c r="V408" s="557"/>
      <c r="W408" s="557"/>
      <c r="X408" s="466"/>
      <c r="Y408" s="557"/>
      <c r="Z408" s="557"/>
      <c r="AA408" s="557"/>
      <c r="AB408" s="557"/>
      <c r="AC408" s="466"/>
      <c r="AD408" s="557"/>
      <c r="AE408" s="557"/>
      <c r="AF408" s="557"/>
      <c r="AG408" s="557"/>
      <c r="AH408" s="466"/>
      <c r="AI408" s="557"/>
      <c r="AJ408" s="557"/>
      <c r="AK408" s="557"/>
      <c r="AL408" s="558"/>
      <c r="AM408" s="466"/>
      <c r="AN408" s="557"/>
      <c r="AO408" s="557"/>
      <c r="AP408" s="557"/>
      <c r="AQ408" s="558"/>
      <c r="AR408" s="466"/>
      <c r="AS408" s="469"/>
      <c r="AT408" s="469"/>
      <c r="AU408" s="469"/>
      <c r="AV408" s="469"/>
      <c r="AW408" s="466"/>
      <c r="AX408" s="469"/>
      <c r="AY408" s="469"/>
      <c r="AZ408" s="469"/>
      <c r="BA408" s="469"/>
      <c r="BB408" s="466"/>
      <c r="BC408" s="469"/>
      <c r="BD408" s="469"/>
      <c r="BE408" s="559"/>
      <c r="BF408" s="469"/>
      <c r="BG408" s="466"/>
      <c r="BH408" s="469"/>
      <c r="BI408" s="587"/>
      <c r="BJ408" s="559"/>
      <c r="BK408" s="469"/>
      <c r="BL408" s="466"/>
      <c r="BM408" s="469"/>
      <c r="BN408" s="587"/>
      <c r="BO408" s="559"/>
      <c r="BP408" s="469"/>
      <c r="BQ408" s="466"/>
      <c r="BR408" s="469"/>
      <c r="BS408" s="587"/>
      <c r="BT408" s="559"/>
      <c r="BU408" s="469"/>
      <c r="BV408" s="466"/>
      <c r="BW408" s="469"/>
      <c r="BX408" s="587"/>
      <c r="BY408" s="559"/>
      <c r="BZ408" s="469"/>
      <c r="CA408" s="466"/>
      <c r="CB408" s="469"/>
      <c r="CC408" s="587"/>
      <c r="CD408" s="559"/>
      <c r="CE408" s="469"/>
      <c r="CF408" s="466"/>
      <c r="CG408" s="587"/>
      <c r="CH408" s="587"/>
      <c r="CI408" s="587"/>
      <c r="CJ408" s="587"/>
      <c r="CK408" s="466"/>
      <c r="CL408" s="469"/>
      <c r="CM408" s="469"/>
      <c r="CN408" s="469"/>
      <c r="CO408" s="469"/>
      <c r="CP408" s="466"/>
      <c r="CQ408" s="469"/>
      <c r="CR408" s="469"/>
      <c r="CS408" s="469"/>
      <c r="CT408" s="469"/>
      <c r="CU408" s="466"/>
      <c r="CV408" s="469"/>
      <c r="CW408" s="469"/>
      <c r="CX408" s="469"/>
      <c r="CY408" s="469"/>
      <c r="CZ408" s="466"/>
      <c r="DA408" s="469"/>
      <c r="DB408" s="469"/>
      <c r="DC408" s="469"/>
      <c r="DD408" s="469"/>
      <c r="DE408" s="466"/>
      <c r="DF408" s="450"/>
      <c r="DG408" s="450"/>
      <c r="DH408" s="450"/>
      <c r="DI408" s="469"/>
      <c r="DJ408" s="466"/>
      <c r="DK408" s="450"/>
      <c r="DL408" s="450"/>
      <c r="DM408" s="450"/>
      <c r="DN408" s="469"/>
      <c r="DO408" s="466"/>
      <c r="DP408" s="450"/>
      <c r="DQ408" s="450"/>
      <c r="DR408" s="450"/>
      <c r="DS408" s="469"/>
      <c r="DT408" s="466"/>
      <c r="DU408" s="450"/>
      <c r="DV408" s="450"/>
      <c r="DW408" s="450"/>
      <c r="DX408" s="469"/>
      <c r="DY408" s="466"/>
      <c r="DZ408" s="466"/>
      <c r="EA408" s="466"/>
      <c r="EB408" s="466"/>
    </row>
    <row r="409" spans="1:132" s="115" customFormat="1" ht="12" customHeight="1">
      <c r="A409" s="114"/>
      <c r="B409" s="547" t="s">
        <v>449</v>
      </c>
      <c r="C409" s="466"/>
      <c r="D409" s="466"/>
      <c r="E409" s="466"/>
      <c r="F409" s="466"/>
      <c r="G409" s="466"/>
      <c r="H409" s="466"/>
      <c r="I409" s="466"/>
      <c r="J409" s="557"/>
      <c r="K409" s="557"/>
      <c r="L409" s="557"/>
      <c r="M409" s="557"/>
      <c r="N409" s="466"/>
      <c r="O409" s="557"/>
      <c r="P409" s="557"/>
      <c r="Q409" s="557"/>
      <c r="R409" s="557"/>
      <c r="S409" s="466"/>
      <c r="T409" s="557"/>
      <c r="U409" s="557"/>
      <c r="V409" s="557"/>
      <c r="W409" s="557"/>
      <c r="X409" s="466"/>
      <c r="Y409" s="557"/>
      <c r="Z409" s="557"/>
      <c r="AA409" s="557"/>
      <c r="AB409" s="557"/>
      <c r="AC409" s="466"/>
      <c r="AD409" s="557"/>
      <c r="AE409" s="557"/>
      <c r="AF409" s="557"/>
      <c r="AG409" s="557"/>
      <c r="AH409" s="466"/>
      <c r="AI409" s="557"/>
      <c r="AJ409" s="557"/>
      <c r="AK409" s="557"/>
      <c r="AL409" s="558"/>
      <c r="AM409" s="466"/>
      <c r="AN409" s="557"/>
      <c r="AO409" s="557"/>
      <c r="AP409" s="557"/>
      <c r="AQ409" s="558"/>
      <c r="AR409" s="466"/>
      <c r="AS409" s="469"/>
      <c r="AT409" s="469"/>
      <c r="AU409" s="469"/>
      <c r="AV409" s="469"/>
      <c r="AW409" s="466"/>
      <c r="AX409" s="469"/>
      <c r="AY409" s="469"/>
      <c r="AZ409" s="469"/>
      <c r="BA409" s="469"/>
      <c r="BB409" s="466"/>
      <c r="BC409" s="469"/>
      <c r="BD409" s="469"/>
      <c r="BE409" s="559"/>
      <c r="BF409" s="469"/>
      <c r="BG409" s="466"/>
      <c r="BH409" s="469"/>
      <c r="BI409" s="587"/>
      <c r="BJ409" s="559"/>
      <c r="BK409" s="469"/>
      <c r="BL409" s="466"/>
      <c r="BM409" s="469"/>
      <c r="BN409" s="587"/>
      <c r="BO409" s="559"/>
      <c r="BP409" s="469"/>
      <c r="BQ409" s="466"/>
      <c r="BR409" s="469"/>
      <c r="BS409" s="587"/>
      <c r="BT409" s="559"/>
      <c r="BU409" s="469"/>
      <c r="BV409" s="466"/>
      <c r="BW409" s="469"/>
      <c r="BX409" s="587"/>
      <c r="BY409" s="559"/>
      <c r="BZ409" s="469"/>
      <c r="CA409" s="466"/>
      <c r="CB409" s="469"/>
      <c r="CC409" s="587"/>
      <c r="CD409" s="559"/>
      <c r="CE409" s="469"/>
      <c r="CF409" s="466"/>
      <c r="CG409" s="587"/>
      <c r="CH409" s="587"/>
      <c r="CI409" s="587"/>
      <c r="CJ409" s="587"/>
      <c r="CK409" s="466"/>
      <c r="CL409" s="469"/>
      <c r="CM409" s="469"/>
      <c r="CN409" s="469"/>
      <c r="CO409" s="469"/>
      <c r="CP409" s="466"/>
      <c r="CQ409" s="469"/>
      <c r="CR409" s="469"/>
      <c r="CS409" s="469"/>
      <c r="CT409" s="469"/>
      <c r="CU409" s="466"/>
      <c r="CV409" s="469"/>
      <c r="CW409" s="469"/>
      <c r="CX409" s="469"/>
      <c r="CY409" s="469"/>
      <c r="CZ409" s="466"/>
      <c r="DA409" s="469"/>
      <c r="DB409" s="469"/>
      <c r="DC409" s="469"/>
      <c r="DD409" s="469"/>
      <c r="DE409" s="466"/>
      <c r="DF409" s="450"/>
      <c r="DG409" s="450"/>
      <c r="DH409" s="450"/>
      <c r="DI409" s="469"/>
      <c r="DJ409" s="466"/>
      <c r="DK409" s="450"/>
      <c r="DL409" s="450"/>
      <c r="DM409" s="450"/>
      <c r="DN409" s="469"/>
      <c r="DO409" s="466"/>
      <c r="DP409" s="450"/>
      <c r="DQ409" s="450"/>
      <c r="DR409" s="450"/>
      <c r="DS409" s="469"/>
      <c r="DT409" s="466"/>
      <c r="DU409" s="450"/>
      <c r="DV409" s="450"/>
      <c r="DW409" s="450"/>
      <c r="DX409" s="469"/>
      <c r="DY409" s="466"/>
      <c r="DZ409" s="466"/>
      <c r="EA409" s="466"/>
      <c r="EB409" s="466"/>
    </row>
    <row r="410" spans="1:132" s="115" customFormat="1" ht="12" customHeight="1">
      <c r="A410" s="114"/>
      <c r="B410" s="547" t="s">
        <v>450</v>
      </c>
      <c r="C410" s="466"/>
      <c r="D410" s="466"/>
      <c r="E410" s="466"/>
      <c r="F410" s="466"/>
      <c r="G410" s="466"/>
      <c r="H410" s="466"/>
      <c r="I410" s="466"/>
      <c r="J410" s="557"/>
      <c r="K410" s="557"/>
      <c r="L410" s="557"/>
      <c r="M410" s="557"/>
      <c r="N410" s="466"/>
      <c r="O410" s="557"/>
      <c r="P410" s="557"/>
      <c r="Q410" s="557"/>
      <c r="R410" s="557"/>
      <c r="S410" s="466"/>
      <c r="T410" s="557"/>
      <c r="U410" s="557"/>
      <c r="V410" s="557"/>
      <c r="W410" s="557"/>
      <c r="X410" s="466"/>
      <c r="Y410" s="557"/>
      <c r="Z410" s="557"/>
      <c r="AA410" s="557"/>
      <c r="AB410" s="557"/>
      <c r="AC410" s="466"/>
      <c r="AD410" s="557"/>
      <c r="AE410" s="557"/>
      <c r="AF410" s="557"/>
      <c r="AG410" s="557"/>
      <c r="AH410" s="466"/>
      <c r="AI410" s="557"/>
      <c r="AJ410" s="557"/>
      <c r="AK410" s="557"/>
      <c r="AL410" s="558"/>
      <c r="AM410" s="466"/>
      <c r="AN410" s="557"/>
      <c r="AO410" s="557"/>
      <c r="AP410" s="557"/>
      <c r="AQ410" s="558"/>
      <c r="AR410" s="466"/>
      <c r="AS410" s="469"/>
      <c r="AT410" s="469"/>
      <c r="AU410" s="469"/>
      <c r="AV410" s="469"/>
      <c r="AW410" s="466"/>
      <c r="AX410" s="469"/>
      <c r="AY410" s="469"/>
      <c r="AZ410" s="469"/>
      <c r="BA410" s="469"/>
      <c r="BB410" s="466"/>
      <c r="BC410" s="469"/>
      <c r="BD410" s="469"/>
      <c r="BE410" s="559"/>
      <c r="BF410" s="469"/>
      <c r="BG410" s="466"/>
      <c r="BH410" s="469"/>
      <c r="BI410" s="587"/>
      <c r="BJ410" s="559"/>
      <c r="BK410" s="469"/>
      <c r="BL410" s="466"/>
      <c r="BM410" s="469"/>
      <c r="BN410" s="587"/>
      <c r="BO410" s="559"/>
      <c r="BP410" s="469"/>
      <c r="BQ410" s="466"/>
      <c r="BR410" s="469"/>
      <c r="BS410" s="587"/>
      <c r="BT410" s="559"/>
      <c r="BU410" s="469"/>
      <c r="BV410" s="466"/>
      <c r="BW410" s="469"/>
      <c r="BX410" s="587"/>
      <c r="BY410" s="559"/>
      <c r="BZ410" s="469"/>
      <c r="CA410" s="466"/>
      <c r="CB410" s="469"/>
      <c r="CC410" s="587"/>
      <c r="CD410" s="559"/>
      <c r="CE410" s="469"/>
      <c r="CF410" s="466"/>
      <c r="CG410" s="587"/>
      <c r="CH410" s="587"/>
      <c r="CI410" s="587"/>
      <c r="CJ410" s="587"/>
      <c r="CK410" s="466"/>
      <c r="CL410" s="469"/>
      <c r="CM410" s="469"/>
      <c r="CN410" s="469"/>
      <c r="CO410" s="469"/>
      <c r="CP410" s="466"/>
      <c r="CQ410" s="469"/>
      <c r="CR410" s="469"/>
      <c r="CS410" s="469"/>
      <c r="CT410" s="469"/>
      <c r="CU410" s="466"/>
      <c r="CV410" s="469"/>
      <c r="CW410" s="469"/>
      <c r="CX410" s="469"/>
      <c r="CY410" s="469"/>
      <c r="CZ410" s="466"/>
      <c r="DA410" s="469"/>
      <c r="DB410" s="469"/>
      <c r="DC410" s="469"/>
      <c r="DD410" s="469"/>
      <c r="DE410" s="466"/>
      <c r="DF410" s="450"/>
      <c r="DG410" s="450"/>
      <c r="DH410" s="450"/>
      <c r="DI410" s="469"/>
      <c r="DJ410" s="466"/>
      <c r="DK410" s="450"/>
      <c r="DL410" s="450"/>
      <c r="DM410" s="450"/>
      <c r="DN410" s="469"/>
      <c r="DO410" s="466"/>
      <c r="DP410" s="450"/>
      <c r="DQ410" s="450"/>
      <c r="DR410" s="450"/>
      <c r="DS410" s="469"/>
      <c r="DT410" s="466"/>
      <c r="DU410" s="450"/>
      <c r="DV410" s="450"/>
      <c r="DW410" s="450"/>
      <c r="DX410" s="469"/>
      <c r="DY410" s="466"/>
      <c r="DZ410" s="466"/>
      <c r="EA410" s="466"/>
      <c r="EB410" s="466"/>
    </row>
    <row r="411" spans="1:132" s="115" customFormat="1" ht="12" customHeight="1">
      <c r="A411" s="114"/>
      <c r="B411" s="547" t="s">
        <v>451</v>
      </c>
      <c r="C411" s="466"/>
      <c r="D411" s="466"/>
      <c r="E411" s="466"/>
      <c r="F411" s="466"/>
      <c r="G411" s="466"/>
      <c r="H411" s="466"/>
      <c r="I411" s="466"/>
      <c r="J411" s="557"/>
      <c r="K411" s="557"/>
      <c r="L411" s="557"/>
      <c r="M411" s="557"/>
      <c r="N411" s="466"/>
      <c r="O411" s="557"/>
      <c r="P411" s="557"/>
      <c r="Q411" s="557"/>
      <c r="R411" s="557"/>
      <c r="S411" s="466"/>
      <c r="T411" s="557"/>
      <c r="U411" s="557"/>
      <c r="V411" s="557"/>
      <c r="W411" s="557"/>
      <c r="X411" s="466"/>
      <c r="Y411" s="557"/>
      <c r="Z411" s="557"/>
      <c r="AA411" s="557"/>
      <c r="AB411" s="557"/>
      <c r="AC411" s="466"/>
      <c r="AD411" s="557"/>
      <c r="AE411" s="557"/>
      <c r="AF411" s="557"/>
      <c r="AG411" s="557"/>
      <c r="AH411" s="466"/>
      <c r="AI411" s="557"/>
      <c r="AJ411" s="557"/>
      <c r="AK411" s="557"/>
      <c r="AL411" s="558"/>
      <c r="AM411" s="466"/>
      <c r="AN411" s="557"/>
      <c r="AO411" s="557"/>
      <c r="AP411" s="557"/>
      <c r="AQ411" s="558"/>
      <c r="AR411" s="466"/>
      <c r="AS411" s="469"/>
      <c r="AT411" s="469"/>
      <c r="AU411" s="469"/>
      <c r="AV411" s="469"/>
      <c r="AW411" s="466"/>
      <c r="AX411" s="469"/>
      <c r="AY411" s="469"/>
      <c r="AZ411" s="469"/>
      <c r="BA411" s="469"/>
      <c r="BB411" s="466"/>
      <c r="BC411" s="469"/>
      <c r="BD411" s="469"/>
      <c r="BE411" s="559"/>
      <c r="BF411" s="469"/>
      <c r="BG411" s="466"/>
      <c r="BH411" s="469"/>
      <c r="BI411" s="587"/>
      <c r="BJ411" s="559"/>
      <c r="BK411" s="469"/>
      <c r="BL411" s="466"/>
      <c r="BM411" s="469"/>
      <c r="BN411" s="587"/>
      <c r="BO411" s="559"/>
      <c r="BP411" s="469"/>
      <c r="BQ411" s="466"/>
      <c r="BR411" s="469"/>
      <c r="BS411" s="587"/>
      <c r="BT411" s="559"/>
      <c r="BU411" s="469"/>
      <c r="BV411" s="466"/>
      <c r="BW411" s="469"/>
      <c r="BX411" s="587"/>
      <c r="BY411" s="559"/>
      <c r="BZ411" s="469"/>
      <c r="CA411" s="466"/>
      <c r="CB411" s="469"/>
      <c r="CC411" s="587"/>
      <c r="CD411" s="559"/>
      <c r="CE411" s="469"/>
      <c r="CF411" s="466"/>
      <c r="CG411" s="587"/>
      <c r="CH411" s="587"/>
      <c r="CI411" s="587"/>
      <c r="CJ411" s="587"/>
      <c r="CK411" s="466"/>
      <c r="CL411" s="469"/>
      <c r="CM411" s="469"/>
      <c r="CN411" s="469"/>
      <c r="CO411" s="469"/>
      <c r="CP411" s="466"/>
      <c r="CQ411" s="469"/>
      <c r="CR411" s="469"/>
      <c r="CS411" s="469"/>
      <c r="CT411" s="469"/>
      <c r="CU411" s="466"/>
      <c r="CV411" s="469"/>
      <c r="CW411" s="469"/>
      <c r="CX411" s="469"/>
      <c r="CY411" s="469"/>
      <c r="CZ411" s="466"/>
      <c r="DA411" s="469"/>
      <c r="DB411" s="469"/>
      <c r="DC411" s="469"/>
      <c r="DD411" s="469"/>
      <c r="DE411" s="466"/>
      <c r="DF411" s="450"/>
      <c r="DG411" s="450"/>
      <c r="DH411" s="450"/>
      <c r="DI411" s="469"/>
      <c r="DJ411" s="466"/>
      <c r="DK411" s="450"/>
      <c r="DL411" s="450"/>
      <c r="DM411" s="450"/>
      <c r="DN411" s="469"/>
      <c r="DO411" s="466"/>
      <c r="DP411" s="450"/>
      <c r="DQ411" s="450"/>
      <c r="DR411" s="450"/>
      <c r="DS411" s="469"/>
      <c r="DT411" s="466"/>
      <c r="DU411" s="450"/>
      <c r="DV411" s="450"/>
      <c r="DW411" s="450"/>
      <c r="DX411" s="469"/>
      <c r="DY411" s="466"/>
      <c r="DZ411" s="466"/>
      <c r="EA411" s="466"/>
      <c r="EB411" s="466"/>
    </row>
    <row r="412" spans="1:132" s="115" customFormat="1" ht="12" customHeight="1">
      <c r="A412" s="114"/>
      <c r="B412" s="547" t="s">
        <v>452</v>
      </c>
      <c r="C412" s="466"/>
      <c r="D412" s="466"/>
      <c r="E412" s="466"/>
      <c r="F412" s="466"/>
      <c r="G412" s="466"/>
      <c r="H412" s="466"/>
      <c r="I412" s="466"/>
      <c r="J412" s="557"/>
      <c r="K412" s="557"/>
      <c r="L412" s="557"/>
      <c r="M412" s="557"/>
      <c r="N412" s="466"/>
      <c r="O412" s="557"/>
      <c r="P412" s="557"/>
      <c r="Q412" s="557"/>
      <c r="R412" s="557"/>
      <c r="S412" s="466"/>
      <c r="T412" s="557"/>
      <c r="U412" s="557"/>
      <c r="V412" s="557"/>
      <c r="W412" s="557"/>
      <c r="X412" s="466"/>
      <c r="Y412" s="557"/>
      <c r="Z412" s="557"/>
      <c r="AA412" s="557"/>
      <c r="AB412" s="557"/>
      <c r="AC412" s="466"/>
      <c r="AD412" s="557"/>
      <c r="AE412" s="557"/>
      <c r="AF412" s="557"/>
      <c r="AG412" s="557"/>
      <c r="AH412" s="466"/>
      <c r="AI412" s="557"/>
      <c r="AJ412" s="557"/>
      <c r="AK412" s="557"/>
      <c r="AL412" s="558"/>
      <c r="AM412" s="466"/>
      <c r="AN412" s="557"/>
      <c r="AO412" s="557"/>
      <c r="AP412" s="557"/>
      <c r="AQ412" s="558"/>
      <c r="AR412" s="466"/>
      <c r="AS412" s="469"/>
      <c r="AT412" s="469"/>
      <c r="AU412" s="469"/>
      <c r="AV412" s="469"/>
      <c r="AW412" s="466"/>
      <c r="AX412" s="469"/>
      <c r="AY412" s="469"/>
      <c r="AZ412" s="469"/>
      <c r="BA412" s="469"/>
      <c r="BB412" s="466"/>
      <c r="BC412" s="469"/>
      <c r="BD412" s="469"/>
      <c r="BE412" s="559"/>
      <c r="BF412" s="469"/>
      <c r="BG412" s="466"/>
      <c r="BH412" s="469"/>
      <c r="BI412" s="587"/>
      <c r="BJ412" s="559"/>
      <c r="BK412" s="469"/>
      <c r="BL412" s="466"/>
      <c r="BM412" s="469"/>
      <c r="BN412" s="587"/>
      <c r="BO412" s="559"/>
      <c r="BP412" s="469"/>
      <c r="BQ412" s="466"/>
      <c r="BR412" s="469"/>
      <c r="BS412" s="587"/>
      <c r="BT412" s="559"/>
      <c r="BU412" s="469"/>
      <c r="BV412" s="466"/>
      <c r="BW412" s="469"/>
      <c r="BX412" s="587"/>
      <c r="BY412" s="559"/>
      <c r="BZ412" s="469"/>
      <c r="CA412" s="466"/>
      <c r="CB412" s="469"/>
      <c r="CC412" s="587"/>
      <c r="CD412" s="559"/>
      <c r="CE412" s="469"/>
      <c r="CF412" s="466"/>
      <c r="CG412" s="587"/>
      <c r="CH412" s="587"/>
      <c r="CI412" s="587"/>
      <c r="CJ412" s="587"/>
      <c r="CK412" s="466"/>
      <c r="CL412" s="469"/>
      <c r="CM412" s="469"/>
      <c r="CN412" s="469"/>
      <c r="CO412" s="469"/>
      <c r="CP412" s="466"/>
      <c r="CQ412" s="469"/>
      <c r="CR412" s="469"/>
      <c r="CS412" s="469"/>
      <c r="CT412" s="469"/>
      <c r="CU412" s="466"/>
      <c r="CV412" s="469"/>
      <c r="CW412" s="469"/>
      <c r="CX412" s="469"/>
      <c r="CY412" s="469"/>
      <c r="CZ412" s="466"/>
      <c r="DA412" s="469"/>
      <c r="DB412" s="469"/>
      <c r="DC412" s="469"/>
      <c r="DD412" s="469"/>
      <c r="DE412" s="466"/>
      <c r="DF412" s="450"/>
      <c r="DG412" s="450"/>
      <c r="DH412" s="450"/>
      <c r="DI412" s="469"/>
      <c r="DJ412" s="466"/>
      <c r="DK412" s="450"/>
      <c r="DL412" s="450"/>
      <c r="DM412" s="450"/>
      <c r="DN412" s="469"/>
      <c r="DO412" s="466"/>
      <c r="DP412" s="450"/>
      <c r="DQ412" s="450"/>
      <c r="DR412" s="450"/>
      <c r="DS412" s="469"/>
      <c r="DT412" s="466"/>
      <c r="DU412" s="450"/>
      <c r="DV412" s="450"/>
      <c r="DW412" s="450"/>
      <c r="DX412" s="469"/>
      <c r="DY412" s="466"/>
      <c r="DZ412" s="466"/>
      <c r="EA412" s="466"/>
      <c r="EB412" s="466"/>
    </row>
    <row r="413" spans="1:132" s="115" customFormat="1" ht="12" customHeight="1">
      <c r="A413" s="114"/>
      <c r="B413" s="547" t="s">
        <v>453</v>
      </c>
      <c r="C413" s="466"/>
      <c r="D413" s="466"/>
      <c r="E413" s="466"/>
      <c r="F413" s="466"/>
      <c r="G413" s="466"/>
      <c r="H413" s="466"/>
      <c r="I413" s="466"/>
      <c r="J413" s="557"/>
      <c r="K413" s="557"/>
      <c r="L413" s="557"/>
      <c r="M413" s="557"/>
      <c r="N413" s="466"/>
      <c r="O413" s="557"/>
      <c r="P413" s="557"/>
      <c r="Q413" s="557"/>
      <c r="R413" s="557"/>
      <c r="S413" s="466"/>
      <c r="T413" s="557"/>
      <c r="U413" s="557"/>
      <c r="V413" s="557"/>
      <c r="W413" s="557"/>
      <c r="X413" s="466"/>
      <c r="Y413" s="557"/>
      <c r="Z413" s="557"/>
      <c r="AA413" s="557"/>
      <c r="AB413" s="557"/>
      <c r="AC413" s="466"/>
      <c r="AD413" s="557"/>
      <c r="AE413" s="557"/>
      <c r="AF413" s="557"/>
      <c r="AG413" s="557"/>
      <c r="AH413" s="466"/>
      <c r="AI413" s="557"/>
      <c r="AJ413" s="557"/>
      <c r="AK413" s="557"/>
      <c r="AL413" s="558"/>
      <c r="AM413" s="466"/>
      <c r="AN413" s="557"/>
      <c r="AO413" s="557"/>
      <c r="AP413" s="557"/>
      <c r="AQ413" s="558"/>
      <c r="AR413" s="466"/>
      <c r="AS413" s="469"/>
      <c r="AT413" s="469"/>
      <c r="AU413" s="469"/>
      <c r="AV413" s="469"/>
      <c r="AW413" s="466"/>
      <c r="AX413" s="469"/>
      <c r="AY413" s="469"/>
      <c r="AZ413" s="469"/>
      <c r="BA413" s="469"/>
      <c r="BB413" s="466"/>
      <c r="BC413" s="469"/>
      <c r="BD413" s="469"/>
      <c r="BE413" s="559"/>
      <c r="BF413" s="469"/>
      <c r="BG413" s="466"/>
      <c r="BH413" s="469"/>
      <c r="BI413" s="587"/>
      <c r="BJ413" s="559"/>
      <c r="BK413" s="469"/>
      <c r="BL413" s="466"/>
      <c r="BM413" s="469"/>
      <c r="BN413" s="587"/>
      <c r="BO413" s="559"/>
      <c r="BP413" s="469"/>
      <c r="BQ413" s="466"/>
      <c r="BR413" s="469"/>
      <c r="BS413" s="587"/>
      <c r="BT413" s="559"/>
      <c r="BU413" s="469"/>
      <c r="BV413" s="466"/>
      <c r="BW413" s="469"/>
      <c r="BX413" s="587"/>
      <c r="BY413" s="559"/>
      <c r="BZ413" s="469"/>
      <c r="CA413" s="466"/>
      <c r="CB413" s="469"/>
      <c r="CC413" s="587"/>
      <c r="CD413" s="559"/>
      <c r="CE413" s="469"/>
      <c r="CF413" s="466"/>
      <c r="CG413" s="587"/>
      <c r="CH413" s="587"/>
      <c r="CI413" s="587"/>
      <c r="CJ413" s="587"/>
      <c r="CK413" s="466"/>
      <c r="CL413" s="469"/>
      <c r="CM413" s="469"/>
      <c r="CN413" s="469"/>
      <c r="CO413" s="469"/>
      <c r="CP413" s="466"/>
      <c r="CQ413" s="469"/>
      <c r="CR413" s="469"/>
      <c r="CS413" s="469"/>
      <c r="CT413" s="469"/>
      <c r="CU413" s="466"/>
      <c r="CV413" s="469"/>
      <c r="CW413" s="469"/>
      <c r="CX413" s="469"/>
      <c r="CY413" s="469"/>
      <c r="CZ413" s="466"/>
      <c r="DA413" s="469"/>
      <c r="DB413" s="469"/>
      <c r="DC413" s="469"/>
      <c r="DD413" s="469"/>
      <c r="DE413" s="466"/>
      <c r="DF413" s="450"/>
      <c r="DG413" s="450"/>
      <c r="DH413" s="450"/>
      <c r="DI413" s="469"/>
      <c r="DJ413" s="466"/>
      <c r="DK413" s="450"/>
      <c r="DL413" s="450"/>
      <c r="DM413" s="450"/>
      <c r="DN413" s="469"/>
      <c r="DO413" s="466"/>
      <c r="DP413" s="450"/>
      <c r="DQ413" s="450"/>
      <c r="DR413" s="450"/>
      <c r="DS413" s="469"/>
      <c r="DT413" s="466"/>
      <c r="DU413" s="450"/>
      <c r="DV413" s="450"/>
      <c r="DW413" s="450"/>
      <c r="DX413" s="469"/>
      <c r="DY413" s="466"/>
      <c r="DZ413" s="466"/>
      <c r="EA413" s="466"/>
      <c r="EB413" s="466"/>
    </row>
    <row r="414" spans="1:132" s="115" customFormat="1" ht="12" customHeight="1">
      <c r="A414" s="114"/>
      <c r="B414" s="547" t="s">
        <v>454</v>
      </c>
      <c r="C414" s="466"/>
      <c r="D414" s="466"/>
      <c r="E414" s="466"/>
      <c r="F414" s="466"/>
      <c r="G414" s="466"/>
      <c r="H414" s="466"/>
      <c r="I414" s="466"/>
      <c r="J414" s="557"/>
      <c r="K414" s="557"/>
      <c r="L414" s="557"/>
      <c r="M414" s="557"/>
      <c r="N414" s="466"/>
      <c r="O414" s="557"/>
      <c r="P414" s="557"/>
      <c r="Q414" s="557"/>
      <c r="R414" s="557"/>
      <c r="S414" s="466"/>
      <c r="T414" s="557"/>
      <c r="U414" s="557"/>
      <c r="V414" s="557"/>
      <c r="W414" s="557"/>
      <c r="X414" s="466"/>
      <c r="Y414" s="557"/>
      <c r="Z414" s="557"/>
      <c r="AA414" s="557"/>
      <c r="AB414" s="557"/>
      <c r="AC414" s="466"/>
      <c r="AD414" s="557"/>
      <c r="AE414" s="557"/>
      <c r="AF414" s="557"/>
      <c r="AG414" s="557"/>
      <c r="AH414" s="466"/>
      <c r="AI414" s="557"/>
      <c r="AJ414" s="557"/>
      <c r="AK414" s="557"/>
      <c r="AL414" s="558"/>
      <c r="AM414" s="466"/>
      <c r="AN414" s="557"/>
      <c r="AO414" s="557"/>
      <c r="AP414" s="557"/>
      <c r="AQ414" s="558"/>
      <c r="AR414" s="466"/>
      <c r="AS414" s="469"/>
      <c r="AT414" s="469"/>
      <c r="AU414" s="469"/>
      <c r="AV414" s="469"/>
      <c r="AW414" s="466"/>
      <c r="AX414" s="469"/>
      <c r="AY414" s="469"/>
      <c r="AZ414" s="469"/>
      <c r="BA414" s="469"/>
      <c r="BB414" s="466">
        <v>0.45</v>
      </c>
      <c r="BC414" s="469"/>
      <c r="BD414" s="469"/>
      <c r="BE414" s="559"/>
      <c r="BF414" s="469"/>
      <c r="BG414" s="466">
        <v>0.45</v>
      </c>
      <c r="BH414" s="469"/>
      <c r="BI414" s="587"/>
      <c r="BJ414" s="559"/>
      <c r="BK414" s="469"/>
      <c r="BL414" s="466">
        <v>0.45</v>
      </c>
      <c r="BM414" s="469"/>
      <c r="BN414" s="587"/>
      <c r="BO414" s="559"/>
      <c r="BP414" s="469"/>
      <c r="BQ414" s="466">
        <v>0.45</v>
      </c>
      <c r="BR414" s="469"/>
      <c r="BS414" s="587"/>
      <c r="BT414" s="559"/>
      <c r="BU414" s="469"/>
      <c r="BV414" s="466">
        <v>0.45</v>
      </c>
      <c r="BW414" s="469"/>
      <c r="BX414" s="587"/>
      <c r="BY414" s="559"/>
      <c r="BZ414" s="469"/>
      <c r="CA414" s="466">
        <v>0.45</v>
      </c>
      <c r="CB414" s="469"/>
      <c r="CC414" s="587"/>
      <c r="CD414" s="559"/>
      <c r="CE414" s="469"/>
      <c r="CF414" s="466">
        <v>0.45</v>
      </c>
      <c r="CG414" s="587"/>
      <c r="CH414" s="587"/>
      <c r="CI414" s="587"/>
      <c r="CJ414" s="587"/>
      <c r="CK414" s="466">
        <v>0.45</v>
      </c>
      <c r="CL414" s="469"/>
      <c r="CM414" s="469"/>
      <c r="CN414" s="469"/>
      <c r="CO414" s="469"/>
      <c r="CP414" s="466">
        <v>0.45</v>
      </c>
      <c r="CQ414" s="469"/>
      <c r="CR414" s="469"/>
      <c r="CS414" s="469"/>
      <c r="CT414" s="469"/>
      <c r="CU414" s="466">
        <v>0.45</v>
      </c>
      <c r="CV414" s="469"/>
      <c r="CW414" s="469"/>
      <c r="CX414" s="469"/>
      <c r="CY414" s="469"/>
      <c r="CZ414" s="466">
        <v>0.45</v>
      </c>
      <c r="DA414" s="469"/>
      <c r="DB414" s="469"/>
      <c r="DC414" s="469"/>
      <c r="DD414" s="469"/>
      <c r="DE414" s="466">
        <v>0.45</v>
      </c>
      <c r="DF414" s="450"/>
      <c r="DG414" s="450"/>
      <c r="DH414" s="450"/>
      <c r="DI414" s="469"/>
      <c r="DJ414" s="466">
        <v>0.45</v>
      </c>
      <c r="DK414" s="450"/>
      <c r="DL414" s="450"/>
      <c r="DM414" s="450"/>
      <c r="DN414" s="469"/>
      <c r="DO414" s="466">
        <v>0.45</v>
      </c>
      <c r="DP414" s="450"/>
      <c r="DQ414" s="450"/>
      <c r="DR414" s="450"/>
      <c r="DS414" s="469"/>
      <c r="DT414" s="466">
        <v>0.45</v>
      </c>
      <c r="DU414" s="450"/>
      <c r="DV414" s="450"/>
      <c r="DW414" s="450"/>
      <c r="DX414" s="469"/>
      <c r="DY414" s="466">
        <v>0.45</v>
      </c>
      <c r="DZ414" s="466">
        <v>0.45</v>
      </c>
      <c r="EA414" s="466">
        <v>0.45</v>
      </c>
      <c r="EB414" s="466">
        <v>0.45</v>
      </c>
    </row>
    <row r="415" spans="1:132" s="115" customFormat="1" ht="12" customHeight="1">
      <c r="A415" s="114"/>
      <c r="B415" s="547" t="s">
        <v>455</v>
      </c>
      <c r="C415" s="466"/>
      <c r="D415" s="466"/>
      <c r="E415" s="466"/>
      <c r="F415" s="466"/>
      <c r="G415" s="466"/>
      <c r="H415" s="466"/>
      <c r="I415" s="466"/>
      <c r="J415" s="557"/>
      <c r="K415" s="557"/>
      <c r="L415" s="557"/>
      <c r="M415" s="557"/>
      <c r="N415" s="466"/>
      <c r="O415" s="557"/>
      <c r="P415" s="557"/>
      <c r="Q415" s="557"/>
      <c r="R415" s="557"/>
      <c r="S415" s="466"/>
      <c r="T415" s="557"/>
      <c r="U415" s="557"/>
      <c r="V415" s="557"/>
      <c r="W415" s="557"/>
      <c r="X415" s="466"/>
      <c r="Y415" s="557"/>
      <c r="Z415" s="557"/>
      <c r="AA415" s="557"/>
      <c r="AB415" s="557"/>
      <c r="AC415" s="466"/>
      <c r="AD415" s="557"/>
      <c r="AE415" s="557"/>
      <c r="AF415" s="557"/>
      <c r="AG415" s="557"/>
      <c r="AH415" s="466"/>
      <c r="AI415" s="557"/>
      <c r="AJ415" s="557"/>
      <c r="AK415" s="557"/>
      <c r="AL415" s="558"/>
      <c r="AM415" s="466"/>
      <c r="AN415" s="557"/>
      <c r="AO415" s="557"/>
      <c r="AP415" s="557"/>
      <c r="AQ415" s="558"/>
      <c r="AR415" s="466"/>
      <c r="AS415" s="469"/>
      <c r="AT415" s="469"/>
      <c r="AU415" s="469"/>
      <c r="AV415" s="469"/>
      <c r="AW415" s="466"/>
      <c r="AX415" s="469"/>
      <c r="AY415" s="469"/>
      <c r="AZ415" s="469"/>
      <c r="BA415" s="469"/>
      <c r="BB415" s="466">
        <f>1-SUM(BB399:BB414)</f>
        <v>0.25</v>
      </c>
      <c r="BC415" s="469"/>
      <c r="BD415" s="469"/>
      <c r="BE415" s="559"/>
      <c r="BF415" s="469"/>
      <c r="BG415" s="466">
        <f>1-SUM(BG399:BG414)</f>
        <v>0.25</v>
      </c>
      <c r="BH415" s="469"/>
      <c r="BI415" s="587"/>
      <c r="BJ415" s="559"/>
      <c r="BK415" s="469"/>
      <c r="BL415" s="466">
        <f>1-SUM(BL399:BL414)</f>
        <v>0.25</v>
      </c>
      <c r="BM415" s="469"/>
      <c r="BN415" s="587"/>
      <c r="BO415" s="559"/>
      <c r="BP415" s="469"/>
      <c r="BQ415" s="466">
        <f>1-SUM(BQ399:BQ414)</f>
        <v>0.25</v>
      </c>
      <c r="BR415" s="469"/>
      <c r="BS415" s="587"/>
      <c r="BT415" s="559"/>
      <c r="BU415" s="469"/>
      <c r="BV415" s="466">
        <f>1-SUM(BV399:BV414)</f>
        <v>0.25</v>
      </c>
      <c r="BW415" s="469"/>
      <c r="BX415" s="587"/>
      <c r="BY415" s="559"/>
      <c r="BZ415" s="469"/>
      <c r="CA415" s="466">
        <f>1-SUM(CA399:CA414)</f>
        <v>0.25</v>
      </c>
      <c r="CB415" s="469"/>
      <c r="CC415" s="587"/>
      <c r="CD415" s="559"/>
      <c r="CE415" s="469"/>
      <c r="CF415" s="466">
        <f>1-SUM(CF399:CF414)</f>
        <v>0.25</v>
      </c>
      <c r="CG415" s="587"/>
      <c r="CH415" s="587"/>
      <c r="CI415" s="587"/>
      <c r="CJ415" s="587"/>
      <c r="CK415" s="466">
        <f>1-SUM(CK399:CK414)</f>
        <v>0.25</v>
      </c>
      <c r="CL415" s="469"/>
      <c r="CM415" s="469"/>
      <c r="CN415" s="469"/>
      <c r="CO415" s="469"/>
      <c r="CP415" s="466">
        <f>1-SUM(CP399:CP414)</f>
        <v>0.25</v>
      </c>
      <c r="CQ415" s="469"/>
      <c r="CR415" s="469"/>
      <c r="CS415" s="469"/>
      <c r="CT415" s="469"/>
      <c r="CU415" s="466">
        <f>1-SUM(CU399:CU414)</f>
        <v>0.25</v>
      </c>
      <c r="CV415" s="469"/>
      <c r="CW415" s="469"/>
      <c r="CX415" s="469"/>
      <c r="CY415" s="469"/>
      <c r="CZ415" s="466">
        <f>1-SUM(CZ399:CZ414)</f>
        <v>0.25</v>
      </c>
      <c r="DA415" s="469"/>
      <c r="DB415" s="469"/>
      <c r="DC415" s="469"/>
      <c r="DD415" s="469"/>
      <c r="DE415" s="466">
        <f>1-SUM(DE399:DE414)</f>
        <v>0.25</v>
      </c>
      <c r="DF415" s="450"/>
      <c r="DG415" s="450"/>
      <c r="DH415" s="450"/>
      <c r="DI415" s="469"/>
      <c r="DJ415" s="466">
        <f>1-SUM(DJ399:DJ414)</f>
        <v>0.25</v>
      </c>
      <c r="DK415" s="450"/>
      <c r="DL415" s="450"/>
      <c r="DM415" s="450"/>
      <c r="DN415" s="469"/>
      <c r="DO415" s="466">
        <f>1-SUM(DO399:DO414)</f>
        <v>0.25</v>
      </c>
      <c r="DP415" s="450"/>
      <c r="DQ415" s="450"/>
      <c r="DR415" s="450"/>
      <c r="DS415" s="469"/>
      <c r="DT415" s="466">
        <f>1-SUM(DT399:DT414)</f>
        <v>0.25</v>
      </c>
      <c r="DU415" s="450"/>
      <c r="DV415" s="450"/>
      <c r="DW415" s="450"/>
      <c r="DX415" s="469"/>
      <c r="DY415" s="466">
        <f>1-SUM(DY399:DY414)</f>
        <v>0.25</v>
      </c>
      <c r="DZ415" s="466">
        <f>1-SUM(DZ399:DZ414)</f>
        <v>0.25</v>
      </c>
      <c r="EA415" s="466">
        <f t="shared" ref="EA415:EB415" si="700">1-SUM(EA399:EA414)</f>
        <v>0.25</v>
      </c>
      <c r="EB415" s="466">
        <f t="shared" si="700"/>
        <v>0.25</v>
      </c>
    </row>
    <row r="416" spans="1:132" s="115" customFormat="1" ht="12" customHeight="1">
      <c r="A416" s="114"/>
      <c r="B416" s="547"/>
      <c r="C416" s="466"/>
      <c r="D416" s="466"/>
      <c r="E416" s="466"/>
      <c r="F416" s="466"/>
      <c r="G416" s="466"/>
      <c r="H416" s="466"/>
      <c r="I416" s="466"/>
      <c r="J416" s="557"/>
      <c r="K416" s="557"/>
      <c r="L416" s="557"/>
      <c r="M416" s="557"/>
      <c r="N416" s="466"/>
      <c r="O416" s="557"/>
      <c r="P416" s="557"/>
      <c r="Q416" s="557"/>
      <c r="R416" s="557"/>
      <c r="S416" s="466"/>
      <c r="T416" s="557"/>
      <c r="U416" s="557"/>
      <c r="V416" s="557"/>
      <c r="W416" s="557"/>
      <c r="X416" s="466"/>
      <c r="Y416" s="557"/>
      <c r="Z416" s="557"/>
      <c r="AA416" s="557"/>
      <c r="AB416" s="557"/>
      <c r="AC416" s="466"/>
      <c r="AD416" s="557"/>
      <c r="AE416" s="557"/>
      <c r="AF416" s="557"/>
      <c r="AG416" s="557"/>
      <c r="AH416" s="466"/>
      <c r="AI416" s="557"/>
      <c r="AJ416" s="557"/>
      <c r="AK416" s="557"/>
      <c r="AL416" s="558"/>
      <c r="AM416" s="466"/>
      <c r="AN416" s="557"/>
      <c r="AO416" s="557"/>
      <c r="AP416" s="557"/>
      <c r="AQ416" s="558"/>
      <c r="AR416" s="466"/>
      <c r="AS416" s="469"/>
      <c r="AT416" s="469"/>
      <c r="AU416" s="469"/>
      <c r="AV416" s="469"/>
      <c r="AW416" s="466"/>
      <c r="AX416" s="469"/>
      <c r="AY416" s="469"/>
      <c r="AZ416" s="469"/>
      <c r="BA416" s="469"/>
      <c r="BB416" s="466"/>
      <c r="BC416" s="469"/>
      <c r="BD416" s="469"/>
      <c r="BE416" s="559"/>
      <c r="BF416" s="469"/>
      <c r="BG416" s="466"/>
      <c r="BH416" s="469"/>
      <c r="BI416" s="587"/>
      <c r="BJ416" s="559"/>
      <c r="BK416" s="469"/>
      <c r="BL416" s="466"/>
      <c r="BM416" s="469"/>
      <c r="BN416" s="587"/>
      <c r="BO416" s="559"/>
      <c r="BP416" s="469"/>
      <c r="BQ416" s="466"/>
      <c r="BR416" s="469"/>
      <c r="BS416" s="587"/>
      <c r="BT416" s="559"/>
      <c r="BU416" s="469"/>
      <c r="BV416" s="466"/>
      <c r="BW416" s="469"/>
      <c r="BX416" s="587"/>
      <c r="BY416" s="559"/>
      <c r="BZ416" s="469"/>
      <c r="CA416" s="466"/>
      <c r="CB416" s="469"/>
      <c r="CC416" s="587"/>
      <c r="CD416" s="559"/>
      <c r="CE416" s="469"/>
      <c r="CF416" s="466"/>
      <c r="CG416" s="587"/>
      <c r="CH416" s="587"/>
      <c r="CI416" s="587"/>
      <c r="CJ416" s="587"/>
      <c r="CK416" s="466"/>
      <c r="CL416" s="469"/>
      <c r="CM416" s="469"/>
      <c r="CN416" s="469"/>
      <c r="CO416" s="469"/>
      <c r="CP416" s="466"/>
      <c r="CQ416" s="469"/>
      <c r="CR416" s="469"/>
      <c r="CS416" s="469"/>
      <c r="CT416" s="469"/>
      <c r="CU416" s="466"/>
      <c r="CV416" s="469"/>
      <c r="CW416" s="469"/>
      <c r="CX416" s="469"/>
      <c r="CY416" s="469"/>
      <c r="CZ416" s="466"/>
      <c r="DA416" s="469"/>
      <c r="DB416" s="469"/>
      <c r="DC416" s="469"/>
      <c r="DD416" s="469"/>
      <c r="DE416" s="466"/>
      <c r="DF416" s="450"/>
      <c r="DG416" s="450"/>
      <c r="DH416" s="450"/>
      <c r="DI416" s="469"/>
      <c r="DJ416" s="466"/>
      <c r="DK416" s="450"/>
      <c r="DL416" s="450"/>
      <c r="DM416" s="450"/>
      <c r="DN416" s="469"/>
      <c r="DO416" s="466"/>
      <c r="DP416" s="450"/>
      <c r="DQ416" s="450"/>
      <c r="DR416" s="450"/>
      <c r="DS416" s="469"/>
      <c r="DT416" s="466"/>
      <c r="DU416" s="450"/>
      <c r="DV416" s="450"/>
      <c r="DW416" s="450"/>
      <c r="DX416" s="469"/>
      <c r="DY416" s="466"/>
      <c r="DZ416" s="466"/>
      <c r="EA416" s="466"/>
      <c r="EB416" s="466"/>
    </row>
    <row r="417" spans="1:132" s="115" customFormat="1" ht="12" customHeight="1">
      <c r="A417" s="114"/>
      <c r="B417" s="164" t="s">
        <v>421</v>
      </c>
      <c r="C417" s="466"/>
      <c r="D417" s="466"/>
      <c r="E417" s="466"/>
      <c r="F417" s="466"/>
      <c r="G417" s="466"/>
      <c r="H417" s="466"/>
      <c r="I417" s="466"/>
      <c r="J417" s="557"/>
      <c r="K417" s="557"/>
      <c r="L417" s="557"/>
      <c r="M417" s="557"/>
      <c r="N417" s="466"/>
      <c r="O417" s="557"/>
      <c r="P417" s="557"/>
      <c r="Q417" s="557"/>
      <c r="R417" s="557"/>
      <c r="S417" s="466"/>
      <c r="T417" s="557"/>
      <c r="U417" s="557"/>
      <c r="V417" s="557"/>
      <c r="W417" s="557"/>
      <c r="X417" s="466"/>
      <c r="Y417" s="557"/>
      <c r="Z417" s="557"/>
      <c r="AA417" s="557"/>
      <c r="AB417" s="557"/>
      <c r="AC417" s="466"/>
      <c r="AD417" s="557"/>
      <c r="AE417" s="557"/>
      <c r="AF417" s="557"/>
      <c r="AG417" s="557"/>
      <c r="AH417" s="466"/>
      <c r="AI417" s="557"/>
      <c r="AJ417" s="557"/>
      <c r="AK417" s="557"/>
      <c r="AL417" s="558"/>
      <c r="AM417" s="466"/>
      <c r="AN417" s="557"/>
      <c r="AO417" s="557"/>
      <c r="AP417" s="557"/>
      <c r="AQ417" s="558"/>
      <c r="AR417" s="466"/>
      <c r="AS417" s="469"/>
      <c r="AT417" s="469"/>
      <c r="AU417" s="469"/>
      <c r="AV417" s="469"/>
      <c r="AW417" s="466"/>
      <c r="AX417" s="469"/>
      <c r="AY417" s="469"/>
      <c r="AZ417" s="469"/>
      <c r="BA417" s="469"/>
      <c r="BB417" s="466"/>
      <c r="BC417" s="469"/>
      <c r="BD417" s="469"/>
      <c r="BE417" s="559"/>
      <c r="BF417" s="469"/>
      <c r="BG417" s="466"/>
      <c r="BH417" s="469"/>
      <c r="BI417" s="587"/>
      <c r="BJ417" s="559"/>
      <c r="BK417" s="469"/>
      <c r="BL417" s="466"/>
      <c r="BM417" s="469"/>
      <c r="BN417" s="587"/>
      <c r="BO417" s="559"/>
      <c r="BP417" s="469"/>
      <c r="BQ417" s="466"/>
      <c r="BR417" s="469"/>
      <c r="BS417" s="587"/>
      <c r="BT417" s="559"/>
      <c r="BU417" s="469"/>
      <c r="BV417" s="466"/>
      <c r="BW417" s="469"/>
      <c r="BX417" s="587"/>
      <c r="BY417" s="559"/>
      <c r="BZ417" s="469"/>
      <c r="CA417" s="466"/>
      <c r="CB417" s="469"/>
      <c r="CC417" s="587"/>
      <c r="CD417" s="559"/>
      <c r="CE417" s="469"/>
      <c r="CF417" s="466"/>
      <c r="CG417" s="587"/>
      <c r="CH417" s="587"/>
      <c r="CI417" s="587"/>
      <c r="CJ417" s="587"/>
      <c r="CK417" s="466"/>
      <c r="CL417" s="469"/>
      <c r="CM417" s="469"/>
      <c r="CN417" s="469"/>
      <c r="CO417" s="469"/>
      <c r="CP417" s="466"/>
      <c r="CQ417" s="469"/>
      <c r="CR417" s="469"/>
      <c r="CS417" s="469"/>
      <c r="CT417" s="469"/>
      <c r="CU417" s="466"/>
      <c r="CV417" s="469"/>
      <c r="CW417" s="469"/>
      <c r="CX417" s="469"/>
      <c r="CY417" s="469"/>
      <c r="CZ417" s="466"/>
      <c r="DA417" s="469"/>
      <c r="DB417" s="469"/>
      <c r="DC417" s="469"/>
      <c r="DD417" s="469"/>
      <c r="DE417" s="466"/>
      <c r="DF417" s="450"/>
      <c r="DG417" s="450"/>
      <c r="DH417" s="450"/>
      <c r="DI417" s="469"/>
      <c r="DJ417" s="466"/>
      <c r="DK417" s="450"/>
      <c r="DL417" s="450"/>
      <c r="DM417" s="450"/>
      <c r="DN417" s="469"/>
      <c r="DO417" s="466"/>
      <c r="DP417" s="450"/>
      <c r="DQ417" s="450"/>
      <c r="DR417" s="450"/>
      <c r="DS417" s="469"/>
      <c r="DT417" s="466"/>
      <c r="DU417" s="450"/>
      <c r="DV417" s="450"/>
      <c r="DW417" s="450"/>
      <c r="DX417" s="469"/>
      <c r="DY417" s="466"/>
      <c r="DZ417" s="466"/>
      <c r="EA417" s="466"/>
      <c r="EB417" s="466"/>
    </row>
    <row r="418" spans="1:132" s="115" customFormat="1" ht="12" customHeight="1">
      <c r="A418" s="114"/>
      <c r="B418" s="476" t="s">
        <v>424</v>
      </c>
      <c r="C418" s="466"/>
      <c r="D418" s="466"/>
      <c r="E418" s="466"/>
      <c r="F418" s="466"/>
      <c r="G418" s="466"/>
      <c r="H418" s="466"/>
      <c r="I418" s="466"/>
      <c r="J418" s="557"/>
      <c r="K418" s="557"/>
      <c r="L418" s="557"/>
      <c r="M418" s="557"/>
      <c r="N418" s="466"/>
      <c r="O418" s="557"/>
      <c r="P418" s="557"/>
      <c r="Q418" s="557"/>
      <c r="R418" s="557"/>
      <c r="S418" s="466"/>
      <c r="T418" s="557"/>
      <c r="U418" s="557"/>
      <c r="V418" s="557"/>
      <c r="W418" s="557"/>
      <c r="X418" s="466"/>
      <c r="Y418" s="557"/>
      <c r="Z418" s="557"/>
      <c r="AA418" s="557"/>
      <c r="AB418" s="557"/>
      <c r="AC418" s="466"/>
      <c r="AD418" s="557"/>
      <c r="AE418" s="557"/>
      <c r="AF418" s="557"/>
      <c r="AG418" s="557"/>
      <c r="AH418" s="466"/>
      <c r="AI418" s="557"/>
      <c r="AJ418" s="557"/>
      <c r="AK418" s="557"/>
      <c r="AL418" s="558"/>
      <c r="AM418" s="466"/>
      <c r="AN418" s="557"/>
      <c r="AO418" s="557"/>
      <c r="AP418" s="557"/>
      <c r="AQ418" s="558"/>
      <c r="AR418" s="466"/>
      <c r="AS418" s="469"/>
      <c r="AT418" s="469"/>
      <c r="AU418" s="469"/>
      <c r="AV418" s="469"/>
      <c r="AW418" s="466"/>
      <c r="AX418" s="469"/>
      <c r="AY418" s="469"/>
      <c r="AZ418" s="469"/>
      <c r="BA418" s="469"/>
      <c r="BB418" s="466"/>
      <c r="BC418" s="469"/>
      <c r="BD418" s="469"/>
      <c r="BE418" s="559"/>
      <c r="BF418" s="469"/>
      <c r="BG418" s="466"/>
      <c r="BH418" s="469"/>
      <c r="BI418" s="587"/>
      <c r="BJ418" s="559"/>
      <c r="BK418" s="469"/>
      <c r="BL418" s="466"/>
      <c r="BM418" s="469"/>
      <c r="BN418" s="587"/>
      <c r="BO418" s="559"/>
      <c r="BP418" s="469"/>
      <c r="BQ418" s="466"/>
      <c r="BR418" s="469"/>
      <c r="BS418" s="587"/>
      <c r="BT418" s="559"/>
      <c r="BU418" s="469"/>
      <c r="BV418" s="466"/>
      <c r="BW418" s="469"/>
      <c r="BX418" s="587"/>
      <c r="BY418" s="559"/>
      <c r="BZ418" s="469"/>
      <c r="CA418" s="466"/>
      <c r="CB418" s="469"/>
      <c r="CC418" s="587"/>
      <c r="CD418" s="559"/>
      <c r="CE418" s="469"/>
      <c r="CF418" s="466"/>
      <c r="CG418" s="587"/>
      <c r="CH418" s="587"/>
      <c r="CI418" s="587"/>
      <c r="CJ418" s="587"/>
      <c r="CK418" s="466"/>
      <c r="CL418" s="469"/>
      <c r="CM418" s="469"/>
      <c r="CN418" s="469"/>
      <c r="CO418" s="469"/>
      <c r="CP418" s="466"/>
      <c r="CQ418" s="469"/>
      <c r="CR418" s="469"/>
      <c r="CS418" s="469"/>
      <c r="CT418" s="469"/>
      <c r="CU418" s="466"/>
      <c r="CV418" s="469"/>
      <c r="CW418" s="469"/>
      <c r="CX418" s="469"/>
      <c r="CY418" s="469"/>
      <c r="CZ418" s="466"/>
      <c r="DA418" s="469"/>
      <c r="DB418" s="469"/>
      <c r="DC418" s="469"/>
      <c r="DD418" s="469"/>
      <c r="DE418" s="466"/>
      <c r="DF418" s="450"/>
      <c r="DG418" s="450"/>
      <c r="DH418" s="450"/>
      <c r="DI418" s="469"/>
      <c r="DJ418" s="466"/>
      <c r="DK418" s="450"/>
      <c r="DL418" s="450"/>
      <c r="DM418" s="450"/>
      <c r="DN418" s="469"/>
      <c r="DO418" s="466"/>
      <c r="DP418" s="450"/>
      <c r="DQ418" s="450"/>
      <c r="DR418" s="450"/>
      <c r="DS418" s="469"/>
      <c r="DT418" s="466"/>
      <c r="DU418" s="450"/>
      <c r="DV418" s="450"/>
      <c r="DW418" s="450"/>
      <c r="DX418" s="469"/>
      <c r="DY418" s="466"/>
      <c r="DZ418" s="466"/>
      <c r="EA418" s="466"/>
      <c r="EB418" s="466"/>
    </row>
    <row r="419" spans="1:132" s="115" customFormat="1" ht="12" customHeight="1">
      <c r="A419" s="114"/>
      <c r="B419" s="476" t="s">
        <v>425</v>
      </c>
      <c r="C419" s="466"/>
      <c r="D419" s="466"/>
      <c r="E419" s="466"/>
      <c r="F419" s="466"/>
      <c r="G419" s="466"/>
      <c r="H419" s="466"/>
      <c r="I419" s="466"/>
      <c r="J419" s="557"/>
      <c r="K419" s="557"/>
      <c r="L419" s="557"/>
      <c r="M419" s="557"/>
      <c r="N419" s="466"/>
      <c r="O419" s="557"/>
      <c r="P419" s="557"/>
      <c r="Q419" s="557"/>
      <c r="R419" s="557"/>
      <c r="S419" s="466"/>
      <c r="T419" s="557"/>
      <c r="U419" s="557"/>
      <c r="V419" s="557"/>
      <c r="W419" s="557"/>
      <c r="X419" s="466"/>
      <c r="Y419" s="557"/>
      <c r="Z419" s="557"/>
      <c r="AA419" s="557"/>
      <c r="AB419" s="557"/>
      <c r="AC419" s="466"/>
      <c r="AD419" s="557"/>
      <c r="AE419" s="557"/>
      <c r="AF419" s="557"/>
      <c r="AG419" s="557"/>
      <c r="AH419" s="466"/>
      <c r="AI419" s="557"/>
      <c r="AJ419" s="557"/>
      <c r="AK419" s="557"/>
      <c r="AL419" s="558"/>
      <c r="AM419" s="466"/>
      <c r="AN419" s="557"/>
      <c r="AO419" s="557"/>
      <c r="AP419" s="557"/>
      <c r="AQ419" s="558"/>
      <c r="AR419" s="466"/>
      <c r="AS419" s="469"/>
      <c r="AT419" s="469"/>
      <c r="AU419" s="469"/>
      <c r="AV419" s="469"/>
      <c r="AW419" s="466"/>
      <c r="AX419" s="469"/>
      <c r="AY419" s="469"/>
      <c r="AZ419" s="469"/>
      <c r="BA419" s="469"/>
      <c r="BB419" s="466"/>
      <c r="BC419" s="469"/>
      <c r="BD419" s="469"/>
      <c r="BE419" s="559"/>
      <c r="BF419" s="469"/>
      <c r="BG419" s="466"/>
      <c r="BH419" s="469"/>
      <c r="BI419" s="587"/>
      <c r="BJ419" s="559"/>
      <c r="BK419" s="469"/>
      <c r="BL419" s="466"/>
      <c r="BM419" s="469"/>
      <c r="BN419" s="587"/>
      <c r="BO419" s="559"/>
      <c r="BP419" s="469"/>
      <c r="BQ419" s="466"/>
      <c r="BR419" s="469"/>
      <c r="BS419" s="587"/>
      <c r="BT419" s="559"/>
      <c r="BU419" s="469"/>
      <c r="BV419" s="466"/>
      <c r="BW419" s="469"/>
      <c r="BX419" s="587"/>
      <c r="BY419" s="559"/>
      <c r="BZ419" s="469"/>
      <c r="CA419" s="466"/>
      <c r="CB419" s="469"/>
      <c r="CC419" s="587"/>
      <c r="CD419" s="559"/>
      <c r="CE419" s="469"/>
      <c r="CF419" s="466"/>
      <c r="CG419" s="587"/>
      <c r="CH419" s="587"/>
      <c r="CI419" s="587"/>
      <c r="CJ419" s="587"/>
      <c r="CK419" s="466"/>
      <c r="CL419" s="469"/>
      <c r="CM419" s="469"/>
      <c r="CN419" s="469"/>
      <c r="CO419" s="469"/>
      <c r="CP419" s="466"/>
      <c r="CQ419" s="469"/>
      <c r="CR419" s="469"/>
      <c r="CS419" s="469"/>
      <c r="CT419" s="469"/>
      <c r="CU419" s="466"/>
      <c r="CV419" s="469"/>
      <c r="CW419" s="469"/>
      <c r="CX419" s="469"/>
      <c r="CY419" s="469"/>
      <c r="CZ419" s="466"/>
      <c r="DA419" s="469"/>
      <c r="DB419" s="469"/>
      <c r="DC419" s="469"/>
      <c r="DD419" s="469"/>
      <c r="DE419" s="466"/>
      <c r="DF419" s="450"/>
      <c r="DG419" s="450"/>
      <c r="DH419" s="450"/>
      <c r="DI419" s="469"/>
      <c r="DJ419" s="466"/>
      <c r="DK419" s="450"/>
      <c r="DL419" s="450"/>
      <c r="DM419" s="450"/>
      <c r="DN419" s="469"/>
      <c r="DO419" s="466"/>
      <c r="DP419" s="450"/>
      <c r="DQ419" s="450"/>
      <c r="DR419" s="450"/>
      <c r="DS419" s="469"/>
      <c r="DT419" s="466"/>
      <c r="DU419" s="450"/>
      <c r="DV419" s="450"/>
      <c r="DW419" s="450"/>
      <c r="DX419" s="469"/>
      <c r="DY419" s="466"/>
      <c r="DZ419" s="466"/>
      <c r="EA419" s="466"/>
      <c r="EB419" s="466"/>
    </row>
    <row r="420" spans="1:132" s="115" customFormat="1" ht="12" customHeight="1">
      <c r="A420" s="114"/>
      <c r="B420" s="547" t="s">
        <v>426</v>
      </c>
      <c r="C420" s="466"/>
      <c r="D420" s="466"/>
      <c r="E420" s="466"/>
      <c r="F420" s="466"/>
      <c r="G420" s="466"/>
      <c r="H420" s="466"/>
      <c r="I420" s="466"/>
      <c r="J420" s="557"/>
      <c r="K420" s="557"/>
      <c r="L420" s="557"/>
      <c r="M420" s="557"/>
      <c r="N420" s="466"/>
      <c r="O420" s="557"/>
      <c r="P420" s="557"/>
      <c r="Q420" s="557"/>
      <c r="R420" s="557"/>
      <c r="S420" s="466"/>
      <c r="T420" s="557"/>
      <c r="U420" s="557"/>
      <c r="V420" s="557"/>
      <c r="W420" s="557"/>
      <c r="X420" s="466"/>
      <c r="Y420" s="557"/>
      <c r="Z420" s="557"/>
      <c r="AA420" s="557"/>
      <c r="AB420" s="557"/>
      <c r="AC420" s="466"/>
      <c r="AD420" s="557"/>
      <c r="AE420" s="557"/>
      <c r="AF420" s="557"/>
      <c r="AG420" s="557"/>
      <c r="AH420" s="466"/>
      <c r="AI420" s="557"/>
      <c r="AJ420" s="557"/>
      <c r="AK420" s="557"/>
      <c r="AL420" s="558"/>
      <c r="AM420" s="466"/>
      <c r="AN420" s="557"/>
      <c r="AO420" s="557"/>
      <c r="AP420" s="557"/>
      <c r="AQ420" s="558"/>
      <c r="AR420" s="466"/>
      <c r="AS420" s="469"/>
      <c r="AT420" s="469"/>
      <c r="AU420" s="469"/>
      <c r="AV420" s="469"/>
      <c r="AW420" s="466"/>
      <c r="AX420" s="469"/>
      <c r="AY420" s="469"/>
      <c r="AZ420" s="469"/>
      <c r="BA420" s="469"/>
      <c r="BB420" s="466"/>
      <c r="BC420" s="469"/>
      <c r="BD420" s="469"/>
      <c r="BE420" s="559"/>
      <c r="BF420" s="469"/>
      <c r="BG420" s="466"/>
      <c r="BH420" s="469"/>
      <c r="BI420" s="587"/>
      <c r="BJ420" s="559"/>
      <c r="BK420" s="469"/>
      <c r="BL420" s="466"/>
      <c r="BM420" s="469"/>
      <c r="BN420" s="587"/>
      <c r="BO420" s="559"/>
      <c r="BP420" s="469"/>
      <c r="BQ420" s="466"/>
      <c r="BR420" s="469"/>
      <c r="BS420" s="587"/>
      <c r="BT420" s="559"/>
      <c r="BU420" s="469"/>
      <c r="BV420" s="466"/>
      <c r="BW420" s="469"/>
      <c r="BX420" s="587"/>
      <c r="BY420" s="559"/>
      <c r="BZ420" s="469"/>
      <c r="CA420" s="466"/>
      <c r="CB420" s="469"/>
      <c r="CC420" s="587"/>
      <c r="CD420" s="559"/>
      <c r="CE420" s="469"/>
      <c r="CF420" s="466"/>
      <c r="CG420" s="587"/>
      <c r="CH420" s="587"/>
      <c r="CI420" s="587"/>
      <c r="CJ420" s="587"/>
      <c r="CK420" s="466"/>
      <c r="CL420" s="469"/>
      <c r="CM420" s="469"/>
      <c r="CN420" s="469"/>
      <c r="CO420" s="469"/>
      <c r="CP420" s="466"/>
      <c r="CQ420" s="469"/>
      <c r="CR420" s="469"/>
      <c r="CS420" s="469"/>
      <c r="CT420" s="469"/>
      <c r="CU420" s="466"/>
      <c r="CV420" s="469"/>
      <c r="CW420" s="469"/>
      <c r="CX420" s="469"/>
      <c r="CY420" s="469"/>
      <c r="CZ420" s="466"/>
      <c r="DA420" s="469"/>
      <c r="DB420" s="469"/>
      <c r="DC420" s="469"/>
      <c r="DD420" s="469"/>
      <c r="DE420" s="466"/>
      <c r="DF420" s="450"/>
      <c r="DG420" s="450"/>
      <c r="DH420" s="450"/>
      <c r="DI420" s="469"/>
      <c r="DJ420" s="466"/>
      <c r="DK420" s="450"/>
      <c r="DL420" s="450"/>
      <c r="DM420" s="450"/>
      <c r="DN420" s="469"/>
      <c r="DO420" s="466"/>
      <c r="DP420" s="450"/>
      <c r="DQ420" s="450"/>
      <c r="DR420" s="450"/>
      <c r="DS420" s="469"/>
      <c r="DT420" s="466"/>
      <c r="DU420" s="450"/>
      <c r="DV420" s="450"/>
      <c r="DW420" s="450"/>
      <c r="DX420" s="469"/>
      <c r="DY420" s="466"/>
      <c r="DZ420" s="466"/>
      <c r="EA420" s="466"/>
      <c r="EB420" s="466"/>
    </row>
    <row r="421" spans="1:132" s="115" customFormat="1" ht="12" customHeight="1">
      <c r="A421" s="114"/>
      <c r="B421" s="547" t="s">
        <v>427</v>
      </c>
      <c r="C421" s="466"/>
      <c r="D421" s="466"/>
      <c r="E421" s="466"/>
      <c r="F421" s="466"/>
      <c r="G421" s="466"/>
      <c r="H421" s="466"/>
      <c r="I421" s="466"/>
      <c r="J421" s="557"/>
      <c r="K421" s="557"/>
      <c r="L421" s="557"/>
      <c r="M421" s="557"/>
      <c r="N421" s="466"/>
      <c r="O421" s="557"/>
      <c r="P421" s="557"/>
      <c r="Q421" s="557"/>
      <c r="R421" s="557"/>
      <c r="S421" s="466"/>
      <c r="T421" s="557"/>
      <c r="U421" s="557"/>
      <c r="V421" s="557"/>
      <c r="W421" s="557"/>
      <c r="X421" s="466"/>
      <c r="Y421" s="557"/>
      <c r="Z421" s="557"/>
      <c r="AA421" s="557"/>
      <c r="AB421" s="557"/>
      <c r="AC421" s="466"/>
      <c r="AD421" s="557"/>
      <c r="AE421" s="557"/>
      <c r="AF421" s="557"/>
      <c r="AG421" s="557"/>
      <c r="AH421" s="466"/>
      <c r="AI421" s="557"/>
      <c r="AJ421" s="557"/>
      <c r="AK421" s="557"/>
      <c r="AL421" s="558"/>
      <c r="AM421" s="466"/>
      <c r="AN421" s="557"/>
      <c r="AO421" s="557"/>
      <c r="AP421" s="557"/>
      <c r="AQ421" s="558"/>
      <c r="AR421" s="466"/>
      <c r="AS421" s="469"/>
      <c r="AT421" s="469"/>
      <c r="AU421" s="469"/>
      <c r="AV421" s="469"/>
      <c r="AW421" s="466"/>
      <c r="AX421" s="469"/>
      <c r="AY421" s="469"/>
      <c r="AZ421" s="469"/>
      <c r="BA421" s="469"/>
      <c r="BB421" s="438">
        <v>0.995</v>
      </c>
      <c r="BC421" s="469"/>
      <c r="BD421" s="469"/>
      <c r="BE421" s="559"/>
      <c r="BF421" s="469"/>
      <c r="BG421" s="438">
        <v>0.995</v>
      </c>
      <c r="BH421" s="469"/>
      <c r="BI421" s="587"/>
      <c r="BJ421" s="559"/>
      <c r="BK421" s="469"/>
      <c r="BL421" s="438">
        <v>0.995</v>
      </c>
      <c r="BM421" s="469"/>
      <c r="BN421" s="587"/>
      <c r="BO421" s="559"/>
      <c r="BP421" s="469"/>
      <c r="BQ421" s="438">
        <v>0.995</v>
      </c>
      <c r="BR421" s="469"/>
      <c r="BS421" s="587"/>
      <c r="BT421" s="559"/>
      <c r="BU421" s="469"/>
      <c r="BV421" s="438">
        <v>0.995</v>
      </c>
      <c r="BW421" s="469"/>
      <c r="BX421" s="587"/>
      <c r="BY421" s="559"/>
      <c r="BZ421" s="469"/>
      <c r="CA421" s="438">
        <v>0.995</v>
      </c>
      <c r="CB421" s="469"/>
      <c r="CC421" s="587"/>
      <c r="CD421" s="559"/>
      <c r="CE421" s="469"/>
      <c r="CF421" s="438">
        <v>0.995</v>
      </c>
      <c r="CG421" s="587"/>
      <c r="CH421" s="587"/>
      <c r="CI421" s="587"/>
      <c r="CJ421" s="587"/>
      <c r="CK421" s="438">
        <v>0.995</v>
      </c>
      <c r="CL421" s="469"/>
      <c r="CM421" s="469"/>
      <c r="CN421" s="469"/>
      <c r="CO421" s="469"/>
      <c r="CP421" s="438">
        <v>0.995</v>
      </c>
      <c r="CQ421" s="469"/>
      <c r="CR421" s="469"/>
      <c r="CS421" s="469"/>
      <c r="CT421" s="469"/>
      <c r="CU421" s="438">
        <v>0.995</v>
      </c>
      <c r="CV421" s="469"/>
      <c r="CW421" s="469"/>
      <c r="CX421" s="469"/>
      <c r="CY421" s="469"/>
      <c r="CZ421" s="438">
        <v>0.995</v>
      </c>
      <c r="DA421" s="469"/>
      <c r="DB421" s="469"/>
      <c r="DC421" s="469"/>
      <c r="DD421" s="469"/>
      <c r="DE421" s="438">
        <v>0.995</v>
      </c>
      <c r="DF421" s="486"/>
      <c r="DG421" s="486"/>
      <c r="DH421" s="486"/>
      <c r="DI421" s="469"/>
      <c r="DJ421" s="438">
        <v>0.995</v>
      </c>
      <c r="DK421" s="486"/>
      <c r="DL421" s="486"/>
      <c r="DM421" s="486"/>
      <c r="DN421" s="469"/>
      <c r="DO421" s="438">
        <v>0.995</v>
      </c>
      <c r="DP421" s="486"/>
      <c r="DQ421" s="486"/>
      <c r="DR421" s="486"/>
      <c r="DS421" s="469"/>
      <c r="DT421" s="438">
        <v>0.995</v>
      </c>
      <c r="DU421" s="486"/>
      <c r="DV421" s="486"/>
      <c r="DW421" s="486"/>
      <c r="DX421" s="469"/>
      <c r="DY421" s="438">
        <v>0.995</v>
      </c>
      <c r="DZ421" s="438">
        <v>0.995</v>
      </c>
      <c r="EA421" s="438">
        <v>0.995</v>
      </c>
      <c r="EB421" s="438">
        <v>0.995</v>
      </c>
    </row>
    <row r="422" spans="1:132" s="115" customFormat="1" ht="12" customHeight="1">
      <c r="A422" s="114"/>
      <c r="B422" s="547" t="s">
        <v>428</v>
      </c>
      <c r="C422" s="466"/>
      <c r="D422" s="466"/>
      <c r="E422" s="466"/>
      <c r="F422" s="466"/>
      <c r="G422" s="466"/>
      <c r="H422" s="466"/>
      <c r="I422" s="466"/>
      <c r="J422" s="557"/>
      <c r="K422" s="557"/>
      <c r="L422" s="557"/>
      <c r="M422" s="557"/>
      <c r="N422" s="466"/>
      <c r="O422" s="557"/>
      <c r="P422" s="557"/>
      <c r="Q422" s="557"/>
      <c r="R422" s="557"/>
      <c r="S422" s="466"/>
      <c r="T422" s="557"/>
      <c r="U422" s="557"/>
      <c r="V422" s="557"/>
      <c r="W422" s="557"/>
      <c r="X422" s="466"/>
      <c r="Y422" s="557"/>
      <c r="Z422" s="557"/>
      <c r="AA422" s="557"/>
      <c r="AB422" s="557"/>
      <c r="AC422" s="466"/>
      <c r="AD422" s="557"/>
      <c r="AE422" s="557"/>
      <c r="AF422" s="557"/>
      <c r="AG422" s="557"/>
      <c r="AH422" s="466"/>
      <c r="AI422" s="557"/>
      <c r="AJ422" s="557"/>
      <c r="AK422" s="557"/>
      <c r="AL422" s="558"/>
      <c r="AM422" s="466"/>
      <c r="AN422" s="557"/>
      <c r="AO422" s="557"/>
      <c r="AP422" s="557"/>
      <c r="AQ422" s="558"/>
      <c r="AR422" s="466"/>
      <c r="AS422" s="469"/>
      <c r="AT422" s="469"/>
      <c r="AU422" s="469"/>
      <c r="AV422" s="469"/>
      <c r="AW422" s="466"/>
      <c r="AX422" s="469"/>
      <c r="AY422" s="469"/>
      <c r="AZ422" s="469"/>
      <c r="BA422" s="469"/>
      <c r="BB422" s="466"/>
      <c r="BC422" s="469"/>
      <c r="BD422" s="469"/>
      <c r="BE422" s="559"/>
      <c r="BF422" s="469"/>
      <c r="BG422" s="466"/>
      <c r="BH422" s="469"/>
      <c r="BI422" s="587"/>
      <c r="BJ422" s="559"/>
      <c r="BK422" s="469"/>
      <c r="BL422" s="466"/>
      <c r="BM422" s="469"/>
      <c r="BN422" s="587"/>
      <c r="BO422" s="559"/>
      <c r="BP422" s="469"/>
      <c r="BQ422" s="466"/>
      <c r="BR422" s="469"/>
      <c r="BS422" s="587"/>
      <c r="BT422" s="559"/>
      <c r="BU422" s="469"/>
      <c r="BV422" s="466"/>
      <c r="BW422" s="469"/>
      <c r="BX422" s="587"/>
      <c r="BY422" s="559"/>
      <c r="BZ422" s="469"/>
      <c r="CA422" s="466"/>
      <c r="CB422" s="469"/>
      <c r="CC422" s="587"/>
      <c r="CD422" s="559"/>
      <c r="CE422" s="469"/>
      <c r="CF422" s="466"/>
      <c r="CG422" s="587"/>
      <c r="CH422" s="587"/>
      <c r="CI422" s="587"/>
      <c r="CJ422" s="587"/>
      <c r="CK422" s="466"/>
      <c r="CL422" s="469"/>
      <c r="CM422" s="469"/>
      <c r="CN422" s="469"/>
      <c r="CO422" s="469"/>
      <c r="CP422" s="466"/>
      <c r="CQ422" s="469"/>
      <c r="CR422" s="469"/>
      <c r="CS422" s="469"/>
      <c r="CT422" s="469"/>
      <c r="CU422" s="466"/>
      <c r="CV422" s="469"/>
      <c r="CW422" s="469"/>
      <c r="CX422" s="469"/>
      <c r="CY422" s="469"/>
      <c r="CZ422" s="466"/>
      <c r="DA422" s="469"/>
      <c r="DB422" s="469"/>
      <c r="DC422" s="469"/>
      <c r="DD422" s="469"/>
      <c r="DE422" s="466"/>
      <c r="DF422" s="450"/>
      <c r="DG422" s="450"/>
      <c r="DH422" s="450"/>
      <c r="DI422" s="469"/>
      <c r="DJ422" s="466"/>
      <c r="DK422" s="450"/>
      <c r="DL422" s="450"/>
      <c r="DM422" s="450"/>
      <c r="DN422" s="469"/>
      <c r="DO422" s="466"/>
      <c r="DP422" s="450"/>
      <c r="DQ422" s="450"/>
      <c r="DR422" s="450"/>
      <c r="DS422" s="469"/>
      <c r="DT422" s="466"/>
      <c r="DU422" s="450"/>
      <c r="DV422" s="450"/>
      <c r="DW422" s="450"/>
      <c r="DX422" s="469"/>
      <c r="DY422" s="466"/>
      <c r="DZ422" s="466"/>
      <c r="EA422" s="466"/>
      <c r="EB422" s="466"/>
    </row>
    <row r="423" spans="1:132" s="115" customFormat="1" ht="12" customHeight="1">
      <c r="A423" s="114"/>
      <c r="B423" s="547" t="s">
        <v>429</v>
      </c>
      <c r="C423" s="466"/>
      <c r="D423" s="466"/>
      <c r="E423" s="466"/>
      <c r="F423" s="466"/>
      <c r="G423" s="466"/>
      <c r="H423" s="466"/>
      <c r="I423" s="466"/>
      <c r="J423" s="557"/>
      <c r="K423" s="557"/>
      <c r="L423" s="557"/>
      <c r="M423" s="557"/>
      <c r="N423" s="466"/>
      <c r="O423" s="557"/>
      <c r="P423" s="557"/>
      <c r="Q423" s="557"/>
      <c r="R423" s="557"/>
      <c r="S423" s="466"/>
      <c r="T423" s="557"/>
      <c r="U423" s="557"/>
      <c r="V423" s="557"/>
      <c r="W423" s="557"/>
      <c r="X423" s="466"/>
      <c r="Y423" s="557"/>
      <c r="Z423" s="557"/>
      <c r="AA423" s="557"/>
      <c r="AB423" s="557"/>
      <c r="AC423" s="466"/>
      <c r="AD423" s="557"/>
      <c r="AE423" s="557"/>
      <c r="AF423" s="557"/>
      <c r="AG423" s="557"/>
      <c r="AH423" s="466"/>
      <c r="AI423" s="557"/>
      <c r="AJ423" s="557"/>
      <c r="AK423" s="557"/>
      <c r="AL423" s="558"/>
      <c r="AM423" s="466"/>
      <c r="AN423" s="557"/>
      <c r="AO423" s="557"/>
      <c r="AP423" s="557"/>
      <c r="AQ423" s="558"/>
      <c r="AR423" s="466"/>
      <c r="AS423" s="469"/>
      <c r="AT423" s="469"/>
      <c r="AU423" s="469"/>
      <c r="AV423" s="469"/>
      <c r="AW423" s="466"/>
      <c r="AX423" s="469"/>
      <c r="AY423" s="469"/>
      <c r="AZ423" s="469"/>
      <c r="BA423" s="469"/>
      <c r="BB423" s="466"/>
      <c r="BC423" s="469"/>
      <c r="BD423" s="469"/>
      <c r="BE423" s="559"/>
      <c r="BF423" s="469"/>
      <c r="BG423" s="466"/>
      <c r="BH423" s="469"/>
      <c r="BI423" s="587"/>
      <c r="BJ423" s="559"/>
      <c r="BK423" s="469"/>
      <c r="BL423" s="466"/>
      <c r="BM423" s="469"/>
      <c r="BN423" s="587"/>
      <c r="BO423" s="559"/>
      <c r="BP423" s="469"/>
      <c r="BQ423" s="466"/>
      <c r="BR423" s="469"/>
      <c r="BS423" s="587"/>
      <c r="BT423" s="559"/>
      <c r="BU423" s="469"/>
      <c r="BV423" s="466"/>
      <c r="BW423" s="469"/>
      <c r="BX423" s="587"/>
      <c r="BY423" s="559"/>
      <c r="BZ423" s="469"/>
      <c r="CA423" s="466"/>
      <c r="CB423" s="469"/>
      <c r="CC423" s="587"/>
      <c r="CD423" s="559"/>
      <c r="CE423" s="469"/>
      <c r="CF423" s="466"/>
      <c r="CG423" s="587"/>
      <c r="CH423" s="587"/>
      <c r="CI423" s="587"/>
      <c r="CJ423" s="587"/>
      <c r="CK423" s="466"/>
      <c r="CL423" s="469"/>
      <c r="CM423" s="469"/>
      <c r="CN423" s="469"/>
      <c r="CO423" s="469"/>
      <c r="CP423" s="466"/>
      <c r="CQ423" s="469"/>
      <c r="CR423" s="469"/>
      <c r="CS423" s="469"/>
      <c r="CT423" s="469"/>
      <c r="CU423" s="466"/>
      <c r="CV423" s="469"/>
      <c r="CW423" s="469"/>
      <c r="CX423" s="469"/>
      <c r="CY423" s="469"/>
      <c r="CZ423" s="466"/>
      <c r="DA423" s="469"/>
      <c r="DB423" s="469"/>
      <c r="DC423" s="469"/>
      <c r="DD423" s="469"/>
      <c r="DE423" s="466"/>
      <c r="DF423" s="450"/>
      <c r="DG423" s="450"/>
      <c r="DH423" s="450"/>
      <c r="DI423" s="469"/>
      <c r="DJ423" s="466"/>
      <c r="DK423" s="450"/>
      <c r="DL423" s="450"/>
      <c r="DM423" s="450"/>
      <c r="DN423" s="469"/>
      <c r="DO423" s="466"/>
      <c r="DP423" s="450"/>
      <c r="DQ423" s="450"/>
      <c r="DR423" s="450"/>
      <c r="DS423" s="469"/>
      <c r="DT423" s="466"/>
      <c r="DU423" s="450"/>
      <c r="DV423" s="450"/>
      <c r="DW423" s="450"/>
      <c r="DX423" s="469"/>
      <c r="DY423" s="466"/>
      <c r="DZ423" s="466"/>
      <c r="EA423" s="466"/>
      <c r="EB423" s="466"/>
    </row>
    <row r="424" spans="1:132" s="115" customFormat="1" ht="12" customHeight="1">
      <c r="A424" s="114"/>
      <c r="B424" s="547" t="s">
        <v>430</v>
      </c>
      <c r="C424" s="466"/>
      <c r="D424" s="466"/>
      <c r="E424" s="466"/>
      <c r="F424" s="466"/>
      <c r="G424" s="466"/>
      <c r="H424" s="466"/>
      <c r="I424" s="466"/>
      <c r="J424" s="557"/>
      <c r="K424" s="557"/>
      <c r="L424" s="557"/>
      <c r="M424" s="557"/>
      <c r="N424" s="466"/>
      <c r="O424" s="557"/>
      <c r="P424" s="557"/>
      <c r="Q424" s="557"/>
      <c r="R424" s="557"/>
      <c r="S424" s="466"/>
      <c r="T424" s="557"/>
      <c r="U424" s="557"/>
      <c r="V424" s="557"/>
      <c r="W424" s="557"/>
      <c r="X424" s="466"/>
      <c r="Y424" s="557"/>
      <c r="Z424" s="557"/>
      <c r="AA424" s="557"/>
      <c r="AB424" s="557"/>
      <c r="AC424" s="466"/>
      <c r="AD424" s="557"/>
      <c r="AE424" s="557"/>
      <c r="AF424" s="557"/>
      <c r="AG424" s="557"/>
      <c r="AH424" s="466"/>
      <c r="AI424" s="557"/>
      <c r="AJ424" s="557"/>
      <c r="AK424" s="557"/>
      <c r="AL424" s="558"/>
      <c r="AM424" s="466"/>
      <c r="AN424" s="557"/>
      <c r="AO424" s="557"/>
      <c r="AP424" s="557"/>
      <c r="AQ424" s="558"/>
      <c r="AR424" s="466"/>
      <c r="AS424" s="469"/>
      <c r="AT424" s="469"/>
      <c r="AU424" s="469"/>
      <c r="AV424" s="469"/>
      <c r="AW424" s="466"/>
      <c r="AX424" s="469"/>
      <c r="AY424" s="469"/>
      <c r="AZ424" s="469"/>
      <c r="BA424" s="469"/>
      <c r="BB424" s="466"/>
      <c r="BC424" s="469"/>
      <c r="BD424" s="469"/>
      <c r="BE424" s="559"/>
      <c r="BF424" s="469"/>
      <c r="BG424" s="466"/>
      <c r="BH424" s="469"/>
      <c r="BI424" s="587"/>
      <c r="BJ424" s="559"/>
      <c r="BK424" s="469"/>
      <c r="BL424" s="466"/>
      <c r="BM424" s="469"/>
      <c r="BN424" s="587"/>
      <c r="BO424" s="559"/>
      <c r="BP424" s="469"/>
      <c r="BQ424" s="466"/>
      <c r="BR424" s="469"/>
      <c r="BS424" s="587"/>
      <c r="BT424" s="559"/>
      <c r="BU424" s="469"/>
      <c r="BV424" s="466"/>
      <c r="BW424" s="469"/>
      <c r="BX424" s="587"/>
      <c r="BY424" s="559"/>
      <c r="BZ424" s="469"/>
      <c r="CA424" s="466"/>
      <c r="CB424" s="469"/>
      <c r="CC424" s="587"/>
      <c r="CD424" s="559"/>
      <c r="CE424" s="469"/>
      <c r="CF424" s="466"/>
      <c r="CG424" s="587"/>
      <c r="CH424" s="587"/>
      <c r="CI424" s="587"/>
      <c r="CJ424" s="587"/>
      <c r="CK424" s="466"/>
      <c r="CL424" s="469"/>
      <c r="CM424" s="469"/>
      <c r="CN424" s="469"/>
      <c r="CO424" s="469"/>
      <c r="CP424" s="466"/>
      <c r="CQ424" s="469"/>
      <c r="CR424" s="469"/>
      <c r="CS424" s="469"/>
      <c r="CT424" s="469"/>
      <c r="CU424" s="466"/>
      <c r="CV424" s="469"/>
      <c r="CW424" s="469"/>
      <c r="CX424" s="469"/>
      <c r="CY424" s="469"/>
      <c r="CZ424" s="466"/>
      <c r="DA424" s="469"/>
      <c r="DB424" s="469"/>
      <c r="DC424" s="469"/>
      <c r="DD424" s="469"/>
      <c r="DE424" s="466"/>
      <c r="DF424" s="450"/>
      <c r="DG424" s="450"/>
      <c r="DH424" s="450"/>
      <c r="DI424" s="469"/>
      <c r="DJ424" s="466"/>
      <c r="DK424" s="450"/>
      <c r="DL424" s="450"/>
      <c r="DM424" s="450"/>
      <c r="DN424" s="469"/>
      <c r="DO424" s="466"/>
      <c r="DP424" s="450"/>
      <c r="DQ424" s="450"/>
      <c r="DR424" s="450"/>
      <c r="DS424" s="469"/>
      <c r="DT424" s="466"/>
      <c r="DU424" s="450"/>
      <c r="DV424" s="450"/>
      <c r="DW424" s="450"/>
      <c r="DX424" s="469"/>
      <c r="DY424" s="466"/>
      <c r="DZ424" s="466"/>
      <c r="EA424" s="466"/>
      <c r="EB424" s="466"/>
    </row>
    <row r="425" spans="1:132" s="115" customFormat="1" ht="12" customHeight="1">
      <c r="A425" s="114"/>
      <c r="B425" s="547" t="s">
        <v>431</v>
      </c>
      <c r="C425" s="466"/>
      <c r="D425" s="466"/>
      <c r="E425" s="466"/>
      <c r="F425" s="466"/>
      <c r="G425" s="466"/>
      <c r="H425" s="466"/>
      <c r="I425" s="466"/>
      <c r="J425" s="557"/>
      <c r="K425" s="557"/>
      <c r="L425" s="557"/>
      <c r="M425" s="557"/>
      <c r="N425" s="466"/>
      <c r="O425" s="557"/>
      <c r="P425" s="557"/>
      <c r="Q425" s="557"/>
      <c r="R425" s="557"/>
      <c r="S425" s="466"/>
      <c r="T425" s="557"/>
      <c r="U425" s="557"/>
      <c r="V425" s="557"/>
      <c r="W425" s="557"/>
      <c r="X425" s="466"/>
      <c r="Y425" s="557"/>
      <c r="Z425" s="557"/>
      <c r="AA425" s="557"/>
      <c r="AB425" s="557"/>
      <c r="AC425" s="466"/>
      <c r="AD425" s="557"/>
      <c r="AE425" s="557"/>
      <c r="AF425" s="557"/>
      <c r="AG425" s="557"/>
      <c r="AH425" s="466"/>
      <c r="AI425" s="557"/>
      <c r="AJ425" s="557"/>
      <c r="AK425" s="557"/>
      <c r="AL425" s="558"/>
      <c r="AM425" s="466"/>
      <c r="AN425" s="557"/>
      <c r="AO425" s="557"/>
      <c r="AP425" s="557"/>
      <c r="AQ425" s="558"/>
      <c r="AR425" s="466"/>
      <c r="AS425" s="469"/>
      <c r="AT425" s="469"/>
      <c r="AU425" s="469"/>
      <c r="AV425" s="469"/>
      <c r="AW425" s="466"/>
      <c r="AX425" s="469"/>
      <c r="AY425" s="469"/>
      <c r="AZ425" s="469"/>
      <c r="BA425" s="469"/>
      <c r="BB425" s="466"/>
      <c r="BC425" s="469"/>
      <c r="BD425" s="469"/>
      <c r="BE425" s="559"/>
      <c r="BF425" s="469"/>
      <c r="BG425" s="466"/>
      <c r="BH425" s="469"/>
      <c r="BI425" s="587"/>
      <c r="BJ425" s="559"/>
      <c r="BK425" s="469"/>
      <c r="BL425" s="466"/>
      <c r="BM425" s="469"/>
      <c r="BN425" s="587"/>
      <c r="BO425" s="559"/>
      <c r="BP425" s="469"/>
      <c r="BQ425" s="466"/>
      <c r="BR425" s="469"/>
      <c r="BS425" s="587"/>
      <c r="BT425" s="559"/>
      <c r="BU425" s="469"/>
      <c r="BV425" s="466"/>
      <c r="BW425" s="469"/>
      <c r="BX425" s="587"/>
      <c r="BY425" s="559"/>
      <c r="BZ425" s="469"/>
      <c r="CA425" s="466"/>
      <c r="CB425" s="469"/>
      <c r="CC425" s="587"/>
      <c r="CD425" s="559"/>
      <c r="CE425" s="469"/>
      <c r="CF425" s="466"/>
      <c r="CG425" s="587"/>
      <c r="CH425" s="587"/>
      <c r="CI425" s="587"/>
      <c r="CJ425" s="587"/>
      <c r="CK425" s="466"/>
      <c r="CL425" s="469"/>
      <c r="CM425" s="469"/>
      <c r="CN425" s="469"/>
      <c r="CO425" s="469"/>
      <c r="CP425" s="466"/>
      <c r="CQ425" s="469"/>
      <c r="CR425" s="469"/>
      <c r="CS425" s="469"/>
      <c r="CT425" s="469"/>
      <c r="CU425" s="466"/>
      <c r="CV425" s="469"/>
      <c r="CW425" s="469"/>
      <c r="CX425" s="469"/>
      <c r="CY425" s="469"/>
      <c r="CZ425" s="466"/>
      <c r="DA425" s="469"/>
      <c r="DB425" s="469"/>
      <c r="DC425" s="469"/>
      <c r="DD425" s="469"/>
      <c r="DE425" s="466"/>
      <c r="DF425" s="450"/>
      <c r="DG425" s="450"/>
      <c r="DH425" s="450"/>
      <c r="DI425" s="469"/>
      <c r="DJ425" s="466"/>
      <c r="DK425" s="450"/>
      <c r="DL425" s="450"/>
      <c r="DM425" s="450"/>
      <c r="DN425" s="469"/>
      <c r="DO425" s="466"/>
      <c r="DP425" s="450"/>
      <c r="DQ425" s="450"/>
      <c r="DR425" s="450"/>
      <c r="DS425" s="469"/>
      <c r="DT425" s="466"/>
      <c r="DU425" s="450"/>
      <c r="DV425" s="450"/>
      <c r="DW425" s="450"/>
      <c r="DX425" s="469"/>
      <c r="DY425" s="466"/>
      <c r="DZ425" s="466"/>
      <c r="EA425" s="466"/>
      <c r="EB425" s="466"/>
    </row>
    <row r="426" spans="1:132" s="115" customFormat="1" ht="12" customHeight="1">
      <c r="A426" s="114"/>
      <c r="B426" s="547" t="s">
        <v>432</v>
      </c>
      <c r="C426" s="466"/>
      <c r="D426" s="466"/>
      <c r="E426" s="466"/>
      <c r="F426" s="466"/>
      <c r="G426" s="466"/>
      <c r="H426" s="466"/>
      <c r="I426" s="466"/>
      <c r="J426" s="557"/>
      <c r="K426" s="557"/>
      <c r="L426" s="557"/>
      <c r="M426" s="557"/>
      <c r="N426" s="466"/>
      <c r="O426" s="557"/>
      <c r="P426" s="557"/>
      <c r="Q426" s="557"/>
      <c r="R426" s="557"/>
      <c r="S426" s="466"/>
      <c r="T426" s="557"/>
      <c r="U426" s="557"/>
      <c r="V426" s="557"/>
      <c r="W426" s="557"/>
      <c r="X426" s="466"/>
      <c r="Y426" s="557"/>
      <c r="Z426" s="557"/>
      <c r="AA426" s="557"/>
      <c r="AB426" s="557"/>
      <c r="AC426" s="466"/>
      <c r="AD426" s="557"/>
      <c r="AE426" s="557"/>
      <c r="AF426" s="557"/>
      <c r="AG426" s="557"/>
      <c r="AH426" s="466"/>
      <c r="AI426" s="557"/>
      <c r="AJ426" s="557"/>
      <c r="AK426" s="557"/>
      <c r="AL426" s="558"/>
      <c r="AM426" s="466"/>
      <c r="AN426" s="557"/>
      <c r="AO426" s="557"/>
      <c r="AP426" s="557"/>
      <c r="AQ426" s="558"/>
      <c r="AR426" s="466"/>
      <c r="AS426" s="469"/>
      <c r="AT426" s="469"/>
      <c r="AU426" s="469"/>
      <c r="AV426" s="469"/>
      <c r="AW426" s="466"/>
      <c r="AX426" s="469"/>
      <c r="AY426" s="469"/>
      <c r="AZ426" s="469"/>
      <c r="BA426" s="469"/>
      <c r="BB426" s="466"/>
      <c r="BC426" s="469"/>
      <c r="BD426" s="469"/>
      <c r="BE426" s="559"/>
      <c r="BF426" s="469"/>
      <c r="BG426" s="466"/>
      <c r="BH426" s="469"/>
      <c r="BI426" s="587"/>
      <c r="BJ426" s="559"/>
      <c r="BK426" s="469"/>
      <c r="BL426" s="466"/>
      <c r="BM426" s="469"/>
      <c r="BN426" s="587"/>
      <c r="BO426" s="559"/>
      <c r="BP426" s="469"/>
      <c r="BQ426" s="466"/>
      <c r="BR426" s="469"/>
      <c r="BS426" s="587"/>
      <c r="BT426" s="559"/>
      <c r="BU426" s="469"/>
      <c r="BV426" s="466"/>
      <c r="BW426" s="469"/>
      <c r="BX426" s="587"/>
      <c r="BY426" s="559"/>
      <c r="BZ426" s="469"/>
      <c r="CA426" s="466"/>
      <c r="CB426" s="469"/>
      <c r="CC426" s="587"/>
      <c r="CD426" s="559"/>
      <c r="CE426" s="469"/>
      <c r="CF426" s="466"/>
      <c r="CG426" s="587"/>
      <c r="CH426" s="587"/>
      <c r="CI426" s="587"/>
      <c r="CJ426" s="587"/>
      <c r="CK426" s="466"/>
      <c r="CL426" s="469"/>
      <c r="CM426" s="469"/>
      <c r="CN426" s="469"/>
      <c r="CO426" s="469"/>
      <c r="CP426" s="466"/>
      <c r="CQ426" s="469"/>
      <c r="CR426" s="469"/>
      <c r="CS426" s="469"/>
      <c r="CT426" s="469"/>
      <c r="CU426" s="466"/>
      <c r="CV426" s="469"/>
      <c r="CW426" s="469"/>
      <c r="CX426" s="469"/>
      <c r="CY426" s="469"/>
      <c r="CZ426" s="466"/>
      <c r="DA426" s="469"/>
      <c r="DB426" s="469"/>
      <c r="DC426" s="469"/>
      <c r="DD426" s="469"/>
      <c r="DE426" s="466"/>
      <c r="DF426" s="450"/>
      <c r="DG426" s="450"/>
      <c r="DH426" s="450"/>
      <c r="DI426" s="469"/>
      <c r="DJ426" s="466"/>
      <c r="DK426" s="450"/>
      <c r="DL426" s="450"/>
      <c r="DM426" s="450"/>
      <c r="DN426" s="469"/>
      <c r="DO426" s="466"/>
      <c r="DP426" s="450"/>
      <c r="DQ426" s="450"/>
      <c r="DR426" s="450"/>
      <c r="DS426" s="469"/>
      <c r="DT426" s="466"/>
      <c r="DU426" s="450"/>
      <c r="DV426" s="450"/>
      <c r="DW426" s="450"/>
      <c r="DX426" s="469"/>
      <c r="DY426" s="466"/>
      <c r="DZ426" s="466"/>
      <c r="EA426" s="466"/>
      <c r="EB426" s="466"/>
    </row>
    <row r="427" spans="1:132" s="115" customFormat="1" ht="12" customHeight="1">
      <c r="A427" s="114"/>
      <c r="B427" s="547" t="s">
        <v>433</v>
      </c>
      <c r="C427" s="466"/>
      <c r="D427" s="466"/>
      <c r="E427" s="466"/>
      <c r="F427" s="466"/>
      <c r="G427" s="466"/>
      <c r="H427" s="466"/>
      <c r="I427" s="466"/>
      <c r="J427" s="557"/>
      <c r="K427" s="557"/>
      <c r="L427" s="557"/>
      <c r="M427" s="557"/>
      <c r="N427" s="466"/>
      <c r="O427" s="557"/>
      <c r="P427" s="557"/>
      <c r="Q427" s="557"/>
      <c r="R427" s="557"/>
      <c r="S427" s="466"/>
      <c r="T427" s="557"/>
      <c r="U427" s="557"/>
      <c r="V427" s="557"/>
      <c r="W427" s="557"/>
      <c r="X427" s="466"/>
      <c r="Y427" s="557"/>
      <c r="Z427" s="557"/>
      <c r="AA427" s="557"/>
      <c r="AB427" s="557"/>
      <c r="AC427" s="466"/>
      <c r="AD427" s="557"/>
      <c r="AE427" s="557"/>
      <c r="AF427" s="557"/>
      <c r="AG427" s="557"/>
      <c r="AH427" s="466"/>
      <c r="AI427" s="557"/>
      <c r="AJ427" s="557"/>
      <c r="AK427" s="557"/>
      <c r="AL427" s="558"/>
      <c r="AM427" s="466"/>
      <c r="AN427" s="557"/>
      <c r="AO427" s="557"/>
      <c r="AP427" s="557"/>
      <c r="AQ427" s="558"/>
      <c r="AR427" s="466"/>
      <c r="AS427" s="469"/>
      <c r="AT427" s="469"/>
      <c r="AU427" s="469"/>
      <c r="AV427" s="469"/>
      <c r="AW427" s="466"/>
      <c r="AX427" s="469"/>
      <c r="AY427" s="469"/>
      <c r="AZ427" s="469"/>
      <c r="BA427" s="469"/>
      <c r="BB427" s="466"/>
      <c r="BC427" s="469"/>
      <c r="BD427" s="469"/>
      <c r="BE427" s="559"/>
      <c r="BF427" s="469"/>
      <c r="BG427" s="466"/>
      <c r="BH427" s="469"/>
      <c r="BI427" s="587"/>
      <c r="BJ427" s="559"/>
      <c r="BK427" s="469"/>
      <c r="BL427" s="466"/>
      <c r="BM427" s="469"/>
      <c r="BN427" s="587"/>
      <c r="BO427" s="559"/>
      <c r="BP427" s="469"/>
      <c r="BQ427" s="466"/>
      <c r="BR427" s="469"/>
      <c r="BS427" s="587"/>
      <c r="BT427" s="559"/>
      <c r="BU427" s="469"/>
      <c r="BV427" s="466"/>
      <c r="BW427" s="469"/>
      <c r="BX427" s="587"/>
      <c r="BY427" s="559"/>
      <c r="BZ427" s="469"/>
      <c r="CA427" s="466"/>
      <c r="CB427" s="469"/>
      <c r="CC427" s="587"/>
      <c r="CD427" s="559"/>
      <c r="CE427" s="469"/>
      <c r="CF427" s="466"/>
      <c r="CG427" s="587"/>
      <c r="CH427" s="587"/>
      <c r="CI427" s="587"/>
      <c r="CJ427" s="587"/>
      <c r="CK427" s="466"/>
      <c r="CL427" s="469"/>
      <c r="CM427" s="469"/>
      <c r="CN427" s="469"/>
      <c r="CO427" s="469"/>
      <c r="CP427" s="466"/>
      <c r="CQ427" s="469"/>
      <c r="CR427" s="469"/>
      <c r="CS427" s="469"/>
      <c r="CT427" s="469"/>
      <c r="CU427" s="466"/>
      <c r="CV427" s="469"/>
      <c r="CW427" s="469"/>
      <c r="CX427" s="469"/>
      <c r="CY427" s="469"/>
      <c r="CZ427" s="466"/>
      <c r="DA427" s="469"/>
      <c r="DB427" s="469"/>
      <c r="DC427" s="469"/>
      <c r="DD427" s="469"/>
      <c r="DE427" s="466"/>
      <c r="DF427" s="450"/>
      <c r="DG427" s="450"/>
      <c r="DH427" s="450"/>
      <c r="DI427" s="469"/>
      <c r="DJ427" s="466"/>
      <c r="DK427" s="450"/>
      <c r="DL427" s="450"/>
      <c r="DM427" s="450"/>
      <c r="DN427" s="469"/>
      <c r="DO427" s="466"/>
      <c r="DP427" s="450"/>
      <c r="DQ427" s="450"/>
      <c r="DR427" s="450"/>
      <c r="DS427" s="469"/>
      <c r="DT427" s="466"/>
      <c r="DU427" s="450"/>
      <c r="DV427" s="450"/>
      <c r="DW427" s="450"/>
      <c r="DX427" s="469"/>
      <c r="DY427" s="466"/>
      <c r="DZ427" s="466"/>
      <c r="EA427" s="466"/>
      <c r="EB427" s="466"/>
    </row>
    <row r="428" spans="1:132" s="115" customFormat="1" ht="12" customHeight="1">
      <c r="A428" s="114"/>
      <c r="B428" s="547" t="s">
        <v>434</v>
      </c>
      <c r="C428" s="466"/>
      <c r="D428" s="466"/>
      <c r="E428" s="466"/>
      <c r="F428" s="466"/>
      <c r="G428" s="466"/>
      <c r="H428" s="466"/>
      <c r="I428" s="466"/>
      <c r="J428" s="557"/>
      <c r="K428" s="557"/>
      <c r="L428" s="557"/>
      <c r="M428" s="557"/>
      <c r="N428" s="466"/>
      <c r="O428" s="557"/>
      <c r="P428" s="557"/>
      <c r="Q428" s="557"/>
      <c r="R428" s="557"/>
      <c r="S428" s="466"/>
      <c r="T428" s="557"/>
      <c r="U428" s="557"/>
      <c r="V428" s="557"/>
      <c r="W428" s="557"/>
      <c r="X428" s="466"/>
      <c r="Y428" s="557"/>
      <c r="Z428" s="557"/>
      <c r="AA428" s="557"/>
      <c r="AB428" s="557"/>
      <c r="AC428" s="466"/>
      <c r="AD428" s="557"/>
      <c r="AE428" s="557"/>
      <c r="AF428" s="557"/>
      <c r="AG428" s="557"/>
      <c r="AH428" s="466"/>
      <c r="AI428" s="557"/>
      <c r="AJ428" s="557"/>
      <c r="AK428" s="557"/>
      <c r="AL428" s="558"/>
      <c r="AM428" s="466"/>
      <c r="AN428" s="557"/>
      <c r="AO428" s="557"/>
      <c r="AP428" s="557"/>
      <c r="AQ428" s="558"/>
      <c r="AR428" s="466"/>
      <c r="AS428" s="469"/>
      <c r="AT428" s="469"/>
      <c r="AU428" s="469"/>
      <c r="AV428" s="469"/>
      <c r="AW428" s="466"/>
      <c r="AX428" s="469"/>
      <c r="AY428" s="469"/>
      <c r="AZ428" s="469"/>
      <c r="BA428" s="469"/>
      <c r="BB428" s="466"/>
      <c r="BC428" s="469"/>
      <c r="BD428" s="469"/>
      <c r="BE428" s="559"/>
      <c r="BF428" s="469"/>
      <c r="BG428" s="466"/>
      <c r="BH428" s="469"/>
      <c r="BI428" s="587"/>
      <c r="BJ428" s="559"/>
      <c r="BK428" s="469"/>
      <c r="BL428" s="466"/>
      <c r="BM428" s="469"/>
      <c r="BN428" s="587"/>
      <c r="BO428" s="559"/>
      <c r="BP428" s="469"/>
      <c r="BQ428" s="466"/>
      <c r="BR428" s="469"/>
      <c r="BS428" s="587"/>
      <c r="BT428" s="559"/>
      <c r="BU428" s="469"/>
      <c r="BV428" s="466"/>
      <c r="BW428" s="469"/>
      <c r="BX428" s="587"/>
      <c r="BY428" s="559"/>
      <c r="BZ428" s="469"/>
      <c r="CA428" s="466"/>
      <c r="CB428" s="469"/>
      <c r="CC428" s="587"/>
      <c r="CD428" s="559"/>
      <c r="CE428" s="469"/>
      <c r="CF428" s="466"/>
      <c r="CG428" s="587"/>
      <c r="CH428" s="587"/>
      <c r="CI428" s="587"/>
      <c r="CJ428" s="587"/>
      <c r="CK428" s="466"/>
      <c r="CL428" s="469"/>
      <c r="CM428" s="469"/>
      <c r="CN428" s="469"/>
      <c r="CO428" s="469"/>
      <c r="CP428" s="466"/>
      <c r="CQ428" s="469"/>
      <c r="CR428" s="469"/>
      <c r="CS428" s="469"/>
      <c r="CT428" s="469"/>
      <c r="CU428" s="466"/>
      <c r="CV428" s="469"/>
      <c r="CW428" s="469"/>
      <c r="CX428" s="469"/>
      <c r="CY428" s="469"/>
      <c r="CZ428" s="466"/>
      <c r="DA428" s="469"/>
      <c r="DB428" s="469"/>
      <c r="DC428" s="469"/>
      <c r="DD428" s="469"/>
      <c r="DE428" s="466"/>
      <c r="DF428" s="450"/>
      <c r="DG428" s="450"/>
      <c r="DH428" s="450"/>
      <c r="DI428" s="469"/>
      <c r="DJ428" s="466"/>
      <c r="DK428" s="450"/>
      <c r="DL428" s="450"/>
      <c r="DM428" s="450"/>
      <c r="DN428" s="469"/>
      <c r="DO428" s="466"/>
      <c r="DP428" s="450"/>
      <c r="DQ428" s="450"/>
      <c r="DR428" s="450"/>
      <c r="DS428" s="469"/>
      <c r="DT428" s="466"/>
      <c r="DU428" s="450"/>
      <c r="DV428" s="450"/>
      <c r="DW428" s="450"/>
      <c r="DX428" s="469"/>
      <c r="DY428" s="466"/>
      <c r="DZ428" s="466"/>
      <c r="EA428" s="466"/>
      <c r="EB428" s="466"/>
    </row>
    <row r="429" spans="1:132" s="115" customFormat="1" ht="12" customHeight="1">
      <c r="A429" s="114"/>
      <c r="B429" s="547" t="s">
        <v>435</v>
      </c>
      <c r="C429" s="466"/>
      <c r="D429" s="466"/>
      <c r="E429" s="466"/>
      <c r="F429" s="466"/>
      <c r="G429" s="466"/>
      <c r="H429" s="466"/>
      <c r="I429" s="466"/>
      <c r="J429" s="557"/>
      <c r="K429" s="557"/>
      <c r="L429" s="557"/>
      <c r="M429" s="557"/>
      <c r="N429" s="466"/>
      <c r="O429" s="557"/>
      <c r="P429" s="557"/>
      <c r="Q429" s="557"/>
      <c r="R429" s="557"/>
      <c r="S429" s="466"/>
      <c r="T429" s="557"/>
      <c r="U429" s="557"/>
      <c r="V429" s="557"/>
      <c r="W429" s="557"/>
      <c r="X429" s="466"/>
      <c r="Y429" s="557"/>
      <c r="Z429" s="557"/>
      <c r="AA429" s="557"/>
      <c r="AB429" s="557"/>
      <c r="AC429" s="466"/>
      <c r="AD429" s="557"/>
      <c r="AE429" s="557"/>
      <c r="AF429" s="557"/>
      <c r="AG429" s="557"/>
      <c r="AH429" s="466"/>
      <c r="AI429" s="557"/>
      <c r="AJ429" s="557"/>
      <c r="AK429" s="557"/>
      <c r="AL429" s="558"/>
      <c r="AM429" s="466"/>
      <c r="AN429" s="557"/>
      <c r="AO429" s="557"/>
      <c r="AP429" s="557"/>
      <c r="AQ429" s="558"/>
      <c r="AR429" s="466"/>
      <c r="AS429" s="469"/>
      <c r="AT429" s="469"/>
      <c r="AU429" s="469"/>
      <c r="AV429" s="469"/>
      <c r="AW429" s="466"/>
      <c r="AX429" s="469"/>
      <c r="AY429" s="469"/>
      <c r="AZ429" s="469"/>
      <c r="BA429" s="469"/>
      <c r="BB429" s="466"/>
      <c r="BC429" s="469"/>
      <c r="BD429" s="469"/>
      <c r="BE429" s="559"/>
      <c r="BF429" s="469"/>
      <c r="BG429" s="466"/>
      <c r="BH429" s="469"/>
      <c r="BI429" s="587"/>
      <c r="BJ429" s="559"/>
      <c r="BK429" s="469"/>
      <c r="BL429" s="466"/>
      <c r="BM429" s="469"/>
      <c r="BN429" s="587"/>
      <c r="BO429" s="559"/>
      <c r="BP429" s="469"/>
      <c r="BQ429" s="466"/>
      <c r="BR429" s="469"/>
      <c r="BS429" s="587"/>
      <c r="BT429" s="559"/>
      <c r="BU429" s="469"/>
      <c r="BV429" s="466"/>
      <c r="BW429" s="469"/>
      <c r="BX429" s="587"/>
      <c r="BY429" s="559"/>
      <c r="BZ429" s="469"/>
      <c r="CA429" s="466"/>
      <c r="CB429" s="469"/>
      <c r="CC429" s="587"/>
      <c r="CD429" s="559"/>
      <c r="CE429" s="469"/>
      <c r="CF429" s="466"/>
      <c r="CG429" s="587"/>
      <c r="CH429" s="587"/>
      <c r="CI429" s="587"/>
      <c r="CJ429" s="587"/>
      <c r="CK429" s="466"/>
      <c r="CL429" s="469"/>
      <c r="CM429" s="469"/>
      <c r="CN429" s="469"/>
      <c r="CO429" s="469"/>
      <c r="CP429" s="466"/>
      <c r="CQ429" s="469"/>
      <c r="CR429" s="469"/>
      <c r="CS429" s="469"/>
      <c r="CT429" s="469"/>
      <c r="CU429" s="466"/>
      <c r="CV429" s="469"/>
      <c r="CW429" s="469"/>
      <c r="CX429" s="469"/>
      <c r="CY429" s="469"/>
      <c r="CZ429" s="466"/>
      <c r="DA429" s="469"/>
      <c r="DB429" s="469"/>
      <c r="DC429" s="469"/>
      <c r="DD429" s="469"/>
      <c r="DE429" s="466"/>
      <c r="DF429" s="450"/>
      <c r="DG429" s="450"/>
      <c r="DH429" s="450"/>
      <c r="DI429" s="469"/>
      <c r="DJ429" s="466"/>
      <c r="DK429" s="450"/>
      <c r="DL429" s="450"/>
      <c r="DM429" s="450"/>
      <c r="DN429" s="469"/>
      <c r="DO429" s="466"/>
      <c r="DP429" s="450"/>
      <c r="DQ429" s="450"/>
      <c r="DR429" s="450"/>
      <c r="DS429" s="469"/>
      <c r="DT429" s="466"/>
      <c r="DU429" s="450"/>
      <c r="DV429" s="450"/>
      <c r="DW429" s="450"/>
      <c r="DX429" s="469"/>
      <c r="DY429" s="466"/>
      <c r="DZ429" s="466"/>
      <c r="EA429" s="466"/>
      <c r="EB429" s="466"/>
    </row>
    <row r="430" spans="1:132" s="115" customFormat="1" ht="12" customHeight="1">
      <c r="A430" s="114"/>
      <c r="B430" s="547" t="s">
        <v>436</v>
      </c>
      <c r="C430" s="466"/>
      <c r="D430" s="466"/>
      <c r="E430" s="466"/>
      <c r="F430" s="466"/>
      <c r="G430" s="466"/>
      <c r="H430" s="466"/>
      <c r="I430" s="466"/>
      <c r="J430" s="557"/>
      <c r="K430" s="557"/>
      <c r="L430" s="557"/>
      <c r="M430" s="557"/>
      <c r="N430" s="466"/>
      <c r="O430" s="557"/>
      <c r="P430" s="557"/>
      <c r="Q430" s="557"/>
      <c r="R430" s="557"/>
      <c r="S430" s="466"/>
      <c r="T430" s="557"/>
      <c r="U430" s="557"/>
      <c r="V430" s="557"/>
      <c r="W430" s="557"/>
      <c r="X430" s="466"/>
      <c r="Y430" s="557"/>
      <c r="Z430" s="557"/>
      <c r="AA430" s="557"/>
      <c r="AB430" s="557"/>
      <c r="AC430" s="466"/>
      <c r="AD430" s="557"/>
      <c r="AE430" s="557"/>
      <c r="AF430" s="557"/>
      <c r="AG430" s="557"/>
      <c r="AH430" s="466"/>
      <c r="AI430" s="557"/>
      <c r="AJ430" s="557"/>
      <c r="AK430" s="557"/>
      <c r="AL430" s="558"/>
      <c r="AM430" s="466"/>
      <c r="AN430" s="557"/>
      <c r="AO430" s="557"/>
      <c r="AP430" s="557"/>
      <c r="AQ430" s="558"/>
      <c r="AR430" s="466"/>
      <c r="AS430" s="469"/>
      <c r="AT430" s="469"/>
      <c r="AU430" s="469"/>
      <c r="AV430" s="469"/>
      <c r="AW430" s="466"/>
      <c r="AX430" s="469"/>
      <c r="AY430" s="469"/>
      <c r="AZ430" s="469"/>
      <c r="BA430" s="469"/>
      <c r="BB430" s="466"/>
      <c r="BC430" s="469"/>
      <c r="BD430" s="469"/>
      <c r="BE430" s="559"/>
      <c r="BF430" s="469"/>
      <c r="BG430" s="466"/>
      <c r="BH430" s="469"/>
      <c r="BI430" s="469"/>
      <c r="BJ430" s="559"/>
      <c r="BK430" s="469"/>
      <c r="BL430" s="466"/>
      <c r="BM430" s="469"/>
      <c r="BN430" s="469"/>
      <c r="BO430" s="559"/>
      <c r="BP430" s="469"/>
      <c r="BQ430" s="466"/>
      <c r="BR430" s="469"/>
      <c r="BS430" s="469"/>
      <c r="BT430" s="559"/>
      <c r="BU430" s="469"/>
      <c r="BV430" s="466"/>
      <c r="BW430" s="469"/>
      <c r="BX430" s="469"/>
      <c r="BY430" s="559"/>
      <c r="BZ430" s="469"/>
      <c r="CA430" s="466"/>
      <c r="CB430" s="469"/>
      <c r="CC430" s="469"/>
      <c r="CD430" s="559"/>
      <c r="CE430" s="469"/>
      <c r="CF430" s="466"/>
      <c r="CG430" s="469"/>
      <c r="CH430" s="469"/>
      <c r="CI430" s="469"/>
      <c r="CJ430" s="469"/>
      <c r="CK430" s="466"/>
      <c r="CL430" s="469"/>
      <c r="CM430" s="469"/>
      <c r="CN430" s="469"/>
      <c r="CO430" s="469"/>
      <c r="CP430" s="466"/>
      <c r="CQ430" s="469"/>
      <c r="CR430" s="469"/>
      <c r="CS430" s="469"/>
      <c r="CT430" s="469"/>
      <c r="CU430" s="466"/>
      <c r="CV430" s="469"/>
      <c r="CW430" s="469"/>
      <c r="CX430" s="469"/>
      <c r="CY430" s="469"/>
      <c r="CZ430" s="466"/>
      <c r="DA430" s="469"/>
      <c r="DB430" s="469"/>
      <c r="DC430" s="469"/>
      <c r="DD430" s="469"/>
      <c r="DE430" s="466"/>
      <c r="DF430" s="450"/>
      <c r="DG430" s="450"/>
      <c r="DH430" s="450"/>
      <c r="DI430" s="469"/>
      <c r="DJ430" s="466"/>
      <c r="DK430" s="450"/>
      <c r="DL430" s="450"/>
      <c r="DM430" s="450"/>
      <c r="DN430" s="469"/>
      <c r="DO430" s="466"/>
      <c r="DP430" s="450"/>
      <c r="DQ430" s="450"/>
      <c r="DR430" s="450"/>
      <c r="DS430" s="469"/>
      <c r="DT430" s="466"/>
      <c r="DU430" s="450"/>
      <c r="DV430" s="450"/>
      <c r="DW430" s="450"/>
      <c r="DX430" s="469"/>
      <c r="DY430" s="466"/>
      <c r="DZ430" s="466"/>
      <c r="EA430" s="466"/>
      <c r="EB430" s="466"/>
    </row>
    <row r="431" spans="1:132" s="115" customFormat="1" ht="12" customHeight="1">
      <c r="A431" s="114"/>
      <c r="B431" s="547" t="s">
        <v>437</v>
      </c>
      <c r="C431" s="466"/>
      <c r="D431" s="466"/>
      <c r="E431" s="466"/>
      <c r="F431" s="466"/>
      <c r="G431" s="466"/>
      <c r="H431" s="466"/>
      <c r="I431" s="466"/>
      <c r="J431" s="557"/>
      <c r="K431" s="557"/>
      <c r="L431" s="557"/>
      <c r="M431" s="557"/>
      <c r="N431" s="466"/>
      <c r="O431" s="557"/>
      <c r="P431" s="557"/>
      <c r="Q431" s="557"/>
      <c r="R431" s="557"/>
      <c r="S431" s="466"/>
      <c r="T431" s="557"/>
      <c r="U431" s="557"/>
      <c r="V431" s="557"/>
      <c r="W431" s="557"/>
      <c r="X431" s="466"/>
      <c r="Y431" s="557"/>
      <c r="Z431" s="557"/>
      <c r="AA431" s="557"/>
      <c r="AB431" s="557"/>
      <c r="AC431" s="466"/>
      <c r="AD431" s="557"/>
      <c r="AE431" s="557"/>
      <c r="AF431" s="557"/>
      <c r="AG431" s="557"/>
      <c r="AH431" s="466"/>
      <c r="AI431" s="557"/>
      <c r="AJ431" s="557"/>
      <c r="AK431" s="557"/>
      <c r="AL431" s="558"/>
      <c r="AM431" s="466"/>
      <c r="AN431" s="557"/>
      <c r="AO431" s="557"/>
      <c r="AP431" s="557"/>
      <c r="AQ431" s="558"/>
      <c r="AR431" s="466"/>
      <c r="AS431" s="469"/>
      <c r="AT431" s="469"/>
      <c r="AU431" s="469"/>
      <c r="AV431" s="469"/>
      <c r="AW431" s="466"/>
      <c r="AX431" s="469"/>
      <c r="AY431" s="469"/>
      <c r="AZ431" s="469"/>
      <c r="BA431" s="469"/>
      <c r="BB431" s="466"/>
      <c r="BC431" s="469"/>
      <c r="BD431" s="469"/>
      <c r="BE431" s="559"/>
      <c r="BF431" s="469"/>
      <c r="BG431" s="466"/>
      <c r="BH431" s="469"/>
      <c r="BI431" s="469"/>
      <c r="BJ431" s="559"/>
      <c r="BK431" s="469"/>
      <c r="BL431" s="466"/>
      <c r="BM431" s="469"/>
      <c r="BN431" s="469"/>
      <c r="BO431" s="559"/>
      <c r="BP431" s="469"/>
      <c r="BQ431" s="466"/>
      <c r="BR431" s="469"/>
      <c r="BS431" s="469"/>
      <c r="BT431" s="559"/>
      <c r="BU431" s="469"/>
      <c r="BV431" s="466"/>
      <c r="BW431" s="469"/>
      <c r="BX431" s="469"/>
      <c r="BY431" s="559"/>
      <c r="BZ431" s="469"/>
      <c r="CA431" s="466"/>
      <c r="CB431" s="469"/>
      <c r="CC431" s="469"/>
      <c r="CD431" s="559"/>
      <c r="CE431" s="469"/>
      <c r="CF431" s="466"/>
      <c r="CG431" s="469"/>
      <c r="CH431" s="469"/>
      <c r="CI431" s="469"/>
      <c r="CJ431" s="469"/>
      <c r="CK431" s="466"/>
      <c r="CL431" s="469"/>
      <c r="CM431" s="469"/>
      <c r="CN431" s="469"/>
      <c r="CO431" s="469"/>
      <c r="CP431" s="466"/>
      <c r="CQ431" s="469"/>
      <c r="CR431" s="469"/>
      <c r="CS431" s="469"/>
      <c r="CT431" s="469"/>
      <c r="CU431" s="466"/>
      <c r="CV431" s="469"/>
      <c r="CW431" s="469"/>
      <c r="CX431" s="469"/>
      <c r="CY431" s="469"/>
      <c r="CZ431" s="466"/>
      <c r="DA431" s="469"/>
      <c r="DB431" s="469"/>
      <c r="DC431" s="469"/>
      <c r="DD431" s="469"/>
      <c r="DE431" s="466"/>
      <c r="DF431" s="450"/>
      <c r="DG431" s="450"/>
      <c r="DH431" s="450"/>
      <c r="DI431" s="469"/>
      <c r="DJ431" s="466"/>
      <c r="DK431" s="450"/>
      <c r="DL431" s="450"/>
      <c r="DM431" s="450"/>
      <c r="DN431" s="469"/>
      <c r="DO431" s="466"/>
      <c r="DP431" s="450"/>
      <c r="DQ431" s="450"/>
      <c r="DR431" s="450"/>
      <c r="DS431" s="469"/>
      <c r="DT431" s="466"/>
      <c r="DU431" s="450"/>
      <c r="DV431" s="450"/>
      <c r="DW431" s="450"/>
      <c r="DX431" s="469"/>
      <c r="DY431" s="466"/>
      <c r="DZ431" s="466"/>
      <c r="EA431" s="466"/>
      <c r="EB431" s="466"/>
    </row>
    <row r="432" spans="1:132" s="115" customFormat="1" ht="12" customHeight="1">
      <c r="A432" s="114"/>
      <c r="B432" s="476" t="s">
        <v>438</v>
      </c>
      <c r="C432" s="466"/>
      <c r="D432" s="466"/>
      <c r="E432" s="466"/>
      <c r="F432" s="466"/>
      <c r="G432" s="466"/>
      <c r="H432" s="466"/>
      <c r="I432" s="466"/>
      <c r="J432" s="557"/>
      <c r="K432" s="557"/>
      <c r="L432" s="557"/>
      <c r="M432" s="557"/>
      <c r="N432" s="466"/>
      <c r="O432" s="557"/>
      <c r="P432" s="557"/>
      <c r="Q432" s="557"/>
      <c r="R432" s="557"/>
      <c r="S432" s="466"/>
      <c r="T432" s="557"/>
      <c r="U432" s="557"/>
      <c r="V432" s="557"/>
      <c r="W432" s="557"/>
      <c r="X432" s="466"/>
      <c r="Y432" s="557"/>
      <c r="Z432" s="557"/>
      <c r="AA432" s="557"/>
      <c r="AB432" s="557"/>
      <c r="AC432" s="466"/>
      <c r="AD432" s="557"/>
      <c r="AE432" s="557"/>
      <c r="AF432" s="557"/>
      <c r="AG432" s="557"/>
      <c r="AH432" s="466"/>
      <c r="AI432" s="557"/>
      <c r="AJ432" s="557"/>
      <c r="AK432" s="557"/>
      <c r="AL432" s="558"/>
      <c r="AM432" s="466"/>
      <c r="AN432" s="557"/>
      <c r="AO432" s="557"/>
      <c r="AP432" s="557"/>
      <c r="AQ432" s="558"/>
      <c r="AR432" s="466"/>
      <c r="AS432" s="469"/>
      <c r="AT432" s="469"/>
      <c r="AU432" s="469"/>
      <c r="AV432" s="469"/>
      <c r="AW432" s="466"/>
      <c r="AX432" s="469"/>
      <c r="AY432" s="469"/>
      <c r="AZ432" s="469"/>
      <c r="BA432" s="469"/>
      <c r="BB432" s="438">
        <f>1-SUM(BB418:BB431)</f>
        <v>5.0000000000000044E-3</v>
      </c>
      <c r="BC432" s="469"/>
      <c r="BD432" s="469"/>
      <c r="BE432" s="559"/>
      <c r="BF432" s="469"/>
      <c r="BG432" s="438">
        <f>1-SUM(BG418:BG431)</f>
        <v>5.0000000000000044E-3</v>
      </c>
      <c r="BH432" s="469"/>
      <c r="BI432" s="469"/>
      <c r="BJ432" s="559"/>
      <c r="BK432" s="469"/>
      <c r="BL432" s="438">
        <f>1-SUM(BL418:BL431)</f>
        <v>5.0000000000000044E-3</v>
      </c>
      <c r="BM432" s="469"/>
      <c r="BN432" s="469"/>
      <c r="BO432" s="559"/>
      <c r="BP432" s="469"/>
      <c r="BQ432" s="438">
        <f>1-SUM(BQ418:BQ431)</f>
        <v>5.0000000000000044E-3</v>
      </c>
      <c r="BR432" s="469"/>
      <c r="BS432" s="469"/>
      <c r="BT432" s="559"/>
      <c r="BU432" s="469"/>
      <c r="BV432" s="438">
        <f>1-SUM(BV418:BV431)</f>
        <v>5.0000000000000044E-3</v>
      </c>
      <c r="BW432" s="469"/>
      <c r="BX432" s="469"/>
      <c r="BY432" s="559"/>
      <c r="BZ432" s="469"/>
      <c r="CA432" s="438">
        <f>1-SUM(CA418:CA431)</f>
        <v>5.0000000000000044E-3</v>
      </c>
      <c r="CB432" s="469"/>
      <c r="CC432" s="469"/>
      <c r="CD432" s="559"/>
      <c r="CE432" s="469"/>
      <c r="CF432" s="438">
        <f>1-SUM(CF418:CF431)</f>
        <v>5.0000000000000044E-3</v>
      </c>
      <c r="CG432" s="469"/>
      <c r="CH432" s="469"/>
      <c r="CI432" s="469"/>
      <c r="CJ432" s="469"/>
      <c r="CK432" s="438">
        <f>1-SUM(CK418:CK431)</f>
        <v>5.0000000000000044E-3</v>
      </c>
      <c r="CL432" s="469"/>
      <c r="CM432" s="469"/>
      <c r="CN432" s="469"/>
      <c r="CO432" s="469"/>
      <c r="CP432" s="438">
        <f>1-SUM(CP418:CP431)</f>
        <v>5.0000000000000044E-3</v>
      </c>
      <c r="CQ432" s="469"/>
      <c r="CR432" s="469"/>
      <c r="CS432" s="469"/>
      <c r="CT432" s="469"/>
      <c r="CU432" s="438">
        <f>1-SUM(CU418:CU431)</f>
        <v>5.0000000000000044E-3</v>
      </c>
      <c r="CV432" s="469"/>
      <c r="CW432" s="469"/>
      <c r="CX432" s="469"/>
      <c r="CY432" s="469"/>
      <c r="CZ432" s="438">
        <f>1-SUM(CZ418:CZ431)</f>
        <v>5.0000000000000044E-3</v>
      </c>
      <c r="DA432" s="469"/>
      <c r="DB432" s="469"/>
      <c r="DC432" s="469"/>
      <c r="DD432" s="469"/>
      <c r="DE432" s="438">
        <f>1-SUM(DE418:DE431)</f>
        <v>5.0000000000000044E-3</v>
      </c>
      <c r="DF432" s="486"/>
      <c r="DG432" s="486"/>
      <c r="DH432" s="486"/>
      <c r="DI432" s="469"/>
      <c r="DJ432" s="438">
        <f>1-SUM(DJ418:DJ431)</f>
        <v>5.0000000000000044E-3</v>
      </c>
      <c r="DK432" s="486"/>
      <c r="DL432" s="486"/>
      <c r="DM432" s="486"/>
      <c r="DN432" s="469"/>
      <c r="DO432" s="438">
        <f>1-SUM(DO418:DO431)</f>
        <v>5.0000000000000044E-3</v>
      </c>
      <c r="DP432" s="486"/>
      <c r="DQ432" s="486"/>
      <c r="DR432" s="486"/>
      <c r="DS432" s="469"/>
      <c r="DT432" s="438">
        <f>1-SUM(DT418:DT431)</f>
        <v>5.0000000000000044E-3</v>
      </c>
      <c r="DU432" s="486"/>
      <c r="DV432" s="486"/>
      <c r="DW432" s="486"/>
      <c r="DX432" s="469"/>
      <c r="DY432" s="438">
        <f>1-SUM(DY418:DY431)</f>
        <v>5.0000000000000044E-3</v>
      </c>
      <c r="DZ432" s="438">
        <f>1-SUM(DZ418:DZ431)</f>
        <v>5.0000000000000044E-3</v>
      </c>
      <c r="EA432" s="438">
        <f t="shared" ref="EA432:EB432" si="701">1-SUM(EA418:EA431)</f>
        <v>5.0000000000000044E-3</v>
      </c>
      <c r="EB432" s="438">
        <f t="shared" si="701"/>
        <v>5.0000000000000044E-3</v>
      </c>
    </row>
    <row r="433" spans="1:132" s="115" customFormat="1" ht="12" customHeight="1">
      <c r="A433" s="462"/>
      <c r="B433" s="463"/>
      <c r="C433" s="467"/>
      <c r="D433" s="467"/>
      <c r="E433" s="467"/>
      <c r="F433" s="467"/>
      <c r="G433" s="467"/>
      <c r="H433" s="467"/>
      <c r="I433" s="467"/>
      <c r="J433" s="462"/>
      <c r="K433" s="462"/>
      <c r="L433" s="462"/>
      <c r="M433" s="462"/>
      <c r="N433" s="467"/>
      <c r="O433" s="462"/>
      <c r="P433" s="462"/>
      <c r="Q433" s="462"/>
      <c r="R433" s="462"/>
      <c r="S433" s="467"/>
      <c r="T433" s="462"/>
      <c r="U433" s="462"/>
      <c r="V433" s="462"/>
      <c r="W433" s="462"/>
      <c r="X433" s="467"/>
      <c r="Y433" s="462"/>
      <c r="Z433" s="462"/>
      <c r="AA433" s="462"/>
      <c r="AB433" s="462"/>
      <c r="AC433" s="467"/>
      <c r="AD433" s="462"/>
      <c r="AE433" s="462"/>
      <c r="AF433" s="462"/>
      <c r="AG433" s="462"/>
      <c r="AH433" s="467"/>
      <c r="AI433" s="462"/>
      <c r="AJ433" s="462"/>
      <c r="AK433" s="462"/>
      <c r="AL433" s="464"/>
      <c r="AM433" s="467"/>
      <c r="AN433" s="462"/>
      <c r="AO433" s="462"/>
      <c r="AP433" s="462"/>
      <c r="AQ433" s="464"/>
      <c r="AR433" s="467"/>
      <c r="AS433" s="465"/>
      <c r="AT433" s="465"/>
      <c r="AU433" s="465"/>
      <c r="AV433" s="465"/>
      <c r="AW433" s="467"/>
      <c r="AX433" s="465"/>
      <c r="AY433" s="465"/>
      <c r="AZ433" s="465"/>
      <c r="BA433" s="465"/>
      <c r="BB433" s="467"/>
      <c r="BC433" s="465"/>
      <c r="BD433" s="465"/>
      <c r="BE433" s="465"/>
      <c r="BF433" s="465"/>
      <c r="BG433" s="467"/>
      <c r="BH433" s="465"/>
      <c r="BI433" s="694"/>
      <c r="BJ433" s="465"/>
      <c r="BK433" s="465"/>
      <c r="BL433" s="467"/>
      <c r="BM433" s="465"/>
      <c r="BN433" s="694"/>
      <c r="BO433" s="465"/>
      <c r="BP433" s="465"/>
      <c r="BQ433" s="467"/>
      <c r="BR433" s="465"/>
      <c r="BS433" s="694"/>
      <c r="BT433" s="465"/>
      <c r="BU433" s="465"/>
      <c r="BV433" s="467"/>
      <c r="BW433" s="465"/>
      <c r="BX433" s="694"/>
      <c r="BY433" s="465"/>
      <c r="BZ433" s="465"/>
      <c r="CA433" s="467"/>
      <c r="CB433" s="465"/>
      <c r="CC433" s="694"/>
      <c r="CD433" s="465"/>
      <c r="CE433" s="465"/>
      <c r="CF433" s="467"/>
      <c r="CG433" s="694"/>
      <c r="CH433" s="694"/>
      <c r="CI433" s="694"/>
      <c r="CJ433" s="694"/>
      <c r="CK433" s="467"/>
      <c r="CL433" s="465"/>
      <c r="CM433" s="465"/>
      <c r="CN433" s="465"/>
      <c r="CO433" s="465"/>
      <c r="CP433" s="467"/>
      <c r="CQ433" s="465"/>
      <c r="CR433" s="465"/>
      <c r="CS433" s="465"/>
      <c r="CT433" s="465"/>
      <c r="CU433" s="467"/>
      <c r="CV433" s="465"/>
      <c r="CW433" s="465"/>
      <c r="CX433" s="465"/>
      <c r="CY433" s="465"/>
      <c r="CZ433" s="467"/>
      <c r="DA433" s="465"/>
      <c r="DB433" s="465"/>
      <c r="DC433" s="465"/>
      <c r="DD433" s="465"/>
      <c r="DE433" s="467"/>
      <c r="DF433" s="1022"/>
      <c r="DG433" s="1022"/>
      <c r="DH433" s="1022"/>
      <c r="DI433" s="465"/>
      <c r="DJ433" s="467"/>
      <c r="DK433" s="1022"/>
      <c r="DL433" s="1022"/>
      <c r="DM433" s="1022"/>
      <c r="DN433" s="465"/>
      <c r="DO433" s="467"/>
      <c r="DP433" s="1022"/>
      <c r="DQ433" s="1022"/>
      <c r="DR433" s="1022"/>
      <c r="DS433" s="465"/>
      <c r="DT433" s="467"/>
      <c r="DU433" s="1022"/>
      <c r="DV433" s="1022"/>
      <c r="DW433" s="1022"/>
      <c r="DX433" s="465"/>
      <c r="DY433" s="467"/>
      <c r="DZ433" s="467"/>
      <c r="EA433" s="467"/>
      <c r="EB433" s="467"/>
    </row>
    <row r="434" spans="1:132" s="103" customFormat="1" ht="6" customHeight="1" thickBot="1">
      <c r="A434" s="68"/>
      <c r="B434" s="68"/>
      <c r="C434" s="44"/>
      <c r="D434" s="44"/>
      <c r="E434" s="44"/>
      <c r="F434" s="44"/>
      <c r="G434" s="44"/>
      <c r="H434" s="44"/>
      <c r="I434" s="44"/>
      <c r="J434" s="77"/>
      <c r="K434" s="77"/>
      <c r="L434" s="77"/>
      <c r="M434" s="77"/>
      <c r="N434" s="44"/>
      <c r="O434" s="77"/>
      <c r="P434" s="77"/>
      <c r="Q434" s="77"/>
      <c r="R434" s="77"/>
      <c r="S434" s="44"/>
      <c r="T434" s="77"/>
      <c r="U434" s="77"/>
      <c r="V434" s="77"/>
      <c r="W434" s="77"/>
      <c r="X434" s="44"/>
      <c r="Y434" s="77"/>
      <c r="Z434" s="77"/>
      <c r="AA434" s="77"/>
      <c r="AB434" s="77"/>
      <c r="AC434" s="44"/>
      <c r="AD434" s="77"/>
      <c r="AE434" s="77"/>
      <c r="AF434" s="77"/>
      <c r="AG434" s="77"/>
      <c r="AH434" s="44"/>
      <c r="AI434" s="77"/>
      <c r="AJ434" s="77"/>
      <c r="AK434" s="77"/>
      <c r="AL434" s="77"/>
      <c r="AM434" s="44"/>
      <c r="AN434" s="77"/>
      <c r="AO434" s="77"/>
      <c r="AP434" s="77"/>
      <c r="AQ434" s="77"/>
      <c r="AR434" s="44"/>
      <c r="AS434" s="77"/>
      <c r="AT434" s="77"/>
      <c r="AU434" s="77"/>
      <c r="AV434" s="77"/>
      <c r="AW434" s="44"/>
      <c r="AX434" s="77"/>
      <c r="AY434" s="77"/>
      <c r="AZ434" s="77"/>
      <c r="BA434" s="77"/>
      <c r="BB434" s="44"/>
      <c r="BC434" s="77"/>
      <c r="BD434" s="77"/>
      <c r="BE434" s="77"/>
      <c r="BF434" s="77"/>
      <c r="BG434" s="44"/>
      <c r="BH434" s="77"/>
      <c r="BI434" s="16"/>
      <c r="BJ434" s="77"/>
      <c r="BK434" s="77"/>
      <c r="BL434" s="44"/>
      <c r="BM434" s="77"/>
      <c r="BN434" s="16"/>
      <c r="BO434" s="77"/>
      <c r="BP434" s="77"/>
      <c r="BQ434" s="44"/>
      <c r="BR434" s="77"/>
      <c r="BS434" s="16"/>
      <c r="BT434" s="77"/>
      <c r="BU434" s="77"/>
      <c r="BV434" s="44"/>
      <c r="BW434" s="77"/>
      <c r="BX434" s="16"/>
      <c r="BY434" s="77"/>
      <c r="BZ434" s="77"/>
      <c r="CA434" s="44"/>
      <c r="CB434" s="77"/>
      <c r="CC434" s="16"/>
      <c r="CD434" s="77"/>
      <c r="CE434" s="77"/>
      <c r="CF434" s="44"/>
      <c r="CG434" s="16"/>
      <c r="CH434" s="16"/>
      <c r="CI434" s="16"/>
      <c r="CJ434" s="16"/>
      <c r="CK434" s="44"/>
      <c r="CL434" s="77"/>
      <c r="CM434" s="77"/>
      <c r="CN434" s="77"/>
      <c r="CO434" s="77"/>
      <c r="CP434" s="44"/>
      <c r="CQ434" s="77"/>
      <c r="CR434" s="77"/>
      <c r="CS434" s="77"/>
      <c r="CT434" s="77"/>
      <c r="CU434" s="44"/>
      <c r="CV434" s="77"/>
      <c r="CW434" s="77"/>
      <c r="CX434" s="77"/>
      <c r="CY434" s="77"/>
      <c r="CZ434" s="44"/>
      <c r="DA434" s="77"/>
      <c r="DB434" s="77"/>
      <c r="DC434" s="77"/>
      <c r="DD434" s="77"/>
      <c r="DE434" s="44"/>
      <c r="DG434" s="593"/>
      <c r="DH434" s="593"/>
      <c r="DI434" s="77"/>
      <c r="DJ434" s="44"/>
      <c r="DN434" s="77"/>
      <c r="DO434" s="44"/>
      <c r="DS434" s="77"/>
      <c r="DT434" s="44"/>
      <c r="DX434" s="77"/>
      <c r="DY434" s="44"/>
      <c r="DZ434" s="44"/>
      <c r="EA434" s="44"/>
      <c r="EB434" s="44"/>
    </row>
  </sheetData>
  <mergeCells count="1">
    <mergeCell ref="A2:B2"/>
  </mergeCells>
  <phoneticPr fontId="6" type="noConversion"/>
  <printOptions horizontalCentered="1" verticalCentered="1"/>
  <pageMargins left="0.8" right="0.3" top="0.5" bottom="0.5" header="0.5" footer="0.5"/>
  <pageSetup scale="10" orientation="portrait" r:id="rId1"/>
  <headerFooter alignWithMargins="0"/>
  <rowBreaks count="2" manualBreakCount="2">
    <brk id="91" max="68" man="1"/>
    <brk id="248" max="68" man="1"/>
  </rowBreaks>
  <customProperties>
    <customPr name="Qube.Worksheet.Visibility" r:id="rId2"/>
  </customProperties>
  <ignoredErrors>
    <ignoredError sqref="T174:W179 J187:L187 J174:R179 AL434:AM434 T197:AD202 J190:L190 M194:R202 G434:AK434 AG194:AG196 G160:R160 J182:L185 S174:S180 S206:AF206 AH182 AL182:AL190 G170:M173 G182:I190 AM194:AM197 AG171:AG173 AL162:AL165 AL170:AL173 X180:AL180 X160:AL160 X150:AM153 AE51:AM54 AM7:AM8 AG294:AM303 G306:AL307 AM38:AM39 X120:AL141 M69:X74 S27:X39 M27:N39 M51:X67 C27:L48 AP162:AQ165 AP170:AQ173 AU166:AU167 AP182:AQ190 AU174:AU179 AP193:AQ197 AU191:AU192 AU197 AO304:AQ304 AP306:AQ307 AO310:AQ311 N170:W170 X170:AF179 S182:AD193 G206:L206 AE182:AF202 AP160:AQ160 AP180:AQ180 G174:I180 J180:L180 G191:L203 S197:S203 X142:AM147 G162:AF167 G304:AL304 C13:L18 M9:N18 S9:X18 AE7:AL18 M40:X49 AE27:AL49 AM41:AM49 AE22:AL25 C22:N25 S22:X25" formulaRange="1"/>
    <ignoredError sqref="AG206:AK206 M183:M184 N183:R185 M249:R249 AG197:AL202 M180:N180 M182:R182 AH183:AH184 AI182:AK184 AL191:AL192 AG174:AL179 N210:N213 AM306:AM307 AM27:AM34 AM120:AM141 AM170:AM179 AM180:AO180 AN160:AO160 O27:R39 AM162:AO165 AN170:AO173 AN182:AO187 AM36:AM37 AR197:AT197 AN174:AT179 AP191:AT192 AO308:AQ309 AO306:AO307 AO312:AQ312 AR304:AS304 AR306:AR312 AR185 AR190:AS190 AR189 AR160:AS160 AR170:AS173 AR180:AS180 AR162:AS165 AR182:AS184 AR193:AS196 AR186:AS188 AH170:AK173 AG170 M186:R193 AG182:AG193 AH185:AK196 AM182:AM193 M203:R203 AG162:AK167 AL166:AT167 AM304:AN304 M206:R209 O9:R18 AM9:AM18 O22:R25 AM22:AM25" formula="1" formulaRange="1"/>
    <ignoredError sqref="AL209 M185 O180:R180 M250:R250 AG207:AK209 S249:AP252 AN30:AQ30 AM65:AQ66 AM107 AN134:AP134 AM160 X277:AN282 AM308:AN309 AN34:AO37 AN31:AN33 AM317:AW317 AM316:AN316 S214:AP215 AN27:AO29 AQ34 AN306:AN307 AM119:AO119 AM114:AO115 AM116 AN120:AO133 AN135:AO141 AM55:AO64 AM69:AO72 AM73:AN73 AM90:AQ94 AM74:AO89 S210:AO213 AV33 AN315:AQ315 AS315:AV315 AS30:AU30 AR27:AS29 AR30:AR33 AR34:AS36 AR90:AT93 AR198:AT198 AM312:AN312 AU312:AW312 AS308:AW309 AM313:AW314 AS306:AS307 AS311:AT312 AR73:AS89 AR114:AS115 AS119:AS120 AR121:AS140 AS310 S227:AP227 AM67 AR111:AS111 AM111:AO111 AR112 AM112 AN188:AO193 AR9:AS18 AN9:AO18 AM108:AO108 AR108:AS108 AR22:AS25 AN22:AO25" formula="1"/>
  </ignoredErrors>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autoPageBreaks="0" fitToPage="1"/>
  </sheetPr>
  <dimension ref="A1:EB94"/>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9.7109375" defaultRowHeight="12" outlineLevelRow="1" outlineLevelCol="1"/>
  <cols>
    <col min="1" max="1" width="1.7109375" customWidth="1"/>
    <col min="2" max="2" width="41.7109375" customWidth="1"/>
    <col min="3" max="9" width="9.7109375" hidden="1" customWidth="1"/>
    <col min="10" max="13" width="9.7109375" style="66" hidden="1" customWidth="1" outlineLevel="1"/>
    <col min="14" max="14" width="9.7109375" hidden="1" customWidth="1" collapsed="1"/>
    <col min="15" max="18" width="9.7109375" style="66" hidden="1" customWidth="1" outlineLevel="1"/>
    <col min="19" max="19" width="9.7109375" hidden="1" customWidth="1" collapsed="1"/>
    <col min="20" max="23" width="9.7109375" style="66" hidden="1" customWidth="1" outlineLevel="1"/>
    <col min="24" max="24" width="9.7109375" hidden="1" customWidth="1" collapsed="1"/>
    <col min="25" max="28" width="9.7109375" style="66" hidden="1" customWidth="1" outlineLevel="1"/>
    <col min="29" max="29" width="9.7109375" hidden="1" customWidth="1" collapsed="1"/>
    <col min="30" max="33" width="9.7109375" style="66" hidden="1" customWidth="1" outlineLevel="1"/>
    <col min="34" max="34" width="9.7109375" hidden="1" customWidth="1" collapsed="1"/>
    <col min="35" max="38" width="9.7109375" style="66" hidden="1" customWidth="1" outlineLevel="1"/>
    <col min="39" max="39" width="9.7109375" hidden="1" customWidth="1" collapsed="1"/>
    <col min="40" max="43" width="9.7109375" style="66" hidden="1" customWidth="1" outlineLevel="1"/>
    <col min="44" max="44" width="9.7109375" hidden="1" customWidth="1" collapsed="1"/>
    <col min="45" max="48" width="9.7109375" style="66" hidden="1" customWidth="1" outlineLevel="1"/>
    <col min="49" max="49" width="9.7109375" hidden="1" customWidth="1" collapsed="1"/>
    <col min="50" max="53" width="9.7109375" hidden="1" customWidth="1" outlineLevel="1"/>
    <col min="54" max="54" width="9.7109375" customWidth="1" collapsed="1"/>
    <col min="55" max="58" width="9.7109375" hidden="1" customWidth="1" outlineLevel="1"/>
    <col min="59" max="59" width="9.7109375" customWidth="1" collapsed="1"/>
    <col min="60" max="63" width="9.7109375" hidden="1" customWidth="1" outlineLevel="1"/>
    <col min="64" max="64" width="9.7109375" style="121"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style="121" hidden="1" customWidth="1" outlineLevel="1"/>
    <col min="114" max="114" width="9.7109375" style="121" customWidth="1" collapsed="1"/>
    <col min="115" max="115" width="9.7109375" hidden="1" customWidth="1" outlineLevel="1"/>
    <col min="116" max="116" width="9.7109375" style="121" hidden="1" customWidth="1" outlineLevel="1"/>
    <col min="117" max="117" width="9.7109375" hidden="1" customWidth="1" outlineLevel="1"/>
    <col min="118" max="118" width="9.7109375" style="121" hidden="1" customWidth="1" outlineLevel="1"/>
    <col min="119" max="119" width="9.7109375" style="121" customWidth="1" collapsed="1"/>
    <col min="120" max="123" width="9.7109375" customWidth="1" outlineLevel="1"/>
    <col min="124" max="124" width="9.7109375" customWidth="1"/>
    <col min="125" max="128" width="9.7109375" hidden="1" customWidth="1" outlineLevel="1"/>
    <col min="129" max="129" width="9.7109375" customWidth="1" collapsed="1"/>
    <col min="130" max="132" width="9.7109375" customWidth="1"/>
    <col min="133" max="16384" width="9.7109375" style="66"/>
  </cols>
  <sheetData>
    <row r="1" spans="1:132" ht="12" customHeight="1" thickBot="1"/>
    <row r="2" spans="1:132" ht="6" customHeight="1">
      <c r="C2" s="58"/>
      <c r="D2" s="58"/>
      <c r="E2" s="58"/>
      <c r="F2" s="58"/>
      <c r="G2" s="58"/>
      <c r="H2" s="58"/>
      <c r="I2" s="58"/>
      <c r="N2" s="58"/>
      <c r="S2" s="58"/>
      <c r="X2" s="58"/>
      <c r="AC2" s="58"/>
      <c r="AH2" s="58"/>
      <c r="AM2" s="58"/>
      <c r="AR2" s="58"/>
      <c r="AW2" s="58"/>
      <c r="AX2" s="66"/>
      <c r="AY2" s="66"/>
      <c r="AZ2" s="66"/>
      <c r="BA2" s="66"/>
      <c r="BB2" s="58"/>
      <c r="BC2" s="66"/>
      <c r="BD2" s="66"/>
      <c r="BE2" s="66"/>
      <c r="BF2" s="66"/>
      <c r="BG2" s="58"/>
      <c r="BH2" s="66"/>
      <c r="BI2" s="66"/>
      <c r="BJ2" s="66"/>
      <c r="BK2" s="66"/>
      <c r="BL2" s="729"/>
      <c r="BM2" s="66"/>
      <c r="BN2" s="66"/>
      <c r="BO2" s="66"/>
      <c r="BP2" s="66"/>
      <c r="BQ2" s="58"/>
      <c r="BR2" s="66"/>
      <c r="BS2" s="66"/>
      <c r="BT2" s="66"/>
      <c r="BU2" s="66"/>
      <c r="BV2" s="58"/>
      <c r="BW2" s="66"/>
      <c r="BX2" s="66"/>
      <c r="BY2" s="66"/>
      <c r="BZ2" s="66"/>
      <c r="CA2" s="58"/>
      <c r="CB2" s="66"/>
      <c r="CC2" s="66"/>
      <c r="CD2" s="66"/>
      <c r="CE2" s="66"/>
      <c r="CF2" s="58"/>
      <c r="CG2" s="66"/>
      <c r="CH2" s="66"/>
      <c r="CI2" s="66"/>
      <c r="CJ2" s="66"/>
      <c r="CK2" s="58"/>
      <c r="CL2" s="66"/>
      <c r="CM2" s="66"/>
      <c r="CN2" s="66"/>
      <c r="CO2" s="66"/>
      <c r="CP2" s="58"/>
      <c r="CQ2" s="66"/>
      <c r="CR2" s="66"/>
      <c r="CS2" s="66"/>
      <c r="CT2" s="66"/>
      <c r="CU2" s="58"/>
      <c r="CV2" s="66"/>
      <c r="CW2" s="66"/>
      <c r="CX2" s="66"/>
      <c r="CY2" s="66"/>
      <c r="CZ2" s="58"/>
      <c r="DA2" s="66"/>
      <c r="DB2" s="66"/>
      <c r="DC2" s="66"/>
      <c r="DD2" s="66"/>
      <c r="DE2" s="58"/>
      <c r="DF2" s="437"/>
      <c r="DG2" s="437"/>
      <c r="DH2" s="437"/>
      <c r="DI2" s="437"/>
      <c r="DJ2" s="729"/>
      <c r="DK2" s="66"/>
      <c r="DL2" s="437"/>
      <c r="DM2" s="66"/>
      <c r="DN2" s="437"/>
      <c r="DO2" s="729"/>
      <c r="DP2" s="66"/>
      <c r="DQ2" s="66"/>
      <c r="DR2" s="66"/>
      <c r="DS2" s="66"/>
      <c r="DT2" s="58"/>
      <c r="DU2" s="66"/>
      <c r="DV2" s="66"/>
      <c r="DW2" s="66"/>
      <c r="DX2" s="66"/>
      <c r="DY2" s="58"/>
      <c r="DZ2" s="58"/>
      <c r="EA2" s="58"/>
      <c r="EB2" s="58"/>
    </row>
    <row r="3" spans="1:132" ht="15.75">
      <c r="B3" s="61" t="s">
        <v>380</v>
      </c>
      <c r="C3" s="604">
        <v>1997</v>
      </c>
      <c r="D3" s="604">
        <v>1998</v>
      </c>
      <c r="E3" s="604">
        <v>1999</v>
      </c>
      <c r="F3" s="604">
        <v>2000</v>
      </c>
      <c r="G3" s="604">
        <v>2001</v>
      </c>
      <c r="H3" s="604">
        <v>2002</v>
      </c>
      <c r="I3" s="605">
        <v>2003</v>
      </c>
      <c r="J3" s="494" t="s">
        <v>0</v>
      </c>
      <c r="K3" s="442" t="s">
        <v>1</v>
      </c>
      <c r="L3" s="442" t="s">
        <v>2</v>
      </c>
      <c r="M3" s="442" t="s">
        <v>3</v>
      </c>
      <c r="N3" s="604">
        <v>2004</v>
      </c>
      <c r="O3" s="442" t="s">
        <v>4</v>
      </c>
      <c r="P3" s="442" t="s">
        <v>5</v>
      </c>
      <c r="Q3" s="442" t="s">
        <v>6</v>
      </c>
      <c r="R3" s="442" t="s">
        <v>7</v>
      </c>
      <c r="S3" s="604">
        <v>2005</v>
      </c>
      <c r="T3" s="442" t="s">
        <v>8</v>
      </c>
      <c r="U3" s="442" t="s">
        <v>9</v>
      </c>
      <c r="V3" s="442" t="s">
        <v>10</v>
      </c>
      <c r="W3" s="442" t="s">
        <v>11</v>
      </c>
      <c r="X3" s="604">
        <v>2006</v>
      </c>
      <c r="Y3" s="442" t="s">
        <v>12</v>
      </c>
      <c r="Z3" s="442" t="s">
        <v>13</v>
      </c>
      <c r="AA3" s="442" t="s">
        <v>14</v>
      </c>
      <c r="AB3" s="442" t="s">
        <v>15</v>
      </c>
      <c r="AC3" s="604">
        <v>2007</v>
      </c>
      <c r="AD3" s="442" t="s">
        <v>16</v>
      </c>
      <c r="AE3" s="442" t="s">
        <v>17</v>
      </c>
      <c r="AF3" s="442" t="s">
        <v>18</v>
      </c>
      <c r="AG3" s="442" t="s">
        <v>19</v>
      </c>
      <c r="AH3" s="604">
        <v>2008</v>
      </c>
      <c r="AI3" s="442" t="s">
        <v>20</v>
      </c>
      <c r="AJ3" s="442" t="s">
        <v>21</v>
      </c>
      <c r="AK3" s="442" t="s">
        <v>22</v>
      </c>
      <c r="AL3" s="442" t="s">
        <v>23</v>
      </c>
      <c r="AM3" s="604">
        <v>2009</v>
      </c>
      <c r="AN3" s="442" t="s">
        <v>312</v>
      </c>
      <c r="AO3" s="442" t="s">
        <v>309</v>
      </c>
      <c r="AP3" s="442" t="s">
        <v>310</v>
      </c>
      <c r="AQ3" s="442" t="s">
        <v>311</v>
      </c>
      <c r="AR3" s="604">
        <v>2010</v>
      </c>
      <c r="AS3" s="442" t="s">
        <v>316</v>
      </c>
      <c r="AT3" s="442" t="s">
        <v>313</v>
      </c>
      <c r="AU3" s="442" t="s">
        <v>314</v>
      </c>
      <c r="AV3" s="442" t="s">
        <v>315</v>
      </c>
      <c r="AW3" s="604">
        <v>2011</v>
      </c>
      <c r="AX3" s="442" t="s">
        <v>395</v>
      </c>
      <c r="AY3" s="442" t="s">
        <v>396</v>
      </c>
      <c r="AZ3" s="442" t="s">
        <v>397</v>
      </c>
      <c r="BA3" s="442" t="s">
        <v>398</v>
      </c>
      <c r="BB3" s="603">
        <v>2012</v>
      </c>
      <c r="BC3" s="62" t="s">
        <v>411</v>
      </c>
      <c r="BD3" s="62" t="s">
        <v>412</v>
      </c>
      <c r="BE3" s="62" t="s">
        <v>413</v>
      </c>
      <c r="BF3" s="62" t="s">
        <v>414</v>
      </c>
      <c r="BG3" s="603">
        <v>2013</v>
      </c>
      <c r="BH3" s="62" t="s">
        <v>464</v>
      </c>
      <c r="BI3" s="62" t="s">
        <v>465</v>
      </c>
      <c r="BJ3" s="62" t="s">
        <v>466</v>
      </c>
      <c r="BK3" s="62" t="s">
        <v>467</v>
      </c>
      <c r="BL3" s="603">
        <v>2014</v>
      </c>
      <c r="BM3" s="62" t="s">
        <v>468</v>
      </c>
      <c r="BN3" s="62" t="s">
        <v>469</v>
      </c>
      <c r="BO3" s="62" t="s">
        <v>470</v>
      </c>
      <c r="BP3" s="62" t="s">
        <v>471</v>
      </c>
      <c r="BQ3" s="603">
        <v>2015</v>
      </c>
      <c r="BR3" s="55" t="s">
        <v>472</v>
      </c>
      <c r="BS3" s="55" t="s">
        <v>473</v>
      </c>
      <c r="BT3" s="55" t="s">
        <v>474</v>
      </c>
      <c r="BU3" s="55" t="s">
        <v>475</v>
      </c>
      <c r="BV3" s="603">
        <v>2016</v>
      </c>
      <c r="BW3" s="55" t="s">
        <v>476</v>
      </c>
      <c r="BX3" s="55" t="s">
        <v>477</v>
      </c>
      <c r="BY3" s="55" t="s">
        <v>478</v>
      </c>
      <c r="BZ3" s="55" t="s">
        <v>479</v>
      </c>
      <c r="CA3" s="603">
        <v>2017</v>
      </c>
      <c r="CB3" s="55" t="s">
        <v>549</v>
      </c>
      <c r="CC3" s="55" t="s">
        <v>550</v>
      </c>
      <c r="CD3" s="55" t="s">
        <v>551</v>
      </c>
      <c r="CE3" s="55" t="s">
        <v>552</v>
      </c>
      <c r="CF3" s="603">
        <v>2018</v>
      </c>
      <c r="CG3" s="55" t="s">
        <v>597</v>
      </c>
      <c r="CH3" s="55" t="s">
        <v>598</v>
      </c>
      <c r="CI3" s="55" t="s">
        <v>599</v>
      </c>
      <c r="CJ3" s="55" t="s">
        <v>600</v>
      </c>
      <c r="CK3" s="603">
        <v>2019</v>
      </c>
      <c r="CL3" s="55" t="s">
        <v>605</v>
      </c>
      <c r="CM3" s="55" t="s">
        <v>606</v>
      </c>
      <c r="CN3" s="55" t="s">
        <v>607</v>
      </c>
      <c r="CO3" s="55" t="s">
        <v>608</v>
      </c>
      <c r="CP3" s="603">
        <v>2020</v>
      </c>
      <c r="CQ3" s="55" t="s">
        <v>649</v>
      </c>
      <c r="CR3" s="55" t="s">
        <v>650</v>
      </c>
      <c r="CS3" s="55" t="s">
        <v>651</v>
      </c>
      <c r="CT3" s="55" t="s">
        <v>631</v>
      </c>
      <c r="CU3" s="603">
        <v>2021</v>
      </c>
      <c r="CV3" s="55" t="s">
        <v>667</v>
      </c>
      <c r="CW3" s="55" t="s">
        <v>668</v>
      </c>
      <c r="CX3" s="55" t="s">
        <v>669</v>
      </c>
      <c r="CY3" s="55" t="s">
        <v>670</v>
      </c>
      <c r="CZ3" s="603">
        <v>2022</v>
      </c>
      <c r="DA3" s="55" t="s">
        <v>674</v>
      </c>
      <c r="DB3" s="55" t="s">
        <v>675</v>
      </c>
      <c r="DC3" s="55" t="s">
        <v>676</v>
      </c>
      <c r="DD3" s="55" t="s">
        <v>677</v>
      </c>
      <c r="DE3" s="603">
        <v>2023</v>
      </c>
      <c r="DF3" s="55" t="s">
        <v>684</v>
      </c>
      <c r="DG3" s="55" t="s">
        <v>685</v>
      </c>
      <c r="DH3" s="55" t="s">
        <v>686</v>
      </c>
      <c r="DI3" s="55" t="s">
        <v>687</v>
      </c>
      <c r="DJ3" s="603">
        <v>2024</v>
      </c>
      <c r="DK3" s="55" t="s">
        <v>695</v>
      </c>
      <c r="DL3" s="55" t="s">
        <v>696</v>
      </c>
      <c r="DM3" s="55" t="s">
        <v>697</v>
      </c>
      <c r="DN3" s="55" t="s">
        <v>698</v>
      </c>
      <c r="DO3" s="603">
        <v>2025</v>
      </c>
      <c r="DP3" s="55" t="s">
        <v>715</v>
      </c>
      <c r="DQ3" s="55" t="s">
        <v>716</v>
      </c>
      <c r="DR3" s="55" t="s">
        <v>720</v>
      </c>
      <c r="DS3" s="55" t="s">
        <v>721</v>
      </c>
      <c r="DT3" s="603" t="s">
        <v>682</v>
      </c>
      <c r="DU3" s="55" t="s">
        <v>735</v>
      </c>
      <c r="DV3" s="55" t="s">
        <v>736</v>
      </c>
      <c r="DW3" s="55" t="s">
        <v>737</v>
      </c>
      <c r="DX3" s="55" t="s">
        <v>738</v>
      </c>
      <c r="DY3" s="603" t="s">
        <v>683</v>
      </c>
      <c r="DZ3" s="603" t="s">
        <v>691</v>
      </c>
      <c r="EA3" s="603" t="s">
        <v>692</v>
      </c>
      <c r="EB3" s="603" t="s">
        <v>693</v>
      </c>
    </row>
    <row r="4" spans="1:132" ht="12.75">
      <c r="B4" s="63" t="s">
        <v>381</v>
      </c>
      <c r="C4" s="443">
        <v>35795</v>
      </c>
      <c r="D4" s="443">
        <v>36160</v>
      </c>
      <c r="E4" s="443">
        <v>36525</v>
      </c>
      <c r="F4" s="443">
        <v>36891</v>
      </c>
      <c r="G4" s="443">
        <v>37256</v>
      </c>
      <c r="H4" s="443">
        <v>37621</v>
      </c>
      <c r="I4" s="487">
        <v>37986</v>
      </c>
      <c r="J4" s="495">
        <v>38077</v>
      </c>
      <c r="K4" s="444">
        <v>38168</v>
      </c>
      <c r="L4" s="444">
        <v>38260</v>
      </c>
      <c r="M4" s="444">
        <v>38352</v>
      </c>
      <c r="N4" s="443">
        <v>38352</v>
      </c>
      <c r="O4" s="444">
        <v>38442</v>
      </c>
      <c r="P4" s="444">
        <v>38533</v>
      </c>
      <c r="Q4" s="444">
        <v>38625</v>
      </c>
      <c r="R4" s="444">
        <v>38717</v>
      </c>
      <c r="S4" s="443">
        <v>38717</v>
      </c>
      <c r="T4" s="444">
        <v>38807</v>
      </c>
      <c r="U4" s="444">
        <v>38898</v>
      </c>
      <c r="V4" s="444">
        <v>38990</v>
      </c>
      <c r="W4" s="444">
        <v>39082</v>
      </c>
      <c r="X4" s="443">
        <v>39082</v>
      </c>
      <c r="Y4" s="444">
        <v>39172</v>
      </c>
      <c r="Z4" s="444">
        <v>39263</v>
      </c>
      <c r="AA4" s="444">
        <v>39355</v>
      </c>
      <c r="AB4" s="444">
        <v>39447</v>
      </c>
      <c r="AC4" s="443">
        <v>39447</v>
      </c>
      <c r="AD4" s="444">
        <v>39538</v>
      </c>
      <c r="AE4" s="444">
        <v>39629</v>
      </c>
      <c r="AF4" s="444">
        <v>39721</v>
      </c>
      <c r="AG4" s="444">
        <v>39813</v>
      </c>
      <c r="AH4" s="443">
        <v>39813</v>
      </c>
      <c r="AI4" s="444">
        <v>39903</v>
      </c>
      <c r="AJ4" s="444">
        <v>39994</v>
      </c>
      <c r="AK4" s="444">
        <v>40086</v>
      </c>
      <c r="AL4" s="444">
        <v>40178</v>
      </c>
      <c r="AM4" s="443">
        <v>40178</v>
      </c>
      <c r="AN4" s="444">
        <v>40268</v>
      </c>
      <c r="AO4" s="444">
        <v>40359</v>
      </c>
      <c r="AP4" s="444">
        <v>40451</v>
      </c>
      <c r="AQ4" s="444">
        <v>40543</v>
      </c>
      <c r="AR4" s="443">
        <v>40543</v>
      </c>
      <c r="AS4" s="444">
        <v>40633</v>
      </c>
      <c r="AT4" s="444">
        <v>40724</v>
      </c>
      <c r="AU4" s="444">
        <v>40816</v>
      </c>
      <c r="AV4" s="444">
        <v>40908</v>
      </c>
      <c r="AW4" s="443">
        <v>40908</v>
      </c>
      <c r="AX4" s="444">
        <v>40999</v>
      </c>
      <c r="AY4" s="444">
        <v>41090</v>
      </c>
      <c r="AZ4" s="444">
        <v>41182</v>
      </c>
      <c r="BA4" s="444">
        <v>41274</v>
      </c>
      <c r="BB4" s="443">
        <v>41274</v>
      </c>
      <c r="BC4" s="64">
        <v>41364</v>
      </c>
      <c r="BD4" s="64">
        <v>41455</v>
      </c>
      <c r="BE4" s="64">
        <v>41547</v>
      </c>
      <c r="BF4" s="64">
        <v>41639</v>
      </c>
      <c r="BG4" s="443">
        <v>41639</v>
      </c>
      <c r="BH4" s="64">
        <v>41729</v>
      </c>
      <c r="BI4" s="64">
        <v>41820</v>
      </c>
      <c r="BJ4" s="64">
        <v>41912</v>
      </c>
      <c r="BK4" s="64">
        <v>42004</v>
      </c>
      <c r="BL4" s="443">
        <v>42004</v>
      </c>
      <c r="BM4" s="64">
        <v>42094</v>
      </c>
      <c r="BN4" s="64">
        <v>42185</v>
      </c>
      <c r="BO4" s="64">
        <v>42277</v>
      </c>
      <c r="BP4" s="64">
        <v>42369</v>
      </c>
      <c r="BQ4" s="443">
        <v>42369</v>
      </c>
      <c r="BR4" s="57">
        <v>42460</v>
      </c>
      <c r="BS4" s="57">
        <v>42551</v>
      </c>
      <c r="BT4" s="57">
        <v>42643</v>
      </c>
      <c r="BU4" s="219">
        <v>42735</v>
      </c>
      <c r="BV4" s="443">
        <v>42735</v>
      </c>
      <c r="BW4" s="57">
        <v>42825</v>
      </c>
      <c r="BX4" s="57">
        <v>42916</v>
      </c>
      <c r="BY4" s="57">
        <v>43008</v>
      </c>
      <c r="BZ4" s="219">
        <v>43100</v>
      </c>
      <c r="CA4" s="443">
        <v>43100</v>
      </c>
      <c r="CB4" s="57">
        <v>43190</v>
      </c>
      <c r="CC4" s="57">
        <v>43281</v>
      </c>
      <c r="CD4" s="57">
        <v>43373</v>
      </c>
      <c r="CE4" s="219">
        <v>43465</v>
      </c>
      <c r="CF4" s="443">
        <v>43465</v>
      </c>
      <c r="CG4" s="57">
        <v>43555</v>
      </c>
      <c r="CH4" s="57">
        <v>43646</v>
      </c>
      <c r="CI4" s="57">
        <v>43738</v>
      </c>
      <c r="CJ4" s="219">
        <v>43830</v>
      </c>
      <c r="CK4" s="443">
        <v>43830</v>
      </c>
      <c r="CL4" s="57">
        <v>43921</v>
      </c>
      <c r="CM4" s="57">
        <v>44012</v>
      </c>
      <c r="CN4" s="57">
        <v>44104</v>
      </c>
      <c r="CO4" s="219">
        <v>44196</v>
      </c>
      <c r="CP4" s="443">
        <v>44196</v>
      </c>
      <c r="CQ4" s="57">
        <v>44286</v>
      </c>
      <c r="CR4" s="57">
        <v>44377</v>
      </c>
      <c r="CS4" s="57">
        <v>44469</v>
      </c>
      <c r="CT4" s="219">
        <v>44561</v>
      </c>
      <c r="CU4" s="443">
        <v>44561</v>
      </c>
      <c r="CV4" s="57">
        <v>44651</v>
      </c>
      <c r="CW4" s="57">
        <v>44742</v>
      </c>
      <c r="CX4" s="57">
        <v>44834</v>
      </c>
      <c r="CY4" s="219">
        <v>44926</v>
      </c>
      <c r="CZ4" s="443">
        <v>44926</v>
      </c>
      <c r="DA4" s="57">
        <v>45016</v>
      </c>
      <c r="DB4" s="57">
        <v>45107</v>
      </c>
      <c r="DC4" s="57">
        <v>45199</v>
      </c>
      <c r="DD4" s="219">
        <v>45291</v>
      </c>
      <c r="DE4" s="443">
        <v>45291</v>
      </c>
      <c r="DF4" s="57">
        <v>45382</v>
      </c>
      <c r="DG4" s="57">
        <v>45473</v>
      </c>
      <c r="DH4" s="57">
        <v>45565</v>
      </c>
      <c r="DI4" s="219">
        <v>45657</v>
      </c>
      <c r="DJ4" s="443">
        <v>45657</v>
      </c>
      <c r="DK4" s="57">
        <v>45747</v>
      </c>
      <c r="DL4" s="57">
        <v>45838</v>
      </c>
      <c r="DM4" s="57">
        <v>45930</v>
      </c>
      <c r="DN4" s="219">
        <v>46022</v>
      </c>
      <c r="DO4" s="443">
        <v>46022</v>
      </c>
      <c r="DP4" s="57">
        <v>46112</v>
      </c>
      <c r="DQ4" s="57">
        <v>46203</v>
      </c>
      <c r="DR4" s="57">
        <v>46295</v>
      </c>
      <c r="DS4" s="219">
        <v>46387</v>
      </c>
      <c r="DT4" s="443">
        <v>46387</v>
      </c>
      <c r="DU4" s="57">
        <v>46477</v>
      </c>
      <c r="DV4" s="57">
        <v>46568</v>
      </c>
      <c r="DW4" s="57">
        <v>46660</v>
      </c>
      <c r="DX4" s="219">
        <v>46752</v>
      </c>
      <c r="DY4" s="443">
        <v>46752</v>
      </c>
      <c r="DZ4" s="443">
        <v>47118</v>
      </c>
      <c r="EA4" s="443">
        <v>47483</v>
      </c>
      <c r="EB4" s="443">
        <v>47848</v>
      </c>
    </row>
    <row r="5" spans="1:132" s="98" customFormat="1">
      <c r="A5" s="68"/>
      <c r="C5" s="67"/>
      <c r="D5" s="67"/>
      <c r="E5" s="67"/>
      <c r="F5" s="67"/>
      <c r="G5" s="67"/>
      <c r="H5" s="67"/>
      <c r="I5" s="454"/>
      <c r="J5" s="265"/>
      <c r="N5" s="67"/>
      <c r="S5" s="67"/>
      <c r="X5" s="67"/>
      <c r="AC5" s="67"/>
      <c r="AH5" s="67"/>
      <c r="AM5" s="67"/>
      <c r="AR5" s="67"/>
      <c r="AW5" s="67"/>
      <c r="BB5" s="67"/>
      <c r="BG5" s="67"/>
      <c r="BL5" s="120"/>
      <c r="BQ5" s="67"/>
      <c r="BV5" s="67"/>
      <c r="CA5" s="67"/>
      <c r="CF5" s="67"/>
      <c r="CK5" s="67"/>
      <c r="CP5" s="67"/>
      <c r="CQ5" s="437"/>
      <c r="CU5" s="67"/>
      <c r="CZ5" s="67"/>
      <c r="DE5" s="67"/>
      <c r="DF5" s="437"/>
      <c r="DG5" s="437"/>
      <c r="DH5" s="437"/>
      <c r="DI5" s="437"/>
      <c r="DJ5" s="120"/>
      <c r="DL5" s="437"/>
      <c r="DN5" s="437"/>
      <c r="DO5" s="120"/>
      <c r="DT5" s="67"/>
      <c r="DY5" s="67"/>
      <c r="DZ5" s="67"/>
      <c r="EA5" s="67"/>
      <c r="EB5" s="67"/>
    </row>
    <row r="6" spans="1:132" s="424" customFormat="1">
      <c r="A6" s="68"/>
      <c r="B6" s="432" t="s">
        <v>371</v>
      </c>
      <c r="C6" s="43">
        <v>135</v>
      </c>
      <c r="D6" s="43">
        <f>165+116</f>
        <v>281</v>
      </c>
      <c r="E6" s="43">
        <f>278+42</f>
        <v>320</v>
      </c>
      <c r="F6" s="43">
        <v>281</v>
      </c>
      <c r="G6" s="43">
        <v>299</v>
      </c>
      <c r="H6" s="43">
        <v>223</v>
      </c>
      <c r="I6" s="488">
        <v>173</v>
      </c>
      <c r="J6" s="496">
        <v>55</v>
      </c>
      <c r="K6" s="432">
        <v>50</v>
      </c>
      <c r="L6" s="432">
        <v>49</v>
      </c>
      <c r="M6" s="432">
        <v>48</v>
      </c>
      <c r="N6" s="43">
        <f>+M6+L6+K6+J6</f>
        <v>202</v>
      </c>
      <c r="O6" s="432">
        <v>54</v>
      </c>
      <c r="P6" s="432">
        <v>59</v>
      </c>
      <c r="Q6" s="432">
        <f>47+62*0</f>
        <v>47</v>
      </c>
      <c r="R6" s="432">
        <v>52</v>
      </c>
      <c r="S6" s="43">
        <f>+R6+Q6+P6+O6</f>
        <v>212</v>
      </c>
      <c r="T6" s="432">
        <v>72</v>
      </c>
      <c r="U6" s="432">
        <v>70</v>
      </c>
      <c r="V6" s="432">
        <v>81</v>
      </c>
      <c r="W6" s="432">
        <f>+X6-V6-U6-T6</f>
        <v>79</v>
      </c>
      <c r="X6" s="43">
        <v>302</v>
      </c>
      <c r="Y6" s="432">
        <v>83</v>
      </c>
      <c r="Z6" s="432">
        <v>86</v>
      </c>
      <c r="AA6" s="432">
        <v>81</v>
      </c>
      <c r="AB6" s="432">
        <v>80</v>
      </c>
      <c r="AC6" s="43">
        <f>SUM(Y6:AB6)</f>
        <v>330</v>
      </c>
      <c r="AD6" s="432">
        <v>87</v>
      </c>
      <c r="AE6" s="432">
        <v>100</v>
      </c>
      <c r="AF6" s="432">
        <v>67</v>
      </c>
      <c r="AG6" s="432">
        <v>36</v>
      </c>
      <c r="AH6" s="43">
        <f>SUM(AD6:AG6)</f>
        <v>290</v>
      </c>
      <c r="AI6" s="432">
        <v>91</v>
      </c>
      <c r="AJ6" s="432">
        <v>99</v>
      </c>
      <c r="AK6" s="432">
        <v>90</v>
      </c>
      <c r="AL6" s="432">
        <v>92</v>
      </c>
      <c r="AM6" s="43">
        <f>SUM(AI6:AL6)</f>
        <v>372</v>
      </c>
      <c r="AN6" s="432">
        <v>86</v>
      </c>
      <c r="AO6" s="432">
        <v>95</v>
      </c>
      <c r="AP6" s="432">
        <f>Commercial!AP32</f>
        <v>100</v>
      </c>
      <c r="AQ6" s="432">
        <f>Commercial!AQ32</f>
        <v>95</v>
      </c>
      <c r="AR6" s="43">
        <f>Commercial!AR32</f>
        <v>376</v>
      </c>
      <c r="AS6" s="432">
        <f>Commercial!AS32</f>
        <v>87</v>
      </c>
      <c r="AT6" s="432">
        <f>Commercial!AT32</f>
        <v>94</v>
      </c>
      <c r="AU6" s="432">
        <f>Commercial!AU32</f>
        <v>100</v>
      </c>
      <c r="AV6" s="432">
        <f>Commercial!AV32</f>
        <v>91</v>
      </c>
      <c r="AW6" s="43">
        <f>Commercial!AW32</f>
        <v>372</v>
      </c>
      <c r="AX6" s="432">
        <f>Commercial!AX32</f>
        <v>99</v>
      </c>
      <c r="AY6" s="432">
        <f>Commercial!AY32</f>
        <v>109</v>
      </c>
      <c r="AZ6" s="432">
        <f>Commercial!AZ32</f>
        <v>102</v>
      </c>
      <c r="BA6" s="432">
        <f>Commercial!BA32</f>
        <v>105</v>
      </c>
      <c r="BB6" s="43">
        <f>Commercial!BB32</f>
        <v>415</v>
      </c>
      <c r="BC6" s="432">
        <f>Commercial!BC32</f>
        <v>102</v>
      </c>
      <c r="BD6" s="432">
        <f>Commercial!BD32</f>
        <v>116</v>
      </c>
      <c r="BE6" s="432">
        <f>Commercial!BE32</f>
        <v>112</v>
      </c>
      <c r="BF6" s="432">
        <f>Commercial!BF32</f>
        <v>110</v>
      </c>
      <c r="BG6" s="43">
        <f>Commercial!BG32</f>
        <v>440</v>
      </c>
      <c r="BH6" s="432">
        <f>Commercial!BH32</f>
        <v>115</v>
      </c>
      <c r="BI6" s="432">
        <f>Commercial!BI32</f>
        <v>124</v>
      </c>
      <c r="BJ6" s="432">
        <f>Commercial!BJ32</f>
        <v>120</v>
      </c>
      <c r="BK6" s="432">
        <f>Commercial!BK32</f>
        <v>126</v>
      </c>
      <c r="BL6" s="43">
        <f>Commercial!BL32</f>
        <v>485</v>
      </c>
      <c r="BM6" s="432">
        <f>Commercial!BM32</f>
        <v>121</v>
      </c>
      <c r="BN6" s="432">
        <f>Commercial!BN32</f>
        <v>128</v>
      </c>
      <c r="BO6" s="432">
        <f>Commercial!BO32</f>
        <v>126</v>
      </c>
      <c r="BP6" s="432">
        <f>Commercial!BP32</f>
        <v>120</v>
      </c>
      <c r="BQ6" s="43">
        <f>Commercial!BQ32</f>
        <v>495</v>
      </c>
      <c r="BR6" s="432">
        <f>Commercial!BR32</f>
        <v>121</v>
      </c>
      <c r="BS6" s="432">
        <f>Commercial!BS32</f>
        <v>127</v>
      </c>
      <c r="BT6" s="432">
        <f>Commercial!BT32</f>
        <v>120</v>
      </c>
      <c r="BU6" s="432">
        <f>Commercial!BU32</f>
        <v>122</v>
      </c>
      <c r="BV6" s="43">
        <f>Commercial!BV32</f>
        <v>490</v>
      </c>
      <c r="BW6" s="432">
        <f>Commercial!BW32</f>
        <v>113</v>
      </c>
      <c r="BX6" s="432">
        <f>Commercial!BX32</f>
        <v>123</v>
      </c>
      <c r="BY6" s="432">
        <f>Commercial!BY32</f>
        <v>145</v>
      </c>
      <c r="BZ6" s="432">
        <f>Commercial!BZ32</f>
        <v>148</v>
      </c>
      <c r="CA6" s="43">
        <f>Commercial!CA32</f>
        <v>529</v>
      </c>
      <c r="CB6" s="432">
        <f>Commercial!CB32</f>
        <v>132</v>
      </c>
      <c r="CC6" s="432">
        <f>Commercial!CC32</f>
        <v>137</v>
      </c>
      <c r="CD6" s="432">
        <f>Commercial!CD32</f>
        <v>138</v>
      </c>
      <c r="CE6" s="432">
        <f>Commercial!CE32</f>
        <v>173</v>
      </c>
      <c r="CF6" s="43">
        <f>Commercial!CF32</f>
        <v>580</v>
      </c>
      <c r="CG6" s="432">
        <f>Commercial!CG32</f>
        <v>89</v>
      </c>
      <c r="CH6" s="432">
        <f>Commercial!CH32</f>
        <v>24</v>
      </c>
      <c r="CI6" s="432">
        <f>Commercial!CI32</f>
        <v>5</v>
      </c>
      <c r="CJ6" s="432">
        <f>Commercial!CJ32</f>
        <v>9</v>
      </c>
      <c r="CK6" s="43">
        <f>Commercial!CK32</f>
        <v>127</v>
      </c>
      <c r="CL6" s="432">
        <f>Commercial!CL32</f>
        <v>5</v>
      </c>
      <c r="CM6" s="432">
        <f>Commercial!CM32</f>
        <v>4</v>
      </c>
      <c r="CN6" s="432">
        <f>Commercial!CN32</f>
        <v>3</v>
      </c>
      <c r="CO6" s="432">
        <f>Commercial!CO32</f>
        <v>31</v>
      </c>
      <c r="CP6" s="43">
        <f>Commercial!CP32</f>
        <v>43</v>
      </c>
      <c r="CQ6" s="432">
        <f>Commercial!CQ32</f>
        <v>63</v>
      </c>
      <c r="CR6" s="432">
        <f>Commercial!CR32</f>
        <v>50</v>
      </c>
      <c r="CS6" s="432">
        <f>Commercial!CS32</f>
        <v>66</v>
      </c>
      <c r="CT6" s="432">
        <f>Commercial!CT32</f>
        <v>84</v>
      </c>
      <c r="CU6" s="43">
        <f>Commercial!CU32</f>
        <v>263</v>
      </c>
      <c r="CV6" s="432">
        <f>Commercial!CV32</f>
        <v>86</v>
      </c>
      <c r="CW6" s="432">
        <f>Commercial!CW32</f>
        <v>103</v>
      </c>
      <c r="CX6" s="432">
        <f>Commercial!CX32</f>
        <v>88</v>
      </c>
      <c r="CY6" s="432">
        <f>Commercial!CY32</f>
        <v>110</v>
      </c>
      <c r="CZ6" s="43">
        <f>Commercial!CZ32</f>
        <v>387</v>
      </c>
      <c r="DA6" s="432">
        <f>Commercial!DA32</f>
        <v>113</v>
      </c>
      <c r="DB6" s="432">
        <f>Commercial!DB32</f>
        <v>103</v>
      </c>
      <c r="DC6" s="432">
        <f>Commercial!DC32</f>
        <v>70</v>
      </c>
      <c r="DD6" s="432">
        <f>Commercial!DD32</f>
        <v>110</v>
      </c>
      <c r="DE6" s="43">
        <f>Commercial!DE32</f>
        <v>396</v>
      </c>
      <c r="DF6" s="432">
        <f>Commercial!DF32</f>
        <v>67</v>
      </c>
      <c r="DG6" s="432">
        <f>Commercial!DG32</f>
        <v>70</v>
      </c>
      <c r="DH6" s="432">
        <f>Commercial!DH32</f>
        <v>92</v>
      </c>
      <c r="DI6" s="432">
        <f>Commercial!DI32</f>
        <v>36</v>
      </c>
      <c r="DJ6" s="43">
        <f>Commercial!DJ32</f>
        <v>265</v>
      </c>
      <c r="DK6" s="432">
        <f>Commercial!DK32</f>
        <v>105</v>
      </c>
      <c r="DL6" s="432">
        <f>Commercial!DL32</f>
        <v>104</v>
      </c>
      <c r="DM6" s="432">
        <f>Commercial!DM32</f>
        <v>121</v>
      </c>
      <c r="DN6" s="432">
        <f>Commercial!DN32</f>
        <v>117</v>
      </c>
      <c r="DO6" s="43">
        <f>Commercial!DO32</f>
        <v>447</v>
      </c>
      <c r="DP6" s="432">
        <f>Commercial!DP32</f>
        <v>114</v>
      </c>
      <c r="DQ6" s="739">
        <f>Commercial!DQ32</f>
        <v>129</v>
      </c>
      <c r="DR6" s="739">
        <f>Commercial!DR32</f>
        <v>137</v>
      </c>
      <c r="DS6" s="739">
        <f>Commercial!DS32</f>
        <v>142</v>
      </c>
      <c r="DT6" s="484">
        <f>Commercial!DT32</f>
        <v>522</v>
      </c>
      <c r="DU6" s="739">
        <f>Commercial!DU32</f>
        <v>144</v>
      </c>
      <c r="DV6" s="739">
        <f>Commercial!DV32</f>
        <v>151</v>
      </c>
      <c r="DW6" s="739">
        <f>Commercial!DW32</f>
        <v>155</v>
      </c>
      <c r="DX6" s="739">
        <f>Commercial!DX32</f>
        <v>164</v>
      </c>
      <c r="DY6" s="484">
        <f>Commercial!DY32</f>
        <v>614</v>
      </c>
      <c r="DZ6" s="484">
        <f>Commercial!DZ32</f>
        <v>656</v>
      </c>
      <c r="EA6" s="484">
        <f>Commercial!EA32</f>
        <v>700</v>
      </c>
      <c r="EB6" s="484">
        <f>Commercial!EB32</f>
        <v>740</v>
      </c>
    </row>
    <row r="7" spans="1:132" s="424" customFormat="1">
      <c r="A7" s="68"/>
      <c r="B7" s="451" t="s">
        <v>190</v>
      </c>
      <c r="C7" s="189">
        <v>32</v>
      </c>
      <c r="D7" s="189">
        <v>30</v>
      </c>
      <c r="E7" s="189">
        <v>29</v>
      </c>
      <c r="F7" s="189">
        <v>31</v>
      </c>
      <c r="G7" s="189">
        <v>33.5</v>
      </c>
      <c r="H7" s="189">
        <v>38.623318385650222</v>
      </c>
      <c r="I7" s="489">
        <v>40</v>
      </c>
      <c r="J7" s="497">
        <v>41</v>
      </c>
      <c r="K7" s="451">
        <v>41</v>
      </c>
      <c r="L7" s="451">
        <v>41</v>
      </c>
      <c r="M7" s="451">
        <v>41</v>
      </c>
      <c r="N7" s="189">
        <v>41</v>
      </c>
      <c r="O7" s="451">
        <v>42</v>
      </c>
      <c r="P7" s="451">
        <v>42</v>
      </c>
      <c r="Q7" s="451">
        <v>42</v>
      </c>
      <c r="R7" s="451">
        <v>42</v>
      </c>
      <c r="S7" s="189">
        <f>+S8/S6</f>
        <v>42</v>
      </c>
      <c r="T7" s="451">
        <v>41</v>
      </c>
      <c r="U7" s="451">
        <v>41.4</v>
      </c>
      <c r="V7" s="451">
        <v>40</v>
      </c>
      <c r="W7" s="451">
        <v>40</v>
      </c>
      <c r="X7" s="189">
        <f>+X8/X6</f>
        <v>40.562913907284766</v>
      </c>
      <c r="Y7" s="451">
        <v>40</v>
      </c>
      <c r="Z7" s="451">
        <v>40</v>
      </c>
      <c r="AA7" s="451">
        <v>40</v>
      </c>
      <c r="AB7" s="451">
        <v>40</v>
      </c>
      <c r="AC7" s="189">
        <v>40</v>
      </c>
      <c r="AD7" s="451">
        <v>41</v>
      </c>
      <c r="AE7" s="451">
        <v>41</v>
      </c>
      <c r="AF7" s="451">
        <v>41</v>
      </c>
      <c r="AG7" s="451">
        <v>41.3</v>
      </c>
      <c r="AH7" s="189">
        <v>41</v>
      </c>
      <c r="AI7" s="451">
        <v>41</v>
      </c>
      <c r="AJ7" s="451">
        <v>41</v>
      </c>
      <c r="AK7" s="451">
        <v>41</v>
      </c>
      <c r="AL7" s="451">
        <v>41</v>
      </c>
      <c r="AM7" s="189">
        <v>41</v>
      </c>
      <c r="AN7" s="451">
        <v>40</v>
      </c>
      <c r="AO7" s="470">
        <v>40</v>
      </c>
      <c r="AP7" s="470">
        <f>Commercial!AP34</f>
        <v>41</v>
      </c>
      <c r="AQ7" s="451">
        <f>Commercial!AQ34</f>
        <v>41</v>
      </c>
      <c r="AR7" s="189">
        <f>Commercial!AR34</f>
        <v>40.518617021276597</v>
      </c>
      <c r="AS7" s="451">
        <f>Commercial!AS34</f>
        <v>42</v>
      </c>
      <c r="AT7" s="470">
        <f>Commercial!AT34</f>
        <v>43</v>
      </c>
      <c r="AU7" s="470">
        <f>Commercial!AU34</f>
        <v>43</v>
      </c>
      <c r="AV7" s="470">
        <f>Commercial!AV34</f>
        <v>43</v>
      </c>
      <c r="AW7" s="566">
        <f>Commercial!AW34</f>
        <v>42.766129032258064</v>
      </c>
      <c r="AX7" s="451">
        <f>Commercial!AX34</f>
        <v>44</v>
      </c>
      <c r="AY7" s="470">
        <f>Commercial!AY34</f>
        <v>44</v>
      </c>
      <c r="AZ7" s="470">
        <f>Commercial!AZ34</f>
        <v>44</v>
      </c>
      <c r="BA7" s="470">
        <f>Commercial!BA34</f>
        <v>44</v>
      </c>
      <c r="BB7" s="566">
        <f>Commercial!BB34</f>
        <v>44</v>
      </c>
      <c r="BC7" s="451">
        <f>Commercial!BC34</f>
        <v>44</v>
      </c>
      <c r="BD7" s="470">
        <f>Commercial!BD34</f>
        <v>44</v>
      </c>
      <c r="BE7" s="470">
        <f>Commercial!BE34</f>
        <v>44</v>
      </c>
      <c r="BF7" s="470">
        <f>Commercial!BF34</f>
        <v>44</v>
      </c>
      <c r="BG7" s="566">
        <f>Commercial!BG34</f>
        <v>45</v>
      </c>
      <c r="BH7" s="451">
        <f>Commercial!BH34</f>
        <v>47.120739130434778</v>
      </c>
      <c r="BI7" s="470">
        <f>Commercial!BI34</f>
        <v>46.112177419354836</v>
      </c>
      <c r="BJ7" s="470">
        <f>Commercial!BJ34</f>
        <v>46.355874999999997</v>
      </c>
      <c r="BK7" s="470">
        <f>Commercial!BK34</f>
        <v>46.324642857142855</v>
      </c>
      <c r="BL7" s="566">
        <f>Commercial!BL34</f>
        <v>46.466814432989686</v>
      </c>
      <c r="BM7" s="451">
        <f>Commercial!BM34</f>
        <v>48.318099173553719</v>
      </c>
      <c r="BN7" s="470">
        <f>Commercial!BN34</f>
        <v>48.255156250000006</v>
      </c>
      <c r="BO7" s="470">
        <f>Commercial!BO34</f>
        <v>47.970793650793652</v>
      </c>
      <c r="BP7" s="470">
        <f>Commercial!BP34</f>
        <v>46.948083333333336</v>
      </c>
      <c r="BQ7" s="566">
        <f>Commercial!BQ34</f>
        <v>47.881292929292933</v>
      </c>
      <c r="BR7" s="470">
        <f>Commercial!BR34</f>
        <v>48.05654958677686</v>
      </c>
      <c r="BS7" s="470">
        <f>Commercial!BS34</f>
        <v>47.754606299212597</v>
      </c>
      <c r="BT7" s="470">
        <f>Commercial!BT34</f>
        <v>47.554854166666672</v>
      </c>
      <c r="BU7" s="470">
        <f>Commercial!BU34</f>
        <v>47.943442622950826</v>
      </c>
      <c r="BV7" s="566">
        <f>Commercial!BV34</f>
        <v>47.827265306122449</v>
      </c>
      <c r="BW7" s="470">
        <f>Commercial!BW34</f>
        <v>49.088694690265477</v>
      </c>
      <c r="BX7" s="470">
        <f>Commercial!BX34</f>
        <v>49.327317073170725</v>
      </c>
      <c r="BY7" s="470">
        <f>Commercial!BY34</f>
        <v>50.093017241379314</v>
      </c>
      <c r="BZ7" s="470">
        <f>Commercial!BZ34</f>
        <v>51.118969594594596</v>
      </c>
      <c r="CA7" s="566">
        <f>Commercial!CA34</f>
        <v>49.98748109640831</v>
      </c>
      <c r="CB7" s="470">
        <f>Commercial!CB34</f>
        <v>50.990984848484842</v>
      </c>
      <c r="CC7" s="470">
        <f>Commercial!CC34</f>
        <v>52.620802919708034</v>
      </c>
      <c r="CD7" s="470">
        <f>Commercial!CD34</f>
        <v>52.474673913043489</v>
      </c>
      <c r="CE7" s="470">
        <f>Commercial!CE34</f>
        <v>55.139653179190752</v>
      </c>
      <c r="CF7" s="566">
        <f>Commercial!CF34</f>
        <v>52.966422413793104</v>
      </c>
      <c r="CG7" s="470">
        <f>Commercial!CG34</f>
        <v>56.990764044943816</v>
      </c>
      <c r="CH7" s="470">
        <f>Commercial!CH34</f>
        <v>49.323749999999997</v>
      </c>
      <c r="CI7" s="470">
        <f>Commercial!CI34</f>
        <v>51.545000000000002</v>
      </c>
      <c r="CJ7" s="470">
        <f>Commercial!CJ34</f>
        <v>48.545000000000002</v>
      </c>
      <c r="CK7" s="566">
        <f>Commercial!CK34</f>
        <v>54.728960629921261</v>
      </c>
      <c r="CL7" s="983">
        <f>IFERROR(Commercial!CL34,"--")</f>
        <v>48.545000000000002</v>
      </c>
      <c r="CM7" s="983">
        <f>IFERROR(Commercial!CM34,"--")</f>
        <v>48.545000000000002</v>
      </c>
      <c r="CN7" s="983">
        <f>IFERROR(Commercial!CN34,"--")</f>
        <v>48.544999999999995</v>
      </c>
      <c r="CO7" s="983">
        <f>IFERROR(Commercial!CO34,"--")</f>
        <v>59.368302580645157</v>
      </c>
      <c r="CP7" s="566">
        <f>Commercial!CP34</f>
        <v>56.347846046511627</v>
      </c>
      <c r="CQ7" s="983">
        <f>IFERROR(Commercial!CQ34,"--")</f>
        <v>58.020653405714285</v>
      </c>
      <c r="CR7" s="983">
        <f>IFERROR(Commercial!CR34,"--")</f>
        <v>58.414174883200005</v>
      </c>
      <c r="CS7" s="983">
        <f>IFERROR(Commercial!CS34,"--")</f>
        <v>57.308464437575758</v>
      </c>
      <c r="CT7" s="983">
        <f>IFERROR(Commercial!CT34,"--")</f>
        <v>58.448213199047622</v>
      </c>
      <c r="CU7" s="566">
        <f>Commercial!CU34</f>
        <v>58.053302168517106</v>
      </c>
      <c r="CV7" s="983">
        <f>IFERROR(Commercial!CV34,"--")</f>
        <v>56.671335069953486</v>
      </c>
      <c r="CW7" s="983">
        <f>IFERROR(Commercial!CW34,"--")</f>
        <v>58.030822188396115</v>
      </c>
      <c r="CX7" s="983">
        <f>IFERROR(Commercial!CX34,"--")</f>
        <v>58.098430979609091</v>
      </c>
      <c r="CY7" s="983">
        <f>IFERROR(Commercial!CY34,"--")</f>
        <v>58.488653874596366</v>
      </c>
      <c r="CZ7" s="566">
        <f>Commercial!CZ34</f>
        <v>57.874220552537473</v>
      </c>
      <c r="DA7" s="983">
        <f>IFERROR(Commercial!DA34,"--")</f>
        <v>57.757043229409845</v>
      </c>
      <c r="DB7" s="983">
        <f>IFERROR(Commercial!DB34,"--")</f>
        <v>57.109454634805516</v>
      </c>
      <c r="DC7" s="983">
        <f>IFERROR(Commercial!DC34,"--")</f>
        <v>57.179049259030286</v>
      </c>
      <c r="DD7" s="983">
        <f>IFERROR(Commercial!DD34,"--")</f>
        <v>57.507614514597961</v>
      </c>
      <c r="DE7" s="566">
        <f>Commercial!DE34</f>
        <v>57.417148376379238</v>
      </c>
      <c r="DF7" s="983">
        <f>IFERROR(Commercial!DF34,"--")</f>
        <v>56.597028133183763</v>
      </c>
      <c r="DG7" s="983">
        <f>IFERROR(Commercial!DG34,"--")</f>
        <v>56.598151886972573</v>
      </c>
      <c r="DH7" s="983">
        <f>IFERROR(Commercial!DH34,"--")</f>
        <v>56.126206645010093</v>
      </c>
      <c r="DI7" s="983">
        <f>IFERROR(Commercial!DI34,"--")</f>
        <v>56.838760534801331</v>
      </c>
      <c r="DJ7" s="566">
        <f>Commercial!DJ34</f>
        <v>56.466709085302519</v>
      </c>
      <c r="DK7" s="983">
        <f>IFERROR(Commercial!DK34,"--")</f>
        <v>57.883743513135926</v>
      </c>
      <c r="DL7" s="983">
        <f>IFERROR(Commercial!DL34,"--")</f>
        <v>57.50887809340869</v>
      </c>
      <c r="DM7" s="983">
        <f>IFERROR(Commercial!DM34,"--")</f>
        <v>57.133750639545191</v>
      </c>
      <c r="DN7" s="983">
        <f>IFERROR(Commercial!DN34,"--")</f>
        <v>57.711628253593709</v>
      </c>
      <c r="DO7" s="566">
        <f>Commercial!DO34</f>
        <v>57.54845799474095</v>
      </c>
      <c r="DP7" s="983">
        <f>IFERROR(Commercial!DP34,"--")</f>
        <v>58.077703467516564</v>
      </c>
      <c r="DQ7" s="977">
        <f>IFERROR(Commercial!DQ34,"--")</f>
        <v>58.036145860806513</v>
      </c>
      <c r="DR7" s="977">
        <f>IFERROR(Commercial!DR34,"--")</f>
        <v>57.16192574733553</v>
      </c>
      <c r="DS7" s="977">
        <f>IFERROR(Commercial!DS34,"--")</f>
        <v>56.814904159111101</v>
      </c>
      <c r="DT7" s="485">
        <f>Commercial!DT34</f>
        <v>57.483565573409344</v>
      </c>
      <c r="DU7" s="977">
        <f>IFERROR(Commercial!DU34,"--")</f>
        <v>57.944444444444443</v>
      </c>
      <c r="DV7" s="977">
        <f>IFERROR(Commercial!DV34,"--")</f>
        <v>58.622516556291387</v>
      </c>
      <c r="DW7" s="977">
        <f>IFERROR(Commercial!DW34,"--")</f>
        <v>58.13548387096774</v>
      </c>
      <c r="DX7" s="977">
        <f>IFERROR(Commercial!DX34,"--")</f>
        <v>58.640243902439025</v>
      </c>
      <c r="DY7" s="485">
        <f>Commercial!DY34</f>
        <v>58.34527687296417</v>
      </c>
      <c r="DZ7" s="485">
        <f>Commercial!DZ34</f>
        <v>59.652439024390247</v>
      </c>
      <c r="EA7" s="485">
        <f>Commercial!EA34</f>
        <v>60.91</v>
      </c>
      <c r="EB7" s="485">
        <f>Commercial!EB34</f>
        <v>61.9</v>
      </c>
    </row>
    <row r="8" spans="1:132" s="424" customFormat="1">
      <c r="A8" s="68"/>
      <c r="B8" s="98" t="s">
        <v>191</v>
      </c>
      <c r="C8" s="67">
        <f t="shared" ref="C8:M8" si="0">C7*C6</f>
        <v>4320</v>
      </c>
      <c r="D8" s="67">
        <f t="shared" si="0"/>
        <v>8430</v>
      </c>
      <c r="E8" s="67">
        <f t="shared" si="0"/>
        <v>9280</v>
      </c>
      <c r="F8" s="67">
        <f t="shared" si="0"/>
        <v>8711</v>
      </c>
      <c r="G8" s="67">
        <f t="shared" si="0"/>
        <v>10016.5</v>
      </c>
      <c r="H8" s="67">
        <f t="shared" si="0"/>
        <v>8613</v>
      </c>
      <c r="I8" s="454">
        <f t="shared" si="0"/>
        <v>6920</v>
      </c>
      <c r="J8" s="265">
        <f t="shared" si="0"/>
        <v>2255</v>
      </c>
      <c r="K8" s="98">
        <f t="shared" si="0"/>
        <v>2050</v>
      </c>
      <c r="L8" s="98">
        <f t="shared" si="0"/>
        <v>2009</v>
      </c>
      <c r="M8" s="98">
        <f t="shared" si="0"/>
        <v>1968</v>
      </c>
      <c r="N8" s="67">
        <f>SUM(J8:M8)</f>
        <v>8282</v>
      </c>
      <c r="O8" s="98">
        <f>O7*O6</f>
        <v>2268</v>
      </c>
      <c r="P8" s="98">
        <f>P7*P6</f>
        <v>2478</v>
      </c>
      <c r="Q8" s="98">
        <f>Q7*Q6</f>
        <v>1974</v>
      </c>
      <c r="R8" s="98">
        <f>R7*R6</f>
        <v>2184</v>
      </c>
      <c r="S8" s="67">
        <f>SUM(O8:R8)</f>
        <v>8904</v>
      </c>
      <c r="T8" s="98">
        <f>T7*T6</f>
        <v>2952</v>
      </c>
      <c r="U8" s="98">
        <f>U7*U6</f>
        <v>2898</v>
      </c>
      <c r="V8" s="98">
        <f>V7*V6</f>
        <v>3240</v>
      </c>
      <c r="W8" s="98">
        <f>W7*W6</f>
        <v>3160</v>
      </c>
      <c r="X8" s="67">
        <f>SUM(T8:W8)</f>
        <v>12250</v>
      </c>
      <c r="Y8" s="98">
        <f>Y7*Y6</f>
        <v>3320</v>
      </c>
      <c r="Z8" s="98">
        <f>Z7*Z6</f>
        <v>3440</v>
      </c>
      <c r="AA8" s="98">
        <f>AA7*AA6</f>
        <v>3240</v>
      </c>
      <c r="AB8" s="98">
        <f>AB7*AB6</f>
        <v>3200</v>
      </c>
      <c r="AC8" s="67">
        <f>SUM(Y8:AB8)</f>
        <v>13200</v>
      </c>
      <c r="AD8" s="98">
        <f>AD7*AD6</f>
        <v>3567</v>
      </c>
      <c r="AE8" s="98">
        <f>AE7*AE6</f>
        <v>4100</v>
      </c>
      <c r="AF8" s="98">
        <f>AF7*AF6</f>
        <v>2747</v>
      </c>
      <c r="AG8" s="98">
        <f>AG7*AG6</f>
        <v>1486.8</v>
      </c>
      <c r="AH8" s="67">
        <f>SUM(AD8:AG8)</f>
        <v>11900.8</v>
      </c>
      <c r="AI8" s="98">
        <f t="shared" ref="AI8:BQ8" si="1">AI7*AI6</f>
        <v>3731</v>
      </c>
      <c r="AJ8" s="98">
        <f t="shared" si="1"/>
        <v>4059</v>
      </c>
      <c r="AK8" s="98">
        <f t="shared" si="1"/>
        <v>3690</v>
      </c>
      <c r="AL8" s="98">
        <f t="shared" si="1"/>
        <v>3772</v>
      </c>
      <c r="AM8" s="67">
        <f t="shared" si="1"/>
        <v>15252</v>
      </c>
      <c r="AN8" s="98">
        <f t="shared" si="1"/>
        <v>3440</v>
      </c>
      <c r="AO8" s="98">
        <f t="shared" si="1"/>
        <v>3800</v>
      </c>
      <c r="AP8" s="98">
        <f t="shared" si="1"/>
        <v>4100</v>
      </c>
      <c r="AQ8" s="98">
        <f t="shared" si="1"/>
        <v>3895</v>
      </c>
      <c r="AR8" s="67">
        <f t="shared" si="1"/>
        <v>15235</v>
      </c>
      <c r="AS8" s="98">
        <f t="shared" si="1"/>
        <v>3654</v>
      </c>
      <c r="AT8" s="98">
        <f t="shared" si="1"/>
        <v>4042</v>
      </c>
      <c r="AU8" s="98">
        <f t="shared" si="1"/>
        <v>4300</v>
      </c>
      <c r="AV8" s="98">
        <f t="shared" si="1"/>
        <v>3913</v>
      </c>
      <c r="AW8" s="67">
        <f t="shared" si="1"/>
        <v>15909</v>
      </c>
      <c r="AX8" s="98">
        <f>AX7*AX6</f>
        <v>4356</v>
      </c>
      <c r="AY8" s="98">
        <f>AY7*AY6</f>
        <v>4796</v>
      </c>
      <c r="AZ8" s="98">
        <f>AZ7*AZ6</f>
        <v>4488</v>
      </c>
      <c r="BA8" s="98">
        <f>BA7*BA6</f>
        <v>4620</v>
      </c>
      <c r="BB8" s="67">
        <f t="shared" si="1"/>
        <v>18260</v>
      </c>
      <c r="BC8" s="98">
        <f>BC7*BC6</f>
        <v>4488</v>
      </c>
      <c r="BD8" s="98">
        <f>BD7*BD6</f>
        <v>5104</v>
      </c>
      <c r="BE8" s="98">
        <f>BE7*BE6</f>
        <v>4928</v>
      </c>
      <c r="BF8" s="98">
        <f>BF7*BF6</f>
        <v>4840</v>
      </c>
      <c r="BG8" s="67">
        <f t="shared" si="1"/>
        <v>19800</v>
      </c>
      <c r="BH8" s="98">
        <f>BH7*BH6</f>
        <v>5418.8849999999993</v>
      </c>
      <c r="BI8" s="98">
        <f>BI7*BI6</f>
        <v>5717.91</v>
      </c>
      <c r="BJ8" s="98">
        <f>BJ7*BJ6</f>
        <v>5562.7049999999999</v>
      </c>
      <c r="BK8" s="98">
        <f>BK7*BK6</f>
        <v>5836.9049999999997</v>
      </c>
      <c r="BL8" s="120">
        <f t="shared" si="1"/>
        <v>22536.404999999999</v>
      </c>
      <c r="BM8" s="98">
        <f>BM7*BM6</f>
        <v>5846.49</v>
      </c>
      <c r="BN8" s="98">
        <f>BN7*BN6</f>
        <v>6176.6600000000008</v>
      </c>
      <c r="BO8" s="437">
        <f>BO7*BO6</f>
        <v>6044.3200000000006</v>
      </c>
      <c r="BP8" s="437">
        <f>BP7*BP6</f>
        <v>5633.77</v>
      </c>
      <c r="BQ8" s="67">
        <f t="shared" si="1"/>
        <v>23701.24</v>
      </c>
      <c r="BR8" s="437">
        <f>BR7*BR6</f>
        <v>5814.8424999999997</v>
      </c>
      <c r="BS8" s="437">
        <f>BS7*BS6</f>
        <v>6064.835</v>
      </c>
      <c r="BT8" s="437">
        <f>BT7*BT6</f>
        <v>5706.5825000000004</v>
      </c>
      <c r="BU8" s="98">
        <f>BU7*BU6</f>
        <v>5849.1</v>
      </c>
      <c r="BV8" s="120">
        <f t="shared" ref="BV8" si="2">BV7*BV6</f>
        <v>23435.360000000001</v>
      </c>
      <c r="BW8" s="437">
        <f>BW7*BW6</f>
        <v>5547.0224999999991</v>
      </c>
      <c r="BX8" s="437">
        <f>BX7*BX6</f>
        <v>6067.2599999999993</v>
      </c>
      <c r="BY8" s="437">
        <f>BY7*BY6</f>
        <v>7263.4875000000002</v>
      </c>
      <c r="BZ8" s="437">
        <f>BZ7*BZ6</f>
        <v>7565.6075000000001</v>
      </c>
      <c r="CA8" s="120">
        <f t="shared" ref="CA8" si="3">CA7*CA6</f>
        <v>26443.377499999995</v>
      </c>
      <c r="CB8" s="437">
        <f t="shared" ref="CB8:CF8" si="4">CB7*CB6</f>
        <v>6730.8099999999995</v>
      </c>
      <c r="CC8" s="437">
        <f t="shared" ref="CC8:CD8" si="5">CC7*CC6</f>
        <v>7209.05</v>
      </c>
      <c r="CD8" s="437">
        <f t="shared" si="5"/>
        <v>7241.505000000001</v>
      </c>
      <c r="CE8" s="437">
        <f t="shared" si="4"/>
        <v>9539.16</v>
      </c>
      <c r="CF8" s="120">
        <f t="shared" si="4"/>
        <v>30720.525000000001</v>
      </c>
      <c r="CG8" s="437">
        <f t="shared" ref="CG8:CK8" si="6">CG7*CG6</f>
        <v>5072.1779999999999</v>
      </c>
      <c r="CH8" s="437">
        <f t="shared" si="6"/>
        <v>1183.77</v>
      </c>
      <c r="CI8" s="437">
        <f t="shared" si="6"/>
        <v>257.72500000000002</v>
      </c>
      <c r="CJ8" s="437">
        <f t="shared" ref="CJ8" si="7">CJ7*CJ6</f>
        <v>436.90500000000003</v>
      </c>
      <c r="CK8" s="120">
        <f t="shared" si="6"/>
        <v>6950.5780000000004</v>
      </c>
      <c r="CL8" s="103">
        <f>IFERROR(CL7*CL6,"0")</f>
        <v>242.72500000000002</v>
      </c>
      <c r="CM8" s="593">
        <f>IFERROR(CM7*CM6,"0")</f>
        <v>194.18</v>
      </c>
      <c r="CN8" s="593">
        <f>IFERROR(CN7*CN6,"0")</f>
        <v>145.63499999999999</v>
      </c>
      <c r="CO8" s="103">
        <f>IFERROR(CO7*CO6,"0")</f>
        <v>1840.4173799999999</v>
      </c>
      <c r="CP8" s="120">
        <f t="shared" ref="CP8" si="8">CP7*CP6</f>
        <v>2422.9573799999998</v>
      </c>
      <c r="CQ8" s="593">
        <f t="shared" ref="CQ8" si="9">IFERROR(CQ7*CQ6,"0")</f>
        <v>3655.30116456</v>
      </c>
      <c r="CR8" s="593">
        <f t="shared" ref="CR8" si="10">IFERROR(CR7*CR6,"0")</f>
        <v>2920.7087441600002</v>
      </c>
      <c r="CS8" s="593">
        <f t="shared" ref="CS8:CT8" si="11">IFERROR(CS7*CS6,"0")</f>
        <v>3782.3586528800001</v>
      </c>
      <c r="CT8" s="593">
        <f t="shared" si="11"/>
        <v>4909.64990872</v>
      </c>
      <c r="CU8" s="120">
        <f t="shared" ref="CU8" si="12">CU7*CU6</f>
        <v>15268.018470319999</v>
      </c>
      <c r="CV8" s="593">
        <f t="shared" ref="CV8:CW8" si="13">IFERROR(CV7*CV6,"0")</f>
        <v>4873.734816016</v>
      </c>
      <c r="CW8" s="593">
        <f t="shared" si="13"/>
        <v>5977.1746854047997</v>
      </c>
      <c r="CX8" s="593">
        <f t="shared" ref="CX8:CY8" si="14">IFERROR(CX7*CX6,"0")</f>
        <v>5112.6619262056001</v>
      </c>
      <c r="CY8" s="593">
        <f t="shared" si="14"/>
        <v>6433.7519262056003</v>
      </c>
      <c r="CZ8" s="120">
        <f t="shared" ref="CZ8" si="15">CZ7*CZ6</f>
        <v>22397.323353832002</v>
      </c>
      <c r="DA8" s="103">
        <f t="shared" ref="DA8:DD8" si="16">IFERROR(DA7*DA6,"0")</f>
        <v>6526.5458849233128</v>
      </c>
      <c r="DB8" s="103">
        <f t="shared" si="16"/>
        <v>5882.2738273849682</v>
      </c>
      <c r="DC8" s="593">
        <f t="shared" si="16"/>
        <v>4002.5334481321202</v>
      </c>
      <c r="DD8" s="593">
        <f t="shared" si="16"/>
        <v>6325.8375966057756</v>
      </c>
      <c r="DE8" s="120">
        <f t="shared" ref="DE8" si="17">DE7*DE6</f>
        <v>22737.190757046177</v>
      </c>
      <c r="DF8" s="593">
        <f t="shared" ref="DF8:DI8" si="18">IFERROR(DF7*DF6,"0")</f>
        <v>3792.0008849233122</v>
      </c>
      <c r="DG8" s="593">
        <f t="shared" si="18"/>
        <v>3961.8706320880801</v>
      </c>
      <c r="DH8" s="593">
        <f t="shared" si="18"/>
        <v>5163.6110113409286</v>
      </c>
      <c r="DI8" s="593">
        <f t="shared" si="18"/>
        <v>2046.1953792528479</v>
      </c>
      <c r="DJ8" s="120">
        <f t="shared" ref="DJ8" si="19">DJ7*DJ6</f>
        <v>14963.677907605168</v>
      </c>
      <c r="DK8" s="593">
        <f t="shared" ref="DK8" si="20">IFERROR(DK7*DK6,"0")</f>
        <v>6077.7930688792721</v>
      </c>
      <c r="DL8" s="593">
        <f t="shared" ref="DL8:DN8" si="21">IFERROR(DL7*DL6,"0")</f>
        <v>5980.9233217145038</v>
      </c>
      <c r="DM8" s="593">
        <f t="shared" ref="DM8" si="22">IFERROR(DM7*DM6,"0")</f>
        <v>6913.183827384968</v>
      </c>
      <c r="DN8" s="593">
        <f t="shared" si="21"/>
        <v>6752.2605056704642</v>
      </c>
      <c r="DO8" s="120">
        <f t="shared" ref="DO8" si="23">DO7*DO6</f>
        <v>25724.160723649205</v>
      </c>
      <c r="DP8" s="593">
        <f t="shared" ref="DP8:DS8" si="24">IFERROR(DP7*DP6,"0")</f>
        <v>6620.858195296888</v>
      </c>
      <c r="DQ8" s="103">
        <f t="shared" si="24"/>
        <v>7486.6628160440405</v>
      </c>
      <c r="DR8" s="103">
        <f t="shared" si="24"/>
        <v>7831.183827384968</v>
      </c>
      <c r="DS8" s="103">
        <f t="shared" si="24"/>
        <v>8067.7163905937769</v>
      </c>
      <c r="DT8" s="67">
        <f t="shared" ref="DT8" si="25">DT7*DT6</f>
        <v>30006.421229319676</v>
      </c>
      <c r="DU8" s="103">
        <f t="shared" ref="DU8:DX8" si="26">IFERROR(DU7*DU6,"0")</f>
        <v>8344</v>
      </c>
      <c r="DV8" s="103">
        <f t="shared" si="26"/>
        <v>8852</v>
      </c>
      <c r="DW8" s="103">
        <f t="shared" si="26"/>
        <v>9011</v>
      </c>
      <c r="DX8" s="103">
        <f t="shared" si="26"/>
        <v>9617</v>
      </c>
      <c r="DY8" s="67">
        <f t="shared" ref="DY8" si="27">DY7*DY6</f>
        <v>35824</v>
      </c>
      <c r="DZ8" s="67">
        <f t="shared" ref="DZ8:EB8" si="28">DZ7*DZ6</f>
        <v>39132</v>
      </c>
      <c r="EA8" s="67">
        <f t="shared" si="28"/>
        <v>42637</v>
      </c>
      <c r="EB8" s="67">
        <f t="shared" si="28"/>
        <v>45806</v>
      </c>
    </row>
    <row r="9" spans="1:132" s="424" customFormat="1">
      <c r="A9" s="68"/>
      <c r="B9" s="427" t="s">
        <v>369</v>
      </c>
      <c r="C9" s="426">
        <v>0.09</v>
      </c>
      <c r="D9" s="426">
        <v>0.05</v>
      </c>
      <c r="E9" s="426">
        <v>0.05</v>
      </c>
      <c r="F9" s="426">
        <v>0.11</v>
      </c>
      <c r="G9" s="426">
        <v>0.1</v>
      </c>
      <c r="H9" s="426">
        <v>0.13</v>
      </c>
      <c r="I9" s="452">
        <v>0.09</v>
      </c>
      <c r="J9" s="498">
        <v>0.11</v>
      </c>
      <c r="K9" s="427">
        <v>0.11</v>
      </c>
      <c r="L9" s="427">
        <v>0.11</v>
      </c>
      <c r="M9" s="453">
        <v>0.11</v>
      </c>
      <c r="N9" s="426">
        <v>0.11</v>
      </c>
      <c r="O9" s="452">
        <v>0.152</v>
      </c>
      <c r="P9" s="427">
        <v>0.152</v>
      </c>
      <c r="Q9" s="427">
        <v>0.152</v>
      </c>
      <c r="R9" s="453">
        <v>0.152</v>
      </c>
      <c r="S9" s="426">
        <v>0.152</v>
      </c>
      <c r="T9" s="452">
        <v>0.17499999999999999</v>
      </c>
      <c r="U9" s="427">
        <v>0.17499999999999999</v>
      </c>
      <c r="V9" s="427">
        <v>0.17499999999999999</v>
      </c>
      <c r="W9" s="453">
        <v>0.17499999999999999</v>
      </c>
      <c r="X9" s="426">
        <v>0.17499999999999999</v>
      </c>
      <c r="Y9" s="452">
        <v>0.19</v>
      </c>
      <c r="Z9" s="427">
        <v>0.19</v>
      </c>
      <c r="AA9" s="427">
        <v>0.19</v>
      </c>
      <c r="AB9" s="453">
        <v>0.19</v>
      </c>
      <c r="AC9" s="426">
        <v>0.19</v>
      </c>
      <c r="AD9" s="452">
        <v>0.16</v>
      </c>
      <c r="AE9" s="427">
        <v>0.16</v>
      </c>
      <c r="AF9" s="427">
        <v>0.16</v>
      </c>
      <c r="AG9" s="453">
        <v>0.16</v>
      </c>
      <c r="AH9" s="426">
        <v>0.16</v>
      </c>
      <c r="AI9" s="452">
        <v>0.14000000000000001</v>
      </c>
      <c r="AJ9" s="427">
        <v>0.14000000000000001</v>
      </c>
      <c r="AK9" s="427">
        <v>0.14000000000000001</v>
      </c>
      <c r="AL9" s="453">
        <v>0.14000000000000001</v>
      </c>
      <c r="AM9" s="426">
        <f>AM10/AM8</f>
        <v>0.14000000000000001</v>
      </c>
      <c r="AN9" s="452">
        <v>0.18</v>
      </c>
      <c r="AO9" s="427">
        <v>0.185</v>
      </c>
      <c r="AP9" s="427">
        <v>0.19</v>
      </c>
      <c r="AQ9" s="453">
        <v>0.19</v>
      </c>
      <c r="AR9" s="426">
        <f>AR10/AR8</f>
        <v>0.18649491302920906</v>
      </c>
      <c r="AS9" s="452">
        <v>0.18</v>
      </c>
      <c r="AT9" s="427">
        <v>0.18</v>
      </c>
      <c r="AU9" s="427">
        <v>0.18</v>
      </c>
      <c r="AV9" s="453">
        <v>0.18</v>
      </c>
      <c r="AW9" s="426">
        <f>AW10/AW8</f>
        <v>0.18</v>
      </c>
      <c r="AX9" s="452"/>
      <c r="AY9" s="427"/>
      <c r="AZ9" s="427"/>
      <c r="BA9" s="453"/>
      <c r="BB9" s="426">
        <v>0.18</v>
      </c>
      <c r="BC9" s="452"/>
      <c r="BD9" s="427"/>
      <c r="BE9" s="427"/>
      <c r="BF9" s="453"/>
      <c r="BG9" s="426">
        <v>0.185</v>
      </c>
      <c r="BH9" s="452"/>
      <c r="BI9" s="427"/>
      <c r="BJ9" s="427"/>
      <c r="BK9" s="453"/>
      <c r="BL9" s="136">
        <v>0.19</v>
      </c>
      <c r="BM9" s="452"/>
      <c r="BN9" s="427"/>
      <c r="BO9" s="427"/>
      <c r="BP9" s="453"/>
      <c r="BQ9" s="426">
        <v>0.19270000000000001</v>
      </c>
      <c r="BR9" s="452"/>
      <c r="BS9" s="295"/>
      <c r="BT9" s="427"/>
      <c r="BU9" s="453"/>
      <c r="BV9" s="136">
        <v>0.19400000000000001</v>
      </c>
      <c r="BW9" s="749"/>
      <c r="BX9" s="295"/>
      <c r="BY9" s="295"/>
      <c r="BZ9" s="295"/>
      <c r="CA9" s="136">
        <v>0.19700000000000001</v>
      </c>
      <c r="CB9" s="749"/>
      <c r="CC9" s="295"/>
      <c r="CD9" s="295"/>
      <c r="CE9" s="910"/>
      <c r="CF9" s="136">
        <v>0.22500000000000001</v>
      </c>
      <c r="CG9" s="295"/>
      <c r="CH9" s="295"/>
      <c r="CI9" s="295"/>
      <c r="CJ9" s="427"/>
      <c r="CK9" s="136">
        <v>0.18</v>
      </c>
      <c r="CL9" s="427"/>
      <c r="CM9" s="295"/>
      <c r="CN9" s="295"/>
      <c r="CO9" s="427"/>
      <c r="CP9" s="136">
        <v>0.14000000000000001</v>
      </c>
      <c r="CQ9" s="295"/>
      <c r="CR9" s="295"/>
      <c r="CS9" s="295"/>
      <c r="CT9" s="295"/>
      <c r="CU9" s="136">
        <v>0.1</v>
      </c>
      <c r="CV9" s="295"/>
      <c r="CW9" s="295"/>
      <c r="CX9" s="295"/>
      <c r="CY9" s="295"/>
      <c r="CZ9" s="136">
        <v>0.1</v>
      </c>
      <c r="DA9" s="427"/>
      <c r="DB9" s="427"/>
      <c r="DC9" s="295"/>
      <c r="DD9" s="295"/>
      <c r="DE9" s="136">
        <v>0.1</v>
      </c>
      <c r="DF9" s="295"/>
      <c r="DG9" s="295"/>
      <c r="DH9" s="295"/>
      <c r="DI9" s="295"/>
      <c r="DJ9" s="136">
        <v>7.4999999999999997E-2</v>
      </c>
      <c r="DK9" s="295"/>
      <c r="DL9" s="295"/>
      <c r="DM9" s="427"/>
      <c r="DN9" s="295"/>
      <c r="DO9" s="136">
        <v>0.105</v>
      </c>
      <c r="DP9" s="295"/>
      <c r="DQ9" s="427"/>
      <c r="DR9" s="427"/>
      <c r="DS9" s="427"/>
      <c r="DT9" s="1090">
        <v>0.11</v>
      </c>
      <c r="DU9" s="427"/>
      <c r="DV9" s="427"/>
      <c r="DW9" s="427"/>
      <c r="DX9" s="427"/>
      <c r="DY9" s="1090">
        <v>0.11600000000000001</v>
      </c>
      <c r="DZ9" s="1090">
        <v>0.13200000000000001</v>
      </c>
      <c r="EA9" s="1090">
        <v>0.14799999999999999</v>
      </c>
      <c r="EB9" s="1090">
        <v>0.17</v>
      </c>
    </row>
    <row r="10" spans="1:132" s="424" customFormat="1">
      <c r="A10" s="68"/>
      <c r="B10" s="427" t="s">
        <v>370</v>
      </c>
      <c r="C10" s="67">
        <f t="shared" ref="C10:I10" si="29">C8*C9</f>
        <v>388.8</v>
      </c>
      <c r="D10" s="67">
        <f t="shared" si="29"/>
        <v>421.5</v>
      </c>
      <c r="E10" s="67">
        <f t="shared" si="29"/>
        <v>464</v>
      </c>
      <c r="F10" s="67">
        <f t="shared" si="29"/>
        <v>958.21</v>
      </c>
      <c r="G10" s="67">
        <f t="shared" si="29"/>
        <v>1001.6500000000001</v>
      </c>
      <c r="H10" s="67">
        <f t="shared" si="29"/>
        <v>1119.69</v>
      </c>
      <c r="I10" s="454">
        <f t="shared" si="29"/>
        <v>622.79999999999995</v>
      </c>
      <c r="J10" s="265">
        <f t="shared" ref="J10:BQ10" si="30">J8*J9</f>
        <v>248.05</v>
      </c>
      <c r="K10" s="98">
        <f t="shared" si="30"/>
        <v>225.5</v>
      </c>
      <c r="L10" s="98">
        <f t="shared" si="30"/>
        <v>220.99</v>
      </c>
      <c r="M10" s="98">
        <f t="shared" si="30"/>
        <v>216.48</v>
      </c>
      <c r="N10" s="67">
        <f t="shared" si="30"/>
        <v>911.02</v>
      </c>
      <c r="O10" s="98">
        <f t="shared" si="30"/>
        <v>344.73599999999999</v>
      </c>
      <c r="P10" s="98">
        <f t="shared" si="30"/>
        <v>376.65600000000001</v>
      </c>
      <c r="Q10" s="98">
        <f t="shared" si="30"/>
        <v>300.048</v>
      </c>
      <c r="R10" s="98">
        <f t="shared" si="30"/>
        <v>331.96800000000002</v>
      </c>
      <c r="S10" s="67">
        <f t="shared" si="30"/>
        <v>1353.4079999999999</v>
      </c>
      <c r="T10" s="98">
        <f t="shared" si="30"/>
        <v>516.6</v>
      </c>
      <c r="U10" s="98">
        <f t="shared" si="30"/>
        <v>507.15</v>
      </c>
      <c r="V10" s="98">
        <f t="shared" si="30"/>
        <v>567</v>
      </c>
      <c r="W10" s="98">
        <f t="shared" si="30"/>
        <v>553</v>
      </c>
      <c r="X10" s="67">
        <f t="shared" si="30"/>
        <v>2143.75</v>
      </c>
      <c r="Y10" s="98">
        <f t="shared" si="30"/>
        <v>630.79999999999995</v>
      </c>
      <c r="Z10" s="98">
        <f t="shared" si="30"/>
        <v>653.6</v>
      </c>
      <c r="AA10" s="98">
        <f t="shared" si="30"/>
        <v>615.6</v>
      </c>
      <c r="AB10" s="98">
        <f t="shared" si="30"/>
        <v>608</v>
      </c>
      <c r="AC10" s="67">
        <f t="shared" si="30"/>
        <v>2508</v>
      </c>
      <c r="AD10" s="98">
        <f t="shared" si="30"/>
        <v>570.72</v>
      </c>
      <c r="AE10" s="98">
        <f t="shared" si="30"/>
        <v>656</v>
      </c>
      <c r="AF10" s="98">
        <f t="shared" si="30"/>
        <v>439.52</v>
      </c>
      <c r="AG10" s="98">
        <f t="shared" si="30"/>
        <v>237.88800000000001</v>
      </c>
      <c r="AH10" s="67">
        <f t="shared" si="30"/>
        <v>1904.1279999999999</v>
      </c>
      <c r="AI10" s="98">
        <f t="shared" si="30"/>
        <v>522.34</v>
      </c>
      <c r="AJ10" s="98">
        <f t="shared" si="30"/>
        <v>568.2600000000001</v>
      </c>
      <c r="AK10" s="98">
        <f t="shared" si="30"/>
        <v>516.6</v>
      </c>
      <c r="AL10" s="98">
        <f t="shared" si="30"/>
        <v>528.08000000000004</v>
      </c>
      <c r="AM10" s="67">
        <f>SUM(AI10:AL10)</f>
        <v>2135.2800000000002</v>
      </c>
      <c r="AN10" s="98">
        <f t="shared" si="30"/>
        <v>619.19999999999993</v>
      </c>
      <c r="AO10" s="98">
        <f t="shared" si="30"/>
        <v>703</v>
      </c>
      <c r="AP10" s="98">
        <f t="shared" si="30"/>
        <v>779</v>
      </c>
      <c r="AQ10" s="98">
        <f t="shared" si="30"/>
        <v>740.05</v>
      </c>
      <c r="AR10" s="67">
        <f>SUM(AN10:AQ10)</f>
        <v>2841.25</v>
      </c>
      <c r="AS10" s="98">
        <f t="shared" si="30"/>
        <v>657.72</v>
      </c>
      <c r="AT10" s="98">
        <f t="shared" si="30"/>
        <v>727.56</v>
      </c>
      <c r="AU10" s="98">
        <f t="shared" si="30"/>
        <v>774</v>
      </c>
      <c r="AV10" s="98">
        <f t="shared" si="30"/>
        <v>704.33999999999992</v>
      </c>
      <c r="AW10" s="67">
        <f>SUM(AS10:AV10)</f>
        <v>2863.62</v>
      </c>
      <c r="AX10" s="98"/>
      <c r="AY10" s="98"/>
      <c r="AZ10" s="98"/>
      <c r="BA10" s="98"/>
      <c r="BB10" s="67">
        <f t="shared" si="30"/>
        <v>3286.7999999999997</v>
      </c>
      <c r="BC10" s="98"/>
      <c r="BD10" s="98"/>
      <c r="BE10" s="98"/>
      <c r="BF10" s="98"/>
      <c r="BG10" s="67">
        <f t="shared" si="30"/>
        <v>3663</v>
      </c>
      <c r="BH10" s="98"/>
      <c r="BI10" s="98"/>
      <c r="BJ10" s="98"/>
      <c r="BK10" s="98"/>
      <c r="BL10" s="120">
        <f t="shared" si="30"/>
        <v>4281.9169499999998</v>
      </c>
      <c r="BM10" s="98"/>
      <c r="BN10" s="98"/>
      <c r="BO10" s="98"/>
      <c r="BP10" s="98"/>
      <c r="BQ10" s="67">
        <f t="shared" si="30"/>
        <v>4567.2289480000009</v>
      </c>
      <c r="BR10" s="98"/>
      <c r="BS10" s="437"/>
      <c r="BT10" s="98"/>
      <c r="BU10" s="98"/>
      <c r="BV10" s="120">
        <f t="shared" ref="BV10" si="31">BV8*BV9</f>
        <v>4546.4598400000004</v>
      </c>
      <c r="BW10" s="437"/>
      <c r="BX10" s="437"/>
      <c r="BY10" s="437"/>
      <c r="BZ10" s="437"/>
      <c r="CA10" s="120">
        <f>CA8*CA9</f>
        <v>5209.3453674999992</v>
      </c>
      <c r="CB10" s="437"/>
      <c r="CC10" s="437"/>
      <c r="CD10" s="437"/>
      <c r="CE10" s="437"/>
      <c r="CF10" s="120">
        <f>CF8*CF9</f>
        <v>6912.1181250000009</v>
      </c>
      <c r="CG10" s="437"/>
      <c r="CH10" s="437"/>
      <c r="CI10" s="437"/>
      <c r="CJ10" s="98"/>
      <c r="CK10" s="120">
        <f>CK8*CK9</f>
        <v>1251.1040399999999</v>
      </c>
      <c r="CL10" s="98"/>
      <c r="CM10" s="437"/>
      <c r="CN10" s="437"/>
      <c r="CO10" s="98"/>
      <c r="CP10" s="120">
        <f>CP8*CP9</f>
        <v>339.21403320000002</v>
      </c>
      <c r="CQ10" s="437"/>
      <c r="CR10" s="437"/>
      <c r="CS10" s="437"/>
      <c r="CT10" s="437"/>
      <c r="CU10" s="120">
        <f>CU8*CU9</f>
        <v>1526.8018470320001</v>
      </c>
      <c r="CV10" s="437"/>
      <c r="CW10" s="437"/>
      <c r="CX10" s="437"/>
      <c r="CY10" s="437"/>
      <c r="CZ10" s="120">
        <f>CZ8*CZ9</f>
        <v>2239.7323353832003</v>
      </c>
      <c r="DA10" s="98"/>
      <c r="DB10" s="98"/>
      <c r="DC10" s="437"/>
      <c r="DD10" s="437"/>
      <c r="DE10" s="120">
        <f>DE8*DE9</f>
        <v>2273.7190757046178</v>
      </c>
      <c r="DF10" s="437"/>
      <c r="DG10" s="437"/>
      <c r="DH10" s="437"/>
      <c r="DI10" s="437"/>
      <c r="DJ10" s="120">
        <f t="shared" ref="DJ10" si="32">DJ8*DJ9</f>
        <v>1122.2758430703875</v>
      </c>
      <c r="DK10" s="437"/>
      <c r="DL10" s="437"/>
      <c r="DM10" s="98"/>
      <c r="DN10" s="437"/>
      <c r="DO10" s="120">
        <f t="shared" ref="DO10" si="33">DO8*DO9</f>
        <v>2701.0368759831663</v>
      </c>
      <c r="DP10" s="437"/>
      <c r="DQ10" s="98"/>
      <c r="DR10" s="98"/>
      <c r="DS10" s="98"/>
      <c r="DT10" s="67">
        <f t="shared" ref="DT10" si="34">DT8*DT9</f>
        <v>3300.7063352251644</v>
      </c>
      <c r="DU10" s="98"/>
      <c r="DV10" s="98"/>
      <c r="DW10" s="98"/>
      <c r="DX10" s="98"/>
      <c r="DY10" s="67">
        <f t="shared" ref="DY10" si="35">DY8*DY9</f>
        <v>4155.5839999999998</v>
      </c>
      <c r="DZ10" s="67">
        <f t="shared" ref="DZ10:EB10" si="36">DZ8*DZ9</f>
        <v>5165.424</v>
      </c>
      <c r="EA10" s="67">
        <f t="shared" si="36"/>
        <v>6310.2759999999998</v>
      </c>
      <c r="EB10" s="67">
        <f t="shared" si="36"/>
        <v>7787.02</v>
      </c>
    </row>
    <row r="11" spans="1:132" s="424" customFormat="1" ht="8.25" customHeight="1">
      <c r="A11" s="68"/>
      <c r="B11" s="98"/>
      <c r="C11" s="425"/>
      <c r="D11" s="425"/>
      <c r="E11" s="425"/>
      <c r="F11" s="425"/>
      <c r="G11" s="425"/>
      <c r="H11" s="425"/>
      <c r="I11" s="490"/>
      <c r="J11" s="499"/>
      <c r="N11" s="425"/>
      <c r="S11" s="425"/>
      <c r="X11" s="425"/>
      <c r="AC11" s="425"/>
      <c r="AH11" s="425"/>
      <c r="AM11" s="425"/>
      <c r="AR11" s="425"/>
      <c r="AW11" s="425"/>
      <c r="BB11" s="425"/>
      <c r="BG11" s="425"/>
      <c r="BL11" s="585"/>
      <c r="BQ11" s="425"/>
      <c r="BS11" s="439"/>
      <c r="BV11" s="585"/>
      <c r="BW11" s="439"/>
      <c r="BY11" s="439"/>
      <c r="BZ11" s="439"/>
      <c r="CA11" s="585"/>
      <c r="CB11" s="439"/>
      <c r="CC11" s="439"/>
      <c r="CD11" s="439"/>
      <c r="CE11" s="439"/>
      <c r="CF11" s="585"/>
      <c r="CG11" s="439"/>
      <c r="CH11" s="439"/>
      <c r="CI11" s="439"/>
      <c r="CK11" s="585"/>
      <c r="CM11" s="439"/>
      <c r="CN11" s="439"/>
      <c r="CP11" s="585"/>
      <c r="CQ11" s="439"/>
      <c r="CR11" s="439"/>
      <c r="CS11" s="439"/>
      <c r="CT11" s="439"/>
      <c r="CU11" s="585"/>
      <c r="CV11" s="439"/>
      <c r="CW11" s="439"/>
      <c r="CX11" s="439"/>
      <c r="CY11" s="439"/>
      <c r="CZ11" s="585"/>
      <c r="DC11" s="439"/>
      <c r="DD11" s="439"/>
      <c r="DE11" s="585"/>
      <c r="DF11" s="439"/>
      <c r="DG11" s="439"/>
      <c r="DH11" s="439"/>
      <c r="DI11" s="439"/>
      <c r="DJ11" s="585"/>
      <c r="DK11" s="439"/>
      <c r="DL11" s="439"/>
      <c r="DN11" s="439"/>
      <c r="DO11" s="585"/>
      <c r="DP11" s="439"/>
      <c r="DT11" s="425"/>
      <c r="DY11" s="425"/>
      <c r="DZ11" s="425"/>
      <c r="EA11" s="425"/>
      <c r="EB11" s="425"/>
    </row>
    <row r="12" spans="1:132" s="424" customFormat="1" hidden="1" outlineLevel="1">
      <c r="A12" s="68"/>
      <c r="B12" s="432" t="s">
        <v>203</v>
      </c>
      <c r="C12" s="43">
        <v>39</v>
      </c>
      <c r="D12" s="43">
        <v>53</v>
      </c>
      <c r="E12" s="43">
        <v>47</v>
      </c>
      <c r="F12" s="43">
        <v>25</v>
      </c>
      <c r="G12" s="43">
        <v>31</v>
      </c>
      <c r="H12" s="43">
        <v>27</v>
      </c>
      <c r="I12" s="488">
        <v>19</v>
      </c>
      <c r="J12" s="496">
        <v>5</v>
      </c>
      <c r="K12" s="432">
        <v>4</v>
      </c>
      <c r="L12" s="432">
        <v>2</v>
      </c>
      <c r="M12" s="432">
        <v>4</v>
      </c>
      <c r="N12" s="43">
        <f>+M12+L12+K12+J12</f>
        <v>15</v>
      </c>
      <c r="O12" s="432">
        <v>3</v>
      </c>
      <c r="P12" s="432">
        <v>4</v>
      </c>
      <c r="Q12" s="432">
        <f>2+3*0</f>
        <v>2</v>
      </c>
      <c r="R12" s="432">
        <v>4</v>
      </c>
      <c r="S12" s="43">
        <f>+R12+Q12+P12+O12</f>
        <v>13</v>
      </c>
      <c r="T12" s="432">
        <v>4</v>
      </c>
      <c r="U12" s="432">
        <v>4</v>
      </c>
      <c r="V12" s="432">
        <v>3</v>
      </c>
      <c r="W12" s="432">
        <v>3</v>
      </c>
      <c r="X12" s="43">
        <v>14</v>
      </c>
      <c r="Y12" s="432">
        <v>3</v>
      </c>
      <c r="Z12" s="432">
        <v>4</v>
      </c>
      <c r="AA12" s="432">
        <v>5</v>
      </c>
      <c r="AB12" s="432">
        <v>4</v>
      </c>
      <c r="AC12" s="43">
        <f>SUM(Y12:AB12)</f>
        <v>16</v>
      </c>
      <c r="AD12" s="432">
        <v>4</v>
      </c>
      <c r="AE12" s="432">
        <v>5</v>
      </c>
      <c r="AF12" s="432">
        <v>4</v>
      </c>
      <c r="AG12" s="432">
        <v>1</v>
      </c>
      <c r="AH12" s="43">
        <f>SUM(AD12:AG12)</f>
        <v>14</v>
      </c>
      <c r="AI12" s="432">
        <v>4</v>
      </c>
      <c r="AJ12" s="432">
        <v>2</v>
      </c>
      <c r="AK12" s="432">
        <v>0</v>
      </c>
      <c r="AL12" s="432">
        <v>2</v>
      </c>
      <c r="AM12" s="43">
        <f>SUM(AI12:AL12)</f>
        <v>8</v>
      </c>
      <c r="AN12" s="432">
        <v>0</v>
      </c>
      <c r="AO12" s="432">
        <v>0</v>
      </c>
      <c r="AP12" s="432">
        <v>0</v>
      </c>
      <c r="AQ12" s="432">
        <v>0</v>
      </c>
      <c r="AR12" s="43">
        <f>SUM(AN12:AQ12)</f>
        <v>0</v>
      </c>
      <c r="AS12" s="432"/>
      <c r="AT12" s="432"/>
      <c r="AU12" s="434"/>
      <c r="AV12" s="434"/>
      <c r="AW12" s="43"/>
      <c r="AX12" s="432"/>
      <c r="AY12" s="432"/>
      <c r="AZ12" s="434"/>
      <c r="BA12" s="434"/>
      <c r="BB12" s="36"/>
      <c r="BC12" s="432"/>
      <c r="BD12" s="432"/>
      <c r="BE12" s="434"/>
      <c r="BF12" s="434"/>
      <c r="BG12" s="36"/>
      <c r="BH12" s="432"/>
      <c r="BI12" s="432"/>
      <c r="BJ12" s="434"/>
      <c r="BK12" s="434"/>
      <c r="BL12" s="43"/>
      <c r="BM12" s="432"/>
      <c r="BN12" s="432"/>
      <c r="BO12" s="434"/>
      <c r="BP12" s="434"/>
      <c r="BQ12" s="36"/>
      <c r="BR12" s="432"/>
      <c r="BS12" s="432"/>
      <c r="BT12" s="434"/>
      <c r="BU12" s="434"/>
      <c r="BV12" s="43"/>
      <c r="BW12" s="432"/>
      <c r="BX12" s="432"/>
      <c r="BY12" s="432"/>
      <c r="BZ12" s="432"/>
      <c r="CA12" s="43"/>
      <c r="CB12" s="432"/>
      <c r="CC12" s="432"/>
      <c r="CD12" s="432"/>
      <c r="CE12" s="432"/>
      <c r="CF12" s="43"/>
      <c r="CG12" s="432"/>
      <c r="CH12" s="432"/>
      <c r="CI12" s="432"/>
      <c r="CJ12" s="434"/>
      <c r="CK12" s="43"/>
      <c r="CL12" s="434"/>
      <c r="CM12" s="432"/>
      <c r="CN12" s="432"/>
      <c r="CO12" s="434"/>
      <c r="CP12" s="43"/>
      <c r="CQ12" s="432"/>
      <c r="CR12" s="432"/>
      <c r="CS12" s="432"/>
      <c r="CT12" s="432"/>
      <c r="CU12" s="43"/>
      <c r="CV12" s="432"/>
      <c r="CW12" s="432"/>
      <c r="CX12" s="432"/>
      <c r="CY12" s="432"/>
      <c r="CZ12" s="43"/>
      <c r="DA12" s="434"/>
      <c r="DB12" s="434"/>
      <c r="DC12" s="432"/>
      <c r="DD12" s="432"/>
      <c r="DE12" s="43"/>
      <c r="DF12" s="432"/>
      <c r="DG12" s="432"/>
      <c r="DH12" s="432"/>
      <c r="DI12" s="432"/>
      <c r="DJ12" s="43"/>
      <c r="DK12" s="432"/>
      <c r="DL12" s="432"/>
      <c r="DM12" s="434"/>
      <c r="DN12" s="432"/>
      <c r="DO12" s="43"/>
      <c r="DP12" s="432"/>
      <c r="DQ12" s="434"/>
      <c r="DR12" s="434"/>
      <c r="DS12" s="434"/>
      <c r="DT12" s="36"/>
      <c r="DU12" s="434"/>
      <c r="DV12" s="434"/>
      <c r="DW12" s="434"/>
      <c r="DX12" s="434"/>
      <c r="DY12" s="36"/>
      <c r="DZ12" s="36"/>
      <c r="EA12" s="36"/>
      <c r="EB12" s="36"/>
    </row>
    <row r="13" spans="1:132" s="424" customFormat="1" hidden="1" outlineLevel="1">
      <c r="A13" s="68"/>
      <c r="B13" s="98" t="s">
        <v>190</v>
      </c>
      <c r="C13" s="189">
        <v>150</v>
      </c>
      <c r="D13" s="189">
        <v>150</v>
      </c>
      <c r="E13" s="189">
        <v>150</v>
      </c>
      <c r="F13" s="189">
        <v>152</v>
      </c>
      <c r="G13" s="189">
        <v>155</v>
      </c>
      <c r="H13" s="189">
        <v>162</v>
      </c>
      <c r="I13" s="489">
        <v>162</v>
      </c>
      <c r="J13" s="497">
        <v>164</v>
      </c>
      <c r="K13" s="451">
        <v>164</v>
      </c>
      <c r="L13" s="451">
        <v>164</v>
      </c>
      <c r="M13" s="451">
        <v>164</v>
      </c>
      <c r="N13" s="189">
        <v>164</v>
      </c>
      <c r="O13" s="451">
        <v>166</v>
      </c>
      <c r="P13" s="451">
        <v>166</v>
      </c>
      <c r="Q13" s="451">
        <v>166</v>
      </c>
      <c r="R13" s="451">
        <v>166</v>
      </c>
      <c r="S13" s="189">
        <v>166</v>
      </c>
      <c r="T13" s="451">
        <v>166</v>
      </c>
      <c r="U13" s="451">
        <v>166.4</v>
      </c>
      <c r="V13" s="451">
        <v>166</v>
      </c>
      <c r="W13" s="451">
        <v>166</v>
      </c>
      <c r="X13" s="189">
        <v>166</v>
      </c>
      <c r="Y13" s="451">
        <v>166</v>
      </c>
      <c r="Z13" s="451">
        <v>166</v>
      </c>
      <c r="AA13" s="451">
        <v>166</v>
      </c>
      <c r="AB13" s="451">
        <v>166</v>
      </c>
      <c r="AC13" s="189">
        <v>166</v>
      </c>
      <c r="AD13" s="451">
        <v>165</v>
      </c>
      <c r="AE13" s="451">
        <v>165</v>
      </c>
      <c r="AF13" s="451">
        <v>165</v>
      </c>
      <c r="AG13" s="451">
        <v>165</v>
      </c>
      <c r="AH13" s="189">
        <v>165</v>
      </c>
      <c r="AI13" s="451">
        <v>165</v>
      </c>
      <c r="AJ13" s="451">
        <v>165</v>
      </c>
      <c r="AK13" s="451">
        <v>165</v>
      </c>
      <c r="AL13" s="451">
        <v>165</v>
      </c>
      <c r="AM13" s="189">
        <v>165</v>
      </c>
      <c r="AN13" s="451">
        <v>165</v>
      </c>
      <c r="AO13" s="470">
        <v>165</v>
      </c>
      <c r="AP13" s="470">
        <v>165</v>
      </c>
      <c r="AQ13" s="451">
        <v>165</v>
      </c>
      <c r="AR13" s="189">
        <v>165</v>
      </c>
      <c r="AS13" s="451"/>
      <c r="AT13" s="470"/>
      <c r="AU13" s="435"/>
      <c r="AV13" s="435"/>
      <c r="AW13" s="189"/>
      <c r="AX13" s="451"/>
      <c r="AY13" s="470"/>
      <c r="AZ13" s="435"/>
      <c r="BA13" s="435"/>
      <c r="BB13" s="412"/>
      <c r="BC13" s="451"/>
      <c r="BD13" s="470"/>
      <c r="BE13" s="435"/>
      <c r="BF13" s="435"/>
      <c r="BG13" s="412"/>
      <c r="BH13" s="451"/>
      <c r="BI13" s="470"/>
      <c r="BJ13" s="435"/>
      <c r="BK13" s="435"/>
      <c r="BL13" s="566"/>
      <c r="BM13" s="451"/>
      <c r="BN13" s="470"/>
      <c r="BO13" s="435"/>
      <c r="BP13" s="435"/>
      <c r="BQ13" s="412"/>
      <c r="BR13" s="451"/>
      <c r="BS13" s="470"/>
      <c r="BT13" s="435"/>
      <c r="BU13" s="435"/>
      <c r="BV13" s="566"/>
      <c r="BW13" s="470"/>
      <c r="BX13" s="470"/>
      <c r="BY13" s="470"/>
      <c r="BZ13" s="470"/>
      <c r="CA13" s="566"/>
      <c r="CB13" s="470"/>
      <c r="CC13" s="470"/>
      <c r="CD13" s="470"/>
      <c r="CE13" s="470"/>
      <c r="CF13" s="566"/>
      <c r="CG13" s="470"/>
      <c r="CH13" s="470"/>
      <c r="CI13" s="470"/>
      <c r="CJ13" s="435"/>
      <c r="CK13" s="566"/>
      <c r="CL13" s="435"/>
      <c r="CM13" s="470"/>
      <c r="CN13" s="470"/>
      <c r="CO13" s="435"/>
      <c r="CP13" s="566"/>
      <c r="CQ13" s="470"/>
      <c r="CR13" s="470"/>
      <c r="CS13" s="470"/>
      <c r="CT13" s="470"/>
      <c r="CU13" s="566"/>
      <c r="CV13" s="470"/>
      <c r="CW13" s="470"/>
      <c r="CX13" s="470"/>
      <c r="CY13" s="470"/>
      <c r="CZ13" s="566"/>
      <c r="DA13" s="435"/>
      <c r="DB13" s="435"/>
      <c r="DC13" s="470"/>
      <c r="DD13" s="470"/>
      <c r="DE13" s="566"/>
      <c r="DF13" s="470"/>
      <c r="DG13" s="470"/>
      <c r="DH13" s="470"/>
      <c r="DI13" s="470"/>
      <c r="DJ13" s="566"/>
      <c r="DK13" s="470"/>
      <c r="DL13" s="470"/>
      <c r="DM13" s="435"/>
      <c r="DN13" s="470"/>
      <c r="DO13" s="566"/>
      <c r="DP13" s="470"/>
      <c r="DQ13" s="435"/>
      <c r="DR13" s="435"/>
      <c r="DS13" s="435"/>
      <c r="DT13" s="412"/>
      <c r="DU13" s="435"/>
      <c r="DV13" s="435"/>
      <c r="DW13" s="435"/>
      <c r="DX13" s="435"/>
      <c r="DY13" s="412"/>
      <c r="DZ13" s="412"/>
      <c r="EA13" s="412"/>
      <c r="EB13" s="412"/>
    </row>
    <row r="14" spans="1:132" s="424" customFormat="1" hidden="1" outlineLevel="1">
      <c r="A14" s="68"/>
      <c r="B14" s="98" t="s">
        <v>191</v>
      </c>
      <c r="C14" s="67">
        <f t="shared" ref="C14:M14" si="37">C13*C12</f>
        <v>5850</v>
      </c>
      <c r="D14" s="67">
        <f t="shared" si="37"/>
        <v>7950</v>
      </c>
      <c r="E14" s="67">
        <f t="shared" si="37"/>
        <v>7050</v>
      </c>
      <c r="F14" s="67">
        <f t="shared" si="37"/>
        <v>3800</v>
      </c>
      <c r="G14" s="67">
        <f t="shared" si="37"/>
        <v>4805</v>
      </c>
      <c r="H14" s="67">
        <f t="shared" si="37"/>
        <v>4374</v>
      </c>
      <c r="I14" s="454">
        <f t="shared" si="37"/>
        <v>3078</v>
      </c>
      <c r="J14" s="265">
        <f t="shared" si="37"/>
        <v>820</v>
      </c>
      <c r="K14" s="98">
        <f t="shared" si="37"/>
        <v>656</v>
      </c>
      <c r="L14" s="98">
        <f t="shared" si="37"/>
        <v>328</v>
      </c>
      <c r="M14" s="98">
        <f t="shared" si="37"/>
        <v>656</v>
      </c>
      <c r="N14" s="67">
        <f>SUM(J14:M14)</f>
        <v>2460</v>
      </c>
      <c r="O14" s="98">
        <f>O13*O12</f>
        <v>498</v>
      </c>
      <c r="P14" s="98">
        <f>P13*P12</f>
        <v>664</v>
      </c>
      <c r="Q14" s="98">
        <f>Q13*Q12</f>
        <v>332</v>
      </c>
      <c r="R14" s="98">
        <f>R13*R12</f>
        <v>664</v>
      </c>
      <c r="S14" s="67">
        <f>SUM(O14:R14)</f>
        <v>2158</v>
      </c>
      <c r="T14" s="98">
        <f>T13*T12</f>
        <v>664</v>
      </c>
      <c r="U14" s="98">
        <f>U13*U12</f>
        <v>665.6</v>
      </c>
      <c r="V14" s="98">
        <f>V13*V12</f>
        <v>498</v>
      </c>
      <c r="W14" s="98">
        <f>W13*W12</f>
        <v>498</v>
      </c>
      <c r="X14" s="67">
        <f>SUM(T14:W14)</f>
        <v>2325.6</v>
      </c>
      <c r="Y14" s="98">
        <f>Y13*Y12</f>
        <v>498</v>
      </c>
      <c r="Z14" s="98">
        <f>Z13*Z12</f>
        <v>664</v>
      </c>
      <c r="AA14" s="98">
        <f>AA13*AA12</f>
        <v>830</v>
      </c>
      <c r="AB14" s="98">
        <f>AB13*AB12</f>
        <v>664</v>
      </c>
      <c r="AC14" s="67">
        <f>SUM(Y14:AB14)</f>
        <v>2656</v>
      </c>
      <c r="AD14" s="98">
        <f>AD13*AD12</f>
        <v>660</v>
      </c>
      <c r="AE14" s="98">
        <f>AE13*AE12</f>
        <v>825</v>
      </c>
      <c r="AF14" s="98">
        <f>AF13*AF12</f>
        <v>660</v>
      </c>
      <c r="AG14" s="98">
        <f>AG13*AG12</f>
        <v>165</v>
      </c>
      <c r="AH14" s="67">
        <f>SUM(AD14:AG14)</f>
        <v>2310</v>
      </c>
      <c r="AI14" s="98">
        <f>AI13*AI12</f>
        <v>660</v>
      </c>
      <c r="AJ14" s="98">
        <f>AJ13*AJ12</f>
        <v>330</v>
      </c>
      <c r="AK14" s="98">
        <f>AK13*AK12</f>
        <v>0</v>
      </c>
      <c r="AL14" s="98">
        <f>AL13*AL12</f>
        <v>330</v>
      </c>
      <c r="AM14" s="67">
        <f>SUM(AI14:AL14)</f>
        <v>1320</v>
      </c>
      <c r="AN14" s="98">
        <f>AN13*AN12</f>
        <v>0</v>
      </c>
      <c r="AO14" s="98">
        <f>AO13*AO12</f>
        <v>0</v>
      </c>
      <c r="AP14" s="98">
        <f>AP13*AP12</f>
        <v>0</v>
      </c>
      <c r="AQ14" s="98">
        <f>AQ13*AQ12</f>
        <v>0</v>
      </c>
      <c r="AR14" s="67">
        <f>SUM(AN14:AQ14)</f>
        <v>0</v>
      </c>
      <c r="AS14" s="98"/>
      <c r="AT14" s="98"/>
      <c r="AU14" s="98"/>
      <c r="AV14" s="98"/>
      <c r="AW14" s="67"/>
      <c r="AX14" s="98"/>
      <c r="AY14" s="98"/>
      <c r="AZ14" s="98"/>
      <c r="BA14" s="98"/>
      <c r="BB14" s="67"/>
      <c r="BC14" s="98"/>
      <c r="BD14" s="98"/>
      <c r="BE14" s="98"/>
      <c r="BF14" s="98"/>
      <c r="BG14" s="67"/>
      <c r="BH14" s="98"/>
      <c r="BI14" s="98"/>
      <c r="BJ14" s="98"/>
      <c r="BK14" s="98"/>
      <c r="BL14" s="120"/>
      <c r="BM14" s="98"/>
      <c r="BN14" s="98"/>
      <c r="BO14" s="98"/>
      <c r="BP14" s="98"/>
      <c r="BQ14" s="67"/>
      <c r="BR14" s="98"/>
      <c r="BS14" s="437"/>
      <c r="BT14" s="98"/>
      <c r="BU14" s="98"/>
      <c r="BV14" s="120"/>
      <c r="BW14" s="437"/>
      <c r="BX14" s="98"/>
      <c r="BY14" s="437"/>
      <c r="BZ14" s="437"/>
      <c r="CA14" s="120"/>
      <c r="CB14" s="437"/>
      <c r="CC14" s="437"/>
      <c r="CD14" s="437"/>
      <c r="CE14" s="437"/>
      <c r="CF14" s="120"/>
      <c r="CG14" s="437"/>
      <c r="CH14" s="437"/>
      <c r="CI14" s="437"/>
      <c r="CJ14" s="98"/>
      <c r="CK14" s="120"/>
      <c r="CL14" s="98"/>
      <c r="CM14" s="437"/>
      <c r="CN14" s="437"/>
      <c r="CO14" s="98"/>
      <c r="CP14" s="120"/>
      <c r="CQ14" s="437"/>
      <c r="CR14" s="437"/>
      <c r="CS14" s="437"/>
      <c r="CT14" s="437"/>
      <c r="CU14" s="120"/>
      <c r="CV14" s="437"/>
      <c r="CW14" s="437"/>
      <c r="CX14" s="437"/>
      <c r="CY14" s="437"/>
      <c r="CZ14" s="120"/>
      <c r="DA14" s="98"/>
      <c r="DB14" s="98"/>
      <c r="DC14" s="437"/>
      <c r="DD14" s="437"/>
      <c r="DE14" s="120"/>
      <c r="DF14" s="437"/>
      <c r="DG14" s="437"/>
      <c r="DH14" s="437"/>
      <c r="DI14" s="437"/>
      <c r="DJ14" s="120"/>
      <c r="DK14" s="437"/>
      <c r="DL14" s="437"/>
      <c r="DM14" s="98"/>
      <c r="DN14" s="437"/>
      <c r="DO14" s="120"/>
      <c r="DP14" s="437"/>
      <c r="DQ14" s="98"/>
      <c r="DR14" s="98"/>
      <c r="DS14" s="98"/>
      <c r="DT14" s="67"/>
      <c r="DU14" s="98"/>
      <c r="DV14" s="98"/>
      <c r="DW14" s="98"/>
      <c r="DX14" s="98"/>
      <c r="DY14" s="67"/>
      <c r="DZ14" s="67"/>
      <c r="EA14" s="67"/>
      <c r="EB14" s="67"/>
    </row>
    <row r="15" spans="1:132" s="424" customFormat="1" hidden="1" outlineLevel="1">
      <c r="A15" s="68"/>
      <c r="B15" s="427" t="s">
        <v>369</v>
      </c>
      <c r="C15" s="426">
        <v>0.09</v>
      </c>
      <c r="D15" s="426">
        <v>7.0000000000000007E-2</v>
      </c>
      <c r="E15" s="426">
        <v>0.06</v>
      </c>
      <c r="F15" s="426">
        <v>0.1</v>
      </c>
      <c r="G15" s="426">
        <v>0.1</v>
      </c>
      <c r="H15" s="426">
        <v>0.12</v>
      </c>
      <c r="I15" s="452">
        <v>0.08</v>
      </c>
      <c r="J15" s="498">
        <v>0.1</v>
      </c>
      <c r="K15" s="427">
        <v>0.1</v>
      </c>
      <c r="L15" s="427">
        <v>0.1</v>
      </c>
      <c r="M15" s="453">
        <v>0.1</v>
      </c>
      <c r="N15" s="426">
        <v>0.1</v>
      </c>
      <c r="O15" s="452">
        <v>0.12</v>
      </c>
      <c r="P15" s="427">
        <v>0.12</v>
      </c>
      <c r="Q15" s="427">
        <v>0.12</v>
      </c>
      <c r="R15" s="453">
        <v>0.12</v>
      </c>
      <c r="S15" s="426">
        <v>0.12</v>
      </c>
      <c r="T15" s="452">
        <v>0.14000000000000001</v>
      </c>
      <c r="U15" s="427">
        <v>0.14000000000000001</v>
      </c>
      <c r="V15" s="427">
        <v>0.14000000000000001</v>
      </c>
      <c r="W15" s="453">
        <v>0.14000000000000001</v>
      </c>
      <c r="X15" s="426">
        <v>0.14000000000000001</v>
      </c>
      <c r="Y15" s="452">
        <v>0.14499999999999999</v>
      </c>
      <c r="Z15" s="427">
        <v>0.14499999999999999</v>
      </c>
      <c r="AA15" s="427">
        <v>0.14499999999999999</v>
      </c>
      <c r="AB15" s="453">
        <v>0.14499999999999999</v>
      </c>
      <c r="AC15" s="426">
        <v>0.14499999999999999</v>
      </c>
      <c r="AD15" s="452">
        <v>0.13500000000000001</v>
      </c>
      <c r="AE15" s="427">
        <v>0.13500000000000001</v>
      </c>
      <c r="AF15" s="427">
        <v>0.13500000000000001</v>
      </c>
      <c r="AG15" s="453">
        <v>0.13500000000000001</v>
      </c>
      <c r="AH15" s="426">
        <v>0.13500000000000001</v>
      </c>
      <c r="AI15" s="452">
        <v>0.09</v>
      </c>
      <c r="AJ15" s="427">
        <v>0.09</v>
      </c>
      <c r="AK15" s="427">
        <v>0.09</v>
      </c>
      <c r="AL15" s="453">
        <v>0.09</v>
      </c>
      <c r="AM15" s="426">
        <v>0.09</v>
      </c>
      <c r="AN15" s="427">
        <v>0.17</v>
      </c>
      <c r="AO15" s="427">
        <v>0.17</v>
      </c>
      <c r="AP15" s="427">
        <v>0.17</v>
      </c>
      <c r="AQ15" s="453">
        <v>0.17</v>
      </c>
      <c r="AR15" s="426">
        <v>0.17</v>
      </c>
      <c r="AS15" s="427"/>
      <c r="AT15" s="427"/>
      <c r="AU15" s="427"/>
      <c r="AV15" s="427"/>
      <c r="AW15" s="426"/>
      <c r="AX15" s="427"/>
      <c r="AY15" s="427"/>
      <c r="AZ15" s="427"/>
      <c r="BA15" s="427"/>
      <c r="BB15" s="426"/>
      <c r="BC15" s="427"/>
      <c r="BD15" s="427"/>
      <c r="BE15" s="427"/>
      <c r="BF15" s="427"/>
      <c r="BG15" s="426"/>
      <c r="BH15" s="427"/>
      <c r="BI15" s="427"/>
      <c r="BJ15" s="427"/>
      <c r="BK15" s="427"/>
      <c r="BL15" s="136"/>
      <c r="BM15" s="427"/>
      <c r="BN15" s="427"/>
      <c r="BO15" s="427"/>
      <c r="BP15" s="427"/>
      <c r="BQ15" s="426"/>
      <c r="BR15" s="427"/>
      <c r="BS15" s="295"/>
      <c r="BT15" s="427"/>
      <c r="BU15" s="427"/>
      <c r="BV15" s="136"/>
      <c r="BW15" s="295"/>
      <c r="BX15" s="427"/>
      <c r="BY15" s="295"/>
      <c r="BZ15" s="295"/>
      <c r="CA15" s="136"/>
      <c r="CB15" s="295"/>
      <c r="CC15" s="295"/>
      <c r="CD15" s="295"/>
      <c r="CE15" s="295"/>
      <c r="CF15" s="136"/>
      <c r="CG15" s="295"/>
      <c r="CH15" s="295"/>
      <c r="CI15" s="295"/>
      <c r="CJ15" s="427"/>
      <c r="CK15" s="136"/>
      <c r="CL15" s="427"/>
      <c r="CM15" s="295"/>
      <c r="CN15" s="295"/>
      <c r="CO15" s="427"/>
      <c r="CP15" s="136"/>
      <c r="CQ15" s="295"/>
      <c r="CR15" s="295"/>
      <c r="CS15" s="295"/>
      <c r="CT15" s="295"/>
      <c r="CU15" s="136"/>
      <c r="CV15" s="295"/>
      <c r="CW15" s="295"/>
      <c r="CX15" s="295"/>
      <c r="CY15" s="295"/>
      <c r="CZ15" s="136"/>
      <c r="DA15" s="427"/>
      <c r="DB15" s="427"/>
      <c r="DC15" s="295"/>
      <c r="DD15" s="295"/>
      <c r="DE15" s="136"/>
      <c r="DF15" s="295"/>
      <c r="DG15" s="295"/>
      <c r="DH15" s="295"/>
      <c r="DI15" s="295"/>
      <c r="DJ15" s="136"/>
      <c r="DK15" s="295"/>
      <c r="DL15" s="295"/>
      <c r="DM15" s="427"/>
      <c r="DN15" s="295"/>
      <c r="DO15" s="136"/>
      <c r="DP15" s="295"/>
      <c r="DQ15" s="427"/>
      <c r="DR15" s="427"/>
      <c r="DS15" s="427"/>
      <c r="DT15" s="426"/>
      <c r="DU15" s="427"/>
      <c r="DV15" s="427"/>
      <c r="DW15" s="427"/>
      <c r="DX15" s="427"/>
      <c r="DY15" s="426"/>
      <c r="DZ15" s="426"/>
      <c r="EA15" s="426"/>
      <c r="EB15" s="426"/>
    </row>
    <row r="16" spans="1:132" s="424" customFormat="1" hidden="1" outlineLevel="1">
      <c r="A16" s="68"/>
      <c r="B16" s="427" t="s">
        <v>370</v>
      </c>
      <c r="C16" s="67">
        <f t="shared" ref="C16:I16" si="38">C14*C15</f>
        <v>526.5</v>
      </c>
      <c r="D16" s="67">
        <f t="shared" si="38"/>
        <v>556.5</v>
      </c>
      <c r="E16" s="67">
        <f t="shared" si="38"/>
        <v>423</v>
      </c>
      <c r="F16" s="67">
        <f t="shared" si="38"/>
        <v>380</v>
      </c>
      <c r="G16" s="67">
        <f t="shared" si="38"/>
        <v>480.5</v>
      </c>
      <c r="H16" s="67">
        <f t="shared" si="38"/>
        <v>524.88</v>
      </c>
      <c r="I16" s="454">
        <f t="shared" si="38"/>
        <v>246.24</v>
      </c>
      <c r="J16" s="265">
        <f t="shared" ref="J16:AR16" si="39">J14*J15</f>
        <v>82</v>
      </c>
      <c r="K16" s="98">
        <f t="shared" si="39"/>
        <v>65.600000000000009</v>
      </c>
      <c r="L16" s="98">
        <f t="shared" si="39"/>
        <v>32.800000000000004</v>
      </c>
      <c r="M16" s="98">
        <f t="shared" si="39"/>
        <v>65.600000000000009</v>
      </c>
      <c r="N16" s="67">
        <f t="shared" si="39"/>
        <v>246</v>
      </c>
      <c r="O16" s="98">
        <f t="shared" si="39"/>
        <v>59.76</v>
      </c>
      <c r="P16" s="98">
        <f t="shared" si="39"/>
        <v>79.679999999999993</v>
      </c>
      <c r="Q16" s="98">
        <f t="shared" si="39"/>
        <v>39.839999999999996</v>
      </c>
      <c r="R16" s="98">
        <f t="shared" si="39"/>
        <v>79.679999999999993</v>
      </c>
      <c r="S16" s="67">
        <f t="shared" si="39"/>
        <v>258.95999999999998</v>
      </c>
      <c r="T16" s="98">
        <f t="shared" si="39"/>
        <v>92.960000000000008</v>
      </c>
      <c r="U16" s="98">
        <f t="shared" si="39"/>
        <v>93.184000000000012</v>
      </c>
      <c r="V16" s="98">
        <f t="shared" si="39"/>
        <v>69.720000000000013</v>
      </c>
      <c r="W16" s="98">
        <f t="shared" si="39"/>
        <v>69.720000000000013</v>
      </c>
      <c r="X16" s="67">
        <f t="shared" si="39"/>
        <v>325.584</v>
      </c>
      <c r="Y16" s="98">
        <f t="shared" si="39"/>
        <v>72.209999999999994</v>
      </c>
      <c r="Z16" s="98">
        <f t="shared" si="39"/>
        <v>96.279999999999987</v>
      </c>
      <c r="AA16" s="98">
        <f t="shared" si="39"/>
        <v>120.35</v>
      </c>
      <c r="AB16" s="98">
        <f t="shared" si="39"/>
        <v>96.279999999999987</v>
      </c>
      <c r="AC16" s="67">
        <f t="shared" si="39"/>
        <v>385.11999999999995</v>
      </c>
      <c r="AD16" s="98">
        <f t="shared" si="39"/>
        <v>89.100000000000009</v>
      </c>
      <c r="AE16" s="98">
        <f t="shared" si="39"/>
        <v>111.37500000000001</v>
      </c>
      <c r="AF16" s="98">
        <f t="shared" si="39"/>
        <v>89.100000000000009</v>
      </c>
      <c r="AG16" s="98">
        <f t="shared" si="39"/>
        <v>22.275000000000002</v>
      </c>
      <c r="AH16" s="67">
        <f t="shared" si="39"/>
        <v>311.85000000000002</v>
      </c>
      <c r="AI16" s="98">
        <f t="shared" si="39"/>
        <v>59.4</v>
      </c>
      <c r="AJ16" s="98">
        <f t="shared" si="39"/>
        <v>29.7</v>
      </c>
      <c r="AK16" s="98">
        <f t="shared" si="39"/>
        <v>0</v>
      </c>
      <c r="AL16" s="98">
        <f t="shared" si="39"/>
        <v>29.7</v>
      </c>
      <c r="AM16" s="67">
        <f t="shared" si="39"/>
        <v>118.8</v>
      </c>
      <c r="AN16" s="98">
        <f t="shared" si="39"/>
        <v>0</v>
      </c>
      <c r="AO16" s="98">
        <f t="shared" si="39"/>
        <v>0</v>
      </c>
      <c r="AP16" s="98">
        <f t="shared" si="39"/>
        <v>0</v>
      </c>
      <c r="AQ16" s="98">
        <f t="shared" si="39"/>
        <v>0</v>
      </c>
      <c r="AR16" s="67">
        <f t="shared" si="39"/>
        <v>0</v>
      </c>
      <c r="AS16" s="98"/>
      <c r="AT16" s="98"/>
      <c r="AU16" s="98"/>
      <c r="AV16" s="98"/>
      <c r="AW16" s="67"/>
      <c r="AX16" s="98"/>
      <c r="AY16" s="98"/>
      <c r="AZ16" s="98"/>
      <c r="BA16" s="98"/>
      <c r="BB16" s="67"/>
      <c r="BC16" s="98"/>
      <c r="BD16" s="98"/>
      <c r="BE16" s="98"/>
      <c r="BF16" s="98"/>
      <c r="BG16" s="67"/>
      <c r="BH16" s="98"/>
      <c r="BI16" s="98"/>
      <c r="BJ16" s="98"/>
      <c r="BK16" s="98"/>
      <c r="BL16" s="120"/>
      <c r="BM16" s="98"/>
      <c r="BN16" s="98"/>
      <c r="BO16" s="98"/>
      <c r="BP16" s="98"/>
      <c r="BQ16" s="67"/>
      <c r="BR16" s="98"/>
      <c r="BS16" s="437"/>
      <c r="BT16" s="98"/>
      <c r="BU16" s="98"/>
      <c r="BV16" s="120"/>
      <c r="BW16" s="437"/>
      <c r="BX16" s="98"/>
      <c r="BY16" s="437"/>
      <c r="BZ16" s="437"/>
      <c r="CA16" s="120"/>
      <c r="CB16" s="437"/>
      <c r="CC16" s="437"/>
      <c r="CD16" s="437"/>
      <c r="CE16" s="437"/>
      <c r="CF16" s="120"/>
      <c r="CG16" s="437"/>
      <c r="CH16" s="437"/>
      <c r="CI16" s="437"/>
      <c r="CJ16" s="98"/>
      <c r="CK16" s="120"/>
      <c r="CL16" s="98"/>
      <c r="CM16" s="437"/>
      <c r="CN16" s="437"/>
      <c r="CO16" s="98"/>
      <c r="CP16" s="120"/>
      <c r="CQ16" s="437"/>
      <c r="CR16" s="437"/>
      <c r="CS16" s="437"/>
      <c r="CT16" s="437"/>
      <c r="CU16" s="120"/>
      <c r="CV16" s="437"/>
      <c r="CW16" s="437"/>
      <c r="CX16" s="437"/>
      <c r="CY16" s="437"/>
      <c r="CZ16" s="120"/>
      <c r="DA16" s="98"/>
      <c r="DB16" s="98"/>
      <c r="DC16" s="437"/>
      <c r="DD16" s="437"/>
      <c r="DE16" s="120"/>
      <c r="DF16" s="437"/>
      <c r="DG16" s="437"/>
      <c r="DH16" s="437"/>
      <c r="DI16" s="437"/>
      <c r="DJ16" s="120"/>
      <c r="DK16" s="437"/>
      <c r="DL16" s="437"/>
      <c r="DM16" s="98"/>
      <c r="DN16" s="437"/>
      <c r="DO16" s="120"/>
      <c r="DP16" s="437"/>
      <c r="DQ16" s="98"/>
      <c r="DR16" s="98"/>
      <c r="DS16" s="98"/>
      <c r="DT16" s="67"/>
      <c r="DU16" s="98"/>
      <c r="DV16" s="98"/>
      <c r="DW16" s="98"/>
      <c r="DX16" s="98"/>
      <c r="DY16" s="67"/>
      <c r="DZ16" s="67"/>
      <c r="EA16" s="67"/>
      <c r="EB16" s="67"/>
    </row>
    <row r="17" spans="1:132" s="424" customFormat="1" ht="6.75" hidden="1" customHeight="1" outlineLevel="1">
      <c r="A17" s="68"/>
      <c r="B17" s="98"/>
      <c r="C17" s="425"/>
      <c r="D17" s="425"/>
      <c r="E17" s="425"/>
      <c r="F17" s="425"/>
      <c r="G17" s="425"/>
      <c r="H17" s="425"/>
      <c r="I17" s="490"/>
      <c r="J17" s="499"/>
      <c r="N17" s="425"/>
      <c r="S17" s="425"/>
      <c r="X17" s="425"/>
      <c r="AC17" s="425"/>
      <c r="AH17" s="425"/>
      <c r="AM17" s="425"/>
      <c r="AR17" s="425"/>
      <c r="AW17" s="425"/>
      <c r="BB17" s="425"/>
      <c r="BG17" s="425"/>
      <c r="BL17" s="585"/>
      <c r="BQ17" s="425"/>
      <c r="BS17" s="439"/>
      <c r="BV17" s="585"/>
      <c r="BW17" s="439"/>
      <c r="BY17" s="439"/>
      <c r="BZ17" s="439"/>
      <c r="CA17" s="585"/>
      <c r="CB17" s="439"/>
      <c r="CC17" s="439"/>
      <c r="CD17" s="439"/>
      <c r="CE17" s="439"/>
      <c r="CF17" s="585"/>
      <c r="CG17" s="439"/>
      <c r="CH17" s="439"/>
      <c r="CI17" s="439"/>
      <c r="CK17" s="585"/>
      <c r="CM17" s="439"/>
      <c r="CN17" s="439"/>
      <c r="CP17" s="585"/>
      <c r="CQ17" s="439"/>
      <c r="CR17" s="439"/>
      <c r="CS17" s="439"/>
      <c r="CT17" s="439"/>
      <c r="CU17" s="585"/>
      <c r="CV17" s="439"/>
      <c r="CW17" s="439"/>
      <c r="CX17" s="439"/>
      <c r="CY17" s="439"/>
      <c r="CZ17" s="585"/>
      <c r="DC17" s="439"/>
      <c r="DD17" s="439"/>
      <c r="DE17" s="585"/>
      <c r="DF17" s="439"/>
      <c r="DG17" s="439"/>
      <c r="DH17" s="439"/>
      <c r="DI17" s="439"/>
      <c r="DJ17" s="585"/>
      <c r="DK17" s="439"/>
      <c r="DL17" s="439"/>
      <c r="DN17" s="439"/>
      <c r="DO17" s="585"/>
      <c r="DP17" s="439"/>
      <c r="DT17" s="425"/>
      <c r="DY17" s="425"/>
      <c r="DZ17" s="425"/>
      <c r="EA17" s="425"/>
      <c r="EB17" s="425"/>
    </row>
    <row r="18" spans="1:132" s="424" customFormat="1" collapsed="1">
      <c r="A18" s="68"/>
      <c r="B18" s="432" t="s">
        <v>204</v>
      </c>
      <c r="C18" s="43"/>
      <c r="D18" s="43"/>
      <c r="E18" s="43"/>
      <c r="F18" s="43"/>
      <c r="G18" s="43"/>
      <c r="H18" s="43"/>
      <c r="I18" s="488"/>
      <c r="J18" s="496"/>
      <c r="K18" s="432"/>
      <c r="L18" s="432"/>
      <c r="M18" s="432"/>
      <c r="N18" s="43"/>
      <c r="O18" s="432"/>
      <c r="P18" s="432"/>
      <c r="Q18" s="432"/>
      <c r="R18" s="432"/>
      <c r="S18" s="43"/>
      <c r="T18" s="432"/>
      <c r="U18" s="432"/>
      <c r="V18" s="432"/>
      <c r="W18" s="432"/>
      <c r="X18" s="43"/>
      <c r="Y18" s="432"/>
      <c r="Z18" s="432"/>
      <c r="AA18" s="432"/>
      <c r="AB18" s="432"/>
      <c r="AC18" s="43"/>
      <c r="AD18" s="432"/>
      <c r="AE18" s="432"/>
      <c r="AF18" s="432"/>
      <c r="AG18" s="432"/>
      <c r="AH18" s="43"/>
      <c r="AI18" s="432"/>
      <c r="AJ18" s="432"/>
      <c r="AK18" s="432"/>
      <c r="AL18" s="432"/>
      <c r="AM18" s="43"/>
      <c r="AN18" s="432">
        <v>0</v>
      </c>
      <c r="AO18" s="432">
        <v>0</v>
      </c>
      <c r="AP18" s="432">
        <f>Commercial!AP42</f>
        <v>0</v>
      </c>
      <c r="AQ18" s="432">
        <f>Commercial!AQ42</f>
        <v>0</v>
      </c>
      <c r="AR18" s="43">
        <f>Commercial!AR42</f>
        <v>0</v>
      </c>
      <c r="AS18" s="432">
        <f>Commercial!AS42</f>
        <v>0</v>
      </c>
      <c r="AT18" s="432">
        <f>Commercial!AT42</f>
        <v>0</v>
      </c>
      <c r="AU18" s="432">
        <f>Commercial!AU42</f>
        <v>0</v>
      </c>
      <c r="AV18" s="432">
        <f>Commercial!AV42</f>
        <v>9</v>
      </c>
      <c r="AW18" s="43">
        <f>Commercial!AW42</f>
        <v>9</v>
      </c>
      <c r="AX18" s="432">
        <f>Commercial!AX42</f>
        <v>6</v>
      </c>
      <c r="AY18" s="432">
        <f>Commercial!AY42</f>
        <v>7</v>
      </c>
      <c r="AZ18" s="432">
        <f>Commercial!AZ42</f>
        <v>8</v>
      </c>
      <c r="BA18" s="432">
        <f>Commercial!BA42</f>
        <v>10</v>
      </c>
      <c r="BB18" s="43">
        <f>Commercial!BB42</f>
        <v>31</v>
      </c>
      <c r="BC18" s="432">
        <f>Commercial!BC42</f>
        <v>6</v>
      </c>
      <c r="BD18" s="432">
        <f>Commercial!BD42</f>
        <v>6</v>
      </c>
      <c r="BE18" s="432">
        <f>Commercial!BE42</f>
        <v>4</v>
      </c>
      <c r="BF18" s="432">
        <f>Commercial!BF42</f>
        <v>8</v>
      </c>
      <c r="BG18" s="43">
        <f>Commercial!BG42</f>
        <v>24</v>
      </c>
      <c r="BH18" s="432">
        <f>Commercial!BH42</f>
        <v>4</v>
      </c>
      <c r="BI18" s="432">
        <f>Commercial!BI42</f>
        <v>2</v>
      </c>
      <c r="BJ18" s="432">
        <f>Commercial!BJ42</f>
        <v>6</v>
      </c>
      <c r="BK18" s="432">
        <f>Commercial!BK42</f>
        <v>7</v>
      </c>
      <c r="BL18" s="43">
        <f>Commercial!BL42</f>
        <v>19</v>
      </c>
      <c r="BM18" s="432">
        <f>Commercial!BM42</f>
        <v>4</v>
      </c>
      <c r="BN18" s="432">
        <f>Commercial!BN42</f>
        <v>5</v>
      </c>
      <c r="BO18" s="432">
        <f>Commercial!BO42</f>
        <v>4</v>
      </c>
      <c r="BP18" s="432">
        <f>Commercial!BP42</f>
        <v>5</v>
      </c>
      <c r="BQ18" s="43">
        <f>Commercial!BQ42</f>
        <v>18</v>
      </c>
      <c r="BR18" s="432">
        <f>Commercial!BR42</f>
        <v>1</v>
      </c>
      <c r="BS18" s="432">
        <f>Commercial!BS42</f>
        <v>2</v>
      </c>
      <c r="BT18" s="432">
        <f>Commercial!BT42</f>
        <v>5</v>
      </c>
      <c r="BU18" s="432">
        <f>Commercial!BU42</f>
        <v>1</v>
      </c>
      <c r="BV18" s="43">
        <f>Commercial!BV42</f>
        <v>9</v>
      </c>
      <c r="BW18" s="432">
        <f>Commercial!BW42</f>
        <v>1</v>
      </c>
      <c r="BX18" s="432">
        <f>Commercial!BX42</f>
        <v>3</v>
      </c>
      <c r="BY18" s="432">
        <f>Commercial!BY42</f>
        <v>4</v>
      </c>
      <c r="BZ18" s="432">
        <f>Commercial!BZ42</f>
        <v>6</v>
      </c>
      <c r="CA18" s="43">
        <f>Commercial!CA42</f>
        <v>14</v>
      </c>
      <c r="CB18" s="432">
        <f>Commercial!CB42</f>
        <v>2</v>
      </c>
      <c r="CC18" s="432">
        <f>Commercial!CC42</f>
        <v>1</v>
      </c>
      <c r="CD18" s="432">
        <f>Commercial!CD42</f>
        <v>2</v>
      </c>
      <c r="CE18" s="432">
        <f>Commercial!CE42</f>
        <v>1</v>
      </c>
      <c r="CF18" s="43">
        <f>Commercial!CF42</f>
        <v>6</v>
      </c>
      <c r="CG18" s="432">
        <f>Commercial!CG42</f>
        <v>2</v>
      </c>
      <c r="CH18" s="432">
        <f>Commercial!CH42</f>
        <v>2</v>
      </c>
      <c r="CI18" s="432">
        <f>Commercial!CI42</f>
        <v>1</v>
      </c>
      <c r="CJ18" s="432">
        <f>Commercial!CJ42</f>
        <v>2</v>
      </c>
      <c r="CK18" s="43">
        <f>Commercial!CK42</f>
        <v>7</v>
      </c>
      <c r="CL18" s="432">
        <f>Commercial!CL42</f>
        <v>0</v>
      </c>
      <c r="CM18" s="432">
        <f>Commercial!CM42</f>
        <v>1</v>
      </c>
      <c r="CN18" s="432">
        <f>Commercial!CN42</f>
        <v>1</v>
      </c>
      <c r="CO18" s="432">
        <f>Commercial!CO42</f>
        <v>3</v>
      </c>
      <c r="CP18" s="43">
        <f>Commercial!CP42</f>
        <v>5</v>
      </c>
      <c r="CQ18" s="432">
        <f>Commercial!CQ42</f>
        <v>1</v>
      </c>
      <c r="CR18" s="432">
        <f>Commercial!CR42</f>
        <v>1</v>
      </c>
      <c r="CS18" s="432">
        <f>Commercial!CS42</f>
        <v>2</v>
      </c>
      <c r="CT18" s="432">
        <f>Commercial!CT42</f>
        <v>3</v>
      </c>
      <c r="CU18" s="43">
        <f>Commercial!CU42</f>
        <v>7</v>
      </c>
      <c r="CV18" s="432">
        <f>Commercial!CV42</f>
        <v>1</v>
      </c>
      <c r="CW18" s="432">
        <f>Commercial!CW42</f>
        <v>2</v>
      </c>
      <c r="CX18" s="432">
        <f>Commercial!CX42</f>
        <v>0</v>
      </c>
      <c r="CY18" s="432">
        <f>Commercial!CY42</f>
        <v>2</v>
      </c>
      <c r="CZ18" s="43">
        <f>Commercial!CZ42</f>
        <v>5</v>
      </c>
      <c r="DA18" s="432">
        <f>Commercial!DA42</f>
        <v>1</v>
      </c>
      <c r="DB18" s="432">
        <f>Commercial!DB42</f>
        <v>0</v>
      </c>
      <c r="DC18" s="432">
        <f>Commercial!DC42</f>
        <v>0</v>
      </c>
      <c r="DD18" s="432">
        <f>Commercial!DD42</f>
        <v>0</v>
      </c>
      <c r="DE18" s="43">
        <f>Commercial!DE42</f>
        <v>1</v>
      </c>
      <c r="DF18" s="432">
        <f>Commercial!DF42</f>
        <v>0</v>
      </c>
      <c r="DG18" s="432">
        <f>Commercial!DG42</f>
        <v>0</v>
      </c>
      <c r="DH18" s="432">
        <f>Commercial!DH42</f>
        <v>0</v>
      </c>
      <c r="DI18" s="432">
        <f>Commercial!DI42</f>
        <v>0</v>
      </c>
      <c r="DJ18" s="43">
        <f>Commercial!DJ42</f>
        <v>0</v>
      </c>
      <c r="DK18" s="432">
        <f>Commercial!DK42</f>
        <v>0</v>
      </c>
      <c r="DL18" s="432">
        <f>Commercial!DL42</f>
        <v>0</v>
      </c>
      <c r="DM18" s="432">
        <f>Commercial!DM42</f>
        <v>0</v>
      </c>
      <c r="DN18" s="432">
        <f>Commercial!DN42</f>
        <v>0</v>
      </c>
      <c r="DO18" s="43">
        <f>Commercial!DO42</f>
        <v>0</v>
      </c>
      <c r="DP18" s="432">
        <f>Commercial!DP42</f>
        <v>0</v>
      </c>
      <c r="DQ18" s="739">
        <f>Commercial!DQ42</f>
        <v>0</v>
      </c>
      <c r="DR18" s="739">
        <f>Commercial!DR42</f>
        <v>0</v>
      </c>
      <c r="DS18" s="739">
        <f>Commercial!DS42</f>
        <v>0</v>
      </c>
      <c r="DT18" s="484">
        <f>Commercial!DT42</f>
        <v>0</v>
      </c>
      <c r="DU18" s="739">
        <f>Commercial!DU42</f>
        <v>0</v>
      </c>
      <c r="DV18" s="739">
        <f>Commercial!DV42</f>
        <v>0</v>
      </c>
      <c r="DW18" s="739">
        <f>Commercial!DW42</f>
        <v>0</v>
      </c>
      <c r="DX18" s="739">
        <f>Commercial!DX42</f>
        <v>0</v>
      </c>
      <c r="DY18" s="484">
        <f>Commercial!DY42</f>
        <v>0</v>
      </c>
      <c r="DZ18" s="484">
        <f>Commercial!DZ42</f>
        <v>0</v>
      </c>
      <c r="EA18" s="484">
        <f>Commercial!EA42</f>
        <v>0</v>
      </c>
      <c r="EB18" s="484">
        <f>Commercial!EB42</f>
        <v>0</v>
      </c>
    </row>
    <row r="19" spans="1:132" s="424" customFormat="1">
      <c r="A19" s="68"/>
      <c r="B19" s="98" t="s">
        <v>190</v>
      </c>
      <c r="C19" s="189"/>
      <c r="D19" s="189"/>
      <c r="E19" s="189"/>
      <c r="F19" s="189"/>
      <c r="G19" s="189"/>
      <c r="H19" s="189"/>
      <c r="I19" s="489"/>
      <c r="J19" s="497"/>
      <c r="K19" s="451"/>
      <c r="L19" s="451"/>
      <c r="M19" s="451"/>
      <c r="N19" s="189"/>
      <c r="O19" s="451"/>
      <c r="P19" s="451"/>
      <c r="Q19" s="451"/>
      <c r="R19" s="451"/>
      <c r="S19" s="189"/>
      <c r="T19" s="451"/>
      <c r="U19" s="451"/>
      <c r="V19" s="451"/>
      <c r="W19" s="451"/>
      <c r="X19" s="189"/>
      <c r="Y19" s="451"/>
      <c r="Z19" s="451"/>
      <c r="AA19" s="451"/>
      <c r="AB19" s="451"/>
      <c r="AC19" s="189"/>
      <c r="AD19" s="451"/>
      <c r="AE19" s="451"/>
      <c r="AF19" s="451"/>
      <c r="AG19" s="451"/>
      <c r="AH19" s="189"/>
      <c r="AI19" s="451"/>
      <c r="AJ19" s="451"/>
      <c r="AK19" s="451"/>
      <c r="AL19" s="451"/>
      <c r="AM19" s="189"/>
      <c r="AN19" s="451">
        <v>188</v>
      </c>
      <c r="AO19" s="470">
        <v>188</v>
      </c>
      <c r="AP19" s="470">
        <f>Commercial!AP44</f>
        <v>0</v>
      </c>
      <c r="AQ19" s="451">
        <f>Commercial!AQ44</f>
        <v>0</v>
      </c>
      <c r="AR19" s="189">
        <f>Commercial!AR44</f>
        <v>0</v>
      </c>
      <c r="AS19" s="451">
        <f>Commercial!AS44</f>
        <v>185</v>
      </c>
      <c r="AT19" s="470">
        <f>Commercial!AT44</f>
        <v>185</v>
      </c>
      <c r="AU19" s="470">
        <f>Commercial!AU44</f>
        <v>185</v>
      </c>
      <c r="AV19" s="470">
        <f>Commercial!AV44</f>
        <v>185</v>
      </c>
      <c r="AW19" s="566">
        <f>Commercial!AW44</f>
        <v>185</v>
      </c>
      <c r="AX19" s="451">
        <f>Commercial!AX44</f>
        <v>186</v>
      </c>
      <c r="AY19" s="470">
        <f>Commercial!AY44</f>
        <v>186</v>
      </c>
      <c r="AZ19" s="470">
        <f>Commercial!AZ44</f>
        <v>186</v>
      </c>
      <c r="BA19" s="470">
        <f>Commercial!BA44</f>
        <v>186</v>
      </c>
      <c r="BB19" s="566">
        <f>Commercial!BB44</f>
        <v>186</v>
      </c>
      <c r="BC19" s="451">
        <f>Commercial!BC44</f>
        <v>186</v>
      </c>
      <c r="BD19" s="470">
        <f>Commercial!BD44</f>
        <v>186</v>
      </c>
      <c r="BE19" s="470">
        <f>Commercial!BE44</f>
        <v>186</v>
      </c>
      <c r="BF19" s="470">
        <f>Commercial!BF44</f>
        <v>186</v>
      </c>
      <c r="BG19" s="566">
        <f>Commercial!BG44</f>
        <v>187</v>
      </c>
      <c r="BH19" s="451">
        <f>Commercial!BH44</f>
        <v>188</v>
      </c>
      <c r="BI19" s="470">
        <f>Commercial!BI44</f>
        <v>188</v>
      </c>
      <c r="BJ19" s="470">
        <f>Commercial!BJ44</f>
        <v>188</v>
      </c>
      <c r="BK19" s="470">
        <f>Commercial!BK44</f>
        <v>188</v>
      </c>
      <c r="BL19" s="566">
        <f>Commercial!BL44</f>
        <v>188</v>
      </c>
      <c r="BM19" s="451">
        <f>Commercial!BM44</f>
        <v>187</v>
      </c>
      <c r="BN19" s="470">
        <f>Commercial!BN44</f>
        <v>187</v>
      </c>
      <c r="BO19" s="470">
        <f>Commercial!BO44</f>
        <v>188</v>
      </c>
      <c r="BP19" s="470">
        <f>Commercial!BP44</f>
        <v>187</v>
      </c>
      <c r="BQ19" s="566">
        <f>Commercial!BQ44</f>
        <v>187.22222222222223</v>
      </c>
      <c r="BR19" s="470">
        <f>Commercial!BR44</f>
        <v>186</v>
      </c>
      <c r="BS19" s="470">
        <f>Commercial!BS44</f>
        <v>186</v>
      </c>
      <c r="BT19" s="470">
        <f>Commercial!BT44</f>
        <v>186</v>
      </c>
      <c r="BU19" s="470">
        <f>Commercial!BU44</f>
        <v>184</v>
      </c>
      <c r="BV19" s="566">
        <f>Commercial!BV44</f>
        <v>185.77777777777777</v>
      </c>
      <c r="BW19" s="470">
        <f>Commercial!BW44</f>
        <v>184</v>
      </c>
      <c r="BX19" s="470">
        <f>Commercial!BX44</f>
        <v>184</v>
      </c>
      <c r="BY19" s="470">
        <f>Commercial!BY44</f>
        <v>184</v>
      </c>
      <c r="BZ19" s="470">
        <f>Commercial!BZ44</f>
        <v>184</v>
      </c>
      <c r="CA19" s="566">
        <f>Commercial!CA44</f>
        <v>184</v>
      </c>
      <c r="CB19" s="470">
        <f>Commercial!CB44</f>
        <v>175</v>
      </c>
      <c r="CC19" s="470">
        <f>Commercial!CC44</f>
        <v>175</v>
      </c>
      <c r="CD19" s="470">
        <f>Commercial!CD44</f>
        <v>175</v>
      </c>
      <c r="CE19" s="470">
        <f>Commercial!CE44</f>
        <v>175</v>
      </c>
      <c r="CF19" s="566">
        <f>Commercial!CF44</f>
        <v>175</v>
      </c>
      <c r="CG19" s="470">
        <f>Commercial!CG44</f>
        <v>175</v>
      </c>
      <c r="CH19" s="470">
        <f>Commercial!CH44</f>
        <v>175</v>
      </c>
      <c r="CI19" s="470">
        <f>Commercial!CI44</f>
        <v>175</v>
      </c>
      <c r="CJ19" s="470">
        <f>Commercial!CJ44</f>
        <v>175</v>
      </c>
      <c r="CK19" s="566">
        <f>Commercial!CK44</f>
        <v>175</v>
      </c>
      <c r="CL19" s="470">
        <f>Commercial!CL44</f>
        <v>175</v>
      </c>
      <c r="CM19" s="470">
        <f>Commercial!CM44</f>
        <v>175</v>
      </c>
      <c r="CN19" s="470">
        <f>Commercial!CN44</f>
        <v>175</v>
      </c>
      <c r="CO19" s="470">
        <f>Commercial!CO44</f>
        <v>175</v>
      </c>
      <c r="CP19" s="566">
        <f>Commercial!CP44</f>
        <v>175</v>
      </c>
      <c r="CQ19" s="470">
        <f>Commercial!CQ44</f>
        <v>175</v>
      </c>
      <c r="CR19" s="470">
        <f>Commercial!CR44</f>
        <v>175</v>
      </c>
      <c r="CS19" s="470">
        <f>Commercial!CS44</f>
        <v>175</v>
      </c>
      <c r="CT19" s="470">
        <f>Commercial!CT44</f>
        <v>175</v>
      </c>
      <c r="CU19" s="566">
        <f>Commercial!CU44</f>
        <v>175</v>
      </c>
      <c r="CV19" s="470">
        <f>Commercial!CV44</f>
        <v>175</v>
      </c>
      <c r="CW19" s="470">
        <f>Commercial!CW44</f>
        <v>175</v>
      </c>
      <c r="CX19" s="470">
        <f>Commercial!CX44</f>
        <v>175</v>
      </c>
      <c r="CY19" s="470">
        <f>Commercial!CY44</f>
        <v>175</v>
      </c>
      <c r="CZ19" s="566">
        <f>Commercial!CZ44</f>
        <v>175</v>
      </c>
      <c r="DA19" s="470">
        <f>Commercial!DA44</f>
        <v>175</v>
      </c>
      <c r="DB19" s="470">
        <f>Commercial!DB44</f>
        <v>175</v>
      </c>
      <c r="DC19" s="470">
        <f>Commercial!DC44</f>
        <v>175</v>
      </c>
      <c r="DD19" s="470">
        <f>Commercial!DD44</f>
        <v>175</v>
      </c>
      <c r="DE19" s="566">
        <f>Commercial!DE44</f>
        <v>175</v>
      </c>
      <c r="DF19" s="470">
        <f>Commercial!DF44</f>
        <v>0</v>
      </c>
      <c r="DG19" s="470">
        <f>Commercial!DG44</f>
        <v>0</v>
      </c>
      <c r="DH19" s="470">
        <f>Commercial!DH44</f>
        <v>0</v>
      </c>
      <c r="DI19" s="470">
        <f>Commercial!DI44</f>
        <v>0</v>
      </c>
      <c r="DJ19" s="566" t="str">
        <f>Commercial!DJ44</f>
        <v/>
      </c>
      <c r="DK19" s="470">
        <f>Commercial!DK44</f>
        <v>0</v>
      </c>
      <c r="DL19" s="470">
        <f>Commercial!DL44</f>
        <v>0</v>
      </c>
      <c r="DM19" s="470">
        <f>Commercial!DM44</f>
        <v>0</v>
      </c>
      <c r="DN19" s="470">
        <f>Commercial!DN44</f>
        <v>0</v>
      </c>
      <c r="DO19" s="566" t="str">
        <f>Commercial!DO44</f>
        <v/>
      </c>
      <c r="DP19" s="470">
        <f>Commercial!DP44</f>
        <v>0</v>
      </c>
      <c r="DQ19" s="740">
        <f>Commercial!DQ44</f>
        <v>0</v>
      </c>
      <c r="DR19" s="740">
        <f>Commercial!DR44</f>
        <v>0</v>
      </c>
      <c r="DS19" s="740">
        <f>Commercial!DS44</f>
        <v>0</v>
      </c>
      <c r="DT19" s="485" t="str">
        <f>Commercial!DT44</f>
        <v/>
      </c>
      <c r="DU19" s="740">
        <f>Commercial!DU44</f>
        <v>0</v>
      </c>
      <c r="DV19" s="740">
        <f>Commercial!DV44</f>
        <v>0</v>
      </c>
      <c r="DW19" s="740">
        <f>Commercial!DW44</f>
        <v>0</v>
      </c>
      <c r="DX19" s="740">
        <f>Commercial!DX44</f>
        <v>0</v>
      </c>
      <c r="DY19" s="485" t="str">
        <f>Commercial!DY44</f>
        <v/>
      </c>
      <c r="DZ19" s="485">
        <f>Commercial!DZ44</f>
        <v>0</v>
      </c>
      <c r="EA19" s="485">
        <f>Commercial!EA44</f>
        <v>0</v>
      </c>
      <c r="EB19" s="485">
        <f>Commercial!EB44</f>
        <v>0</v>
      </c>
    </row>
    <row r="20" spans="1:132" s="424" customFormat="1">
      <c r="A20" s="68"/>
      <c r="B20" s="98" t="s">
        <v>191</v>
      </c>
      <c r="C20" s="67"/>
      <c r="D20" s="67"/>
      <c r="E20" s="67"/>
      <c r="F20" s="67"/>
      <c r="G20" s="67"/>
      <c r="H20" s="67"/>
      <c r="I20" s="454"/>
      <c r="J20" s="265"/>
      <c r="K20" s="98"/>
      <c r="L20" s="98"/>
      <c r="M20" s="98"/>
      <c r="N20" s="67"/>
      <c r="O20" s="98"/>
      <c r="P20" s="98"/>
      <c r="Q20" s="98"/>
      <c r="R20" s="98"/>
      <c r="S20" s="67"/>
      <c r="T20" s="98"/>
      <c r="U20" s="98"/>
      <c r="V20" s="98"/>
      <c r="W20" s="98"/>
      <c r="X20" s="67"/>
      <c r="Y20" s="98"/>
      <c r="Z20" s="98"/>
      <c r="AA20" s="98"/>
      <c r="AB20" s="98"/>
      <c r="AC20" s="67"/>
      <c r="AD20" s="98"/>
      <c r="AE20" s="98"/>
      <c r="AF20" s="98"/>
      <c r="AG20" s="98"/>
      <c r="AH20" s="67"/>
      <c r="AI20" s="98"/>
      <c r="AJ20" s="98"/>
      <c r="AK20" s="98"/>
      <c r="AL20" s="98"/>
      <c r="AM20" s="67"/>
      <c r="AN20" s="98">
        <f>AN19*AN18</f>
        <v>0</v>
      </c>
      <c r="AO20" s="98">
        <f>AO19*AO18</f>
        <v>0</v>
      </c>
      <c r="AP20" s="98">
        <f>AP19*AP18</f>
        <v>0</v>
      </c>
      <c r="AQ20" s="98">
        <f>AQ19*AQ18</f>
        <v>0</v>
      </c>
      <c r="AR20" s="67">
        <f>SUM(AN20:AQ20)</f>
        <v>0</v>
      </c>
      <c r="AS20" s="98">
        <f t="shared" ref="AS20:CA20" si="40">AS19*AS18</f>
        <v>0</v>
      </c>
      <c r="AT20" s="98">
        <f t="shared" si="40"/>
        <v>0</v>
      </c>
      <c r="AU20" s="98">
        <f t="shared" si="40"/>
        <v>0</v>
      </c>
      <c r="AV20" s="98">
        <f t="shared" si="40"/>
        <v>1665</v>
      </c>
      <c r="AW20" s="67">
        <f t="shared" si="40"/>
        <v>1665</v>
      </c>
      <c r="AX20" s="98">
        <f t="shared" si="40"/>
        <v>1116</v>
      </c>
      <c r="AY20" s="98">
        <f t="shared" si="40"/>
        <v>1302</v>
      </c>
      <c r="AZ20" s="98">
        <f t="shared" si="40"/>
        <v>1488</v>
      </c>
      <c r="BA20" s="98">
        <f t="shared" si="40"/>
        <v>1860</v>
      </c>
      <c r="BB20" s="67">
        <f t="shared" si="40"/>
        <v>5766</v>
      </c>
      <c r="BC20" s="98">
        <f t="shared" si="40"/>
        <v>1116</v>
      </c>
      <c r="BD20" s="98">
        <f t="shared" si="40"/>
        <v>1116</v>
      </c>
      <c r="BE20" s="98">
        <f t="shared" si="40"/>
        <v>744</v>
      </c>
      <c r="BF20" s="98">
        <f t="shared" si="40"/>
        <v>1488</v>
      </c>
      <c r="BG20" s="67">
        <f t="shared" si="40"/>
        <v>4488</v>
      </c>
      <c r="BH20" s="98">
        <f t="shared" si="40"/>
        <v>752</v>
      </c>
      <c r="BI20" s="98">
        <f t="shared" si="40"/>
        <v>376</v>
      </c>
      <c r="BJ20" s="98">
        <f t="shared" si="40"/>
        <v>1128</v>
      </c>
      <c r="BK20" s="98">
        <f t="shared" si="40"/>
        <v>1316</v>
      </c>
      <c r="BL20" s="120">
        <f t="shared" si="40"/>
        <v>3572</v>
      </c>
      <c r="BM20" s="98">
        <f t="shared" ref="BM20:BP20" si="41">BM19*BM18</f>
        <v>748</v>
      </c>
      <c r="BN20" s="98">
        <f t="shared" ref="BN20" si="42">BN19*BN18</f>
        <v>935</v>
      </c>
      <c r="BO20" s="98">
        <f t="shared" si="41"/>
        <v>752</v>
      </c>
      <c r="BP20" s="98">
        <f t="shared" si="41"/>
        <v>935</v>
      </c>
      <c r="BQ20" s="120">
        <f t="shared" si="40"/>
        <v>3370</v>
      </c>
      <c r="BR20" s="98">
        <f t="shared" si="40"/>
        <v>186</v>
      </c>
      <c r="BS20" s="437">
        <f t="shared" si="40"/>
        <v>372</v>
      </c>
      <c r="BT20" s="437">
        <f t="shared" si="40"/>
        <v>930</v>
      </c>
      <c r="BU20" s="437">
        <f t="shared" si="40"/>
        <v>184</v>
      </c>
      <c r="BV20" s="120">
        <f t="shared" ref="BV20" si="43">BV19*BV18</f>
        <v>1672</v>
      </c>
      <c r="BW20" s="437">
        <f t="shared" si="40"/>
        <v>184</v>
      </c>
      <c r="BX20" s="437">
        <f t="shared" ref="BX20" si="44">BX19*BX18</f>
        <v>552</v>
      </c>
      <c r="BY20" s="437">
        <f t="shared" si="40"/>
        <v>736</v>
      </c>
      <c r="BZ20" s="437">
        <f t="shared" si="40"/>
        <v>1104</v>
      </c>
      <c r="CA20" s="120">
        <f t="shared" si="40"/>
        <v>2576</v>
      </c>
      <c r="CB20" s="437">
        <f t="shared" ref="CB20:CE20" si="45">CB19*CB18</f>
        <v>350</v>
      </c>
      <c r="CC20" s="437">
        <f t="shared" ref="CC20:CD20" si="46">CC19*CC18</f>
        <v>175</v>
      </c>
      <c r="CD20" s="437">
        <f t="shared" si="46"/>
        <v>350</v>
      </c>
      <c r="CE20" s="437">
        <f t="shared" si="45"/>
        <v>175</v>
      </c>
      <c r="CF20" s="120">
        <f>CF19*CF18</f>
        <v>1050</v>
      </c>
      <c r="CG20" s="437">
        <f t="shared" ref="CG20:CI20" si="47">CG19*CG18</f>
        <v>350</v>
      </c>
      <c r="CH20" s="437">
        <f t="shared" si="47"/>
        <v>350</v>
      </c>
      <c r="CI20" s="437">
        <f t="shared" si="47"/>
        <v>175</v>
      </c>
      <c r="CJ20" s="437">
        <f t="shared" ref="CJ20" si="48">CJ19*CJ18</f>
        <v>350</v>
      </c>
      <c r="CK20" s="120">
        <f>CK19*CK18</f>
        <v>1225</v>
      </c>
      <c r="CL20" s="98">
        <f t="shared" ref="CL20:CM20" si="49">CL19*CL18</f>
        <v>0</v>
      </c>
      <c r="CM20" s="437">
        <f t="shared" si="49"/>
        <v>175</v>
      </c>
      <c r="CN20" s="437">
        <f t="shared" ref="CN20:CO20" si="50">CN19*CN18</f>
        <v>175</v>
      </c>
      <c r="CO20" s="437">
        <f t="shared" si="50"/>
        <v>525</v>
      </c>
      <c r="CP20" s="120">
        <f>CP19*CP18</f>
        <v>875</v>
      </c>
      <c r="CQ20" s="437">
        <f t="shared" ref="CQ20" si="51">CQ19*CQ18</f>
        <v>175</v>
      </c>
      <c r="CR20" s="437">
        <f t="shared" ref="CR20" si="52">CR19*CR18</f>
        <v>175</v>
      </c>
      <c r="CS20" s="437">
        <f t="shared" ref="CS20:CT20" si="53">CS19*CS18</f>
        <v>350</v>
      </c>
      <c r="CT20" s="437">
        <f t="shared" si="53"/>
        <v>525</v>
      </c>
      <c r="CU20" s="120">
        <f>CU19*CU18</f>
        <v>1225</v>
      </c>
      <c r="CV20" s="437">
        <f t="shared" ref="CV20:CW20" si="54">CV19*CV18</f>
        <v>175</v>
      </c>
      <c r="CW20" s="437">
        <f t="shared" si="54"/>
        <v>350</v>
      </c>
      <c r="CX20" s="437">
        <f t="shared" ref="CX20:CY20" si="55">CX19*CX18</f>
        <v>0</v>
      </c>
      <c r="CY20" s="437">
        <f t="shared" si="55"/>
        <v>350</v>
      </c>
      <c r="CZ20" s="120">
        <f>CZ19*CZ18</f>
        <v>875</v>
      </c>
      <c r="DA20" s="98">
        <f t="shared" ref="DA20:DD20" si="56">DA19*DA18</f>
        <v>175</v>
      </c>
      <c r="DB20" s="98">
        <f t="shared" si="56"/>
        <v>0</v>
      </c>
      <c r="DC20" s="437">
        <f t="shared" si="56"/>
        <v>0</v>
      </c>
      <c r="DD20" s="437">
        <f t="shared" si="56"/>
        <v>0</v>
      </c>
      <c r="DE20" s="120">
        <f>IFERROR(DE19*DE18,"0")</f>
        <v>175</v>
      </c>
      <c r="DF20" s="437">
        <f t="shared" ref="DF20:DI20" si="57">DF19*DF18</f>
        <v>0</v>
      </c>
      <c r="DG20" s="437">
        <f t="shared" si="57"/>
        <v>0</v>
      </c>
      <c r="DH20" s="437">
        <f t="shared" si="57"/>
        <v>0</v>
      </c>
      <c r="DI20" s="437">
        <f t="shared" si="57"/>
        <v>0</v>
      </c>
      <c r="DJ20" s="120">
        <f>IFERROR(DJ19*DJ18,0)</f>
        <v>0</v>
      </c>
      <c r="DK20" s="437">
        <f t="shared" ref="DK20" si="58">DK19*DK18</f>
        <v>0</v>
      </c>
      <c r="DL20" s="437">
        <f t="shared" ref="DL20:DN20" si="59">DL19*DL18</f>
        <v>0</v>
      </c>
      <c r="DM20" s="437">
        <f t="shared" ref="DM20" si="60">DM19*DM18</f>
        <v>0</v>
      </c>
      <c r="DN20" s="437">
        <f t="shared" si="59"/>
        <v>0</v>
      </c>
      <c r="DO20" s="120">
        <f>IFERROR(DO19*DO18,0)</f>
        <v>0</v>
      </c>
      <c r="DP20" s="437">
        <f t="shared" ref="DP20:DS20" si="61">DP19*DP18</f>
        <v>0</v>
      </c>
      <c r="DQ20" s="98">
        <f t="shared" si="61"/>
        <v>0</v>
      </c>
      <c r="DR20" s="98">
        <f t="shared" si="61"/>
        <v>0</v>
      </c>
      <c r="DS20" s="98">
        <f t="shared" si="61"/>
        <v>0</v>
      </c>
      <c r="DT20" s="67">
        <f>IFERROR(DT19*DT18,0)</f>
        <v>0</v>
      </c>
      <c r="DU20" s="98">
        <f t="shared" ref="DU20:DX20" si="62">DU19*DU18</f>
        <v>0</v>
      </c>
      <c r="DV20" s="98">
        <f t="shared" si="62"/>
        <v>0</v>
      </c>
      <c r="DW20" s="98">
        <f t="shared" si="62"/>
        <v>0</v>
      </c>
      <c r="DX20" s="98">
        <f t="shared" si="62"/>
        <v>0</v>
      </c>
      <c r="DY20" s="67">
        <f>IFERROR(DY19*DY18,0)</f>
        <v>0</v>
      </c>
      <c r="DZ20" s="67">
        <f t="shared" ref="DZ20" si="63">DZ19*DZ18</f>
        <v>0</v>
      </c>
      <c r="EA20" s="67">
        <f t="shared" ref="EA20:EB20" si="64">EA19*EA18</f>
        <v>0</v>
      </c>
      <c r="EB20" s="67">
        <f t="shared" si="64"/>
        <v>0</v>
      </c>
    </row>
    <row r="21" spans="1:132" s="424" customFormat="1">
      <c r="A21" s="68"/>
      <c r="B21" s="427" t="s">
        <v>369</v>
      </c>
      <c r="C21" s="426"/>
      <c r="D21" s="426"/>
      <c r="E21" s="426"/>
      <c r="F21" s="426"/>
      <c r="G21" s="426"/>
      <c r="H21" s="426"/>
      <c r="I21" s="452"/>
      <c r="J21" s="498"/>
      <c r="K21" s="427"/>
      <c r="L21" s="427"/>
      <c r="M21" s="427"/>
      <c r="N21" s="426"/>
      <c r="O21" s="427"/>
      <c r="P21" s="427"/>
      <c r="Q21" s="427"/>
      <c r="R21" s="427"/>
      <c r="S21" s="426"/>
      <c r="T21" s="427"/>
      <c r="U21" s="427"/>
      <c r="V21" s="427"/>
      <c r="W21" s="427"/>
      <c r="X21" s="426"/>
      <c r="Y21" s="427"/>
      <c r="Z21" s="427"/>
      <c r="AA21" s="427"/>
      <c r="AB21" s="427"/>
      <c r="AC21" s="426"/>
      <c r="AD21" s="427"/>
      <c r="AE21" s="427"/>
      <c r="AF21" s="427"/>
      <c r="AG21" s="427"/>
      <c r="AH21" s="426"/>
      <c r="AI21" s="427"/>
      <c r="AJ21" s="427"/>
      <c r="AK21" s="427"/>
      <c r="AL21" s="427"/>
      <c r="AM21" s="426"/>
      <c r="AN21" s="427"/>
      <c r="AO21" s="427"/>
      <c r="AP21" s="427"/>
      <c r="AQ21" s="427"/>
      <c r="AR21" s="426"/>
      <c r="AS21" s="427"/>
      <c r="AT21" s="427"/>
      <c r="AU21" s="427"/>
      <c r="AV21" s="427">
        <v>0.01</v>
      </c>
      <c r="AW21" s="426">
        <f>AW22/AW20</f>
        <v>9.9999999999999985E-3</v>
      </c>
      <c r="AX21" s="427"/>
      <c r="AY21" s="427"/>
      <c r="AZ21" s="427"/>
      <c r="BA21" s="427"/>
      <c r="BB21" s="426">
        <v>5.0000000000000001E-3</v>
      </c>
      <c r="BC21" s="427"/>
      <c r="BD21" s="427"/>
      <c r="BE21" s="427"/>
      <c r="BF21" s="427"/>
      <c r="BG21" s="426">
        <v>5.0000000000000001E-3</v>
      </c>
      <c r="BH21" s="427"/>
      <c r="BI21" s="427"/>
      <c r="BJ21" s="427"/>
      <c r="BK21" s="427"/>
      <c r="BL21" s="136">
        <v>5.0000000000000001E-3</v>
      </c>
      <c r="BM21" s="427"/>
      <c r="BN21" s="427"/>
      <c r="BO21" s="427"/>
      <c r="BP21" s="427"/>
      <c r="BQ21" s="136">
        <v>4.0000000000000001E-3</v>
      </c>
      <c r="BR21" s="427"/>
      <c r="BS21" s="295"/>
      <c r="BT21" s="427"/>
      <c r="BU21" s="427"/>
      <c r="BV21" s="136">
        <v>5.0000000000000001E-3</v>
      </c>
      <c r="BW21" s="749"/>
      <c r="BX21" s="427"/>
      <c r="BY21" s="295"/>
      <c r="BZ21" s="295"/>
      <c r="CA21" s="136">
        <v>0</v>
      </c>
      <c r="CB21" s="295"/>
      <c r="CC21" s="295"/>
      <c r="CD21" s="295"/>
      <c r="CE21" s="295"/>
      <c r="CF21" s="136">
        <v>0</v>
      </c>
      <c r="CG21" s="295"/>
      <c r="CH21" s="295"/>
      <c r="CI21" s="295"/>
      <c r="CJ21" s="427"/>
      <c r="CK21" s="136">
        <v>0</v>
      </c>
      <c r="CL21" s="427"/>
      <c r="CM21" s="295"/>
      <c r="CN21" s="295"/>
      <c r="CO21" s="295"/>
      <c r="CP21" s="136">
        <v>0</v>
      </c>
      <c r="CQ21" s="295"/>
      <c r="CR21" s="295"/>
      <c r="CS21" s="295"/>
      <c r="CT21" s="295"/>
      <c r="CU21" s="136">
        <v>0</v>
      </c>
      <c r="CV21" s="295"/>
      <c r="CW21" s="295"/>
      <c r="CX21" s="295"/>
      <c r="CY21" s="295"/>
      <c r="CZ21" s="136">
        <v>0</v>
      </c>
      <c r="DA21" s="427"/>
      <c r="DB21" s="427"/>
      <c r="DC21" s="295"/>
      <c r="DD21" s="295"/>
      <c r="DE21" s="136">
        <v>0</v>
      </c>
      <c r="DF21" s="295"/>
      <c r="DG21" s="295"/>
      <c r="DH21" s="295"/>
      <c r="DI21" s="295"/>
      <c r="DJ21" s="136">
        <v>0</v>
      </c>
      <c r="DK21" s="295"/>
      <c r="DL21" s="295"/>
      <c r="DM21" s="427"/>
      <c r="DN21" s="295"/>
      <c r="DO21" s="136">
        <v>0</v>
      </c>
      <c r="DP21" s="295"/>
      <c r="DQ21" s="427"/>
      <c r="DR21" s="427"/>
      <c r="DS21" s="427"/>
      <c r="DT21" s="1090">
        <v>0</v>
      </c>
      <c r="DU21" s="427"/>
      <c r="DV21" s="427"/>
      <c r="DW21" s="427"/>
      <c r="DX21" s="427"/>
      <c r="DY21" s="1090">
        <v>0</v>
      </c>
      <c r="DZ21" s="1090">
        <v>0</v>
      </c>
      <c r="EA21" s="1090">
        <v>0</v>
      </c>
      <c r="EB21" s="1090">
        <v>0</v>
      </c>
    </row>
    <row r="22" spans="1:132" s="424" customFormat="1">
      <c r="A22" s="68"/>
      <c r="B22" s="427" t="s">
        <v>370</v>
      </c>
      <c r="C22" s="67"/>
      <c r="D22" s="67"/>
      <c r="E22" s="67"/>
      <c r="F22" s="67"/>
      <c r="G22" s="67"/>
      <c r="H22" s="67"/>
      <c r="I22" s="454"/>
      <c r="J22" s="265"/>
      <c r="K22" s="98"/>
      <c r="L22" s="98"/>
      <c r="M22" s="98"/>
      <c r="N22" s="67"/>
      <c r="O22" s="98"/>
      <c r="P22" s="98"/>
      <c r="Q22" s="98"/>
      <c r="R22" s="98"/>
      <c r="S22" s="67"/>
      <c r="T22" s="98"/>
      <c r="U22" s="98"/>
      <c r="V22" s="98"/>
      <c r="W22" s="98"/>
      <c r="X22" s="67"/>
      <c r="Y22" s="98"/>
      <c r="Z22" s="98"/>
      <c r="AA22" s="98"/>
      <c r="AB22" s="98"/>
      <c r="AC22" s="67"/>
      <c r="AD22" s="98"/>
      <c r="AE22" s="98"/>
      <c r="AF22" s="98"/>
      <c r="AG22" s="98"/>
      <c r="AH22" s="67"/>
      <c r="AI22" s="98"/>
      <c r="AJ22" s="98"/>
      <c r="AK22" s="98"/>
      <c r="AL22" s="98"/>
      <c r="AM22" s="67"/>
      <c r="AN22" s="98">
        <f t="shared" ref="AN22:BQ22" si="65">AN20*AN21</f>
        <v>0</v>
      </c>
      <c r="AO22" s="98">
        <f t="shared" si="65"/>
        <v>0</v>
      </c>
      <c r="AP22" s="98">
        <f t="shared" si="65"/>
        <v>0</v>
      </c>
      <c r="AQ22" s="98">
        <f t="shared" si="65"/>
        <v>0</v>
      </c>
      <c r="AR22" s="67">
        <f t="shared" si="65"/>
        <v>0</v>
      </c>
      <c r="AS22" s="98">
        <f t="shared" si="65"/>
        <v>0</v>
      </c>
      <c r="AT22" s="98">
        <f t="shared" si="65"/>
        <v>0</v>
      </c>
      <c r="AU22" s="98">
        <f t="shared" si="65"/>
        <v>0</v>
      </c>
      <c r="AV22" s="98">
        <f t="shared" si="65"/>
        <v>16.649999999999999</v>
      </c>
      <c r="AW22" s="67">
        <f>SUM(AS22:AV22)</f>
        <v>16.649999999999999</v>
      </c>
      <c r="AX22" s="98"/>
      <c r="AY22" s="98"/>
      <c r="AZ22" s="98"/>
      <c r="BA22" s="98"/>
      <c r="BB22" s="67">
        <f t="shared" si="65"/>
        <v>28.830000000000002</v>
      </c>
      <c r="BC22" s="98"/>
      <c r="BD22" s="98"/>
      <c r="BE22" s="98"/>
      <c r="BF22" s="98"/>
      <c r="BG22" s="67">
        <f t="shared" si="65"/>
        <v>22.44</v>
      </c>
      <c r="BH22" s="98"/>
      <c r="BI22" s="98"/>
      <c r="BJ22" s="98"/>
      <c r="BK22" s="98"/>
      <c r="BL22" s="120">
        <f t="shared" si="65"/>
        <v>17.86</v>
      </c>
      <c r="BM22" s="98"/>
      <c r="BN22" s="98"/>
      <c r="BO22" s="98"/>
      <c r="BP22" s="98"/>
      <c r="BQ22" s="120">
        <f t="shared" si="65"/>
        <v>13.48</v>
      </c>
      <c r="BR22" s="98"/>
      <c r="BS22" s="437"/>
      <c r="BT22" s="98"/>
      <c r="BU22" s="98"/>
      <c r="BV22" s="120">
        <f t="shared" ref="BV22" si="66">BV20*BV21</f>
        <v>8.36</v>
      </c>
      <c r="BW22" s="437"/>
      <c r="BX22" s="437"/>
      <c r="BY22" s="437"/>
      <c r="BZ22" s="437"/>
      <c r="CA22" s="120">
        <f>CA20*CA21</f>
        <v>0</v>
      </c>
      <c r="CB22" s="437"/>
      <c r="CC22" s="437"/>
      <c r="CD22" s="437"/>
      <c r="CE22" s="437"/>
      <c r="CF22" s="120">
        <f>CF20*CF21</f>
        <v>0</v>
      </c>
      <c r="CG22" s="437"/>
      <c r="CH22" s="437"/>
      <c r="CI22" s="437"/>
      <c r="CJ22" s="98"/>
      <c r="CK22" s="120">
        <f>CK20*CK21</f>
        <v>0</v>
      </c>
      <c r="CL22" s="98"/>
      <c r="CM22" s="437"/>
      <c r="CN22" s="437"/>
      <c r="CO22" s="437"/>
      <c r="CP22" s="120">
        <f>CP20*CP21</f>
        <v>0</v>
      </c>
      <c r="CQ22" s="437"/>
      <c r="CR22" s="437"/>
      <c r="CS22" s="437"/>
      <c r="CT22" s="437"/>
      <c r="CU22" s="120">
        <f>CU20*CU21</f>
        <v>0</v>
      </c>
      <c r="CV22" s="437"/>
      <c r="CW22" s="437"/>
      <c r="CX22" s="437"/>
      <c r="CY22" s="437"/>
      <c r="CZ22" s="120">
        <f>CZ20*CZ21</f>
        <v>0</v>
      </c>
      <c r="DA22" s="98"/>
      <c r="DB22" s="98"/>
      <c r="DC22" s="437"/>
      <c r="DD22" s="437"/>
      <c r="DE22" s="120">
        <f>DE20*DE21</f>
        <v>0</v>
      </c>
      <c r="DF22" s="437"/>
      <c r="DG22" s="437"/>
      <c r="DH22" s="437"/>
      <c r="DI22" s="437"/>
      <c r="DJ22" s="120">
        <f t="shared" ref="DJ22" si="67">DJ20*DJ21</f>
        <v>0</v>
      </c>
      <c r="DK22" s="437"/>
      <c r="DL22" s="437"/>
      <c r="DM22" s="98"/>
      <c r="DN22" s="437"/>
      <c r="DO22" s="120">
        <f t="shared" ref="DO22" si="68">DO20*DO21</f>
        <v>0</v>
      </c>
      <c r="DP22" s="437"/>
      <c r="DQ22" s="98"/>
      <c r="DR22" s="98"/>
      <c r="DS22" s="98"/>
      <c r="DT22" s="67">
        <f t="shared" ref="DT22" si="69">DT20*DT21</f>
        <v>0</v>
      </c>
      <c r="DU22" s="98"/>
      <c r="DV22" s="98"/>
      <c r="DW22" s="98"/>
      <c r="DX22" s="98"/>
      <c r="DY22" s="67">
        <f t="shared" ref="DY22" si="70">DY20*DY21</f>
        <v>0</v>
      </c>
      <c r="DZ22" s="67">
        <f t="shared" ref="DZ22:EB22" si="71">DZ20*DZ21</f>
        <v>0</v>
      </c>
      <c r="EA22" s="67">
        <f t="shared" si="71"/>
        <v>0</v>
      </c>
      <c r="EB22" s="67">
        <f t="shared" si="71"/>
        <v>0</v>
      </c>
    </row>
    <row r="23" spans="1:132" s="424" customFormat="1" ht="7.5" customHeight="1">
      <c r="A23" s="68"/>
      <c r="B23" s="98"/>
      <c r="C23" s="425"/>
      <c r="D23" s="425"/>
      <c r="E23" s="425"/>
      <c r="F23" s="425"/>
      <c r="G23" s="425"/>
      <c r="H23" s="425"/>
      <c r="I23" s="490"/>
      <c r="J23" s="499"/>
      <c r="N23" s="425"/>
      <c r="S23" s="425"/>
      <c r="X23" s="425"/>
      <c r="AC23" s="425"/>
      <c r="AH23" s="425"/>
      <c r="AM23" s="425"/>
      <c r="AR23" s="425"/>
      <c r="AW23" s="425"/>
      <c r="BB23" s="425"/>
      <c r="BG23" s="425"/>
      <c r="BL23" s="585"/>
      <c r="BQ23" s="425"/>
      <c r="BS23" s="439"/>
      <c r="BV23" s="585"/>
      <c r="BW23" s="439"/>
      <c r="BY23" s="439"/>
      <c r="BZ23" s="439"/>
      <c r="CA23" s="585"/>
      <c r="CB23" s="439"/>
      <c r="CC23" s="439"/>
      <c r="CD23" s="439"/>
      <c r="CE23" s="439"/>
      <c r="CF23" s="585"/>
      <c r="CG23" s="439"/>
      <c r="CH23" s="439"/>
      <c r="CI23" s="439"/>
      <c r="CK23" s="585"/>
      <c r="CM23" s="439"/>
      <c r="CN23" s="439"/>
      <c r="CO23" s="439"/>
      <c r="CP23" s="585"/>
      <c r="CQ23" s="439"/>
      <c r="CR23" s="439"/>
      <c r="CS23" s="439"/>
      <c r="CT23" s="439"/>
      <c r="CU23" s="585"/>
      <c r="CV23" s="439"/>
      <c r="CW23" s="439"/>
      <c r="CX23" s="439"/>
      <c r="CY23" s="439"/>
      <c r="CZ23" s="585"/>
      <c r="DC23" s="439"/>
      <c r="DD23" s="439"/>
      <c r="DE23" s="585"/>
      <c r="DF23" s="439"/>
      <c r="DG23" s="439"/>
      <c r="DH23" s="439"/>
      <c r="DI23" s="439"/>
      <c r="DJ23" s="585"/>
      <c r="DK23" s="439"/>
      <c r="DL23" s="439"/>
      <c r="DN23" s="439"/>
      <c r="DO23" s="585"/>
      <c r="DP23" s="439"/>
      <c r="DT23" s="425"/>
      <c r="DY23" s="425"/>
      <c r="DZ23" s="425"/>
      <c r="EA23" s="425"/>
      <c r="EB23" s="425"/>
    </row>
    <row r="24" spans="1:132" s="424" customFormat="1" hidden="1" outlineLevel="1">
      <c r="A24" s="68"/>
      <c r="B24" s="432" t="s">
        <v>205</v>
      </c>
      <c r="C24" s="43">
        <v>46</v>
      </c>
      <c r="D24" s="43">
        <v>54</v>
      </c>
      <c r="E24" s="43">
        <v>67</v>
      </c>
      <c r="F24" s="43">
        <v>45</v>
      </c>
      <c r="G24" s="43">
        <v>45</v>
      </c>
      <c r="H24" s="43">
        <v>29</v>
      </c>
      <c r="I24" s="488">
        <v>14</v>
      </c>
      <c r="J24" s="496">
        <v>4</v>
      </c>
      <c r="K24" s="432">
        <v>4</v>
      </c>
      <c r="L24" s="432">
        <v>3</v>
      </c>
      <c r="M24" s="432">
        <v>0</v>
      </c>
      <c r="N24" s="43">
        <f>+M24+L24+K24+J24</f>
        <v>11</v>
      </c>
      <c r="O24" s="432">
        <v>1</v>
      </c>
      <c r="P24" s="432">
        <v>1</v>
      </c>
      <c r="Q24" s="432">
        <v>0</v>
      </c>
      <c r="R24" s="432">
        <v>0</v>
      </c>
      <c r="S24" s="43">
        <f>+R24+Q24+P24+O24</f>
        <v>2</v>
      </c>
      <c r="T24" s="432"/>
      <c r="U24" s="432"/>
      <c r="V24" s="432"/>
      <c r="W24" s="432"/>
      <c r="X24" s="43"/>
      <c r="Y24" s="432"/>
      <c r="Z24" s="432"/>
      <c r="AA24" s="432"/>
      <c r="AB24" s="432"/>
      <c r="AC24" s="43"/>
      <c r="AD24" s="432"/>
      <c r="AE24" s="432"/>
      <c r="AF24" s="432"/>
      <c r="AG24" s="432"/>
      <c r="AH24" s="43"/>
      <c r="AI24" s="432"/>
      <c r="AJ24" s="432"/>
      <c r="AK24" s="432"/>
      <c r="AL24" s="432"/>
      <c r="AM24" s="43"/>
      <c r="AN24" s="432"/>
      <c r="AO24" s="432"/>
      <c r="AP24" s="432"/>
      <c r="AQ24" s="432"/>
      <c r="AR24" s="43"/>
      <c r="AS24" s="432"/>
      <c r="AT24" s="432"/>
      <c r="AU24" s="432"/>
      <c r="AV24" s="432"/>
      <c r="AW24" s="43"/>
      <c r="AX24" s="432"/>
      <c r="AY24" s="432"/>
      <c r="AZ24" s="432"/>
      <c r="BA24" s="432"/>
      <c r="BB24" s="43"/>
      <c r="BC24" s="432"/>
      <c r="BD24" s="432"/>
      <c r="BE24" s="432"/>
      <c r="BF24" s="432"/>
      <c r="BG24" s="43"/>
      <c r="BH24" s="432"/>
      <c r="BI24" s="432"/>
      <c r="BJ24" s="432"/>
      <c r="BK24" s="432"/>
      <c r="BL24" s="43"/>
      <c r="BM24" s="432"/>
      <c r="BN24" s="432"/>
      <c r="BO24" s="432"/>
      <c r="BP24" s="432"/>
      <c r="BQ24" s="43"/>
      <c r="BR24" s="432"/>
      <c r="BS24" s="432"/>
      <c r="BT24" s="432"/>
      <c r="BU24" s="432"/>
      <c r="BV24" s="43"/>
      <c r="BW24" s="432"/>
      <c r="BX24" s="432"/>
      <c r="BY24" s="432"/>
      <c r="BZ24" s="432"/>
      <c r="CA24" s="43"/>
      <c r="CB24" s="432"/>
      <c r="CC24" s="432"/>
      <c r="CD24" s="432"/>
      <c r="CE24" s="432"/>
      <c r="CF24" s="43"/>
      <c r="CG24" s="432"/>
      <c r="CH24" s="432"/>
      <c r="CI24" s="432"/>
      <c r="CJ24" s="432"/>
      <c r="CK24" s="43"/>
      <c r="CL24" s="432"/>
      <c r="CM24" s="432"/>
      <c r="CN24" s="432"/>
      <c r="CO24" s="432"/>
      <c r="CP24" s="43"/>
      <c r="CQ24" s="432"/>
      <c r="CR24" s="432"/>
      <c r="CS24" s="432"/>
      <c r="CT24" s="432"/>
      <c r="CU24" s="43"/>
      <c r="CV24" s="432"/>
      <c r="CW24" s="432"/>
      <c r="CX24" s="432"/>
      <c r="CY24" s="432"/>
      <c r="CZ24" s="43"/>
      <c r="DA24" s="432"/>
      <c r="DB24" s="432"/>
      <c r="DC24" s="432"/>
      <c r="DD24" s="432"/>
      <c r="DE24" s="43"/>
      <c r="DF24" s="432"/>
      <c r="DG24" s="432"/>
      <c r="DH24" s="432"/>
      <c r="DI24" s="432"/>
      <c r="DJ24" s="43"/>
      <c r="DK24" s="432"/>
      <c r="DL24" s="432"/>
      <c r="DM24" s="432"/>
      <c r="DN24" s="432"/>
      <c r="DO24" s="43"/>
      <c r="DP24" s="432"/>
      <c r="DQ24" s="432"/>
      <c r="DR24" s="432"/>
      <c r="DS24" s="432"/>
      <c r="DT24" s="43"/>
      <c r="DU24" s="432"/>
      <c r="DV24" s="432"/>
      <c r="DW24" s="432"/>
      <c r="DX24" s="432"/>
      <c r="DY24" s="43"/>
      <c r="DZ24" s="43"/>
      <c r="EA24" s="43"/>
      <c r="EB24" s="43"/>
    </row>
    <row r="25" spans="1:132" s="424" customFormat="1" hidden="1" outlineLevel="1">
      <c r="A25" s="68"/>
      <c r="B25" s="98" t="s">
        <v>190</v>
      </c>
      <c r="C25" s="189">
        <v>48</v>
      </c>
      <c r="D25" s="189">
        <v>50</v>
      </c>
      <c r="E25" s="189">
        <v>54</v>
      </c>
      <c r="F25" s="189">
        <v>54</v>
      </c>
      <c r="G25" s="189">
        <v>56</v>
      </c>
      <c r="H25" s="189">
        <v>60</v>
      </c>
      <c r="I25" s="489">
        <v>60</v>
      </c>
      <c r="J25" s="497">
        <v>60</v>
      </c>
      <c r="K25" s="451">
        <v>60</v>
      </c>
      <c r="L25" s="451">
        <v>60</v>
      </c>
      <c r="M25" s="451">
        <v>60</v>
      </c>
      <c r="N25" s="189">
        <v>60</v>
      </c>
      <c r="O25" s="451">
        <v>60</v>
      </c>
      <c r="P25" s="451">
        <v>60</v>
      </c>
      <c r="Q25" s="451">
        <v>60</v>
      </c>
      <c r="R25" s="451">
        <v>60</v>
      </c>
      <c r="S25" s="189">
        <v>60</v>
      </c>
      <c r="T25" s="451">
        <v>60</v>
      </c>
      <c r="U25" s="451">
        <v>60</v>
      </c>
      <c r="V25" s="451">
        <v>60</v>
      </c>
      <c r="W25" s="451">
        <v>60</v>
      </c>
      <c r="X25" s="189"/>
      <c r="Y25" s="451"/>
      <c r="Z25" s="451"/>
      <c r="AA25" s="451"/>
      <c r="AB25" s="451"/>
      <c r="AC25" s="189"/>
      <c r="AD25" s="451"/>
      <c r="AE25" s="451"/>
      <c r="AF25" s="451"/>
      <c r="AG25" s="451"/>
      <c r="AH25" s="189"/>
      <c r="AI25" s="451"/>
      <c r="AJ25" s="451"/>
      <c r="AK25" s="451"/>
      <c r="AL25" s="451"/>
      <c r="AM25" s="189"/>
      <c r="AN25" s="451"/>
      <c r="AO25" s="435"/>
      <c r="AP25" s="435"/>
      <c r="AQ25" s="451"/>
      <c r="AR25" s="189"/>
      <c r="AS25" s="451"/>
      <c r="AT25" s="435"/>
      <c r="AU25" s="435"/>
      <c r="AV25" s="435"/>
      <c r="AW25" s="189"/>
      <c r="AX25" s="451"/>
      <c r="AY25" s="435"/>
      <c r="AZ25" s="435"/>
      <c r="BA25" s="435"/>
      <c r="BB25" s="412"/>
      <c r="BC25" s="451"/>
      <c r="BD25" s="435"/>
      <c r="BE25" s="435"/>
      <c r="BF25" s="435"/>
      <c r="BG25" s="412"/>
      <c r="BH25" s="451"/>
      <c r="BI25" s="435"/>
      <c r="BJ25" s="435"/>
      <c r="BK25" s="435"/>
      <c r="BL25" s="566"/>
      <c r="BM25" s="451"/>
      <c r="BN25" s="435"/>
      <c r="BO25" s="435"/>
      <c r="BP25" s="435"/>
      <c r="BQ25" s="412"/>
      <c r="BR25" s="451"/>
      <c r="BS25" s="470"/>
      <c r="BT25" s="435"/>
      <c r="BU25" s="435"/>
      <c r="BV25" s="566"/>
      <c r="BW25" s="470"/>
      <c r="BX25" s="435"/>
      <c r="BY25" s="470"/>
      <c r="BZ25" s="470"/>
      <c r="CA25" s="566"/>
      <c r="CB25" s="470"/>
      <c r="CC25" s="470"/>
      <c r="CD25" s="470"/>
      <c r="CE25" s="470"/>
      <c r="CF25" s="566"/>
      <c r="CG25" s="470"/>
      <c r="CH25" s="470"/>
      <c r="CI25" s="470"/>
      <c r="CJ25" s="435"/>
      <c r="CK25" s="566"/>
      <c r="CL25" s="435"/>
      <c r="CM25" s="470"/>
      <c r="CN25" s="470"/>
      <c r="CO25" s="470"/>
      <c r="CP25" s="566"/>
      <c r="CQ25" s="470"/>
      <c r="CR25" s="470"/>
      <c r="CS25" s="470"/>
      <c r="CT25" s="470"/>
      <c r="CU25" s="566"/>
      <c r="CV25" s="470"/>
      <c r="CW25" s="470"/>
      <c r="CX25" s="470"/>
      <c r="CY25" s="470"/>
      <c r="CZ25" s="566"/>
      <c r="DA25" s="435"/>
      <c r="DB25" s="435"/>
      <c r="DC25" s="470"/>
      <c r="DD25" s="470"/>
      <c r="DE25" s="566"/>
      <c r="DF25" s="470"/>
      <c r="DG25" s="470"/>
      <c r="DH25" s="470"/>
      <c r="DI25" s="470"/>
      <c r="DJ25" s="566"/>
      <c r="DK25" s="470"/>
      <c r="DL25" s="470"/>
      <c r="DM25" s="435"/>
      <c r="DN25" s="470"/>
      <c r="DO25" s="566"/>
      <c r="DP25" s="470"/>
      <c r="DQ25" s="435"/>
      <c r="DR25" s="435"/>
      <c r="DS25" s="435"/>
      <c r="DT25" s="412"/>
      <c r="DU25" s="435"/>
      <c r="DV25" s="435"/>
      <c r="DW25" s="435"/>
      <c r="DX25" s="435"/>
      <c r="DY25" s="412"/>
      <c r="DZ25" s="412"/>
      <c r="EA25" s="412"/>
      <c r="EB25" s="412"/>
    </row>
    <row r="26" spans="1:132" s="424" customFormat="1" hidden="1" outlineLevel="1">
      <c r="A26" s="68"/>
      <c r="B26" s="98" t="s">
        <v>191</v>
      </c>
      <c r="C26" s="67">
        <f t="shared" ref="C26:M26" si="72">C25*C24</f>
        <v>2208</v>
      </c>
      <c r="D26" s="67">
        <f t="shared" si="72"/>
        <v>2700</v>
      </c>
      <c r="E26" s="67">
        <f t="shared" si="72"/>
        <v>3618</v>
      </c>
      <c r="F26" s="67">
        <f t="shared" si="72"/>
        <v>2430</v>
      </c>
      <c r="G26" s="67">
        <f t="shared" si="72"/>
        <v>2520</v>
      </c>
      <c r="H26" s="67">
        <f t="shared" si="72"/>
        <v>1740</v>
      </c>
      <c r="I26" s="454">
        <f t="shared" si="72"/>
        <v>840</v>
      </c>
      <c r="J26" s="265">
        <f t="shared" si="72"/>
        <v>240</v>
      </c>
      <c r="K26" s="98">
        <f t="shared" si="72"/>
        <v>240</v>
      </c>
      <c r="L26" s="98">
        <f t="shared" si="72"/>
        <v>180</v>
      </c>
      <c r="M26" s="98">
        <f t="shared" si="72"/>
        <v>0</v>
      </c>
      <c r="N26" s="67">
        <f>SUM(J26:M26)</f>
        <v>660</v>
      </c>
      <c r="O26" s="98">
        <f>O25*O24</f>
        <v>60</v>
      </c>
      <c r="P26" s="98">
        <f>P25*P24</f>
        <v>60</v>
      </c>
      <c r="Q26" s="98">
        <f>Q25*Q24</f>
        <v>0</v>
      </c>
      <c r="R26" s="98">
        <f>R25*R24</f>
        <v>0</v>
      </c>
      <c r="S26" s="67">
        <f>SUM(O26:R26)</f>
        <v>120</v>
      </c>
      <c r="T26" s="98">
        <f>T25*T24</f>
        <v>0</v>
      </c>
      <c r="U26" s="98">
        <f>U25*U24</f>
        <v>0</v>
      </c>
      <c r="V26" s="98">
        <f>V25*V24</f>
        <v>0</v>
      </c>
      <c r="W26" s="98">
        <f>W25*W24</f>
        <v>0</v>
      </c>
      <c r="X26" s="67"/>
      <c r="Y26" s="98"/>
      <c r="Z26" s="98"/>
      <c r="AA26" s="98"/>
      <c r="AB26" s="98"/>
      <c r="AC26" s="67"/>
      <c r="AD26" s="98"/>
      <c r="AE26" s="98"/>
      <c r="AF26" s="98"/>
      <c r="AG26" s="98"/>
      <c r="AH26" s="67"/>
      <c r="AI26" s="98"/>
      <c r="AJ26" s="98"/>
      <c r="AK26" s="98"/>
      <c r="AL26" s="98"/>
      <c r="AM26" s="67"/>
      <c r="AN26" s="98"/>
      <c r="AO26" s="98"/>
      <c r="AP26" s="98"/>
      <c r="AQ26" s="98"/>
      <c r="AR26" s="67"/>
      <c r="AS26" s="98"/>
      <c r="AT26" s="98"/>
      <c r="AU26" s="98"/>
      <c r="AV26" s="98"/>
      <c r="AW26" s="67"/>
      <c r="AX26" s="98"/>
      <c r="AY26" s="98"/>
      <c r="AZ26" s="98"/>
      <c r="BA26" s="98"/>
      <c r="BB26" s="67"/>
      <c r="BC26" s="98"/>
      <c r="BD26" s="98"/>
      <c r="BE26" s="98"/>
      <c r="BF26" s="98"/>
      <c r="BG26" s="67"/>
      <c r="BH26" s="98"/>
      <c r="BI26" s="98"/>
      <c r="BJ26" s="98"/>
      <c r="BK26" s="98"/>
      <c r="BL26" s="120"/>
      <c r="BM26" s="98"/>
      <c r="BN26" s="98"/>
      <c r="BO26" s="98"/>
      <c r="BP26" s="98"/>
      <c r="BQ26" s="67"/>
      <c r="BR26" s="98"/>
      <c r="BS26" s="437"/>
      <c r="BT26" s="98"/>
      <c r="BU26" s="98"/>
      <c r="BV26" s="120"/>
      <c r="BW26" s="437"/>
      <c r="BX26" s="98"/>
      <c r="BY26" s="437"/>
      <c r="BZ26" s="437"/>
      <c r="CA26" s="120"/>
      <c r="CB26" s="437"/>
      <c r="CC26" s="437"/>
      <c r="CD26" s="437"/>
      <c r="CE26" s="437"/>
      <c r="CF26" s="120"/>
      <c r="CG26" s="437"/>
      <c r="CH26" s="437"/>
      <c r="CI26" s="437"/>
      <c r="CJ26" s="98"/>
      <c r="CK26" s="120"/>
      <c r="CL26" s="98"/>
      <c r="CM26" s="437"/>
      <c r="CN26" s="437"/>
      <c r="CO26" s="437"/>
      <c r="CP26" s="120"/>
      <c r="CQ26" s="437"/>
      <c r="CR26" s="437"/>
      <c r="CS26" s="437"/>
      <c r="CT26" s="437"/>
      <c r="CU26" s="120"/>
      <c r="CV26" s="437"/>
      <c r="CW26" s="437"/>
      <c r="CX26" s="437"/>
      <c r="CY26" s="437"/>
      <c r="CZ26" s="120"/>
      <c r="DA26" s="98"/>
      <c r="DB26" s="98"/>
      <c r="DC26" s="437"/>
      <c r="DD26" s="437"/>
      <c r="DE26" s="120"/>
      <c r="DF26" s="437"/>
      <c r="DG26" s="437"/>
      <c r="DH26" s="437"/>
      <c r="DI26" s="437"/>
      <c r="DJ26" s="120"/>
      <c r="DK26" s="437"/>
      <c r="DL26" s="437"/>
      <c r="DM26" s="98"/>
      <c r="DN26" s="437"/>
      <c r="DO26" s="120"/>
      <c r="DP26" s="437"/>
      <c r="DQ26" s="98"/>
      <c r="DR26" s="98"/>
      <c r="DS26" s="98"/>
      <c r="DT26" s="67"/>
      <c r="DU26" s="98"/>
      <c r="DV26" s="98"/>
      <c r="DW26" s="98"/>
      <c r="DX26" s="98"/>
      <c r="DY26" s="67"/>
      <c r="DZ26" s="67"/>
      <c r="EA26" s="67"/>
      <c r="EB26" s="67"/>
    </row>
    <row r="27" spans="1:132" s="424" customFormat="1" hidden="1" outlineLevel="1">
      <c r="A27" s="68"/>
      <c r="B27" s="427" t="s">
        <v>369</v>
      </c>
      <c r="C27" s="426">
        <v>0.09</v>
      </c>
      <c r="D27" s="426">
        <v>0.05</v>
      </c>
      <c r="E27" s="426">
        <v>5.5E-2</v>
      </c>
      <c r="F27" s="426">
        <v>0.1</v>
      </c>
      <c r="G27" s="426">
        <v>0.09</v>
      </c>
      <c r="H27" s="426">
        <v>0.11</v>
      </c>
      <c r="I27" s="452">
        <v>7.0000000000000007E-2</v>
      </c>
      <c r="J27" s="498">
        <v>0.08</v>
      </c>
      <c r="K27" s="427">
        <v>0.08</v>
      </c>
      <c r="L27" s="427">
        <v>0.08</v>
      </c>
      <c r="M27" s="427">
        <v>0.08</v>
      </c>
      <c r="N27" s="426">
        <v>0.08</v>
      </c>
      <c r="O27" s="427">
        <v>0.09</v>
      </c>
      <c r="P27" s="427">
        <v>0.09</v>
      </c>
      <c r="Q27" s="427">
        <v>0.09</v>
      </c>
      <c r="R27" s="427">
        <v>0.09</v>
      </c>
      <c r="S27" s="426">
        <v>0.09</v>
      </c>
      <c r="T27" s="427">
        <v>0.17</v>
      </c>
      <c r="U27" s="427">
        <v>0.17</v>
      </c>
      <c r="V27" s="427">
        <v>0.17</v>
      </c>
      <c r="W27" s="427">
        <v>0.17</v>
      </c>
      <c r="X27" s="426"/>
      <c r="Y27" s="427"/>
      <c r="Z27" s="427"/>
      <c r="AA27" s="427"/>
      <c r="AB27" s="427"/>
      <c r="AC27" s="426"/>
      <c r="AD27" s="427"/>
      <c r="AE27" s="427"/>
      <c r="AF27" s="427"/>
      <c r="AG27" s="427"/>
      <c r="AH27" s="426"/>
      <c r="AI27" s="427"/>
      <c r="AJ27" s="427"/>
      <c r="AK27" s="427"/>
      <c r="AL27" s="427"/>
      <c r="AM27" s="426"/>
      <c r="AN27" s="427"/>
      <c r="AO27" s="427"/>
      <c r="AP27" s="427"/>
      <c r="AQ27" s="427"/>
      <c r="AR27" s="426"/>
      <c r="AS27" s="427"/>
      <c r="AT27" s="427"/>
      <c r="AU27" s="427"/>
      <c r="AV27" s="427"/>
      <c r="AW27" s="426"/>
      <c r="AX27" s="427"/>
      <c r="AY27" s="427"/>
      <c r="AZ27" s="427"/>
      <c r="BA27" s="427"/>
      <c r="BB27" s="426"/>
      <c r="BC27" s="427"/>
      <c r="BD27" s="427"/>
      <c r="BE27" s="427"/>
      <c r="BF27" s="427"/>
      <c r="BG27" s="426"/>
      <c r="BH27" s="427"/>
      <c r="BI27" s="427"/>
      <c r="BJ27" s="427"/>
      <c r="BK27" s="427"/>
      <c r="BL27" s="136"/>
      <c r="BM27" s="427"/>
      <c r="BN27" s="427"/>
      <c r="BO27" s="427"/>
      <c r="BP27" s="427"/>
      <c r="BQ27" s="426"/>
      <c r="BR27" s="427"/>
      <c r="BS27" s="295"/>
      <c r="BT27" s="427"/>
      <c r="BU27" s="427"/>
      <c r="BV27" s="136"/>
      <c r="BW27" s="295"/>
      <c r="BX27" s="427"/>
      <c r="BY27" s="295"/>
      <c r="BZ27" s="295"/>
      <c r="CA27" s="136"/>
      <c r="CB27" s="295"/>
      <c r="CC27" s="295"/>
      <c r="CD27" s="295"/>
      <c r="CE27" s="295"/>
      <c r="CF27" s="136"/>
      <c r="CG27" s="295"/>
      <c r="CH27" s="295"/>
      <c r="CI27" s="295"/>
      <c r="CJ27" s="427"/>
      <c r="CK27" s="136"/>
      <c r="CL27" s="427"/>
      <c r="CM27" s="295"/>
      <c r="CN27" s="295"/>
      <c r="CO27" s="295"/>
      <c r="CP27" s="136"/>
      <c r="CQ27" s="295"/>
      <c r="CR27" s="295"/>
      <c r="CS27" s="295"/>
      <c r="CT27" s="295"/>
      <c r="CU27" s="136"/>
      <c r="CV27" s="295"/>
      <c r="CW27" s="295"/>
      <c r="CX27" s="295"/>
      <c r="CY27" s="295"/>
      <c r="CZ27" s="136"/>
      <c r="DA27" s="427"/>
      <c r="DB27" s="427"/>
      <c r="DC27" s="295"/>
      <c r="DD27" s="295"/>
      <c r="DE27" s="136"/>
      <c r="DF27" s="295"/>
      <c r="DG27" s="295"/>
      <c r="DH27" s="295"/>
      <c r="DI27" s="295"/>
      <c r="DJ27" s="136"/>
      <c r="DK27" s="295"/>
      <c r="DL27" s="295"/>
      <c r="DM27" s="427"/>
      <c r="DN27" s="295"/>
      <c r="DO27" s="136"/>
      <c r="DP27" s="295"/>
      <c r="DQ27" s="427"/>
      <c r="DR27" s="427"/>
      <c r="DS27" s="427"/>
      <c r="DT27" s="426"/>
      <c r="DU27" s="427"/>
      <c r="DV27" s="427"/>
      <c r="DW27" s="427"/>
      <c r="DX27" s="427"/>
      <c r="DY27" s="426"/>
      <c r="DZ27" s="426"/>
      <c r="EA27" s="426"/>
      <c r="EB27" s="426"/>
    </row>
    <row r="28" spans="1:132" s="424" customFormat="1" hidden="1" outlineLevel="1">
      <c r="A28" s="68"/>
      <c r="B28" s="427" t="s">
        <v>370</v>
      </c>
      <c r="C28" s="67">
        <f t="shared" ref="C28:I28" si="73">C26*C27</f>
        <v>198.72</v>
      </c>
      <c r="D28" s="67">
        <f t="shared" si="73"/>
        <v>135</v>
      </c>
      <c r="E28" s="67">
        <f t="shared" si="73"/>
        <v>198.99</v>
      </c>
      <c r="F28" s="67">
        <f t="shared" si="73"/>
        <v>243</v>
      </c>
      <c r="G28" s="67">
        <f t="shared" si="73"/>
        <v>226.79999999999998</v>
      </c>
      <c r="H28" s="67">
        <f t="shared" si="73"/>
        <v>191.4</v>
      </c>
      <c r="I28" s="454">
        <f t="shared" si="73"/>
        <v>58.800000000000004</v>
      </c>
      <c r="J28" s="265">
        <f t="shared" ref="J28:S28" si="74">J26*J27</f>
        <v>19.2</v>
      </c>
      <c r="K28" s="98">
        <f t="shared" si="74"/>
        <v>19.2</v>
      </c>
      <c r="L28" s="98">
        <f t="shared" si="74"/>
        <v>14.4</v>
      </c>
      <c r="M28" s="98">
        <f t="shared" si="74"/>
        <v>0</v>
      </c>
      <c r="N28" s="67">
        <f t="shared" si="74"/>
        <v>52.800000000000004</v>
      </c>
      <c r="O28" s="98">
        <f t="shared" si="74"/>
        <v>5.3999999999999995</v>
      </c>
      <c r="P28" s="98">
        <f t="shared" si="74"/>
        <v>5.3999999999999995</v>
      </c>
      <c r="Q28" s="98">
        <f t="shared" si="74"/>
        <v>0</v>
      </c>
      <c r="R28" s="98">
        <f t="shared" si="74"/>
        <v>0</v>
      </c>
      <c r="S28" s="67">
        <f t="shared" si="74"/>
        <v>10.799999999999999</v>
      </c>
      <c r="T28" s="98"/>
      <c r="U28" s="98"/>
      <c r="V28" s="98"/>
      <c r="W28" s="98"/>
      <c r="X28" s="67"/>
      <c r="Y28" s="98"/>
      <c r="Z28" s="98"/>
      <c r="AA28" s="98"/>
      <c r="AB28" s="98"/>
      <c r="AC28" s="67"/>
      <c r="AD28" s="98"/>
      <c r="AE28" s="98"/>
      <c r="AF28" s="98"/>
      <c r="AG28" s="98"/>
      <c r="AH28" s="67"/>
      <c r="AI28" s="98"/>
      <c r="AJ28" s="98"/>
      <c r="AK28" s="98"/>
      <c r="AL28" s="98"/>
      <c r="AM28" s="67"/>
      <c r="AN28" s="98"/>
      <c r="AO28" s="98"/>
      <c r="AP28" s="98"/>
      <c r="AQ28" s="98"/>
      <c r="AR28" s="67"/>
      <c r="AS28" s="98"/>
      <c r="AT28" s="98"/>
      <c r="AU28" s="98"/>
      <c r="AV28" s="98"/>
      <c r="AW28" s="67"/>
      <c r="AX28" s="98"/>
      <c r="AY28" s="98"/>
      <c r="AZ28" s="98"/>
      <c r="BA28" s="98"/>
      <c r="BB28" s="67"/>
      <c r="BC28" s="98"/>
      <c r="BD28" s="98"/>
      <c r="BE28" s="98"/>
      <c r="BF28" s="98"/>
      <c r="BG28" s="67"/>
      <c r="BH28" s="98"/>
      <c r="BI28" s="98"/>
      <c r="BJ28" s="98"/>
      <c r="BK28" s="98"/>
      <c r="BL28" s="120"/>
      <c r="BM28" s="98"/>
      <c r="BN28" s="98"/>
      <c r="BO28" s="98"/>
      <c r="BP28" s="98"/>
      <c r="BQ28" s="67"/>
      <c r="BR28" s="98"/>
      <c r="BS28" s="437"/>
      <c r="BT28" s="98"/>
      <c r="BU28" s="98"/>
      <c r="BV28" s="120"/>
      <c r="BW28" s="437"/>
      <c r="BX28" s="98"/>
      <c r="BY28" s="437"/>
      <c r="BZ28" s="437"/>
      <c r="CA28" s="120"/>
      <c r="CB28" s="437"/>
      <c r="CC28" s="437"/>
      <c r="CD28" s="437"/>
      <c r="CE28" s="437"/>
      <c r="CF28" s="120"/>
      <c r="CG28" s="437"/>
      <c r="CH28" s="437"/>
      <c r="CI28" s="437"/>
      <c r="CJ28" s="98"/>
      <c r="CK28" s="120"/>
      <c r="CL28" s="98"/>
      <c r="CM28" s="437"/>
      <c r="CN28" s="437"/>
      <c r="CO28" s="437"/>
      <c r="CP28" s="120"/>
      <c r="CQ28" s="437"/>
      <c r="CR28" s="437"/>
      <c r="CS28" s="437"/>
      <c r="CT28" s="437"/>
      <c r="CU28" s="120"/>
      <c r="CV28" s="437"/>
      <c r="CW28" s="437"/>
      <c r="CX28" s="437"/>
      <c r="CY28" s="437"/>
      <c r="CZ28" s="120"/>
      <c r="DA28" s="98"/>
      <c r="DB28" s="98"/>
      <c r="DC28" s="437"/>
      <c r="DD28" s="437"/>
      <c r="DE28" s="120"/>
      <c r="DF28" s="437"/>
      <c r="DG28" s="437"/>
      <c r="DH28" s="437"/>
      <c r="DI28" s="437"/>
      <c r="DJ28" s="120"/>
      <c r="DK28" s="437"/>
      <c r="DL28" s="437"/>
      <c r="DM28" s="98"/>
      <c r="DN28" s="437"/>
      <c r="DO28" s="120"/>
      <c r="DP28" s="437"/>
      <c r="DQ28" s="98"/>
      <c r="DR28" s="98"/>
      <c r="DS28" s="98"/>
      <c r="DT28" s="67"/>
      <c r="DU28" s="98"/>
      <c r="DV28" s="98"/>
      <c r="DW28" s="98"/>
      <c r="DX28" s="98"/>
      <c r="DY28" s="67"/>
      <c r="DZ28" s="67"/>
      <c r="EA28" s="67"/>
      <c r="EB28" s="67"/>
    </row>
    <row r="29" spans="1:132" s="424" customFormat="1" ht="7.5" hidden="1" customHeight="1" outlineLevel="1">
      <c r="A29" s="68"/>
      <c r="B29" s="98"/>
      <c r="C29" s="425"/>
      <c r="D29" s="425"/>
      <c r="E29" s="425"/>
      <c r="F29" s="425"/>
      <c r="G29" s="425"/>
      <c r="H29" s="425"/>
      <c r="I29" s="490"/>
      <c r="J29" s="499"/>
      <c r="N29" s="425"/>
      <c r="S29" s="425"/>
      <c r="X29" s="425"/>
      <c r="AC29" s="425"/>
      <c r="AH29" s="425"/>
      <c r="AM29" s="425"/>
      <c r="AR29" s="425"/>
      <c r="AW29" s="425"/>
      <c r="BB29" s="425"/>
      <c r="BG29" s="425"/>
      <c r="BL29" s="585"/>
      <c r="BQ29" s="425"/>
      <c r="BS29" s="439"/>
      <c r="BV29" s="585"/>
      <c r="BW29" s="439"/>
      <c r="BY29" s="439"/>
      <c r="BZ29" s="439"/>
      <c r="CA29" s="585"/>
      <c r="CB29" s="439"/>
      <c r="CC29" s="439"/>
      <c r="CD29" s="439"/>
      <c r="CE29" s="439"/>
      <c r="CF29" s="585"/>
      <c r="CG29" s="439"/>
      <c r="CH29" s="439"/>
      <c r="CI29" s="439"/>
      <c r="CK29" s="585"/>
      <c r="CM29" s="439"/>
      <c r="CN29" s="439"/>
      <c r="CO29" s="439"/>
      <c r="CP29" s="585"/>
      <c r="CQ29" s="439"/>
      <c r="CR29" s="439"/>
      <c r="CS29" s="439"/>
      <c r="CT29" s="439"/>
      <c r="CU29" s="585"/>
      <c r="CV29" s="439"/>
      <c r="CW29" s="439"/>
      <c r="CX29" s="439"/>
      <c r="CY29" s="439"/>
      <c r="CZ29" s="585"/>
      <c r="DC29" s="439"/>
      <c r="DD29" s="439"/>
      <c r="DE29" s="585"/>
      <c r="DF29" s="439"/>
      <c r="DG29" s="439"/>
      <c r="DH29" s="439"/>
      <c r="DI29" s="439"/>
      <c r="DJ29" s="585"/>
      <c r="DK29" s="439"/>
      <c r="DL29" s="439"/>
      <c r="DN29" s="439"/>
      <c r="DO29" s="585"/>
      <c r="DP29" s="439"/>
      <c r="DT29" s="425"/>
      <c r="DY29" s="425"/>
      <c r="DZ29" s="425"/>
      <c r="EA29" s="425"/>
      <c r="EB29" s="425"/>
    </row>
    <row r="30" spans="1:132" s="424" customFormat="1" collapsed="1">
      <c r="A30" s="68"/>
      <c r="B30" s="432" t="s">
        <v>206</v>
      </c>
      <c r="C30" s="43"/>
      <c r="D30" s="43"/>
      <c r="E30" s="43"/>
      <c r="F30" s="43"/>
      <c r="G30" s="43"/>
      <c r="H30" s="43"/>
      <c r="I30" s="488"/>
      <c r="J30" s="496"/>
      <c r="K30" s="432"/>
      <c r="L30" s="432"/>
      <c r="M30" s="432"/>
      <c r="N30" s="43"/>
      <c r="O30" s="432"/>
      <c r="P30" s="432"/>
      <c r="Q30" s="432"/>
      <c r="R30" s="432"/>
      <c r="S30" s="43"/>
      <c r="T30" s="432"/>
      <c r="U30" s="432"/>
      <c r="V30" s="432"/>
      <c r="W30" s="432"/>
      <c r="X30" s="43"/>
      <c r="Y30" s="432"/>
      <c r="Z30" s="432"/>
      <c r="AA30" s="432"/>
      <c r="AB30" s="432"/>
      <c r="AC30" s="43"/>
      <c r="AD30" s="432"/>
      <c r="AE30" s="432"/>
      <c r="AF30" s="432"/>
      <c r="AG30" s="432"/>
      <c r="AH30" s="43"/>
      <c r="AI30" s="432"/>
      <c r="AJ30" s="432"/>
      <c r="AK30" s="432"/>
      <c r="AL30" s="432"/>
      <c r="AM30" s="43"/>
      <c r="AN30" s="432"/>
      <c r="AO30" s="434"/>
      <c r="AP30" s="434"/>
      <c r="AQ30" s="432"/>
      <c r="AR30" s="43"/>
      <c r="AS30" s="432">
        <f>Commercial!AS78</f>
        <v>0</v>
      </c>
      <c r="AT30" s="432">
        <f>Commercial!AT78</f>
        <v>0</v>
      </c>
      <c r="AU30" s="432">
        <f>Commercial!AU78</f>
        <v>1</v>
      </c>
      <c r="AV30" s="432">
        <f>Commercial!AV78</f>
        <v>2</v>
      </c>
      <c r="AW30" s="43">
        <f>Commercial!AW78</f>
        <v>3</v>
      </c>
      <c r="AX30" s="432">
        <f>Commercial!AX78</f>
        <v>5</v>
      </c>
      <c r="AY30" s="432">
        <f>Commercial!AY78</f>
        <v>6</v>
      </c>
      <c r="AZ30" s="432">
        <f>Commercial!AZ78</f>
        <v>12</v>
      </c>
      <c r="BA30" s="432">
        <f>Commercial!BA78</f>
        <v>23</v>
      </c>
      <c r="BB30" s="43">
        <f>Commercial!BB78</f>
        <v>46</v>
      </c>
      <c r="BC30" s="432">
        <f>Commercial!BC78</f>
        <v>1</v>
      </c>
      <c r="BD30" s="432">
        <f>Commercial!BD78</f>
        <v>16</v>
      </c>
      <c r="BE30" s="432">
        <f>Commercial!BE78</f>
        <v>23</v>
      </c>
      <c r="BF30" s="432">
        <f>Commercial!BF78</f>
        <v>25</v>
      </c>
      <c r="BG30" s="43">
        <f>Commercial!BG78</f>
        <v>65</v>
      </c>
      <c r="BH30" s="432">
        <f>Commercial!BH78</f>
        <v>18</v>
      </c>
      <c r="BI30" s="432">
        <f>Commercial!BI78</f>
        <v>30</v>
      </c>
      <c r="BJ30" s="432">
        <f>Commercial!BJ78</f>
        <v>31</v>
      </c>
      <c r="BK30" s="432">
        <f>Commercial!BK78</f>
        <v>35</v>
      </c>
      <c r="BL30" s="43">
        <f>Commercial!BL78</f>
        <v>114</v>
      </c>
      <c r="BM30" s="432">
        <f>Commercial!BM78</f>
        <v>30</v>
      </c>
      <c r="BN30" s="432">
        <f>Commercial!BN78</f>
        <v>34</v>
      </c>
      <c r="BO30" s="432">
        <f>Commercial!BO78</f>
        <v>37</v>
      </c>
      <c r="BP30" s="432">
        <f>Commercial!BP78</f>
        <v>34</v>
      </c>
      <c r="BQ30" s="43">
        <f>Commercial!BQ78</f>
        <v>135</v>
      </c>
      <c r="BR30" s="432">
        <f>Commercial!BR78</f>
        <v>30</v>
      </c>
      <c r="BS30" s="432">
        <f>Commercial!BS78</f>
        <v>38</v>
      </c>
      <c r="BT30" s="432">
        <f>Commercial!BT78</f>
        <v>36</v>
      </c>
      <c r="BU30" s="432">
        <f>Commercial!BU78</f>
        <v>33</v>
      </c>
      <c r="BV30" s="43">
        <f>Commercial!BV78</f>
        <v>137</v>
      </c>
      <c r="BW30" s="432">
        <f>Commercial!BW78</f>
        <v>32</v>
      </c>
      <c r="BX30" s="432">
        <f>Commercial!BX78</f>
        <v>33</v>
      </c>
      <c r="BY30" s="432">
        <f>Commercial!BY78</f>
        <v>35</v>
      </c>
      <c r="BZ30" s="432">
        <f>Commercial!BZ78</f>
        <v>36</v>
      </c>
      <c r="CA30" s="43">
        <f>Commercial!CA78</f>
        <v>136</v>
      </c>
      <c r="CB30" s="432">
        <f>Commercial!CB78</f>
        <v>34</v>
      </c>
      <c r="CC30" s="432">
        <f>Commercial!CC78</f>
        <v>38</v>
      </c>
      <c r="CD30" s="432">
        <f>Commercial!CD78</f>
        <v>34</v>
      </c>
      <c r="CE30" s="432">
        <f>Commercial!CE78</f>
        <v>39</v>
      </c>
      <c r="CF30" s="43">
        <f>Commercial!CF78</f>
        <v>145</v>
      </c>
      <c r="CG30" s="432">
        <f>Commercial!CG78</f>
        <v>36</v>
      </c>
      <c r="CH30" s="432">
        <f>Commercial!CH78</f>
        <v>42</v>
      </c>
      <c r="CI30" s="432">
        <f>Commercial!CI78</f>
        <v>35</v>
      </c>
      <c r="CJ30" s="432">
        <f>Commercial!CJ78</f>
        <v>45</v>
      </c>
      <c r="CK30" s="43">
        <f>Commercial!CK78</f>
        <v>158</v>
      </c>
      <c r="CL30" s="432">
        <f>Commercial!CL78</f>
        <v>29</v>
      </c>
      <c r="CM30" s="432">
        <f>Commercial!CM78</f>
        <v>7</v>
      </c>
      <c r="CN30" s="432">
        <f>Commercial!CN78</f>
        <v>13</v>
      </c>
      <c r="CO30" s="432">
        <f>Commercial!CO78</f>
        <v>4</v>
      </c>
      <c r="CP30" s="43">
        <f>Commercial!CP78</f>
        <v>53</v>
      </c>
      <c r="CQ30" s="432">
        <f>Commercial!CQ78</f>
        <v>2</v>
      </c>
      <c r="CR30" s="432">
        <f>Commercial!CR78</f>
        <v>12</v>
      </c>
      <c r="CS30" s="432">
        <f>Commercial!CS78</f>
        <v>0</v>
      </c>
      <c r="CT30" s="432">
        <f>Commercial!CT78</f>
        <v>0</v>
      </c>
      <c r="CU30" s="43">
        <f>Commercial!CU78</f>
        <v>14</v>
      </c>
      <c r="CV30" s="432">
        <f>Commercial!CV78</f>
        <v>0</v>
      </c>
      <c r="CW30" s="432">
        <f>Commercial!CW78</f>
        <v>0</v>
      </c>
      <c r="CX30" s="432">
        <f>Commercial!CX78</f>
        <v>9</v>
      </c>
      <c r="CY30" s="432">
        <f>Commercial!CY78</f>
        <v>22</v>
      </c>
      <c r="CZ30" s="43">
        <f>Commercial!CZ78</f>
        <v>31</v>
      </c>
      <c r="DA30" s="432">
        <f>Commercial!DA78</f>
        <v>11</v>
      </c>
      <c r="DB30" s="432">
        <f>Commercial!DB78</f>
        <v>20</v>
      </c>
      <c r="DC30" s="432">
        <f>Commercial!DC78</f>
        <v>19</v>
      </c>
      <c r="DD30" s="432">
        <f>Commercial!DD78</f>
        <v>23</v>
      </c>
      <c r="DE30" s="43">
        <f>Commercial!DE78</f>
        <v>73</v>
      </c>
      <c r="DF30" s="432">
        <f>Commercial!DF78</f>
        <v>13</v>
      </c>
      <c r="DG30" s="432">
        <f>Commercial!DG78</f>
        <v>9</v>
      </c>
      <c r="DH30" s="432">
        <f>Commercial!DH78</f>
        <v>14</v>
      </c>
      <c r="DI30" s="432">
        <f>Commercial!DI78</f>
        <v>15</v>
      </c>
      <c r="DJ30" s="43">
        <f>Commercial!DJ78</f>
        <v>51</v>
      </c>
      <c r="DK30" s="432">
        <f>Commercial!DK78</f>
        <v>13</v>
      </c>
      <c r="DL30" s="432">
        <f>Commercial!DL78</f>
        <v>24</v>
      </c>
      <c r="DM30" s="432">
        <f>Commercial!DM78</f>
        <v>24</v>
      </c>
      <c r="DN30" s="432">
        <f>Commercial!DN78</f>
        <v>27</v>
      </c>
      <c r="DO30" s="43">
        <f>Commercial!DO78</f>
        <v>88</v>
      </c>
      <c r="DP30" s="432">
        <f>Commercial!DP78</f>
        <v>15</v>
      </c>
      <c r="DQ30" s="739">
        <f>Commercial!DQ78</f>
        <v>25</v>
      </c>
      <c r="DR30" s="739">
        <f>Commercial!DR78</f>
        <v>26</v>
      </c>
      <c r="DS30" s="739">
        <f>Commercial!DS78</f>
        <v>32</v>
      </c>
      <c r="DT30" s="484">
        <f>Commercial!DT78</f>
        <v>98</v>
      </c>
      <c r="DU30" s="739">
        <f>Commercial!DU78</f>
        <v>24</v>
      </c>
      <c r="DV30" s="739">
        <f>Commercial!DV78</f>
        <v>30</v>
      </c>
      <c r="DW30" s="739">
        <f>Commercial!DW78</f>
        <v>34</v>
      </c>
      <c r="DX30" s="739">
        <f>Commercial!DX78</f>
        <v>39</v>
      </c>
      <c r="DY30" s="484">
        <f>Commercial!DY78</f>
        <v>127</v>
      </c>
      <c r="DZ30" s="484">
        <f>Commercial!DZ78</f>
        <v>142</v>
      </c>
      <c r="EA30" s="484">
        <f>Commercial!EA78</f>
        <v>165</v>
      </c>
      <c r="EB30" s="484">
        <f>Commercial!EB78</f>
        <v>175</v>
      </c>
    </row>
    <row r="31" spans="1:132" s="424" customFormat="1">
      <c r="A31" s="68"/>
      <c r="B31" s="98" t="s">
        <v>190</v>
      </c>
      <c r="C31" s="189"/>
      <c r="D31" s="189"/>
      <c r="E31" s="189"/>
      <c r="F31" s="189"/>
      <c r="G31" s="189"/>
      <c r="H31" s="189"/>
      <c r="I31" s="489"/>
      <c r="J31" s="497"/>
      <c r="K31" s="451"/>
      <c r="L31" s="451"/>
      <c r="M31" s="451"/>
      <c r="N31" s="189"/>
      <c r="O31" s="451"/>
      <c r="P31" s="451"/>
      <c r="Q31" s="451"/>
      <c r="R31" s="451"/>
      <c r="S31" s="189"/>
      <c r="T31" s="451"/>
      <c r="U31" s="451"/>
      <c r="V31" s="451"/>
      <c r="W31" s="451"/>
      <c r="X31" s="189"/>
      <c r="Y31" s="451"/>
      <c r="Z31" s="451"/>
      <c r="AA31" s="451"/>
      <c r="AB31" s="451"/>
      <c r="AC31" s="189"/>
      <c r="AD31" s="451"/>
      <c r="AE31" s="451"/>
      <c r="AF31" s="451"/>
      <c r="AG31" s="451"/>
      <c r="AH31" s="189"/>
      <c r="AI31" s="451"/>
      <c r="AJ31" s="451"/>
      <c r="AK31" s="451"/>
      <c r="AL31" s="451"/>
      <c r="AM31" s="189"/>
      <c r="AN31" s="451"/>
      <c r="AO31" s="435"/>
      <c r="AP31" s="435"/>
      <c r="AQ31" s="451"/>
      <c r="AR31" s="189"/>
      <c r="AS31" s="451">
        <f>Commercial!AS80</f>
        <v>100</v>
      </c>
      <c r="AT31" s="451">
        <f>Commercial!AT80</f>
        <v>100</v>
      </c>
      <c r="AU31" s="470">
        <f>Commercial!AU80</f>
        <v>100</v>
      </c>
      <c r="AV31" s="470">
        <f>Commercial!AV80</f>
        <v>100</v>
      </c>
      <c r="AW31" s="566">
        <f>Commercial!AW80</f>
        <v>100</v>
      </c>
      <c r="AX31" s="451">
        <f>Commercial!AX80</f>
        <v>101</v>
      </c>
      <c r="AY31" s="451">
        <f>Commercial!AY80</f>
        <v>101</v>
      </c>
      <c r="AZ31" s="470">
        <f>Commercial!AZ80</f>
        <v>101</v>
      </c>
      <c r="BA31" s="470">
        <f>Commercial!BA80</f>
        <v>101</v>
      </c>
      <c r="BB31" s="566">
        <f>Commercial!BB80</f>
        <v>101</v>
      </c>
      <c r="BC31" s="451">
        <f>Commercial!BC80</f>
        <v>101</v>
      </c>
      <c r="BD31" s="451">
        <f>Commercial!BD80</f>
        <v>101</v>
      </c>
      <c r="BE31" s="470">
        <f>Commercial!BE80</f>
        <v>101</v>
      </c>
      <c r="BF31" s="470">
        <f>Commercial!BF80</f>
        <v>101</v>
      </c>
      <c r="BG31" s="566">
        <f>Commercial!BG80</f>
        <v>102</v>
      </c>
      <c r="BH31" s="451">
        <f>Commercial!BH80</f>
        <v>98.235000000000014</v>
      </c>
      <c r="BI31" s="451">
        <f>Commercial!BI80</f>
        <v>99.245500000000021</v>
      </c>
      <c r="BJ31" s="470">
        <f>Commercial!BJ80</f>
        <v>102.14661290322582</v>
      </c>
      <c r="BK31" s="470">
        <f>Commercial!BK80</f>
        <v>102.56571428571429</v>
      </c>
      <c r="BL31" s="566">
        <f>Commercial!BL80</f>
        <v>100.89421052631582</v>
      </c>
      <c r="BM31" s="451">
        <f>Commercial!BM80</f>
        <v>111.47999999999999</v>
      </c>
      <c r="BN31" s="451">
        <f>Commercial!BN80</f>
        <v>113.92941176470589</v>
      </c>
      <c r="BO31" s="451">
        <f>Commercial!BO80</f>
        <v>117.95108108108107</v>
      </c>
      <c r="BP31" s="451">
        <f>Commercial!BP80</f>
        <v>119.44058823529411</v>
      </c>
      <c r="BQ31" s="566">
        <f>Commercial!BQ80</f>
        <v>115.87533333333332</v>
      </c>
      <c r="BR31" s="451">
        <f>Commercial!BR80</f>
        <v>124.93100000000001</v>
      </c>
      <c r="BS31" s="470">
        <f>Commercial!BS80</f>
        <v>121.63434210526317</v>
      </c>
      <c r="BT31" s="470">
        <f>Commercial!BT80</f>
        <v>123.08875000000002</v>
      </c>
      <c r="BU31" s="470">
        <f>Commercial!BU80</f>
        <v>122.25136363636364</v>
      </c>
      <c r="BV31" s="566">
        <f>Commercial!BV80</f>
        <v>122.88704379562044</v>
      </c>
      <c r="BW31" s="470">
        <f>Commercial!BW80</f>
        <v>125.78437499999998</v>
      </c>
      <c r="BX31" s="470">
        <f>Commercial!BX80</f>
        <v>126.06969696969695</v>
      </c>
      <c r="BY31" s="470">
        <f>Commercial!BY80</f>
        <v>128.74357142857141</v>
      </c>
      <c r="BZ31" s="470">
        <f>Commercial!BZ80</f>
        <v>131.01527777777775</v>
      </c>
      <c r="CA31" s="566">
        <f>Commercial!CA80</f>
        <v>127.99981617647057</v>
      </c>
      <c r="CB31" s="470">
        <f>Commercial!CB80</f>
        <v>141.2104411764706</v>
      </c>
      <c r="CC31" s="470">
        <f>Commercial!CC80</f>
        <v>139.06776315789475</v>
      </c>
      <c r="CD31" s="470">
        <f>Commercial!CD80</f>
        <v>135.48235294117646</v>
      </c>
      <c r="CE31" s="470">
        <f>Commercial!CE80</f>
        <v>140.54346153846154</v>
      </c>
      <c r="CF31" s="566">
        <f>Commercial!CF80</f>
        <v>139.12637931034484</v>
      </c>
      <c r="CG31" s="470">
        <f>Commercial!CG80</f>
        <v>141.96775833333334</v>
      </c>
      <c r="CH31" s="470">
        <f>Commercial!CH80</f>
        <v>144.11854642857145</v>
      </c>
      <c r="CI31" s="470">
        <f>Commercial!CI80</f>
        <v>141.03193857142858</v>
      </c>
      <c r="CJ31" s="470">
        <f>Commercial!CJ80</f>
        <v>139.43893444444447</v>
      </c>
      <c r="CK31" s="566">
        <f>Commercial!CK80</f>
        <v>141.6119503164557</v>
      </c>
      <c r="CL31" s="470">
        <f>Commercial!CL80</f>
        <v>142.09760512068968</v>
      </c>
      <c r="CM31" s="470">
        <f>Commercial!CM80</f>
        <v>142.86956664285717</v>
      </c>
      <c r="CN31" s="470">
        <f>Commercial!CN80</f>
        <v>144.72511811538465</v>
      </c>
      <c r="CO31" s="470">
        <f>Commercial!CO80</f>
        <v>138.74030775</v>
      </c>
      <c r="CP31" s="566">
        <f>Commercial!CP80</f>
        <v>142.59066568867928</v>
      </c>
      <c r="CQ31" s="470">
        <f>Commercial!CQ80</f>
        <v>145.06638080000002</v>
      </c>
      <c r="CR31" s="470">
        <f>Commercial!CR80</f>
        <v>136.82198400000001</v>
      </c>
      <c r="CS31" s="470">
        <f>Commercial!CS80</f>
        <v>142.59066568867928</v>
      </c>
      <c r="CT31" s="470">
        <f>Commercial!CT80</f>
        <v>142.59066568867928</v>
      </c>
      <c r="CU31" s="566">
        <f>Commercial!CU80</f>
        <v>137.99975497142859</v>
      </c>
      <c r="CV31" s="470">
        <f>Commercial!CV80</f>
        <v>147.23399173102001</v>
      </c>
      <c r="CW31" s="470">
        <f>Commercial!CW80</f>
        <v>147.23399173102001</v>
      </c>
      <c r="CX31" s="470">
        <f>Commercial!CX80</f>
        <v>144.08662386478892</v>
      </c>
      <c r="CY31" s="470">
        <f>Commercial!CY80</f>
        <v>138.57124428927045</v>
      </c>
      <c r="CZ31" s="566">
        <f>Commercial!CZ80</f>
        <v>140.17248352087259</v>
      </c>
      <c r="DA31" s="470">
        <f>Commercial!DA80</f>
        <v>142.45822465765062</v>
      </c>
      <c r="DB31" s="470">
        <f>Commercial!DB80</f>
        <v>143.37251014292221</v>
      </c>
      <c r="DC31" s="470">
        <f>Commercial!DC80</f>
        <v>152.61385039591542</v>
      </c>
      <c r="DD31" s="470">
        <f>Commercial!DD80</f>
        <v>151.80834859733537</v>
      </c>
      <c r="DE31" s="566">
        <f>Commercial!DE80</f>
        <v>148.29788834731107</v>
      </c>
      <c r="DF31" s="470">
        <f>Commercial!DF80</f>
        <v>149.1104339193989</v>
      </c>
      <c r="DG31" s="470">
        <f>Commercial!DG80</f>
        <v>154.50081294258911</v>
      </c>
      <c r="DH31" s="470">
        <f>Commercial!DH80</f>
        <v>153.6693144960964</v>
      </c>
      <c r="DI31" s="470">
        <f>Commercial!DI80</f>
        <v>153.84895315373822</v>
      </c>
      <c r="DJ31" s="566">
        <f>Commercial!DJ80</f>
        <v>152.70681681739043</v>
      </c>
      <c r="DK31" s="470">
        <f>Commercial!DK80</f>
        <v>146.20925162671162</v>
      </c>
      <c r="DL31" s="470">
        <f>Commercial!DL80</f>
        <v>151.03780781431865</v>
      </c>
      <c r="DM31" s="470">
        <f>Commercial!DM80</f>
        <v>148.24409696835093</v>
      </c>
      <c r="DN31" s="470">
        <f>Commercial!DN80</f>
        <v>152.32794697975277</v>
      </c>
      <c r="DO31" s="566">
        <f>Commercial!DO80</f>
        <v>149.95841539073461</v>
      </c>
      <c r="DP31" s="470">
        <f>Commercial!DP80</f>
        <v>153</v>
      </c>
      <c r="DQ31" s="740">
        <f>Commercial!DQ80</f>
        <v>149.6</v>
      </c>
      <c r="DR31" s="740">
        <f>Commercial!DR80</f>
        <v>152.46153846153845</v>
      </c>
      <c r="DS31" s="740">
        <f>Commercial!DS80</f>
        <v>151.08125000000001</v>
      </c>
      <c r="DT31" s="485">
        <f>Commercial!DT80</f>
        <v>151.36326530612246</v>
      </c>
      <c r="DU31" s="740">
        <f>Commercial!DU80</f>
        <v>154.69166666666666</v>
      </c>
      <c r="DV31" s="740">
        <f>Commercial!DV80</f>
        <v>156.73333333333332</v>
      </c>
      <c r="DW31" s="740">
        <f>Commercial!DW80</f>
        <v>157.11764705882354</v>
      </c>
      <c r="DX31" s="740">
        <f>Commercial!DX80</f>
        <v>155.83589743589744</v>
      </c>
      <c r="DY31" s="485">
        <f>Commercial!DY80</f>
        <v>156.1748031496063</v>
      </c>
      <c r="DZ31" s="485">
        <f>Commercial!DZ80</f>
        <v>159.43661971830986</v>
      </c>
      <c r="EA31" s="485">
        <f>Commercial!EA80</f>
        <v>161.15151515151516</v>
      </c>
      <c r="EB31" s="485">
        <f>Commercial!EB80</f>
        <v>163.34285714285716</v>
      </c>
    </row>
    <row r="32" spans="1:132" s="424" customFormat="1">
      <c r="A32" s="68"/>
      <c r="B32" s="98" t="s">
        <v>191</v>
      </c>
      <c r="C32" s="67"/>
      <c r="D32" s="67"/>
      <c r="E32" s="67"/>
      <c r="F32" s="67"/>
      <c r="G32" s="67"/>
      <c r="H32" s="67"/>
      <c r="I32" s="454"/>
      <c r="J32" s="265"/>
      <c r="K32" s="98"/>
      <c r="L32" s="98"/>
      <c r="M32" s="98"/>
      <c r="N32" s="67"/>
      <c r="O32" s="98"/>
      <c r="P32" s="98"/>
      <c r="Q32" s="98"/>
      <c r="R32" s="98"/>
      <c r="S32" s="67"/>
      <c r="T32" s="98"/>
      <c r="U32" s="98"/>
      <c r="V32" s="98"/>
      <c r="W32" s="98"/>
      <c r="X32" s="67"/>
      <c r="Y32" s="98"/>
      <c r="Z32" s="98"/>
      <c r="AA32" s="98"/>
      <c r="AB32" s="98"/>
      <c r="AC32" s="67"/>
      <c r="AD32" s="98"/>
      <c r="AE32" s="98"/>
      <c r="AF32" s="98"/>
      <c r="AG32" s="98"/>
      <c r="AH32" s="67"/>
      <c r="AI32" s="98"/>
      <c r="AJ32" s="98"/>
      <c r="AK32" s="98"/>
      <c r="AL32" s="98"/>
      <c r="AM32" s="67"/>
      <c r="AN32" s="98"/>
      <c r="AO32" s="98"/>
      <c r="AP32" s="98"/>
      <c r="AQ32" s="98"/>
      <c r="AR32" s="67"/>
      <c r="AS32" s="98">
        <f t="shared" ref="AS32:BS32" si="75">AS31*AS30</f>
        <v>0</v>
      </c>
      <c r="AT32" s="98">
        <f t="shared" si="75"/>
        <v>0</v>
      </c>
      <c r="AU32" s="98">
        <f t="shared" si="75"/>
        <v>100</v>
      </c>
      <c r="AV32" s="98">
        <f t="shared" si="75"/>
        <v>200</v>
      </c>
      <c r="AW32" s="67">
        <f t="shared" si="75"/>
        <v>300</v>
      </c>
      <c r="AX32" s="98">
        <f t="shared" si="75"/>
        <v>505</v>
      </c>
      <c r="AY32" s="98">
        <f t="shared" si="75"/>
        <v>606</v>
      </c>
      <c r="AZ32" s="98">
        <f t="shared" si="75"/>
        <v>1212</v>
      </c>
      <c r="BA32" s="98">
        <f t="shared" si="75"/>
        <v>2323</v>
      </c>
      <c r="BB32" s="120">
        <f t="shared" si="75"/>
        <v>4646</v>
      </c>
      <c r="BC32" s="98">
        <f t="shared" si="75"/>
        <v>101</v>
      </c>
      <c r="BD32" s="98">
        <f t="shared" si="75"/>
        <v>1616</v>
      </c>
      <c r="BE32" s="98">
        <f t="shared" si="75"/>
        <v>2323</v>
      </c>
      <c r="BF32" s="98">
        <f t="shared" si="75"/>
        <v>2525</v>
      </c>
      <c r="BG32" s="120">
        <f t="shared" si="75"/>
        <v>6630</v>
      </c>
      <c r="BH32" s="98">
        <f t="shared" si="75"/>
        <v>1768.2300000000002</v>
      </c>
      <c r="BI32" s="98">
        <f t="shared" si="75"/>
        <v>2977.3650000000007</v>
      </c>
      <c r="BJ32" s="98">
        <f t="shared" si="75"/>
        <v>3166.5450000000001</v>
      </c>
      <c r="BK32" s="98">
        <f t="shared" si="75"/>
        <v>3589.8</v>
      </c>
      <c r="BL32" s="120">
        <f t="shared" si="75"/>
        <v>11501.940000000002</v>
      </c>
      <c r="BM32" s="98">
        <f t="shared" ref="BM32:BP32" si="76">BM31*BM30</f>
        <v>3344.3999999999996</v>
      </c>
      <c r="BN32" s="98">
        <f t="shared" ref="BN32" si="77">BN31*BN30</f>
        <v>3873.6000000000004</v>
      </c>
      <c r="BO32" s="98">
        <f t="shared" si="76"/>
        <v>4364.1899999999996</v>
      </c>
      <c r="BP32" s="98">
        <f t="shared" si="76"/>
        <v>4060.98</v>
      </c>
      <c r="BQ32" s="120">
        <f t="shared" si="75"/>
        <v>15643.169999999998</v>
      </c>
      <c r="BR32" s="98">
        <f t="shared" si="75"/>
        <v>3747.9300000000003</v>
      </c>
      <c r="BS32" s="437">
        <f t="shared" si="75"/>
        <v>4622.1050000000005</v>
      </c>
      <c r="BT32" s="437">
        <f>BT31*BT30</f>
        <v>4431.1950000000006</v>
      </c>
      <c r="BU32" s="437">
        <f>BU31*BU30</f>
        <v>4034.2950000000001</v>
      </c>
      <c r="BV32" s="120">
        <f t="shared" ref="BV32:BZ32" si="78">BV31*BV30</f>
        <v>16835.525000000001</v>
      </c>
      <c r="BW32" s="437">
        <f t="shared" si="78"/>
        <v>4025.0999999999995</v>
      </c>
      <c r="BX32" s="437">
        <f t="shared" ref="BX32" si="79">BX31*BX30</f>
        <v>4160.2999999999993</v>
      </c>
      <c r="BY32" s="437">
        <f t="shared" si="78"/>
        <v>4506.0249999999996</v>
      </c>
      <c r="BZ32" s="437">
        <f t="shared" si="78"/>
        <v>4716.5499999999993</v>
      </c>
      <c r="CA32" s="120">
        <f t="shared" ref="CA32:CB32" si="80">CA31*CA30</f>
        <v>17407.974999999999</v>
      </c>
      <c r="CB32" s="437">
        <f t="shared" si="80"/>
        <v>4801.1550000000007</v>
      </c>
      <c r="CC32" s="437">
        <f t="shared" ref="CC32:CD32" si="81">CC31*CC30</f>
        <v>5284.5750000000007</v>
      </c>
      <c r="CD32" s="437">
        <f t="shared" si="81"/>
        <v>4606.3999999999996</v>
      </c>
      <c r="CE32" s="437">
        <f t="shared" ref="CE32" si="82">CE31*CE30</f>
        <v>5481.1949999999997</v>
      </c>
      <c r="CF32" s="120">
        <f>CF31*CF30</f>
        <v>20173.325000000001</v>
      </c>
      <c r="CG32" s="437">
        <f t="shared" ref="CG32:CI32" si="83">CG31*CG30</f>
        <v>5110.8392999999996</v>
      </c>
      <c r="CH32" s="437">
        <f t="shared" si="83"/>
        <v>6052.9789500000006</v>
      </c>
      <c r="CI32" s="437">
        <f t="shared" si="83"/>
        <v>4936.1178500000005</v>
      </c>
      <c r="CJ32" s="437">
        <f t="shared" ref="CJ32" si="84">CJ31*CJ30</f>
        <v>6274.752050000001</v>
      </c>
      <c r="CK32" s="120">
        <f>CK31*CK30</f>
        <v>22374.688150000002</v>
      </c>
      <c r="CL32" s="98">
        <f t="shared" ref="CL32:CM32" si="85">CL31*CL30</f>
        <v>4120.830548500001</v>
      </c>
      <c r="CM32" s="437">
        <f t="shared" si="85"/>
        <v>1000.0869665000001</v>
      </c>
      <c r="CN32" s="437">
        <f t="shared" ref="CN32:CO32" si="86">CN31*CN30</f>
        <v>1881.4265355000005</v>
      </c>
      <c r="CO32" s="437">
        <f t="shared" si="86"/>
        <v>554.961231</v>
      </c>
      <c r="CP32" s="120">
        <f>CP31*CP30</f>
        <v>7557.3052815000019</v>
      </c>
      <c r="CQ32" s="437">
        <f t="shared" ref="CQ32" si="87">CQ31*CQ30</f>
        <v>290.13276160000004</v>
      </c>
      <c r="CR32" s="437">
        <f t="shared" ref="CR32" si="88">CR31*CR30</f>
        <v>1641.8638080000001</v>
      </c>
      <c r="CS32" s="98"/>
      <c r="CT32" s="98"/>
      <c r="CU32" s="120">
        <f>CU31*CU30</f>
        <v>1931.9965696000002</v>
      </c>
      <c r="CV32" s="437">
        <f t="shared" ref="CV32:CW32" si="89">CV31*CV30</f>
        <v>0</v>
      </c>
      <c r="CW32" s="437">
        <f t="shared" si="89"/>
        <v>0</v>
      </c>
      <c r="CX32" s="437">
        <f t="shared" ref="CX32:CY32" si="90">CX31*CX30</f>
        <v>1296.7796147831002</v>
      </c>
      <c r="CY32" s="437">
        <f t="shared" si="90"/>
        <v>3048.56737436395</v>
      </c>
      <c r="CZ32" s="120">
        <f>CZ31*CZ30</f>
        <v>4345.3469891470504</v>
      </c>
      <c r="DA32" s="98">
        <f t="shared" ref="DA32:DD32" si="91">DA31*DA30</f>
        <v>1567.0404712341567</v>
      </c>
      <c r="DB32" s="98">
        <f t="shared" si="91"/>
        <v>2867.4502028584443</v>
      </c>
      <c r="DC32" s="437">
        <f t="shared" si="91"/>
        <v>2899.6631575223928</v>
      </c>
      <c r="DD32" s="437">
        <f t="shared" si="91"/>
        <v>3491.5920177387134</v>
      </c>
      <c r="DE32" s="120">
        <f>DE31*DE30</f>
        <v>10825.745849353709</v>
      </c>
      <c r="DF32" s="437">
        <f t="shared" ref="DF32:DI32" si="92">DF31*DF30</f>
        <v>1938.4356409521856</v>
      </c>
      <c r="DG32" s="437">
        <f t="shared" si="92"/>
        <v>1390.507316483302</v>
      </c>
      <c r="DH32" s="437">
        <f t="shared" si="92"/>
        <v>2151.3704029453497</v>
      </c>
      <c r="DI32" s="437">
        <f t="shared" si="92"/>
        <v>2307.7342973060731</v>
      </c>
      <c r="DJ32" s="120">
        <f t="shared" ref="DJ32:DN32" si="93">DJ31*DJ30</f>
        <v>7788.0476576869123</v>
      </c>
      <c r="DK32" s="437">
        <f t="shared" si="93"/>
        <v>1900.720271147251</v>
      </c>
      <c r="DL32" s="437">
        <f t="shared" si="93"/>
        <v>3624.9073875436479</v>
      </c>
      <c r="DM32" s="437">
        <f t="shared" ref="DM32" si="94">DM31*DM30</f>
        <v>3557.8583272404221</v>
      </c>
      <c r="DN32" s="437">
        <f t="shared" si="93"/>
        <v>4112.8545684533246</v>
      </c>
      <c r="DO32" s="120">
        <f t="shared" ref="DO32:DS32" si="95">DO31*DO30</f>
        <v>13196.340554384646</v>
      </c>
      <c r="DP32" s="437">
        <f t="shared" si="95"/>
        <v>2295</v>
      </c>
      <c r="DQ32" s="98">
        <f t="shared" si="95"/>
        <v>3740</v>
      </c>
      <c r="DR32" s="98">
        <f t="shared" si="95"/>
        <v>3964</v>
      </c>
      <c r="DS32" s="98">
        <f t="shared" si="95"/>
        <v>4834.6000000000004</v>
      </c>
      <c r="DT32" s="67">
        <f t="shared" ref="DT32:DX32" si="96">DT31*DT30</f>
        <v>14833.6</v>
      </c>
      <c r="DU32" s="98">
        <f t="shared" si="96"/>
        <v>3712.6</v>
      </c>
      <c r="DV32" s="98">
        <f t="shared" si="96"/>
        <v>4702</v>
      </c>
      <c r="DW32" s="98">
        <f t="shared" si="96"/>
        <v>5342</v>
      </c>
      <c r="DX32" s="98">
        <f t="shared" si="96"/>
        <v>6077.6</v>
      </c>
      <c r="DY32" s="67">
        <f t="shared" ref="DY32" si="97">DY31*DY30</f>
        <v>19834.2</v>
      </c>
      <c r="DZ32" s="67">
        <f t="shared" ref="DZ32:EB32" si="98">DZ31*DZ30</f>
        <v>22640</v>
      </c>
      <c r="EA32" s="67">
        <f t="shared" si="98"/>
        <v>26590</v>
      </c>
      <c r="EB32" s="67">
        <f t="shared" si="98"/>
        <v>28585.000000000004</v>
      </c>
    </row>
    <row r="33" spans="1:132" s="424" customFormat="1">
      <c r="A33" s="68"/>
      <c r="B33" s="427" t="s">
        <v>369</v>
      </c>
      <c r="C33" s="426"/>
      <c r="D33" s="426"/>
      <c r="E33" s="426"/>
      <c r="F33" s="426"/>
      <c r="G33" s="426"/>
      <c r="H33" s="426"/>
      <c r="I33" s="452"/>
      <c r="J33" s="498"/>
      <c r="K33" s="427"/>
      <c r="L33" s="427"/>
      <c r="M33" s="427"/>
      <c r="N33" s="426"/>
      <c r="O33" s="427"/>
      <c r="P33" s="427"/>
      <c r="Q33" s="427"/>
      <c r="R33" s="427"/>
      <c r="S33" s="426"/>
      <c r="T33" s="427"/>
      <c r="U33" s="427"/>
      <c r="V33" s="427"/>
      <c r="W33" s="427"/>
      <c r="X33" s="426"/>
      <c r="Y33" s="427"/>
      <c r="Z33" s="427"/>
      <c r="AA33" s="427"/>
      <c r="AB33" s="427"/>
      <c r="AC33" s="426"/>
      <c r="AD33" s="427"/>
      <c r="AE33" s="427"/>
      <c r="AF33" s="427"/>
      <c r="AG33" s="427"/>
      <c r="AH33" s="426"/>
      <c r="AI33" s="427"/>
      <c r="AJ33" s="427"/>
      <c r="AK33" s="427"/>
      <c r="AL33" s="427"/>
      <c r="AM33" s="426"/>
      <c r="AN33" s="427"/>
      <c r="AO33" s="427"/>
      <c r="AP33" s="427"/>
      <c r="AQ33" s="427"/>
      <c r="AR33" s="426"/>
      <c r="AS33" s="427"/>
      <c r="AT33" s="427"/>
      <c r="AU33" s="427">
        <v>0.01</v>
      </c>
      <c r="AV33" s="427">
        <v>0.01</v>
      </c>
      <c r="AW33" s="426">
        <f>AW34/AW32</f>
        <v>0.01</v>
      </c>
      <c r="AX33" s="427"/>
      <c r="AY33" s="427"/>
      <c r="AZ33" s="427"/>
      <c r="BA33" s="427"/>
      <c r="BB33" s="136">
        <v>5.0000000000000001E-3</v>
      </c>
      <c r="BC33" s="427"/>
      <c r="BD33" s="427"/>
      <c r="BE33" s="427"/>
      <c r="BF33" s="427"/>
      <c r="BG33" s="136">
        <v>0.01</v>
      </c>
      <c r="BH33" s="427"/>
      <c r="BI33" s="427"/>
      <c r="BJ33" s="427"/>
      <c r="BK33" s="427"/>
      <c r="BL33" s="136">
        <v>0.01</v>
      </c>
      <c r="BM33" s="427"/>
      <c r="BN33" s="427"/>
      <c r="BO33" s="427"/>
      <c r="BP33" s="427"/>
      <c r="BQ33" s="136">
        <v>0.01</v>
      </c>
      <c r="BR33" s="427"/>
      <c r="BS33" s="295"/>
      <c r="BT33" s="427"/>
      <c r="BU33" s="427"/>
      <c r="BV33" s="136">
        <v>1.7000000000000001E-2</v>
      </c>
      <c r="BW33" s="749"/>
      <c r="BX33" s="427"/>
      <c r="BY33" s="295"/>
      <c r="BZ33" s="295"/>
      <c r="CA33" s="136">
        <v>0.03</v>
      </c>
      <c r="CB33" s="295"/>
      <c r="CC33" s="295"/>
      <c r="CD33" s="295"/>
      <c r="CE33" s="295"/>
      <c r="CF33" s="136">
        <v>0.09</v>
      </c>
      <c r="CG33" s="295"/>
      <c r="CH33" s="295"/>
      <c r="CI33" s="295"/>
      <c r="CJ33" s="427"/>
      <c r="CK33" s="136">
        <v>0.12</v>
      </c>
      <c r="CL33" s="427"/>
      <c r="CM33" s="295"/>
      <c r="CN33" s="295"/>
      <c r="CO33" s="295"/>
      <c r="CP33" s="136">
        <v>0.08</v>
      </c>
      <c r="CQ33" s="295"/>
      <c r="CR33" s="295"/>
      <c r="CS33" s="427"/>
      <c r="CT33" s="427"/>
      <c r="CU33" s="136">
        <v>0</v>
      </c>
      <c r="CV33" s="295"/>
      <c r="CW33" s="295"/>
      <c r="CX33" s="295"/>
      <c r="CY33" s="295"/>
      <c r="CZ33" s="136">
        <v>0</v>
      </c>
      <c r="DA33" s="427"/>
      <c r="DB33" s="427"/>
      <c r="DC33" s="295"/>
      <c r="DD33" s="295"/>
      <c r="DE33" s="136">
        <v>0.01</v>
      </c>
      <c r="DF33" s="295"/>
      <c r="DG33" s="295"/>
      <c r="DH33" s="295"/>
      <c r="DI33" s="295"/>
      <c r="DJ33" s="136">
        <v>0.02</v>
      </c>
      <c r="DK33" s="295"/>
      <c r="DL33" s="295"/>
      <c r="DM33" s="295"/>
      <c r="DN33" s="295"/>
      <c r="DO33" s="136">
        <v>0.03</v>
      </c>
      <c r="DP33" s="295"/>
      <c r="DQ33" s="427"/>
      <c r="DR33" s="427"/>
      <c r="DS33" s="427"/>
      <c r="DT33" s="1090">
        <v>7.0000000000000007E-2</v>
      </c>
      <c r="DU33" s="427"/>
      <c r="DV33" s="427"/>
      <c r="DW33" s="427"/>
      <c r="DX33" s="427"/>
      <c r="DY33" s="1090">
        <v>0.08</v>
      </c>
      <c r="DZ33" s="1090">
        <v>0.1</v>
      </c>
      <c r="EA33" s="1090">
        <v>0.15</v>
      </c>
      <c r="EB33" s="1090">
        <v>0.2</v>
      </c>
    </row>
    <row r="34" spans="1:132" s="424" customFormat="1">
      <c r="A34" s="68"/>
      <c r="B34" s="427" t="s">
        <v>370</v>
      </c>
      <c r="C34" s="67"/>
      <c r="D34" s="67"/>
      <c r="E34" s="67"/>
      <c r="F34" s="67"/>
      <c r="G34" s="67"/>
      <c r="H34" s="67"/>
      <c r="I34" s="454"/>
      <c r="J34" s="265"/>
      <c r="K34" s="98"/>
      <c r="L34" s="98"/>
      <c r="M34" s="98"/>
      <c r="N34" s="67"/>
      <c r="O34" s="98"/>
      <c r="P34" s="98"/>
      <c r="Q34" s="98"/>
      <c r="R34" s="98"/>
      <c r="S34" s="67"/>
      <c r="T34" s="98"/>
      <c r="U34" s="98"/>
      <c r="V34" s="98"/>
      <c r="W34" s="98"/>
      <c r="X34" s="67"/>
      <c r="Y34" s="98"/>
      <c r="Z34" s="98"/>
      <c r="AA34" s="98"/>
      <c r="AB34" s="98"/>
      <c r="AC34" s="67"/>
      <c r="AD34" s="98"/>
      <c r="AE34" s="98"/>
      <c r="AF34" s="98"/>
      <c r="AG34" s="98"/>
      <c r="AH34" s="67"/>
      <c r="AI34" s="98"/>
      <c r="AJ34" s="98"/>
      <c r="AK34" s="98"/>
      <c r="AL34" s="98"/>
      <c r="AM34" s="67"/>
      <c r="AN34" s="98"/>
      <c r="AO34" s="98"/>
      <c r="AP34" s="98"/>
      <c r="AQ34" s="98"/>
      <c r="AR34" s="67"/>
      <c r="AS34" s="98">
        <f>AS32*AS33</f>
        <v>0</v>
      </c>
      <c r="AT34" s="98">
        <f>AT32*AT33</f>
        <v>0</v>
      </c>
      <c r="AU34" s="98">
        <f>AU32*AU33</f>
        <v>1</v>
      </c>
      <c r="AV34" s="98">
        <f>AV32*AV33</f>
        <v>2</v>
      </c>
      <c r="AW34" s="67">
        <f>SUM(AS34:AV34)</f>
        <v>3</v>
      </c>
      <c r="AX34" s="98"/>
      <c r="AY34" s="98"/>
      <c r="AZ34" s="98"/>
      <c r="BA34" s="98"/>
      <c r="BB34" s="120">
        <f>BB32*BB33</f>
        <v>23.23</v>
      </c>
      <c r="BC34" s="98"/>
      <c r="BD34" s="98"/>
      <c r="BE34" s="98"/>
      <c r="BF34" s="98"/>
      <c r="BG34" s="120">
        <f>BG32*BG33</f>
        <v>66.3</v>
      </c>
      <c r="BH34" s="98"/>
      <c r="BI34" s="98"/>
      <c r="BJ34" s="98"/>
      <c r="BK34" s="98"/>
      <c r="BL34" s="120">
        <f>BL32*BL33</f>
        <v>115.01940000000002</v>
      </c>
      <c r="BM34" s="98"/>
      <c r="BN34" s="98"/>
      <c r="BO34" s="98"/>
      <c r="BP34" s="98"/>
      <c r="BQ34" s="120">
        <f>BQ32*BQ33</f>
        <v>156.43169999999998</v>
      </c>
      <c r="BR34" s="98"/>
      <c r="BS34" s="437"/>
      <c r="BT34" s="98"/>
      <c r="BU34" s="98"/>
      <c r="BV34" s="120">
        <f>BV32*BV33</f>
        <v>286.20392500000003</v>
      </c>
      <c r="BW34" s="437"/>
      <c r="BX34" s="437"/>
      <c r="BY34" s="437"/>
      <c r="BZ34" s="437"/>
      <c r="CA34" s="120">
        <f>CA32*CA33</f>
        <v>522.23924999999997</v>
      </c>
      <c r="CB34" s="437"/>
      <c r="CC34" s="437"/>
      <c r="CD34" s="437"/>
      <c r="CE34" s="437"/>
      <c r="CF34" s="120">
        <f>CF32*CF33</f>
        <v>1815.59925</v>
      </c>
      <c r="CG34" s="437"/>
      <c r="CH34" s="437"/>
      <c r="CI34" s="437"/>
      <c r="CJ34" s="98"/>
      <c r="CK34" s="120">
        <f>CK32*CK33</f>
        <v>2684.9625780000001</v>
      </c>
      <c r="CL34" s="98"/>
      <c r="CM34" s="437"/>
      <c r="CN34" s="437"/>
      <c r="CO34" s="437"/>
      <c r="CP34" s="120">
        <f>CP32*CP33</f>
        <v>604.5844225200002</v>
      </c>
      <c r="CQ34" s="437"/>
      <c r="CR34" s="437"/>
      <c r="CS34" s="98"/>
      <c r="CT34" s="98"/>
      <c r="CU34" s="120">
        <f>CU32*CU33</f>
        <v>0</v>
      </c>
      <c r="CV34" s="437"/>
      <c r="CW34" s="437"/>
      <c r="CX34" s="437"/>
      <c r="CY34" s="437"/>
      <c r="CZ34" s="120">
        <f>CZ32*CZ33</f>
        <v>0</v>
      </c>
      <c r="DA34" s="98"/>
      <c r="DB34" s="98"/>
      <c r="DC34" s="437"/>
      <c r="DD34" s="437"/>
      <c r="DE34" s="120">
        <f>DE32*DE33</f>
        <v>108.25745849353709</v>
      </c>
      <c r="DF34" s="437"/>
      <c r="DG34" s="437"/>
      <c r="DH34" s="437"/>
      <c r="DI34" s="437"/>
      <c r="DJ34" s="120">
        <f t="shared" ref="DJ34" si="99">DJ32*DJ33</f>
        <v>155.76095315373826</v>
      </c>
      <c r="DK34" s="437"/>
      <c r="DL34" s="437"/>
      <c r="DM34" s="437"/>
      <c r="DN34" s="437"/>
      <c r="DO34" s="120">
        <f t="shared" ref="DO34" si="100">DO32*DO33</f>
        <v>395.89021663153937</v>
      </c>
      <c r="DP34" s="437"/>
      <c r="DQ34" s="98"/>
      <c r="DR34" s="98"/>
      <c r="DS34" s="98"/>
      <c r="DT34" s="67">
        <f t="shared" ref="DT34" si="101">DT32*DT33</f>
        <v>1038.3520000000001</v>
      </c>
      <c r="DU34" s="98"/>
      <c r="DV34" s="98"/>
      <c r="DW34" s="98"/>
      <c r="DX34" s="98"/>
      <c r="DY34" s="67">
        <f t="shared" ref="DY34" si="102">DY32*DY33</f>
        <v>1586.7360000000001</v>
      </c>
      <c r="DZ34" s="67">
        <f t="shared" ref="DZ34:EB34" si="103">DZ32*DZ33</f>
        <v>2264</v>
      </c>
      <c r="EA34" s="67">
        <f t="shared" si="103"/>
        <v>3988.5</v>
      </c>
      <c r="EB34" s="67">
        <f t="shared" si="103"/>
        <v>5717.0000000000009</v>
      </c>
    </row>
    <row r="35" spans="1:132" s="424" customFormat="1" ht="7.5" customHeight="1">
      <c r="A35" s="68"/>
      <c r="B35" s="98"/>
      <c r="C35" s="425"/>
      <c r="D35" s="425"/>
      <c r="E35" s="425"/>
      <c r="F35" s="425"/>
      <c r="G35" s="425"/>
      <c r="H35" s="425"/>
      <c r="I35" s="490"/>
      <c r="J35" s="499"/>
      <c r="N35" s="425"/>
      <c r="S35" s="425"/>
      <c r="X35" s="425"/>
      <c r="AC35" s="425"/>
      <c r="AH35" s="425"/>
      <c r="AM35" s="425"/>
      <c r="AR35" s="425"/>
      <c r="AW35" s="425"/>
      <c r="BB35" s="585"/>
      <c r="BG35" s="585"/>
      <c r="BL35" s="585"/>
      <c r="BQ35" s="425"/>
      <c r="BS35" s="439"/>
      <c r="BV35" s="585"/>
      <c r="BW35" s="439"/>
      <c r="BY35" s="439"/>
      <c r="BZ35" s="439"/>
      <c r="CA35" s="585"/>
      <c r="CB35" s="439"/>
      <c r="CC35" s="439"/>
      <c r="CD35" s="439"/>
      <c r="CE35" s="439"/>
      <c r="CF35" s="585"/>
      <c r="CG35" s="439"/>
      <c r="CH35" s="439"/>
      <c r="CI35" s="439"/>
      <c r="CK35" s="585"/>
      <c r="CM35" s="439"/>
      <c r="CN35" s="439"/>
      <c r="CO35" s="439"/>
      <c r="CP35" s="585"/>
      <c r="CQ35" s="439"/>
      <c r="CR35" s="439"/>
      <c r="CU35" s="585"/>
      <c r="CV35" s="439"/>
      <c r="CW35" s="439"/>
      <c r="CX35" s="439"/>
      <c r="CY35" s="439"/>
      <c r="CZ35" s="585"/>
      <c r="DC35" s="439"/>
      <c r="DD35" s="439"/>
      <c r="DE35" s="585"/>
      <c r="DF35" s="439"/>
      <c r="DG35" s="439"/>
      <c r="DH35" s="439"/>
      <c r="DI35" s="439"/>
      <c r="DJ35" s="585"/>
      <c r="DK35" s="439"/>
      <c r="DL35" s="439"/>
      <c r="DM35" s="439"/>
      <c r="DN35" s="439"/>
      <c r="DO35" s="585"/>
      <c r="DP35" s="439"/>
      <c r="DT35" s="425"/>
      <c r="DY35" s="425"/>
      <c r="DZ35" s="425"/>
      <c r="EA35" s="425"/>
      <c r="EB35" s="425"/>
    </row>
    <row r="36" spans="1:132" s="424" customFormat="1">
      <c r="A36" s="68"/>
      <c r="B36" s="432" t="s">
        <v>207</v>
      </c>
      <c r="C36" s="43">
        <v>41</v>
      </c>
      <c r="D36" s="43">
        <v>47</v>
      </c>
      <c r="E36" s="43">
        <v>44</v>
      </c>
      <c r="F36" s="43">
        <v>44</v>
      </c>
      <c r="G36" s="43">
        <v>40</v>
      </c>
      <c r="H36" s="43">
        <v>35</v>
      </c>
      <c r="I36" s="488">
        <v>24</v>
      </c>
      <c r="J36" s="496">
        <v>1</v>
      </c>
      <c r="K36" s="432">
        <v>3</v>
      </c>
      <c r="L36" s="432">
        <v>2</v>
      </c>
      <c r="M36" s="432">
        <v>3</v>
      </c>
      <c r="N36" s="43">
        <f>+M36+L36+K36+J36</f>
        <v>9</v>
      </c>
      <c r="O36" s="432">
        <v>1</v>
      </c>
      <c r="P36" s="432">
        <v>4</v>
      </c>
      <c r="Q36" s="432">
        <f>2+3*0</f>
        <v>2</v>
      </c>
      <c r="R36" s="432">
        <v>3</v>
      </c>
      <c r="S36" s="43">
        <f>+R36+Q36+P36+O36</f>
        <v>10</v>
      </c>
      <c r="T36" s="432">
        <v>3</v>
      </c>
      <c r="U36" s="432">
        <v>3</v>
      </c>
      <c r="V36" s="432">
        <v>3</v>
      </c>
      <c r="W36" s="432">
        <v>3</v>
      </c>
      <c r="X36" s="43">
        <v>12</v>
      </c>
      <c r="Y36" s="432">
        <v>3</v>
      </c>
      <c r="Z36" s="432">
        <v>3</v>
      </c>
      <c r="AA36" s="432">
        <v>3</v>
      </c>
      <c r="AB36" s="432">
        <v>3</v>
      </c>
      <c r="AC36" s="43">
        <f>SUM(Y36:AB36)</f>
        <v>12</v>
      </c>
      <c r="AD36" s="432">
        <v>3</v>
      </c>
      <c r="AE36" s="432">
        <v>3</v>
      </c>
      <c r="AF36" s="432">
        <v>2</v>
      </c>
      <c r="AG36" s="432">
        <v>2</v>
      </c>
      <c r="AH36" s="43">
        <f>SUM(AD36:AG36)</f>
        <v>10</v>
      </c>
      <c r="AI36" s="432">
        <v>3</v>
      </c>
      <c r="AJ36" s="432">
        <v>3</v>
      </c>
      <c r="AK36" s="432">
        <v>4</v>
      </c>
      <c r="AL36" s="432">
        <v>3</v>
      </c>
      <c r="AM36" s="43">
        <f>SUM(AI36:AL36)</f>
        <v>13</v>
      </c>
      <c r="AN36" s="432">
        <v>3</v>
      </c>
      <c r="AO36" s="432">
        <v>3</v>
      </c>
      <c r="AP36" s="432">
        <f>Commercial!AP52</f>
        <v>3</v>
      </c>
      <c r="AQ36" s="432">
        <f>Commercial!AQ52</f>
        <v>3</v>
      </c>
      <c r="AR36" s="43">
        <f>Commercial!AR52</f>
        <v>12</v>
      </c>
      <c r="AS36" s="432">
        <f>Commercial!AS52</f>
        <v>4</v>
      </c>
      <c r="AT36" s="432">
        <f>Commercial!AT52</f>
        <v>5</v>
      </c>
      <c r="AU36" s="432">
        <f>Commercial!AU52</f>
        <v>5</v>
      </c>
      <c r="AV36" s="432">
        <f>Commercial!AV52</f>
        <v>6</v>
      </c>
      <c r="AW36" s="43">
        <f>Commercial!AW52</f>
        <v>20</v>
      </c>
      <c r="AX36" s="432">
        <f>Commercial!AX52</f>
        <v>7</v>
      </c>
      <c r="AY36" s="432">
        <f>Commercial!AY52</f>
        <v>6</v>
      </c>
      <c r="AZ36" s="432">
        <f>Commercial!AZ52</f>
        <v>7</v>
      </c>
      <c r="BA36" s="432">
        <f>Commercial!BA52</f>
        <v>6</v>
      </c>
      <c r="BB36" s="43">
        <f>Commercial!BB52</f>
        <v>26</v>
      </c>
      <c r="BC36" s="432">
        <f>Commercial!BC52</f>
        <v>4</v>
      </c>
      <c r="BD36" s="432">
        <f>Commercial!BD52</f>
        <v>8</v>
      </c>
      <c r="BE36" s="432">
        <f>Commercial!BE52</f>
        <v>5</v>
      </c>
      <c r="BF36" s="432">
        <f>Commercial!BF52</f>
        <v>4</v>
      </c>
      <c r="BG36" s="43">
        <f>Commercial!BG52</f>
        <v>21</v>
      </c>
      <c r="BH36" s="432">
        <f>Commercial!BH52</f>
        <v>0</v>
      </c>
      <c r="BI36" s="432">
        <f>Commercial!BI52</f>
        <v>1</v>
      </c>
      <c r="BJ36" s="432">
        <f>Commercial!BJ52</f>
        <v>2</v>
      </c>
      <c r="BK36" s="432">
        <f>Commercial!BK52</f>
        <v>3</v>
      </c>
      <c r="BL36" s="43">
        <f>Commercial!BL52</f>
        <v>6</v>
      </c>
      <c r="BM36" s="432">
        <f>Commercial!BM52</f>
        <v>5</v>
      </c>
      <c r="BN36" s="432">
        <f>Commercial!BN52</f>
        <v>4</v>
      </c>
      <c r="BO36" s="432">
        <f>Commercial!BO52</f>
        <v>5</v>
      </c>
      <c r="BP36" s="432">
        <f>Commercial!BP52</f>
        <v>2</v>
      </c>
      <c r="BQ36" s="43">
        <f>Commercial!BQ52</f>
        <v>16</v>
      </c>
      <c r="BR36" s="432">
        <f>Commercial!BR52</f>
        <v>1</v>
      </c>
      <c r="BS36" s="432">
        <f>Commercial!BS52</f>
        <v>4</v>
      </c>
      <c r="BT36" s="432">
        <f>Commercial!BT52</f>
        <v>5</v>
      </c>
      <c r="BU36" s="432">
        <f>Commercial!BU52</f>
        <v>3</v>
      </c>
      <c r="BV36" s="43">
        <f>Commercial!BV52</f>
        <v>13</v>
      </c>
      <c r="BW36" s="432">
        <f>Commercial!BW52</f>
        <v>2</v>
      </c>
      <c r="BX36" s="432">
        <f>Commercial!BX52</f>
        <v>3</v>
      </c>
      <c r="BY36" s="432">
        <f>Commercial!BY52</f>
        <v>2</v>
      </c>
      <c r="BZ36" s="432">
        <f>Commercial!BZ52</f>
        <v>3</v>
      </c>
      <c r="CA36" s="43">
        <f>Commercial!CA52</f>
        <v>10</v>
      </c>
      <c r="CB36" s="432">
        <f>Commercial!CB52</f>
        <v>4</v>
      </c>
      <c r="CC36" s="432">
        <f>Commercial!CC52</f>
        <v>5</v>
      </c>
      <c r="CD36" s="432">
        <f>Commercial!CD52</f>
        <v>4</v>
      </c>
      <c r="CE36" s="432">
        <f>Commercial!CE52</f>
        <v>14</v>
      </c>
      <c r="CF36" s="43">
        <f>Commercial!CF52</f>
        <v>27</v>
      </c>
      <c r="CG36" s="432">
        <f>Commercial!CG52</f>
        <v>12</v>
      </c>
      <c r="CH36" s="432">
        <f>Commercial!CH52</f>
        <v>10</v>
      </c>
      <c r="CI36" s="432">
        <f>Commercial!CI52</f>
        <v>10</v>
      </c>
      <c r="CJ36" s="432">
        <f>Commercial!CJ52</f>
        <v>11</v>
      </c>
      <c r="CK36" s="43">
        <f>Commercial!CK52</f>
        <v>43</v>
      </c>
      <c r="CL36" s="432">
        <f>Commercial!CL52</f>
        <v>10</v>
      </c>
      <c r="CM36" s="432">
        <f>Commercial!CM52</f>
        <v>4</v>
      </c>
      <c r="CN36" s="432">
        <f>Commercial!CN52</f>
        <v>6</v>
      </c>
      <c r="CO36" s="432">
        <f>Commercial!CO52</f>
        <v>10</v>
      </c>
      <c r="CP36" s="43">
        <f>Commercial!CP52</f>
        <v>30</v>
      </c>
      <c r="CQ36" s="432">
        <f>Commercial!CQ52</f>
        <v>5</v>
      </c>
      <c r="CR36" s="432">
        <f>Commercial!CR52</f>
        <v>8</v>
      </c>
      <c r="CS36" s="432">
        <f>Commercial!CS52</f>
        <v>11</v>
      </c>
      <c r="CT36" s="432">
        <f>Commercial!CT52</f>
        <v>8</v>
      </c>
      <c r="CU36" s="43">
        <f>Commercial!CU52</f>
        <v>32</v>
      </c>
      <c r="CV36" s="432">
        <f>Commercial!CV52</f>
        <v>5</v>
      </c>
      <c r="CW36" s="432">
        <f>Commercial!CW52</f>
        <v>7</v>
      </c>
      <c r="CX36" s="432">
        <f>Commercial!CX52</f>
        <v>9</v>
      </c>
      <c r="CY36" s="432">
        <f>Commercial!CY52</f>
        <v>12</v>
      </c>
      <c r="CZ36" s="43">
        <f>Commercial!CZ52</f>
        <v>33</v>
      </c>
      <c r="DA36" s="432">
        <f>Commercial!DA52</f>
        <v>1</v>
      </c>
      <c r="DB36" s="432">
        <f>Commercial!DB52</f>
        <v>8</v>
      </c>
      <c r="DC36" s="432">
        <f>Commercial!DC52</f>
        <v>8</v>
      </c>
      <c r="DD36" s="432">
        <f>Commercial!DD52</f>
        <v>15</v>
      </c>
      <c r="DE36" s="43">
        <f>Commercial!DE52</f>
        <v>32</v>
      </c>
      <c r="DF36" s="432">
        <f>Commercial!DF52</f>
        <v>3</v>
      </c>
      <c r="DG36" s="432">
        <f>Commercial!DG52</f>
        <v>6</v>
      </c>
      <c r="DH36" s="432">
        <f>Commercial!DH52</f>
        <v>6</v>
      </c>
      <c r="DI36" s="432">
        <f>Commercial!DI52</f>
        <v>3</v>
      </c>
      <c r="DJ36" s="43">
        <f>Commercial!DJ52</f>
        <v>18</v>
      </c>
      <c r="DK36" s="432">
        <f>Commercial!DK52</f>
        <v>5</v>
      </c>
      <c r="DL36" s="432">
        <f>Commercial!DL52</f>
        <v>9</v>
      </c>
      <c r="DM36" s="432">
        <f>Commercial!DM52</f>
        <v>6</v>
      </c>
      <c r="DN36" s="432">
        <f>Commercial!DN52</f>
        <v>10</v>
      </c>
      <c r="DO36" s="43">
        <f>Commercial!DO52</f>
        <v>30</v>
      </c>
      <c r="DP36" s="432">
        <f>Commercial!DP52</f>
        <v>6</v>
      </c>
      <c r="DQ36" s="739">
        <f>Commercial!DQ52</f>
        <v>10</v>
      </c>
      <c r="DR36" s="739">
        <f>Commercial!DR52</f>
        <v>5</v>
      </c>
      <c r="DS36" s="739">
        <f>Commercial!DS52</f>
        <v>7</v>
      </c>
      <c r="DT36" s="484">
        <f>Commercial!DT52</f>
        <v>28</v>
      </c>
      <c r="DU36" s="739">
        <f>Commercial!DU52</f>
        <v>5</v>
      </c>
      <c r="DV36" s="739">
        <f>Commercial!DV52</f>
        <v>6</v>
      </c>
      <c r="DW36" s="739">
        <f>Commercial!DW52</f>
        <v>7</v>
      </c>
      <c r="DX36" s="739">
        <f>Commercial!DX52</f>
        <v>9</v>
      </c>
      <c r="DY36" s="484">
        <f>Commercial!DY52</f>
        <v>27</v>
      </c>
      <c r="DZ36" s="484">
        <f>Commercial!DZ52</f>
        <v>28</v>
      </c>
      <c r="EA36" s="484">
        <f>Commercial!EA52</f>
        <v>30</v>
      </c>
      <c r="EB36" s="484">
        <f>Commercial!EB52</f>
        <v>30</v>
      </c>
    </row>
    <row r="37" spans="1:132" s="424" customFormat="1">
      <c r="A37" s="68"/>
      <c r="B37" s="98" t="s">
        <v>190</v>
      </c>
      <c r="C37" s="189">
        <v>82.5</v>
      </c>
      <c r="D37" s="189">
        <v>83</v>
      </c>
      <c r="E37" s="189">
        <v>84</v>
      </c>
      <c r="F37" s="189">
        <v>85</v>
      </c>
      <c r="G37" s="189">
        <v>88</v>
      </c>
      <c r="H37" s="189">
        <v>88</v>
      </c>
      <c r="I37" s="489">
        <v>90</v>
      </c>
      <c r="J37" s="497">
        <v>92</v>
      </c>
      <c r="K37" s="451">
        <v>92</v>
      </c>
      <c r="L37" s="451">
        <v>92</v>
      </c>
      <c r="M37" s="451">
        <v>92</v>
      </c>
      <c r="N37" s="189">
        <v>92</v>
      </c>
      <c r="O37" s="451">
        <v>94</v>
      </c>
      <c r="P37" s="451">
        <v>94</v>
      </c>
      <c r="Q37" s="451">
        <v>94</v>
      </c>
      <c r="R37" s="451">
        <v>94</v>
      </c>
      <c r="S37" s="189">
        <v>94</v>
      </c>
      <c r="T37" s="451">
        <v>90</v>
      </c>
      <c r="U37" s="451">
        <v>90</v>
      </c>
      <c r="V37" s="451">
        <v>90</v>
      </c>
      <c r="W37" s="451">
        <v>90</v>
      </c>
      <c r="X37" s="189">
        <v>90</v>
      </c>
      <c r="Y37" s="451">
        <v>85</v>
      </c>
      <c r="Z37" s="451">
        <v>85</v>
      </c>
      <c r="AA37" s="451">
        <v>85</v>
      </c>
      <c r="AB37" s="451">
        <v>85</v>
      </c>
      <c r="AC37" s="189">
        <v>85</v>
      </c>
      <c r="AD37" s="451">
        <v>86</v>
      </c>
      <c r="AE37" s="451">
        <v>87</v>
      </c>
      <c r="AF37" s="451">
        <v>87</v>
      </c>
      <c r="AG37" s="451">
        <v>87</v>
      </c>
      <c r="AH37" s="189">
        <v>87</v>
      </c>
      <c r="AI37" s="451">
        <v>87</v>
      </c>
      <c r="AJ37" s="451">
        <v>87</v>
      </c>
      <c r="AK37" s="451">
        <v>87</v>
      </c>
      <c r="AL37" s="451">
        <v>87</v>
      </c>
      <c r="AM37" s="189">
        <v>87</v>
      </c>
      <c r="AN37" s="451">
        <v>86</v>
      </c>
      <c r="AO37" s="470">
        <v>86</v>
      </c>
      <c r="AP37" s="470">
        <f>Commercial!AP54</f>
        <v>87</v>
      </c>
      <c r="AQ37" s="451">
        <f>Commercial!AQ54</f>
        <v>87</v>
      </c>
      <c r="AR37" s="189">
        <f>Commercial!AR54</f>
        <v>86.5</v>
      </c>
      <c r="AS37" s="451">
        <f>Commercial!AS54</f>
        <v>88</v>
      </c>
      <c r="AT37" s="470">
        <f>Commercial!AT54</f>
        <v>88</v>
      </c>
      <c r="AU37" s="470">
        <f>Commercial!AU54</f>
        <v>89</v>
      </c>
      <c r="AV37" s="470">
        <f>Commercial!AV54</f>
        <v>89</v>
      </c>
      <c r="AW37" s="566">
        <f>Commercial!AW54</f>
        <v>88.55</v>
      </c>
      <c r="AX37" s="451">
        <f>Commercial!AX54</f>
        <v>90</v>
      </c>
      <c r="AY37" s="470">
        <f>Commercial!AY54</f>
        <v>90</v>
      </c>
      <c r="AZ37" s="470">
        <f>Commercial!AZ54</f>
        <v>90</v>
      </c>
      <c r="BA37" s="470">
        <f>Commercial!BA54</f>
        <v>90</v>
      </c>
      <c r="BB37" s="566">
        <f>Commercial!BB54</f>
        <v>90</v>
      </c>
      <c r="BC37" s="451">
        <f>Commercial!BC54</f>
        <v>90</v>
      </c>
      <c r="BD37" s="470">
        <f>Commercial!BD54</f>
        <v>90</v>
      </c>
      <c r="BE37" s="470">
        <f>Commercial!BE54</f>
        <v>90</v>
      </c>
      <c r="BF37" s="470">
        <f>Commercial!BF54</f>
        <v>90</v>
      </c>
      <c r="BG37" s="566">
        <f>Commercial!BG54</f>
        <v>91</v>
      </c>
      <c r="BH37" s="451">
        <f>Commercial!BH54</f>
        <v>91</v>
      </c>
      <c r="BI37" s="470">
        <f>Commercial!BI54</f>
        <v>91</v>
      </c>
      <c r="BJ37" s="470">
        <f>Commercial!BJ54</f>
        <v>91</v>
      </c>
      <c r="BK37" s="470">
        <f>Commercial!BK54</f>
        <v>91</v>
      </c>
      <c r="BL37" s="566">
        <f>Commercial!BL54</f>
        <v>91</v>
      </c>
      <c r="BM37" s="451">
        <f>Commercial!BM54</f>
        <v>90</v>
      </c>
      <c r="BN37" s="470">
        <f>Commercial!BN54</f>
        <v>91</v>
      </c>
      <c r="BO37" s="470">
        <f>Commercial!BO54</f>
        <v>92</v>
      </c>
      <c r="BP37" s="470">
        <f>Commercial!BP54</f>
        <v>92</v>
      </c>
      <c r="BQ37" s="566">
        <f>Commercial!BQ54</f>
        <v>91.125</v>
      </c>
      <c r="BR37" s="470">
        <f>Commercial!BR54</f>
        <v>92</v>
      </c>
      <c r="BS37" s="470">
        <f>Commercial!BS54</f>
        <v>92</v>
      </c>
      <c r="BT37" s="470">
        <f>Commercial!BT54</f>
        <v>92</v>
      </c>
      <c r="BU37" s="470">
        <f>Commercial!BU54</f>
        <v>92</v>
      </c>
      <c r="BV37" s="566">
        <f>Commercial!BV54</f>
        <v>92</v>
      </c>
      <c r="BW37" s="470">
        <f>Commercial!BW54</f>
        <v>92</v>
      </c>
      <c r="BX37" s="470">
        <f>Commercial!BX54</f>
        <v>92</v>
      </c>
      <c r="BY37" s="470">
        <f>Commercial!BY54</f>
        <v>92</v>
      </c>
      <c r="BZ37" s="470">
        <f>Commercial!BZ54</f>
        <v>92</v>
      </c>
      <c r="CA37" s="566">
        <f>Commercial!CA54</f>
        <v>92</v>
      </c>
      <c r="CB37" s="470">
        <f>Commercial!CB54</f>
        <v>92</v>
      </c>
      <c r="CC37" s="470">
        <f>Commercial!CC54</f>
        <v>92</v>
      </c>
      <c r="CD37" s="470">
        <f>Commercial!CD54</f>
        <v>92</v>
      </c>
      <c r="CE37" s="470">
        <f>Commercial!CE54</f>
        <v>92</v>
      </c>
      <c r="CF37" s="566">
        <f>Commercial!CF54</f>
        <v>92</v>
      </c>
      <c r="CG37" s="470">
        <f>Commercial!CG54</f>
        <v>92</v>
      </c>
      <c r="CH37" s="470">
        <f>Commercial!CH54</f>
        <v>92</v>
      </c>
      <c r="CI37" s="470">
        <f>Commercial!CI54</f>
        <v>92</v>
      </c>
      <c r="CJ37" s="470">
        <f>Commercial!CJ54</f>
        <v>92</v>
      </c>
      <c r="CK37" s="566">
        <f>Commercial!CK54</f>
        <v>92</v>
      </c>
      <c r="CL37" s="470">
        <f>Commercial!CL54</f>
        <v>92</v>
      </c>
      <c r="CM37" s="470">
        <f>Commercial!CM54</f>
        <v>92</v>
      </c>
      <c r="CN37" s="470">
        <f>Commercial!CN54</f>
        <v>92</v>
      </c>
      <c r="CO37" s="470">
        <f>Commercial!CO54</f>
        <v>92</v>
      </c>
      <c r="CP37" s="566">
        <f>Commercial!CP54</f>
        <v>92</v>
      </c>
      <c r="CQ37" s="470">
        <f>Commercial!CQ54</f>
        <v>92</v>
      </c>
      <c r="CR37" s="470">
        <f>Commercial!CR54</f>
        <v>92</v>
      </c>
      <c r="CS37" s="470">
        <f>Commercial!CS54</f>
        <v>92</v>
      </c>
      <c r="CT37" s="470">
        <f>Commercial!CT54</f>
        <v>92</v>
      </c>
      <c r="CU37" s="566">
        <f>Commercial!CU54</f>
        <v>92</v>
      </c>
      <c r="CV37" s="470">
        <f>Commercial!CV54</f>
        <v>92</v>
      </c>
      <c r="CW37" s="470">
        <f>Commercial!CW54</f>
        <v>92</v>
      </c>
      <c r="CX37" s="470">
        <f>Commercial!CX54</f>
        <v>92</v>
      </c>
      <c r="CY37" s="470">
        <f>Commercial!CY54</f>
        <v>92</v>
      </c>
      <c r="CZ37" s="566">
        <f>Commercial!CZ54</f>
        <v>92</v>
      </c>
      <c r="DA37" s="470">
        <f>Commercial!DA54</f>
        <v>92</v>
      </c>
      <c r="DB37" s="470">
        <f>Commercial!DB54</f>
        <v>92</v>
      </c>
      <c r="DC37" s="470">
        <f>Commercial!DC54</f>
        <v>92</v>
      </c>
      <c r="DD37" s="470">
        <f>Commercial!DD54</f>
        <v>92</v>
      </c>
      <c r="DE37" s="566">
        <f>Commercial!DE54</f>
        <v>92</v>
      </c>
      <c r="DF37" s="470">
        <f>Commercial!DF54</f>
        <v>92</v>
      </c>
      <c r="DG37" s="470">
        <f>Commercial!DG54</f>
        <v>92</v>
      </c>
      <c r="DH37" s="470">
        <f>Commercial!DH54</f>
        <v>92</v>
      </c>
      <c r="DI37" s="470">
        <f>Commercial!DI54</f>
        <v>92</v>
      </c>
      <c r="DJ37" s="566">
        <f>Commercial!DJ54</f>
        <v>92</v>
      </c>
      <c r="DK37" s="470">
        <f>Commercial!DK54</f>
        <v>92</v>
      </c>
      <c r="DL37" s="470">
        <f>Commercial!DL54</f>
        <v>92</v>
      </c>
      <c r="DM37" s="470">
        <f>Commercial!DM54</f>
        <v>92</v>
      </c>
      <c r="DN37" s="470">
        <f>Commercial!DN54</f>
        <v>92</v>
      </c>
      <c r="DO37" s="566">
        <f>Commercial!DO54</f>
        <v>92</v>
      </c>
      <c r="DP37" s="470">
        <f>Commercial!DP54</f>
        <v>92</v>
      </c>
      <c r="DQ37" s="740">
        <f>Commercial!DQ54</f>
        <v>92</v>
      </c>
      <c r="DR37" s="740">
        <f>Commercial!DR54</f>
        <v>92</v>
      </c>
      <c r="DS37" s="740">
        <f>Commercial!DS54</f>
        <v>92</v>
      </c>
      <c r="DT37" s="485">
        <f>Commercial!DT54</f>
        <v>92</v>
      </c>
      <c r="DU37" s="740">
        <f>Commercial!DU54</f>
        <v>92</v>
      </c>
      <c r="DV37" s="740">
        <f>Commercial!DV54</f>
        <v>92</v>
      </c>
      <c r="DW37" s="740">
        <f>Commercial!DW54</f>
        <v>92</v>
      </c>
      <c r="DX37" s="740">
        <f>Commercial!DX54</f>
        <v>92</v>
      </c>
      <c r="DY37" s="485">
        <f>Commercial!DY54</f>
        <v>92</v>
      </c>
      <c r="DZ37" s="485">
        <f>Commercial!DZ54</f>
        <v>92</v>
      </c>
      <c r="EA37" s="485">
        <f>Commercial!EA54</f>
        <v>92</v>
      </c>
      <c r="EB37" s="485">
        <f>Commercial!EB54</f>
        <v>92</v>
      </c>
    </row>
    <row r="38" spans="1:132" s="424" customFormat="1">
      <c r="A38" s="68"/>
      <c r="B38" s="98" t="s">
        <v>191</v>
      </c>
      <c r="C38" s="67">
        <f t="shared" ref="C38:M38" si="104">C37*C36</f>
        <v>3382.5</v>
      </c>
      <c r="D38" s="67">
        <f t="shared" si="104"/>
        <v>3901</v>
      </c>
      <c r="E38" s="67">
        <f t="shared" si="104"/>
        <v>3696</v>
      </c>
      <c r="F38" s="67">
        <f t="shared" si="104"/>
        <v>3740</v>
      </c>
      <c r="G38" s="67">
        <f t="shared" si="104"/>
        <v>3520</v>
      </c>
      <c r="H38" s="67">
        <f t="shared" si="104"/>
        <v>3080</v>
      </c>
      <c r="I38" s="454">
        <f t="shared" si="104"/>
        <v>2160</v>
      </c>
      <c r="J38" s="265">
        <f t="shared" si="104"/>
        <v>92</v>
      </c>
      <c r="K38" s="98">
        <f t="shared" si="104"/>
        <v>276</v>
      </c>
      <c r="L38" s="98">
        <f t="shared" si="104"/>
        <v>184</v>
      </c>
      <c r="M38" s="98">
        <f t="shared" si="104"/>
        <v>276</v>
      </c>
      <c r="N38" s="67">
        <f>SUM(J38:M38)</f>
        <v>828</v>
      </c>
      <c r="O38" s="98">
        <f>O37*O36</f>
        <v>94</v>
      </c>
      <c r="P38" s="98">
        <f>P37*P36</f>
        <v>376</v>
      </c>
      <c r="Q38" s="98">
        <f>Q37*Q36</f>
        <v>188</v>
      </c>
      <c r="R38" s="98">
        <f>R37*R36</f>
        <v>282</v>
      </c>
      <c r="S38" s="67">
        <f>SUM(O38:R38)</f>
        <v>940</v>
      </c>
      <c r="T38" s="98">
        <f>T37*T36</f>
        <v>270</v>
      </c>
      <c r="U38" s="98">
        <f>U37*U36</f>
        <v>270</v>
      </c>
      <c r="V38" s="98">
        <f>V37*V36</f>
        <v>270</v>
      </c>
      <c r="W38" s="98">
        <f>W37*W36</f>
        <v>270</v>
      </c>
      <c r="X38" s="67">
        <f>SUM(T38:W38)</f>
        <v>1080</v>
      </c>
      <c r="Y38" s="98">
        <f>Y37*Y36</f>
        <v>255</v>
      </c>
      <c r="Z38" s="98">
        <f>Z37*Z36</f>
        <v>255</v>
      </c>
      <c r="AA38" s="98">
        <f>AA37*AA36</f>
        <v>255</v>
      </c>
      <c r="AB38" s="98">
        <f>AB37*AB36</f>
        <v>255</v>
      </c>
      <c r="AC38" s="67">
        <f>SUM(Y38:AB38)</f>
        <v>1020</v>
      </c>
      <c r="AD38" s="98">
        <f>AD37*AD36</f>
        <v>258</v>
      </c>
      <c r="AE38" s="98">
        <f>AE37*AE36</f>
        <v>261</v>
      </c>
      <c r="AF38" s="98">
        <f>AF37*AF36</f>
        <v>174</v>
      </c>
      <c r="AG38" s="98">
        <f>AG37*AG36</f>
        <v>174</v>
      </c>
      <c r="AH38" s="67">
        <f>SUM(AD38:AG38)</f>
        <v>867</v>
      </c>
      <c r="AI38" s="98">
        <f>AI37*AI36</f>
        <v>261</v>
      </c>
      <c r="AJ38" s="98">
        <f>AJ37*AJ36</f>
        <v>261</v>
      </c>
      <c r="AK38" s="98">
        <f>AK37*AK36</f>
        <v>348</v>
      </c>
      <c r="AL38" s="98">
        <f>AL37*AL36</f>
        <v>261</v>
      </c>
      <c r="AM38" s="67">
        <f>SUM(AI38:AL38)</f>
        <v>1131</v>
      </c>
      <c r="AN38" s="98">
        <f>AN37*AN36</f>
        <v>258</v>
      </c>
      <c r="AO38" s="98">
        <f>AO37*AO36</f>
        <v>258</v>
      </c>
      <c r="AP38" s="98">
        <f>AP37*AP36</f>
        <v>261</v>
      </c>
      <c r="AQ38" s="98">
        <f>AQ37*AQ36</f>
        <v>261</v>
      </c>
      <c r="AR38" s="67">
        <f>SUM(AN38:AQ38)</f>
        <v>1038</v>
      </c>
      <c r="AS38" s="98">
        <f t="shared" ref="AS38:BG38" si="105">AS37*AS36</f>
        <v>352</v>
      </c>
      <c r="AT38" s="98">
        <f t="shared" si="105"/>
        <v>440</v>
      </c>
      <c r="AU38" s="98">
        <f t="shared" si="105"/>
        <v>445</v>
      </c>
      <c r="AV38" s="98">
        <f t="shared" si="105"/>
        <v>534</v>
      </c>
      <c r="AW38" s="67">
        <f t="shared" si="105"/>
        <v>1771</v>
      </c>
      <c r="AX38" s="98">
        <f>AX37*AX36</f>
        <v>630</v>
      </c>
      <c r="AY38" s="98">
        <f>AY37*AY36</f>
        <v>540</v>
      </c>
      <c r="AZ38" s="98">
        <f>AZ37*AZ36</f>
        <v>630</v>
      </c>
      <c r="BA38" s="98">
        <f>BA37*BA36</f>
        <v>540</v>
      </c>
      <c r="BB38" s="120">
        <f t="shared" si="105"/>
        <v>2340</v>
      </c>
      <c r="BC38" s="98">
        <f>BC37*BC36</f>
        <v>360</v>
      </c>
      <c r="BD38" s="98">
        <f>BD37*BD36</f>
        <v>720</v>
      </c>
      <c r="BE38" s="98">
        <f>BE37*BE36</f>
        <v>450</v>
      </c>
      <c r="BF38" s="98">
        <f>BF37*BF36</f>
        <v>360</v>
      </c>
      <c r="BG38" s="120">
        <f t="shared" si="105"/>
        <v>1911</v>
      </c>
      <c r="BH38" s="98">
        <f t="shared" ref="BH38:BT38" si="106">BH37*BH36</f>
        <v>0</v>
      </c>
      <c r="BI38" s="98">
        <f t="shared" si="106"/>
        <v>91</v>
      </c>
      <c r="BJ38" s="98">
        <f t="shared" si="106"/>
        <v>182</v>
      </c>
      <c r="BK38" s="98">
        <f t="shared" si="106"/>
        <v>273</v>
      </c>
      <c r="BL38" s="120">
        <f t="shared" si="106"/>
        <v>546</v>
      </c>
      <c r="BM38" s="98">
        <f t="shared" ref="BM38:BP38" si="107">BM37*BM36</f>
        <v>450</v>
      </c>
      <c r="BN38" s="98">
        <f t="shared" ref="BN38" si="108">BN37*BN36</f>
        <v>364</v>
      </c>
      <c r="BO38" s="98">
        <f t="shared" si="107"/>
        <v>460</v>
      </c>
      <c r="BP38" s="98">
        <f t="shared" si="107"/>
        <v>184</v>
      </c>
      <c r="BQ38" s="120">
        <f t="shared" si="106"/>
        <v>1458</v>
      </c>
      <c r="BR38" s="98">
        <f t="shared" si="106"/>
        <v>92</v>
      </c>
      <c r="BS38" s="437">
        <f t="shared" si="106"/>
        <v>368</v>
      </c>
      <c r="BT38" s="437">
        <f t="shared" si="106"/>
        <v>460</v>
      </c>
      <c r="BU38" s="437">
        <f t="shared" ref="BU38" si="109">BU37*BU36</f>
        <v>276</v>
      </c>
      <c r="BV38" s="120">
        <f t="shared" ref="BV38:BZ38" si="110">BV37*BV36</f>
        <v>1196</v>
      </c>
      <c r="BW38" s="437">
        <f t="shared" si="110"/>
        <v>184</v>
      </c>
      <c r="BX38" s="437">
        <f t="shared" ref="BX38" si="111">BX37*BX36</f>
        <v>276</v>
      </c>
      <c r="BY38" s="437">
        <f t="shared" si="110"/>
        <v>184</v>
      </c>
      <c r="BZ38" s="437">
        <f t="shared" si="110"/>
        <v>276</v>
      </c>
      <c r="CA38" s="120">
        <f t="shared" ref="CA38:CB38" si="112">CA37*CA36</f>
        <v>920</v>
      </c>
      <c r="CB38" s="437">
        <f t="shared" si="112"/>
        <v>368</v>
      </c>
      <c r="CC38" s="437">
        <f t="shared" ref="CC38:CD38" si="113">CC37*CC36</f>
        <v>460</v>
      </c>
      <c r="CD38" s="437">
        <f t="shared" si="113"/>
        <v>368</v>
      </c>
      <c r="CE38" s="437">
        <f t="shared" ref="CE38" si="114">CE37*CE36</f>
        <v>1288</v>
      </c>
      <c r="CF38" s="120">
        <f>CF37*CF36</f>
        <v>2484</v>
      </c>
      <c r="CG38" s="437">
        <f t="shared" ref="CG38:CI38" si="115">CG37*CG36</f>
        <v>1104</v>
      </c>
      <c r="CH38" s="437">
        <f t="shared" si="115"/>
        <v>920</v>
      </c>
      <c r="CI38" s="437">
        <f t="shared" si="115"/>
        <v>920</v>
      </c>
      <c r="CJ38" s="437">
        <f t="shared" ref="CJ38" si="116">CJ37*CJ36</f>
        <v>1012</v>
      </c>
      <c r="CK38" s="120">
        <f>CK37*CK36</f>
        <v>3956</v>
      </c>
      <c r="CL38" s="437">
        <f t="shared" ref="CL38:CM38" si="117">CL37*CL36</f>
        <v>920</v>
      </c>
      <c r="CM38" s="437">
        <f t="shared" si="117"/>
        <v>368</v>
      </c>
      <c r="CN38" s="437">
        <f t="shared" ref="CN38:CO38" si="118">CN37*CN36</f>
        <v>552</v>
      </c>
      <c r="CO38" s="437">
        <f t="shared" si="118"/>
        <v>920</v>
      </c>
      <c r="CP38" s="120">
        <f>CP37*CP36</f>
        <v>2760</v>
      </c>
      <c r="CQ38" s="437">
        <f t="shared" ref="CQ38" si="119">CQ37*CQ36</f>
        <v>460</v>
      </c>
      <c r="CR38" s="437">
        <f t="shared" ref="CR38" si="120">CR37*CR36</f>
        <v>736</v>
      </c>
      <c r="CS38" s="437">
        <f t="shared" ref="CS38:CT38" si="121">CS37*CS36</f>
        <v>1012</v>
      </c>
      <c r="CT38" s="437">
        <f t="shared" si="121"/>
        <v>736</v>
      </c>
      <c r="CU38" s="120">
        <f>CU37*CU36</f>
        <v>2944</v>
      </c>
      <c r="CV38" s="437">
        <f t="shared" ref="CV38:CW38" si="122">CV37*CV36</f>
        <v>460</v>
      </c>
      <c r="CW38" s="437">
        <f t="shared" si="122"/>
        <v>644</v>
      </c>
      <c r="CX38" s="437">
        <f t="shared" ref="CX38:CY38" si="123">CX37*CX36</f>
        <v>828</v>
      </c>
      <c r="CY38" s="437">
        <f t="shared" si="123"/>
        <v>1104</v>
      </c>
      <c r="CZ38" s="120">
        <f>CZ37*CZ36</f>
        <v>3036</v>
      </c>
      <c r="DA38" s="98">
        <f t="shared" ref="DA38:DD38" si="124">DA37*DA36</f>
        <v>92</v>
      </c>
      <c r="DB38" s="98">
        <f t="shared" si="124"/>
        <v>736</v>
      </c>
      <c r="DC38" s="437">
        <f t="shared" si="124"/>
        <v>736</v>
      </c>
      <c r="DD38" s="437">
        <f t="shared" si="124"/>
        <v>1380</v>
      </c>
      <c r="DE38" s="120">
        <f>DE37*DE36</f>
        <v>2944</v>
      </c>
      <c r="DF38" s="437">
        <f t="shared" ref="DF38:DI38" si="125">DF37*DF36</f>
        <v>276</v>
      </c>
      <c r="DG38" s="437">
        <f t="shared" si="125"/>
        <v>552</v>
      </c>
      <c r="DH38" s="437">
        <f t="shared" si="125"/>
        <v>552</v>
      </c>
      <c r="DI38" s="437">
        <f t="shared" si="125"/>
        <v>276</v>
      </c>
      <c r="DJ38" s="120">
        <f t="shared" ref="DJ38:DN38" si="126">DJ37*DJ36</f>
        <v>1656</v>
      </c>
      <c r="DK38" s="437">
        <f t="shared" si="126"/>
        <v>460</v>
      </c>
      <c r="DL38" s="437">
        <f t="shared" si="126"/>
        <v>828</v>
      </c>
      <c r="DM38" s="437">
        <f t="shared" ref="DM38" si="127">DM37*DM36</f>
        <v>552</v>
      </c>
      <c r="DN38" s="437">
        <f t="shared" si="126"/>
        <v>920</v>
      </c>
      <c r="DO38" s="120">
        <f t="shared" ref="DO38:DS38" si="128">DO37*DO36</f>
        <v>2760</v>
      </c>
      <c r="DP38" s="437">
        <f t="shared" si="128"/>
        <v>552</v>
      </c>
      <c r="DQ38" s="98">
        <f t="shared" si="128"/>
        <v>920</v>
      </c>
      <c r="DR38" s="98">
        <f t="shared" si="128"/>
        <v>460</v>
      </c>
      <c r="DS38" s="98">
        <f t="shared" si="128"/>
        <v>644</v>
      </c>
      <c r="DT38" s="67">
        <f t="shared" ref="DT38:DX38" si="129">DT37*DT36</f>
        <v>2576</v>
      </c>
      <c r="DU38" s="98">
        <f t="shared" si="129"/>
        <v>460</v>
      </c>
      <c r="DV38" s="98">
        <f t="shared" si="129"/>
        <v>552</v>
      </c>
      <c r="DW38" s="98">
        <f t="shared" si="129"/>
        <v>644</v>
      </c>
      <c r="DX38" s="98">
        <f t="shared" si="129"/>
        <v>828</v>
      </c>
      <c r="DY38" s="67">
        <f t="shared" ref="DY38" si="130">DY37*DY36</f>
        <v>2484</v>
      </c>
      <c r="DZ38" s="67">
        <f t="shared" ref="DZ38:EB38" si="131">DZ37*DZ36</f>
        <v>2576</v>
      </c>
      <c r="EA38" s="67">
        <f t="shared" si="131"/>
        <v>2760</v>
      </c>
      <c r="EB38" s="67">
        <f t="shared" si="131"/>
        <v>2760</v>
      </c>
    </row>
    <row r="39" spans="1:132" s="424" customFormat="1">
      <c r="A39" s="68"/>
      <c r="B39" s="427" t="s">
        <v>369</v>
      </c>
      <c r="C39" s="426">
        <v>0.08</v>
      </c>
      <c r="D39" s="426">
        <v>7.0000000000000007E-2</v>
      </c>
      <c r="E39" s="426">
        <v>7.0000000000000007E-2</v>
      </c>
      <c r="F39" s="426">
        <v>0.1</v>
      </c>
      <c r="G39" s="426">
        <v>7.0000000000000007E-2</v>
      </c>
      <c r="H39" s="426">
        <v>0.115</v>
      </c>
      <c r="I39" s="452">
        <v>7.0000000000000007E-2</v>
      </c>
      <c r="J39" s="498">
        <v>7.0000000000000007E-2</v>
      </c>
      <c r="K39" s="427">
        <v>7.0000000000000007E-2</v>
      </c>
      <c r="L39" s="427">
        <v>7.0000000000000007E-2</v>
      </c>
      <c r="M39" s="453">
        <v>7.0000000000000007E-2</v>
      </c>
      <c r="N39" s="426">
        <v>7.0000000000000007E-2</v>
      </c>
      <c r="O39" s="452">
        <v>0.1</v>
      </c>
      <c r="P39" s="427">
        <v>0.1</v>
      </c>
      <c r="Q39" s="427">
        <v>0.1</v>
      </c>
      <c r="R39" s="453">
        <v>0.1</v>
      </c>
      <c r="S39" s="426">
        <v>0.1</v>
      </c>
      <c r="T39" s="452">
        <v>0.12</v>
      </c>
      <c r="U39" s="427">
        <v>0.12</v>
      </c>
      <c r="V39" s="427">
        <v>0.12</v>
      </c>
      <c r="W39" s="453">
        <v>0.12</v>
      </c>
      <c r="X39" s="426">
        <v>0.12</v>
      </c>
      <c r="Y39" s="452">
        <v>0.115</v>
      </c>
      <c r="Z39" s="427">
        <v>0.115</v>
      </c>
      <c r="AA39" s="427">
        <v>0.115</v>
      </c>
      <c r="AB39" s="453">
        <v>0.115</v>
      </c>
      <c r="AC39" s="426">
        <v>0.115</v>
      </c>
      <c r="AD39" s="452">
        <v>0.1</v>
      </c>
      <c r="AE39" s="427">
        <v>0.1</v>
      </c>
      <c r="AF39" s="427">
        <v>0.1</v>
      </c>
      <c r="AG39" s="453">
        <v>0.1</v>
      </c>
      <c r="AH39" s="426">
        <v>0.1</v>
      </c>
      <c r="AI39" s="452">
        <v>0.1</v>
      </c>
      <c r="AJ39" s="427">
        <v>0.1</v>
      </c>
      <c r="AK39" s="427">
        <v>0.1</v>
      </c>
      <c r="AL39" s="453">
        <v>0.1</v>
      </c>
      <c r="AM39" s="426">
        <v>0.1</v>
      </c>
      <c r="AN39" s="452">
        <v>0.12</v>
      </c>
      <c r="AO39" s="427">
        <v>0.12</v>
      </c>
      <c r="AP39" s="427">
        <v>0.12</v>
      </c>
      <c r="AQ39" s="453">
        <v>0.12</v>
      </c>
      <c r="AR39" s="426">
        <f>AR40/AR38</f>
        <v>0.12</v>
      </c>
      <c r="AS39" s="452">
        <v>0.12</v>
      </c>
      <c r="AT39" s="427">
        <v>0.12</v>
      </c>
      <c r="AU39" s="427">
        <v>0.12</v>
      </c>
      <c r="AV39" s="453">
        <v>0.12</v>
      </c>
      <c r="AW39" s="426">
        <f>AW40/AW38</f>
        <v>0.12</v>
      </c>
      <c r="AX39" s="452"/>
      <c r="AY39" s="427"/>
      <c r="AZ39" s="427"/>
      <c r="BA39" s="453"/>
      <c r="BB39" s="136">
        <v>0.08</v>
      </c>
      <c r="BC39" s="452"/>
      <c r="BD39" s="427"/>
      <c r="BE39" s="427"/>
      <c r="BF39" s="453"/>
      <c r="BG39" s="136">
        <v>7.0000000000000007E-2</v>
      </c>
      <c r="BH39" s="452"/>
      <c r="BI39" s="427"/>
      <c r="BJ39" s="427"/>
      <c r="BK39" s="453"/>
      <c r="BL39" s="136">
        <v>7.0000000000000007E-2</v>
      </c>
      <c r="BM39" s="452"/>
      <c r="BN39" s="427"/>
      <c r="BO39" s="427"/>
      <c r="BP39" s="427"/>
      <c r="BQ39" s="136">
        <v>7.0000000000000007E-2</v>
      </c>
      <c r="BR39" s="452"/>
      <c r="BS39" s="295"/>
      <c r="BT39" s="427"/>
      <c r="BU39" s="427"/>
      <c r="BV39" s="136">
        <v>7.0000000000000007E-2</v>
      </c>
      <c r="BW39" s="749"/>
      <c r="BX39" s="427"/>
      <c r="BY39" s="295"/>
      <c r="BZ39" s="295"/>
      <c r="CA39" s="136">
        <v>0.09</v>
      </c>
      <c r="CB39" s="749"/>
      <c r="CC39" s="295"/>
      <c r="CD39" s="295"/>
      <c r="CE39" s="910"/>
      <c r="CF39" s="136">
        <v>0.1</v>
      </c>
      <c r="CG39" s="295"/>
      <c r="CH39" s="295"/>
      <c r="CI39" s="295"/>
      <c r="CJ39" s="427"/>
      <c r="CK39" s="136">
        <v>0.1</v>
      </c>
      <c r="CL39" s="295"/>
      <c r="CM39" s="295"/>
      <c r="CN39" s="295"/>
      <c r="CO39" s="295"/>
      <c r="CP39" s="136">
        <v>0.08</v>
      </c>
      <c r="CQ39" s="295"/>
      <c r="CR39" s="295"/>
      <c r="CS39" s="295"/>
      <c r="CT39" s="295"/>
      <c r="CU39" s="136">
        <v>0.09</v>
      </c>
      <c r="CV39" s="295"/>
      <c r="CW39" s="295"/>
      <c r="CX39" s="295"/>
      <c r="CY39" s="295"/>
      <c r="CZ39" s="136">
        <v>0.09</v>
      </c>
      <c r="DA39" s="427"/>
      <c r="DB39" s="427"/>
      <c r="DC39" s="295"/>
      <c r="DD39" s="295"/>
      <c r="DE39" s="136">
        <v>9.5000000000000001E-2</v>
      </c>
      <c r="DF39" s="295"/>
      <c r="DG39" s="295"/>
      <c r="DH39" s="295"/>
      <c r="DI39" s="295"/>
      <c r="DJ39" s="136">
        <v>0.1</v>
      </c>
      <c r="DK39" s="295"/>
      <c r="DL39" s="295"/>
      <c r="DM39" s="295"/>
      <c r="DN39" s="295"/>
      <c r="DO39" s="136">
        <v>0.1</v>
      </c>
      <c r="DP39" s="295"/>
      <c r="DQ39" s="427"/>
      <c r="DR39" s="427"/>
      <c r="DS39" s="427"/>
      <c r="DT39" s="1090">
        <v>0.1</v>
      </c>
      <c r="DU39" s="427"/>
      <c r="DV39" s="427"/>
      <c r="DW39" s="427"/>
      <c r="DX39" s="427"/>
      <c r="DY39" s="1090">
        <v>0.1</v>
      </c>
      <c r="DZ39" s="1090">
        <v>0.1</v>
      </c>
      <c r="EA39" s="1090">
        <v>0.1</v>
      </c>
      <c r="EB39" s="1090">
        <v>0.1</v>
      </c>
    </row>
    <row r="40" spans="1:132" s="424" customFormat="1">
      <c r="A40" s="68"/>
      <c r="B40" s="427" t="s">
        <v>370</v>
      </c>
      <c r="C40" s="67">
        <f t="shared" ref="C40:I40" si="132">C38*C39</f>
        <v>270.60000000000002</v>
      </c>
      <c r="D40" s="67">
        <f t="shared" si="132"/>
        <v>273.07000000000005</v>
      </c>
      <c r="E40" s="67">
        <f t="shared" si="132"/>
        <v>258.72000000000003</v>
      </c>
      <c r="F40" s="67">
        <f t="shared" si="132"/>
        <v>374</v>
      </c>
      <c r="G40" s="67">
        <f t="shared" si="132"/>
        <v>246.40000000000003</v>
      </c>
      <c r="H40" s="67">
        <f t="shared" si="132"/>
        <v>354.2</v>
      </c>
      <c r="I40" s="454">
        <f t="shared" si="132"/>
        <v>151.20000000000002</v>
      </c>
      <c r="J40" s="265">
        <f t="shared" ref="J40:BG40" si="133">J38*J39</f>
        <v>6.44</v>
      </c>
      <c r="K40" s="98">
        <f t="shared" si="133"/>
        <v>19.32</v>
      </c>
      <c r="L40" s="98">
        <f t="shared" si="133"/>
        <v>12.88</v>
      </c>
      <c r="M40" s="98">
        <f t="shared" si="133"/>
        <v>19.32</v>
      </c>
      <c r="N40" s="67">
        <f t="shared" si="133"/>
        <v>57.960000000000008</v>
      </c>
      <c r="O40" s="98">
        <f t="shared" si="133"/>
        <v>9.4</v>
      </c>
      <c r="P40" s="98">
        <f t="shared" si="133"/>
        <v>37.6</v>
      </c>
      <c r="Q40" s="98">
        <f t="shared" si="133"/>
        <v>18.8</v>
      </c>
      <c r="R40" s="98">
        <f t="shared" si="133"/>
        <v>28.200000000000003</v>
      </c>
      <c r="S40" s="67">
        <f t="shared" si="133"/>
        <v>94</v>
      </c>
      <c r="T40" s="98">
        <f t="shared" si="133"/>
        <v>32.4</v>
      </c>
      <c r="U40" s="98">
        <f t="shared" si="133"/>
        <v>32.4</v>
      </c>
      <c r="V40" s="98">
        <f t="shared" si="133"/>
        <v>32.4</v>
      </c>
      <c r="W40" s="98">
        <f t="shared" si="133"/>
        <v>32.4</v>
      </c>
      <c r="X40" s="67">
        <f t="shared" si="133"/>
        <v>129.6</v>
      </c>
      <c r="Y40" s="98">
        <f t="shared" si="133"/>
        <v>29.325000000000003</v>
      </c>
      <c r="Z40" s="98">
        <f t="shared" si="133"/>
        <v>29.325000000000003</v>
      </c>
      <c r="AA40" s="98">
        <f t="shared" si="133"/>
        <v>29.325000000000003</v>
      </c>
      <c r="AB40" s="98">
        <f t="shared" si="133"/>
        <v>29.325000000000003</v>
      </c>
      <c r="AC40" s="67">
        <f t="shared" si="133"/>
        <v>117.30000000000001</v>
      </c>
      <c r="AD40" s="98">
        <f t="shared" si="133"/>
        <v>25.8</v>
      </c>
      <c r="AE40" s="98">
        <f t="shared" si="133"/>
        <v>26.1</v>
      </c>
      <c r="AF40" s="98">
        <f t="shared" si="133"/>
        <v>17.400000000000002</v>
      </c>
      <c r="AG40" s="98">
        <f t="shared" si="133"/>
        <v>17.400000000000002</v>
      </c>
      <c r="AH40" s="67">
        <f t="shared" si="133"/>
        <v>86.7</v>
      </c>
      <c r="AI40" s="98">
        <f t="shared" si="133"/>
        <v>26.1</v>
      </c>
      <c r="AJ40" s="98">
        <f t="shared" si="133"/>
        <v>26.1</v>
      </c>
      <c r="AK40" s="98">
        <f t="shared" si="133"/>
        <v>34.800000000000004</v>
      </c>
      <c r="AL40" s="98">
        <f t="shared" si="133"/>
        <v>26.1</v>
      </c>
      <c r="AM40" s="67">
        <f t="shared" si="133"/>
        <v>113.10000000000001</v>
      </c>
      <c r="AN40" s="98">
        <f t="shared" si="133"/>
        <v>30.959999999999997</v>
      </c>
      <c r="AO40" s="98">
        <f t="shared" si="133"/>
        <v>30.959999999999997</v>
      </c>
      <c r="AP40" s="98">
        <f t="shared" si="133"/>
        <v>31.32</v>
      </c>
      <c r="AQ40" s="98">
        <f t="shared" si="133"/>
        <v>31.32</v>
      </c>
      <c r="AR40" s="67">
        <f>SUM(AN40:AQ40)</f>
        <v>124.56</v>
      </c>
      <c r="AS40" s="98">
        <f t="shared" si="133"/>
        <v>42.239999999999995</v>
      </c>
      <c r="AT40" s="98">
        <f t="shared" si="133"/>
        <v>52.8</v>
      </c>
      <c r="AU40" s="98">
        <f t="shared" si="133"/>
        <v>53.4</v>
      </c>
      <c r="AV40" s="98">
        <f t="shared" si="133"/>
        <v>64.08</v>
      </c>
      <c r="AW40" s="67">
        <f>SUM(AS40:AV40)</f>
        <v>212.51999999999998</v>
      </c>
      <c r="AX40" s="98"/>
      <c r="AY40" s="98"/>
      <c r="AZ40" s="98"/>
      <c r="BA40" s="98"/>
      <c r="BB40" s="120">
        <f t="shared" si="133"/>
        <v>187.20000000000002</v>
      </c>
      <c r="BC40" s="98"/>
      <c r="BD40" s="98"/>
      <c r="BE40" s="98"/>
      <c r="BF40" s="98"/>
      <c r="BG40" s="120">
        <f t="shared" si="133"/>
        <v>133.77000000000001</v>
      </c>
      <c r="BH40" s="98"/>
      <c r="BI40" s="98"/>
      <c r="BJ40" s="98"/>
      <c r="BK40" s="98"/>
      <c r="BL40" s="120">
        <f>BL38*BL39</f>
        <v>38.220000000000006</v>
      </c>
      <c r="BM40" s="98"/>
      <c r="BN40" s="98"/>
      <c r="BO40" s="98"/>
      <c r="BP40" s="98"/>
      <c r="BQ40" s="120">
        <f>BQ38*BQ39</f>
        <v>102.06000000000002</v>
      </c>
      <c r="BR40" s="98"/>
      <c r="BS40" s="437"/>
      <c r="BT40" s="98"/>
      <c r="BU40" s="98"/>
      <c r="BV40" s="120">
        <f>BV38*BV39</f>
        <v>83.720000000000013</v>
      </c>
      <c r="BW40" s="437"/>
      <c r="BX40" s="437"/>
      <c r="BY40" s="437"/>
      <c r="BZ40" s="437"/>
      <c r="CA40" s="120">
        <f>CA38*CA39</f>
        <v>82.8</v>
      </c>
      <c r="CB40" s="437"/>
      <c r="CC40" s="437"/>
      <c r="CD40" s="437"/>
      <c r="CE40" s="437"/>
      <c r="CF40" s="120">
        <f>CF38*CF39</f>
        <v>248.4</v>
      </c>
      <c r="CG40" s="437"/>
      <c r="CH40" s="437"/>
      <c r="CI40" s="437"/>
      <c r="CJ40" s="98"/>
      <c r="CK40" s="120">
        <f>CK38*CK39</f>
        <v>395.6</v>
      </c>
      <c r="CL40" s="437"/>
      <c r="CM40" s="437"/>
      <c r="CN40" s="437"/>
      <c r="CO40" s="437"/>
      <c r="CP40" s="120">
        <f>CP38*CP39</f>
        <v>220.8</v>
      </c>
      <c r="CQ40" s="437"/>
      <c r="CR40" s="437"/>
      <c r="CS40" s="437"/>
      <c r="CT40" s="437"/>
      <c r="CU40" s="120">
        <f>CU38*CU39</f>
        <v>264.95999999999998</v>
      </c>
      <c r="CV40" s="437"/>
      <c r="CW40" s="437"/>
      <c r="CX40" s="437"/>
      <c r="CY40" s="437"/>
      <c r="CZ40" s="120">
        <f>CZ38*CZ39</f>
        <v>273.24</v>
      </c>
      <c r="DA40" s="98"/>
      <c r="DB40" s="98"/>
      <c r="DC40" s="437"/>
      <c r="DD40" s="437"/>
      <c r="DE40" s="120">
        <f>DE38*DE39</f>
        <v>279.68</v>
      </c>
      <c r="DF40" s="437"/>
      <c r="DG40" s="437"/>
      <c r="DH40" s="437"/>
      <c r="DI40" s="437"/>
      <c r="DJ40" s="120">
        <f t="shared" ref="DJ40" si="134">DJ38*DJ39</f>
        <v>165.60000000000002</v>
      </c>
      <c r="DK40" s="437"/>
      <c r="DL40" s="437"/>
      <c r="DM40" s="437"/>
      <c r="DN40" s="437"/>
      <c r="DO40" s="120">
        <f t="shared" ref="DO40" si="135">DO38*DO39</f>
        <v>276</v>
      </c>
      <c r="DP40" s="437"/>
      <c r="DQ40" s="98"/>
      <c r="DR40" s="98"/>
      <c r="DS40" s="98"/>
      <c r="DT40" s="67">
        <f t="shared" ref="DT40" si="136">DT38*DT39</f>
        <v>257.60000000000002</v>
      </c>
      <c r="DU40" s="98"/>
      <c r="DV40" s="98"/>
      <c r="DW40" s="98"/>
      <c r="DX40" s="98"/>
      <c r="DY40" s="67">
        <f t="shared" ref="DY40" si="137">DY38*DY39</f>
        <v>248.4</v>
      </c>
      <c r="DZ40" s="67">
        <f t="shared" ref="DZ40:EB40" si="138">DZ38*DZ39</f>
        <v>257.60000000000002</v>
      </c>
      <c r="EA40" s="67">
        <f t="shared" si="138"/>
        <v>276</v>
      </c>
      <c r="EB40" s="67">
        <f t="shared" si="138"/>
        <v>276</v>
      </c>
    </row>
    <row r="41" spans="1:132" s="424" customFormat="1" ht="6" customHeight="1">
      <c r="A41" s="68"/>
      <c r="B41" s="98"/>
      <c r="C41" s="425"/>
      <c r="D41" s="425"/>
      <c r="E41" s="425"/>
      <c r="F41" s="425"/>
      <c r="G41" s="425"/>
      <c r="H41" s="425"/>
      <c r="I41" s="490"/>
      <c r="J41" s="499"/>
      <c r="N41" s="425"/>
      <c r="S41" s="425"/>
      <c r="X41" s="425"/>
      <c r="AC41" s="425"/>
      <c r="AH41" s="425"/>
      <c r="AM41" s="425"/>
      <c r="AR41" s="425"/>
      <c r="AW41" s="425"/>
      <c r="BB41" s="585"/>
      <c r="BG41" s="585"/>
      <c r="BL41" s="585"/>
      <c r="BQ41" s="425"/>
      <c r="BS41" s="439"/>
      <c r="BT41" s="439"/>
      <c r="BU41" s="439"/>
      <c r="BV41" s="585"/>
      <c r="BW41" s="439"/>
      <c r="BY41" s="439"/>
      <c r="BZ41" s="439"/>
      <c r="CA41" s="585"/>
      <c r="CB41" s="439"/>
      <c r="CC41" s="439"/>
      <c r="CD41" s="439"/>
      <c r="CE41" s="439"/>
      <c r="CF41" s="585"/>
      <c r="CG41" s="439"/>
      <c r="CH41" s="439"/>
      <c r="CI41" s="439"/>
      <c r="CK41" s="585"/>
      <c r="CL41" s="439"/>
      <c r="CM41" s="439"/>
      <c r="CN41" s="439"/>
      <c r="CO41" s="439"/>
      <c r="CP41" s="585"/>
      <c r="CQ41" s="439"/>
      <c r="CR41" s="439"/>
      <c r="CS41" s="439"/>
      <c r="CT41" s="439"/>
      <c r="CU41" s="585"/>
      <c r="CV41" s="439"/>
      <c r="CW41" s="439"/>
      <c r="CX41" s="439"/>
      <c r="CY41" s="439"/>
      <c r="CZ41" s="585"/>
      <c r="DC41" s="439"/>
      <c r="DD41" s="439"/>
      <c r="DE41" s="585"/>
      <c r="DF41" s="439"/>
      <c r="DG41" s="439"/>
      <c r="DH41" s="439"/>
      <c r="DI41" s="439"/>
      <c r="DJ41" s="585"/>
      <c r="DK41" s="439"/>
      <c r="DL41" s="439"/>
      <c r="DM41" s="439"/>
      <c r="DN41" s="439"/>
      <c r="DO41" s="585"/>
      <c r="DP41" s="439"/>
      <c r="DT41" s="425"/>
      <c r="DY41" s="425"/>
      <c r="DZ41" s="425"/>
      <c r="EA41" s="425"/>
      <c r="EB41" s="425"/>
    </row>
    <row r="42" spans="1:132" s="424" customFormat="1">
      <c r="A42" s="68"/>
      <c r="B42" s="432" t="s">
        <v>208</v>
      </c>
      <c r="C42" s="43">
        <v>59</v>
      </c>
      <c r="D42" s="43">
        <v>74</v>
      </c>
      <c r="E42" s="43">
        <v>83</v>
      </c>
      <c r="F42" s="43">
        <v>55</v>
      </c>
      <c r="G42" s="43">
        <v>61</v>
      </c>
      <c r="H42" s="43">
        <v>47</v>
      </c>
      <c r="I42" s="488">
        <v>39</v>
      </c>
      <c r="J42" s="496">
        <v>8</v>
      </c>
      <c r="K42" s="432">
        <v>11</v>
      </c>
      <c r="L42" s="432">
        <v>8</v>
      </c>
      <c r="M42" s="432">
        <v>9</v>
      </c>
      <c r="N42" s="43">
        <f>+M42+L42+K42+J42</f>
        <v>36</v>
      </c>
      <c r="O42" s="432">
        <v>8</v>
      </c>
      <c r="P42" s="432">
        <v>14</v>
      </c>
      <c r="Q42" s="432">
        <f>8+12*0</f>
        <v>8</v>
      </c>
      <c r="R42" s="432">
        <v>10</v>
      </c>
      <c r="S42" s="43">
        <f>+R42+Q42+P42+O42</f>
        <v>40</v>
      </c>
      <c r="T42" s="432">
        <v>17</v>
      </c>
      <c r="U42" s="432">
        <v>17</v>
      </c>
      <c r="V42" s="432">
        <v>13</v>
      </c>
      <c r="W42" s="432">
        <f>+X42-V42-U42-T42</f>
        <v>18</v>
      </c>
      <c r="X42" s="43">
        <v>65</v>
      </c>
      <c r="Y42" s="432">
        <v>17</v>
      </c>
      <c r="Z42" s="432">
        <v>21</v>
      </c>
      <c r="AA42" s="432">
        <v>20</v>
      </c>
      <c r="AB42" s="432">
        <v>25</v>
      </c>
      <c r="AC42" s="43">
        <f>SUM(Y42:AB42)</f>
        <v>83</v>
      </c>
      <c r="AD42" s="432">
        <v>21</v>
      </c>
      <c r="AE42" s="432">
        <v>18</v>
      </c>
      <c r="AF42" s="432">
        <v>11</v>
      </c>
      <c r="AG42" s="432">
        <v>11</v>
      </c>
      <c r="AH42" s="43">
        <f>SUM(AD42:AG42)</f>
        <v>61</v>
      </c>
      <c r="AI42" s="432">
        <v>23</v>
      </c>
      <c r="AJ42" s="432">
        <v>21</v>
      </c>
      <c r="AK42" s="432">
        <v>19</v>
      </c>
      <c r="AL42" s="432">
        <v>25</v>
      </c>
      <c r="AM42" s="43">
        <f>SUM(AI42:AL42)</f>
        <v>88</v>
      </c>
      <c r="AN42" s="432">
        <v>19</v>
      </c>
      <c r="AO42" s="432">
        <v>16</v>
      </c>
      <c r="AP42" s="432">
        <f>Commercial!AP67</f>
        <v>21</v>
      </c>
      <c r="AQ42" s="432">
        <f>Commercial!AQ67</f>
        <v>18</v>
      </c>
      <c r="AR42" s="43">
        <f>Commercial!AR67</f>
        <v>74</v>
      </c>
      <c r="AS42" s="432">
        <f>Commercial!AS67</f>
        <v>13</v>
      </c>
      <c r="AT42" s="432">
        <f>Commercial!AT67</f>
        <v>19</v>
      </c>
      <c r="AU42" s="432">
        <f>Commercial!AU67</f>
        <v>21</v>
      </c>
      <c r="AV42" s="432">
        <f>Commercial!AV67</f>
        <v>20</v>
      </c>
      <c r="AW42" s="43">
        <f>Commercial!AW67</f>
        <v>73</v>
      </c>
      <c r="AX42" s="432">
        <f>Commercial!AX67</f>
        <v>20</v>
      </c>
      <c r="AY42" s="432">
        <f>Commercial!AY67</f>
        <v>22</v>
      </c>
      <c r="AZ42" s="432">
        <f>Commercial!AZ67</f>
        <v>20</v>
      </c>
      <c r="BA42" s="432">
        <f>Commercial!BA67</f>
        <v>21</v>
      </c>
      <c r="BB42" s="43">
        <f>Commercial!BB67</f>
        <v>83</v>
      </c>
      <c r="BC42" s="432">
        <f>Commercial!BC67</f>
        <v>24</v>
      </c>
      <c r="BD42" s="432">
        <f>Commercial!BD67</f>
        <v>23</v>
      </c>
      <c r="BE42" s="432">
        <f>Commercial!BE67</f>
        <v>26</v>
      </c>
      <c r="BF42" s="432">
        <f>Commercial!BF67</f>
        <v>25</v>
      </c>
      <c r="BG42" s="43">
        <f>Commercial!BG67</f>
        <v>98</v>
      </c>
      <c r="BH42" s="432">
        <f>Commercial!BH67</f>
        <v>24</v>
      </c>
      <c r="BI42" s="432">
        <f>Commercial!BI67</f>
        <v>24</v>
      </c>
      <c r="BJ42" s="432">
        <f>Commercial!BJ67</f>
        <v>27</v>
      </c>
      <c r="BK42" s="432">
        <f>Commercial!BK67</f>
        <v>24</v>
      </c>
      <c r="BL42" s="43">
        <f>Commercial!BL67</f>
        <v>99</v>
      </c>
      <c r="BM42" s="432">
        <f>Commercial!BM67</f>
        <v>24</v>
      </c>
      <c r="BN42" s="432">
        <f>Commercial!BN67</f>
        <v>26</v>
      </c>
      <c r="BO42" s="432">
        <f>Commercial!BO67</f>
        <v>27</v>
      </c>
      <c r="BP42" s="432">
        <f>Commercial!BP67</f>
        <v>21</v>
      </c>
      <c r="BQ42" s="43">
        <f>Commercial!BQ67</f>
        <v>98</v>
      </c>
      <c r="BR42" s="432">
        <f>Commercial!BR67</f>
        <v>23</v>
      </c>
      <c r="BS42" s="432">
        <f>Commercial!BS67</f>
        <v>28</v>
      </c>
      <c r="BT42" s="432">
        <f>Commercial!BT67</f>
        <v>22</v>
      </c>
      <c r="BU42" s="432">
        <f>Commercial!BU67</f>
        <v>26</v>
      </c>
      <c r="BV42" s="43">
        <f>Commercial!BV67</f>
        <v>99</v>
      </c>
      <c r="BW42" s="432">
        <f>Commercial!BW67</f>
        <v>21</v>
      </c>
      <c r="BX42" s="432">
        <f>Commercial!BX67</f>
        <v>21</v>
      </c>
      <c r="BY42" s="432">
        <f>Commercial!BY67</f>
        <v>16</v>
      </c>
      <c r="BZ42" s="432">
        <f>Commercial!BZ67</f>
        <v>16</v>
      </c>
      <c r="CA42" s="43">
        <f>Commercial!CA67</f>
        <v>74</v>
      </c>
      <c r="CB42" s="432">
        <f>Commercial!CB67</f>
        <v>12</v>
      </c>
      <c r="CC42" s="432">
        <f>Commercial!CC67</f>
        <v>13</v>
      </c>
      <c r="CD42" s="432">
        <f>Commercial!CD67</f>
        <v>12</v>
      </c>
      <c r="CE42" s="432">
        <f>Commercial!CE67</f>
        <v>11</v>
      </c>
      <c r="CF42" s="43">
        <f>Commercial!CF67</f>
        <v>48</v>
      </c>
      <c r="CG42" s="432">
        <f>Commercial!CG67</f>
        <v>10</v>
      </c>
      <c r="CH42" s="432">
        <f>Commercial!CH67</f>
        <v>12</v>
      </c>
      <c r="CI42" s="432">
        <f>Commercial!CI67</f>
        <v>11</v>
      </c>
      <c r="CJ42" s="432">
        <f>Commercial!CJ67</f>
        <v>12</v>
      </c>
      <c r="CK42" s="43">
        <f>Commercial!CK67</f>
        <v>45</v>
      </c>
      <c r="CL42" s="432">
        <f>Commercial!CL67</f>
        <v>6</v>
      </c>
      <c r="CM42" s="432">
        <f>Commercial!CM67</f>
        <v>4</v>
      </c>
      <c r="CN42" s="432">
        <f>Commercial!CN67</f>
        <v>5</v>
      </c>
      <c r="CO42" s="432">
        <f>Commercial!CO67</f>
        <v>11</v>
      </c>
      <c r="CP42" s="43">
        <f>Commercial!CP67</f>
        <v>26</v>
      </c>
      <c r="CQ42" s="432">
        <f>Commercial!CQ67</f>
        <v>6</v>
      </c>
      <c r="CR42" s="432">
        <f>Commercial!CR67</f>
        <v>8</v>
      </c>
      <c r="CS42" s="432">
        <f>Commercial!CS67</f>
        <v>6</v>
      </c>
      <c r="CT42" s="432">
        <f>Commercial!CT67</f>
        <v>4</v>
      </c>
      <c r="CU42" s="43">
        <f>Commercial!CU67</f>
        <v>24</v>
      </c>
      <c r="CV42" s="432">
        <f>Commercial!CV67</f>
        <v>3</v>
      </c>
      <c r="CW42" s="432">
        <f>Commercial!CW67</f>
        <v>9</v>
      </c>
      <c r="CX42" s="432">
        <f>Commercial!CX67</f>
        <v>6</v>
      </c>
      <c r="CY42" s="432">
        <f>Commercial!CY67</f>
        <v>6</v>
      </c>
      <c r="CZ42" s="43">
        <f>Commercial!CZ67</f>
        <v>24</v>
      </c>
      <c r="DA42" s="432">
        <f>Commercial!DA67</f>
        <v>4</v>
      </c>
      <c r="DB42" s="432">
        <f>Commercial!DB67</f>
        <v>5</v>
      </c>
      <c r="DC42" s="432">
        <f>Commercial!DC67</f>
        <v>8</v>
      </c>
      <c r="DD42" s="432">
        <f>Commercial!DD67</f>
        <v>9</v>
      </c>
      <c r="DE42" s="43">
        <f>Commercial!DE67</f>
        <v>26</v>
      </c>
      <c r="DF42" s="432">
        <f>Commercial!DF67</f>
        <v>0</v>
      </c>
      <c r="DG42" s="432">
        <f>Commercial!DG67</f>
        <v>7</v>
      </c>
      <c r="DH42" s="432">
        <f>Commercial!DH67</f>
        <v>4</v>
      </c>
      <c r="DI42" s="432">
        <f>Commercial!DI67</f>
        <v>3</v>
      </c>
      <c r="DJ42" s="43">
        <f>Commercial!DJ67</f>
        <v>14</v>
      </c>
      <c r="DK42" s="432">
        <f>Commercial!DK67</f>
        <v>7</v>
      </c>
      <c r="DL42" s="432">
        <f>Commercial!DL67</f>
        <v>13</v>
      </c>
      <c r="DM42" s="432">
        <f>Commercial!DM67</f>
        <v>9</v>
      </c>
      <c r="DN42" s="432">
        <f>Commercial!DN67</f>
        <v>6</v>
      </c>
      <c r="DO42" s="43">
        <f>Commercial!DO67</f>
        <v>35</v>
      </c>
      <c r="DP42" s="432">
        <f>Commercial!DP67</f>
        <v>8</v>
      </c>
      <c r="DQ42" s="739">
        <f>Commercial!DQ67</f>
        <v>7</v>
      </c>
      <c r="DR42" s="739">
        <f>Commercial!DR67</f>
        <v>1</v>
      </c>
      <c r="DS42" s="739">
        <f>Commercial!DS67</f>
        <v>1</v>
      </c>
      <c r="DT42" s="484">
        <f>Commercial!DT67</f>
        <v>17</v>
      </c>
      <c r="DU42" s="739">
        <f>Commercial!DU67</f>
        <v>4</v>
      </c>
      <c r="DV42" s="739">
        <f>Commercial!DV67</f>
        <v>7</v>
      </c>
      <c r="DW42" s="739">
        <f>Commercial!DW67</f>
        <v>8</v>
      </c>
      <c r="DX42" s="739">
        <f>Commercial!DX67</f>
        <v>12</v>
      </c>
      <c r="DY42" s="484">
        <f>Commercial!DY67</f>
        <v>31</v>
      </c>
      <c r="DZ42" s="484">
        <f>Commercial!DZ67</f>
        <v>46</v>
      </c>
      <c r="EA42" s="484">
        <f>Commercial!EA67</f>
        <v>60</v>
      </c>
      <c r="EB42" s="484">
        <f>Commercial!EB67</f>
        <v>65</v>
      </c>
    </row>
    <row r="43" spans="1:132" s="424" customFormat="1">
      <c r="A43" s="68"/>
      <c r="B43" s="98" t="s">
        <v>190</v>
      </c>
      <c r="C43" s="189">
        <v>112.5</v>
      </c>
      <c r="D43" s="189">
        <v>112</v>
      </c>
      <c r="E43" s="189">
        <v>118.5</v>
      </c>
      <c r="F43" s="189">
        <v>120</v>
      </c>
      <c r="G43" s="189">
        <v>126</v>
      </c>
      <c r="H43" s="189">
        <v>132</v>
      </c>
      <c r="I43" s="489">
        <v>135</v>
      </c>
      <c r="J43" s="497">
        <v>138</v>
      </c>
      <c r="K43" s="451">
        <v>138</v>
      </c>
      <c r="L43" s="451">
        <v>138</v>
      </c>
      <c r="M43" s="451">
        <v>138</v>
      </c>
      <c r="N43" s="189">
        <v>138</v>
      </c>
      <c r="O43" s="451">
        <v>141</v>
      </c>
      <c r="P43" s="451">
        <v>141</v>
      </c>
      <c r="Q43" s="451">
        <v>141</v>
      </c>
      <c r="R43" s="451">
        <v>141</v>
      </c>
      <c r="S43" s="189">
        <v>141</v>
      </c>
      <c r="T43" s="451">
        <v>141</v>
      </c>
      <c r="U43" s="451">
        <v>141.4</v>
      </c>
      <c r="V43" s="451">
        <v>141</v>
      </c>
      <c r="W43" s="451">
        <v>141</v>
      </c>
      <c r="X43" s="189">
        <v>141</v>
      </c>
      <c r="Y43" s="451">
        <v>141</v>
      </c>
      <c r="Z43" s="451">
        <v>141</v>
      </c>
      <c r="AA43" s="451">
        <v>141</v>
      </c>
      <c r="AB43" s="451">
        <v>141</v>
      </c>
      <c r="AC43" s="189">
        <v>141</v>
      </c>
      <c r="AD43" s="451">
        <v>143</v>
      </c>
      <c r="AE43" s="451">
        <v>143</v>
      </c>
      <c r="AF43" s="451">
        <v>143</v>
      </c>
      <c r="AG43" s="451">
        <v>143</v>
      </c>
      <c r="AH43" s="189">
        <v>143</v>
      </c>
      <c r="AI43" s="451">
        <v>143</v>
      </c>
      <c r="AJ43" s="451">
        <v>143</v>
      </c>
      <c r="AK43" s="451">
        <v>143</v>
      </c>
      <c r="AL43" s="451">
        <v>143</v>
      </c>
      <c r="AM43" s="189">
        <v>141</v>
      </c>
      <c r="AN43" s="451">
        <v>141</v>
      </c>
      <c r="AO43" s="470">
        <v>141</v>
      </c>
      <c r="AP43" s="470">
        <f>Commercial!AP69</f>
        <v>142</v>
      </c>
      <c r="AQ43" s="451">
        <f>Commercial!AQ69</f>
        <v>142</v>
      </c>
      <c r="AR43" s="189">
        <f>Commercial!AR69</f>
        <v>141.52702702702703</v>
      </c>
      <c r="AS43" s="451">
        <f>Commercial!AS69</f>
        <v>144</v>
      </c>
      <c r="AT43" s="470">
        <f>Commercial!AT69</f>
        <v>144</v>
      </c>
      <c r="AU43" s="470">
        <f>Commercial!AU69</f>
        <v>144</v>
      </c>
      <c r="AV43" s="470">
        <f>Commercial!AV69</f>
        <v>144</v>
      </c>
      <c r="AW43" s="566">
        <f>Commercial!AW69</f>
        <v>144</v>
      </c>
      <c r="AX43" s="451">
        <f>Commercial!AX69</f>
        <v>144</v>
      </c>
      <c r="AY43" s="470">
        <f>Commercial!AY69</f>
        <v>145</v>
      </c>
      <c r="AZ43" s="470">
        <f>Commercial!AZ69</f>
        <v>145</v>
      </c>
      <c r="BA43" s="470">
        <f>Commercial!BA69</f>
        <v>145</v>
      </c>
      <c r="BB43" s="566">
        <f>Commercial!BB69</f>
        <v>144.75903614457832</v>
      </c>
      <c r="BC43" s="451">
        <f>Commercial!BC69</f>
        <v>145</v>
      </c>
      <c r="BD43" s="470">
        <f>Commercial!BD69</f>
        <v>145</v>
      </c>
      <c r="BE43" s="470">
        <f>Commercial!BE69</f>
        <v>145</v>
      </c>
      <c r="BF43" s="470">
        <f>Commercial!BF69</f>
        <v>145</v>
      </c>
      <c r="BG43" s="566">
        <f>Commercial!BG69</f>
        <v>146</v>
      </c>
      <c r="BH43" s="451">
        <f>Commercial!BH69</f>
        <v>157.62583333333333</v>
      </c>
      <c r="BI43" s="470">
        <f>Commercial!BI69</f>
        <v>157.62583333333333</v>
      </c>
      <c r="BJ43" s="470">
        <f>Commercial!BJ69</f>
        <v>161.95407407407407</v>
      </c>
      <c r="BK43" s="470">
        <f>Commercial!BK69</f>
        <v>159.33916666666667</v>
      </c>
      <c r="BL43" s="566">
        <f>Commercial!BL69</f>
        <v>159.22161616161614</v>
      </c>
      <c r="BM43" s="451">
        <f>Commercial!BM69</f>
        <v>152.85249999999999</v>
      </c>
      <c r="BN43" s="470">
        <f>Commercial!BN69</f>
        <v>158.7076923076923</v>
      </c>
      <c r="BO43" s="470">
        <f>Commercial!BO69</f>
        <v>151.28629629629629</v>
      </c>
      <c r="BP43" s="470">
        <f>Commercial!BP69</f>
        <v>156.47714285714287</v>
      </c>
      <c r="BQ43" s="566">
        <f>Commercial!BQ69</f>
        <v>154.7511224489796</v>
      </c>
      <c r="BR43" s="470">
        <f>Commercial!BR69</f>
        <v>150.61652173913043</v>
      </c>
      <c r="BS43" s="470">
        <f>Commercial!BS69</f>
        <v>150.10500000000002</v>
      </c>
      <c r="BT43" s="470">
        <f>Commercial!BT69</f>
        <v>149.36454545454546</v>
      </c>
      <c r="BU43" s="470">
        <f>Commercial!BU69</f>
        <v>149.89615384615388</v>
      </c>
      <c r="BV43" s="566">
        <f>Commercial!BV69</f>
        <v>150.00444444444446</v>
      </c>
      <c r="BW43" s="470">
        <f>Commercial!BW69</f>
        <v>146.69666666666669</v>
      </c>
      <c r="BX43" s="470">
        <f>Commercial!BX69</f>
        <v>147.51750000000001</v>
      </c>
      <c r="BY43" s="470">
        <f>Commercial!BY69</f>
        <v>146.44015625000003</v>
      </c>
      <c r="BZ43" s="470">
        <f>Commercial!BZ69</f>
        <v>139.97609375000002</v>
      </c>
      <c r="CA43" s="566">
        <f>Commercial!CA69</f>
        <v>145.42104729729732</v>
      </c>
      <c r="CB43" s="470">
        <f>Commercial!CB69</f>
        <v>142.44333333333333</v>
      </c>
      <c r="CC43" s="470">
        <f>Commercial!CC69</f>
        <v>140.61846153846153</v>
      </c>
      <c r="CD43" s="470">
        <f>Commercial!CD69</f>
        <v>133.81666666666663</v>
      </c>
      <c r="CE43" s="470">
        <f>Commercial!CE69</f>
        <v>125.77818181818181</v>
      </c>
      <c r="CF43" s="566">
        <f>Commercial!CF69</f>
        <v>135.97333333333333</v>
      </c>
      <c r="CG43" s="470">
        <f>Commercial!CG69</f>
        <v>128.36849999999998</v>
      </c>
      <c r="CH43" s="470">
        <f>Commercial!CH69</f>
        <v>128.36849999999998</v>
      </c>
      <c r="CI43" s="470">
        <f>Commercial!CI69</f>
        <v>120.33981818181816</v>
      </c>
      <c r="CJ43" s="470">
        <f>Commercial!CJ69</f>
        <v>130.47124999999997</v>
      </c>
      <c r="CK43" s="566">
        <f>Commercial!CK69</f>
        <v>126.96666666666664</v>
      </c>
      <c r="CL43" s="470">
        <f>Commercial!CL69</f>
        <v>121.05892499999997</v>
      </c>
      <c r="CM43" s="470">
        <f>Commercial!CM69</f>
        <v>112.85819999999998</v>
      </c>
      <c r="CN43" s="470">
        <f>Commercial!CN69</f>
        <v>122.69906999999998</v>
      </c>
      <c r="CO43" s="470">
        <f>Commercial!CO69</f>
        <v>117.33132272727271</v>
      </c>
      <c r="CP43" s="566">
        <f>Commercial!CP69</f>
        <v>118.53562499999998</v>
      </c>
      <c r="CQ43" s="470">
        <f>Commercial!CQ69</f>
        <v>130.02601218749996</v>
      </c>
      <c r="CR43" s="470">
        <f>Commercial!CR69</f>
        <v>110.03674499999998</v>
      </c>
      <c r="CS43" s="470">
        <f>Commercial!CS69</f>
        <v>118.03245187499998</v>
      </c>
      <c r="CT43" s="470">
        <f>Commercial!CT69</f>
        <v>116.03352515624996</v>
      </c>
      <c r="CU43" s="566">
        <f>Commercial!CU69</f>
        <v>118.03245187499998</v>
      </c>
      <c r="CV43" s="470">
        <f>Commercial!CV69</f>
        <v>107.28582637499998</v>
      </c>
      <c r="CW43" s="470">
        <f>Commercial!CW69</f>
        <v>109.88443110937497</v>
      </c>
      <c r="CX43" s="470">
        <f>Commercial!CX69</f>
        <v>111.18373347656249</v>
      </c>
      <c r="CY43" s="470">
        <f>Commercial!CY69</f>
        <v>107.28582637499998</v>
      </c>
      <c r="CZ43" s="566">
        <f>Commercial!CZ69</f>
        <v>109.23477992578121</v>
      </c>
      <c r="DA43" s="470">
        <f>Commercial!DA69</f>
        <v>106.21296811124998</v>
      </c>
      <c r="DB43" s="470">
        <f>Commercial!DB69</f>
        <v>106.21296811124998</v>
      </c>
      <c r="DC43" s="470">
        <f>Commercial!DC69</f>
        <v>108.86215175481442</v>
      </c>
      <c r="DD43" s="470">
        <f>Commercial!DD69</f>
        <v>106.21296811124998</v>
      </c>
      <c r="DE43" s="566">
        <f>Commercial!DE69</f>
        <v>107.02810154003903</v>
      </c>
      <c r="DF43" s="1043">
        <v>0</v>
      </c>
      <c r="DG43" s="470">
        <f>Commercial!DG69</f>
        <v>106.21296811124998</v>
      </c>
      <c r="DH43" s="470">
        <f>Commercial!DH69</f>
        <v>106.21296811124998</v>
      </c>
      <c r="DI43" s="470">
        <f>Commercial!DI69</f>
        <v>112.2157375169238</v>
      </c>
      <c r="DJ43" s="566">
        <f>Commercial!DJ69</f>
        <v>107.49927584103723</v>
      </c>
      <c r="DK43" s="470">
        <f>Commercial!DK69</f>
        <v>106.21296811124998</v>
      </c>
      <c r="DL43" s="470">
        <f>Commercial!DL69</f>
        <v>106.21296811124998</v>
      </c>
      <c r="DM43" s="470">
        <f>Commercial!DM69</f>
        <v>106.21296811124998</v>
      </c>
      <c r="DN43" s="470">
        <f>Commercial!DN69</f>
        <v>106.21296811124996</v>
      </c>
      <c r="DO43" s="566">
        <f>Commercial!DO69</f>
        <v>106.21296811124998</v>
      </c>
      <c r="DP43" s="470">
        <f>Commercial!DP69</f>
        <v>106.21296811124998</v>
      </c>
      <c r="DQ43" s="740">
        <f>Commercial!DQ69</f>
        <v>106.21296811124998</v>
      </c>
      <c r="DR43" s="740">
        <f>Commercial!DR69</f>
        <v>106.21296811124998</v>
      </c>
      <c r="DS43" s="740">
        <f>Commercial!DS69</f>
        <v>106.21296811124998</v>
      </c>
      <c r="DT43" s="485">
        <f>Commercial!DT69</f>
        <v>106.21296811124996</v>
      </c>
      <c r="DU43" s="740">
        <f>Commercial!DU69</f>
        <v>141.98419030562499</v>
      </c>
      <c r="DV43" s="740">
        <f>Commercial!DV69</f>
        <v>167.53506330160715</v>
      </c>
      <c r="DW43" s="740">
        <f>Commercial!DW69</f>
        <v>169.84318038890626</v>
      </c>
      <c r="DX43" s="740">
        <f>Commercial!DX69</f>
        <v>172.48059109260416</v>
      </c>
      <c r="DY43" s="485">
        <f>Commercial!DY69</f>
        <v>166.74821743729836</v>
      </c>
      <c r="DZ43" s="485">
        <f>Commercial!DZ69</f>
        <v>178.87882470048913</v>
      </c>
      <c r="EA43" s="485">
        <f>Commercial!EA69</f>
        <v>184.9</v>
      </c>
      <c r="EB43" s="485">
        <f>Commercial!EB69</f>
        <v>186.46153846153845</v>
      </c>
    </row>
    <row r="44" spans="1:132" s="424" customFormat="1">
      <c r="A44" s="68"/>
      <c r="B44" s="98" t="s">
        <v>191</v>
      </c>
      <c r="C44" s="67">
        <f t="shared" ref="C44:M44" si="139">C43*C42</f>
        <v>6637.5</v>
      </c>
      <c r="D44" s="67">
        <f t="shared" si="139"/>
        <v>8288</v>
      </c>
      <c r="E44" s="67">
        <f t="shared" si="139"/>
        <v>9835.5</v>
      </c>
      <c r="F44" s="67">
        <f t="shared" si="139"/>
        <v>6600</v>
      </c>
      <c r="G44" s="67">
        <f t="shared" si="139"/>
        <v>7686</v>
      </c>
      <c r="H44" s="67">
        <f t="shared" si="139"/>
        <v>6204</v>
      </c>
      <c r="I44" s="454">
        <f t="shared" si="139"/>
        <v>5265</v>
      </c>
      <c r="J44" s="265">
        <f t="shared" si="139"/>
        <v>1104</v>
      </c>
      <c r="K44" s="98">
        <f t="shared" si="139"/>
        <v>1518</v>
      </c>
      <c r="L44" s="98">
        <f t="shared" si="139"/>
        <v>1104</v>
      </c>
      <c r="M44" s="98">
        <f t="shared" si="139"/>
        <v>1242</v>
      </c>
      <c r="N44" s="67">
        <f>SUM(J44:M44)</f>
        <v>4968</v>
      </c>
      <c r="O44" s="98">
        <f>O43*O42</f>
        <v>1128</v>
      </c>
      <c r="P44" s="98">
        <f>P43*P42</f>
        <v>1974</v>
      </c>
      <c r="Q44" s="98">
        <f>Q43*Q42</f>
        <v>1128</v>
      </c>
      <c r="R44" s="98">
        <f>R43*R42</f>
        <v>1410</v>
      </c>
      <c r="S44" s="67">
        <f>SUM(O44:R44)</f>
        <v>5640</v>
      </c>
      <c r="T44" s="98">
        <f>T43*T42</f>
        <v>2397</v>
      </c>
      <c r="U44" s="98">
        <f>U43*U42</f>
        <v>2403.8000000000002</v>
      </c>
      <c r="V44" s="98">
        <f>V43*V42</f>
        <v>1833</v>
      </c>
      <c r="W44" s="98">
        <f>W43*W42</f>
        <v>2538</v>
      </c>
      <c r="X44" s="67">
        <f>SUM(T44:W44)</f>
        <v>9171.7999999999993</v>
      </c>
      <c r="Y44" s="98">
        <f>Y43*Y42</f>
        <v>2397</v>
      </c>
      <c r="Z44" s="98">
        <f>Z43*Z42</f>
        <v>2961</v>
      </c>
      <c r="AA44" s="98">
        <f>AA43*AA42</f>
        <v>2820</v>
      </c>
      <c r="AB44" s="98">
        <f>AB43*AB42</f>
        <v>3525</v>
      </c>
      <c r="AC44" s="67">
        <f>SUM(Y44:AB44)</f>
        <v>11703</v>
      </c>
      <c r="AD44" s="98">
        <f>AD43*AD42</f>
        <v>3003</v>
      </c>
      <c r="AE44" s="98">
        <f>AE43*AE42</f>
        <v>2574</v>
      </c>
      <c r="AF44" s="98">
        <f>AF43*AF42</f>
        <v>1573</v>
      </c>
      <c r="AG44" s="98">
        <f>AG43*AG42</f>
        <v>1573</v>
      </c>
      <c r="AH44" s="67">
        <f>SUM(AD44:AG44)</f>
        <v>8723</v>
      </c>
      <c r="AI44" s="98">
        <f>AI43*AI42</f>
        <v>3289</v>
      </c>
      <c r="AJ44" s="98">
        <f>AJ43*AJ42</f>
        <v>3003</v>
      </c>
      <c r="AK44" s="98">
        <f>AK43*AK42</f>
        <v>2717</v>
      </c>
      <c r="AL44" s="98">
        <f>AL43*AL42</f>
        <v>3575</v>
      </c>
      <c r="AM44" s="67">
        <f>SUM(AI44:AL44)</f>
        <v>12584</v>
      </c>
      <c r="AN44" s="98">
        <f>AN43*AN42</f>
        <v>2679</v>
      </c>
      <c r="AO44" s="98">
        <f>AO43*AO42</f>
        <v>2256</v>
      </c>
      <c r="AP44" s="98">
        <f>AP43*AP42</f>
        <v>2982</v>
      </c>
      <c r="AQ44" s="98">
        <f>AQ43*AQ42</f>
        <v>2556</v>
      </c>
      <c r="AR44" s="67">
        <f>SUM(AN44:AQ44)</f>
        <v>10473</v>
      </c>
      <c r="AS44" s="98">
        <f t="shared" ref="AS44:BT44" si="140">AS43*AS42</f>
        <v>1872</v>
      </c>
      <c r="AT44" s="98">
        <f t="shared" si="140"/>
        <v>2736</v>
      </c>
      <c r="AU44" s="98">
        <f t="shared" si="140"/>
        <v>3024</v>
      </c>
      <c r="AV44" s="98">
        <f t="shared" si="140"/>
        <v>2880</v>
      </c>
      <c r="AW44" s="67">
        <f t="shared" si="140"/>
        <v>10512</v>
      </c>
      <c r="AX44" s="98">
        <f t="shared" si="140"/>
        <v>2880</v>
      </c>
      <c r="AY44" s="98">
        <f t="shared" si="140"/>
        <v>3190</v>
      </c>
      <c r="AZ44" s="98">
        <f t="shared" si="140"/>
        <v>2900</v>
      </c>
      <c r="BA44" s="98">
        <f t="shared" si="140"/>
        <v>3045</v>
      </c>
      <c r="BB44" s="67">
        <f t="shared" si="140"/>
        <v>12015</v>
      </c>
      <c r="BC44" s="98">
        <f t="shared" si="140"/>
        <v>3480</v>
      </c>
      <c r="BD44" s="98">
        <f t="shared" si="140"/>
        <v>3335</v>
      </c>
      <c r="BE44" s="98">
        <f t="shared" si="140"/>
        <v>3770</v>
      </c>
      <c r="BF44" s="98">
        <f t="shared" si="140"/>
        <v>3625</v>
      </c>
      <c r="BG44" s="67">
        <f t="shared" si="140"/>
        <v>14308</v>
      </c>
      <c r="BH44" s="98">
        <f t="shared" si="140"/>
        <v>3783.02</v>
      </c>
      <c r="BI44" s="98">
        <f t="shared" si="140"/>
        <v>3783.02</v>
      </c>
      <c r="BJ44" s="98">
        <f t="shared" si="140"/>
        <v>4372.76</v>
      </c>
      <c r="BK44" s="98">
        <f t="shared" si="140"/>
        <v>3824.1400000000003</v>
      </c>
      <c r="BL44" s="120">
        <f t="shared" si="140"/>
        <v>15762.939999999999</v>
      </c>
      <c r="BM44" s="98">
        <f t="shared" ref="BM44:BP44" si="141">BM43*BM42</f>
        <v>3668.46</v>
      </c>
      <c r="BN44" s="98">
        <f t="shared" ref="BN44" si="142">BN43*BN42</f>
        <v>4126.3999999999996</v>
      </c>
      <c r="BO44" s="98">
        <f t="shared" si="141"/>
        <v>4084.7299999999996</v>
      </c>
      <c r="BP44" s="98">
        <f t="shared" si="141"/>
        <v>3286.02</v>
      </c>
      <c r="BQ44" s="120">
        <f t="shared" si="140"/>
        <v>15165.61</v>
      </c>
      <c r="BR44" s="98">
        <f t="shared" si="140"/>
        <v>3464.18</v>
      </c>
      <c r="BS44" s="437">
        <f t="shared" si="140"/>
        <v>4202.9400000000005</v>
      </c>
      <c r="BT44" s="437">
        <f t="shared" si="140"/>
        <v>3286.0200000000004</v>
      </c>
      <c r="BU44" s="437">
        <f t="shared" ref="BU44" si="143">BU43*BU42</f>
        <v>3897.3000000000011</v>
      </c>
      <c r="BV44" s="67">
        <f t="shared" ref="BV44:BZ44" si="144">BV43*BV42</f>
        <v>14850.440000000002</v>
      </c>
      <c r="BW44" s="437">
        <f t="shared" si="144"/>
        <v>3080.6300000000006</v>
      </c>
      <c r="BX44" s="437">
        <f t="shared" ref="BX44" si="145">BX43*BX42</f>
        <v>3097.8675000000003</v>
      </c>
      <c r="BY44" s="437">
        <f t="shared" si="144"/>
        <v>2343.0425000000005</v>
      </c>
      <c r="BZ44" s="437">
        <f t="shared" si="144"/>
        <v>2239.6175000000003</v>
      </c>
      <c r="CA44" s="120">
        <f t="shared" ref="CA44:CE44" si="146">CA43*CA42</f>
        <v>10761.157500000001</v>
      </c>
      <c r="CB44" s="437">
        <f t="shared" si="146"/>
        <v>1709.32</v>
      </c>
      <c r="CC44" s="437">
        <f t="shared" ref="CC44:CD44" si="147">CC43*CC42</f>
        <v>1828.04</v>
      </c>
      <c r="CD44" s="437">
        <f t="shared" si="147"/>
        <v>1605.7999999999997</v>
      </c>
      <c r="CE44" s="437">
        <f t="shared" si="146"/>
        <v>1383.56</v>
      </c>
      <c r="CF44" s="120">
        <f>CF43*CF42</f>
        <v>6526.7199999999993</v>
      </c>
      <c r="CG44" s="437">
        <f t="shared" ref="CG44:CI44" si="148">CG43*CG42</f>
        <v>1283.6849999999999</v>
      </c>
      <c r="CH44" s="437">
        <f t="shared" si="148"/>
        <v>1540.4219999999998</v>
      </c>
      <c r="CI44" s="437">
        <f t="shared" si="148"/>
        <v>1323.7379999999998</v>
      </c>
      <c r="CJ44" s="437">
        <f t="shared" ref="CJ44" si="149">CJ43*CJ42</f>
        <v>1565.6549999999997</v>
      </c>
      <c r="CK44" s="120">
        <f>CK43*CK42</f>
        <v>5713.4999999999991</v>
      </c>
      <c r="CL44" s="98">
        <f t="shared" ref="CL44:CM44" si="150">CL43*CL42</f>
        <v>726.35354999999981</v>
      </c>
      <c r="CM44" s="437">
        <f t="shared" si="150"/>
        <v>451.43279999999993</v>
      </c>
      <c r="CN44" s="437">
        <f t="shared" ref="CN44:CO44" si="151">CN43*CN42</f>
        <v>613.49534999999992</v>
      </c>
      <c r="CO44" s="437">
        <f t="shared" si="151"/>
        <v>1290.6445499999998</v>
      </c>
      <c r="CP44" s="120">
        <f>CP43*CP42</f>
        <v>3081.9262499999995</v>
      </c>
      <c r="CQ44" s="437">
        <f t="shared" ref="CQ44" si="152">CQ43*CQ42</f>
        <v>780.15607312499969</v>
      </c>
      <c r="CR44" s="437">
        <f t="shared" ref="CR44" si="153">CR43*CR42</f>
        <v>880.29395999999986</v>
      </c>
      <c r="CS44" s="437">
        <f t="shared" ref="CS44:CT44" si="154">CS43*CS42</f>
        <v>708.19471124999984</v>
      </c>
      <c r="CT44" s="437">
        <f t="shared" si="154"/>
        <v>464.13410062499986</v>
      </c>
      <c r="CU44" s="120">
        <f>CU43*CU42</f>
        <v>2832.7788449999994</v>
      </c>
      <c r="CV44" s="437">
        <f t="shared" ref="CV44:CW44" si="155">CV43*CV42</f>
        <v>321.85747912499994</v>
      </c>
      <c r="CW44" s="437">
        <f t="shared" si="155"/>
        <v>988.95987998437477</v>
      </c>
      <c r="CX44" s="437">
        <f t="shared" ref="CX44:CY44" si="156">CX43*CX42</f>
        <v>667.10240085937494</v>
      </c>
      <c r="CY44" s="437">
        <f t="shared" si="156"/>
        <v>643.71495824999988</v>
      </c>
      <c r="CZ44" s="120">
        <f>CZ43*CZ42</f>
        <v>2621.6347182187492</v>
      </c>
      <c r="DA44" s="98">
        <f t="shared" ref="DA44:DD44" si="157">DA43*DA42</f>
        <v>424.85187244499991</v>
      </c>
      <c r="DB44" s="98">
        <f t="shared" si="157"/>
        <v>531.06484055624992</v>
      </c>
      <c r="DC44" s="437">
        <f t="shared" si="157"/>
        <v>870.89721403851536</v>
      </c>
      <c r="DD44" s="437">
        <f t="shared" si="157"/>
        <v>955.91671300124983</v>
      </c>
      <c r="DE44" s="120">
        <f>DE43*DE42</f>
        <v>2782.7306400410148</v>
      </c>
      <c r="DF44" s="1041">
        <f t="shared" ref="DF44:DI44" si="158">DF43*DF42</f>
        <v>0</v>
      </c>
      <c r="DG44" s="437">
        <f t="shared" si="158"/>
        <v>743.49077677874982</v>
      </c>
      <c r="DH44" s="437">
        <f t="shared" si="158"/>
        <v>424.85187244499991</v>
      </c>
      <c r="DI44" s="437">
        <f t="shared" si="158"/>
        <v>336.64721255077137</v>
      </c>
      <c r="DJ44" s="120">
        <f t="shared" ref="DJ44:DN44" si="159">DJ43*DJ42</f>
        <v>1504.9898617745212</v>
      </c>
      <c r="DK44" s="1041">
        <f t="shared" si="159"/>
        <v>743.49077677874982</v>
      </c>
      <c r="DL44" s="437">
        <f t="shared" si="159"/>
        <v>1380.7685854462497</v>
      </c>
      <c r="DM44" s="437">
        <f t="shared" ref="DM44" si="160">DM43*DM42</f>
        <v>955.91671300124983</v>
      </c>
      <c r="DN44" s="437">
        <f t="shared" si="159"/>
        <v>637.27780866749981</v>
      </c>
      <c r="DO44" s="120">
        <f t="shared" ref="DO44:DS44" si="161">DO43*DO42</f>
        <v>3717.4538838937492</v>
      </c>
      <c r="DP44" s="437">
        <f t="shared" si="161"/>
        <v>849.70374488999983</v>
      </c>
      <c r="DQ44" s="98">
        <f t="shared" si="161"/>
        <v>743.49077677874982</v>
      </c>
      <c r="DR44" s="98">
        <f t="shared" si="161"/>
        <v>106.21296811124998</v>
      </c>
      <c r="DS44" s="98">
        <f t="shared" si="161"/>
        <v>106.21296811124998</v>
      </c>
      <c r="DT44" s="67">
        <f t="shared" ref="DT44:DX44" si="162">DT43*DT42</f>
        <v>1805.6204578912493</v>
      </c>
      <c r="DU44" s="98">
        <f t="shared" si="162"/>
        <v>567.93676122249997</v>
      </c>
      <c r="DV44" s="98">
        <f t="shared" si="162"/>
        <v>1172.7454431112501</v>
      </c>
      <c r="DW44" s="98">
        <f t="shared" si="162"/>
        <v>1358.7454431112501</v>
      </c>
      <c r="DX44" s="98">
        <f t="shared" si="162"/>
        <v>2069.7670931112498</v>
      </c>
      <c r="DY44" s="67">
        <f t="shared" ref="DY44" si="163">DY43*DY42</f>
        <v>5169.1947405562496</v>
      </c>
      <c r="DZ44" s="67">
        <f t="shared" ref="DZ44:EB44" si="164">DZ43*DZ42</f>
        <v>8228.4259362225002</v>
      </c>
      <c r="EA44" s="67">
        <f t="shared" si="164"/>
        <v>11094</v>
      </c>
      <c r="EB44" s="67">
        <f t="shared" si="164"/>
        <v>12120</v>
      </c>
    </row>
    <row r="45" spans="1:132" s="424" customFormat="1">
      <c r="A45" s="68"/>
      <c r="B45" s="427" t="s">
        <v>369</v>
      </c>
      <c r="C45" s="426">
        <v>0.11</v>
      </c>
      <c r="D45" s="426">
        <v>8.5000000000000006E-2</v>
      </c>
      <c r="E45" s="426">
        <v>0.09</v>
      </c>
      <c r="F45" s="426">
        <v>0.13</v>
      </c>
      <c r="G45" s="426">
        <v>0.13</v>
      </c>
      <c r="H45" s="426">
        <v>0.14000000000000001</v>
      </c>
      <c r="I45" s="452">
        <v>8.5000000000000006E-2</v>
      </c>
      <c r="J45" s="498">
        <v>9.7000000000000003E-2</v>
      </c>
      <c r="K45" s="427">
        <v>9.7000000000000003E-2</v>
      </c>
      <c r="L45" s="427">
        <v>9.7000000000000003E-2</v>
      </c>
      <c r="M45" s="453">
        <v>9.7000000000000003E-2</v>
      </c>
      <c r="N45" s="426">
        <v>9.7000000000000003E-2</v>
      </c>
      <c r="O45" s="452">
        <v>0.15</v>
      </c>
      <c r="P45" s="427">
        <v>0.15</v>
      </c>
      <c r="Q45" s="427">
        <v>0.15</v>
      </c>
      <c r="R45" s="453">
        <v>0.15</v>
      </c>
      <c r="S45" s="426">
        <v>0.15</v>
      </c>
      <c r="T45" s="452">
        <v>0.19</v>
      </c>
      <c r="U45" s="427">
        <v>0.19</v>
      </c>
      <c r="V45" s="427">
        <v>0.19</v>
      </c>
      <c r="W45" s="453">
        <v>0.19</v>
      </c>
      <c r="X45" s="426">
        <v>0.215</v>
      </c>
      <c r="Y45" s="452">
        <v>0.2</v>
      </c>
      <c r="Z45" s="427">
        <v>0.2</v>
      </c>
      <c r="AA45" s="427">
        <v>0.2</v>
      </c>
      <c r="AB45" s="453">
        <v>0.2</v>
      </c>
      <c r="AC45" s="426">
        <v>0.24</v>
      </c>
      <c r="AD45" s="452">
        <v>0.2</v>
      </c>
      <c r="AE45" s="427">
        <v>0.2</v>
      </c>
      <c r="AF45" s="427">
        <v>0.2</v>
      </c>
      <c r="AG45" s="453">
        <v>0.2</v>
      </c>
      <c r="AH45" s="426">
        <v>0.2</v>
      </c>
      <c r="AI45" s="452">
        <v>0.18</v>
      </c>
      <c r="AJ45" s="427">
        <v>0.18</v>
      </c>
      <c r="AK45" s="427">
        <v>0.18</v>
      </c>
      <c r="AL45" s="453">
        <v>0.18</v>
      </c>
      <c r="AM45" s="426">
        <v>0.18</v>
      </c>
      <c r="AN45" s="452">
        <v>0.21</v>
      </c>
      <c r="AO45" s="427">
        <v>0.21</v>
      </c>
      <c r="AP45" s="427">
        <v>0.21</v>
      </c>
      <c r="AQ45" s="453">
        <v>0.21</v>
      </c>
      <c r="AR45" s="426">
        <f>AR46/AR44</f>
        <v>0.21</v>
      </c>
      <c r="AS45" s="452">
        <v>0.21</v>
      </c>
      <c r="AT45" s="427">
        <v>0.21</v>
      </c>
      <c r="AU45" s="427">
        <v>0.21</v>
      </c>
      <c r="AV45" s="453">
        <v>0.21</v>
      </c>
      <c r="AW45" s="426">
        <f>AW46/AW44</f>
        <v>0.20999999999999996</v>
      </c>
      <c r="AX45" s="452"/>
      <c r="AY45" s="427"/>
      <c r="AZ45" s="427"/>
      <c r="BA45" s="453"/>
      <c r="BB45" s="426">
        <v>0.2</v>
      </c>
      <c r="BC45" s="452"/>
      <c r="BD45" s="427"/>
      <c r="BE45" s="427"/>
      <c r="BF45" s="453"/>
      <c r="BG45" s="426">
        <v>0.2</v>
      </c>
      <c r="BH45" s="452"/>
      <c r="BI45" s="427"/>
      <c r="BJ45" s="427"/>
      <c r="BK45" s="453"/>
      <c r="BL45" s="136">
        <v>0.2</v>
      </c>
      <c r="BM45" s="452"/>
      <c r="BN45" s="427"/>
      <c r="BO45" s="427"/>
      <c r="BP45" s="453"/>
      <c r="BQ45" s="136">
        <v>0.2</v>
      </c>
      <c r="BR45" s="452"/>
      <c r="BS45" s="427"/>
      <c r="BT45" s="427"/>
      <c r="BU45" s="453"/>
      <c r="BV45" s="426">
        <v>0.19</v>
      </c>
      <c r="BW45" s="749"/>
      <c r="BX45" s="427"/>
      <c r="BY45" s="427"/>
      <c r="BZ45" s="910"/>
      <c r="CA45" s="136">
        <v>0.18</v>
      </c>
      <c r="CB45" s="749"/>
      <c r="CC45" s="427"/>
      <c r="CD45" s="427"/>
      <c r="CE45" s="910"/>
      <c r="CF45" s="136">
        <v>0.17</v>
      </c>
      <c r="CG45" s="427"/>
      <c r="CH45" s="295"/>
      <c r="CI45" s="427"/>
      <c r="CJ45" s="427"/>
      <c r="CK45" s="136">
        <v>0.16500000000000001</v>
      </c>
      <c r="CL45" s="427"/>
      <c r="CM45" s="427"/>
      <c r="CN45" s="427"/>
      <c r="CO45" s="427"/>
      <c r="CP45" s="136">
        <v>0.1</v>
      </c>
      <c r="CQ45" s="295"/>
      <c r="CR45" s="295"/>
      <c r="CS45" s="295"/>
      <c r="CT45" s="295"/>
      <c r="CU45" s="136">
        <v>0.08</v>
      </c>
      <c r="CV45" s="295"/>
      <c r="CW45" s="427"/>
      <c r="CX45" s="427"/>
      <c r="CY45" s="427"/>
      <c r="CZ45" s="136">
        <v>0.05</v>
      </c>
      <c r="DA45" s="427"/>
      <c r="DB45" s="427"/>
      <c r="DC45" s="427"/>
      <c r="DD45" s="427"/>
      <c r="DE45" s="136">
        <v>5.5E-2</v>
      </c>
      <c r="DF45" s="295"/>
      <c r="DG45" s="295"/>
      <c r="DH45" s="295"/>
      <c r="DI45" s="295"/>
      <c r="DJ45" s="136">
        <v>0.05</v>
      </c>
      <c r="DK45" s="295"/>
      <c r="DL45" s="295"/>
      <c r="DM45" s="427"/>
      <c r="DN45" s="295"/>
      <c r="DO45" s="136">
        <v>0</v>
      </c>
      <c r="DP45" s="295"/>
      <c r="DQ45" s="427"/>
      <c r="DR45" s="427"/>
      <c r="DS45" s="427"/>
      <c r="DT45" s="1090">
        <v>5.0000000000000001E-3</v>
      </c>
      <c r="DU45" s="427"/>
      <c r="DV45" s="427"/>
      <c r="DW45" s="427"/>
      <c r="DX45" s="427"/>
      <c r="DY45" s="1090">
        <v>0.01</v>
      </c>
      <c r="DZ45" s="1090">
        <v>0.03</v>
      </c>
      <c r="EA45" s="1090">
        <v>0.06</v>
      </c>
      <c r="EB45" s="1090">
        <v>0.1</v>
      </c>
    </row>
    <row r="46" spans="1:132" s="424" customFormat="1">
      <c r="A46" s="68"/>
      <c r="B46" s="427" t="s">
        <v>370</v>
      </c>
      <c r="C46" s="67">
        <f t="shared" ref="C46:I46" si="165">C44*C45</f>
        <v>730.125</v>
      </c>
      <c r="D46" s="67">
        <f t="shared" si="165"/>
        <v>704.48</v>
      </c>
      <c r="E46" s="67">
        <f t="shared" si="165"/>
        <v>885.19499999999994</v>
      </c>
      <c r="F46" s="67">
        <f t="shared" si="165"/>
        <v>858</v>
      </c>
      <c r="G46" s="67">
        <f t="shared" si="165"/>
        <v>999.18000000000006</v>
      </c>
      <c r="H46" s="67">
        <f t="shared" si="165"/>
        <v>868.56000000000006</v>
      </c>
      <c r="I46" s="454">
        <f t="shared" si="165"/>
        <v>447.52500000000003</v>
      </c>
      <c r="J46" s="265">
        <f t="shared" ref="J46:BQ46" si="166">J44*J45</f>
        <v>107.08800000000001</v>
      </c>
      <c r="K46" s="98">
        <f t="shared" si="166"/>
        <v>147.24600000000001</v>
      </c>
      <c r="L46" s="98">
        <f t="shared" si="166"/>
        <v>107.08800000000001</v>
      </c>
      <c r="M46" s="98">
        <f t="shared" si="166"/>
        <v>120.474</v>
      </c>
      <c r="N46" s="67">
        <f t="shared" si="166"/>
        <v>481.89600000000002</v>
      </c>
      <c r="O46" s="98">
        <f t="shared" si="166"/>
        <v>169.2</v>
      </c>
      <c r="P46" s="98">
        <f t="shared" si="166"/>
        <v>296.09999999999997</v>
      </c>
      <c r="Q46" s="98">
        <f t="shared" si="166"/>
        <v>169.2</v>
      </c>
      <c r="R46" s="98">
        <f t="shared" si="166"/>
        <v>211.5</v>
      </c>
      <c r="S46" s="67">
        <f t="shared" si="166"/>
        <v>846</v>
      </c>
      <c r="T46" s="98">
        <f t="shared" si="166"/>
        <v>455.43</v>
      </c>
      <c r="U46" s="98">
        <f t="shared" si="166"/>
        <v>456.72200000000004</v>
      </c>
      <c r="V46" s="98">
        <f t="shared" si="166"/>
        <v>348.27</v>
      </c>
      <c r="W46" s="98">
        <f t="shared" si="166"/>
        <v>482.22</v>
      </c>
      <c r="X46" s="67">
        <f t="shared" si="166"/>
        <v>1971.9369999999999</v>
      </c>
      <c r="Y46" s="98">
        <f t="shared" si="166"/>
        <v>479.40000000000003</v>
      </c>
      <c r="Z46" s="98">
        <f t="shared" si="166"/>
        <v>592.20000000000005</v>
      </c>
      <c r="AA46" s="98">
        <f t="shared" si="166"/>
        <v>564</v>
      </c>
      <c r="AB46" s="98">
        <f t="shared" si="166"/>
        <v>705</v>
      </c>
      <c r="AC46" s="67">
        <f t="shared" si="166"/>
        <v>2808.72</v>
      </c>
      <c r="AD46" s="98">
        <f t="shared" si="166"/>
        <v>600.6</v>
      </c>
      <c r="AE46" s="98">
        <f t="shared" si="166"/>
        <v>514.80000000000007</v>
      </c>
      <c r="AF46" s="98">
        <f t="shared" si="166"/>
        <v>314.60000000000002</v>
      </c>
      <c r="AG46" s="98">
        <f t="shared" si="166"/>
        <v>314.60000000000002</v>
      </c>
      <c r="AH46" s="67">
        <f t="shared" si="166"/>
        <v>1744.6000000000001</v>
      </c>
      <c r="AI46" s="98">
        <f t="shared" si="166"/>
        <v>592.02</v>
      </c>
      <c r="AJ46" s="98">
        <f t="shared" si="166"/>
        <v>540.54</v>
      </c>
      <c r="AK46" s="98">
        <f t="shared" si="166"/>
        <v>489.06</v>
      </c>
      <c r="AL46" s="98">
        <f t="shared" si="166"/>
        <v>643.5</v>
      </c>
      <c r="AM46" s="67">
        <f t="shared" si="166"/>
        <v>2265.12</v>
      </c>
      <c r="AN46" s="98">
        <f t="shared" si="166"/>
        <v>562.59</v>
      </c>
      <c r="AO46" s="98">
        <f t="shared" si="166"/>
        <v>473.76</v>
      </c>
      <c r="AP46" s="98">
        <f t="shared" si="166"/>
        <v>626.22</v>
      </c>
      <c r="AQ46" s="98">
        <f t="shared" si="166"/>
        <v>536.76</v>
      </c>
      <c r="AR46" s="67">
        <f>SUM(AN46:AQ46)</f>
        <v>2199.33</v>
      </c>
      <c r="AS46" s="98">
        <f t="shared" si="166"/>
        <v>393.12</v>
      </c>
      <c r="AT46" s="98">
        <f t="shared" si="166"/>
        <v>574.55999999999995</v>
      </c>
      <c r="AU46" s="98">
        <f t="shared" si="166"/>
        <v>635.04</v>
      </c>
      <c r="AV46" s="98">
        <f t="shared" si="166"/>
        <v>604.79999999999995</v>
      </c>
      <c r="AW46" s="67">
        <f>SUM(AS46:AV46)</f>
        <v>2207.5199999999995</v>
      </c>
      <c r="AX46" s="98"/>
      <c r="AY46" s="98"/>
      <c r="AZ46" s="98"/>
      <c r="BA46" s="98"/>
      <c r="BB46" s="67">
        <f t="shared" si="166"/>
        <v>2403</v>
      </c>
      <c r="BC46" s="98"/>
      <c r="BD46" s="98"/>
      <c r="BE46" s="98"/>
      <c r="BF46" s="98"/>
      <c r="BG46" s="67">
        <f t="shared" si="166"/>
        <v>2861.6000000000004</v>
      </c>
      <c r="BH46" s="98"/>
      <c r="BI46" s="98"/>
      <c r="BJ46" s="98"/>
      <c r="BK46" s="98"/>
      <c r="BL46" s="120">
        <f t="shared" si="166"/>
        <v>3152.5879999999997</v>
      </c>
      <c r="BM46" s="98"/>
      <c r="BN46" s="98"/>
      <c r="BO46" s="98"/>
      <c r="BP46" s="98"/>
      <c r="BQ46" s="120">
        <f t="shared" si="166"/>
        <v>3033.1220000000003</v>
      </c>
      <c r="BR46" s="98"/>
      <c r="BS46" s="98"/>
      <c r="BT46" s="98"/>
      <c r="BU46" s="98"/>
      <c r="BV46" s="67">
        <f t="shared" ref="BV46" si="167">BV44*BV45</f>
        <v>2821.5836000000004</v>
      </c>
      <c r="BW46" s="437"/>
      <c r="BX46" s="437"/>
      <c r="BY46" s="437"/>
      <c r="BZ46" s="437"/>
      <c r="CA46" s="120">
        <f>CA44*CA45</f>
        <v>1937.0083500000001</v>
      </c>
      <c r="CB46" s="437"/>
      <c r="CC46" s="98"/>
      <c r="CD46" s="98"/>
      <c r="CE46" s="437"/>
      <c r="CF46" s="120">
        <f>CF44*CF45</f>
        <v>1109.5424</v>
      </c>
      <c r="CG46" s="98"/>
      <c r="CH46" s="437"/>
      <c r="CI46" s="98"/>
      <c r="CJ46" s="98"/>
      <c r="CK46" s="120">
        <f>CK44*CK45</f>
        <v>942.72749999999985</v>
      </c>
      <c r="CL46" s="98"/>
      <c r="CM46" s="98"/>
      <c r="CN46" s="98"/>
      <c r="CO46" s="98"/>
      <c r="CP46" s="120">
        <f>CP44*CP45</f>
        <v>308.19262499999996</v>
      </c>
      <c r="CQ46" s="437"/>
      <c r="CR46" s="437"/>
      <c r="CS46" s="437"/>
      <c r="CT46" s="437"/>
      <c r="CU46" s="120">
        <f>CU44*CU45</f>
        <v>226.62230759999994</v>
      </c>
      <c r="CV46" s="437"/>
      <c r="CW46" s="98"/>
      <c r="CX46" s="98"/>
      <c r="CY46" s="98"/>
      <c r="CZ46" s="67">
        <f>CZ44*CZ45</f>
        <v>131.08173591093745</v>
      </c>
      <c r="DA46" s="98"/>
      <c r="DB46" s="98"/>
      <c r="DC46" s="98"/>
      <c r="DD46" s="98"/>
      <c r="DE46" s="67">
        <f>DE44*DE45</f>
        <v>153.05018520225582</v>
      </c>
      <c r="DF46" s="437"/>
      <c r="DG46" s="437"/>
      <c r="DH46" s="437"/>
      <c r="DI46" s="437"/>
      <c r="DJ46" s="120">
        <f t="shared" ref="DJ46" si="168">DJ44*DJ45</f>
        <v>75.249493088726055</v>
      </c>
      <c r="DK46" s="437"/>
      <c r="DL46" s="437"/>
      <c r="DM46" s="98"/>
      <c r="DN46" s="437"/>
      <c r="DO46" s="120">
        <f t="shared" ref="DO46" si="169">DO44*DO45</f>
        <v>0</v>
      </c>
      <c r="DP46" s="437"/>
      <c r="DQ46" s="98"/>
      <c r="DR46" s="98"/>
      <c r="DS46" s="98"/>
      <c r="DT46" s="67">
        <f t="shared" ref="DT46" si="170">DT44*DT45</f>
        <v>9.0281022894562462</v>
      </c>
      <c r="DU46" s="98"/>
      <c r="DV46" s="98"/>
      <c r="DW46" s="98"/>
      <c r="DX46" s="98"/>
      <c r="DY46" s="67">
        <f t="shared" ref="DY46" si="171">DY44*DY45</f>
        <v>51.691947405562495</v>
      </c>
      <c r="DZ46" s="67">
        <f t="shared" ref="DZ46:EB46" si="172">DZ44*DZ45</f>
        <v>246.85277808667499</v>
      </c>
      <c r="EA46" s="67">
        <f t="shared" si="172"/>
        <v>665.64</v>
      </c>
      <c r="EB46" s="67">
        <f t="shared" si="172"/>
        <v>1212</v>
      </c>
    </row>
    <row r="47" spans="1:132" s="424" customFormat="1" ht="8.25" customHeight="1">
      <c r="A47" s="68"/>
      <c r="B47" s="98"/>
      <c r="C47" s="425"/>
      <c r="D47" s="425"/>
      <c r="E47" s="425"/>
      <c r="F47" s="425"/>
      <c r="G47" s="425"/>
      <c r="H47" s="425"/>
      <c r="I47" s="490"/>
      <c r="J47" s="499"/>
      <c r="N47" s="425"/>
      <c r="S47" s="425"/>
      <c r="X47" s="425"/>
      <c r="AC47" s="425"/>
      <c r="AH47" s="425"/>
      <c r="AM47" s="425"/>
      <c r="AR47" s="425"/>
      <c r="AW47" s="425"/>
      <c r="BB47" s="425"/>
      <c r="BG47" s="425"/>
      <c r="BL47" s="585"/>
      <c r="BQ47" s="425"/>
      <c r="BV47" s="425"/>
      <c r="BW47" s="439"/>
      <c r="BZ47" s="439"/>
      <c r="CA47" s="585"/>
      <c r="CB47" s="439"/>
      <c r="CE47" s="439"/>
      <c r="CF47" s="585"/>
      <c r="CH47" s="439"/>
      <c r="CK47" s="585"/>
      <c r="CP47" s="425"/>
      <c r="CQ47" s="439"/>
      <c r="CR47" s="439"/>
      <c r="CS47" s="439"/>
      <c r="CT47" s="439"/>
      <c r="CU47" s="585"/>
      <c r="CV47" s="439"/>
      <c r="CZ47" s="425"/>
      <c r="DE47" s="425"/>
      <c r="DF47" s="439"/>
      <c r="DG47" s="439"/>
      <c r="DH47" s="439"/>
      <c r="DI47" s="439"/>
      <c r="DJ47" s="585"/>
      <c r="DK47" s="439"/>
      <c r="DL47" s="439"/>
      <c r="DN47" s="439"/>
      <c r="DO47" s="585"/>
      <c r="DP47" s="439"/>
      <c r="DT47" s="425"/>
      <c r="DY47" s="425"/>
      <c r="DZ47" s="425"/>
      <c r="EA47" s="425"/>
      <c r="EB47" s="425"/>
    </row>
    <row r="48" spans="1:132" s="424" customFormat="1">
      <c r="A48" s="68"/>
      <c r="B48" s="432" t="s">
        <v>209</v>
      </c>
      <c r="C48" s="43"/>
      <c r="D48" s="43"/>
      <c r="E48" s="43">
        <v>12</v>
      </c>
      <c r="F48" s="43">
        <v>32</v>
      </c>
      <c r="G48" s="43">
        <v>49</v>
      </c>
      <c r="H48" s="43">
        <v>20</v>
      </c>
      <c r="I48" s="488">
        <v>12</v>
      </c>
      <c r="J48" s="496">
        <v>3</v>
      </c>
      <c r="K48" s="432">
        <v>3</v>
      </c>
      <c r="L48" s="432">
        <v>3</v>
      </c>
      <c r="M48" s="432">
        <v>3</v>
      </c>
      <c r="N48" s="43">
        <f>+M48+L48+K48+J48</f>
        <v>12</v>
      </c>
      <c r="O48" s="432">
        <v>3</v>
      </c>
      <c r="P48" s="432">
        <v>3</v>
      </c>
      <c r="Q48" s="432">
        <v>3</v>
      </c>
      <c r="R48" s="432">
        <v>4</v>
      </c>
      <c r="S48" s="43">
        <f>+R48+Q48+P48+O48</f>
        <v>13</v>
      </c>
      <c r="T48" s="432">
        <v>2</v>
      </c>
      <c r="U48" s="432">
        <v>3</v>
      </c>
      <c r="V48" s="432">
        <v>0</v>
      </c>
      <c r="W48" s="432">
        <f>+X48-V48-U48-T48</f>
        <v>0</v>
      </c>
      <c r="X48" s="43">
        <v>5</v>
      </c>
      <c r="Y48" s="432">
        <v>0</v>
      </c>
      <c r="Z48" s="432">
        <v>0</v>
      </c>
      <c r="AA48" s="432">
        <v>0</v>
      </c>
      <c r="AB48" s="432">
        <v>0</v>
      </c>
      <c r="AC48" s="43"/>
      <c r="AD48" s="432"/>
      <c r="AE48" s="432"/>
      <c r="AF48" s="432"/>
      <c r="AG48" s="432"/>
      <c r="AH48" s="43"/>
      <c r="AI48" s="436"/>
      <c r="AJ48" s="436"/>
      <c r="AK48" s="436"/>
      <c r="AL48" s="436"/>
      <c r="AM48" s="34"/>
      <c r="AN48" s="436"/>
      <c r="AO48" s="436"/>
      <c r="AP48" s="436"/>
      <c r="AQ48" s="436"/>
      <c r="AR48" s="34"/>
      <c r="AS48" s="436"/>
      <c r="AT48" s="436"/>
      <c r="AU48" s="436"/>
      <c r="AV48" s="436"/>
      <c r="AW48" s="34"/>
      <c r="AX48" s="436"/>
      <c r="AY48" s="436"/>
      <c r="AZ48" s="436"/>
      <c r="BA48" s="436"/>
      <c r="BB48" s="34"/>
      <c r="BC48" s="436"/>
      <c r="BD48" s="436"/>
      <c r="BE48" s="436"/>
      <c r="BF48" s="436"/>
      <c r="BG48" s="34"/>
      <c r="BH48" s="436"/>
      <c r="BI48" s="436"/>
      <c r="BJ48" s="436"/>
      <c r="BK48" s="436"/>
      <c r="BL48" s="34"/>
      <c r="BM48" s="436"/>
      <c r="BN48" s="436"/>
      <c r="BO48" s="436"/>
      <c r="BP48" s="436"/>
      <c r="BQ48" s="34"/>
      <c r="BR48" s="436"/>
      <c r="BS48" s="436"/>
      <c r="BT48" s="436"/>
      <c r="BU48" s="436"/>
      <c r="BV48" s="34"/>
      <c r="BW48" s="436"/>
      <c r="BX48" s="436"/>
      <c r="BY48" s="436"/>
      <c r="BZ48" s="436"/>
      <c r="CA48" s="34"/>
      <c r="CB48" s="436"/>
      <c r="CC48" s="436"/>
      <c r="CD48" s="436"/>
      <c r="CE48" s="436"/>
      <c r="CF48" s="34"/>
      <c r="CG48" s="436"/>
      <c r="CH48" s="436"/>
      <c r="CI48" s="436"/>
      <c r="CJ48" s="436"/>
      <c r="CK48" s="34"/>
      <c r="CL48" s="436"/>
      <c r="CM48" s="436"/>
      <c r="CN48" s="436"/>
      <c r="CO48" s="436"/>
      <c r="CP48" s="34"/>
      <c r="CQ48" s="436"/>
      <c r="CR48" s="436"/>
      <c r="CS48" s="436"/>
      <c r="CT48" s="436"/>
      <c r="CU48" s="34"/>
      <c r="CV48" s="436"/>
      <c r="CW48" s="436"/>
      <c r="CX48" s="436"/>
      <c r="CY48" s="436"/>
      <c r="CZ48" s="34"/>
      <c r="DA48" s="436"/>
      <c r="DB48" s="436"/>
      <c r="DC48" s="436"/>
      <c r="DD48" s="436"/>
      <c r="DE48" s="34"/>
      <c r="DF48" s="436"/>
      <c r="DG48" s="436"/>
      <c r="DH48" s="436"/>
      <c r="DI48" s="436"/>
      <c r="DJ48" s="34"/>
      <c r="DK48" s="436"/>
      <c r="DL48" s="436"/>
      <c r="DM48" s="436"/>
      <c r="DN48" s="436"/>
      <c r="DO48" s="34"/>
      <c r="DP48" s="436"/>
      <c r="DQ48" s="436"/>
      <c r="DR48" s="436"/>
      <c r="DS48" s="436"/>
      <c r="DT48" s="34"/>
      <c r="DU48" s="436"/>
      <c r="DV48" s="436"/>
      <c r="DW48" s="436"/>
      <c r="DX48" s="436"/>
      <c r="DY48" s="34"/>
      <c r="DZ48" s="34"/>
      <c r="EA48" s="34"/>
      <c r="EB48" s="34"/>
    </row>
    <row r="49" spans="1:132" s="424" customFormat="1">
      <c r="A49" s="68"/>
      <c r="B49" s="98" t="s">
        <v>193</v>
      </c>
      <c r="C49" s="189"/>
      <c r="D49" s="189"/>
      <c r="E49" s="189">
        <v>22</v>
      </c>
      <c r="F49" s="189">
        <v>22</v>
      </c>
      <c r="G49" s="189">
        <v>23</v>
      </c>
      <c r="H49" s="189">
        <v>24</v>
      </c>
      <c r="I49" s="489">
        <v>25</v>
      </c>
      <c r="J49" s="497">
        <v>26</v>
      </c>
      <c r="K49" s="451">
        <v>26</v>
      </c>
      <c r="L49" s="451">
        <v>26</v>
      </c>
      <c r="M49" s="451">
        <v>26</v>
      </c>
      <c r="N49" s="189">
        <v>26</v>
      </c>
      <c r="O49" s="451">
        <v>27</v>
      </c>
      <c r="P49" s="451">
        <v>27</v>
      </c>
      <c r="Q49" s="451">
        <v>27</v>
      </c>
      <c r="R49" s="451">
        <v>27</v>
      </c>
      <c r="S49" s="189">
        <v>27</v>
      </c>
      <c r="T49" s="451">
        <v>27</v>
      </c>
      <c r="U49" s="451">
        <v>27.4</v>
      </c>
      <c r="V49" s="451">
        <v>27</v>
      </c>
      <c r="W49" s="451">
        <v>27</v>
      </c>
      <c r="X49" s="189">
        <v>27</v>
      </c>
      <c r="Y49" s="451">
        <v>28</v>
      </c>
      <c r="Z49" s="451">
        <v>28</v>
      </c>
      <c r="AA49" s="451">
        <v>28</v>
      </c>
      <c r="AB49" s="451">
        <v>28</v>
      </c>
      <c r="AC49" s="189"/>
      <c r="AD49" s="451"/>
      <c r="AE49" s="451"/>
      <c r="AF49" s="451"/>
      <c r="AG49" s="451"/>
      <c r="AH49" s="189"/>
      <c r="AI49" s="451"/>
      <c r="AJ49" s="451"/>
      <c r="AK49" s="451"/>
      <c r="AL49" s="451"/>
      <c r="AM49" s="189"/>
      <c r="AN49" s="451"/>
      <c r="AO49" s="435"/>
      <c r="AP49" s="435"/>
      <c r="AQ49" s="451"/>
      <c r="AR49" s="189"/>
      <c r="AS49" s="451"/>
      <c r="AT49" s="435"/>
      <c r="AU49" s="435"/>
      <c r="AV49" s="435"/>
      <c r="AW49" s="189"/>
      <c r="AX49" s="451"/>
      <c r="AY49" s="435"/>
      <c r="AZ49" s="435"/>
      <c r="BA49" s="435"/>
      <c r="BB49" s="412"/>
      <c r="BC49" s="451"/>
      <c r="BD49" s="435"/>
      <c r="BE49" s="435"/>
      <c r="BF49" s="435"/>
      <c r="BG49" s="412"/>
      <c r="BH49" s="451"/>
      <c r="BI49" s="435"/>
      <c r="BJ49" s="435"/>
      <c r="BK49" s="435"/>
      <c r="BL49" s="566"/>
      <c r="BM49" s="451"/>
      <c r="BN49" s="435"/>
      <c r="BO49" s="435"/>
      <c r="BP49" s="435"/>
      <c r="BQ49" s="412"/>
      <c r="BR49" s="451"/>
      <c r="BS49" s="435"/>
      <c r="BT49" s="435"/>
      <c r="BU49" s="435"/>
      <c r="BV49" s="412"/>
      <c r="BW49" s="470"/>
      <c r="BX49" s="435"/>
      <c r="BY49" s="435"/>
      <c r="BZ49" s="470"/>
      <c r="CA49" s="566"/>
      <c r="CB49" s="470"/>
      <c r="CC49" s="435"/>
      <c r="CD49" s="435"/>
      <c r="CE49" s="470"/>
      <c r="CF49" s="566"/>
      <c r="CG49" s="435"/>
      <c r="CH49" s="470"/>
      <c r="CI49" s="435"/>
      <c r="CJ49" s="435"/>
      <c r="CK49" s="566"/>
      <c r="CL49" s="435"/>
      <c r="CM49" s="435"/>
      <c r="CN49" s="435"/>
      <c r="CO49" s="435"/>
      <c r="CP49" s="412"/>
      <c r="CQ49" s="470"/>
      <c r="CR49" s="470"/>
      <c r="CS49" s="470"/>
      <c r="CT49" s="470"/>
      <c r="CU49" s="566"/>
      <c r="CV49" s="470"/>
      <c r="CW49" s="435"/>
      <c r="CX49" s="435"/>
      <c r="CY49" s="435"/>
      <c r="CZ49" s="412"/>
      <c r="DA49" s="435"/>
      <c r="DB49" s="435"/>
      <c r="DC49" s="435"/>
      <c r="DD49" s="435"/>
      <c r="DE49" s="412"/>
      <c r="DF49" s="470"/>
      <c r="DG49" s="470"/>
      <c r="DH49" s="470"/>
      <c r="DI49" s="470"/>
      <c r="DJ49" s="566"/>
      <c r="DK49" s="470"/>
      <c r="DL49" s="470"/>
      <c r="DM49" s="435"/>
      <c r="DN49" s="470"/>
      <c r="DO49" s="566"/>
      <c r="DP49" s="470"/>
      <c r="DQ49" s="435"/>
      <c r="DR49" s="435"/>
      <c r="DS49" s="435"/>
      <c r="DT49" s="412"/>
      <c r="DU49" s="435"/>
      <c r="DV49" s="435"/>
      <c r="DW49" s="435"/>
      <c r="DX49" s="435"/>
      <c r="DY49" s="412"/>
      <c r="DZ49" s="412"/>
      <c r="EA49" s="412"/>
      <c r="EB49" s="412"/>
    </row>
    <row r="50" spans="1:132" s="424" customFormat="1">
      <c r="A50" s="68"/>
      <c r="B50" s="98" t="s">
        <v>194</v>
      </c>
      <c r="C50" s="67"/>
      <c r="D50" s="67"/>
      <c r="E50" s="67">
        <v>264</v>
      </c>
      <c r="F50" s="67">
        <v>704</v>
      </c>
      <c r="G50" s="67">
        <v>1127</v>
      </c>
      <c r="H50" s="67">
        <v>480</v>
      </c>
      <c r="I50" s="454">
        <v>300</v>
      </c>
      <c r="J50" s="265">
        <f>J48*J49</f>
        <v>78</v>
      </c>
      <c r="K50" s="98">
        <f>K48*K49</f>
        <v>78</v>
      </c>
      <c r="L50" s="98">
        <f>L48*L49</f>
        <v>78</v>
      </c>
      <c r="M50" s="98">
        <f>M48*M49</f>
        <v>78</v>
      </c>
      <c r="N50" s="67">
        <f>SUM(J50:M50)</f>
        <v>312</v>
      </c>
      <c r="O50" s="98">
        <f>O48*O49</f>
        <v>81</v>
      </c>
      <c r="P50" s="98">
        <f>P48*P49</f>
        <v>81</v>
      </c>
      <c r="Q50" s="98">
        <f>Q48*Q49</f>
        <v>81</v>
      </c>
      <c r="R50" s="98">
        <f>R48*R49</f>
        <v>108</v>
      </c>
      <c r="S50" s="67">
        <f>SUM(O50:R50)</f>
        <v>351</v>
      </c>
      <c r="T50" s="98">
        <f>T48*T49</f>
        <v>54</v>
      </c>
      <c r="U50" s="98">
        <f>U48*U49</f>
        <v>82.199999999999989</v>
      </c>
      <c r="V50" s="98">
        <f>V48*V49</f>
        <v>0</v>
      </c>
      <c r="W50" s="98">
        <f>W48*W49</f>
        <v>0</v>
      </c>
      <c r="X50" s="67">
        <f>SUM(T50:W50)</f>
        <v>136.19999999999999</v>
      </c>
      <c r="Y50" s="98">
        <f>Y48*Y49</f>
        <v>0</v>
      </c>
      <c r="Z50" s="98">
        <f>Z48*Z49</f>
        <v>0</v>
      </c>
      <c r="AA50" s="98">
        <f>AA48*AA49</f>
        <v>0</v>
      </c>
      <c r="AB50" s="98">
        <f>AB48*AB49</f>
        <v>0</v>
      </c>
      <c r="AC50" s="67"/>
      <c r="AD50" s="98"/>
      <c r="AE50" s="98"/>
      <c r="AF50" s="98"/>
      <c r="AG50" s="98"/>
      <c r="AH50" s="67"/>
      <c r="AI50" s="98"/>
      <c r="AJ50" s="98"/>
      <c r="AK50" s="98"/>
      <c r="AL50" s="98"/>
      <c r="AM50" s="67"/>
      <c r="AN50" s="98"/>
      <c r="AO50" s="98"/>
      <c r="AP50" s="98"/>
      <c r="AQ50" s="98"/>
      <c r="AR50" s="67"/>
      <c r="AS50" s="98"/>
      <c r="AT50" s="98"/>
      <c r="AU50" s="98"/>
      <c r="AV50" s="98"/>
      <c r="AW50" s="67"/>
      <c r="AX50" s="98"/>
      <c r="AY50" s="98"/>
      <c r="AZ50" s="98"/>
      <c r="BA50" s="98"/>
      <c r="BB50" s="67"/>
      <c r="BC50" s="98"/>
      <c r="BD50" s="98"/>
      <c r="BE50" s="98"/>
      <c r="BF50" s="98"/>
      <c r="BG50" s="67"/>
      <c r="BH50" s="98"/>
      <c r="BI50" s="98"/>
      <c r="BJ50" s="98"/>
      <c r="BK50" s="98"/>
      <c r="BL50" s="120"/>
      <c r="BM50" s="98"/>
      <c r="BN50" s="98"/>
      <c r="BO50" s="98"/>
      <c r="BP50" s="98"/>
      <c r="BQ50" s="67"/>
      <c r="BR50" s="98"/>
      <c r="BS50" s="98"/>
      <c r="BT50" s="98"/>
      <c r="BU50" s="98"/>
      <c r="BV50" s="67"/>
      <c r="BW50" s="437"/>
      <c r="BX50" s="98"/>
      <c r="BY50" s="98"/>
      <c r="BZ50" s="437"/>
      <c r="CA50" s="120"/>
      <c r="CB50" s="437"/>
      <c r="CC50" s="98"/>
      <c r="CD50" s="98"/>
      <c r="CE50" s="437"/>
      <c r="CF50" s="120"/>
      <c r="CG50" s="98"/>
      <c r="CH50" s="437"/>
      <c r="CI50" s="98"/>
      <c r="CJ50" s="98"/>
      <c r="CK50" s="120"/>
      <c r="CL50" s="98"/>
      <c r="CM50" s="98"/>
      <c r="CN50" s="98"/>
      <c r="CO50" s="98"/>
      <c r="CP50" s="67"/>
      <c r="CQ50" s="437"/>
      <c r="CR50" s="437"/>
      <c r="CS50" s="437"/>
      <c r="CT50" s="437"/>
      <c r="CU50" s="120"/>
      <c r="CV50" s="437"/>
      <c r="CW50" s="98"/>
      <c r="CX50" s="98"/>
      <c r="CY50" s="98"/>
      <c r="CZ50" s="67"/>
      <c r="DA50" s="98"/>
      <c r="DB50" s="98"/>
      <c r="DC50" s="98"/>
      <c r="DD50" s="98"/>
      <c r="DE50" s="67"/>
      <c r="DF50" s="437"/>
      <c r="DG50" s="437"/>
      <c r="DH50" s="437"/>
      <c r="DI50" s="437"/>
      <c r="DJ50" s="120"/>
      <c r="DK50" s="437"/>
      <c r="DL50" s="437"/>
      <c r="DM50" s="98"/>
      <c r="DN50" s="437"/>
      <c r="DO50" s="120"/>
      <c r="DP50" s="437"/>
      <c r="DQ50" s="98"/>
      <c r="DR50" s="98"/>
      <c r="DS50" s="98"/>
      <c r="DT50" s="67"/>
      <c r="DU50" s="98"/>
      <c r="DV50" s="98"/>
      <c r="DW50" s="98"/>
      <c r="DX50" s="98"/>
      <c r="DY50" s="67"/>
      <c r="DZ50" s="67"/>
      <c r="EA50" s="67"/>
      <c r="EB50" s="67"/>
    </row>
    <row r="51" spans="1:132" s="424" customFormat="1">
      <c r="A51" s="68"/>
      <c r="B51" s="427" t="s">
        <v>369</v>
      </c>
      <c r="C51" s="426"/>
      <c r="D51" s="426"/>
      <c r="E51" s="426">
        <v>0.09</v>
      </c>
      <c r="F51" s="426">
        <v>0.1</v>
      </c>
      <c r="G51" s="426">
        <v>0.1</v>
      </c>
      <c r="H51" s="426">
        <v>0.125</v>
      </c>
      <c r="I51" s="452">
        <v>0.05</v>
      </c>
      <c r="J51" s="498">
        <v>0.05</v>
      </c>
      <c r="K51" s="427">
        <v>0.05</v>
      </c>
      <c r="L51" s="427">
        <v>0.05</v>
      </c>
      <c r="M51" s="453">
        <v>0.05</v>
      </c>
      <c r="N51" s="426">
        <v>0.05</v>
      </c>
      <c r="O51" s="452">
        <v>0.1</v>
      </c>
      <c r="P51" s="427">
        <v>0.1</v>
      </c>
      <c r="Q51" s="427">
        <v>0.1</v>
      </c>
      <c r="R51" s="453">
        <v>0.1</v>
      </c>
      <c r="S51" s="426">
        <v>0.1</v>
      </c>
      <c r="T51" s="452">
        <v>0.1</v>
      </c>
      <c r="U51" s="427">
        <v>0.1</v>
      </c>
      <c r="V51" s="427">
        <v>0.1</v>
      </c>
      <c r="W51" s="453">
        <v>0.1</v>
      </c>
      <c r="X51" s="426">
        <v>0.1</v>
      </c>
      <c r="Y51" s="452">
        <v>0.12</v>
      </c>
      <c r="Z51" s="427">
        <v>0.12</v>
      </c>
      <c r="AA51" s="427">
        <v>0.12</v>
      </c>
      <c r="AB51" s="453">
        <v>0.12</v>
      </c>
      <c r="AC51" s="426"/>
      <c r="AD51" s="452"/>
      <c r="AE51" s="427"/>
      <c r="AF51" s="427"/>
      <c r="AG51" s="453"/>
      <c r="AH51" s="426"/>
      <c r="AI51" s="452"/>
      <c r="AJ51" s="427"/>
      <c r="AK51" s="427"/>
      <c r="AL51" s="453"/>
      <c r="AM51" s="426"/>
      <c r="AN51" s="452"/>
      <c r="AO51" s="427"/>
      <c r="AP51" s="427"/>
      <c r="AQ51" s="453"/>
      <c r="AR51" s="426"/>
      <c r="AS51" s="452"/>
      <c r="AT51" s="427"/>
      <c r="AU51" s="427"/>
      <c r="AV51" s="453"/>
      <c r="AW51" s="426"/>
      <c r="AX51" s="452"/>
      <c r="AY51" s="427"/>
      <c r="AZ51" s="427"/>
      <c r="BA51" s="453"/>
      <c r="BB51" s="426"/>
      <c r="BC51" s="452"/>
      <c r="BD51" s="427"/>
      <c r="BE51" s="427"/>
      <c r="BF51" s="453"/>
      <c r="BG51" s="426"/>
      <c r="BH51" s="452"/>
      <c r="BI51" s="427"/>
      <c r="BJ51" s="427"/>
      <c r="BK51" s="453"/>
      <c r="BL51" s="136"/>
      <c r="BM51" s="452"/>
      <c r="BN51" s="427"/>
      <c r="BO51" s="427"/>
      <c r="BP51" s="453"/>
      <c r="BQ51" s="426"/>
      <c r="BR51" s="452"/>
      <c r="BS51" s="427"/>
      <c r="BT51" s="427"/>
      <c r="BU51" s="453"/>
      <c r="BV51" s="426"/>
      <c r="BW51" s="749"/>
      <c r="BX51" s="427"/>
      <c r="BY51" s="427"/>
      <c r="BZ51" s="910"/>
      <c r="CA51" s="136"/>
      <c r="CB51" s="749"/>
      <c r="CC51" s="427"/>
      <c r="CD51" s="427"/>
      <c r="CE51" s="910"/>
      <c r="CF51" s="136"/>
      <c r="CG51" s="427"/>
      <c r="CH51" s="295"/>
      <c r="CI51" s="427"/>
      <c r="CJ51" s="427"/>
      <c r="CK51" s="136"/>
      <c r="CL51" s="427"/>
      <c r="CM51" s="427"/>
      <c r="CN51" s="427"/>
      <c r="CO51" s="427"/>
      <c r="CP51" s="426"/>
      <c r="CQ51" s="295"/>
      <c r="CR51" s="295"/>
      <c r="CS51" s="295"/>
      <c r="CT51" s="295"/>
      <c r="CU51" s="136"/>
      <c r="CV51" s="295"/>
      <c r="CW51" s="427"/>
      <c r="CX51" s="427"/>
      <c r="CY51" s="427"/>
      <c r="CZ51" s="426"/>
      <c r="DA51" s="427"/>
      <c r="DB51" s="427"/>
      <c r="DC51" s="427"/>
      <c r="DD51" s="427"/>
      <c r="DE51" s="426"/>
      <c r="DF51" s="295"/>
      <c r="DG51" s="295"/>
      <c r="DH51" s="295"/>
      <c r="DI51" s="295"/>
      <c r="DJ51" s="136"/>
      <c r="DK51" s="295"/>
      <c r="DL51" s="295"/>
      <c r="DM51" s="427"/>
      <c r="DN51" s="295"/>
      <c r="DO51" s="136"/>
      <c r="DP51" s="295"/>
      <c r="DQ51" s="427"/>
      <c r="DR51" s="427"/>
      <c r="DS51" s="427"/>
      <c r="DT51" s="426"/>
      <c r="DU51" s="427"/>
      <c r="DV51" s="427"/>
      <c r="DW51" s="427"/>
      <c r="DX51" s="427"/>
      <c r="DY51" s="426"/>
      <c r="DZ51" s="426"/>
      <c r="EA51" s="426"/>
      <c r="EB51" s="426"/>
    </row>
    <row r="52" spans="1:132" s="424" customFormat="1">
      <c r="A52" s="68"/>
      <c r="B52" s="427" t="s">
        <v>370</v>
      </c>
      <c r="C52" s="67"/>
      <c r="D52" s="67"/>
      <c r="E52" s="67">
        <f t="shared" ref="E52:X52" si="173">E50*E51</f>
        <v>23.759999999999998</v>
      </c>
      <c r="F52" s="67">
        <f t="shared" si="173"/>
        <v>70.400000000000006</v>
      </c>
      <c r="G52" s="67">
        <f t="shared" si="173"/>
        <v>112.7</v>
      </c>
      <c r="H52" s="67">
        <f t="shared" si="173"/>
        <v>60</v>
      </c>
      <c r="I52" s="454">
        <f t="shared" si="173"/>
        <v>15</v>
      </c>
      <c r="J52" s="265">
        <f t="shared" si="173"/>
        <v>3.9000000000000004</v>
      </c>
      <c r="K52" s="98">
        <f t="shared" si="173"/>
        <v>3.9000000000000004</v>
      </c>
      <c r="L52" s="98">
        <f t="shared" si="173"/>
        <v>3.9000000000000004</v>
      </c>
      <c r="M52" s="98">
        <f t="shared" si="173"/>
        <v>3.9000000000000004</v>
      </c>
      <c r="N52" s="67">
        <f t="shared" si="173"/>
        <v>15.600000000000001</v>
      </c>
      <c r="O52" s="98">
        <f t="shared" si="173"/>
        <v>8.1</v>
      </c>
      <c r="P52" s="98">
        <f t="shared" si="173"/>
        <v>8.1</v>
      </c>
      <c r="Q52" s="98">
        <f t="shared" si="173"/>
        <v>8.1</v>
      </c>
      <c r="R52" s="98">
        <f t="shared" si="173"/>
        <v>10.8</v>
      </c>
      <c r="S52" s="67">
        <f t="shared" si="173"/>
        <v>35.1</v>
      </c>
      <c r="T52" s="98">
        <f t="shared" si="173"/>
        <v>5.4</v>
      </c>
      <c r="U52" s="98">
        <f t="shared" si="173"/>
        <v>8.2199999999999989</v>
      </c>
      <c r="V52" s="98">
        <f t="shared" si="173"/>
        <v>0</v>
      </c>
      <c r="W52" s="98">
        <f t="shared" si="173"/>
        <v>0</v>
      </c>
      <c r="X52" s="67">
        <f t="shared" si="173"/>
        <v>13.62</v>
      </c>
      <c r="Y52" s="98"/>
      <c r="Z52" s="98"/>
      <c r="AA52" s="98"/>
      <c r="AB52" s="98"/>
      <c r="AC52" s="67"/>
      <c r="AD52" s="98"/>
      <c r="AE52" s="98"/>
      <c r="AF52" s="98"/>
      <c r="AG52" s="98"/>
      <c r="AH52" s="67"/>
      <c r="AI52" s="98"/>
      <c r="AJ52" s="98"/>
      <c r="AK52" s="98"/>
      <c r="AL52" s="98"/>
      <c r="AM52" s="67"/>
      <c r="AN52" s="98"/>
      <c r="AO52" s="98"/>
      <c r="AP52" s="98"/>
      <c r="AQ52" s="98"/>
      <c r="AR52" s="67"/>
      <c r="AS52" s="98"/>
      <c r="AT52" s="98"/>
      <c r="AU52" s="98"/>
      <c r="AV52" s="98"/>
      <c r="AW52" s="67"/>
      <c r="AX52" s="98"/>
      <c r="AY52" s="98"/>
      <c r="AZ52" s="98"/>
      <c r="BA52" s="98"/>
      <c r="BB52" s="67"/>
      <c r="BC52" s="98"/>
      <c r="BD52" s="98"/>
      <c r="BE52" s="98"/>
      <c r="BF52" s="98"/>
      <c r="BG52" s="67"/>
      <c r="BH52" s="98"/>
      <c r="BI52" s="98"/>
      <c r="BJ52" s="98"/>
      <c r="BK52" s="98"/>
      <c r="BL52" s="120"/>
      <c r="BM52" s="98"/>
      <c r="BN52" s="98"/>
      <c r="BO52" s="98"/>
      <c r="BP52" s="98"/>
      <c r="BQ52" s="67"/>
      <c r="BR52" s="98"/>
      <c r="BS52" s="98"/>
      <c r="BT52" s="98"/>
      <c r="BU52" s="98"/>
      <c r="BV52" s="67"/>
      <c r="BW52" s="437"/>
      <c r="BX52" s="98"/>
      <c r="BY52" s="98"/>
      <c r="BZ52" s="437"/>
      <c r="CA52" s="120"/>
      <c r="CB52" s="437"/>
      <c r="CC52" s="98"/>
      <c r="CD52" s="98"/>
      <c r="CE52" s="437"/>
      <c r="CF52" s="120"/>
      <c r="CG52" s="98"/>
      <c r="CH52" s="437"/>
      <c r="CI52" s="98"/>
      <c r="CJ52" s="98"/>
      <c r="CK52" s="120"/>
      <c r="CL52" s="98"/>
      <c r="CM52" s="98"/>
      <c r="CN52" s="98"/>
      <c r="CO52" s="98"/>
      <c r="CP52" s="67"/>
      <c r="CQ52" s="437"/>
      <c r="CR52" s="437"/>
      <c r="CS52" s="437"/>
      <c r="CT52" s="437"/>
      <c r="CU52" s="120"/>
      <c r="CV52" s="437"/>
      <c r="CW52" s="98"/>
      <c r="CX52" s="98"/>
      <c r="CY52" s="98"/>
      <c r="CZ52" s="67"/>
      <c r="DA52" s="98"/>
      <c r="DB52" s="98"/>
      <c r="DC52" s="98"/>
      <c r="DD52" s="98"/>
      <c r="DE52" s="67"/>
      <c r="DF52" s="437"/>
      <c r="DG52" s="437"/>
      <c r="DH52" s="437"/>
      <c r="DI52" s="437"/>
      <c r="DJ52" s="120"/>
      <c r="DK52" s="437"/>
      <c r="DL52" s="437"/>
      <c r="DM52" s="98"/>
      <c r="DN52" s="437"/>
      <c r="DO52" s="120"/>
      <c r="DP52" s="437"/>
      <c r="DQ52" s="98"/>
      <c r="DR52" s="98"/>
      <c r="DS52" s="98"/>
      <c r="DT52" s="67"/>
      <c r="DU52" s="98"/>
      <c r="DV52" s="98"/>
      <c r="DW52" s="98"/>
      <c r="DX52" s="98"/>
      <c r="DY52" s="67"/>
      <c r="DZ52" s="67"/>
      <c r="EA52" s="67"/>
      <c r="EB52" s="67"/>
    </row>
    <row r="53" spans="1:132" s="424" customFormat="1" ht="8.25" customHeight="1">
      <c r="A53" s="68"/>
      <c r="B53" s="98"/>
      <c r="C53" s="425"/>
      <c r="D53" s="425"/>
      <c r="E53" s="425"/>
      <c r="F53" s="425"/>
      <c r="G53" s="425"/>
      <c r="H53" s="425"/>
      <c r="I53" s="490"/>
      <c r="J53" s="499"/>
      <c r="N53" s="425"/>
      <c r="S53" s="425"/>
      <c r="X53" s="425"/>
      <c r="AC53" s="425"/>
      <c r="AH53" s="425"/>
      <c r="AM53" s="425"/>
      <c r="AR53" s="425"/>
      <c r="AW53" s="425"/>
      <c r="BB53" s="425"/>
      <c r="BG53" s="425"/>
      <c r="BL53" s="585"/>
      <c r="BQ53" s="425"/>
      <c r="BV53" s="425"/>
      <c r="BW53" s="439"/>
      <c r="BZ53" s="439"/>
      <c r="CA53" s="585"/>
      <c r="CB53" s="439"/>
      <c r="CE53" s="439"/>
      <c r="CF53" s="585"/>
      <c r="CH53" s="439"/>
      <c r="CK53" s="585"/>
      <c r="CP53" s="425"/>
      <c r="CQ53" s="439"/>
      <c r="CR53" s="439"/>
      <c r="CS53" s="439"/>
      <c r="CT53" s="439"/>
      <c r="CU53" s="585"/>
      <c r="CV53" s="439"/>
      <c r="CZ53" s="425"/>
      <c r="DE53" s="425"/>
      <c r="DF53" s="439"/>
      <c r="DG53" s="439"/>
      <c r="DH53" s="439"/>
      <c r="DI53" s="439"/>
      <c r="DJ53" s="585"/>
      <c r="DK53" s="439"/>
      <c r="DL53" s="439"/>
      <c r="DN53" s="439"/>
      <c r="DO53" s="585"/>
      <c r="DP53" s="439"/>
      <c r="DT53" s="425"/>
      <c r="DY53" s="425"/>
      <c r="DZ53" s="425"/>
      <c r="EA53" s="425"/>
      <c r="EB53" s="425"/>
    </row>
    <row r="54" spans="1:132" s="98" customFormat="1">
      <c r="A54" s="68"/>
      <c r="B54" s="432" t="s">
        <v>372</v>
      </c>
      <c r="C54" s="43">
        <f>16+26+12</f>
        <v>54</v>
      </c>
      <c r="D54" s="43">
        <f>8+34+12</f>
        <v>54</v>
      </c>
      <c r="E54" s="43">
        <f>26+13+8</f>
        <v>47</v>
      </c>
      <c r="F54" s="43">
        <v>7</v>
      </c>
      <c r="G54" s="43">
        <v>2</v>
      </c>
      <c r="H54" s="43"/>
      <c r="I54" s="488"/>
      <c r="J54" s="496"/>
      <c r="K54" s="432"/>
      <c r="L54" s="432"/>
      <c r="M54" s="432"/>
      <c r="N54" s="43"/>
      <c r="O54" s="432"/>
      <c r="P54" s="432"/>
      <c r="Q54" s="432"/>
      <c r="R54" s="432"/>
      <c r="S54" s="43"/>
      <c r="T54" s="432"/>
      <c r="U54" s="432"/>
      <c r="V54" s="432"/>
      <c r="W54" s="432"/>
      <c r="X54" s="43"/>
      <c r="Y54" s="432"/>
      <c r="Z54" s="432"/>
      <c r="AA54" s="432"/>
      <c r="AB54" s="432"/>
      <c r="AC54" s="43"/>
      <c r="AD54" s="432"/>
      <c r="AE54" s="432"/>
      <c r="AF54" s="432"/>
      <c r="AG54" s="432"/>
      <c r="AH54" s="43"/>
      <c r="AI54" s="432"/>
      <c r="AJ54" s="432"/>
      <c r="AK54" s="432"/>
      <c r="AL54" s="432"/>
      <c r="AM54" s="43"/>
      <c r="AN54" s="432"/>
      <c r="AO54" s="432"/>
      <c r="AP54" s="432"/>
      <c r="AQ54" s="432"/>
      <c r="AR54" s="43"/>
      <c r="AS54" s="432"/>
      <c r="AT54" s="432"/>
      <c r="AU54" s="432"/>
      <c r="AV54" s="432"/>
      <c r="AW54" s="43"/>
      <c r="AX54" s="432"/>
      <c r="AY54" s="432"/>
      <c r="AZ54" s="432"/>
      <c r="BA54" s="432"/>
      <c r="BB54" s="43"/>
      <c r="BC54" s="432"/>
      <c r="BD54" s="432"/>
      <c r="BE54" s="432"/>
      <c r="BF54" s="432"/>
      <c r="BG54" s="43"/>
      <c r="BH54" s="432"/>
      <c r="BI54" s="432"/>
      <c r="BJ54" s="432"/>
      <c r="BK54" s="432"/>
      <c r="BL54" s="43"/>
      <c r="BM54" s="432"/>
      <c r="BN54" s="432"/>
      <c r="BO54" s="432"/>
      <c r="BP54" s="432"/>
      <c r="BQ54" s="43"/>
      <c r="BR54" s="432"/>
      <c r="BS54" s="432"/>
      <c r="BT54" s="432"/>
      <c r="BU54" s="432"/>
      <c r="BV54" s="43"/>
      <c r="BW54" s="432"/>
      <c r="BX54" s="432"/>
      <c r="BY54" s="432"/>
      <c r="BZ54" s="432"/>
      <c r="CA54" s="43"/>
      <c r="CB54" s="432"/>
      <c r="CC54" s="432"/>
      <c r="CD54" s="432"/>
      <c r="CE54" s="432"/>
      <c r="CF54" s="43"/>
      <c r="CG54" s="432"/>
      <c r="CH54" s="432"/>
      <c r="CI54" s="432"/>
      <c r="CJ54" s="432"/>
      <c r="CK54" s="43"/>
      <c r="CL54" s="432"/>
      <c r="CM54" s="432"/>
      <c r="CN54" s="432"/>
      <c r="CO54" s="432"/>
      <c r="CP54" s="43"/>
      <c r="CQ54" s="432"/>
      <c r="CR54" s="432"/>
      <c r="CS54" s="432"/>
      <c r="CT54" s="432"/>
      <c r="CU54" s="43"/>
      <c r="CV54" s="432"/>
      <c r="CW54" s="432"/>
      <c r="CX54" s="432"/>
      <c r="CY54" s="432"/>
      <c r="CZ54" s="43"/>
      <c r="DA54" s="432"/>
      <c r="DB54" s="432"/>
      <c r="DC54" s="432"/>
      <c r="DD54" s="432"/>
      <c r="DE54" s="43"/>
      <c r="DF54" s="432"/>
      <c r="DG54" s="432"/>
      <c r="DH54" s="432"/>
      <c r="DI54" s="432"/>
      <c r="DJ54" s="43"/>
      <c r="DK54" s="432"/>
      <c r="DL54" s="432"/>
      <c r="DM54" s="432"/>
      <c r="DN54" s="432"/>
      <c r="DO54" s="43"/>
      <c r="DP54" s="432"/>
      <c r="DQ54" s="432"/>
      <c r="DR54" s="432"/>
      <c r="DS54" s="432"/>
      <c r="DT54" s="43"/>
      <c r="DU54" s="432"/>
      <c r="DV54" s="432"/>
      <c r="DW54" s="432"/>
      <c r="DX54" s="432"/>
      <c r="DY54" s="43"/>
      <c r="DZ54" s="43"/>
      <c r="EA54" s="43"/>
      <c r="EB54" s="43"/>
    </row>
    <row r="55" spans="1:132" s="424" customFormat="1">
      <c r="A55" s="68"/>
      <c r="B55" s="98" t="s">
        <v>193</v>
      </c>
      <c r="C55" s="189">
        <v>28</v>
      </c>
      <c r="D55" s="189">
        <v>30</v>
      </c>
      <c r="E55" s="189">
        <v>30</v>
      </c>
      <c r="F55" s="189">
        <v>30</v>
      </c>
      <c r="G55" s="189">
        <v>30</v>
      </c>
      <c r="H55" s="189"/>
      <c r="I55" s="489"/>
      <c r="J55" s="497"/>
      <c r="K55" s="451"/>
      <c r="L55" s="451"/>
      <c r="M55" s="451"/>
      <c r="N55" s="189"/>
      <c r="O55" s="451"/>
      <c r="P55" s="451"/>
      <c r="Q55" s="451"/>
      <c r="R55" s="451"/>
      <c r="S55" s="189"/>
      <c r="T55" s="451"/>
      <c r="U55" s="451"/>
      <c r="V55" s="451"/>
      <c r="W55" s="451"/>
      <c r="X55" s="189"/>
      <c r="Y55" s="451"/>
      <c r="Z55" s="451"/>
      <c r="AA55" s="451"/>
      <c r="AB55" s="451"/>
      <c r="AC55" s="189"/>
      <c r="AD55" s="451"/>
      <c r="AE55" s="451"/>
      <c r="AF55" s="451"/>
      <c r="AG55" s="451"/>
      <c r="AH55" s="189"/>
      <c r="AI55" s="451"/>
      <c r="AJ55" s="451"/>
      <c r="AK55" s="451"/>
      <c r="AL55" s="451"/>
      <c r="AM55" s="189"/>
      <c r="AN55" s="451"/>
      <c r="AO55" s="435"/>
      <c r="AP55" s="435"/>
      <c r="AQ55" s="451"/>
      <c r="AR55" s="189"/>
      <c r="AS55" s="451"/>
      <c r="AT55" s="435"/>
      <c r="AU55" s="435"/>
      <c r="AV55" s="435"/>
      <c r="AW55" s="189"/>
      <c r="AX55" s="451"/>
      <c r="AY55" s="435"/>
      <c r="AZ55" s="435"/>
      <c r="BA55" s="435"/>
      <c r="BB55" s="412"/>
      <c r="BC55" s="451"/>
      <c r="BD55" s="435"/>
      <c r="BE55" s="435"/>
      <c r="BF55" s="435"/>
      <c r="BG55" s="412"/>
      <c r="BH55" s="451"/>
      <c r="BI55" s="435"/>
      <c r="BJ55" s="435"/>
      <c r="BK55" s="435"/>
      <c r="BL55" s="566"/>
      <c r="BM55" s="451"/>
      <c r="BN55" s="435"/>
      <c r="BO55" s="435"/>
      <c r="BP55" s="435"/>
      <c r="BQ55" s="412"/>
      <c r="BR55" s="451"/>
      <c r="BS55" s="435"/>
      <c r="BT55" s="435"/>
      <c r="BU55" s="435"/>
      <c r="BV55" s="412"/>
      <c r="BW55" s="470"/>
      <c r="BX55" s="435"/>
      <c r="BY55" s="435"/>
      <c r="BZ55" s="470"/>
      <c r="CA55" s="566"/>
      <c r="CB55" s="470"/>
      <c r="CC55" s="435"/>
      <c r="CD55" s="435"/>
      <c r="CE55" s="470"/>
      <c r="CF55" s="566"/>
      <c r="CG55" s="435"/>
      <c r="CH55" s="470"/>
      <c r="CI55" s="435"/>
      <c r="CJ55" s="435"/>
      <c r="CK55" s="566"/>
      <c r="CL55" s="435"/>
      <c r="CM55" s="435"/>
      <c r="CN55" s="435"/>
      <c r="CO55" s="435"/>
      <c r="CP55" s="412"/>
      <c r="CQ55" s="470"/>
      <c r="CR55" s="470"/>
      <c r="CS55" s="470"/>
      <c r="CT55" s="470"/>
      <c r="CU55" s="566"/>
      <c r="CV55" s="470"/>
      <c r="CW55" s="435"/>
      <c r="CX55" s="435"/>
      <c r="CY55" s="435"/>
      <c r="CZ55" s="412"/>
      <c r="DA55" s="435"/>
      <c r="DB55" s="435"/>
      <c r="DC55" s="435"/>
      <c r="DD55" s="435"/>
      <c r="DE55" s="412"/>
      <c r="DF55" s="470"/>
      <c r="DG55" s="470"/>
      <c r="DH55" s="470"/>
      <c r="DI55" s="470"/>
      <c r="DJ55" s="566"/>
      <c r="DK55" s="470"/>
      <c r="DL55" s="470"/>
      <c r="DM55" s="435"/>
      <c r="DN55" s="470"/>
      <c r="DO55" s="566"/>
      <c r="DP55" s="470"/>
      <c r="DQ55" s="435"/>
      <c r="DR55" s="435"/>
      <c r="DS55" s="435"/>
      <c r="DT55" s="412"/>
      <c r="DU55" s="435"/>
      <c r="DV55" s="435"/>
      <c r="DW55" s="435"/>
      <c r="DX55" s="435"/>
      <c r="DY55" s="412"/>
      <c r="DZ55" s="412"/>
      <c r="EA55" s="412"/>
      <c r="EB55" s="412"/>
    </row>
    <row r="56" spans="1:132" s="424" customFormat="1">
      <c r="A56" s="68"/>
      <c r="B56" s="98" t="s">
        <v>194</v>
      </c>
      <c r="C56" s="67">
        <f>C55*C54</f>
        <v>1512</v>
      </c>
      <c r="D56" s="67">
        <f>D55*D54</f>
        <v>1620</v>
      </c>
      <c r="E56" s="67">
        <f>E55*E54</f>
        <v>1410</v>
      </c>
      <c r="F56" s="67">
        <f>F55*F54</f>
        <v>210</v>
      </c>
      <c r="G56" s="67">
        <f>G55*G54</f>
        <v>60</v>
      </c>
      <c r="H56" s="67"/>
      <c r="I56" s="454"/>
      <c r="J56" s="265"/>
      <c r="K56" s="98"/>
      <c r="L56" s="98"/>
      <c r="M56" s="98"/>
      <c r="N56" s="67"/>
      <c r="O56" s="98"/>
      <c r="P56" s="98"/>
      <c r="Q56" s="98"/>
      <c r="R56" s="98"/>
      <c r="S56" s="67"/>
      <c r="T56" s="98"/>
      <c r="U56" s="98"/>
      <c r="V56" s="98"/>
      <c r="W56" s="98"/>
      <c r="X56" s="67"/>
      <c r="Y56" s="98"/>
      <c r="Z56" s="98"/>
      <c r="AA56" s="98"/>
      <c r="AB56" s="98"/>
      <c r="AC56" s="67"/>
      <c r="AD56" s="98"/>
      <c r="AE56" s="98"/>
      <c r="AF56" s="98"/>
      <c r="AG56" s="98"/>
      <c r="AH56" s="67"/>
      <c r="AI56" s="98"/>
      <c r="AJ56" s="98"/>
      <c r="AK56" s="98"/>
      <c r="AL56" s="98"/>
      <c r="AM56" s="67"/>
      <c r="AN56" s="98"/>
      <c r="AO56" s="98"/>
      <c r="AP56" s="98"/>
      <c r="AQ56" s="98"/>
      <c r="AR56" s="67"/>
      <c r="AS56" s="98"/>
      <c r="AT56" s="98"/>
      <c r="AU56" s="98"/>
      <c r="AV56" s="98"/>
      <c r="AW56" s="67"/>
      <c r="AX56" s="98"/>
      <c r="AY56" s="98"/>
      <c r="AZ56" s="98"/>
      <c r="BA56" s="98"/>
      <c r="BB56" s="67"/>
      <c r="BC56" s="98"/>
      <c r="BD56" s="98"/>
      <c r="BE56" s="98"/>
      <c r="BF56" s="98"/>
      <c r="BG56" s="67"/>
      <c r="BH56" s="98"/>
      <c r="BI56" s="98"/>
      <c r="BJ56" s="98"/>
      <c r="BK56" s="98"/>
      <c r="BL56" s="120"/>
      <c r="BM56" s="98"/>
      <c r="BN56" s="98"/>
      <c r="BO56" s="98"/>
      <c r="BP56" s="98"/>
      <c r="BQ56" s="67"/>
      <c r="BR56" s="98"/>
      <c r="BS56" s="98"/>
      <c r="BT56" s="98"/>
      <c r="BU56" s="98"/>
      <c r="BV56" s="67"/>
      <c r="BW56" s="437"/>
      <c r="BX56" s="98"/>
      <c r="BY56" s="98"/>
      <c r="BZ56" s="437"/>
      <c r="CA56" s="120"/>
      <c r="CB56" s="437"/>
      <c r="CC56" s="98"/>
      <c r="CD56" s="98"/>
      <c r="CE56" s="437"/>
      <c r="CF56" s="120"/>
      <c r="CG56" s="98"/>
      <c r="CH56" s="437"/>
      <c r="CI56" s="98"/>
      <c r="CJ56" s="98"/>
      <c r="CK56" s="120"/>
      <c r="CL56" s="98"/>
      <c r="CM56" s="98"/>
      <c r="CN56" s="98"/>
      <c r="CO56" s="98"/>
      <c r="CP56" s="67"/>
      <c r="CQ56" s="437"/>
      <c r="CR56" s="437"/>
      <c r="CS56" s="437"/>
      <c r="CT56" s="437"/>
      <c r="CU56" s="120"/>
      <c r="CV56" s="437"/>
      <c r="CW56" s="98"/>
      <c r="CX56" s="98"/>
      <c r="CY56" s="98"/>
      <c r="CZ56" s="67"/>
      <c r="DA56" s="98"/>
      <c r="DB56" s="98"/>
      <c r="DC56" s="98"/>
      <c r="DD56" s="98"/>
      <c r="DE56" s="67"/>
      <c r="DF56" s="437"/>
      <c r="DG56" s="437"/>
      <c r="DH56" s="437"/>
      <c r="DI56" s="437"/>
      <c r="DJ56" s="120"/>
      <c r="DK56" s="437"/>
      <c r="DL56" s="437"/>
      <c r="DM56" s="98"/>
      <c r="DN56" s="437"/>
      <c r="DO56" s="120"/>
      <c r="DP56" s="437"/>
      <c r="DQ56" s="98"/>
      <c r="DR56" s="98"/>
      <c r="DS56" s="98"/>
      <c r="DT56" s="67"/>
      <c r="DU56" s="98"/>
      <c r="DV56" s="98"/>
      <c r="DW56" s="98"/>
      <c r="DX56" s="98"/>
      <c r="DY56" s="67"/>
      <c r="DZ56" s="67"/>
      <c r="EA56" s="67"/>
      <c r="EB56" s="67"/>
    </row>
    <row r="57" spans="1:132" s="424" customFormat="1">
      <c r="A57" s="68"/>
      <c r="B57" s="427" t="s">
        <v>369</v>
      </c>
      <c r="C57" s="426">
        <v>0.08</v>
      </c>
      <c r="D57" s="426">
        <v>7.0000000000000007E-2</v>
      </c>
      <c r="E57" s="426">
        <v>7.0000000000000007E-2</v>
      </c>
      <c r="F57" s="426">
        <v>0.1</v>
      </c>
      <c r="G57" s="426">
        <v>0.08</v>
      </c>
      <c r="H57" s="426"/>
      <c r="I57" s="452"/>
      <c r="J57" s="498"/>
      <c r="K57" s="427"/>
      <c r="L57" s="427"/>
      <c r="M57" s="453"/>
      <c r="N57" s="426"/>
      <c r="O57" s="452"/>
      <c r="P57" s="427"/>
      <c r="Q57" s="427"/>
      <c r="R57" s="453"/>
      <c r="S57" s="426"/>
      <c r="T57" s="452"/>
      <c r="U57" s="427"/>
      <c r="V57" s="427"/>
      <c r="W57" s="453"/>
      <c r="X57" s="426"/>
      <c r="Y57" s="452">
        <v>0.12</v>
      </c>
      <c r="Z57" s="427">
        <v>0.12</v>
      </c>
      <c r="AA57" s="427">
        <v>0.12</v>
      </c>
      <c r="AB57" s="453">
        <v>0.12</v>
      </c>
      <c r="AC57" s="426"/>
      <c r="AD57" s="452"/>
      <c r="AE57" s="427"/>
      <c r="AF57" s="427"/>
      <c r="AG57" s="453"/>
      <c r="AH57" s="426"/>
      <c r="AI57" s="452"/>
      <c r="AJ57" s="427"/>
      <c r="AK57" s="427"/>
      <c r="AL57" s="453"/>
      <c r="AM57" s="426"/>
      <c r="AN57" s="452"/>
      <c r="AO57" s="427"/>
      <c r="AP57" s="427"/>
      <c r="AQ57" s="453"/>
      <c r="AR57" s="426"/>
      <c r="AS57" s="452"/>
      <c r="AT57" s="427"/>
      <c r="AU57" s="427"/>
      <c r="AV57" s="453"/>
      <c r="AW57" s="426"/>
      <c r="AX57" s="452"/>
      <c r="AY57" s="427"/>
      <c r="AZ57" s="427"/>
      <c r="BA57" s="453"/>
      <c r="BB57" s="426"/>
      <c r="BC57" s="452"/>
      <c r="BD57" s="427"/>
      <c r="BE57" s="427"/>
      <c r="BF57" s="453"/>
      <c r="BG57" s="426"/>
      <c r="BH57" s="452"/>
      <c r="BI57" s="427"/>
      <c r="BJ57" s="427"/>
      <c r="BK57" s="453"/>
      <c r="BL57" s="136"/>
      <c r="BM57" s="452"/>
      <c r="BN57" s="427"/>
      <c r="BO57" s="427"/>
      <c r="BP57" s="453"/>
      <c r="BQ57" s="426"/>
      <c r="BR57" s="452"/>
      <c r="BS57" s="427"/>
      <c r="BT57" s="427"/>
      <c r="BU57" s="453"/>
      <c r="BV57" s="426"/>
      <c r="BW57" s="749"/>
      <c r="BX57" s="427"/>
      <c r="BY57" s="427"/>
      <c r="BZ57" s="910"/>
      <c r="CA57" s="136"/>
      <c r="CB57" s="749"/>
      <c r="CC57" s="427"/>
      <c r="CD57" s="427"/>
      <c r="CE57" s="910"/>
      <c r="CF57" s="136"/>
      <c r="CG57" s="427"/>
      <c r="CH57" s="295"/>
      <c r="CI57" s="427"/>
      <c r="CJ57" s="427"/>
      <c r="CK57" s="136"/>
      <c r="CL57" s="427"/>
      <c r="CM57" s="427"/>
      <c r="CN57" s="427"/>
      <c r="CO57" s="427"/>
      <c r="CP57" s="426"/>
      <c r="CQ57" s="295"/>
      <c r="CR57" s="295"/>
      <c r="CS57" s="295"/>
      <c r="CT57" s="295"/>
      <c r="CU57" s="136"/>
      <c r="CV57" s="295"/>
      <c r="CW57" s="427"/>
      <c r="CX57" s="427"/>
      <c r="CY57" s="427"/>
      <c r="CZ57" s="426"/>
      <c r="DA57" s="427"/>
      <c r="DB57" s="427"/>
      <c r="DC57" s="427"/>
      <c r="DD57" s="427"/>
      <c r="DE57" s="426"/>
      <c r="DF57" s="295"/>
      <c r="DG57" s="295"/>
      <c r="DH57" s="295"/>
      <c r="DI57" s="295"/>
      <c r="DJ57" s="136"/>
      <c r="DK57" s="295"/>
      <c r="DL57" s="295"/>
      <c r="DM57" s="427"/>
      <c r="DN57" s="295"/>
      <c r="DO57" s="136"/>
      <c r="DP57" s="295"/>
      <c r="DQ57" s="427"/>
      <c r="DR57" s="427"/>
      <c r="DS57" s="427"/>
      <c r="DT57" s="426"/>
      <c r="DU57" s="427"/>
      <c r="DV57" s="427"/>
      <c r="DW57" s="427"/>
      <c r="DX57" s="427"/>
      <c r="DY57" s="426"/>
      <c r="DZ57" s="426"/>
      <c r="EA57" s="426"/>
      <c r="EB57" s="426"/>
    </row>
    <row r="58" spans="1:132" s="424" customFormat="1">
      <c r="A58" s="68"/>
      <c r="B58" s="427" t="s">
        <v>370</v>
      </c>
      <c r="C58" s="67">
        <f>C56*C57</f>
        <v>120.96000000000001</v>
      </c>
      <c r="D58" s="67">
        <f>D56*D57</f>
        <v>113.4</v>
      </c>
      <c r="E58" s="67">
        <f>E56*E57</f>
        <v>98.7</v>
      </c>
      <c r="F58" s="67">
        <f>F56*F57</f>
        <v>21</v>
      </c>
      <c r="G58" s="67">
        <f>G56*G57</f>
        <v>4.8</v>
      </c>
      <c r="H58" s="67"/>
      <c r="I58" s="454"/>
      <c r="J58" s="265"/>
      <c r="K58" s="98"/>
      <c r="L58" s="98"/>
      <c r="M58" s="98"/>
      <c r="N58" s="67"/>
      <c r="O58" s="98"/>
      <c r="P58" s="98"/>
      <c r="Q58" s="98"/>
      <c r="R58" s="98"/>
      <c r="S58" s="67"/>
      <c r="T58" s="98"/>
      <c r="U58" s="98"/>
      <c r="V58" s="98"/>
      <c r="W58" s="98"/>
      <c r="X58" s="67"/>
      <c r="Y58" s="98"/>
      <c r="Z58" s="98"/>
      <c r="AA58" s="98"/>
      <c r="AB58" s="98"/>
      <c r="AC58" s="67"/>
      <c r="AD58" s="98"/>
      <c r="AE58" s="98"/>
      <c r="AF58" s="98"/>
      <c r="AG58" s="98"/>
      <c r="AH58" s="67"/>
      <c r="AI58" s="98"/>
      <c r="AJ58" s="98"/>
      <c r="AK58" s="98"/>
      <c r="AL58" s="98"/>
      <c r="AM58" s="67"/>
      <c r="AN58" s="98"/>
      <c r="AO58" s="98"/>
      <c r="AP58" s="98"/>
      <c r="AQ58" s="98"/>
      <c r="AR58" s="67"/>
      <c r="AS58" s="98"/>
      <c r="AT58" s="98"/>
      <c r="AU58" s="98"/>
      <c r="AV58" s="98"/>
      <c r="AW58" s="67"/>
      <c r="AX58" s="98"/>
      <c r="AY58" s="98"/>
      <c r="AZ58" s="98"/>
      <c r="BA58" s="98"/>
      <c r="BB58" s="67"/>
      <c r="BC58" s="98"/>
      <c r="BD58" s="98"/>
      <c r="BE58" s="98"/>
      <c r="BF58" s="98"/>
      <c r="BG58" s="67"/>
      <c r="BH58" s="98"/>
      <c r="BI58" s="98"/>
      <c r="BJ58" s="98"/>
      <c r="BK58" s="98"/>
      <c r="BL58" s="120"/>
      <c r="BM58" s="98"/>
      <c r="BN58" s="98"/>
      <c r="BO58" s="98"/>
      <c r="BP58" s="98"/>
      <c r="BQ58" s="67"/>
      <c r="BR58" s="98"/>
      <c r="BS58" s="98"/>
      <c r="BT58" s="98"/>
      <c r="BU58" s="98"/>
      <c r="BV58" s="67"/>
      <c r="BW58" s="437"/>
      <c r="BX58" s="98"/>
      <c r="BY58" s="98"/>
      <c r="BZ58" s="437"/>
      <c r="CA58" s="120"/>
      <c r="CB58" s="437"/>
      <c r="CC58" s="98"/>
      <c r="CD58" s="98"/>
      <c r="CE58" s="437"/>
      <c r="CF58" s="120"/>
      <c r="CG58" s="98"/>
      <c r="CH58" s="437"/>
      <c r="CI58" s="98"/>
      <c r="CJ58" s="98"/>
      <c r="CK58" s="120"/>
      <c r="CL58" s="98"/>
      <c r="CM58" s="98"/>
      <c r="CN58" s="98"/>
      <c r="CO58" s="98"/>
      <c r="CP58" s="67"/>
      <c r="CQ58" s="437"/>
      <c r="CR58" s="437"/>
      <c r="CS58" s="437"/>
      <c r="CT58" s="437"/>
      <c r="CU58" s="120"/>
      <c r="CV58" s="437"/>
      <c r="CW58" s="98"/>
      <c r="CX58" s="98"/>
      <c r="CY58" s="98"/>
      <c r="CZ58" s="67"/>
      <c r="DA58" s="98"/>
      <c r="DB58" s="98"/>
      <c r="DC58" s="98"/>
      <c r="DD58" s="98"/>
      <c r="DE58" s="67"/>
      <c r="DF58" s="437"/>
      <c r="DG58" s="437"/>
      <c r="DH58" s="437"/>
      <c r="DI58" s="437"/>
      <c r="DJ58" s="120"/>
      <c r="DK58" s="437"/>
      <c r="DL58" s="437"/>
      <c r="DM58" s="98"/>
      <c r="DN58" s="437"/>
      <c r="DO58" s="120"/>
      <c r="DP58" s="437"/>
      <c r="DQ58" s="98"/>
      <c r="DR58" s="98"/>
      <c r="DS58" s="98"/>
      <c r="DT58" s="67"/>
      <c r="DU58" s="98"/>
      <c r="DV58" s="98"/>
      <c r="DW58" s="98"/>
      <c r="DX58" s="98"/>
      <c r="DY58" s="67"/>
      <c r="DZ58" s="67"/>
      <c r="EA58" s="67"/>
      <c r="EB58" s="67"/>
    </row>
    <row r="59" spans="1:132" s="424" customFormat="1">
      <c r="A59" s="68"/>
      <c r="B59" s="392"/>
      <c r="C59" s="67"/>
      <c r="D59" s="67"/>
      <c r="E59" s="67"/>
      <c r="F59" s="67"/>
      <c r="G59" s="67"/>
      <c r="H59" s="67"/>
      <c r="I59" s="454"/>
      <c r="J59" s="265"/>
      <c r="K59" s="98"/>
      <c r="L59" s="98"/>
      <c r="M59" s="98"/>
      <c r="N59" s="67"/>
      <c r="O59" s="98"/>
      <c r="P59" s="98"/>
      <c r="Q59" s="98"/>
      <c r="R59" s="98"/>
      <c r="S59" s="67"/>
      <c r="T59" s="98"/>
      <c r="U59" s="98"/>
      <c r="V59" s="98"/>
      <c r="W59" s="98"/>
      <c r="X59" s="67"/>
      <c r="Y59" s="98"/>
      <c r="Z59" s="98"/>
      <c r="AA59" s="98"/>
      <c r="AB59" s="98"/>
      <c r="AC59" s="67"/>
      <c r="AD59" s="98"/>
      <c r="AE59" s="98"/>
      <c r="AF59" s="98"/>
      <c r="AG59" s="98"/>
      <c r="AH59" s="67"/>
      <c r="AI59" s="98"/>
      <c r="AJ59" s="98"/>
      <c r="AK59" s="98"/>
      <c r="AL59" s="98"/>
      <c r="AM59" s="67"/>
      <c r="AN59" s="98"/>
      <c r="AO59" s="98"/>
      <c r="AP59" s="98"/>
      <c r="AQ59" s="98"/>
      <c r="AR59" s="67"/>
      <c r="AS59" s="98"/>
      <c r="AT59" s="98"/>
      <c r="AU59" s="98"/>
      <c r="AV59" s="98"/>
      <c r="AW59" s="67"/>
      <c r="AX59" s="98"/>
      <c r="AY59" s="98"/>
      <c r="AZ59" s="98"/>
      <c r="BA59" s="98"/>
      <c r="BB59" s="67"/>
      <c r="BC59" s="98"/>
      <c r="BD59" s="98"/>
      <c r="BE59" s="98"/>
      <c r="BF59" s="98"/>
      <c r="BG59" s="67"/>
      <c r="BH59" s="98"/>
      <c r="BI59" s="98"/>
      <c r="BJ59" s="98"/>
      <c r="BK59" s="98"/>
      <c r="BL59" s="120"/>
      <c r="BM59" s="98"/>
      <c r="BN59" s="98"/>
      <c r="BO59" s="98"/>
      <c r="BP59" s="98"/>
      <c r="BQ59" s="120"/>
      <c r="BR59" s="98"/>
      <c r="BS59" s="98"/>
      <c r="BT59" s="98"/>
      <c r="BU59" s="98"/>
      <c r="BV59" s="120"/>
      <c r="BW59" s="437"/>
      <c r="BX59" s="437"/>
      <c r="BY59" s="437"/>
      <c r="BZ59" s="437"/>
      <c r="CA59" s="120"/>
      <c r="CB59" s="437"/>
      <c r="CC59" s="98"/>
      <c r="CD59" s="98"/>
      <c r="CE59" s="437"/>
      <c r="CF59" s="120"/>
      <c r="CG59" s="98"/>
      <c r="CH59" s="437"/>
      <c r="CI59" s="98"/>
      <c r="CJ59" s="98"/>
      <c r="CK59" s="120"/>
      <c r="CL59" s="98"/>
      <c r="CM59" s="98"/>
      <c r="CN59" s="98"/>
      <c r="CO59" s="98"/>
      <c r="CP59" s="67"/>
      <c r="CQ59" s="437"/>
      <c r="CR59" s="437"/>
      <c r="CS59" s="437"/>
      <c r="CT59" s="437"/>
      <c r="CU59" s="120"/>
      <c r="CV59" s="437"/>
      <c r="CW59" s="98"/>
      <c r="CX59" s="98"/>
      <c r="CY59" s="98"/>
      <c r="CZ59" s="67"/>
      <c r="DA59" s="98"/>
      <c r="DB59" s="98"/>
      <c r="DC59" s="98"/>
      <c r="DD59" s="98"/>
      <c r="DE59" s="67"/>
      <c r="DF59" s="437"/>
      <c r="DG59" s="437"/>
      <c r="DH59" s="437"/>
      <c r="DI59" s="437"/>
      <c r="DJ59" s="120"/>
      <c r="DK59" s="437"/>
      <c r="DL59" s="437"/>
      <c r="DM59" s="98"/>
      <c r="DN59" s="437"/>
      <c r="DO59" s="120"/>
      <c r="DP59" s="98"/>
      <c r="DQ59" s="98"/>
      <c r="DR59" s="98"/>
      <c r="DS59" s="98"/>
      <c r="DT59" s="67"/>
      <c r="DU59" s="98"/>
      <c r="DV59" s="98"/>
      <c r="DW59" s="98"/>
      <c r="DX59" s="98"/>
      <c r="DY59" s="67"/>
      <c r="DZ59" s="67"/>
      <c r="EA59" s="67"/>
      <c r="EB59" s="67"/>
    </row>
    <row r="60" spans="1:132" s="424" customFormat="1">
      <c r="A60" s="68"/>
      <c r="B60" s="392" t="s">
        <v>628</v>
      </c>
      <c r="C60" s="67"/>
      <c r="D60" s="67"/>
      <c r="E60" s="67"/>
      <c r="F60" s="67"/>
      <c r="G60" s="67"/>
      <c r="H60" s="67"/>
      <c r="I60" s="454"/>
      <c r="J60" s="265"/>
      <c r="K60" s="98"/>
      <c r="L60" s="98"/>
      <c r="M60" s="98"/>
      <c r="N60" s="67"/>
      <c r="O60" s="98"/>
      <c r="P60" s="98"/>
      <c r="Q60" s="98"/>
      <c r="R60" s="98"/>
      <c r="S60" s="67"/>
      <c r="T60" s="98"/>
      <c r="U60" s="98"/>
      <c r="V60" s="98"/>
      <c r="W60" s="98"/>
      <c r="X60" s="67"/>
      <c r="Y60" s="98"/>
      <c r="Z60" s="98"/>
      <c r="AA60" s="98"/>
      <c r="AB60" s="98"/>
      <c r="AC60" s="67"/>
      <c r="AD60" s="98"/>
      <c r="AE60" s="98"/>
      <c r="AF60" s="98"/>
      <c r="AG60" s="98"/>
      <c r="AH60" s="67"/>
      <c r="AI60" s="98"/>
      <c r="AJ60" s="98"/>
      <c r="AK60" s="98"/>
      <c r="AL60" s="98"/>
      <c r="AM60" s="67"/>
      <c r="AN60" s="98"/>
      <c r="AO60" s="98"/>
      <c r="AP60" s="98"/>
      <c r="AQ60" s="98"/>
      <c r="AR60" s="67"/>
      <c r="AS60" s="98"/>
      <c r="AT60" s="98"/>
      <c r="AU60" s="98"/>
      <c r="AV60" s="98"/>
      <c r="AW60" s="67"/>
      <c r="AX60" s="98"/>
      <c r="AY60" s="98"/>
      <c r="AZ60" s="98"/>
      <c r="BA60" s="98"/>
      <c r="BB60" s="67"/>
      <c r="BC60" s="98"/>
      <c r="BD60" s="98"/>
      <c r="BE60" s="98"/>
      <c r="BF60" s="98"/>
      <c r="BG60" s="67"/>
      <c r="BH60" s="98"/>
      <c r="BI60" s="98"/>
      <c r="BJ60" s="98"/>
      <c r="BK60" s="98"/>
      <c r="BL60" s="120"/>
      <c r="BM60" s="98"/>
      <c r="BN60" s="98"/>
      <c r="BO60" s="98"/>
      <c r="BP60" s="98"/>
      <c r="BQ60" s="120"/>
      <c r="BR60" s="98"/>
      <c r="BS60" s="98"/>
      <c r="BT60" s="98"/>
      <c r="BU60" s="98"/>
      <c r="BV60" s="120"/>
      <c r="BW60" s="437"/>
      <c r="BX60" s="437"/>
      <c r="BY60" s="437"/>
      <c r="BZ60" s="437"/>
      <c r="CA60" s="120"/>
      <c r="CB60" s="437">
        <f>Commercial!CB111</f>
        <v>-707.5</v>
      </c>
      <c r="CC60" s="437">
        <f>Commercial!CC111</f>
        <v>-529.5</v>
      </c>
      <c r="CD60" s="437">
        <f>Commercial!CD111</f>
        <v>-1205</v>
      </c>
      <c r="CE60" s="437">
        <f>Commercial!CE111</f>
        <v>-775</v>
      </c>
      <c r="CF60" s="120">
        <f>Commercial!CF111</f>
        <v>-3217</v>
      </c>
      <c r="CG60" s="437">
        <f>Commercial!CG111</f>
        <v>-800</v>
      </c>
      <c r="CH60" s="437">
        <f>Commercial!CH111</f>
        <v>-700</v>
      </c>
      <c r="CI60" s="437">
        <f>Commercial!CI111</f>
        <v>-800</v>
      </c>
      <c r="CJ60" s="437">
        <f>Commercial!CJ111</f>
        <v>-800</v>
      </c>
      <c r="CK60" s="120">
        <f>Commercial!CK111</f>
        <v>-3100</v>
      </c>
      <c r="CL60" s="437">
        <f>Commercial!CL111</f>
        <v>-800</v>
      </c>
      <c r="CM60" s="437">
        <f>Commercial!CM111</f>
        <v>-400</v>
      </c>
      <c r="CN60" s="437">
        <f>Commercial!CN111</f>
        <v>-400</v>
      </c>
      <c r="CO60" s="437">
        <f>Commercial!CO111</f>
        <v>-400</v>
      </c>
      <c r="CP60" s="67">
        <f>Commercial!CP111</f>
        <v>-2000</v>
      </c>
      <c r="CQ60" s="437">
        <f>Commercial!CQ111</f>
        <v>-600</v>
      </c>
      <c r="CR60" s="437">
        <f>Commercial!CR111</f>
        <v>-600</v>
      </c>
      <c r="CS60" s="437">
        <f>Commercial!CS111</f>
        <v>-600</v>
      </c>
      <c r="CT60" s="437">
        <f>Commercial!CT111</f>
        <v>-600</v>
      </c>
      <c r="CU60" s="120">
        <f>Commercial!CU111</f>
        <v>-2400</v>
      </c>
      <c r="CV60" s="437">
        <f>Commercial!CV111</f>
        <v>-600</v>
      </c>
      <c r="CW60" s="437">
        <f>Commercial!CW111</f>
        <v>-600</v>
      </c>
      <c r="CX60" s="437">
        <f>Commercial!CX111</f>
        <v>-600</v>
      </c>
      <c r="CY60" s="437">
        <f>Commercial!CY111</f>
        <v>-600</v>
      </c>
      <c r="CZ60" s="67">
        <f>Commercial!CZ111</f>
        <v>-2400</v>
      </c>
      <c r="DA60" s="437">
        <f>Commercial!DA111</f>
        <v>-600</v>
      </c>
      <c r="DB60" s="437">
        <f>Commercial!DB111</f>
        <v>-600</v>
      </c>
      <c r="DC60" s="437">
        <f>Commercial!DC111</f>
        <v>-600</v>
      </c>
      <c r="DD60" s="437">
        <f>Commercial!DD111</f>
        <v>-600</v>
      </c>
      <c r="DE60" s="67">
        <f>Commercial!DE111</f>
        <v>-2400</v>
      </c>
      <c r="DF60" s="437">
        <f>Commercial!DF111</f>
        <v>-600</v>
      </c>
      <c r="DG60" s="437">
        <f>Commercial!DG111</f>
        <v>-600</v>
      </c>
      <c r="DH60" s="437">
        <f>Commercial!DH111</f>
        <v>-600</v>
      </c>
      <c r="DI60" s="437">
        <f>Commercial!DI111</f>
        <v>-155</v>
      </c>
      <c r="DJ60" s="120">
        <f>Commercial!DJ111</f>
        <v>-1955</v>
      </c>
      <c r="DK60" s="437">
        <f>Commercial!DK111</f>
        <v>-625</v>
      </c>
      <c r="DL60" s="437">
        <f>Commercial!DL111</f>
        <v>-625</v>
      </c>
      <c r="DM60" s="437">
        <f>Commercial!DM111</f>
        <v>-600</v>
      </c>
      <c r="DN60" s="437">
        <f>Commercial!DN111</f>
        <v>-650</v>
      </c>
      <c r="DO60" s="120">
        <f>Commercial!DO111</f>
        <v>-2500</v>
      </c>
      <c r="DP60" s="437">
        <f>Commercial!DP111</f>
        <v>-625</v>
      </c>
      <c r="DQ60" s="437">
        <f>Commercial!DQ111</f>
        <v>-665</v>
      </c>
      <c r="DR60" s="437">
        <f>Commercial!DR111</f>
        <v>-645</v>
      </c>
      <c r="DS60" s="437">
        <f>Commercial!DS111</f>
        <v>-655</v>
      </c>
      <c r="DT60" s="67">
        <f>Commercial!DT111</f>
        <v>-2590</v>
      </c>
      <c r="DU60" s="437">
        <f>Commercial!DU111</f>
        <v>-630</v>
      </c>
      <c r="DV60" s="437">
        <f>Commercial!DV111</f>
        <v>-630</v>
      </c>
      <c r="DW60" s="437">
        <f>Commercial!DW111</f>
        <v>-645</v>
      </c>
      <c r="DX60" s="437">
        <f>Commercial!DX111</f>
        <v>-655</v>
      </c>
      <c r="DY60" s="67">
        <f>Commercial!DY111</f>
        <v>-2560</v>
      </c>
      <c r="DZ60" s="67">
        <f>Commercial!DZ111</f>
        <v>-2570</v>
      </c>
      <c r="EA60" s="67">
        <f>Commercial!EA111</f>
        <v>-2580</v>
      </c>
      <c r="EB60" s="67">
        <f>Commercial!EB111</f>
        <v>-2590</v>
      </c>
    </row>
    <row r="61" spans="1:132" s="424" customFormat="1">
      <c r="A61" s="68"/>
      <c r="B61" s="392" t="s">
        <v>584</v>
      </c>
      <c r="C61" s="67"/>
      <c r="D61" s="67"/>
      <c r="E61" s="67"/>
      <c r="F61" s="67"/>
      <c r="G61" s="67"/>
      <c r="H61" s="67"/>
      <c r="I61" s="454"/>
      <c r="J61" s="265"/>
      <c r="K61" s="98"/>
      <c r="L61" s="98"/>
      <c r="M61" s="98"/>
      <c r="N61" s="67"/>
      <c r="O61" s="98"/>
      <c r="P61" s="98"/>
      <c r="Q61" s="98"/>
      <c r="R61" s="98"/>
      <c r="S61" s="67"/>
      <c r="T61" s="98"/>
      <c r="U61" s="98"/>
      <c r="V61" s="98"/>
      <c r="W61" s="98"/>
      <c r="X61" s="67"/>
      <c r="Y61" s="98"/>
      <c r="Z61" s="98"/>
      <c r="AA61" s="98"/>
      <c r="AB61" s="98"/>
      <c r="AC61" s="67"/>
      <c r="AD61" s="98"/>
      <c r="AE61" s="98"/>
      <c r="AF61" s="98"/>
      <c r="AG61" s="98"/>
      <c r="AH61" s="67"/>
      <c r="AI61" s="98"/>
      <c r="AJ61" s="98"/>
      <c r="AK61" s="98"/>
      <c r="AL61" s="98"/>
      <c r="AM61" s="67"/>
      <c r="AN61" s="98"/>
      <c r="AO61" s="98"/>
      <c r="AP61" s="98"/>
      <c r="AQ61" s="98"/>
      <c r="AR61" s="67"/>
      <c r="AS61" s="98"/>
      <c r="AT61" s="98"/>
      <c r="AU61" s="98"/>
      <c r="AV61" s="98"/>
      <c r="AW61" s="67"/>
      <c r="AX61" s="98"/>
      <c r="AY61" s="98"/>
      <c r="AZ61" s="98"/>
      <c r="BA61" s="98"/>
      <c r="BB61" s="67"/>
      <c r="BC61" s="98"/>
      <c r="BD61" s="98"/>
      <c r="BE61" s="98"/>
      <c r="BF61" s="98"/>
      <c r="BG61" s="67"/>
      <c r="BH61" s="98"/>
      <c r="BI61" s="98"/>
      <c r="BJ61" s="98"/>
      <c r="BK61" s="98"/>
      <c r="BL61" s="120"/>
      <c r="BM61" s="98"/>
      <c r="BN61" s="98"/>
      <c r="BO61" s="98"/>
      <c r="BP61" s="98"/>
      <c r="BQ61" s="120"/>
      <c r="BR61" s="98">
        <f>Commercial!BR112</f>
        <v>-518</v>
      </c>
      <c r="BS61" s="98">
        <f>Commercial!BS112</f>
        <v>13</v>
      </c>
      <c r="BT61" s="98">
        <f>Commercial!BT112</f>
        <v>386</v>
      </c>
      <c r="BU61" s="98">
        <f>Commercial!BU112</f>
        <v>141</v>
      </c>
      <c r="BV61" s="120">
        <f>Commercial!BV112</f>
        <v>22</v>
      </c>
      <c r="BW61" s="437">
        <f>Commercial!BW112</f>
        <v>-68</v>
      </c>
      <c r="BX61" s="437">
        <f>Commercial!BX112</f>
        <v>127</v>
      </c>
      <c r="BY61" s="437">
        <f>Commercial!BY112</f>
        <v>360</v>
      </c>
      <c r="BZ61" s="437">
        <f>Commercial!BZ112</f>
        <v>-514</v>
      </c>
      <c r="CA61" s="120">
        <f>Commercial!CA112</f>
        <v>-95</v>
      </c>
      <c r="CB61" s="437">
        <f>Commercial!CB112</f>
        <v>-307</v>
      </c>
      <c r="CC61" s="98">
        <f>Commercial!CC112</f>
        <v>-475</v>
      </c>
      <c r="CD61" s="98">
        <f>Commercial!CD112</f>
        <v>1104</v>
      </c>
      <c r="CE61" s="437">
        <f>Commercial!CE112</f>
        <v>-561</v>
      </c>
      <c r="CF61" s="120">
        <f>Commercial!CF112</f>
        <v>-239</v>
      </c>
      <c r="CG61" s="98">
        <f>Commercial!CG112</f>
        <v>-299</v>
      </c>
      <c r="CH61" s="437">
        <f>Commercial!CH112</f>
        <v>-4625</v>
      </c>
      <c r="CI61" s="98">
        <f>Commercial!CI112</f>
        <v>1436</v>
      </c>
      <c r="CJ61" s="98">
        <f>Commercial!CJ112</f>
        <v>-1377</v>
      </c>
      <c r="CK61" s="120">
        <f>Commercial!CK112</f>
        <v>-4865</v>
      </c>
      <c r="CL61" s="98">
        <f>Commercial!CL112</f>
        <v>995</v>
      </c>
      <c r="CM61" s="98">
        <f>Commercial!CM112</f>
        <v>-156</v>
      </c>
      <c r="CN61" s="98">
        <f>Commercial!CN112</f>
        <v>628</v>
      </c>
      <c r="CO61" s="98">
        <f>Commercial!CO112</f>
        <v>-3</v>
      </c>
      <c r="CP61" s="67">
        <f>Commercial!CP112</f>
        <v>1464</v>
      </c>
      <c r="CQ61" s="437">
        <f>Commercial!CQ112</f>
        <v>-492</v>
      </c>
      <c r="CR61" s="437">
        <f>Commercial!CR112</f>
        <v>261</v>
      </c>
      <c r="CS61" s="98">
        <f>Commercial!CS112</f>
        <v>-794</v>
      </c>
      <c r="CT61" s="98">
        <f>Commercial!CT112</f>
        <v>-1285</v>
      </c>
      <c r="CU61" s="120">
        <f>Commercial!CU112</f>
        <v>-2310</v>
      </c>
      <c r="CV61" s="98">
        <f>Commercial!CV112</f>
        <v>-1070</v>
      </c>
      <c r="CW61" s="98">
        <f>Commercial!CW112</f>
        <v>-1141</v>
      </c>
      <c r="CX61" s="98">
        <f>Commercial!CX112</f>
        <v>-1042</v>
      </c>
      <c r="CY61" s="98">
        <f>Commercial!CY112</f>
        <v>-1756</v>
      </c>
      <c r="CZ61" s="67">
        <f>Commercial!CZ112</f>
        <v>-5009</v>
      </c>
      <c r="DA61" s="98">
        <f>Commercial!DA112</f>
        <v>-1481</v>
      </c>
      <c r="DB61" s="98">
        <f>Commercial!DB112</f>
        <v>-577</v>
      </c>
      <c r="DC61" s="98">
        <f>Commercial!DC112</f>
        <v>-33</v>
      </c>
      <c r="DD61" s="98">
        <f>Commercial!DD112</f>
        <v>-1072.3</v>
      </c>
      <c r="DE61" s="67">
        <f>Commercial!DE112</f>
        <v>-3163.3</v>
      </c>
      <c r="DF61" s="437">
        <f>Commercial!DF112</f>
        <v>-753.44</v>
      </c>
      <c r="DG61" s="437">
        <f>Commercial!DG112</f>
        <v>-45</v>
      </c>
      <c r="DH61" s="437">
        <f>Commercial!DH112</f>
        <v>-249</v>
      </c>
      <c r="DI61" s="437">
        <f>Commercial!DI112</f>
        <v>-49.5</v>
      </c>
      <c r="DJ61" s="120">
        <f>Commercial!DJ112</f>
        <v>-1096.94</v>
      </c>
      <c r="DK61" s="437">
        <f>Commercial!DK112</f>
        <v>-410</v>
      </c>
      <c r="DL61" s="437">
        <f>Commercial!DL112</f>
        <v>-316</v>
      </c>
      <c r="DM61" s="98">
        <f>Commercial!DM112</f>
        <v>-285</v>
      </c>
      <c r="DN61" s="437">
        <f>Commercial!DN112</f>
        <v>-393</v>
      </c>
      <c r="DO61" s="120">
        <f>Commercial!DO112</f>
        <v>-1404</v>
      </c>
      <c r="DP61" s="98">
        <f>Commercial!DP112</f>
        <v>-490</v>
      </c>
      <c r="DQ61" s="98">
        <f>Commercial!DQ112</f>
        <v>-474</v>
      </c>
      <c r="DR61" s="98">
        <f>Commercial!DR112</f>
        <v>-425</v>
      </c>
      <c r="DS61" s="98">
        <f>Commercial!DS112</f>
        <v>-425</v>
      </c>
      <c r="DT61" s="67">
        <f>Commercial!DT112</f>
        <v>-1814</v>
      </c>
      <c r="DU61" s="98">
        <f>Commercial!DU112</f>
        <v>-415</v>
      </c>
      <c r="DV61" s="98">
        <f>Commercial!DV112</f>
        <v>-420</v>
      </c>
      <c r="DW61" s="98">
        <f>Commercial!DW112</f>
        <v>-430</v>
      </c>
      <c r="DX61" s="98">
        <f>Commercial!DX112</f>
        <v>-435</v>
      </c>
      <c r="DY61" s="67">
        <f>Commercial!DY112</f>
        <v>-1700</v>
      </c>
      <c r="DZ61" s="67">
        <f>Commercial!DZ112</f>
        <v>-1720</v>
      </c>
      <c r="EA61" s="67">
        <f>Commercial!EA112</f>
        <v>-1740</v>
      </c>
      <c r="EB61" s="67">
        <f>Commercial!EB112</f>
        <v>-1760</v>
      </c>
    </row>
    <row r="62" spans="1:132" s="424" customFormat="1" ht="12.75" thickBot="1">
      <c r="A62" s="68"/>
      <c r="B62" s="392"/>
      <c r="C62" s="67"/>
      <c r="D62" s="67"/>
      <c r="E62" s="67"/>
      <c r="F62" s="67"/>
      <c r="G62" s="67"/>
      <c r="H62" s="67"/>
      <c r="I62" s="454"/>
      <c r="J62" s="265"/>
      <c r="K62" s="98"/>
      <c r="L62" s="98"/>
      <c r="M62" s="98"/>
      <c r="N62" s="67"/>
      <c r="O62" s="98"/>
      <c r="P62" s="98"/>
      <c r="Q62" s="98"/>
      <c r="R62" s="98"/>
      <c r="S62" s="67"/>
      <c r="T62" s="98"/>
      <c r="U62" s="98"/>
      <c r="V62" s="98"/>
      <c r="W62" s="98"/>
      <c r="X62" s="67"/>
      <c r="Y62" s="98"/>
      <c r="Z62" s="98"/>
      <c r="AA62" s="98"/>
      <c r="AB62" s="98"/>
      <c r="AC62" s="67"/>
      <c r="AD62" s="98"/>
      <c r="AE62" s="98"/>
      <c r="AF62" s="98"/>
      <c r="AG62" s="98"/>
      <c r="AH62" s="67"/>
      <c r="AI62" s="98"/>
      <c r="AJ62" s="98"/>
      <c r="AK62" s="98"/>
      <c r="AL62" s="98"/>
      <c r="AM62" s="67"/>
      <c r="AN62" s="98"/>
      <c r="AO62" s="98"/>
      <c r="AP62" s="98"/>
      <c r="AQ62" s="98"/>
      <c r="AR62" s="67"/>
      <c r="AS62" s="98"/>
      <c r="AT62" s="98"/>
      <c r="AU62" s="98"/>
      <c r="AV62" s="98"/>
      <c r="AW62" s="67"/>
      <c r="AX62" s="98"/>
      <c r="AY62" s="98"/>
      <c r="AZ62" s="98"/>
      <c r="BA62" s="98"/>
      <c r="BB62" s="67"/>
      <c r="BC62" s="98"/>
      <c r="BD62" s="98"/>
      <c r="BE62" s="98"/>
      <c r="BF62" s="98"/>
      <c r="BG62" s="67"/>
      <c r="BH62" s="98"/>
      <c r="BI62" s="98"/>
      <c r="BJ62" s="98"/>
      <c r="BK62" s="98"/>
      <c r="BL62" s="120"/>
      <c r="BM62" s="98"/>
      <c r="BN62" s="98"/>
      <c r="BO62" s="98"/>
      <c r="BP62" s="98"/>
      <c r="BQ62" s="120"/>
      <c r="BR62" s="98"/>
      <c r="BS62" s="98"/>
      <c r="BT62" s="98"/>
      <c r="BU62" s="98"/>
      <c r="BV62" s="120"/>
      <c r="BW62" s="437"/>
      <c r="BX62" s="437"/>
      <c r="BY62" s="437"/>
      <c r="BZ62" s="437"/>
      <c r="CA62" s="67"/>
      <c r="CB62" s="98"/>
      <c r="CC62" s="98"/>
      <c r="CD62" s="98"/>
      <c r="CE62" s="437"/>
      <c r="CF62" s="67"/>
      <c r="CG62" s="98"/>
      <c r="CH62" s="437"/>
      <c r="CI62" s="98"/>
      <c r="CJ62" s="98"/>
      <c r="CK62" s="67"/>
      <c r="CL62" s="98"/>
      <c r="CM62" s="98"/>
      <c r="CN62" s="98"/>
      <c r="CO62" s="98"/>
      <c r="CP62" s="67"/>
      <c r="CQ62" s="437"/>
      <c r="CR62" s="98"/>
      <c r="CS62" s="98"/>
      <c r="CT62" s="98"/>
      <c r="CU62" s="120"/>
      <c r="CV62" s="98"/>
      <c r="CW62" s="98"/>
      <c r="CX62" s="98"/>
      <c r="CY62" s="98"/>
      <c r="CZ62" s="67"/>
      <c r="DA62" s="98"/>
      <c r="DB62" s="98"/>
      <c r="DC62" s="98"/>
      <c r="DD62" s="98"/>
      <c r="DE62" s="67"/>
      <c r="DF62" s="437"/>
      <c r="DG62" s="437"/>
      <c r="DH62" s="437"/>
      <c r="DI62" s="437"/>
      <c r="DJ62" s="120"/>
      <c r="DK62" s="437"/>
      <c r="DL62" s="437"/>
      <c r="DM62" s="98"/>
      <c r="DN62" s="437"/>
      <c r="DO62" s="120"/>
      <c r="DP62" s="98"/>
      <c r="DQ62" s="98"/>
      <c r="DR62" s="98"/>
      <c r="DS62" s="98"/>
      <c r="DT62" s="67"/>
      <c r="DU62" s="98"/>
      <c r="DV62" s="98"/>
      <c r="DW62" s="98"/>
      <c r="DX62" s="98"/>
      <c r="DY62" s="67"/>
      <c r="DZ62" s="67"/>
      <c r="EA62" s="67"/>
      <c r="EB62" s="67"/>
    </row>
    <row r="63" spans="1:132" s="424" customFormat="1" ht="12.75" hidden="1" outlineLevel="1" thickBot="1">
      <c r="A63" s="68"/>
      <c r="B63" s="32" t="s">
        <v>197</v>
      </c>
      <c r="C63" s="33">
        <f t="shared" ref="C63:AH63" si="174">C8+C14+C20+C26+C32+C38+C44+C50+C56</f>
        <v>23910</v>
      </c>
      <c r="D63" s="33">
        <f t="shared" si="174"/>
        <v>32889</v>
      </c>
      <c r="E63" s="33">
        <f t="shared" si="174"/>
        <v>35153.5</v>
      </c>
      <c r="F63" s="33">
        <f t="shared" si="174"/>
        <v>26195</v>
      </c>
      <c r="G63" s="33">
        <f t="shared" si="174"/>
        <v>29734.5</v>
      </c>
      <c r="H63" s="33">
        <f t="shared" si="174"/>
        <v>24491</v>
      </c>
      <c r="I63" s="491">
        <f t="shared" si="174"/>
        <v>18563</v>
      </c>
      <c r="J63" s="500">
        <f t="shared" si="174"/>
        <v>4589</v>
      </c>
      <c r="K63" s="32">
        <f t="shared" si="174"/>
        <v>4818</v>
      </c>
      <c r="L63" s="32">
        <f t="shared" si="174"/>
        <v>3883</v>
      </c>
      <c r="M63" s="32">
        <f t="shared" si="174"/>
        <v>4220</v>
      </c>
      <c r="N63" s="33">
        <f t="shared" si="174"/>
        <v>17510</v>
      </c>
      <c r="O63" s="32">
        <f t="shared" si="174"/>
        <v>4129</v>
      </c>
      <c r="P63" s="32">
        <f t="shared" si="174"/>
        <v>5633</v>
      </c>
      <c r="Q63" s="32">
        <f t="shared" si="174"/>
        <v>3703</v>
      </c>
      <c r="R63" s="32">
        <f t="shared" si="174"/>
        <v>4648</v>
      </c>
      <c r="S63" s="33">
        <f t="shared" si="174"/>
        <v>18113</v>
      </c>
      <c r="T63" s="32">
        <f t="shared" si="174"/>
        <v>6337</v>
      </c>
      <c r="U63" s="32">
        <f t="shared" si="174"/>
        <v>6319.5999999999995</v>
      </c>
      <c r="V63" s="32">
        <f t="shared" si="174"/>
        <v>5841</v>
      </c>
      <c r="W63" s="32">
        <f t="shared" si="174"/>
        <v>6466</v>
      </c>
      <c r="X63" s="33">
        <f t="shared" si="174"/>
        <v>24963.600000000002</v>
      </c>
      <c r="Y63" s="32">
        <f t="shared" si="174"/>
        <v>6470</v>
      </c>
      <c r="Z63" s="32">
        <f t="shared" si="174"/>
        <v>7320</v>
      </c>
      <c r="AA63" s="32">
        <f t="shared" si="174"/>
        <v>7145</v>
      </c>
      <c r="AB63" s="32">
        <f t="shared" si="174"/>
        <v>7644</v>
      </c>
      <c r="AC63" s="33">
        <f t="shared" si="174"/>
        <v>28579</v>
      </c>
      <c r="AD63" s="32">
        <f t="shared" si="174"/>
        <v>7488</v>
      </c>
      <c r="AE63" s="32">
        <f t="shared" si="174"/>
        <v>7760</v>
      </c>
      <c r="AF63" s="32">
        <f t="shared" si="174"/>
        <v>5154</v>
      </c>
      <c r="AG63" s="32">
        <f t="shared" si="174"/>
        <v>3398.8</v>
      </c>
      <c r="AH63" s="33">
        <f t="shared" si="174"/>
        <v>23800.799999999999</v>
      </c>
      <c r="AI63" s="32">
        <f t="shared" ref="AI63:BQ63" si="175">AI8+AI14+AI20+AI26+AI32+AI38+AI44+AI50+AI56</f>
        <v>7941</v>
      </c>
      <c r="AJ63" s="32">
        <f t="shared" si="175"/>
        <v>7653</v>
      </c>
      <c r="AK63" s="32">
        <f t="shared" si="175"/>
        <v>6755</v>
      </c>
      <c r="AL63" s="32">
        <f t="shared" si="175"/>
        <v>7938</v>
      </c>
      <c r="AM63" s="33">
        <f t="shared" si="175"/>
        <v>30287</v>
      </c>
      <c r="AN63" s="32">
        <f t="shared" si="175"/>
        <v>6377</v>
      </c>
      <c r="AO63" s="32">
        <f t="shared" si="175"/>
        <v>6314</v>
      </c>
      <c r="AP63" s="32">
        <f t="shared" si="175"/>
        <v>7343</v>
      </c>
      <c r="AQ63" s="32">
        <f t="shared" si="175"/>
        <v>6712</v>
      </c>
      <c r="AR63" s="33">
        <f t="shared" si="175"/>
        <v>26746</v>
      </c>
      <c r="AS63" s="32">
        <f t="shared" si="175"/>
        <v>5878</v>
      </c>
      <c r="AT63" s="32">
        <f t="shared" si="175"/>
        <v>7218</v>
      </c>
      <c r="AU63" s="32">
        <f t="shared" si="175"/>
        <v>7869</v>
      </c>
      <c r="AV63" s="32">
        <f t="shared" si="175"/>
        <v>9192</v>
      </c>
      <c r="AW63" s="33">
        <f t="shared" si="175"/>
        <v>30157</v>
      </c>
      <c r="AX63" s="32">
        <f t="shared" si="175"/>
        <v>9487</v>
      </c>
      <c r="AY63" s="32">
        <f t="shared" si="175"/>
        <v>10434</v>
      </c>
      <c r="AZ63" s="32">
        <f t="shared" si="175"/>
        <v>10718</v>
      </c>
      <c r="BA63" s="32">
        <f t="shared" si="175"/>
        <v>12388</v>
      </c>
      <c r="BB63" s="33">
        <f t="shared" si="175"/>
        <v>43027</v>
      </c>
      <c r="BC63" s="32">
        <f>BC8+BC14+BC20+BC26+BC32+BC38+BC44+BC50+BC56</f>
        <v>9545</v>
      </c>
      <c r="BD63" s="32">
        <f>BD8+BD14+BD20+BD26+BD32+BD38+BD44+BD50+BD56</f>
        <v>11891</v>
      </c>
      <c r="BE63" s="32">
        <f>BE8+BE14+BE20+BE26+BE32+BE38+BE44+BE50+BE56</f>
        <v>12215</v>
      </c>
      <c r="BF63" s="32">
        <f>BF8+BF14+BF20+BF26+BF32+BF38+BF44+BF50+BF56</f>
        <v>12838</v>
      </c>
      <c r="BG63" s="33">
        <f t="shared" si="175"/>
        <v>47137</v>
      </c>
      <c r="BH63" s="32">
        <f>BH8+BH14+BH20+BH26+BH32+BH38+BH44+BH50+BH56</f>
        <v>11722.135</v>
      </c>
      <c r="BI63" s="32">
        <f>BI8+BI14+BI20+BI26+BI32+BI38+BI44+BI50+BI56</f>
        <v>12945.295000000002</v>
      </c>
      <c r="BJ63" s="32">
        <f>BJ8+BJ14+BJ20+BJ26+BJ32+BJ38+BJ44+BJ50+BJ56</f>
        <v>14412.01</v>
      </c>
      <c r="BK63" s="32">
        <f>BK8+BK14+BK20+BK26+BK32+BK38+BK44+BK50+BK56</f>
        <v>14839.845000000001</v>
      </c>
      <c r="BL63" s="33">
        <f t="shared" si="175"/>
        <v>53919.285000000003</v>
      </c>
      <c r="BM63" s="32">
        <f>BM8+BM14+BM20+BM26+BM32+BM38+BM44+BM50+BM56</f>
        <v>14057.349999999999</v>
      </c>
      <c r="BN63" s="32">
        <f>BN8+BN14+BN20+BN26+BN32+BN38+BN44+BN50+BN56</f>
        <v>15475.660000000002</v>
      </c>
      <c r="BO63" s="32">
        <f>BO8+BO14+BO20+BO26+BO32+BO38+BO44+BO50+BO56</f>
        <v>15705.24</v>
      </c>
      <c r="BP63" s="32">
        <f>BP8+BP14+BP20+BP26+BP32+BP38+BP44+BP50+BP56</f>
        <v>14099.77</v>
      </c>
      <c r="BQ63" s="33">
        <f t="shared" si="175"/>
        <v>59338.020000000004</v>
      </c>
      <c r="BR63" s="32">
        <f>BR8+BR14+BR20+BR26+BR32+BR38+BR44+BR50+BR56</f>
        <v>13304.952499999999</v>
      </c>
      <c r="BS63" s="32">
        <f>BS8+BS14+BS20+BS26+BS32+BS38+BS44+BS50+BS56</f>
        <v>15629.880000000001</v>
      </c>
      <c r="BT63" s="32">
        <f>BT8+BT14+BT20+BT26+BT32+BT38+BT44+BT50+BT56</f>
        <v>14813.797500000001</v>
      </c>
      <c r="BU63" s="32">
        <f>BU8+BU14+BU20+BU26+BU32+BU38+BU44+BU50+BU56</f>
        <v>14240.695000000002</v>
      </c>
      <c r="BV63" s="33">
        <f t="shared" ref="BV63:CE63" si="176">BV8+BV14+BV20+BV26+BV32+BV38+BV44+BV50+BV56</f>
        <v>57989.325000000004</v>
      </c>
      <c r="BW63" s="32">
        <f t="shared" si="176"/>
        <v>13020.752499999999</v>
      </c>
      <c r="BX63" s="32">
        <f t="shared" si="176"/>
        <v>14153.427499999998</v>
      </c>
      <c r="BY63" s="32">
        <f t="shared" si="176"/>
        <v>15032.555</v>
      </c>
      <c r="BZ63" s="32">
        <f t="shared" si="176"/>
        <v>15901.775</v>
      </c>
      <c r="CA63" s="33">
        <f>CA8+CA14+CA20+CA26+CA32+CA38+CA44+CA50+CA56</f>
        <v>58108.509999999995</v>
      </c>
      <c r="CB63" s="32">
        <f t="shared" si="176"/>
        <v>13959.285</v>
      </c>
      <c r="CC63" s="32">
        <f t="shared" si="176"/>
        <v>14956.665000000001</v>
      </c>
      <c r="CD63" s="32">
        <f t="shared" si="176"/>
        <v>14171.705</v>
      </c>
      <c r="CE63" s="32">
        <f t="shared" si="176"/>
        <v>17866.915000000001</v>
      </c>
      <c r="CF63" s="33">
        <f>CF8+CF14+CF20+CF26+CF32+CF38+CF44+CF50+CF56</f>
        <v>60954.570000000007</v>
      </c>
      <c r="CG63" s="32">
        <f t="shared" ref="CG63:CJ63" si="177">CG8+CG14+CG20+CG26+CG32+CG38+CG44+CG50+CG56</f>
        <v>12920.702299999999</v>
      </c>
      <c r="CH63" s="32">
        <f t="shared" si="177"/>
        <v>10047.170950000002</v>
      </c>
      <c r="CI63" s="32">
        <f t="shared" si="177"/>
        <v>7612.5808500000003</v>
      </c>
      <c r="CJ63" s="32">
        <f t="shared" si="177"/>
        <v>9639.3120500000005</v>
      </c>
      <c r="CK63" s="33">
        <f>CK8+CK14+CK20+CK26+CK32+CK38+CK44+CK50+CK56</f>
        <v>40219.766150000003</v>
      </c>
      <c r="CL63" s="32">
        <f t="shared" ref="CL63:CO63" si="178">CL8+CL14+CL20+CL26+CL32+CL38+CL44+CL50+CL56</f>
        <v>6009.9090985000012</v>
      </c>
      <c r="CM63" s="32">
        <f t="shared" si="178"/>
        <v>2188.6997664999999</v>
      </c>
      <c r="CN63" s="32">
        <f t="shared" si="178"/>
        <v>3367.5568855000001</v>
      </c>
      <c r="CO63" s="32">
        <f t="shared" si="178"/>
        <v>5131.0231610000001</v>
      </c>
      <c r="CP63" s="33">
        <f>CP8+CP14+CP20+CP26+CP32+CP38+CP44+CP50+CP56</f>
        <v>16697.188911500001</v>
      </c>
      <c r="CQ63" s="32">
        <f t="shared" ref="CQ63:CS63" si="179">CQ8+CQ14+CQ20+CQ26+CQ32+CQ38+CQ44+CQ50+CQ56</f>
        <v>5360.5899992849991</v>
      </c>
      <c r="CR63" s="32">
        <f t="shared" si="179"/>
        <v>6353.8665121599997</v>
      </c>
      <c r="CS63" s="32">
        <f t="shared" si="179"/>
        <v>5852.5533641300008</v>
      </c>
      <c r="CT63" s="32">
        <f t="shared" ref="CT63" si="180">CT8+CT14+CT20+CT26+CT32+CT38+CT44+CT50+CT56</f>
        <v>6634.7840093449995</v>
      </c>
      <c r="CU63" s="33">
        <f>CU8+CU14+CU20+CU26+CU32+CU38+CU44+CU50+CU56</f>
        <v>24201.79388492</v>
      </c>
      <c r="CV63" s="32">
        <f t="shared" ref="CV63" si="181">CV8+CV14+CV20+CV26+CV32+CV38+CV44+CV50+CV56</f>
        <v>5830.5922951410002</v>
      </c>
      <c r="CW63" s="32">
        <f t="shared" ref="CW63:CY63" si="182">CW8+CW14+CW20+CW26+CW32+CW38+CW44+CW50+CW56</f>
        <v>7960.1345653891749</v>
      </c>
      <c r="CX63" s="32">
        <f t="shared" si="182"/>
        <v>7904.5439418480755</v>
      </c>
      <c r="CY63" s="32">
        <f t="shared" si="182"/>
        <v>11580.034258819551</v>
      </c>
      <c r="CZ63" s="33">
        <f>CZ8+CZ14+CZ20+CZ26+CZ32+CZ38+CZ44+CZ50+CZ56</f>
        <v>33275.305061197796</v>
      </c>
      <c r="DA63" s="32">
        <f t="shared" ref="DA63:DD63" si="183">DA8+DA14+DA20+DA26+DA32+DA38+DA44+DA50+DA56</f>
        <v>8785.4382286024702</v>
      </c>
      <c r="DB63" s="32">
        <f t="shared" si="183"/>
        <v>10016.788870799663</v>
      </c>
      <c r="DC63" s="32">
        <f t="shared" si="183"/>
        <v>8509.0938196930292</v>
      </c>
      <c r="DD63" s="32">
        <f t="shared" si="183"/>
        <v>12153.346327345738</v>
      </c>
      <c r="DE63" s="33">
        <f>DE8+DE14+DE20+DE26+DE32+DE38+DE44+DE50+DE56</f>
        <v>39464.667246440906</v>
      </c>
      <c r="DF63" s="32">
        <f t="shared" ref="DF63:DI63" si="184">DF8+DF14+DF20+DF26+DF32+DF38+DF44+DF50+DF56</f>
        <v>6006.4365258754979</v>
      </c>
      <c r="DG63" s="32">
        <f t="shared" si="184"/>
        <v>6647.8687253501321</v>
      </c>
      <c r="DH63" s="32">
        <f>DH8+DH14+DH20+DH26+DH32+DH38+DH44+DH50+DH56</f>
        <v>8291.8332867312783</v>
      </c>
      <c r="DI63" s="32">
        <f t="shared" si="184"/>
        <v>4966.5768891096923</v>
      </c>
      <c r="DJ63" s="33">
        <f t="shared" ref="DJ63:DN63" si="185">DJ8+DJ14+DJ20+DJ26+DJ32+DJ38+DJ44+DJ50+DJ56</f>
        <v>25912.7154270666</v>
      </c>
      <c r="DK63" s="32">
        <f t="shared" si="185"/>
        <v>9182.0041168052721</v>
      </c>
      <c r="DL63" s="32">
        <f t="shared" si="185"/>
        <v>11814.599294704403</v>
      </c>
      <c r="DM63" s="32">
        <f t="shared" si="185"/>
        <v>11978.958867626639</v>
      </c>
      <c r="DN63" s="32">
        <f t="shared" si="185"/>
        <v>12422.39288279129</v>
      </c>
      <c r="DO63" s="33">
        <f t="shared" ref="DO63:DS63" si="186">DO8+DO14+DO20+DO26+DO32+DO38+DO44+DO50+DO56</f>
        <v>45397.955161927603</v>
      </c>
      <c r="DP63" s="32">
        <f t="shared" si="186"/>
        <v>10317.561940186888</v>
      </c>
      <c r="DQ63" s="32">
        <f t="shared" si="186"/>
        <v>12890.153592822791</v>
      </c>
      <c r="DR63" s="32">
        <f t="shared" si="186"/>
        <v>12361.396795496217</v>
      </c>
      <c r="DS63" s="32">
        <f t="shared" si="186"/>
        <v>13652.529358705026</v>
      </c>
      <c r="DT63" s="33">
        <f t="shared" ref="DT63:DX63" si="187">DT8+DT14+DT20+DT26+DT32+DT38+DT44+DT50+DT56</f>
        <v>49221.641687210926</v>
      </c>
      <c r="DU63" s="32">
        <f t="shared" si="187"/>
        <v>13084.5367612225</v>
      </c>
      <c r="DV63" s="32">
        <f t="shared" si="187"/>
        <v>15278.745443111249</v>
      </c>
      <c r="DW63" s="32">
        <f t="shared" si="187"/>
        <v>16355.745443111249</v>
      </c>
      <c r="DX63" s="32">
        <f t="shared" si="187"/>
        <v>18592.36709311125</v>
      </c>
      <c r="DY63" s="33">
        <f t="shared" ref="DY63" si="188">DY8+DY14+DY20+DY26+DY32+DY38+DY44+DY50+DY56</f>
        <v>63311.39474055625</v>
      </c>
      <c r="DZ63" s="33">
        <f t="shared" ref="DZ63:EB63" si="189">DZ8+DZ14+DZ20+DZ26+DZ32+DZ38+DZ44+DZ50+DZ56</f>
        <v>72576.425936222498</v>
      </c>
      <c r="EA63" s="33">
        <f t="shared" si="189"/>
        <v>83081</v>
      </c>
      <c r="EB63" s="33">
        <f t="shared" si="189"/>
        <v>89271</v>
      </c>
    </row>
    <row r="64" spans="1:132" s="424" customFormat="1" ht="12.75" hidden="1" outlineLevel="1" thickBot="1">
      <c r="A64" s="68"/>
      <c r="B64" s="98"/>
      <c r="C64" s="426"/>
      <c r="D64" s="426"/>
      <c r="E64" s="426"/>
      <c r="F64" s="426"/>
      <c r="G64" s="426"/>
      <c r="H64" s="426"/>
      <c r="I64" s="452"/>
      <c r="J64" s="499"/>
      <c r="N64" s="426"/>
      <c r="O64" s="427"/>
      <c r="P64" s="427"/>
      <c r="Q64" s="427"/>
      <c r="R64" s="427"/>
      <c r="S64" s="426"/>
      <c r="T64" s="427"/>
      <c r="U64" s="427"/>
      <c r="V64" s="427"/>
      <c r="W64" s="427"/>
      <c r="X64" s="426"/>
      <c r="Y64" s="427"/>
      <c r="Z64" s="427"/>
      <c r="AA64" s="427"/>
      <c r="AB64" s="427"/>
      <c r="AC64" s="426"/>
      <c r="AD64" s="427"/>
      <c r="AE64" s="427"/>
      <c r="AF64" s="427"/>
      <c r="AG64" s="427"/>
      <c r="AH64" s="426"/>
      <c r="AI64" s="427"/>
      <c r="AJ64" s="427"/>
      <c r="AK64" s="427"/>
      <c r="AL64" s="427"/>
      <c r="AM64" s="426"/>
      <c r="AN64" s="427"/>
      <c r="AO64" s="427"/>
      <c r="AP64" s="427"/>
      <c r="AQ64" s="427"/>
      <c r="AR64" s="426"/>
      <c r="AS64" s="427"/>
      <c r="AT64" s="427"/>
      <c r="AU64" s="427"/>
      <c r="AV64" s="427"/>
      <c r="AW64" s="426"/>
      <c r="AX64" s="427"/>
      <c r="AY64" s="427"/>
      <c r="AZ64" s="427"/>
      <c r="BA64" s="427"/>
      <c r="BB64" s="426"/>
      <c r="BC64" s="427"/>
      <c r="BD64" s="427"/>
      <c r="BE64" s="427"/>
      <c r="BF64" s="427"/>
      <c r="BG64" s="426"/>
      <c r="BH64" s="427"/>
      <c r="BI64" s="427"/>
      <c r="BJ64" s="427"/>
      <c r="BK64" s="427"/>
      <c r="BL64" s="136"/>
      <c r="BM64" s="427"/>
      <c r="BN64" s="427"/>
      <c r="BO64" s="427"/>
      <c r="BP64" s="427"/>
      <c r="BQ64" s="426"/>
      <c r="BR64" s="427"/>
      <c r="BS64" s="427"/>
      <c r="BT64" s="427"/>
      <c r="BU64" s="427"/>
      <c r="BV64" s="426"/>
      <c r="BW64" s="295"/>
      <c r="BX64" s="427"/>
      <c r="BY64" s="427"/>
      <c r="BZ64" s="295"/>
      <c r="CA64" s="426"/>
      <c r="CB64" s="427"/>
      <c r="CC64" s="427"/>
      <c r="CD64" s="427"/>
      <c r="CE64" s="427"/>
      <c r="CF64" s="426"/>
      <c r="CG64" s="427"/>
      <c r="CH64" s="295"/>
      <c r="CI64" s="427"/>
      <c r="CJ64" s="427"/>
      <c r="CK64" s="426"/>
      <c r="CL64" s="427"/>
      <c r="CM64" s="427"/>
      <c r="CN64" s="427"/>
      <c r="CO64" s="427"/>
      <c r="CP64" s="426"/>
      <c r="CQ64" s="295"/>
      <c r="CR64" s="427"/>
      <c r="CS64" s="427"/>
      <c r="CT64" s="427"/>
      <c r="CU64" s="136"/>
      <c r="CV64" s="427"/>
      <c r="CW64" s="427"/>
      <c r="CX64" s="427"/>
      <c r="CY64" s="427"/>
      <c r="CZ64" s="426"/>
      <c r="DA64" s="427"/>
      <c r="DB64" s="427"/>
      <c r="DC64" s="427"/>
      <c r="DD64" s="427"/>
      <c r="DE64" s="426"/>
      <c r="DF64" s="295"/>
      <c r="DG64" s="295"/>
      <c r="DH64" s="295"/>
      <c r="DI64" s="295"/>
      <c r="DJ64" s="136"/>
      <c r="DK64" s="295"/>
      <c r="DL64" s="295"/>
      <c r="DM64" s="427"/>
      <c r="DN64" s="295"/>
      <c r="DO64" s="136"/>
      <c r="DP64" s="427"/>
      <c r="DQ64" s="427"/>
      <c r="DR64" s="427"/>
      <c r="DS64" s="427"/>
      <c r="DT64" s="426"/>
      <c r="DU64" s="427"/>
      <c r="DV64" s="427"/>
      <c r="DW64" s="427"/>
      <c r="DX64" s="427"/>
      <c r="DY64" s="426"/>
      <c r="DZ64" s="426"/>
      <c r="EA64" s="426"/>
      <c r="EB64" s="426"/>
    </row>
    <row r="65" spans="1:132" s="98" customFormat="1" ht="12.75" hidden="1" outlineLevel="1" thickBot="1">
      <c r="A65" s="68"/>
      <c r="B65" s="432" t="s">
        <v>198</v>
      </c>
      <c r="C65" s="43"/>
      <c r="D65" s="43"/>
      <c r="E65" s="43"/>
      <c r="F65" s="43"/>
      <c r="G65" s="43"/>
      <c r="H65" s="43"/>
      <c r="I65" s="488"/>
      <c r="J65" s="496"/>
      <c r="K65" s="432"/>
      <c r="L65" s="432"/>
      <c r="M65" s="432"/>
      <c r="N65" s="43"/>
      <c r="O65" s="432"/>
      <c r="P65" s="432"/>
      <c r="Q65" s="432"/>
      <c r="R65" s="432"/>
      <c r="S65" s="43"/>
      <c r="T65" s="432"/>
      <c r="U65" s="432"/>
      <c r="V65" s="432"/>
      <c r="W65" s="432">
        <v>350</v>
      </c>
      <c r="X65" s="43">
        <v>350</v>
      </c>
      <c r="Y65" s="432">
        <v>405</v>
      </c>
      <c r="Z65" s="432">
        <v>405</v>
      </c>
      <c r="AA65" s="432">
        <v>405</v>
      </c>
      <c r="AB65" s="432">
        <v>405</v>
      </c>
      <c r="AC65" s="43">
        <v>1620</v>
      </c>
      <c r="AD65" s="432">
        <v>400</v>
      </c>
      <c r="AE65" s="432">
        <v>400</v>
      </c>
      <c r="AF65" s="432">
        <v>400</v>
      </c>
      <c r="AG65" s="432">
        <v>400</v>
      </c>
      <c r="AH65" s="43">
        <v>1600</v>
      </c>
      <c r="AI65" s="432">
        <v>380</v>
      </c>
      <c r="AJ65" s="432">
        <v>380</v>
      </c>
      <c r="AK65" s="432">
        <v>380</v>
      </c>
      <c r="AL65" s="432">
        <v>400</v>
      </c>
      <c r="AM65" s="43">
        <f>SUM(AI65:AL65)</f>
        <v>1540</v>
      </c>
      <c r="AN65" s="432">
        <v>360</v>
      </c>
      <c r="AO65" s="432">
        <v>370</v>
      </c>
      <c r="AP65" s="432">
        <v>380</v>
      </c>
      <c r="AQ65" s="432">
        <f>Commercial!AQ117</f>
        <v>500</v>
      </c>
      <c r="AR65" s="43">
        <f>SUM(AN65:AQ65)</f>
        <v>1610</v>
      </c>
      <c r="AS65" s="432">
        <f>Commercial!AS117</f>
        <v>400</v>
      </c>
      <c r="AT65" s="432">
        <f>Commercial!AT117</f>
        <v>420</v>
      </c>
      <c r="AU65" s="432">
        <f>Commercial!AU117</f>
        <v>480</v>
      </c>
      <c r="AV65" s="432">
        <f>Commercial!AV117</f>
        <v>550</v>
      </c>
      <c r="AW65" s="43">
        <f>SUM(AS65:AV65)</f>
        <v>1850</v>
      </c>
      <c r="AX65" s="432">
        <f>Commercial!AX117</f>
        <v>410</v>
      </c>
      <c r="AY65" s="432">
        <f>Commercial!AY117</f>
        <v>440</v>
      </c>
      <c r="AZ65" s="432">
        <f>Commercial!AZ117</f>
        <v>500</v>
      </c>
      <c r="BA65" s="432">
        <f>Commercial!BA117</f>
        <v>570</v>
      </c>
      <c r="BB65" s="43">
        <f>Commercial!BB117</f>
        <v>1920</v>
      </c>
      <c r="BC65" s="432">
        <f>Commercial!BC117</f>
        <v>414.1</v>
      </c>
      <c r="BD65" s="432">
        <f>Commercial!BD117</f>
        <v>448.8</v>
      </c>
      <c r="BE65" s="432">
        <f>Commercial!BE117</f>
        <v>525</v>
      </c>
      <c r="BF65" s="432">
        <f>Commercial!BF117</f>
        <v>609.90000000000009</v>
      </c>
      <c r="BG65" s="43">
        <f>Commercial!BG117</f>
        <v>1997.8000000000002</v>
      </c>
      <c r="BH65" s="432">
        <f>Commercial!BH117</f>
        <v>430.66400000000004</v>
      </c>
      <c r="BI65" s="432">
        <f>Commercial!BI117</f>
        <v>475.72800000000001</v>
      </c>
      <c r="BJ65" s="432">
        <f>Commercial!BJ117</f>
        <v>556.5</v>
      </c>
      <c r="BK65" s="432">
        <f>Commercial!BK117</f>
        <v>670.8900000000001</v>
      </c>
      <c r="BL65" s="43">
        <f>Commercial!BL117</f>
        <v>2133.7820000000002</v>
      </c>
      <c r="BM65" s="432">
        <f>Commercial!BM117</f>
        <v>447.89056000000005</v>
      </c>
      <c r="BN65" s="432">
        <f>Commercial!BN117</f>
        <v>504.27168000000006</v>
      </c>
      <c r="BO65" s="432">
        <f>Commercial!BO117</f>
        <v>625.50600000000009</v>
      </c>
      <c r="BP65" s="432">
        <f>Commercial!BP117</f>
        <v>670.8900000000001</v>
      </c>
      <c r="BQ65" s="43">
        <f>Commercial!BQ117</f>
        <v>2248.5582400000003</v>
      </c>
      <c r="BR65" s="432"/>
      <c r="BS65" s="432"/>
      <c r="BT65" s="432"/>
      <c r="BU65" s="432"/>
      <c r="BV65" s="43"/>
      <c r="BW65" s="432"/>
      <c r="BX65" s="432"/>
      <c r="BY65" s="739"/>
      <c r="BZ65" s="432"/>
      <c r="CA65" s="484"/>
      <c r="CB65" s="739"/>
      <c r="CC65" s="739"/>
      <c r="CD65" s="739"/>
      <c r="CE65" s="739"/>
      <c r="CF65" s="484"/>
      <c r="CG65" s="739"/>
      <c r="CH65" s="432"/>
      <c r="CI65" s="739"/>
      <c r="CJ65" s="739"/>
      <c r="CK65" s="484"/>
      <c r="CL65" s="739"/>
      <c r="CM65" s="739"/>
      <c r="CN65" s="739"/>
      <c r="CO65" s="739"/>
      <c r="CP65" s="484"/>
      <c r="CQ65" s="432"/>
      <c r="CR65" s="739"/>
      <c r="CS65" s="739"/>
      <c r="CT65" s="739"/>
      <c r="CU65" s="43"/>
      <c r="CV65" s="739"/>
      <c r="CW65" s="739"/>
      <c r="CX65" s="739"/>
      <c r="CY65" s="739"/>
      <c r="CZ65" s="484"/>
      <c r="DA65" s="739"/>
      <c r="DB65" s="739"/>
      <c r="DC65" s="739"/>
      <c r="DD65" s="739"/>
      <c r="DE65" s="484"/>
      <c r="DF65" s="432"/>
      <c r="DG65" s="432"/>
      <c r="DH65" s="432"/>
      <c r="DI65" s="432"/>
      <c r="DJ65" s="43"/>
      <c r="DK65" s="432"/>
      <c r="DL65" s="432"/>
      <c r="DM65" s="739"/>
      <c r="DN65" s="432"/>
      <c r="DO65" s="43"/>
      <c r="DP65" s="739"/>
      <c r="DQ65" s="739"/>
      <c r="DR65" s="739"/>
      <c r="DS65" s="739"/>
      <c r="DT65" s="484"/>
      <c r="DU65" s="739"/>
      <c r="DV65" s="739"/>
      <c r="DW65" s="739"/>
      <c r="DX65" s="739"/>
      <c r="DY65" s="484"/>
      <c r="DZ65" s="484"/>
      <c r="EA65" s="484"/>
      <c r="EB65" s="484"/>
    </row>
    <row r="66" spans="1:132" s="427" customFormat="1" ht="12.75" hidden="1" outlineLevel="1" thickBot="1">
      <c r="A66" s="407"/>
      <c r="B66" s="427" t="s">
        <v>224</v>
      </c>
      <c r="C66" s="426"/>
      <c r="D66" s="426"/>
      <c r="E66" s="426"/>
      <c r="F66" s="426"/>
      <c r="G66" s="426"/>
      <c r="H66" s="426"/>
      <c r="I66" s="452"/>
      <c r="J66" s="498"/>
      <c r="N66" s="426"/>
      <c r="S66" s="426"/>
      <c r="T66" s="427">
        <v>0.12</v>
      </c>
      <c r="U66" s="427">
        <v>0.12</v>
      </c>
      <c r="V66" s="427">
        <v>0.12</v>
      </c>
      <c r="W66" s="427">
        <v>0.12</v>
      </c>
      <c r="X66" s="426">
        <v>0.12</v>
      </c>
      <c r="Y66" s="427">
        <v>0.128</v>
      </c>
      <c r="Z66" s="427">
        <v>0.128</v>
      </c>
      <c r="AA66" s="427">
        <v>0.128</v>
      </c>
      <c r="AB66" s="427">
        <v>0.128</v>
      </c>
      <c r="AC66" s="426">
        <v>0.128</v>
      </c>
      <c r="AD66" s="427">
        <v>0.125</v>
      </c>
      <c r="AE66" s="427">
        <v>0.125</v>
      </c>
      <c r="AF66" s="427">
        <v>0.125</v>
      </c>
      <c r="AG66" s="427">
        <v>0.125</v>
      </c>
      <c r="AH66" s="426">
        <v>0.125</v>
      </c>
      <c r="AI66" s="427">
        <v>0.123</v>
      </c>
      <c r="AJ66" s="427">
        <v>0.123</v>
      </c>
      <c r="AK66" s="427">
        <v>0.123</v>
      </c>
      <c r="AL66" s="427">
        <v>0.123</v>
      </c>
      <c r="AM66" s="426">
        <v>0.123</v>
      </c>
      <c r="AN66" s="427">
        <v>0.15</v>
      </c>
      <c r="AO66" s="427">
        <v>0.15</v>
      </c>
      <c r="AP66" s="427">
        <v>0.15</v>
      </c>
      <c r="AQ66" s="427">
        <v>0.15</v>
      </c>
      <c r="AR66" s="426">
        <f>AR67/AR65</f>
        <v>0.15</v>
      </c>
      <c r="AS66" s="427">
        <v>0.15</v>
      </c>
      <c r="AT66" s="427">
        <v>0.15</v>
      </c>
      <c r="AU66" s="427">
        <v>0.15</v>
      </c>
      <c r="AV66" s="427">
        <v>0.15</v>
      </c>
      <c r="AW66" s="426">
        <f>AW67/AW65</f>
        <v>0.15</v>
      </c>
      <c r="BB66" s="426">
        <v>0.13</v>
      </c>
      <c r="BG66" s="426">
        <v>0.13</v>
      </c>
      <c r="BL66" s="136">
        <v>0.13</v>
      </c>
      <c r="BQ66" s="136">
        <v>0.13</v>
      </c>
      <c r="BR66" s="295"/>
      <c r="BT66" s="295"/>
      <c r="BV66" s="136"/>
      <c r="BW66" s="749"/>
      <c r="BZ66" s="295"/>
      <c r="CA66" s="426"/>
      <c r="CF66" s="426"/>
      <c r="CH66" s="295"/>
      <c r="CK66" s="426"/>
      <c r="CP66" s="426"/>
      <c r="CQ66" s="295"/>
      <c r="CU66" s="136"/>
      <c r="CZ66" s="426"/>
      <c r="DE66" s="426"/>
      <c r="DF66" s="295"/>
      <c r="DG66" s="295"/>
      <c r="DH66" s="295"/>
      <c r="DI66" s="295"/>
      <c r="DJ66" s="136"/>
      <c r="DK66" s="295"/>
      <c r="DL66" s="295"/>
      <c r="DN66" s="295"/>
      <c r="DO66" s="136"/>
      <c r="DT66" s="426"/>
      <c r="DY66" s="426"/>
      <c r="DZ66" s="426"/>
      <c r="EA66" s="426"/>
      <c r="EB66" s="426"/>
    </row>
    <row r="67" spans="1:132" s="424" customFormat="1" ht="12.75" hidden="1" outlineLevel="1" thickBot="1">
      <c r="A67" s="68"/>
      <c r="B67" s="98" t="s">
        <v>361</v>
      </c>
      <c r="C67" s="67"/>
      <c r="D67" s="67"/>
      <c r="E67" s="67"/>
      <c r="F67" s="67"/>
      <c r="G67" s="67"/>
      <c r="H67" s="67"/>
      <c r="I67" s="454"/>
      <c r="J67" s="265"/>
      <c r="K67" s="98"/>
      <c r="L67" s="98"/>
      <c r="M67" s="98"/>
      <c r="N67" s="67"/>
      <c r="O67" s="98"/>
      <c r="P67" s="98"/>
      <c r="Q67" s="98"/>
      <c r="R67" s="98"/>
      <c r="S67" s="67"/>
      <c r="T67" s="98">
        <f t="shared" ref="T67:AB67" si="190">T65*T66</f>
        <v>0</v>
      </c>
      <c r="U67" s="98">
        <f t="shared" si="190"/>
        <v>0</v>
      </c>
      <c r="V67" s="98">
        <f t="shared" si="190"/>
        <v>0</v>
      </c>
      <c r="W67" s="98">
        <f t="shared" si="190"/>
        <v>42</v>
      </c>
      <c r="X67" s="67">
        <f t="shared" si="190"/>
        <v>42</v>
      </c>
      <c r="Y67" s="98">
        <f t="shared" si="190"/>
        <v>51.84</v>
      </c>
      <c r="Z67" s="98">
        <f t="shared" si="190"/>
        <v>51.84</v>
      </c>
      <c r="AA67" s="98">
        <f t="shared" si="190"/>
        <v>51.84</v>
      </c>
      <c r="AB67" s="98">
        <f t="shared" si="190"/>
        <v>51.84</v>
      </c>
      <c r="AC67" s="67">
        <f t="shared" ref="AC67:BQ67" si="191">AC65*AC66</f>
        <v>207.36</v>
      </c>
      <c r="AD67" s="454">
        <f t="shared" si="191"/>
        <v>50</v>
      </c>
      <c r="AE67" s="98">
        <f t="shared" si="191"/>
        <v>50</v>
      </c>
      <c r="AF67" s="98">
        <f t="shared" si="191"/>
        <v>50</v>
      </c>
      <c r="AG67" s="455">
        <f t="shared" si="191"/>
        <v>50</v>
      </c>
      <c r="AH67" s="67">
        <f t="shared" si="191"/>
        <v>200</v>
      </c>
      <c r="AI67" s="454">
        <f t="shared" si="191"/>
        <v>46.74</v>
      </c>
      <c r="AJ67" s="98">
        <f t="shared" si="191"/>
        <v>46.74</v>
      </c>
      <c r="AK67" s="98">
        <f t="shared" si="191"/>
        <v>46.74</v>
      </c>
      <c r="AL67" s="455">
        <f t="shared" si="191"/>
        <v>49.2</v>
      </c>
      <c r="AM67" s="67">
        <f t="shared" si="191"/>
        <v>189.42</v>
      </c>
      <c r="AN67" s="454">
        <f t="shared" si="191"/>
        <v>54</v>
      </c>
      <c r="AO67" s="98">
        <f t="shared" si="191"/>
        <v>55.5</v>
      </c>
      <c r="AP67" s="98">
        <f t="shared" si="191"/>
        <v>57</v>
      </c>
      <c r="AQ67" s="455">
        <f t="shared" si="191"/>
        <v>75</v>
      </c>
      <c r="AR67" s="67">
        <f>SUM(AN67:AQ67)</f>
        <v>241.5</v>
      </c>
      <c r="AS67" s="454">
        <f t="shared" si="191"/>
        <v>60</v>
      </c>
      <c r="AT67" s="98">
        <f t="shared" si="191"/>
        <v>63</v>
      </c>
      <c r="AU67" s="98">
        <f t="shared" si="191"/>
        <v>72</v>
      </c>
      <c r="AV67" s="455">
        <f t="shared" si="191"/>
        <v>82.5</v>
      </c>
      <c r="AW67" s="67">
        <f>SUM(AS67:AV67)</f>
        <v>277.5</v>
      </c>
      <c r="AX67" s="454"/>
      <c r="AY67" s="98"/>
      <c r="AZ67" s="98"/>
      <c r="BA67" s="455"/>
      <c r="BB67" s="67">
        <f t="shared" si="191"/>
        <v>249.60000000000002</v>
      </c>
      <c r="BC67" s="454"/>
      <c r="BD67" s="98"/>
      <c r="BE67" s="98"/>
      <c r="BF67" s="455"/>
      <c r="BG67" s="67">
        <f t="shared" si="191"/>
        <v>259.71400000000006</v>
      </c>
      <c r="BH67" s="454"/>
      <c r="BI67" s="98"/>
      <c r="BJ67" s="98"/>
      <c r="BK67" s="455"/>
      <c r="BL67" s="120">
        <f t="shared" si="191"/>
        <v>277.39166</v>
      </c>
      <c r="BM67" s="454"/>
      <c r="BN67" s="98"/>
      <c r="BO67" s="98"/>
      <c r="BP67" s="98"/>
      <c r="BQ67" s="120">
        <f t="shared" si="191"/>
        <v>292.31257120000004</v>
      </c>
      <c r="BR67" s="569"/>
      <c r="BS67" s="98"/>
      <c r="BT67" s="437"/>
      <c r="BU67" s="455"/>
      <c r="BV67" s="120"/>
      <c r="BW67" s="437"/>
      <c r="BX67" s="437"/>
      <c r="BY67" s="437"/>
      <c r="BZ67" s="437"/>
      <c r="CA67" s="67"/>
      <c r="CB67" s="454"/>
      <c r="CC67" s="98"/>
      <c r="CD67" s="98"/>
      <c r="CE67" s="455"/>
      <c r="CF67" s="67"/>
      <c r="CG67" s="98"/>
      <c r="CH67" s="437"/>
      <c r="CI67" s="98"/>
      <c r="CJ67" s="98"/>
      <c r="CK67" s="67"/>
      <c r="CL67" s="98"/>
      <c r="CM67" s="98"/>
      <c r="CN67" s="98"/>
      <c r="CO67" s="98"/>
      <c r="CP67" s="67"/>
      <c r="CQ67" s="437"/>
      <c r="CR67" s="98"/>
      <c r="CS67" s="98"/>
      <c r="CT67" s="98"/>
      <c r="CU67" s="120"/>
      <c r="CV67" s="98"/>
      <c r="CW67" s="98"/>
      <c r="CX67" s="98"/>
      <c r="CY67" s="98"/>
      <c r="CZ67" s="67"/>
      <c r="DA67" s="98"/>
      <c r="DB67" s="98"/>
      <c r="DC67" s="98"/>
      <c r="DD67" s="98"/>
      <c r="DE67" s="67"/>
      <c r="DF67" s="437"/>
      <c r="DG67" s="437"/>
      <c r="DH67" s="437"/>
      <c r="DI67" s="437"/>
      <c r="DJ67" s="120"/>
      <c r="DK67" s="437"/>
      <c r="DL67" s="437"/>
      <c r="DM67" s="98"/>
      <c r="DN67" s="437"/>
      <c r="DO67" s="120"/>
      <c r="DP67" s="98"/>
      <c r="DQ67" s="98"/>
      <c r="DR67" s="98"/>
      <c r="DS67" s="98"/>
      <c r="DT67" s="67"/>
      <c r="DU67" s="98"/>
      <c r="DV67" s="98"/>
      <c r="DW67" s="98"/>
      <c r="DX67" s="98"/>
      <c r="DY67" s="67"/>
      <c r="DZ67" s="67"/>
      <c r="EA67" s="67"/>
      <c r="EB67" s="67"/>
    </row>
    <row r="68" spans="1:132" s="424" customFormat="1" ht="12.75" hidden="1" outlineLevel="1" thickBot="1">
      <c r="A68" s="68"/>
      <c r="B68" s="98"/>
      <c r="C68" s="425"/>
      <c r="D68" s="425"/>
      <c r="E68" s="425"/>
      <c r="F68" s="425"/>
      <c r="G68" s="425"/>
      <c r="H68" s="425"/>
      <c r="I68" s="490"/>
      <c r="J68" s="499"/>
      <c r="N68" s="425"/>
      <c r="S68" s="425"/>
      <c r="X68" s="425"/>
      <c r="AC68" s="425"/>
      <c r="AH68" s="425"/>
      <c r="AM68" s="425"/>
      <c r="AN68" s="461"/>
      <c r="AR68" s="425"/>
      <c r="AS68" s="461"/>
      <c r="AW68" s="425"/>
      <c r="AX68" s="461"/>
      <c r="BB68" s="425"/>
      <c r="BC68" s="461"/>
      <c r="BG68" s="425"/>
      <c r="BH68" s="461"/>
      <c r="BL68" s="585"/>
      <c r="BM68" s="461"/>
      <c r="BQ68" s="585"/>
      <c r="BR68" s="748"/>
      <c r="BT68" s="439"/>
      <c r="BV68" s="585"/>
      <c r="BW68" s="748"/>
      <c r="BZ68" s="439"/>
      <c r="CA68" s="425"/>
      <c r="CB68" s="461"/>
      <c r="CF68" s="425"/>
      <c r="CH68" s="439"/>
      <c r="CK68" s="425"/>
      <c r="CP68" s="425"/>
      <c r="CQ68" s="439"/>
      <c r="CU68" s="585"/>
      <c r="CZ68" s="425"/>
      <c r="DE68" s="425"/>
      <c r="DF68" s="439"/>
      <c r="DG68" s="439"/>
      <c r="DH68" s="439"/>
      <c r="DI68" s="439"/>
      <c r="DJ68" s="585"/>
      <c r="DK68" s="439"/>
      <c r="DL68" s="439"/>
      <c r="DN68" s="439"/>
      <c r="DO68" s="585"/>
      <c r="DT68" s="425"/>
      <c r="DY68" s="425"/>
      <c r="DZ68" s="425"/>
      <c r="EA68" s="425"/>
      <c r="EB68" s="425"/>
    </row>
    <row r="69" spans="1:132" s="98" customFormat="1" ht="12.75" hidden="1" outlineLevel="1" collapsed="1" thickBot="1">
      <c r="A69" s="68"/>
      <c r="B69" s="432" t="s">
        <v>373</v>
      </c>
      <c r="C69" s="43">
        <v>1399</v>
      </c>
      <c r="D69" s="43">
        <v>1650</v>
      </c>
      <c r="E69" s="43">
        <v>1190</v>
      </c>
      <c r="F69" s="43">
        <v>2055</v>
      </c>
      <c r="G69" s="43">
        <v>2451</v>
      </c>
      <c r="H69" s="43">
        <v>2100</v>
      </c>
      <c r="I69" s="488">
        <v>2006</v>
      </c>
      <c r="J69" s="496">
        <v>371</v>
      </c>
      <c r="K69" s="432">
        <v>430</v>
      </c>
      <c r="L69" s="432">
        <v>380</v>
      </c>
      <c r="M69" s="432">
        <v>590</v>
      </c>
      <c r="N69" s="43">
        <f>SUM(J69:M69)</f>
        <v>1771</v>
      </c>
      <c r="O69" s="432">
        <v>452</v>
      </c>
      <c r="P69" s="432">
        <v>590</v>
      </c>
      <c r="Q69" s="432">
        <v>610</v>
      </c>
      <c r="R69" s="432">
        <v>605</v>
      </c>
      <c r="S69" s="43">
        <f>SUM(O69:R69)</f>
        <v>2257</v>
      </c>
      <c r="T69" s="432">
        <v>385</v>
      </c>
      <c r="U69" s="432">
        <v>438</v>
      </c>
      <c r="V69" s="432">
        <v>422</v>
      </c>
      <c r="W69" s="432">
        <v>430</v>
      </c>
      <c r="X69" s="43">
        <f>SUM(T69:W69)</f>
        <v>1675</v>
      </c>
      <c r="Y69" s="432">
        <v>405</v>
      </c>
      <c r="Z69" s="432">
        <v>420</v>
      </c>
      <c r="AA69" s="432">
        <v>415</v>
      </c>
      <c r="AB69" s="432">
        <v>415</v>
      </c>
      <c r="AC69" s="43">
        <f>SUM(Y69:AB69)</f>
        <v>1655</v>
      </c>
      <c r="AD69" s="432">
        <v>409.5</v>
      </c>
      <c r="AE69" s="432">
        <v>409.5</v>
      </c>
      <c r="AF69" s="432">
        <v>409.5</v>
      </c>
      <c r="AG69" s="432">
        <v>409.5</v>
      </c>
      <c r="AH69" s="43">
        <f>SUM(AD69:AG69)</f>
        <v>1638</v>
      </c>
      <c r="AI69" s="432">
        <v>370</v>
      </c>
      <c r="AJ69" s="432">
        <v>370</v>
      </c>
      <c r="AK69" s="432">
        <v>370</v>
      </c>
      <c r="AL69" s="432">
        <v>390</v>
      </c>
      <c r="AM69" s="43">
        <f>SUM(AI69:AL69)</f>
        <v>1500</v>
      </c>
      <c r="AN69" s="432">
        <v>370</v>
      </c>
      <c r="AO69" s="432">
        <v>380</v>
      </c>
      <c r="AP69" s="432">
        <v>390</v>
      </c>
      <c r="AQ69" s="432">
        <f>Commercial!AQ123</f>
        <v>480</v>
      </c>
      <c r="AR69" s="43">
        <f>SUM(AN69:AQ69)</f>
        <v>1620</v>
      </c>
      <c r="AS69" s="432">
        <f>Commercial!AS123</f>
        <v>410</v>
      </c>
      <c r="AT69" s="432">
        <f>Commercial!AT123</f>
        <v>420</v>
      </c>
      <c r="AU69" s="432">
        <f>Commercial!AU123</f>
        <v>480</v>
      </c>
      <c r="AV69" s="432">
        <f>Commercial!AV123</f>
        <v>540</v>
      </c>
      <c r="AW69" s="43">
        <f>SUM(AS69:AV69)</f>
        <v>1850</v>
      </c>
      <c r="AX69" s="432">
        <f>Commercial!AX123</f>
        <v>420</v>
      </c>
      <c r="AY69" s="432">
        <f>Commercial!AY123</f>
        <v>440</v>
      </c>
      <c r="AZ69" s="432">
        <f>Commercial!AZ123</f>
        <v>500</v>
      </c>
      <c r="BA69" s="432">
        <f>Commercial!BA123</f>
        <v>560</v>
      </c>
      <c r="BB69" s="43">
        <f>Commercial!BB123</f>
        <v>1920</v>
      </c>
      <c r="BC69" s="432">
        <f>Commercial!BC123</f>
        <v>424.2</v>
      </c>
      <c r="BD69" s="432">
        <f>Commercial!BD123</f>
        <v>448.8</v>
      </c>
      <c r="BE69" s="432">
        <f>Commercial!BE123</f>
        <v>505</v>
      </c>
      <c r="BF69" s="432">
        <f>Commercial!BF123</f>
        <v>582.4</v>
      </c>
      <c r="BG69" s="43">
        <f>Commercial!BG123</f>
        <v>1960.4</v>
      </c>
      <c r="BH69" s="432">
        <f>Commercial!BH123</f>
        <v>436.92599999999999</v>
      </c>
      <c r="BI69" s="432">
        <f>Commercial!BI123</f>
        <v>484.70400000000006</v>
      </c>
      <c r="BJ69" s="432">
        <f>Commercial!BJ123</f>
        <v>545.40000000000009</v>
      </c>
      <c r="BK69" s="432">
        <f>Commercial!BK123</f>
        <v>640.64</v>
      </c>
      <c r="BL69" s="43">
        <f>Commercial!BL123</f>
        <v>2107.67</v>
      </c>
      <c r="BM69" s="432">
        <f>Commercial!BM123</f>
        <v>454.40303999999998</v>
      </c>
      <c r="BN69" s="432">
        <f>Commercial!BN123</f>
        <v>513.78624000000013</v>
      </c>
      <c r="BO69" s="432">
        <f>Commercial!BO123</f>
        <v>613.02960000000019</v>
      </c>
      <c r="BP69" s="432">
        <f>Commercial!BP123</f>
        <v>640.64</v>
      </c>
      <c r="BQ69" s="43">
        <f>Commercial!BQ123</f>
        <v>2221.8588800000002</v>
      </c>
      <c r="BR69" s="432"/>
      <c r="BS69" s="432"/>
      <c r="BT69" s="432"/>
      <c r="BU69" s="432"/>
      <c r="BV69" s="43"/>
      <c r="BW69" s="432"/>
      <c r="BX69" s="432"/>
      <c r="BY69" s="739"/>
      <c r="BZ69" s="432"/>
      <c r="CA69" s="484"/>
      <c r="CB69" s="739"/>
      <c r="CC69" s="739"/>
      <c r="CD69" s="739"/>
      <c r="CE69" s="739"/>
      <c r="CF69" s="484"/>
      <c r="CG69" s="739"/>
      <c r="CH69" s="432"/>
      <c r="CI69" s="739"/>
      <c r="CJ69" s="739"/>
      <c r="CK69" s="484"/>
      <c r="CL69" s="739"/>
      <c r="CM69" s="739"/>
      <c r="CN69" s="739"/>
      <c r="CO69" s="739"/>
      <c r="CP69" s="484"/>
      <c r="CQ69" s="432"/>
      <c r="CR69" s="739"/>
      <c r="CS69" s="739"/>
      <c r="CT69" s="739"/>
      <c r="CU69" s="43"/>
      <c r="CV69" s="739"/>
      <c r="CW69" s="739"/>
      <c r="CX69" s="739"/>
      <c r="CY69" s="739"/>
      <c r="CZ69" s="484"/>
      <c r="DA69" s="739"/>
      <c r="DB69" s="739"/>
      <c r="DC69" s="739"/>
      <c r="DD69" s="739"/>
      <c r="DE69" s="484"/>
      <c r="DF69" s="432"/>
      <c r="DG69" s="432"/>
      <c r="DH69" s="432"/>
      <c r="DI69" s="432"/>
      <c r="DJ69" s="43"/>
      <c r="DK69" s="432"/>
      <c r="DL69" s="432"/>
      <c r="DM69" s="739"/>
      <c r="DN69" s="432"/>
      <c r="DO69" s="43"/>
      <c r="DP69" s="739"/>
      <c r="DQ69" s="739"/>
      <c r="DR69" s="739"/>
      <c r="DS69" s="739"/>
      <c r="DT69" s="484"/>
      <c r="DU69" s="739"/>
      <c r="DV69" s="739"/>
      <c r="DW69" s="739"/>
      <c r="DX69" s="739"/>
      <c r="DY69" s="484"/>
      <c r="DZ69" s="484"/>
      <c r="EA69" s="484"/>
      <c r="EB69" s="484"/>
    </row>
    <row r="70" spans="1:132" s="427" customFormat="1" ht="12.75" hidden="1" outlineLevel="1" thickBot="1">
      <c r="A70" s="407"/>
      <c r="B70" s="427" t="s">
        <v>224</v>
      </c>
      <c r="C70" s="426">
        <v>0.11</v>
      </c>
      <c r="D70" s="426">
        <v>7.0000000000000007E-2</v>
      </c>
      <c r="E70" s="426">
        <v>7.0000000000000007E-2</v>
      </c>
      <c r="F70" s="426">
        <v>0.08</v>
      </c>
      <c r="G70" s="426">
        <v>0.08</v>
      </c>
      <c r="H70" s="426">
        <v>0.12</v>
      </c>
      <c r="I70" s="452">
        <v>0.12</v>
      </c>
      <c r="J70" s="498">
        <v>0.125</v>
      </c>
      <c r="K70" s="427">
        <v>0.125</v>
      </c>
      <c r="L70" s="427">
        <v>0.125</v>
      </c>
      <c r="M70" s="453">
        <v>0.125</v>
      </c>
      <c r="N70" s="426">
        <v>0.125</v>
      </c>
      <c r="O70" s="452">
        <v>0.15</v>
      </c>
      <c r="P70" s="427">
        <v>0.15</v>
      </c>
      <c r="Q70" s="427">
        <v>0.15</v>
      </c>
      <c r="R70" s="453">
        <v>0.15</v>
      </c>
      <c r="S70" s="426">
        <v>0.15</v>
      </c>
      <c r="T70" s="452">
        <v>0.16</v>
      </c>
      <c r="U70" s="427">
        <v>0.16</v>
      </c>
      <c r="V70" s="427">
        <v>0.16</v>
      </c>
      <c r="W70" s="453">
        <v>0.16</v>
      </c>
      <c r="X70" s="426">
        <v>0.16</v>
      </c>
      <c r="Y70" s="452">
        <v>0.16500000000000001</v>
      </c>
      <c r="Z70" s="427">
        <v>0.16500000000000001</v>
      </c>
      <c r="AA70" s="427">
        <v>0.16500000000000001</v>
      </c>
      <c r="AB70" s="453">
        <v>0.16500000000000001</v>
      </c>
      <c r="AC70" s="426">
        <v>0.16</v>
      </c>
      <c r="AD70" s="452">
        <v>0.16500000000000001</v>
      </c>
      <c r="AE70" s="427">
        <v>0.16500000000000001</v>
      </c>
      <c r="AF70" s="427">
        <v>0.16500000000000001</v>
      </c>
      <c r="AG70" s="453">
        <v>0.16500000000000001</v>
      </c>
      <c r="AH70" s="426">
        <v>0.16500000000000001</v>
      </c>
      <c r="AI70" s="452">
        <v>0.16</v>
      </c>
      <c r="AJ70" s="427">
        <v>0.16</v>
      </c>
      <c r="AK70" s="427">
        <v>0.16</v>
      </c>
      <c r="AL70" s="453">
        <v>0.16</v>
      </c>
      <c r="AM70" s="426">
        <v>0.16</v>
      </c>
      <c r="AN70" s="452">
        <v>0.18</v>
      </c>
      <c r="AO70" s="427">
        <v>0.18</v>
      </c>
      <c r="AP70" s="427">
        <v>0.18</v>
      </c>
      <c r="AQ70" s="453">
        <v>0.18</v>
      </c>
      <c r="AR70" s="426">
        <f>AR71/AR69</f>
        <v>0.17999999999999997</v>
      </c>
      <c r="AS70" s="452">
        <v>0.18</v>
      </c>
      <c r="AT70" s="427">
        <v>0.18</v>
      </c>
      <c r="AU70" s="427">
        <v>0.18</v>
      </c>
      <c r="AV70" s="453">
        <v>0.18</v>
      </c>
      <c r="AW70" s="426">
        <f>AW71/AW69</f>
        <v>0.17999999999999997</v>
      </c>
      <c r="AX70" s="452"/>
      <c r="BA70" s="453"/>
      <c r="BB70" s="426">
        <v>0.16</v>
      </c>
      <c r="BC70" s="452"/>
      <c r="BF70" s="453"/>
      <c r="BG70" s="426">
        <v>0.16</v>
      </c>
      <c r="BH70" s="452"/>
      <c r="BK70" s="453"/>
      <c r="BL70" s="136">
        <v>0.16</v>
      </c>
      <c r="BM70" s="452"/>
      <c r="BP70" s="453"/>
      <c r="BQ70" s="136">
        <v>0.16</v>
      </c>
      <c r="BR70" s="749"/>
      <c r="BT70" s="295"/>
      <c r="BU70" s="453"/>
      <c r="BV70" s="136"/>
      <c r="BW70" s="749"/>
      <c r="BZ70" s="295"/>
      <c r="CA70" s="426"/>
      <c r="CB70" s="452"/>
      <c r="CE70" s="453"/>
      <c r="CF70" s="426"/>
      <c r="CH70" s="295"/>
      <c r="CK70" s="426"/>
      <c r="CP70" s="426"/>
      <c r="CQ70" s="295"/>
      <c r="CU70" s="136"/>
      <c r="CZ70" s="426"/>
      <c r="DE70" s="426"/>
      <c r="DF70" s="295"/>
      <c r="DG70" s="295"/>
      <c r="DH70" s="295"/>
      <c r="DI70" s="295"/>
      <c r="DJ70" s="136"/>
      <c r="DK70" s="295"/>
      <c r="DL70" s="295"/>
      <c r="DN70" s="295"/>
      <c r="DO70" s="136"/>
      <c r="DT70" s="426"/>
      <c r="DY70" s="426"/>
      <c r="DZ70" s="426"/>
      <c r="EA70" s="426"/>
      <c r="EB70" s="426"/>
    </row>
    <row r="71" spans="1:132" s="424" customFormat="1" ht="12.75" hidden="1" outlineLevel="1" thickBot="1">
      <c r="A71" s="68"/>
      <c r="B71" s="98" t="s">
        <v>362</v>
      </c>
      <c r="C71" s="67">
        <f t="shared" ref="C71:AH71" si="192">C69*C70</f>
        <v>153.89000000000001</v>
      </c>
      <c r="D71" s="67">
        <f t="shared" si="192"/>
        <v>115.50000000000001</v>
      </c>
      <c r="E71" s="67">
        <f t="shared" si="192"/>
        <v>83.300000000000011</v>
      </c>
      <c r="F71" s="67">
        <f t="shared" si="192"/>
        <v>164.4</v>
      </c>
      <c r="G71" s="67">
        <f t="shared" si="192"/>
        <v>196.08</v>
      </c>
      <c r="H71" s="67">
        <f t="shared" si="192"/>
        <v>252</v>
      </c>
      <c r="I71" s="454">
        <f t="shared" si="192"/>
        <v>240.72</v>
      </c>
      <c r="J71" s="265">
        <f t="shared" si="192"/>
        <v>46.375</v>
      </c>
      <c r="K71" s="98">
        <f t="shared" si="192"/>
        <v>53.75</v>
      </c>
      <c r="L71" s="98">
        <f t="shared" si="192"/>
        <v>47.5</v>
      </c>
      <c r="M71" s="455">
        <f t="shared" si="192"/>
        <v>73.75</v>
      </c>
      <c r="N71" s="67">
        <f t="shared" si="192"/>
        <v>221.375</v>
      </c>
      <c r="O71" s="454">
        <f t="shared" si="192"/>
        <v>67.8</v>
      </c>
      <c r="P71" s="98">
        <f t="shared" si="192"/>
        <v>88.5</v>
      </c>
      <c r="Q71" s="98">
        <f t="shared" si="192"/>
        <v>91.5</v>
      </c>
      <c r="R71" s="455">
        <f t="shared" si="192"/>
        <v>90.75</v>
      </c>
      <c r="S71" s="67">
        <f t="shared" si="192"/>
        <v>338.55</v>
      </c>
      <c r="T71" s="454">
        <f t="shared" si="192"/>
        <v>61.6</v>
      </c>
      <c r="U71" s="98">
        <f t="shared" si="192"/>
        <v>70.08</v>
      </c>
      <c r="V71" s="98">
        <f t="shared" si="192"/>
        <v>67.52</v>
      </c>
      <c r="W71" s="455">
        <f t="shared" si="192"/>
        <v>68.8</v>
      </c>
      <c r="X71" s="67">
        <f t="shared" si="192"/>
        <v>268</v>
      </c>
      <c r="Y71" s="454">
        <f t="shared" si="192"/>
        <v>66.825000000000003</v>
      </c>
      <c r="Z71" s="98">
        <f t="shared" si="192"/>
        <v>69.3</v>
      </c>
      <c r="AA71" s="98">
        <f t="shared" si="192"/>
        <v>68.475000000000009</v>
      </c>
      <c r="AB71" s="455">
        <f t="shared" si="192"/>
        <v>68.475000000000009</v>
      </c>
      <c r="AC71" s="67">
        <f t="shared" si="192"/>
        <v>264.8</v>
      </c>
      <c r="AD71" s="454">
        <f t="shared" si="192"/>
        <v>67.56750000000001</v>
      </c>
      <c r="AE71" s="98">
        <f t="shared" si="192"/>
        <v>67.56750000000001</v>
      </c>
      <c r="AF71" s="98">
        <f t="shared" si="192"/>
        <v>67.56750000000001</v>
      </c>
      <c r="AG71" s="455">
        <f t="shared" si="192"/>
        <v>67.56750000000001</v>
      </c>
      <c r="AH71" s="67">
        <f t="shared" si="192"/>
        <v>270.27000000000004</v>
      </c>
      <c r="AI71" s="454">
        <f t="shared" ref="AI71:BQ71" si="193">AI69*AI70</f>
        <v>59.2</v>
      </c>
      <c r="AJ71" s="98">
        <f t="shared" si="193"/>
        <v>59.2</v>
      </c>
      <c r="AK71" s="98">
        <f t="shared" si="193"/>
        <v>59.2</v>
      </c>
      <c r="AL71" s="455">
        <f t="shared" si="193"/>
        <v>62.4</v>
      </c>
      <c r="AM71" s="67">
        <f t="shared" si="193"/>
        <v>240</v>
      </c>
      <c r="AN71" s="454">
        <f t="shared" si="193"/>
        <v>66.599999999999994</v>
      </c>
      <c r="AO71" s="98">
        <f t="shared" si="193"/>
        <v>68.399999999999991</v>
      </c>
      <c r="AP71" s="98">
        <f t="shared" si="193"/>
        <v>70.2</v>
      </c>
      <c r="AQ71" s="455">
        <f t="shared" si="193"/>
        <v>86.399999999999991</v>
      </c>
      <c r="AR71" s="67">
        <f>SUM(AN71:AQ71)</f>
        <v>291.59999999999997</v>
      </c>
      <c r="AS71" s="454">
        <f t="shared" si="193"/>
        <v>73.8</v>
      </c>
      <c r="AT71" s="98">
        <f t="shared" si="193"/>
        <v>75.599999999999994</v>
      </c>
      <c r="AU71" s="98">
        <f t="shared" si="193"/>
        <v>86.399999999999991</v>
      </c>
      <c r="AV71" s="455">
        <f t="shared" si="193"/>
        <v>97.2</v>
      </c>
      <c r="AW71" s="67">
        <f>SUM(AS71:AV71)</f>
        <v>332.99999999999994</v>
      </c>
      <c r="AX71" s="454"/>
      <c r="AY71" s="98"/>
      <c r="AZ71" s="98"/>
      <c r="BA71" s="455"/>
      <c r="BB71" s="67">
        <f t="shared" si="193"/>
        <v>307.2</v>
      </c>
      <c r="BC71" s="454"/>
      <c r="BD71" s="98"/>
      <c r="BE71" s="98"/>
      <c r="BF71" s="455"/>
      <c r="BG71" s="67">
        <f t="shared" si="193"/>
        <v>313.66400000000004</v>
      </c>
      <c r="BH71" s="454"/>
      <c r="BI71" s="98"/>
      <c r="BJ71" s="98"/>
      <c r="BK71" s="455"/>
      <c r="BL71" s="120">
        <f t="shared" si="193"/>
        <v>337.22720000000004</v>
      </c>
      <c r="BM71" s="454"/>
      <c r="BN71" s="98"/>
      <c r="BO71" s="98"/>
      <c r="BP71" s="98"/>
      <c r="BQ71" s="120">
        <f t="shared" si="193"/>
        <v>355.49742080000004</v>
      </c>
      <c r="BR71" s="569"/>
      <c r="BS71" s="98"/>
      <c r="BT71" s="437"/>
      <c r="BU71" s="455"/>
      <c r="BV71" s="120"/>
      <c r="BW71" s="437"/>
      <c r="BX71" s="437"/>
      <c r="BY71" s="437"/>
      <c r="BZ71" s="437"/>
      <c r="CA71" s="67"/>
      <c r="CB71" s="454"/>
      <c r="CC71" s="98"/>
      <c r="CD71" s="98"/>
      <c r="CE71" s="455"/>
      <c r="CF71" s="67"/>
      <c r="CG71" s="98"/>
      <c r="CH71" s="437"/>
      <c r="CI71" s="98"/>
      <c r="CJ71" s="98"/>
      <c r="CK71" s="67"/>
      <c r="CL71" s="98"/>
      <c r="CM71" s="98"/>
      <c r="CN71" s="98"/>
      <c r="CO71" s="98"/>
      <c r="CP71" s="67"/>
      <c r="CQ71" s="437"/>
      <c r="CR71" s="98"/>
      <c r="CS71" s="98"/>
      <c r="CT71" s="98"/>
      <c r="CU71" s="120"/>
      <c r="CV71" s="98"/>
      <c r="CW71" s="98"/>
      <c r="CX71" s="98"/>
      <c r="CY71" s="98"/>
      <c r="CZ71" s="67"/>
      <c r="DA71" s="98"/>
      <c r="DB71" s="98"/>
      <c r="DC71" s="98"/>
      <c r="DD71" s="98"/>
      <c r="DE71" s="67"/>
      <c r="DF71" s="437"/>
      <c r="DG71" s="437"/>
      <c r="DH71" s="437"/>
      <c r="DI71" s="437"/>
      <c r="DJ71" s="120"/>
      <c r="DK71" s="437"/>
      <c r="DL71" s="437"/>
      <c r="DM71" s="98"/>
      <c r="DN71" s="437"/>
      <c r="DO71" s="120"/>
      <c r="DP71" s="98"/>
      <c r="DQ71" s="98"/>
      <c r="DR71" s="98"/>
      <c r="DS71" s="98"/>
      <c r="DT71" s="67"/>
      <c r="DU71" s="98"/>
      <c r="DV71" s="98"/>
      <c r="DW71" s="98"/>
      <c r="DX71" s="98"/>
      <c r="DY71" s="67"/>
      <c r="DZ71" s="67"/>
      <c r="EA71" s="67"/>
      <c r="EB71" s="67"/>
    </row>
    <row r="72" spans="1:132" s="424" customFormat="1" ht="12.75" hidden="1" outlineLevel="1" thickBot="1">
      <c r="A72" s="68"/>
      <c r="B72" s="98"/>
      <c r="C72" s="425"/>
      <c r="D72" s="425"/>
      <c r="E72" s="425"/>
      <c r="F72" s="425"/>
      <c r="G72" s="425"/>
      <c r="H72" s="425"/>
      <c r="I72" s="490"/>
      <c r="J72" s="499"/>
      <c r="N72" s="425"/>
      <c r="S72" s="425"/>
      <c r="X72" s="425"/>
      <c r="AC72" s="425"/>
      <c r="AH72" s="425"/>
      <c r="AM72" s="425"/>
      <c r="AR72" s="425"/>
      <c r="AW72" s="425"/>
      <c r="BB72" s="425"/>
      <c r="BG72" s="425"/>
      <c r="BL72" s="585"/>
      <c r="BQ72" s="585"/>
      <c r="BR72" s="439"/>
      <c r="BT72" s="439"/>
      <c r="BV72" s="585"/>
      <c r="BW72" s="439"/>
      <c r="BZ72" s="439"/>
      <c r="CA72" s="425"/>
      <c r="CF72" s="425"/>
      <c r="CH72" s="439"/>
      <c r="CK72" s="425"/>
      <c r="CP72" s="425"/>
      <c r="CQ72" s="439"/>
      <c r="CU72" s="585"/>
      <c r="CZ72" s="425"/>
      <c r="DE72" s="425"/>
      <c r="DF72" s="439"/>
      <c r="DG72" s="439"/>
      <c r="DH72" s="439"/>
      <c r="DI72" s="439"/>
      <c r="DJ72" s="585"/>
      <c r="DK72" s="439"/>
      <c r="DL72" s="439"/>
      <c r="DN72" s="439"/>
      <c r="DO72" s="585"/>
      <c r="DT72" s="425"/>
      <c r="DY72" s="425"/>
      <c r="DZ72" s="425"/>
      <c r="EA72" s="425"/>
      <c r="EB72" s="425"/>
    </row>
    <row r="73" spans="1:132" s="98" customFormat="1" ht="12.75" hidden="1" outlineLevel="1" collapsed="1" thickBot="1">
      <c r="A73" s="68"/>
      <c r="B73" s="432" t="s">
        <v>374</v>
      </c>
      <c r="C73" s="43">
        <v>1500</v>
      </c>
      <c r="D73" s="43">
        <v>1503</v>
      </c>
      <c r="E73" s="43">
        <v>1300</v>
      </c>
      <c r="F73" s="43">
        <v>2555</v>
      </c>
      <c r="G73" s="43">
        <v>2700</v>
      </c>
      <c r="H73" s="43">
        <v>1796</v>
      </c>
      <c r="I73" s="488">
        <v>1839</v>
      </c>
      <c r="J73" s="496">
        <v>370</v>
      </c>
      <c r="K73" s="432">
        <v>423</v>
      </c>
      <c r="L73" s="432">
        <v>375</v>
      </c>
      <c r="M73" s="432">
        <v>588</v>
      </c>
      <c r="N73" s="43">
        <f>SUM(J73:M73)</f>
        <v>1756</v>
      </c>
      <c r="O73" s="432">
        <v>460</v>
      </c>
      <c r="P73" s="432">
        <v>583</v>
      </c>
      <c r="Q73" s="432">
        <v>602</v>
      </c>
      <c r="R73" s="432">
        <v>636</v>
      </c>
      <c r="S73" s="43">
        <f>SUM(O73:R73)</f>
        <v>2281</v>
      </c>
      <c r="T73" s="432">
        <v>336</v>
      </c>
      <c r="U73" s="432">
        <v>380</v>
      </c>
      <c r="V73" s="432">
        <v>380</v>
      </c>
      <c r="W73" s="432">
        <v>380</v>
      </c>
      <c r="X73" s="43">
        <f>SUM(T73:W73)</f>
        <v>1476</v>
      </c>
      <c r="Y73" s="432">
        <v>380</v>
      </c>
      <c r="Z73" s="432">
        <v>380</v>
      </c>
      <c r="AA73" s="432">
        <v>380</v>
      </c>
      <c r="AB73" s="432">
        <v>392</v>
      </c>
      <c r="AC73" s="43">
        <f>SUM(Y73:AB73)</f>
        <v>1532</v>
      </c>
      <c r="AD73" s="432">
        <f>1224/4</f>
        <v>306</v>
      </c>
      <c r="AE73" s="432">
        <f>1224/4</f>
        <v>306</v>
      </c>
      <c r="AF73" s="432">
        <f>1224/4</f>
        <v>306</v>
      </c>
      <c r="AG73" s="432">
        <f>1224/4</f>
        <v>306</v>
      </c>
      <c r="AH73" s="43">
        <f>SUM(AD73:AG73)</f>
        <v>1224</v>
      </c>
      <c r="AI73" s="432">
        <v>180</v>
      </c>
      <c r="AJ73" s="432">
        <v>180</v>
      </c>
      <c r="AK73" s="432">
        <v>184</v>
      </c>
      <c r="AL73" s="432">
        <v>180</v>
      </c>
      <c r="AM73" s="43">
        <f>SUM(AI73:AL73)</f>
        <v>724</v>
      </c>
      <c r="AN73" s="432">
        <v>361</v>
      </c>
      <c r="AO73" s="432">
        <v>360</v>
      </c>
      <c r="AP73" s="432">
        <v>380</v>
      </c>
      <c r="AQ73" s="432">
        <f>Commercial!AQ126</f>
        <v>480</v>
      </c>
      <c r="AR73" s="43">
        <f>SUM(AN73:AQ73)</f>
        <v>1581</v>
      </c>
      <c r="AS73" s="432">
        <f>Commercial!AS126</f>
        <v>400</v>
      </c>
      <c r="AT73" s="432">
        <f>Commercial!AT126</f>
        <v>420</v>
      </c>
      <c r="AU73" s="432">
        <f>Commercial!AU126</f>
        <v>490</v>
      </c>
      <c r="AV73" s="432">
        <f>Commercial!AV126</f>
        <v>510</v>
      </c>
      <c r="AW73" s="43">
        <f>SUM(AS73:AV73)</f>
        <v>1820</v>
      </c>
      <c r="AX73" s="432">
        <f>Commercial!AX126</f>
        <v>410</v>
      </c>
      <c r="AY73" s="432">
        <f>Commercial!AY126</f>
        <v>440</v>
      </c>
      <c r="AZ73" s="432">
        <f>Commercial!AZ126</f>
        <v>500</v>
      </c>
      <c r="BA73" s="432">
        <f>Commercial!BA126</f>
        <v>520</v>
      </c>
      <c r="BB73" s="43">
        <f>Commercial!BB126</f>
        <v>1870</v>
      </c>
      <c r="BC73" s="432">
        <f>Commercial!BC126</f>
        <v>414.1</v>
      </c>
      <c r="BD73" s="432">
        <f>Commercial!BD126</f>
        <v>448.8</v>
      </c>
      <c r="BE73" s="432">
        <f>Commercial!BE126</f>
        <v>515</v>
      </c>
      <c r="BF73" s="432">
        <f>Commercial!BF126</f>
        <v>546</v>
      </c>
      <c r="BG73" s="43">
        <f>Commercial!BG126</f>
        <v>1923.9</v>
      </c>
      <c r="BH73" s="432">
        <f>Commercial!BH126</f>
        <v>426.52300000000002</v>
      </c>
      <c r="BI73" s="432">
        <f>Commercial!BI126</f>
        <v>471.24</v>
      </c>
      <c r="BJ73" s="432">
        <f>Commercial!BJ126</f>
        <v>540.75</v>
      </c>
      <c r="BK73" s="432">
        <f>Commercial!BK126</f>
        <v>584.22</v>
      </c>
      <c r="BL73" s="43">
        <f>Commercial!BL126</f>
        <v>2022.7329999999999</v>
      </c>
      <c r="BM73" s="432">
        <f>Commercial!BM126</f>
        <v>439.31869000000006</v>
      </c>
      <c r="BN73" s="432">
        <f>Commercial!BN126</f>
        <v>504.22680000000003</v>
      </c>
      <c r="BO73" s="432">
        <f>Commercial!BO126</f>
        <v>607.80300000000011</v>
      </c>
      <c r="BP73" s="432">
        <f>Commercial!BP126</f>
        <v>597.07284000000004</v>
      </c>
      <c r="BQ73" s="43">
        <f>Commercial!BQ126</f>
        <v>2148.4213300000001</v>
      </c>
      <c r="BR73" s="432"/>
      <c r="BS73" s="432"/>
      <c r="BT73" s="432"/>
      <c r="BU73" s="432"/>
      <c r="BV73" s="43"/>
      <c r="BW73" s="432"/>
      <c r="BX73" s="432"/>
      <c r="BY73" s="739"/>
      <c r="BZ73" s="432"/>
      <c r="CA73" s="484"/>
      <c r="CB73" s="739"/>
      <c r="CC73" s="739"/>
      <c r="CD73" s="739"/>
      <c r="CE73" s="739"/>
      <c r="CF73" s="484"/>
      <c r="CG73" s="739"/>
      <c r="CH73" s="432"/>
      <c r="CI73" s="739"/>
      <c r="CJ73" s="739"/>
      <c r="CK73" s="484"/>
      <c r="CL73" s="739"/>
      <c r="CM73" s="739"/>
      <c r="CN73" s="739"/>
      <c r="CO73" s="739"/>
      <c r="CP73" s="484"/>
      <c r="CQ73" s="432"/>
      <c r="CR73" s="739"/>
      <c r="CS73" s="739"/>
      <c r="CT73" s="739"/>
      <c r="CU73" s="43"/>
      <c r="CV73" s="739"/>
      <c r="CW73" s="739"/>
      <c r="CX73" s="739"/>
      <c r="CY73" s="739"/>
      <c r="CZ73" s="484"/>
      <c r="DA73" s="739"/>
      <c r="DB73" s="739"/>
      <c r="DC73" s="739"/>
      <c r="DD73" s="739"/>
      <c r="DE73" s="484"/>
      <c r="DF73" s="432"/>
      <c r="DG73" s="432"/>
      <c r="DH73" s="432"/>
      <c r="DI73" s="432"/>
      <c r="DJ73" s="43"/>
      <c r="DK73" s="432"/>
      <c r="DL73" s="432"/>
      <c r="DM73" s="739"/>
      <c r="DN73" s="432"/>
      <c r="DO73" s="43"/>
      <c r="DP73" s="739"/>
      <c r="DQ73" s="739"/>
      <c r="DR73" s="739"/>
      <c r="DS73" s="739"/>
      <c r="DT73" s="484"/>
      <c r="DU73" s="739"/>
      <c r="DV73" s="739"/>
      <c r="DW73" s="739"/>
      <c r="DX73" s="739"/>
      <c r="DY73" s="484"/>
      <c r="DZ73" s="484"/>
      <c r="EA73" s="484"/>
      <c r="EB73" s="484"/>
    </row>
    <row r="74" spans="1:132" s="427" customFormat="1" ht="12.75" hidden="1" outlineLevel="1" thickBot="1">
      <c r="A74" s="407"/>
      <c r="B74" s="427" t="s">
        <v>224</v>
      </c>
      <c r="C74" s="426">
        <v>0.1</v>
      </c>
      <c r="D74" s="426">
        <v>0.08</v>
      </c>
      <c r="E74" s="426">
        <v>7.0000000000000007E-2</v>
      </c>
      <c r="F74" s="426">
        <v>0.09</v>
      </c>
      <c r="G74" s="426">
        <v>0.08</v>
      </c>
      <c r="H74" s="426">
        <v>0.125</v>
      </c>
      <c r="I74" s="452">
        <v>0.11</v>
      </c>
      <c r="J74" s="498">
        <v>0.11</v>
      </c>
      <c r="K74" s="427">
        <v>0.11</v>
      </c>
      <c r="L74" s="427">
        <v>0.11</v>
      </c>
      <c r="M74" s="453">
        <v>0.11</v>
      </c>
      <c r="N74" s="426">
        <v>0.11</v>
      </c>
      <c r="O74" s="452">
        <v>0.15</v>
      </c>
      <c r="P74" s="427">
        <v>0.15</v>
      </c>
      <c r="Q74" s="427">
        <v>0.15</v>
      </c>
      <c r="R74" s="453">
        <v>0.15</v>
      </c>
      <c r="S74" s="426">
        <v>0.13</v>
      </c>
      <c r="T74" s="452">
        <v>0.16</v>
      </c>
      <c r="U74" s="427">
        <v>0.16</v>
      </c>
      <c r="V74" s="427">
        <v>0.16</v>
      </c>
      <c r="W74" s="453">
        <v>0.16</v>
      </c>
      <c r="X74" s="426">
        <v>0.16</v>
      </c>
      <c r="Y74" s="452">
        <v>0.17</v>
      </c>
      <c r="Z74" s="427">
        <v>0.17</v>
      </c>
      <c r="AA74" s="427">
        <v>0.17</v>
      </c>
      <c r="AB74" s="453">
        <v>0.17</v>
      </c>
      <c r="AC74" s="426">
        <v>0.16500000000000001</v>
      </c>
      <c r="AD74" s="452">
        <v>0.16500000000000001</v>
      </c>
      <c r="AE74" s="427">
        <v>0.16500000000000001</v>
      </c>
      <c r="AF74" s="427">
        <v>0.16500000000000001</v>
      </c>
      <c r="AG74" s="453">
        <v>0.16500000000000001</v>
      </c>
      <c r="AH74" s="426">
        <v>0.16500000000000001</v>
      </c>
      <c r="AI74" s="452">
        <v>0.09</v>
      </c>
      <c r="AJ74" s="427">
        <v>0.09</v>
      </c>
      <c r="AK74" s="427">
        <v>0.09</v>
      </c>
      <c r="AL74" s="453">
        <v>0.09</v>
      </c>
      <c r="AM74" s="426">
        <v>0.1</v>
      </c>
      <c r="AN74" s="452">
        <v>0.15</v>
      </c>
      <c r="AO74" s="427">
        <v>0.15</v>
      </c>
      <c r="AP74" s="427">
        <v>0.15</v>
      </c>
      <c r="AQ74" s="453">
        <v>0.15</v>
      </c>
      <c r="AR74" s="426">
        <f>AR75/AR73</f>
        <v>0.15</v>
      </c>
      <c r="AS74" s="452">
        <v>0.15</v>
      </c>
      <c r="AT74" s="427">
        <v>0.15</v>
      </c>
      <c r="AU74" s="427">
        <v>0.15</v>
      </c>
      <c r="AV74" s="453">
        <v>0.15</v>
      </c>
      <c r="AW74" s="426">
        <f>AW75/AW73</f>
        <v>0.15</v>
      </c>
      <c r="AX74" s="452"/>
      <c r="BA74" s="453"/>
      <c r="BB74" s="426">
        <v>0.127</v>
      </c>
      <c r="BC74" s="452"/>
      <c r="BF74" s="453"/>
      <c r="BG74" s="426">
        <v>0.13</v>
      </c>
      <c r="BH74" s="452"/>
      <c r="BK74" s="453"/>
      <c r="BL74" s="136">
        <v>0.13</v>
      </c>
      <c r="BM74" s="452"/>
      <c r="BP74" s="453"/>
      <c r="BQ74" s="136">
        <v>0.13</v>
      </c>
      <c r="BR74" s="749"/>
      <c r="BU74" s="453"/>
      <c r="BV74" s="136"/>
      <c r="BW74" s="749"/>
      <c r="BZ74" s="295"/>
      <c r="CA74" s="426"/>
      <c r="CB74" s="452"/>
      <c r="CE74" s="453"/>
      <c r="CF74" s="426"/>
      <c r="CH74" s="295"/>
      <c r="CK74" s="426"/>
      <c r="CP74" s="426"/>
      <c r="CQ74" s="295"/>
      <c r="CU74" s="136"/>
      <c r="CZ74" s="426"/>
      <c r="DE74" s="426"/>
      <c r="DF74" s="295"/>
      <c r="DG74" s="295"/>
      <c r="DH74" s="295"/>
      <c r="DI74" s="295"/>
      <c r="DJ74" s="136"/>
      <c r="DK74" s="295"/>
      <c r="DL74" s="295"/>
      <c r="DN74" s="295"/>
      <c r="DO74" s="136"/>
      <c r="DT74" s="426"/>
      <c r="DY74" s="426"/>
      <c r="DZ74" s="426"/>
      <c r="EA74" s="426"/>
      <c r="EB74" s="426"/>
    </row>
    <row r="75" spans="1:132" s="424" customFormat="1" ht="12.75" hidden="1" outlineLevel="1" thickBot="1">
      <c r="A75" s="68"/>
      <c r="B75" s="98" t="s">
        <v>363</v>
      </c>
      <c r="C75" s="67">
        <f t="shared" ref="C75:AH75" si="194">C73*C74</f>
        <v>150</v>
      </c>
      <c r="D75" s="67">
        <f t="shared" si="194"/>
        <v>120.24000000000001</v>
      </c>
      <c r="E75" s="67">
        <f t="shared" si="194"/>
        <v>91.000000000000014</v>
      </c>
      <c r="F75" s="67">
        <f t="shared" si="194"/>
        <v>229.95</v>
      </c>
      <c r="G75" s="67">
        <f t="shared" si="194"/>
        <v>216</v>
      </c>
      <c r="H75" s="67">
        <f t="shared" si="194"/>
        <v>224.5</v>
      </c>
      <c r="I75" s="454">
        <f t="shared" si="194"/>
        <v>202.29</v>
      </c>
      <c r="J75" s="265">
        <f t="shared" si="194"/>
        <v>40.700000000000003</v>
      </c>
      <c r="K75" s="98">
        <f t="shared" si="194"/>
        <v>46.53</v>
      </c>
      <c r="L75" s="98">
        <f t="shared" si="194"/>
        <v>41.25</v>
      </c>
      <c r="M75" s="455">
        <f t="shared" si="194"/>
        <v>64.680000000000007</v>
      </c>
      <c r="N75" s="67">
        <f t="shared" si="194"/>
        <v>193.16</v>
      </c>
      <c r="O75" s="454">
        <f t="shared" si="194"/>
        <v>69</v>
      </c>
      <c r="P75" s="98">
        <f t="shared" si="194"/>
        <v>87.45</v>
      </c>
      <c r="Q75" s="98">
        <f t="shared" si="194"/>
        <v>90.3</v>
      </c>
      <c r="R75" s="455">
        <f t="shared" si="194"/>
        <v>95.399999999999991</v>
      </c>
      <c r="S75" s="67">
        <f t="shared" si="194"/>
        <v>296.53000000000003</v>
      </c>
      <c r="T75" s="454">
        <f t="shared" si="194"/>
        <v>53.76</v>
      </c>
      <c r="U75" s="98">
        <f t="shared" si="194"/>
        <v>60.800000000000004</v>
      </c>
      <c r="V75" s="98">
        <f t="shared" si="194"/>
        <v>60.800000000000004</v>
      </c>
      <c r="W75" s="455">
        <f t="shared" si="194"/>
        <v>60.800000000000004</v>
      </c>
      <c r="X75" s="67">
        <f t="shared" si="194"/>
        <v>236.16</v>
      </c>
      <c r="Y75" s="454">
        <f t="shared" si="194"/>
        <v>64.600000000000009</v>
      </c>
      <c r="Z75" s="98">
        <f t="shared" si="194"/>
        <v>64.600000000000009</v>
      </c>
      <c r="AA75" s="98">
        <f t="shared" si="194"/>
        <v>64.600000000000009</v>
      </c>
      <c r="AB75" s="455">
        <f t="shared" si="194"/>
        <v>66.64</v>
      </c>
      <c r="AC75" s="67">
        <f t="shared" si="194"/>
        <v>252.78</v>
      </c>
      <c r="AD75" s="454">
        <f t="shared" si="194"/>
        <v>50.49</v>
      </c>
      <c r="AE75" s="98">
        <f t="shared" si="194"/>
        <v>50.49</v>
      </c>
      <c r="AF75" s="98">
        <f t="shared" si="194"/>
        <v>50.49</v>
      </c>
      <c r="AG75" s="455">
        <f t="shared" si="194"/>
        <v>50.49</v>
      </c>
      <c r="AH75" s="67">
        <f t="shared" si="194"/>
        <v>201.96</v>
      </c>
      <c r="AI75" s="454">
        <f t="shared" ref="AI75:BQ75" si="195">AI73*AI74</f>
        <v>16.2</v>
      </c>
      <c r="AJ75" s="98">
        <f t="shared" si="195"/>
        <v>16.2</v>
      </c>
      <c r="AK75" s="98">
        <f t="shared" si="195"/>
        <v>16.559999999999999</v>
      </c>
      <c r="AL75" s="455">
        <f t="shared" si="195"/>
        <v>16.2</v>
      </c>
      <c r="AM75" s="67">
        <f t="shared" si="195"/>
        <v>72.400000000000006</v>
      </c>
      <c r="AN75" s="454">
        <f t="shared" si="195"/>
        <v>54.15</v>
      </c>
      <c r="AO75" s="98">
        <f t="shared" si="195"/>
        <v>54</v>
      </c>
      <c r="AP75" s="98">
        <f t="shared" si="195"/>
        <v>57</v>
      </c>
      <c r="AQ75" s="455">
        <f t="shared" si="195"/>
        <v>72</v>
      </c>
      <c r="AR75" s="67">
        <f>SUM(AN75:AQ75)</f>
        <v>237.15</v>
      </c>
      <c r="AS75" s="454">
        <f t="shared" si="195"/>
        <v>60</v>
      </c>
      <c r="AT75" s="98">
        <f t="shared" si="195"/>
        <v>63</v>
      </c>
      <c r="AU75" s="98">
        <f t="shared" si="195"/>
        <v>73.5</v>
      </c>
      <c r="AV75" s="455">
        <f t="shared" si="195"/>
        <v>76.5</v>
      </c>
      <c r="AW75" s="67">
        <f>SUM(AS75:AV75)</f>
        <v>273</v>
      </c>
      <c r="AX75" s="454"/>
      <c r="AY75" s="98"/>
      <c r="AZ75" s="98"/>
      <c r="BA75" s="455"/>
      <c r="BB75" s="67">
        <f t="shared" si="195"/>
        <v>237.49</v>
      </c>
      <c r="BC75" s="454"/>
      <c r="BD75" s="98"/>
      <c r="BE75" s="98"/>
      <c r="BF75" s="455"/>
      <c r="BG75" s="67">
        <f t="shared" si="195"/>
        <v>250.10700000000003</v>
      </c>
      <c r="BH75" s="454"/>
      <c r="BI75" s="98"/>
      <c r="BJ75" s="98"/>
      <c r="BK75" s="455"/>
      <c r="BL75" s="120">
        <f t="shared" si="195"/>
        <v>262.95528999999999</v>
      </c>
      <c r="BM75" s="454"/>
      <c r="BN75" s="98"/>
      <c r="BO75" s="98"/>
      <c r="BP75" s="98"/>
      <c r="BQ75" s="120">
        <f t="shared" si="195"/>
        <v>279.2947729</v>
      </c>
      <c r="BR75" s="454"/>
      <c r="BS75" s="98"/>
      <c r="BT75" s="98"/>
      <c r="BU75" s="455"/>
      <c r="BV75" s="120"/>
      <c r="BW75" s="437"/>
      <c r="BX75" s="437"/>
      <c r="BY75" s="437"/>
      <c r="BZ75" s="437"/>
      <c r="CA75" s="67"/>
      <c r="CB75" s="454"/>
      <c r="CC75" s="98"/>
      <c r="CD75" s="98"/>
      <c r="CE75" s="455"/>
      <c r="CF75" s="67"/>
      <c r="CG75" s="98"/>
      <c r="CH75" s="437"/>
      <c r="CI75" s="98"/>
      <c r="CJ75" s="98"/>
      <c r="CK75" s="67"/>
      <c r="CL75" s="98"/>
      <c r="CM75" s="98"/>
      <c r="CN75" s="98"/>
      <c r="CO75" s="98"/>
      <c r="CP75" s="67"/>
      <c r="CQ75" s="437"/>
      <c r="CR75" s="98"/>
      <c r="CS75" s="98"/>
      <c r="CT75" s="98"/>
      <c r="CU75" s="120"/>
      <c r="CV75" s="98"/>
      <c r="CW75" s="98"/>
      <c r="CX75" s="98"/>
      <c r="CY75" s="98"/>
      <c r="CZ75" s="67"/>
      <c r="DA75" s="98"/>
      <c r="DB75" s="98"/>
      <c r="DC75" s="98"/>
      <c r="DD75" s="98"/>
      <c r="DE75" s="67"/>
      <c r="DF75" s="437"/>
      <c r="DG75" s="437"/>
      <c r="DH75" s="437"/>
      <c r="DI75" s="437"/>
      <c r="DJ75" s="120"/>
      <c r="DK75" s="437"/>
      <c r="DL75" s="437"/>
      <c r="DM75" s="98"/>
      <c r="DN75" s="437"/>
      <c r="DO75" s="120"/>
      <c r="DP75" s="98"/>
      <c r="DQ75" s="98"/>
      <c r="DR75" s="98"/>
      <c r="DS75" s="98"/>
      <c r="DT75" s="67"/>
      <c r="DU75" s="98"/>
      <c r="DV75" s="98"/>
      <c r="DW75" s="98"/>
      <c r="DX75" s="98"/>
      <c r="DY75" s="67"/>
      <c r="DZ75" s="67"/>
      <c r="EA75" s="67"/>
      <c r="EB75" s="67"/>
    </row>
    <row r="76" spans="1:132" s="424" customFormat="1" ht="12.75" hidden="1" outlineLevel="1" thickBot="1">
      <c r="A76" s="68"/>
      <c r="B76" s="98"/>
      <c r="C76" s="67"/>
      <c r="D76" s="67"/>
      <c r="E76" s="67"/>
      <c r="F76" s="67"/>
      <c r="G76" s="67"/>
      <c r="H76" s="67"/>
      <c r="I76" s="454"/>
      <c r="J76" s="265"/>
      <c r="K76" s="98"/>
      <c r="L76" s="98"/>
      <c r="M76" s="98"/>
      <c r="N76" s="67"/>
      <c r="O76" s="98"/>
      <c r="P76" s="98"/>
      <c r="Q76" s="98"/>
      <c r="R76" s="98"/>
      <c r="S76" s="67"/>
      <c r="T76" s="98"/>
      <c r="U76" s="98"/>
      <c r="V76" s="98"/>
      <c r="W76" s="98"/>
      <c r="X76" s="67"/>
      <c r="Y76" s="98"/>
      <c r="Z76" s="98"/>
      <c r="AA76" s="98"/>
      <c r="AB76" s="98"/>
      <c r="AC76" s="67"/>
      <c r="AD76" s="98"/>
      <c r="AE76" s="98"/>
      <c r="AF76" s="98"/>
      <c r="AG76" s="98"/>
      <c r="AH76" s="67"/>
      <c r="AI76" s="98"/>
      <c r="AJ76" s="98"/>
      <c r="AK76" s="98"/>
      <c r="AL76" s="98"/>
      <c r="AM76" s="67"/>
      <c r="AN76" s="98"/>
      <c r="AO76" s="98"/>
      <c r="AP76" s="98"/>
      <c r="AQ76" s="98"/>
      <c r="AR76" s="67"/>
      <c r="AS76" s="98"/>
      <c r="AT76" s="98"/>
      <c r="AU76" s="98"/>
      <c r="AV76" s="98"/>
      <c r="AW76" s="67"/>
      <c r="AX76" s="98"/>
      <c r="AY76" s="98"/>
      <c r="AZ76" s="98"/>
      <c r="BA76" s="98"/>
      <c r="BB76" s="67"/>
      <c r="BC76" s="98"/>
      <c r="BD76" s="98"/>
      <c r="BE76" s="98"/>
      <c r="BF76" s="98"/>
      <c r="BG76" s="67"/>
      <c r="BH76" s="98"/>
      <c r="BI76" s="98"/>
      <c r="BJ76" s="98"/>
      <c r="BK76" s="98"/>
      <c r="BL76" s="120"/>
      <c r="BM76" s="98"/>
      <c r="BN76" s="98"/>
      <c r="BO76" s="98"/>
      <c r="BP76" s="98"/>
      <c r="BQ76" s="120"/>
      <c r="BR76" s="98"/>
      <c r="BS76" s="98"/>
      <c r="BT76" s="98"/>
      <c r="BU76" s="98"/>
      <c r="BV76" s="120"/>
      <c r="BW76" s="437"/>
      <c r="BX76" s="437"/>
      <c r="BY76" s="437"/>
      <c r="BZ76" s="437"/>
      <c r="CA76" s="67"/>
      <c r="CB76" s="98"/>
      <c r="CC76" s="98"/>
      <c r="CD76" s="98"/>
      <c r="CE76" s="98"/>
      <c r="CF76" s="67"/>
      <c r="CG76" s="98"/>
      <c r="CH76" s="437"/>
      <c r="CI76" s="98"/>
      <c r="CJ76" s="98"/>
      <c r="CK76" s="67"/>
      <c r="CL76" s="98"/>
      <c r="CM76" s="98"/>
      <c r="CN76" s="98"/>
      <c r="CO76" s="98"/>
      <c r="CP76" s="67"/>
      <c r="CQ76" s="437"/>
      <c r="CR76" s="98"/>
      <c r="CS76" s="98"/>
      <c r="CT76" s="98"/>
      <c r="CU76" s="120"/>
      <c r="CV76" s="98"/>
      <c r="CW76" s="98"/>
      <c r="CX76" s="98"/>
      <c r="CY76" s="98"/>
      <c r="CZ76" s="67"/>
      <c r="DA76" s="98"/>
      <c r="DB76" s="98"/>
      <c r="DC76" s="98"/>
      <c r="DD76" s="98"/>
      <c r="DE76" s="67"/>
      <c r="DF76" s="437"/>
      <c r="DG76" s="437"/>
      <c r="DH76" s="437"/>
      <c r="DI76" s="437"/>
      <c r="DJ76" s="120"/>
      <c r="DK76" s="437"/>
      <c r="DL76" s="437"/>
      <c r="DM76" s="98"/>
      <c r="DN76" s="437"/>
      <c r="DO76" s="120"/>
      <c r="DP76" s="98"/>
      <c r="DQ76" s="98"/>
      <c r="DR76" s="98"/>
      <c r="DS76" s="98"/>
      <c r="DT76" s="67"/>
      <c r="DU76" s="98"/>
      <c r="DV76" s="98"/>
      <c r="DW76" s="98"/>
      <c r="DX76" s="98"/>
      <c r="DY76" s="67"/>
      <c r="DZ76" s="67"/>
      <c r="EA76" s="67"/>
      <c r="EB76" s="67"/>
    </row>
    <row r="77" spans="1:132" s="424" customFormat="1" ht="12.75" collapsed="1" thickBot="1">
      <c r="A77" s="68"/>
      <c r="B77" s="429" t="s">
        <v>364</v>
      </c>
      <c r="C77" s="430">
        <f t="shared" ref="C77:AH77" si="196">C63+C65+C69+C73</f>
        <v>26809</v>
      </c>
      <c r="D77" s="430">
        <f t="shared" si="196"/>
        <v>36042</v>
      </c>
      <c r="E77" s="430">
        <f t="shared" si="196"/>
        <v>37643.5</v>
      </c>
      <c r="F77" s="430">
        <f t="shared" si="196"/>
        <v>30805</v>
      </c>
      <c r="G77" s="430">
        <f t="shared" si="196"/>
        <v>34885.5</v>
      </c>
      <c r="H77" s="430">
        <f t="shared" si="196"/>
        <v>28387</v>
      </c>
      <c r="I77" s="429">
        <f t="shared" si="196"/>
        <v>22408</v>
      </c>
      <c r="J77" s="501">
        <f t="shared" si="196"/>
        <v>5330</v>
      </c>
      <c r="K77" s="431">
        <f t="shared" si="196"/>
        <v>5671</v>
      </c>
      <c r="L77" s="431">
        <f t="shared" si="196"/>
        <v>4638</v>
      </c>
      <c r="M77" s="431">
        <f t="shared" si="196"/>
        <v>5398</v>
      </c>
      <c r="N77" s="430">
        <f t="shared" si="196"/>
        <v>21037</v>
      </c>
      <c r="O77" s="431">
        <f t="shared" si="196"/>
        <v>5041</v>
      </c>
      <c r="P77" s="431">
        <f t="shared" si="196"/>
        <v>6806</v>
      </c>
      <c r="Q77" s="431">
        <f t="shared" si="196"/>
        <v>4915</v>
      </c>
      <c r="R77" s="431">
        <f t="shared" si="196"/>
        <v>5889</v>
      </c>
      <c r="S77" s="430">
        <f t="shared" si="196"/>
        <v>22651</v>
      </c>
      <c r="T77" s="431">
        <f t="shared" si="196"/>
        <v>7058</v>
      </c>
      <c r="U77" s="431">
        <f t="shared" si="196"/>
        <v>7137.5999999999995</v>
      </c>
      <c r="V77" s="431">
        <f t="shared" si="196"/>
        <v>6643</v>
      </c>
      <c r="W77" s="431">
        <f t="shared" si="196"/>
        <v>7626</v>
      </c>
      <c r="X77" s="430">
        <f t="shared" si="196"/>
        <v>28464.600000000002</v>
      </c>
      <c r="Y77" s="431">
        <f t="shared" si="196"/>
        <v>7660</v>
      </c>
      <c r="Z77" s="431">
        <f t="shared" si="196"/>
        <v>8525</v>
      </c>
      <c r="AA77" s="431">
        <f t="shared" si="196"/>
        <v>8345</v>
      </c>
      <c r="AB77" s="431">
        <f t="shared" si="196"/>
        <v>8856</v>
      </c>
      <c r="AC77" s="430">
        <f t="shared" si="196"/>
        <v>33386</v>
      </c>
      <c r="AD77" s="431">
        <f t="shared" si="196"/>
        <v>8603.5</v>
      </c>
      <c r="AE77" s="431">
        <f t="shared" si="196"/>
        <v>8875.5</v>
      </c>
      <c r="AF77" s="431">
        <f t="shared" si="196"/>
        <v>6269.5</v>
      </c>
      <c r="AG77" s="431">
        <f t="shared" si="196"/>
        <v>4514.3</v>
      </c>
      <c r="AH77" s="430">
        <f t="shared" si="196"/>
        <v>28262.799999999999</v>
      </c>
      <c r="AI77" s="431">
        <f t="shared" ref="AI77:BG77" si="197">AI63+AI65+AI69+AI73</f>
        <v>8871</v>
      </c>
      <c r="AJ77" s="431">
        <f t="shared" si="197"/>
        <v>8583</v>
      </c>
      <c r="AK77" s="431">
        <f t="shared" si="197"/>
        <v>7689</v>
      </c>
      <c r="AL77" s="431">
        <f t="shared" si="197"/>
        <v>8908</v>
      </c>
      <c r="AM77" s="430">
        <f t="shared" si="197"/>
        <v>34051</v>
      </c>
      <c r="AN77" s="431">
        <f t="shared" si="197"/>
        <v>7468</v>
      </c>
      <c r="AO77" s="431">
        <f t="shared" si="197"/>
        <v>7424</v>
      </c>
      <c r="AP77" s="431">
        <f t="shared" si="197"/>
        <v>8493</v>
      </c>
      <c r="AQ77" s="431">
        <f t="shared" si="197"/>
        <v>8172</v>
      </c>
      <c r="AR77" s="430">
        <f t="shared" si="197"/>
        <v>31557</v>
      </c>
      <c r="AS77" s="431">
        <f t="shared" si="197"/>
        <v>7088</v>
      </c>
      <c r="AT77" s="431">
        <f t="shared" si="197"/>
        <v>8478</v>
      </c>
      <c r="AU77" s="431">
        <f t="shared" si="197"/>
        <v>9319</v>
      </c>
      <c r="AV77" s="431">
        <f t="shared" si="197"/>
        <v>10792</v>
      </c>
      <c r="AW77" s="430">
        <f t="shared" si="197"/>
        <v>35677</v>
      </c>
      <c r="AX77" s="431">
        <f t="shared" si="197"/>
        <v>10727</v>
      </c>
      <c r="AY77" s="431">
        <f t="shared" si="197"/>
        <v>11754</v>
      </c>
      <c r="AZ77" s="431">
        <f t="shared" si="197"/>
        <v>12218</v>
      </c>
      <c r="BA77" s="431">
        <f t="shared" si="197"/>
        <v>14038</v>
      </c>
      <c r="BB77" s="430">
        <f t="shared" si="197"/>
        <v>48737</v>
      </c>
      <c r="BC77" s="431">
        <f t="shared" si="197"/>
        <v>10797.400000000001</v>
      </c>
      <c r="BD77" s="431">
        <f t="shared" si="197"/>
        <v>13237.399999999998</v>
      </c>
      <c r="BE77" s="431">
        <f t="shared" si="197"/>
        <v>13760</v>
      </c>
      <c r="BF77" s="431">
        <f t="shared" si="197"/>
        <v>14576.3</v>
      </c>
      <c r="BG77" s="430">
        <f t="shared" si="197"/>
        <v>53019.100000000006</v>
      </c>
      <c r="BH77" s="431">
        <f>BH63+BH65+BH69+BH73+1</f>
        <v>13017.248</v>
      </c>
      <c r="BI77" s="431">
        <f>BI63+BI65+BI69+BI73</f>
        <v>14376.967000000001</v>
      </c>
      <c r="BJ77" s="431">
        <f>BJ63+BJ65+BJ69+BJ73</f>
        <v>16054.66</v>
      </c>
      <c r="BK77" s="431">
        <f>BK63+BK65+BK69+BK73</f>
        <v>16735.595000000001</v>
      </c>
      <c r="BL77" s="430">
        <f>BL63+BL65+BL69+BL73</f>
        <v>60183.47</v>
      </c>
      <c r="BM77" s="431">
        <f>BM63+BM65+BM69+BM73+1</f>
        <v>15399.962289999998</v>
      </c>
      <c r="BN77" s="431">
        <f>BN63+BN65+BN69+BN73+1</f>
        <v>16998.944720000003</v>
      </c>
      <c r="BO77" s="431">
        <f>BO63+BO65+BO69+BO73</f>
        <v>17551.578600000001</v>
      </c>
      <c r="BP77" s="431">
        <f>BP63+BP65+BP69+BP73</f>
        <v>16008.37284</v>
      </c>
      <c r="BQ77" s="430">
        <f>BQ63+BQ65+BQ69+BQ73</f>
        <v>65956.85845</v>
      </c>
      <c r="BR77" s="431">
        <f>BR8+BR20+BR32+BR38+BR44+BR61</f>
        <v>12786.952499999999</v>
      </c>
      <c r="BS77" s="431">
        <f t="shared" ref="BS77:CA77" si="198">BS8+BS20+BS32+BS38+BS44+BS61</f>
        <v>15642.880000000001</v>
      </c>
      <c r="BT77" s="431">
        <f t="shared" si="198"/>
        <v>15199.797500000001</v>
      </c>
      <c r="BU77" s="431">
        <f t="shared" si="198"/>
        <v>14381.695000000002</v>
      </c>
      <c r="BV77" s="430">
        <f t="shared" si="198"/>
        <v>58011.325000000004</v>
      </c>
      <c r="BW77" s="431">
        <f t="shared" si="198"/>
        <v>12952.752499999999</v>
      </c>
      <c r="BX77" s="431">
        <f t="shared" si="198"/>
        <v>14280.427499999998</v>
      </c>
      <c r="BY77" s="431">
        <f t="shared" si="198"/>
        <v>15392.555</v>
      </c>
      <c r="BZ77" s="431">
        <f t="shared" si="198"/>
        <v>15387.775</v>
      </c>
      <c r="CA77" s="430">
        <f t="shared" si="198"/>
        <v>58013.509999999995</v>
      </c>
      <c r="CB77" s="431">
        <f>CB8+CB20+CB32+CB38+CB44+CB61+CB60</f>
        <v>12944.785</v>
      </c>
      <c r="CC77" s="431">
        <f t="shared" ref="CC77:CV77" si="199">CC8+CC20+CC32+CC38+CC44+CC61+CC60</f>
        <v>13952.165000000001</v>
      </c>
      <c r="CD77" s="431">
        <f t="shared" si="199"/>
        <v>14070.705</v>
      </c>
      <c r="CE77" s="431">
        <f t="shared" si="199"/>
        <v>16530.915000000001</v>
      </c>
      <c r="CF77" s="430">
        <f t="shared" si="199"/>
        <v>57498.570000000007</v>
      </c>
      <c r="CG77" s="431">
        <f t="shared" si="199"/>
        <v>11821.702299999999</v>
      </c>
      <c r="CH77" s="431">
        <f t="shared" si="199"/>
        <v>4722.1709500000015</v>
      </c>
      <c r="CI77" s="431">
        <f t="shared" si="199"/>
        <v>8248.5808500000003</v>
      </c>
      <c r="CJ77" s="431">
        <f t="shared" si="199"/>
        <v>7462.3120500000005</v>
      </c>
      <c r="CK77" s="430">
        <f t="shared" si="199"/>
        <v>32254.766150000003</v>
      </c>
      <c r="CL77" s="431">
        <f t="shared" si="199"/>
        <v>6204.9090985000012</v>
      </c>
      <c r="CM77" s="431">
        <f t="shared" si="199"/>
        <v>1632.6997664999999</v>
      </c>
      <c r="CN77" s="431">
        <f t="shared" si="199"/>
        <v>3595.5568855000001</v>
      </c>
      <c r="CO77" s="431">
        <f t="shared" si="199"/>
        <v>4728.0231610000001</v>
      </c>
      <c r="CP77" s="430">
        <f t="shared" si="199"/>
        <v>16161.188911500001</v>
      </c>
      <c r="CQ77" s="431">
        <f t="shared" ref="CQ77:CS77" si="200">CQ8+CQ20+CQ32+CQ38+CQ44+CQ61+CQ60</f>
        <v>4268.5899992849991</v>
      </c>
      <c r="CR77" s="431">
        <f t="shared" si="200"/>
        <v>6014.8665121599997</v>
      </c>
      <c r="CS77" s="431">
        <f t="shared" si="200"/>
        <v>4458.5533641300008</v>
      </c>
      <c r="CT77" s="431">
        <f t="shared" ref="CT77" si="201">CT8+CT20+CT32+CT38+CT44+CT61+CT60</f>
        <v>4749.7840093449995</v>
      </c>
      <c r="CU77" s="430">
        <f t="shared" si="199"/>
        <v>19491.79388492</v>
      </c>
      <c r="CV77" s="431">
        <f t="shared" si="199"/>
        <v>4160.5922951410002</v>
      </c>
      <c r="CW77" s="431">
        <f t="shared" ref="CW77:CZ77" si="202">CW8+CW20+CW32+CW38+CW44+CW61+CW60</f>
        <v>6219.1345653891749</v>
      </c>
      <c r="CX77" s="431">
        <f t="shared" si="202"/>
        <v>6262.5439418480755</v>
      </c>
      <c r="CY77" s="431">
        <f t="shared" si="202"/>
        <v>9224.0342588195508</v>
      </c>
      <c r="CZ77" s="430">
        <f t="shared" si="202"/>
        <v>25866.305061197796</v>
      </c>
      <c r="DA77" s="431">
        <f t="shared" ref="DA77:DE77" si="203">DA8+DA20+DA32+DA38+DA44+DA61+DA60</f>
        <v>6704.4382286024702</v>
      </c>
      <c r="DB77" s="431">
        <f t="shared" si="203"/>
        <v>8839.7888707996626</v>
      </c>
      <c r="DC77" s="431">
        <f t="shared" si="203"/>
        <v>7876.0938196930292</v>
      </c>
      <c r="DD77" s="431">
        <f t="shared" si="203"/>
        <v>10481.046327345739</v>
      </c>
      <c r="DE77" s="430">
        <f t="shared" si="203"/>
        <v>33901.367246440903</v>
      </c>
      <c r="DF77" s="431">
        <f t="shared" ref="DF77:DH77" si="204">DF8+DF20+DF32+DF38+DF44+DF61+DF60</f>
        <v>4652.9965258754983</v>
      </c>
      <c r="DG77" s="431">
        <f t="shared" si="204"/>
        <v>6002.8687253501321</v>
      </c>
      <c r="DH77" s="431">
        <f t="shared" si="204"/>
        <v>7442.8332867312783</v>
      </c>
      <c r="DI77" s="431">
        <f>DI8+DI20+DI32+DI38+DI44+DI61+DI60</f>
        <v>4762.0768891096923</v>
      </c>
      <c r="DJ77" s="430">
        <f t="shared" ref="DJ77:DN77" si="205">DJ8+DJ20+DJ32+DJ38+DJ44+DJ61+DJ60</f>
        <v>22860.775427066601</v>
      </c>
      <c r="DK77" s="431">
        <f>DK8+DK20+DK32+DK38+DK44+DK61+DK60</f>
        <v>8147.0041168052721</v>
      </c>
      <c r="DL77" s="431">
        <f t="shared" si="205"/>
        <v>10873.599294704403</v>
      </c>
      <c r="DM77" s="431">
        <f t="shared" si="205"/>
        <v>11093.958867626639</v>
      </c>
      <c r="DN77" s="431">
        <f t="shared" si="205"/>
        <v>11379.39288279129</v>
      </c>
      <c r="DO77" s="430">
        <f t="shared" ref="DO77" si="206">DO8+DO20+DO32+DO38+DO44+DO61+DO60</f>
        <v>41493.955161927603</v>
      </c>
      <c r="DP77" s="431">
        <f>DP8+DP20+DP32+DP38+DP44+DP61+DP60</f>
        <v>9202.561940186888</v>
      </c>
      <c r="DQ77" s="431">
        <f t="shared" ref="DQ77:DT77" si="207">DQ8+DQ20+DQ32+DQ38+DQ44+DQ61+DQ60</f>
        <v>11751.153592822791</v>
      </c>
      <c r="DR77" s="431">
        <f t="shared" si="207"/>
        <v>11291.396795496217</v>
      </c>
      <c r="DS77" s="431">
        <f t="shared" si="207"/>
        <v>12572.529358705026</v>
      </c>
      <c r="DT77" s="430">
        <f t="shared" si="207"/>
        <v>44817.641687210926</v>
      </c>
      <c r="DU77" s="431">
        <f>DU8+DU20+DU32+DU38+DU44+DU61+DU60</f>
        <v>12039.5367612225</v>
      </c>
      <c r="DV77" s="431">
        <f t="shared" ref="DV77:DY77" si="208">DV8+DV20+DV32+DV38+DV44+DV61+DV60</f>
        <v>14228.745443111249</v>
      </c>
      <c r="DW77" s="431">
        <f t="shared" si="208"/>
        <v>15280.745443111249</v>
      </c>
      <c r="DX77" s="431">
        <f t="shared" si="208"/>
        <v>17502.36709311125</v>
      </c>
      <c r="DY77" s="430">
        <f t="shared" si="208"/>
        <v>59051.39474055625</v>
      </c>
      <c r="DZ77" s="430">
        <f t="shared" ref="DZ77:EB77" si="209">DZ8+DZ20+DZ32+DZ38+DZ44+DZ61+DZ60</f>
        <v>68286.425936222498</v>
      </c>
      <c r="EA77" s="430">
        <f t="shared" si="209"/>
        <v>78761</v>
      </c>
      <c r="EB77" s="430">
        <f t="shared" si="209"/>
        <v>84921</v>
      </c>
    </row>
    <row r="78" spans="1:132" s="427" customFormat="1" ht="12.75" thickBot="1">
      <c r="A78" s="68"/>
      <c r="C78" s="67"/>
      <c r="D78" s="13"/>
      <c r="E78" s="13"/>
      <c r="F78" s="13"/>
      <c r="G78" s="13"/>
      <c r="H78" s="13"/>
      <c r="I78" s="492"/>
      <c r="J78" s="502"/>
      <c r="K78" s="12"/>
      <c r="L78" s="12"/>
      <c r="M78" s="12"/>
      <c r="N78" s="13"/>
      <c r="O78" s="12"/>
      <c r="P78" s="12"/>
      <c r="Q78" s="12"/>
      <c r="R78" s="12"/>
      <c r="S78" s="13"/>
      <c r="T78" s="12"/>
      <c r="U78" s="12"/>
      <c r="V78" s="12"/>
      <c r="W78" s="12"/>
      <c r="X78" s="13"/>
      <c r="Y78" s="12"/>
      <c r="Z78" s="12"/>
      <c r="AA78" s="12"/>
      <c r="AB78" s="12"/>
      <c r="AC78" s="13"/>
      <c r="AD78" s="12"/>
      <c r="AE78" s="12"/>
      <c r="AF78" s="12"/>
      <c r="AG78" s="12"/>
      <c r="AH78" s="13"/>
      <c r="AI78" s="12"/>
      <c r="AJ78" s="12"/>
      <c r="AK78" s="12"/>
      <c r="AL78" s="12"/>
      <c r="AM78" s="13"/>
      <c r="AN78" s="12"/>
      <c r="AO78" s="12"/>
      <c r="AP78" s="12"/>
      <c r="AQ78" s="12"/>
      <c r="AR78" s="13"/>
      <c r="AS78" s="12"/>
      <c r="AT78" s="12"/>
      <c r="AU78" s="12"/>
      <c r="AV78" s="12"/>
      <c r="AW78" s="13"/>
      <c r="AX78" s="12"/>
      <c r="AY78" s="12"/>
      <c r="AZ78" s="12"/>
      <c r="BA78" s="12"/>
      <c r="BB78" s="13"/>
      <c r="BC78" s="12"/>
      <c r="BD78" s="12"/>
      <c r="BE78" s="12"/>
      <c r="BF78" s="12"/>
      <c r="BG78" s="13"/>
      <c r="BH78" s="12"/>
      <c r="BI78" s="12"/>
      <c r="BJ78" s="12"/>
      <c r="BK78" s="12"/>
      <c r="BL78" s="466"/>
      <c r="BM78" s="12"/>
      <c r="BN78" s="12"/>
      <c r="BO78" s="12"/>
      <c r="BP78" s="12"/>
      <c r="BQ78" s="13"/>
      <c r="BR78" s="12"/>
      <c r="BS78" s="12"/>
      <c r="BT78" s="12"/>
      <c r="BU78" s="12"/>
      <c r="BV78" s="13"/>
      <c r="BW78" s="12"/>
      <c r="BX78" s="12"/>
      <c r="BY78" s="12"/>
      <c r="BZ78" s="12"/>
      <c r="CA78" s="13"/>
      <c r="CB78" s="12"/>
      <c r="CC78" s="12"/>
      <c r="CD78" s="12"/>
      <c r="CE78" s="12"/>
      <c r="CF78" s="13"/>
      <c r="CG78" s="12"/>
      <c r="CH78" s="12"/>
      <c r="CI78" s="12"/>
      <c r="CJ78" s="12"/>
      <c r="CK78" s="13"/>
      <c r="CL78" s="12"/>
      <c r="CM78" s="12"/>
      <c r="CN78" s="12"/>
      <c r="CO78" s="12"/>
      <c r="CP78" s="13"/>
      <c r="CQ78" s="450"/>
      <c r="CR78" s="12"/>
      <c r="CS78" s="12"/>
      <c r="CT78" s="12"/>
      <c r="CU78" s="13"/>
      <c r="CV78" s="12"/>
      <c r="CW78" s="12"/>
      <c r="CX78" s="12"/>
      <c r="CY78" s="12"/>
      <c r="CZ78" s="13"/>
      <c r="DA78" s="12"/>
      <c r="DB78" s="12"/>
      <c r="DC78" s="12"/>
      <c r="DD78" s="12"/>
      <c r="DE78" s="13"/>
      <c r="DF78" s="450"/>
      <c r="DG78" s="450"/>
      <c r="DH78" s="450"/>
      <c r="DI78" s="450"/>
      <c r="DJ78" s="466"/>
      <c r="DK78" s="450"/>
      <c r="DL78" s="450"/>
      <c r="DM78" s="12"/>
      <c r="DN78" s="450"/>
      <c r="DO78" s="466"/>
      <c r="DP78" s="12"/>
      <c r="DQ78" s="12"/>
      <c r="DR78" s="12"/>
      <c r="DS78" s="12"/>
      <c r="DT78" s="13"/>
      <c r="DU78" s="12"/>
      <c r="DV78" s="12"/>
      <c r="DW78" s="12"/>
      <c r="DX78" s="12"/>
      <c r="DY78" s="13"/>
      <c r="DZ78" s="13"/>
      <c r="EA78" s="13"/>
      <c r="EB78" s="13"/>
    </row>
    <row r="79" spans="1:132" s="424" customFormat="1" ht="12.75" thickBot="1">
      <c r="A79" s="68"/>
      <c r="B79" s="429" t="s">
        <v>375</v>
      </c>
      <c r="C79" s="430">
        <f t="shared" ref="C79:AW79" si="210">C10+C16+C22+C28+C34+C40+C46+C52+C67+C71+C75+C58</f>
        <v>2539.5949999999998</v>
      </c>
      <c r="D79" s="430">
        <f t="shared" si="210"/>
        <v>2439.69</v>
      </c>
      <c r="E79" s="430">
        <f t="shared" si="210"/>
        <v>2526.665</v>
      </c>
      <c r="F79" s="430">
        <f t="shared" si="210"/>
        <v>3298.96</v>
      </c>
      <c r="G79" s="430">
        <f t="shared" si="210"/>
        <v>3484.11</v>
      </c>
      <c r="H79" s="430">
        <f t="shared" si="210"/>
        <v>3595.23</v>
      </c>
      <c r="I79" s="429">
        <f t="shared" si="210"/>
        <v>1984.575</v>
      </c>
      <c r="J79" s="501">
        <f t="shared" si="210"/>
        <v>553.75300000000004</v>
      </c>
      <c r="K79" s="431">
        <f t="shared" si="210"/>
        <v>581.04599999999994</v>
      </c>
      <c r="L79" s="431">
        <f t="shared" si="210"/>
        <v>480.80799999999999</v>
      </c>
      <c r="M79" s="456">
        <f t="shared" si="210"/>
        <v>564.20399999999995</v>
      </c>
      <c r="N79" s="430">
        <f t="shared" si="210"/>
        <v>2179.8109999999997</v>
      </c>
      <c r="O79" s="429">
        <f t="shared" si="210"/>
        <v>733.39599999999984</v>
      </c>
      <c r="P79" s="431">
        <f t="shared" si="210"/>
        <v>979.48599999999999</v>
      </c>
      <c r="Q79" s="431">
        <f t="shared" si="210"/>
        <v>717.7879999999999</v>
      </c>
      <c r="R79" s="456">
        <f t="shared" si="210"/>
        <v>848.29799999999989</v>
      </c>
      <c r="S79" s="430">
        <f t="shared" si="210"/>
        <v>3233.348</v>
      </c>
      <c r="T79" s="429">
        <f t="shared" si="210"/>
        <v>1218.1500000000001</v>
      </c>
      <c r="U79" s="431">
        <f t="shared" si="210"/>
        <v>1228.5559999999998</v>
      </c>
      <c r="V79" s="431">
        <f t="shared" si="210"/>
        <v>1145.71</v>
      </c>
      <c r="W79" s="456">
        <f t="shared" si="210"/>
        <v>1308.94</v>
      </c>
      <c r="X79" s="430">
        <f t="shared" si="210"/>
        <v>5130.6509999999989</v>
      </c>
      <c r="Y79" s="429">
        <f t="shared" si="210"/>
        <v>1395</v>
      </c>
      <c r="Z79" s="431">
        <f t="shared" si="210"/>
        <v>1557.145</v>
      </c>
      <c r="AA79" s="431">
        <f t="shared" si="210"/>
        <v>1514.1899999999998</v>
      </c>
      <c r="AB79" s="456">
        <f t="shared" si="210"/>
        <v>1625.56</v>
      </c>
      <c r="AC79" s="430">
        <f t="shared" si="210"/>
        <v>6544.079999999999</v>
      </c>
      <c r="AD79" s="429">
        <f t="shared" si="210"/>
        <v>1454.2775000000001</v>
      </c>
      <c r="AE79" s="431">
        <f t="shared" si="210"/>
        <v>1476.3325000000002</v>
      </c>
      <c r="AF79" s="431">
        <f t="shared" si="210"/>
        <v>1028.6775</v>
      </c>
      <c r="AG79" s="456">
        <f t="shared" si="210"/>
        <v>760.22050000000002</v>
      </c>
      <c r="AH79" s="430">
        <f t="shared" si="210"/>
        <v>4719.5080000000007</v>
      </c>
      <c r="AI79" s="429">
        <f t="shared" si="210"/>
        <v>1322.0000000000002</v>
      </c>
      <c r="AJ79" s="431">
        <f t="shared" si="210"/>
        <v>1286.7400000000002</v>
      </c>
      <c r="AK79" s="431">
        <f t="shared" si="210"/>
        <v>1162.96</v>
      </c>
      <c r="AL79" s="456">
        <f t="shared" si="210"/>
        <v>1355.1800000000003</v>
      </c>
      <c r="AM79" s="430">
        <f t="shared" si="210"/>
        <v>5134.12</v>
      </c>
      <c r="AN79" s="429">
        <f t="shared" si="210"/>
        <v>1387.5</v>
      </c>
      <c r="AO79" s="431">
        <f t="shared" si="210"/>
        <v>1385.6200000000001</v>
      </c>
      <c r="AP79" s="431">
        <f t="shared" si="210"/>
        <v>1620.74</v>
      </c>
      <c r="AQ79" s="456">
        <f t="shared" si="210"/>
        <v>1541.5300000000002</v>
      </c>
      <c r="AR79" s="430">
        <f t="shared" si="210"/>
        <v>5935.3899999999994</v>
      </c>
      <c r="AS79" s="429">
        <f t="shared" si="210"/>
        <v>1286.8799999999999</v>
      </c>
      <c r="AT79" s="431">
        <f t="shared" si="210"/>
        <v>1556.5199999999998</v>
      </c>
      <c r="AU79" s="431">
        <f t="shared" si="210"/>
        <v>1695.3400000000001</v>
      </c>
      <c r="AV79" s="456">
        <f t="shared" si="210"/>
        <v>1648.07</v>
      </c>
      <c r="AW79" s="430">
        <f t="shared" si="210"/>
        <v>6186.8099999999995</v>
      </c>
      <c r="AX79" s="429"/>
      <c r="AY79" s="431"/>
      <c r="AZ79" s="431"/>
      <c r="BA79" s="456"/>
      <c r="BB79" s="430">
        <f>BB10+BB16+BB22+BB28+BB34+BB40+BB46+BB52+BB67+BB71+BB75+BB58</f>
        <v>6723.3499999999995</v>
      </c>
      <c r="BC79" s="429"/>
      <c r="BD79" s="431"/>
      <c r="BE79" s="431"/>
      <c r="BF79" s="456"/>
      <c r="BG79" s="430">
        <f>BG10+BG16+BG22+BG28+BG34+BG40+BG46+BG52+BG67+BG71+BG75+BG58</f>
        <v>7570.5950000000003</v>
      </c>
      <c r="BH79" s="429"/>
      <c r="BI79" s="431"/>
      <c r="BJ79" s="431"/>
      <c r="BK79" s="456"/>
      <c r="BL79" s="430">
        <f>BL10+BL16+BL22+BL28+BL34+BL40+BL46+BL52+BL67+BL71+BL75+BL58</f>
        <v>8483.1785</v>
      </c>
      <c r="BM79" s="429"/>
      <c r="BN79" s="431"/>
      <c r="BO79" s="431"/>
      <c r="BP79" s="431"/>
      <c r="BQ79" s="430">
        <f>BQ10+BQ16+BQ22+BQ28+BQ34+BQ40+BQ46+BQ52+BQ67+BQ71+BQ75+BQ58</f>
        <v>8799.4274129000023</v>
      </c>
      <c r="BR79" s="429"/>
      <c r="BS79" s="431"/>
      <c r="BT79" s="431"/>
      <c r="BU79" s="456"/>
      <c r="BV79" s="430">
        <f>BV10+BV16+BV22+BV28+BV34+BV40+BV46+BV52+BV67+BV71+BV75+BV58</f>
        <v>7746.327365000001</v>
      </c>
      <c r="BW79" s="429"/>
      <c r="BX79" s="431"/>
      <c r="BY79" s="431"/>
      <c r="BZ79" s="456"/>
      <c r="CA79" s="430">
        <f>CA10+CA16+CA22+CA28+CA34+CA40+CA46+CA52+CA67+CA71+CA75+CA58</f>
        <v>7751.392967499999</v>
      </c>
      <c r="CB79" s="429"/>
      <c r="CC79" s="431"/>
      <c r="CD79" s="431"/>
      <c r="CE79" s="456"/>
      <c r="CF79" s="430">
        <f>CF10+CF16+CF22+CF28+CF34+CF40+CF46+CF52+CF67+CF71+CF75+CF58</f>
        <v>10085.659775</v>
      </c>
      <c r="CG79" s="431"/>
      <c r="CH79" s="431"/>
      <c r="CI79" s="431"/>
      <c r="CJ79" s="431"/>
      <c r="CK79" s="430">
        <f>CK10+CK16+CK22+CK28+CK34+CK40+CK46+CK52+CK67+CK71+CK75+CK58</f>
        <v>5274.3941180000002</v>
      </c>
      <c r="CL79" s="431"/>
      <c r="CM79" s="431"/>
      <c r="CN79" s="431"/>
      <c r="CO79" s="431"/>
      <c r="CP79" s="430">
        <f>CP10+CP16+CP22+CP28+CP34+CP40+CP46+CP52+CP67+CP71+CP75+CP58</f>
        <v>1472.7910807200001</v>
      </c>
      <c r="CQ79" s="431"/>
      <c r="CR79" s="431"/>
      <c r="CS79" s="431"/>
      <c r="CT79" s="431"/>
      <c r="CU79" s="430">
        <f>CU10+CU16+CU22+CU28+CU34+CU40+CU46+CU52+CU67+CU71+CU75+CU58</f>
        <v>2018.384154632</v>
      </c>
      <c r="CV79" s="431"/>
      <c r="CW79" s="431"/>
      <c r="CX79" s="431"/>
      <c r="CY79" s="431"/>
      <c r="CZ79" s="430">
        <f>CZ10+CZ16+CZ22+CZ28+CZ34+CZ40+CZ46+CZ52+CZ67+CZ71+CZ75+CZ58</f>
        <v>2644.0540712941379</v>
      </c>
      <c r="DA79" s="431"/>
      <c r="DB79" s="431"/>
      <c r="DC79" s="431"/>
      <c r="DD79" s="431"/>
      <c r="DE79" s="430">
        <f>DE10+DE16+DE22+DE28+DE34+DE40+DE46+DE52+DE67+DE71+DE75+DE58</f>
        <v>2814.7067194004103</v>
      </c>
      <c r="DF79" s="431"/>
      <c r="DG79" s="431"/>
      <c r="DH79" s="431"/>
      <c r="DI79" s="431"/>
      <c r="DJ79" s="430">
        <f t="shared" ref="DJ79" si="211">DJ10+DJ16+DJ22+DJ28+DJ34+DJ40+DJ46+DJ52+DJ67+DJ71+DJ75+DJ58</f>
        <v>1518.8862893128517</v>
      </c>
      <c r="DK79" s="431"/>
      <c r="DL79" s="431"/>
      <c r="DM79" s="431"/>
      <c r="DN79" s="431"/>
      <c r="DO79" s="430">
        <f t="shared" ref="DO79" si="212">DO10+DO16+DO22+DO28+DO34+DO40+DO46+DO52+DO67+DO71+DO75+DO58</f>
        <v>3372.9270926147055</v>
      </c>
      <c r="DP79" s="431"/>
      <c r="DQ79" s="431"/>
      <c r="DR79" s="431"/>
      <c r="DS79" s="431"/>
      <c r="DT79" s="430">
        <f t="shared" ref="DT79" si="213">DT10+DT16+DT22+DT28+DT34+DT40+DT46+DT52+DT67+DT71+DT75+DT58</f>
        <v>4605.6864375146206</v>
      </c>
      <c r="DU79" s="431"/>
      <c r="DV79" s="431"/>
      <c r="DW79" s="431"/>
      <c r="DX79" s="431"/>
      <c r="DY79" s="430">
        <f t="shared" ref="DY79" si="214">DY10+DY16+DY22+DY28+DY34+DY40+DY46+DY52+DY67+DY71+DY75+DY58</f>
        <v>6042.4119474055615</v>
      </c>
      <c r="DZ79" s="430">
        <f t="shared" ref="DZ79:EB79" si="215">DZ10+DZ16+DZ22+DZ28+DZ34+DZ40+DZ46+DZ52+DZ67+DZ71+DZ75+DZ58</f>
        <v>7933.8767780866756</v>
      </c>
      <c r="EA79" s="430">
        <f t="shared" si="215"/>
        <v>11240.415999999999</v>
      </c>
      <c r="EB79" s="430">
        <f t="shared" si="215"/>
        <v>14992.02</v>
      </c>
    </row>
    <row r="80" spans="1:132" s="427" customFormat="1">
      <c r="A80" s="68"/>
      <c r="B80" s="427" t="s">
        <v>376</v>
      </c>
      <c r="C80" s="413">
        <f t="shared" ref="C80:AH80" si="216">C79/C77</f>
        <v>9.4729195419448686E-2</v>
      </c>
      <c r="D80" s="413">
        <f t="shared" si="216"/>
        <v>6.7690194772765111E-2</v>
      </c>
      <c r="E80" s="413">
        <f t="shared" si="216"/>
        <v>6.7120884083573529E-2</v>
      </c>
      <c r="F80" s="413">
        <f t="shared" si="216"/>
        <v>0.10709170589190066</v>
      </c>
      <c r="G80" s="413">
        <f t="shared" si="216"/>
        <v>9.9872726490948971E-2</v>
      </c>
      <c r="H80" s="413">
        <f t="shared" si="216"/>
        <v>0.1266505794906119</v>
      </c>
      <c r="I80" s="457">
        <f t="shared" si="216"/>
        <v>8.8565467690110672E-2</v>
      </c>
      <c r="J80" s="503">
        <f t="shared" si="216"/>
        <v>0.10389362101313322</v>
      </c>
      <c r="K80" s="266">
        <f t="shared" si="216"/>
        <v>0.10245917827543642</v>
      </c>
      <c r="L80" s="266">
        <f t="shared" si="216"/>
        <v>0.10366709788702026</v>
      </c>
      <c r="M80" s="458">
        <f t="shared" si="216"/>
        <v>0.10452093367914041</v>
      </c>
      <c r="N80" s="413">
        <f t="shared" si="216"/>
        <v>0.10361795883443456</v>
      </c>
      <c r="O80" s="457">
        <f t="shared" si="216"/>
        <v>0.14548621305296566</v>
      </c>
      <c r="P80" s="266">
        <f t="shared" si="216"/>
        <v>0.14391507493388186</v>
      </c>
      <c r="Q80" s="266">
        <f t="shared" si="216"/>
        <v>0.1460402848423194</v>
      </c>
      <c r="R80" s="458">
        <f t="shared" si="216"/>
        <v>0.14404788588894546</v>
      </c>
      <c r="S80" s="413">
        <f t="shared" si="216"/>
        <v>0.14274636881373889</v>
      </c>
      <c r="T80" s="457">
        <f t="shared" si="216"/>
        <v>0.17259138566166055</v>
      </c>
      <c r="U80" s="266">
        <f t="shared" si="216"/>
        <v>0.17212452364940595</v>
      </c>
      <c r="V80" s="266">
        <f t="shared" si="216"/>
        <v>0.17246876411259973</v>
      </c>
      <c r="W80" s="458">
        <f t="shared" si="216"/>
        <v>0.17164175190139</v>
      </c>
      <c r="X80" s="413">
        <f t="shared" si="216"/>
        <v>0.18024672751417545</v>
      </c>
      <c r="Y80" s="457">
        <f t="shared" si="216"/>
        <v>0.18211488250652741</v>
      </c>
      <c r="Z80" s="266">
        <f t="shared" si="216"/>
        <v>0.18265630498533725</v>
      </c>
      <c r="AA80" s="266">
        <f t="shared" si="216"/>
        <v>0.18144877171959256</v>
      </c>
      <c r="AB80" s="458">
        <f t="shared" si="216"/>
        <v>0.18355465221318878</v>
      </c>
      <c r="AC80" s="413">
        <f t="shared" si="216"/>
        <v>0.19601269993410408</v>
      </c>
      <c r="AD80" s="457">
        <f t="shared" si="216"/>
        <v>0.16903324228511654</v>
      </c>
      <c r="AE80" s="266">
        <f t="shared" si="216"/>
        <v>0.16633795279139205</v>
      </c>
      <c r="AF80" s="266">
        <f t="shared" si="216"/>
        <v>0.16407648137810033</v>
      </c>
      <c r="AG80" s="458">
        <f t="shared" si="216"/>
        <v>0.16840274239638481</v>
      </c>
      <c r="AH80" s="413">
        <f t="shared" si="216"/>
        <v>0.16698656891744629</v>
      </c>
      <c r="AI80" s="457">
        <f t="shared" ref="AI80:BQ80" si="217">AI79/AI77</f>
        <v>0.14902491263668136</v>
      </c>
      <c r="AJ80" s="266">
        <f t="shared" si="217"/>
        <v>0.14991727834090646</v>
      </c>
      <c r="AK80" s="266">
        <f t="shared" si="217"/>
        <v>0.15124983743009496</v>
      </c>
      <c r="AL80" s="458">
        <f t="shared" si="217"/>
        <v>0.15213066906151776</v>
      </c>
      <c r="AM80" s="413">
        <f t="shared" si="217"/>
        <v>0.15077736336671463</v>
      </c>
      <c r="AN80" s="457">
        <f t="shared" si="217"/>
        <v>0.1857927155865024</v>
      </c>
      <c r="AO80" s="266">
        <f t="shared" si="217"/>
        <v>0.186640625</v>
      </c>
      <c r="AP80" s="266">
        <f t="shared" si="217"/>
        <v>0.19083245025314965</v>
      </c>
      <c r="AQ80" s="458">
        <f t="shared" si="217"/>
        <v>0.18863558492413121</v>
      </c>
      <c r="AR80" s="413">
        <f t="shared" si="217"/>
        <v>0.18808473555787938</v>
      </c>
      <c r="AS80" s="457">
        <f t="shared" si="217"/>
        <v>0.18155756207674942</v>
      </c>
      <c r="AT80" s="266">
        <f t="shared" si="217"/>
        <v>0.1835951875442321</v>
      </c>
      <c r="AU80" s="266">
        <f t="shared" si="217"/>
        <v>0.18192295310655651</v>
      </c>
      <c r="AV80" s="458">
        <f t="shared" si="217"/>
        <v>0.15271219421793922</v>
      </c>
      <c r="AW80" s="413">
        <f t="shared" si="217"/>
        <v>0.17341172183759843</v>
      </c>
      <c r="AX80" s="457"/>
      <c r="AY80" s="266"/>
      <c r="AZ80" s="266"/>
      <c r="BA80" s="458"/>
      <c r="BB80" s="413">
        <f t="shared" si="217"/>
        <v>0.13795165890391284</v>
      </c>
      <c r="BC80" s="457"/>
      <c r="BD80" s="266"/>
      <c r="BE80" s="266"/>
      <c r="BF80" s="458"/>
      <c r="BG80" s="413">
        <f t="shared" si="217"/>
        <v>0.14278995682687937</v>
      </c>
      <c r="BH80" s="457"/>
      <c r="BI80" s="266"/>
      <c r="BJ80" s="266"/>
      <c r="BK80" s="458"/>
      <c r="BL80" s="438">
        <f t="shared" si="217"/>
        <v>0.14095529054738784</v>
      </c>
      <c r="BM80" s="457"/>
      <c r="BN80" s="266"/>
      <c r="BO80" s="266"/>
      <c r="BP80" s="458"/>
      <c r="BQ80" s="413">
        <f t="shared" si="217"/>
        <v>0.13341186374985697</v>
      </c>
      <c r="BR80" s="457"/>
      <c r="BS80" s="266"/>
      <c r="BT80" s="266"/>
      <c r="BU80" s="458"/>
      <c r="BV80" s="413">
        <f t="shared" ref="BV80" si="218">BV79/BV77</f>
        <v>0.13353129522554433</v>
      </c>
      <c r="BW80" s="457"/>
      <c r="BX80" s="266"/>
      <c r="BY80" s="266"/>
      <c r="BZ80" s="458"/>
      <c r="CA80" s="413">
        <f>CA79/CA77</f>
        <v>0.13361358358596126</v>
      </c>
      <c r="CB80" s="457"/>
      <c r="CC80" s="266"/>
      <c r="CD80" s="266"/>
      <c r="CE80" s="458"/>
      <c r="CF80" s="413">
        <f>CF79/CF77</f>
        <v>0.17540714099498472</v>
      </c>
      <c r="CG80" s="266"/>
      <c r="CH80" s="266"/>
      <c r="CI80" s="266"/>
      <c r="CJ80" s="266"/>
      <c r="CK80" s="413">
        <f>CK79/CK77</f>
        <v>0.16352293777209728</v>
      </c>
      <c r="CL80" s="266"/>
      <c r="CM80" s="266"/>
      <c r="CN80" s="266"/>
      <c r="CO80" s="266"/>
      <c r="CP80" s="413">
        <f>CP79/CP77</f>
        <v>9.1131357277309546E-2</v>
      </c>
      <c r="CQ80" s="486"/>
      <c r="CR80" s="266"/>
      <c r="CS80" s="266"/>
      <c r="CT80" s="266"/>
      <c r="CU80" s="413">
        <f>CU79/CU77</f>
        <v>0.10355045649202872</v>
      </c>
      <c r="CV80" s="266"/>
      <c r="CW80" s="266"/>
      <c r="CX80" s="266"/>
      <c r="CY80" s="266"/>
      <c r="CZ80" s="413">
        <f>CZ79/CZ77</f>
        <v>0.10222001422462537</v>
      </c>
      <c r="DA80" s="266"/>
      <c r="DB80" s="266"/>
      <c r="DC80" s="266"/>
      <c r="DD80" s="266"/>
      <c r="DE80" s="413">
        <f>DE79/DE77</f>
        <v>8.30263481392748E-2</v>
      </c>
      <c r="DF80" s="486"/>
      <c r="DG80" s="486"/>
      <c r="DH80" s="486"/>
      <c r="DI80" s="486"/>
      <c r="DJ80" s="438">
        <f t="shared" ref="DJ80" si="219">DJ79/DJ77</f>
        <v>6.6440716071009875E-2</v>
      </c>
      <c r="DK80" s="486"/>
      <c r="DL80" s="486"/>
      <c r="DM80" s="266"/>
      <c r="DN80" s="486"/>
      <c r="DO80" s="438">
        <f t="shared" ref="DO80" si="220">DO79/DO77</f>
        <v>8.1287191819918475E-2</v>
      </c>
      <c r="DP80" s="266"/>
      <c r="DQ80" s="266"/>
      <c r="DR80" s="266"/>
      <c r="DS80" s="266"/>
      <c r="DT80" s="413">
        <f t="shared" ref="DT80" si="221">DT79/DT77</f>
        <v>0.1027650332353139</v>
      </c>
      <c r="DU80" s="266"/>
      <c r="DV80" s="266"/>
      <c r="DW80" s="266"/>
      <c r="DX80" s="266"/>
      <c r="DY80" s="413">
        <f t="shared" ref="DY80" si="222">DY79/DY77</f>
        <v>0.1023246271142798</v>
      </c>
      <c r="DZ80" s="413">
        <f t="shared" ref="DZ80:EB80" si="223">DZ79/DZ77</f>
        <v>0.11618526917043047</v>
      </c>
      <c r="EA80" s="413">
        <f t="shared" si="223"/>
        <v>0.14271550640545447</v>
      </c>
      <c r="EB80" s="413">
        <f t="shared" si="223"/>
        <v>0.17654078496484968</v>
      </c>
    </row>
    <row r="81" spans="1:132" s="427" customFormat="1">
      <c r="A81" s="407"/>
      <c r="B81" s="441" t="s">
        <v>656</v>
      </c>
      <c r="C81" s="440"/>
      <c r="D81" s="440">
        <f t="shared" ref="D81:I81" si="224">(D79-C79)/(D77-C77)</f>
        <v>-1.0820426730206839E-2</v>
      </c>
      <c r="E81" s="440">
        <f t="shared" si="224"/>
        <v>5.4308460817983087E-2</v>
      </c>
      <c r="F81" s="440">
        <f t="shared" si="224"/>
        <v>-0.11293339182569279</v>
      </c>
      <c r="G81" s="440">
        <f t="shared" si="224"/>
        <v>4.5374341379732896E-2</v>
      </c>
      <c r="H81" s="440">
        <f t="shared" si="224"/>
        <v>-1.7099330614757234E-2</v>
      </c>
      <c r="I81" s="440">
        <f t="shared" si="224"/>
        <v>0.26938534872052183</v>
      </c>
      <c r="J81" s="504"/>
      <c r="K81" s="441"/>
      <c r="L81" s="441"/>
      <c r="M81" s="441"/>
      <c r="N81" s="440">
        <f>(N79-I79)/(N77-I77)</f>
        <v>-0.14240408460977363</v>
      </c>
      <c r="O81" s="441"/>
      <c r="P81" s="441"/>
      <c r="Q81" s="441"/>
      <c r="R81" s="441"/>
      <c r="S81" s="440">
        <f>(S79-N79)/(S77-N77)</f>
        <v>0.65274907063197041</v>
      </c>
      <c r="T81" s="441"/>
      <c r="U81" s="441"/>
      <c r="V81" s="441"/>
      <c r="W81" s="441"/>
      <c r="X81" s="440">
        <f>(X79-S79)/(X77-S77)</f>
        <v>0.326355958442273</v>
      </c>
      <c r="Y81" s="441"/>
      <c r="Z81" s="441"/>
      <c r="AA81" s="441"/>
      <c r="AB81" s="441"/>
      <c r="AC81" s="440">
        <f>(AC79-X79)/(AC77-X77)</f>
        <v>0.28720059332710218</v>
      </c>
      <c r="AD81" s="441"/>
      <c r="AE81" s="441"/>
      <c r="AF81" s="441"/>
      <c r="AG81" s="441"/>
      <c r="AH81" s="440">
        <f>(AH79-AC79)/(AH77-AC77)</f>
        <v>0.35613913179262924</v>
      </c>
      <c r="AI81" s="441"/>
      <c r="AJ81" s="441"/>
      <c r="AK81" s="441"/>
      <c r="AL81" s="441"/>
      <c r="AM81" s="440">
        <f>(AM79-AH79)/(AM77-AH77)</f>
        <v>7.1630558722918888E-2</v>
      </c>
      <c r="AN81" s="441"/>
      <c r="AO81" s="441"/>
      <c r="AP81" s="441"/>
      <c r="AQ81" s="441"/>
      <c r="AR81" s="440">
        <f>(AR79-AM79)/(AR77-AM77)</f>
        <v>-0.32127906976744169</v>
      </c>
      <c r="AS81" s="441"/>
      <c r="AT81" s="441"/>
      <c r="AU81" s="441"/>
      <c r="AV81" s="441"/>
      <c r="AW81" s="440">
        <f>(AW79-AR79)/(AW77-AR77)</f>
        <v>6.1024271844660215E-2</v>
      </c>
      <c r="AX81" s="441"/>
      <c r="AY81" s="441"/>
      <c r="AZ81" s="441"/>
      <c r="BA81" s="441"/>
      <c r="BB81" s="440">
        <f>(BB79-AW79)/(BB77-AW77)</f>
        <v>4.1082695252679935E-2</v>
      </c>
      <c r="BC81" s="441"/>
      <c r="BD81" s="441"/>
      <c r="BE81" s="441"/>
      <c r="BF81" s="441"/>
      <c r="BG81" s="440">
        <f>(BG79-BB79)/(BG77-BB77)</f>
        <v>0.19785735970668589</v>
      </c>
      <c r="BH81" s="441"/>
      <c r="BI81" s="441"/>
      <c r="BJ81" s="441"/>
      <c r="BK81" s="441"/>
      <c r="BL81" s="440">
        <f>(BL79-BG79)/(BL77-BG77)</f>
        <v>0.12737805278063533</v>
      </c>
      <c r="BM81" s="441"/>
      <c r="BN81" s="441"/>
      <c r="BO81" s="441"/>
      <c r="BP81" s="441"/>
      <c r="BQ81" s="440">
        <f>(BQ79-BL79)/(BQ77-BL77)</f>
        <v>5.4777002385835029E-2</v>
      </c>
      <c r="BR81" s="441"/>
      <c r="BS81" s="441"/>
      <c r="BT81" s="441"/>
      <c r="BU81" s="441"/>
      <c r="BV81" s="440">
        <f>(BV79-BQ79)/(BV77-BQ77)</f>
        <v>0.13253987973582843</v>
      </c>
      <c r="BW81" s="441"/>
      <c r="BX81" s="441"/>
      <c r="BY81" s="441"/>
      <c r="BZ81" s="441"/>
      <c r="CA81" s="440">
        <f>(CA79-BV79)/(CA77-BV77)</f>
        <v>2.31835354692004</v>
      </c>
      <c r="CB81" s="441"/>
      <c r="CC81" s="441"/>
      <c r="CD81" s="441"/>
      <c r="CE81" s="441"/>
      <c r="CF81" s="440">
        <f>(CF79-CA79)/(CF77-CA77)</f>
        <v>-4.5330850341788489</v>
      </c>
      <c r="CG81" s="441"/>
      <c r="CH81" s="441"/>
      <c r="CI81" s="441"/>
      <c r="CJ81" s="441"/>
      <c r="CK81" s="440">
        <f>(CK79-CF79)/(CK77-CF77)</f>
        <v>0.19059194428814258</v>
      </c>
      <c r="CL81" s="441"/>
      <c r="CM81" s="441"/>
      <c r="CN81" s="441"/>
      <c r="CO81" s="441"/>
      <c r="CP81" s="440">
        <f>(CP79-CK79)/(CP77-CK77)</f>
        <v>0.23621864678945223</v>
      </c>
      <c r="CQ81" s="817"/>
      <c r="CR81" s="441"/>
      <c r="CS81" s="441"/>
      <c r="CT81" s="441"/>
      <c r="CU81" s="440">
        <f>(CU79-CP79)/(CU77-CP77)</f>
        <v>0.16381200360478748</v>
      </c>
      <c r="CV81" s="441"/>
      <c r="CW81" s="441"/>
      <c r="CX81" s="441"/>
      <c r="CY81" s="441"/>
      <c r="CZ81" s="440">
        <f>(CZ79-CU79)/(CZ77-CU77)</f>
        <v>9.8151826761323363E-2</v>
      </c>
      <c r="DA81" s="441"/>
      <c r="DB81" s="441"/>
      <c r="DC81" s="441"/>
      <c r="DD81" s="441"/>
      <c r="DE81" s="440">
        <f>(DE79-CZ79)/(DE77-CZ77)</f>
        <v>2.1238497496595191E-2</v>
      </c>
      <c r="DF81" s="817"/>
      <c r="DG81" s="817"/>
      <c r="DH81" s="817"/>
      <c r="DI81" s="817"/>
      <c r="DJ81" s="1083">
        <f>(DJ79-DE79)/(DJ77-DE77)</f>
        <v>0.11736874719103564</v>
      </c>
      <c r="DK81" s="817"/>
      <c r="DL81" s="817"/>
      <c r="DM81" s="441"/>
      <c r="DN81" s="817"/>
      <c r="DO81" s="1083">
        <f>(DO79-DJ79)/(DO77-DJ77)</f>
        <v>9.9502115563942659E-2</v>
      </c>
      <c r="DP81" s="441"/>
      <c r="DQ81" s="441"/>
      <c r="DR81" s="441"/>
      <c r="DS81" s="441"/>
      <c r="DT81" s="440">
        <f>(DT79-DO79)/(DT77-DO77)</f>
        <v>0.370901207295664</v>
      </c>
      <c r="DU81" s="441"/>
      <c r="DV81" s="441"/>
      <c r="DW81" s="441"/>
      <c r="DX81" s="441"/>
      <c r="DY81" s="440">
        <f>(DY79-DT79)/(DY77-DT77)</f>
        <v>0.10093792582366537</v>
      </c>
      <c r="DZ81" s="440">
        <f>(DZ79-DY79)/(DZ77-DY77)</f>
        <v>0.204814124674395</v>
      </c>
      <c r="EA81" s="440">
        <f t="shared" ref="EA81:EB81" si="225">(EA79-DZ79)/(EA77-DZ77)</f>
        <v>0.31567290486281296</v>
      </c>
      <c r="EB81" s="440">
        <f t="shared" si="225"/>
        <v>0.60902662337662361</v>
      </c>
    </row>
    <row r="82" spans="1:132" s="427" customFormat="1">
      <c r="A82" s="68"/>
      <c r="C82" s="413"/>
      <c r="D82" s="413"/>
      <c r="E82" s="413"/>
      <c r="F82" s="413"/>
      <c r="G82" s="413"/>
      <c r="H82" s="413"/>
      <c r="I82" s="457"/>
      <c r="J82" s="503"/>
      <c r="K82" s="266"/>
      <c r="L82" s="266"/>
      <c r="M82" s="266"/>
      <c r="N82" s="413"/>
      <c r="O82" s="266"/>
      <c r="P82" s="266"/>
      <c r="Q82" s="266"/>
      <c r="R82" s="266"/>
      <c r="S82" s="413"/>
      <c r="T82" s="266"/>
      <c r="U82" s="266"/>
      <c r="V82" s="266"/>
      <c r="W82" s="266"/>
      <c r="X82" s="413"/>
      <c r="Y82" s="266"/>
      <c r="Z82" s="266"/>
      <c r="AA82" s="266"/>
      <c r="AB82" s="266"/>
      <c r="AC82" s="413"/>
      <c r="AD82" s="266"/>
      <c r="AE82" s="266"/>
      <c r="AF82" s="266"/>
      <c r="AG82" s="266"/>
      <c r="AH82" s="413"/>
      <c r="AI82" s="266"/>
      <c r="AJ82" s="266"/>
      <c r="AK82" s="266"/>
      <c r="AL82" s="266"/>
      <c r="AM82" s="413"/>
      <c r="AN82" s="266"/>
      <c r="AO82" s="266"/>
      <c r="AP82" s="266"/>
      <c r="AQ82" s="266"/>
      <c r="AR82" s="413"/>
      <c r="AS82" s="266"/>
      <c r="AT82" s="266"/>
      <c r="AU82" s="266"/>
      <c r="AV82" s="266"/>
      <c r="AW82" s="438"/>
      <c r="AX82" s="266"/>
      <c r="AY82" s="266"/>
      <c r="AZ82" s="266"/>
      <c r="BA82" s="266"/>
      <c r="BB82" s="438"/>
      <c r="BC82" s="266"/>
      <c r="BD82" s="266"/>
      <c r="BE82" s="266"/>
      <c r="BF82" s="266"/>
      <c r="BG82" s="438"/>
      <c r="BH82" s="266"/>
      <c r="BI82" s="266"/>
      <c r="BJ82" s="266"/>
      <c r="BK82" s="266"/>
      <c r="BL82" s="438"/>
      <c r="BM82" s="266"/>
      <c r="BN82" s="266"/>
      <c r="BO82" s="266"/>
      <c r="BP82" s="266"/>
      <c r="BQ82" s="413"/>
      <c r="BR82" s="266"/>
      <c r="BS82" s="266"/>
      <c r="BT82" s="266"/>
      <c r="BU82" s="266"/>
      <c r="BV82" s="413"/>
      <c r="BW82" s="266"/>
      <c r="BX82" s="266"/>
      <c r="BY82" s="266"/>
      <c r="BZ82" s="266"/>
      <c r="CA82" s="413"/>
      <c r="CB82" s="266"/>
      <c r="CC82" s="266"/>
      <c r="CD82" s="266"/>
      <c r="CE82" s="266"/>
      <c r="CF82" s="413"/>
      <c r="CG82" s="266"/>
      <c r="CH82" s="266"/>
      <c r="CI82" s="266"/>
      <c r="CJ82" s="266"/>
      <c r="CK82" s="413"/>
      <c r="CL82" s="266"/>
      <c r="CM82" s="266"/>
      <c r="CN82" s="266"/>
      <c r="CO82" s="266"/>
      <c r="CP82" s="413"/>
      <c r="CQ82" s="486"/>
      <c r="CR82" s="266"/>
      <c r="CS82" s="266"/>
      <c r="CT82" s="266"/>
      <c r="CU82" s="413"/>
      <c r="CV82" s="266"/>
      <c r="CW82" s="266"/>
      <c r="CX82" s="266"/>
      <c r="CY82" s="266"/>
      <c r="CZ82" s="413"/>
      <c r="DA82" s="266"/>
      <c r="DB82" s="266"/>
      <c r="DC82" s="266"/>
      <c r="DD82" s="266"/>
      <c r="DE82" s="413"/>
      <c r="DF82" s="486"/>
      <c r="DG82" s="486"/>
      <c r="DH82" s="486"/>
      <c r="DI82" s="486"/>
      <c r="DJ82" s="438"/>
      <c r="DK82" s="486"/>
      <c r="DL82" s="486"/>
      <c r="DM82" s="266"/>
      <c r="DN82" s="486"/>
      <c r="DO82" s="438"/>
      <c r="DP82" s="266"/>
      <c r="DQ82" s="266"/>
      <c r="DR82" s="266"/>
      <c r="DS82" s="266"/>
      <c r="DT82" s="413"/>
      <c r="DU82" s="266"/>
      <c r="DV82" s="266"/>
      <c r="DW82" s="266"/>
      <c r="DX82" s="266"/>
      <c r="DY82" s="413"/>
      <c r="DZ82" s="413"/>
      <c r="EA82" s="413"/>
      <c r="EB82" s="413"/>
    </row>
    <row r="83" spans="1:132" s="424" customFormat="1">
      <c r="A83" s="68"/>
      <c r="B83" s="98" t="s">
        <v>368</v>
      </c>
      <c r="C83" s="67">
        <f>Data!C294</f>
        <v>1208</v>
      </c>
      <c r="D83" s="67">
        <f>Data!D294</f>
        <v>1021</v>
      </c>
      <c r="E83" s="67">
        <f>Data!E294</f>
        <v>585</v>
      </c>
      <c r="F83" s="67">
        <f>Data!F294</f>
        <v>585</v>
      </c>
      <c r="G83" s="67">
        <f>Data!G294</f>
        <v>858</v>
      </c>
      <c r="H83" s="67">
        <f>Data!H294</f>
        <v>768</v>
      </c>
      <c r="I83" s="454">
        <f>Data!I294</f>
        <v>676</v>
      </c>
      <c r="J83" s="265">
        <f>Data!J294</f>
        <v>225</v>
      </c>
      <c r="K83" s="98">
        <f>Data!K294</f>
        <v>251</v>
      </c>
      <c r="L83" s="98">
        <f>Data!L294</f>
        <v>220</v>
      </c>
      <c r="M83" s="455">
        <f>Data!M294</f>
        <v>245</v>
      </c>
      <c r="N83" s="67">
        <f>Data!N294</f>
        <v>941</v>
      </c>
      <c r="O83" s="454">
        <f>Data!O294</f>
        <v>291</v>
      </c>
      <c r="P83" s="98">
        <f>Data!P294</f>
        <v>343</v>
      </c>
      <c r="Q83" s="98">
        <f>Data!Q294</f>
        <v>287</v>
      </c>
      <c r="R83" s="455">
        <f>Data!R294</f>
        <v>381</v>
      </c>
      <c r="S83" s="67">
        <f>Data!S294</f>
        <v>1302</v>
      </c>
      <c r="T83" s="454">
        <f>Data!T294</f>
        <v>530</v>
      </c>
      <c r="U83" s="98">
        <f>Data!U294</f>
        <v>526</v>
      </c>
      <c r="V83" s="98">
        <f>Data!V294</f>
        <v>612</v>
      </c>
      <c r="W83" s="455">
        <f>Data!W294</f>
        <v>722</v>
      </c>
      <c r="X83" s="67">
        <f>Data!X294</f>
        <v>2390</v>
      </c>
      <c r="Y83" s="454">
        <f>Data!Y294</f>
        <v>788</v>
      </c>
      <c r="Z83" s="98">
        <f>Data!Z294</f>
        <v>769</v>
      </c>
      <c r="AA83" s="98">
        <f>Data!AA294</f>
        <v>635</v>
      </c>
      <c r="AB83" s="455">
        <f>Data!AB294</f>
        <v>770</v>
      </c>
      <c r="AC83" s="67">
        <f>Data!AC294</f>
        <v>2962</v>
      </c>
      <c r="AD83" s="454">
        <f>Data!AD294</f>
        <v>633</v>
      </c>
      <c r="AE83" s="98">
        <f>Data!AE294</f>
        <v>770</v>
      </c>
      <c r="AF83" s="98">
        <f>Data!AF294</f>
        <v>705</v>
      </c>
      <c r="AG83" s="455">
        <f>Data!AG294</f>
        <v>730</v>
      </c>
      <c r="AH83" s="67">
        <f>Data!AH294</f>
        <v>2838</v>
      </c>
      <c r="AI83" s="454">
        <f>Data!AI294</f>
        <v>711</v>
      </c>
      <c r="AJ83" s="98">
        <f>Data!AJ294</f>
        <v>659</v>
      </c>
      <c r="AK83" s="98">
        <f>Data!AK294</f>
        <v>3272</v>
      </c>
      <c r="AL83" s="455">
        <f>Data!AL294</f>
        <v>741</v>
      </c>
      <c r="AM83" s="67">
        <f>Data!AM294</f>
        <v>5383</v>
      </c>
      <c r="AN83" s="454">
        <f>Data!AN294</f>
        <v>698</v>
      </c>
      <c r="AO83" s="98">
        <f>Data!AO294</f>
        <v>693</v>
      </c>
      <c r="AP83" s="98">
        <f>Data!AP294</f>
        <v>711</v>
      </c>
      <c r="AQ83" s="455">
        <f>Data!AQ294</f>
        <v>873</v>
      </c>
      <c r="AR83" s="67">
        <f>Data!AR294</f>
        <v>2975</v>
      </c>
      <c r="AS83" s="454">
        <f>Data!AS294</f>
        <v>787</v>
      </c>
      <c r="AT83" s="98">
        <f>Data!AT294</f>
        <v>771</v>
      </c>
      <c r="AU83" s="437">
        <f>Data!AU294</f>
        <v>633</v>
      </c>
      <c r="AV83" s="570">
        <f>Data!AV294</f>
        <v>524</v>
      </c>
      <c r="AW83" s="67">
        <f>Data!AW294</f>
        <v>2715</v>
      </c>
      <c r="AX83" s="569">
        <f>Data!AX294</f>
        <v>544</v>
      </c>
      <c r="AY83" s="437">
        <f>Data!AY294</f>
        <v>560</v>
      </c>
      <c r="AZ83" s="437">
        <f>Data!AZ294</f>
        <v>534</v>
      </c>
      <c r="BA83" s="570">
        <f>Data!BA294</f>
        <v>411</v>
      </c>
      <c r="BB83" s="67">
        <f>Data!BB294</f>
        <v>2049</v>
      </c>
      <c r="BC83" s="569">
        <f>Data!BC294</f>
        <v>419</v>
      </c>
      <c r="BD83" s="437">
        <f>Data!BD294</f>
        <v>446</v>
      </c>
      <c r="BE83" s="437">
        <f>Data!BE294</f>
        <v>432</v>
      </c>
      <c r="BF83" s="570">
        <f>Data!BF294</f>
        <v>510</v>
      </c>
      <c r="BG83" s="67">
        <f>Data!BG294</f>
        <v>1807</v>
      </c>
      <c r="BH83" s="569">
        <f>Data!BH294</f>
        <v>529</v>
      </c>
      <c r="BI83" s="437">
        <f>Data!BI294</f>
        <v>441</v>
      </c>
      <c r="BJ83" s="437">
        <f>Data!BJ294</f>
        <v>452</v>
      </c>
      <c r="BK83" s="570">
        <f>Data!BK294</f>
        <v>459</v>
      </c>
      <c r="BL83" s="67">
        <f>Data!BL294</f>
        <v>1881</v>
      </c>
      <c r="BM83" s="569">
        <f>Data!BM294</f>
        <v>543</v>
      </c>
      <c r="BN83" s="437">
        <f>Data!BN294</f>
        <v>554</v>
      </c>
      <c r="BO83" s="437">
        <f>Data!BO294</f>
        <v>616</v>
      </c>
      <c r="BP83" s="437">
        <f>Data!BP294</f>
        <v>627</v>
      </c>
      <c r="BQ83" s="120">
        <f>SUM(BM83:BP83)</f>
        <v>2340</v>
      </c>
      <c r="BR83" s="437">
        <f>Data!BR294</f>
        <v>659</v>
      </c>
      <c r="BS83" s="437">
        <f>Data!BS294-1235</f>
        <v>625</v>
      </c>
      <c r="BT83" s="437">
        <f>Data!BT294</f>
        <v>633</v>
      </c>
      <c r="BU83" s="437">
        <f>Data!BU294</f>
        <v>554</v>
      </c>
      <c r="BV83" s="120">
        <f>SUM(BR83:BU83)</f>
        <v>2471</v>
      </c>
      <c r="BW83" s="437">
        <f>Data!BW294</f>
        <v>625</v>
      </c>
      <c r="BX83" s="437">
        <f>Data!BX294</f>
        <v>592</v>
      </c>
      <c r="BY83" s="437">
        <f>Data!BY294</f>
        <v>538</v>
      </c>
      <c r="BZ83" s="437">
        <f>Data!BZ294</f>
        <v>492</v>
      </c>
      <c r="CA83" s="120">
        <f>SUM(BW83:BZ83)</f>
        <v>2247</v>
      </c>
      <c r="CB83" s="437">
        <f>Data!CB294</f>
        <v>549</v>
      </c>
      <c r="CC83" s="437">
        <f>Data!CC294</f>
        <v>550</v>
      </c>
      <c r="CD83" s="437">
        <f>Data!CD294</f>
        <v>517</v>
      </c>
      <c r="CE83" s="437">
        <f>Data!CE294</f>
        <v>572</v>
      </c>
      <c r="CF83" s="120">
        <f>SUM(CB83:CE83)</f>
        <v>2188</v>
      </c>
      <c r="CG83" s="437">
        <v>564</v>
      </c>
      <c r="CH83" s="437">
        <v>498</v>
      </c>
      <c r="CI83" s="437">
        <v>467</v>
      </c>
      <c r="CJ83" s="437">
        <v>427</v>
      </c>
      <c r="CK83" s="120">
        <f>SUM(CG83:CJ83)</f>
        <v>1956</v>
      </c>
      <c r="CL83" s="437">
        <v>425</v>
      </c>
      <c r="CM83" s="437">
        <v>361</v>
      </c>
      <c r="CN83" s="437">
        <v>321</v>
      </c>
      <c r="CO83" s="437">
        <v>278</v>
      </c>
      <c r="CP83" s="120">
        <f>SUM(CL83:CO83)</f>
        <v>1385</v>
      </c>
      <c r="CQ83" s="437">
        <f>Data!CQ294</f>
        <v>269</v>
      </c>
      <c r="CR83" s="437">
        <f>Data!CR294</f>
        <v>255</v>
      </c>
      <c r="CS83" s="437">
        <f>Data!CS294</f>
        <v>293</v>
      </c>
      <c r="CT83" s="437">
        <f>Data!CT294</f>
        <v>323</v>
      </c>
      <c r="CU83" s="120">
        <f>SUM(CQ83:CT83)</f>
        <v>1140</v>
      </c>
      <c r="CV83" s="437">
        <f>Data!CV294</f>
        <v>0</v>
      </c>
      <c r="CW83" s="437">
        <f>Data!CW294</f>
        <v>0</v>
      </c>
      <c r="CX83" s="437">
        <f>Data!CX294</f>
        <v>0</v>
      </c>
      <c r="CY83" s="437">
        <v>408</v>
      </c>
      <c r="CZ83" s="120">
        <f>SUM(CV83:CY83)</f>
        <v>408</v>
      </c>
      <c r="DA83" s="437"/>
      <c r="DB83" s="437"/>
      <c r="DC83" s="437"/>
      <c r="DD83" s="437"/>
      <c r="DE83" s="599">
        <v>1600</v>
      </c>
      <c r="DF83" s="437"/>
      <c r="DG83" s="437"/>
      <c r="DH83" s="437"/>
      <c r="DI83" s="437"/>
      <c r="DJ83" s="120">
        <v>1597</v>
      </c>
      <c r="DK83" s="437"/>
      <c r="DL83" s="437"/>
      <c r="DM83" s="437"/>
      <c r="DN83" s="437"/>
      <c r="DO83" s="120">
        <v>1636</v>
      </c>
      <c r="DP83" s="437"/>
      <c r="DQ83" s="437"/>
      <c r="DR83" s="437"/>
      <c r="DS83" s="437"/>
      <c r="DT83" s="599">
        <v>1800</v>
      </c>
      <c r="DU83" s="437"/>
      <c r="DV83" s="437"/>
      <c r="DW83" s="437"/>
      <c r="DX83" s="437"/>
      <c r="DY83" s="599">
        <v>2000</v>
      </c>
      <c r="DZ83" s="599">
        <v>2100</v>
      </c>
      <c r="EA83" s="599">
        <v>2200</v>
      </c>
      <c r="EB83" s="599">
        <v>2300</v>
      </c>
    </row>
    <row r="84" spans="1:132" s="424" customFormat="1">
      <c r="A84" s="68"/>
      <c r="B84" s="98" t="s">
        <v>377</v>
      </c>
      <c r="C84" s="67">
        <f t="shared" ref="C84:AH84" si="226">C79-C83</f>
        <v>1331.5949999999998</v>
      </c>
      <c r="D84" s="67">
        <f t="shared" si="226"/>
        <v>1418.69</v>
      </c>
      <c r="E84" s="67">
        <f t="shared" si="226"/>
        <v>1941.665</v>
      </c>
      <c r="F84" s="67">
        <f t="shared" si="226"/>
        <v>2713.96</v>
      </c>
      <c r="G84" s="67">
        <f t="shared" si="226"/>
        <v>2626.11</v>
      </c>
      <c r="H84" s="67">
        <f t="shared" si="226"/>
        <v>2827.23</v>
      </c>
      <c r="I84" s="454">
        <f t="shared" si="226"/>
        <v>1308.575</v>
      </c>
      <c r="J84" s="265">
        <f t="shared" si="226"/>
        <v>328.75300000000004</v>
      </c>
      <c r="K84" s="98">
        <f t="shared" si="226"/>
        <v>330.04599999999994</v>
      </c>
      <c r="L84" s="98">
        <f t="shared" si="226"/>
        <v>260.80799999999999</v>
      </c>
      <c r="M84" s="455">
        <f t="shared" si="226"/>
        <v>319.20399999999995</v>
      </c>
      <c r="N84" s="67">
        <f t="shared" si="226"/>
        <v>1238.8109999999997</v>
      </c>
      <c r="O84" s="454">
        <f t="shared" si="226"/>
        <v>442.39599999999984</v>
      </c>
      <c r="P84" s="98">
        <f t="shared" si="226"/>
        <v>636.48599999999999</v>
      </c>
      <c r="Q84" s="98">
        <f t="shared" si="226"/>
        <v>430.7879999999999</v>
      </c>
      <c r="R84" s="455">
        <f t="shared" si="226"/>
        <v>467.29799999999989</v>
      </c>
      <c r="S84" s="67">
        <f t="shared" si="226"/>
        <v>1931.348</v>
      </c>
      <c r="T84" s="454">
        <f t="shared" si="226"/>
        <v>688.15000000000009</v>
      </c>
      <c r="U84" s="98">
        <f t="shared" si="226"/>
        <v>702.55599999999981</v>
      </c>
      <c r="V84" s="98">
        <f t="shared" si="226"/>
        <v>533.71</v>
      </c>
      <c r="W84" s="455">
        <f t="shared" si="226"/>
        <v>586.94000000000005</v>
      </c>
      <c r="X84" s="67">
        <f t="shared" si="226"/>
        <v>2740.6509999999989</v>
      </c>
      <c r="Y84" s="454">
        <f t="shared" si="226"/>
        <v>607</v>
      </c>
      <c r="Z84" s="98">
        <f t="shared" si="226"/>
        <v>788.14499999999998</v>
      </c>
      <c r="AA84" s="98">
        <f t="shared" si="226"/>
        <v>879.18999999999983</v>
      </c>
      <c r="AB84" s="455">
        <f t="shared" si="226"/>
        <v>855.56</v>
      </c>
      <c r="AC84" s="67">
        <f t="shared" si="226"/>
        <v>3582.079999999999</v>
      </c>
      <c r="AD84" s="454">
        <f t="shared" si="226"/>
        <v>821.27750000000015</v>
      </c>
      <c r="AE84" s="98">
        <f t="shared" si="226"/>
        <v>706.33250000000021</v>
      </c>
      <c r="AF84" s="98">
        <f t="shared" si="226"/>
        <v>323.67750000000001</v>
      </c>
      <c r="AG84" s="455">
        <f t="shared" si="226"/>
        <v>30.220500000000015</v>
      </c>
      <c r="AH84" s="67">
        <f t="shared" si="226"/>
        <v>1881.5080000000007</v>
      </c>
      <c r="AI84" s="454">
        <f t="shared" ref="AI84:BQ84" si="227">AI79-AI83</f>
        <v>611.00000000000023</v>
      </c>
      <c r="AJ84" s="98">
        <f t="shared" si="227"/>
        <v>627.74000000000024</v>
      </c>
      <c r="AK84" s="98">
        <f t="shared" si="227"/>
        <v>-2109.04</v>
      </c>
      <c r="AL84" s="455">
        <f t="shared" si="227"/>
        <v>614.18000000000029</v>
      </c>
      <c r="AM84" s="67">
        <f t="shared" si="227"/>
        <v>-248.88000000000011</v>
      </c>
      <c r="AN84" s="454">
        <f t="shared" si="227"/>
        <v>689.5</v>
      </c>
      <c r="AO84" s="98">
        <f t="shared" si="227"/>
        <v>692.62000000000012</v>
      </c>
      <c r="AP84" s="98">
        <f t="shared" si="227"/>
        <v>909.74</v>
      </c>
      <c r="AQ84" s="455">
        <f t="shared" si="227"/>
        <v>668.5300000000002</v>
      </c>
      <c r="AR84" s="67">
        <f t="shared" si="227"/>
        <v>2960.3899999999994</v>
      </c>
      <c r="AS84" s="454">
        <f t="shared" si="227"/>
        <v>499.87999999999988</v>
      </c>
      <c r="AT84" s="98">
        <f t="shared" si="227"/>
        <v>785.51999999999975</v>
      </c>
      <c r="AU84" s="98">
        <f t="shared" si="227"/>
        <v>1062.3400000000001</v>
      </c>
      <c r="AV84" s="455">
        <f t="shared" si="227"/>
        <v>1124.07</v>
      </c>
      <c r="AW84" s="67">
        <f t="shared" si="227"/>
        <v>3471.8099999999995</v>
      </c>
      <c r="AX84" s="454"/>
      <c r="AY84" s="98"/>
      <c r="AZ84" s="98"/>
      <c r="BA84" s="455"/>
      <c r="BB84" s="67">
        <f t="shared" si="227"/>
        <v>4674.3499999999995</v>
      </c>
      <c r="BC84" s="454"/>
      <c r="BD84" s="98"/>
      <c r="BE84" s="98"/>
      <c r="BF84" s="455"/>
      <c r="BG84" s="67">
        <f t="shared" si="227"/>
        <v>5763.5950000000003</v>
      </c>
      <c r="BH84" s="454"/>
      <c r="BI84" s="98"/>
      <c r="BJ84" s="98"/>
      <c r="BK84" s="455"/>
      <c r="BL84" s="120">
        <f t="shared" si="227"/>
        <v>6602.1785</v>
      </c>
      <c r="BM84" s="454"/>
      <c r="BN84" s="98"/>
      <c r="BO84" s="98"/>
      <c r="BP84" s="455"/>
      <c r="BQ84" s="67">
        <f t="shared" si="227"/>
        <v>6459.4274129000023</v>
      </c>
      <c r="BR84" s="454"/>
      <c r="BS84" s="98"/>
      <c r="BT84" s="98"/>
      <c r="BU84" s="455"/>
      <c r="BV84" s="67">
        <f t="shared" ref="BV84" si="228">BV79-BV83</f>
        <v>5275.327365000001</v>
      </c>
      <c r="BW84" s="454"/>
      <c r="BX84" s="98"/>
      <c r="BY84" s="98"/>
      <c r="BZ84" s="98"/>
      <c r="CA84" s="67">
        <f>CA79-CA83</f>
        <v>5504.392967499999</v>
      </c>
      <c r="CB84" s="454"/>
      <c r="CC84" s="98"/>
      <c r="CD84" s="98"/>
      <c r="CE84" s="455"/>
      <c r="CF84" s="67">
        <f>CF79-CF83</f>
        <v>7897.6597750000001</v>
      </c>
      <c r="CG84" s="98"/>
      <c r="CH84" s="98"/>
      <c r="CI84" s="98"/>
      <c r="CJ84" s="98"/>
      <c r="CK84" s="67">
        <f>CK79-CK83</f>
        <v>3318.3941180000002</v>
      </c>
      <c r="CL84" s="98"/>
      <c r="CM84" s="98"/>
      <c r="CN84" s="98"/>
      <c r="CO84" s="98"/>
      <c r="CP84" s="67">
        <f>CP79-CP83</f>
        <v>87.791080720000082</v>
      </c>
      <c r="CQ84" s="98"/>
      <c r="CR84" s="98"/>
      <c r="CS84" s="98"/>
      <c r="CT84" s="98"/>
      <c r="CU84" s="67">
        <f>CU79-CU83</f>
        <v>878.38415463199999</v>
      </c>
      <c r="CV84" s="98"/>
      <c r="CW84" s="98"/>
      <c r="CX84" s="98"/>
      <c r="CY84" s="98"/>
      <c r="CZ84" s="67">
        <f>CZ79-CZ83</f>
        <v>2236.0540712941379</v>
      </c>
      <c r="DA84" s="98"/>
      <c r="DB84" s="98"/>
      <c r="DC84" s="98"/>
      <c r="DD84" s="98"/>
      <c r="DE84" s="67">
        <f>DE79-DE83</f>
        <v>1214.7067194004103</v>
      </c>
      <c r="DF84" s="437"/>
      <c r="DG84" s="437"/>
      <c r="DH84" s="437"/>
      <c r="DI84" s="437"/>
      <c r="DJ84" s="120">
        <f t="shared" ref="DJ84" si="229">DJ79-DJ83</f>
        <v>-78.113710687148341</v>
      </c>
      <c r="DK84" s="437"/>
      <c r="DL84" s="437"/>
      <c r="DM84" s="98"/>
      <c r="DN84" s="437"/>
      <c r="DO84" s="120">
        <f t="shared" ref="DO84" si="230">DO79-DO83</f>
        <v>1736.9270926147055</v>
      </c>
      <c r="DP84" s="98"/>
      <c r="DQ84" s="98"/>
      <c r="DR84" s="98"/>
      <c r="DS84" s="98"/>
      <c r="DT84" s="67">
        <f t="shared" ref="DT84" si="231">DT79-DT83</f>
        <v>2805.6864375146206</v>
      </c>
      <c r="DU84" s="98"/>
      <c r="DV84" s="98"/>
      <c r="DW84" s="98"/>
      <c r="DX84" s="98"/>
      <c r="DY84" s="67">
        <f t="shared" ref="DY84" si="232">DY79-DY83</f>
        <v>4042.4119474055615</v>
      </c>
      <c r="DZ84" s="67">
        <f t="shared" ref="DZ84:EB84" si="233">DZ79-DZ83</f>
        <v>5833.8767780866756</v>
      </c>
      <c r="EA84" s="67">
        <f t="shared" si="233"/>
        <v>9040.4159999999993</v>
      </c>
      <c r="EB84" s="67">
        <f t="shared" si="233"/>
        <v>12692.02</v>
      </c>
    </row>
    <row r="85" spans="1:132" s="427" customFormat="1">
      <c r="A85" s="407"/>
      <c r="B85" s="427" t="s">
        <v>376</v>
      </c>
      <c r="C85" s="426">
        <f t="shared" ref="C85:AH85" si="234">C84/C77</f>
        <v>4.9669700473721504E-2</v>
      </c>
      <c r="D85" s="426">
        <f t="shared" si="234"/>
        <v>3.9362133066977417E-2</v>
      </c>
      <c r="E85" s="426">
        <f t="shared" si="234"/>
        <v>5.1580352517698935E-2</v>
      </c>
      <c r="F85" s="426">
        <f t="shared" si="234"/>
        <v>8.8101282259373484E-2</v>
      </c>
      <c r="G85" s="426">
        <f t="shared" si="234"/>
        <v>7.5277980822978027E-2</v>
      </c>
      <c r="H85" s="426">
        <f t="shared" si="234"/>
        <v>9.9595941804347055E-2</v>
      </c>
      <c r="I85" s="452">
        <f t="shared" si="234"/>
        <v>5.8397670474830417E-2</v>
      </c>
      <c r="J85" s="498">
        <f t="shared" si="234"/>
        <v>6.1679737335834907E-2</v>
      </c>
      <c r="K85" s="427">
        <f t="shared" si="234"/>
        <v>5.8198906718391806E-2</v>
      </c>
      <c r="L85" s="427">
        <f t="shared" si="234"/>
        <v>5.6232858990944372E-2</v>
      </c>
      <c r="M85" s="453">
        <f t="shared" si="234"/>
        <v>5.913375324194145E-2</v>
      </c>
      <c r="N85" s="426">
        <f t="shared" si="234"/>
        <v>5.8887246280363154E-2</v>
      </c>
      <c r="O85" s="452">
        <f t="shared" si="234"/>
        <v>8.7759571513588541E-2</v>
      </c>
      <c r="P85" s="427">
        <f t="shared" si="234"/>
        <v>9.3518366147516893E-2</v>
      </c>
      <c r="Q85" s="427">
        <f t="shared" si="234"/>
        <v>8.7647609359104761E-2</v>
      </c>
      <c r="R85" s="453">
        <f t="shared" si="234"/>
        <v>7.9350993377483428E-2</v>
      </c>
      <c r="S85" s="426">
        <f t="shared" si="234"/>
        <v>8.5265462893470478E-2</v>
      </c>
      <c r="T85" s="452">
        <f t="shared" si="234"/>
        <v>9.7499291584018155E-2</v>
      </c>
      <c r="U85" s="427">
        <f t="shared" si="234"/>
        <v>9.843028468953148E-2</v>
      </c>
      <c r="V85" s="427">
        <f t="shared" si="234"/>
        <v>8.0341713081439114E-2</v>
      </c>
      <c r="W85" s="453">
        <f t="shared" si="234"/>
        <v>7.6965643849986901E-2</v>
      </c>
      <c r="X85" s="426">
        <f t="shared" si="234"/>
        <v>9.6282786338118181E-2</v>
      </c>
      <c r="Y85" s="452">
        <f t="shared" si="234"/>
        <v>7.9242819843342041E-2</v>
      </c>
      <c r="Z85" s="427">
        <f t="shared" si="234"/>
        <v>9.2451026392961877E-2</v>
      </c>
      <c r="AA85" s="427">
        <f t="shared" si="234"/>
        <v>0.10535530257639303</v>
      </c>
      <c r="AB85" s="453">
        <f t="shared" si="234"/>
        <v>9.6607949412827451E-2</v>
      </c>
      <c r="AC85" s="426">
        <f t="shared" si="234"/>
        <v>0.10729287725393875</v>
      </c>
      <c r="AD85" s="452">
        <f t="shared" si="234"/>
        <v>9.545853431742897E-2</v>
      </c>
      <c r="AE85" s="427">
        <f t="shared" si="234"/>
        <v>7.9582277054813841E-2</v>
      </c>
      <c r="AF85" s="427">
        <f t="shared" si="234"/>
        <v>5.1627322753010609E-2</v>
      </c>
      <c r="AG85" s="453">
        <f t="shared" si="234"/>
        <v>6.6943933721728757E-3</v>
      </c>
      <c r="AH85" s="426">
        <f t="shared" si="234"/>
        <v>6.6571889550929159E-2</v>
      </c>
      <c r="AI85" s="452">
        <f t="shared" ref="AI85:BQ85" si="235">AI84/AI77</f>
        <v>6.8876113177770287E-2</v>
      </c>
      <c r="AJ85" s="427">
        <f t="shared" si="235"/>
        <v>7.3137597576604943E-2</v>
      </c>
      <c r="AK85" s="427">
        <f t="shared" si="235"/>
        <v>-0.27429314605280269</v>
      </c>
      <c r="AL85" s="453">
        <f t="shared" si="235"/>
        <v>6.8947013920071881E-2</v>
      </c>
      <c r="AM85" s="426">
        <f t="shared" si="235"/>
        <v>-7.3090364453320053E-3</v>
      </c>
      <c r="AN85" s="452">
        <f t="shared" si="235"/>
        <v>9.2327262988752004E-2</v>
      </c>
      <c r="AO85" s="427">
        <f t="shared" si="235"/>
        <v>9.329471982758622E-2</v>
      </c>
      <c r="AP85" s="427">
        <f t="shared" si="235"/>
        <v>0.10711644884022135</v>
      </c>
      <c r="AQ85" s="453">
        <f t="shared" si="235"/>
        <v>8.1807391091532081E-2</v>
      </c>
      <c r="AR85" s="426">
        <f t="shared" si="235"/>
        <v>9.3810881896251211E-2</v>
      </c>
      <c r="AS85" s="452">
        <f t="shared" si="235"/>
        <v>7.0524830699774249E-2</v>
      </c>
      <c r="AT85" s="427">
        <f t="shared" si="235"/>
        <v>9.265392781316345E-2</v>
      </c>
      <c r="AU85" s="427">
        <f t="shared" si="235"/>
        <v>0.11399721000107309</v>
      </c>
      <c r="AV85" s="453">
        <f t="shared" si="235"/>
        <v>0.10415770941438102</v>
      </c>
      <c r="AW85" s="426">
        <f t="shared" si="235"/>
        <v>9.7312274014070679E-2</v>
      </c>
      <c r="AX85" s="452"/>
      <c r="BA85" s="453"/>
      <c r="BB85" s="426">
        <f t="shared" si="235"/>
        <v>9.5909678478363444E-2</v>
      </c>
      <c r="BC85" s="452"/>
      <c r="BF85" s="453"/>
      <c r="BG85" s="426">
        <f t="shared" si="235"/>
        <v>0.10870789960599105</v>
      </c>
      <c r="BH85" s="452"/>
      <c r="BK85" s="453"/>
      <c r="BL85" s="136">
        <f t="shared" si="235"/>
        <v>0.10970086138270192</v>
      </c>
      <c r="BM85" s="452"/>
      <c r="BP85" s="453"/>
      <c r="BQ85" s="426">
        <f t="shared" si="235"/>
        <v>9.7934127923886921E-2</v>
      </c>
      <c r="BR85" s="452"/>
      <c r="BU85" s="453"/>
      <c r="BV85" s="426">
        <f t="shared" ref="BV85" si="236">BV84/BV77</f>
        <v>9.0936164016250293E-2</v>
      </c>
      <c r="BW85" s="452"/>
      <c r="CA85" s="426">
        <f>CA84/CA77</f>
        <v>9.4881226243680131E-2</v>
      </c>
      <c r="CB85" s="452"/>
      <c r="CE85" s="453"/>
      <c r="CF85" s="426">
        <f>CF84/CF77</f>
        <v>0.13735402071738478</v>
      </c>
      <c r="CK85" s="426">
        <f>CK84/CK77</f>
        <v>0.10288073714650074</v>
      </c>
      <c r="CP85" s="426">
        <f>CP84/CP77</f>
        <v>5.432216726179692E-3</v>
      </c>
      <c r="CU85" s="426">
        <f>CU84/CU77</f>
        <v>4.506430551328422E-2</v>
      </c>
      <c r="CZ85" s="426">
        <f>CZ84/CZ77</f>
        <v>8.6446597842397541E-2</v>
      </c>
      <c r="DE85" s="426">
        <f>DE84/DE77</f>
        <v>3.5830611508092934E-2</v>
      </c>
      <c r="DF85" s="295"/>
      <c r="DG85" s="295"/>
      <c r="DH85" s="295"/>
      <c r="DI85" s="295"/>
      <c r="DJ85" s="136">
        <f t="shared" ref="DJ85" si="237">DJ84/DJ77</f>
        <v>-3.416931806900286E-3</v>
      </c>
      <c r="DK85" s="295"/>
      <c r="DL85" s="295"/>
      <c r="DN85" s="295"/>
      <c r="DO85" s="136">
        <f t="shared" ref="DO85" si="238">DO84/DO77</f>
        <v>4.1859762122855117E-2</v>
      </c>
      <c r="DT85" s="426">
        <f t="shared" ref="DT85" si="239">DT84/DT77</f>
        <v>6.260227740441876E-2</v>
      </c>
      <c r="DY85" s="426">
        <f t="shared" ref="DY85" si="240">DY84/DY77</f>
        <v>6.8455825051482649E-2</v>
      </c>
      <c r="DZ85" s="426">
        <f t="shared" ref="DZ85:EB85" si="241">DZ84/DZ77</f>
        <v>8.5432451590530506E-2</v>
      </c>
      <c r="EA85" s="426">
        <f t="shared" si="241"/>
        <v>0.11478290016632596</v>
      </c>
      <c r="EB85" s="426">
        <f t="shared" si="241"/>
        <v>0.14945678925118641</v>
      </c>
    </row>
    <row r="86" spans="1:132" s="427" customFormat="1">
      <c r="A86" s="68"/>
      <c r="C86" s="413"/>
      <c r="D86" s="413"/>
      <c r="E86" s="413"/>
      <c r="F86" s="413"/>
      <c r="G86" s="413"/>
      <c r="H86" s="413"/>
      <c r="I86" s="457"/>
      <c r="J86" s="503"/>
      <c r="K86" s="266"/>
      <c r="L86" s="266"/>
      <c r="M86" s="266"/>
      <c r="N86" s="413"/>
      <c r="O86" s="266"/>
      <c r="P86" s="266"/>
      <c r="Q86" s="266"/>
      <c r="R86" s="266"/>
      <c r="S86" s="413"/>
      <c r="T86" s="266"/>
      <c r="U86" s="266"/>
      <c r="V86" s="266"/>
      <c r="W86" s="266"/>
      <c r="X86" s="413"/>
      <c r="Y86" s="266"/>
      <c r="Z86" s="266"/>
      <c r="AA86" s="266"/>
      <c r="AB86" s="266"/>
      <c r="AC86" s="413"/>
      <c r="AD86" s="266"/>
      <c r="AE86" s="266"/>
      <c r="AF86" s="266"/>
      <c r="AG86" s="266"/>
      <c r="AH86" s="413"/>
      <c r="AI86" s="266"/>
      <c r="AJ86" s="266"/>
      <c r="AK86" s="266"/>
      <c r="AL86" s="266"/>
      <c r="AM86" s="413"/>
      <c r="AN86" s="266"/>
      <c r="AO86" s="266"/>
      <c r="AP86" s="266"/>
      <c r="AQ86" s="266"/>
      <c r="AR86" s="413"/>
      <c r="AS86" s="266"/>
      <c r="AT86" s="266"/>
      <c r="AU86" s="266"/>
      <c r="AV86" s="266"/>
      <c r="AW86" s="413"/>
      <c r="AX86" s="266"/>
      <c r="AY86" s="266"/>
      <c r="AZ86" s="266"/>
      <c r="BA86" s="266"/>
      <c r="BB86" s="413"/>
      <c r="BC86" s="266"/>
      <c r="BD86" s="266"/>
      <c r="BE86" s="266"/>
      <c r="BF86" s="266"/>
      <c r="BG86" s="413"/>
      <c r="BH86" s="266"/>
      <c r="BI86" s="266"/>
      <c r="BJ86" s="266"/>
      <c r="BK86" s="266"/>
      <c r="BL86" s="438"/>
      <c r="BM86" s="266"/>
      <c r="BN86" s="266"/>
      <c r="BO86" s="266"/>
      <c r="BP86" s="266"/>
      <c r="BQ86" s="413"/>
      <c r="BR86" s="266"/>
      <c r="BS86" s="266"/>
      <c r="BT86" s="266"/>
      <c r="BU86" s="266"/>
      <c r="BV86" s="413"/>
      <c r="BW86" s="266"/>
      <c r="BX86" s="266"/>
      <c r="BY86" s="266"/>
      <c r="BZ86" s="266"/>
      <c r="CA86" s="413"/>
      <c r="CB86" s="266"/>
      <c r="CC86" s="266"/>
      <c r="CD86" s="266"/>
      <c r="CE86" s="266"/>
      <c r="CF86" s="413"/>
      <c r="CG86" s="266"/>
      <c r="CH86" s="266"/>
      <c r="CI86" s="266"/>
      <c r="CJ86" s="266"/>
      <c r="CK86" s="413"/>
      <c r="CL86" s="266"/>
      <c r="CM86" s="266"/>
      <c r="CN86" s="266"/>
      <c r="CO86" s="266"/>
      <c r="CP86" s="413"/>
      <c r="CQ86" s="266"/>
      <c r="CR86" s="266"/>
      <c r="CS86" s="266"/>
      <c r="CT86" s="266"/>
      <c r="CU86" s="413"/>
      <c r="CV86" s="266"/>
      <c r="CW86" s="266"/>
      <c r="CX86" s="266"/>
      <c r="CY86" s="266"/>
      <c r="CZ86" s="413"/>
      <c r="DA86" s="266"/>
      <c r="DB86" s="266"/>
      <c r="DC86" s="266"/>
      <c r="DD86" s="266"/>
      <c r="DE86" s="413"/>
      <c r="DF86" s="486"/>
      <c r="DG86" s="486"/>
      <c r="DH86" s="486"/>
      <c r="DI86" s="486"/>
      <c r="DJ86" s="438"/>
      <c r="DK86" s="486"/>
      <c r="DL86" s="486"/>
      <c r="DM86" s="266"/>
      <c r="DN86" s="486"/>
      <c r="DO86" s="438"/>
      <c r="DP86" s="266"/>
      <c r="DQ86" s="266"/>
      <c r="DR86" s="266"/>
      <c r="DS86" s="266"/>
      <c r="DT86" s="413"/>
      <c r="DU86" s="266"/>
      <c r="DV86" s="266"/>
      <c r="DW86" s="266"/>
      <c r="DX86" s="266"/>
      <c r="DY86" s="413"/>
      <c r="DZ86" s="413"/>
      <c r="EA86" s="413"/>
      <c r="EB86" s="413"/>
    </row>
    <row r="87" spans="1:132" s="424" customFormat="1">
      <c r="A87" s="68"/>
      <c r="B87" s="437" t="s">
        <v>673</v>
      </c>
      <c r="C87" s="67">
        <f>SEG!C189</f>
        <v>3150</v>
      </c>
      <c r="D87" s="67">
        <f>SEG!D189</f>
        <v>1350</v>
      </c>
      <c r="E87" s="67">
        <f>SEG!E189</f>
        <v>0</v>
      </c>
      <c r="F87" s="67">
        <f>SEG!F189</f>
        <v>0</v>
      </c>
      <c r="G87" s="67">
        <f>SEG!G189</f>
        <v>0</v>
      </c>
      <c r="H87" s="67">
        <f>SEG!H189</f>
        <v>0</v>
      </c>
      <c r="I87" s="454">
        <f>SEG!I189</f>
        <v>600</v>
      </c>
      <c r="J87" s="265">
        <f>SEG!J189</f>
        <v>0</v>
      </c>
      <c r="K87" s="98">
        <f>SEG!K189</f>
        <v>0</v>
      </c>
      <c r="L87" s="98">
        <f>SEG!L189</f>
        <v>0</v>
      </c>
      <c r="M87" s="455">
        <f>SEG!M189</f>
        <v>475</v>
      </c>
      <c r="N87" s="67">
        <f>SEG!N189</f>
        <v>475</v>
      </c>
      <c r="O87" s="454">
        <f>SEG!O189</f>
        <v>0</v>
      </c>
      <c r="P87" s="98">
        <f>SEG!P189</f>
        <v>0</v>
      </c>
      <c r="Q87" s="98">
        <f>SEG!Q189</f>
        <v>300</v>
      </c>
      <c r="R87" s="455">
        <f>SEG!R189</f>
        <v>200</v>
      </c>
      <c r="S87" s="67">
        <f>SEG!S189</f>
        <v>500</v>
      </c>
      <c r="T87" s="454">
        <f>SEG!T189</f>
        <v>0</v>
      </c>
      <c r="U87" s="98">
        <f>SEG!U189</f>
        <v>0</v>
      </c>
      <c r="V87" s="98">
        <f>SEG!V189</f>
        <v>0</v>
      </c>
      <c r="W87" s="455">
        <f>SEG!W189</f>
        <v>0</v>
      </c>
      <c r="X87" s="67">
        <f>SEG!X189</f>
        <v>0</v>
      </c>
      <c r="Y87" s="454">
        <f>SEG!Y189</f>
        <v>0</v>
      </c>
      <c r="Z87" s="98">
        <f>SEG!Z189</f>
        <v>0</v>
      </c>
      <c r="AA87" s="98">
        <f>SEG!AA189</f>
        <v>0</v>
      </c>
      <c r="AB87" s="455">
        <f>SEG!AB189</f>
        <v>0</v>
      </c>
      <c r="AC87" s="67">
        <f>SEG!AC189</f>
        <v>0</v>
      </c>
      <c r="AD87" s="454">
        <f>SEG!AD189</f>
        <v>0</v>
      </c>
      <c r="AE87" s="98">
        <f>SEG!AE189</f>
        <v>0</v>
      </c>
      <c r="AF87" s="98">
        <f>SEG!AF189</f>
        <v>0</v>
      </c>
      <c r="AG87" s="455">
        <f>SEG!AG189</f>
        <v>685</v>
      </c>
      <c r="AH87" s="67">
        <f>SEG!AH189</f>
        <v>685</v>
      </c>
      <c r="AI87" s="454">
        <f>SEG!AI189</f>
        <v>347</v>
      </c>
      <c r="AJ87" s="98">
        <f>SEG!AJ189</f>
        <v>0</v>
      </c>
      <c r="AK87" s="98">
        <f>SEG!AK189</f>
        <v>0</v>
      </c>
      <c r="AL87" s="455">
        <f>SEG!AL189</f>
        <v>0</v>
      </c>
      <c r="AM87" s="67">
        <f>SEG!AM189</f>
        <v>347</v>
      </c>
      <c r="AN87" s="454">
        <f>SEG!AN189</f>
        <v>0</v>
      </c>
      <c r="AO87" s="98">
        <f>SEG!AO189</f>
        <v>0</v>
      </c>
      <c r="AP87" s="98">
        <f>SEG!AP189</f>
        <v>0</v>
      </c>
      <c r="AQ87" s="455">
        <f>SEG!AQ189</f>
        <v>0</v>
      </c>
      <c r="AR87" s="67">
        <f>SEG!AR189</f>
        <v>0</v>
      </c>
      <c r="AS87" s="454">
        <f>SEG!AS189</f>
        <v>0</v>
      </c>
      <c r="AT87" s="98">
        <f>SEG!AT189</f>
        <v>0</v>
      </c>
      <c r="AU87" s="98">
        <f>SEG!AU189</f>
        <v>0</v>
      </c>
      <c r="AV87" s="455">
        <f>SEG!AV189</f>
        <v>0</v>
      </c>
      <c r="AW87" s="67">
        <f>SEG!AW189</f>
        <v>0</v>
      </c>
      <c r="AX87" s="454"/>
      <c r="AY87" s="98"/>
      <c r="AZ87" s="98"/>
      <c r="BA87" s="455"/>
      <c r="BB87" s="67">
        <f>SEG!BB189</f>
        <v>0</v>
      </c>
      <c r="BC87" s="454"/>
      <c r="BD87" s="98"/>
      <c r="BE87" s="98"/>
      <c r="BF87" s="455"/>
      <c r="BG87" s="67">
        <f>SEG!BG189</f>
        <v>0</v>
      </c>
      <c r="BH87" s="454"/>
      <c r="BI87" s="98">
        <v>238</v>
      </c>
      <c r="BJ87" s="98"/>
      <c r="BK87" s="455"/>
      <c r="BL87" s="67">
        <f>SUM(BH87:BK87)</f>
        <v>238</v>
      </c>
      <c r="BM87" s="454"/>
      <c r="BN87" s="98">
        <v>513</v>
      </c>
      <c r="BO87" s="98"/>
      <c r="BP87" s="455">
        <v>885</v>
      </c>
      <c r="BQ87" s="67">
        <f>SUM(BM87:BP87)</f>
        <v>1398</v>
      </c>
      <c r="BR87" s="454">
        <v>232</v>
      </c>
      <c r="BS87" s="98">
        <f>1235+1188+354</f>
        <v>2777</v>
      </c>
      <c r="BT87" s="98">
        <v>0</v>
      </c>
      <c r="BU87" s="455">
        <v>243</v>
      </c>
      <c r="BV87" s="67">
        <f>SUM(BR87:BU87)</f>
        <v>3252</v>
      </c>
      <c r="BW87" s="454">
        <v>120</v>
      </c>
      <c r="BX87" s="98">
        <v>0</v>
      </c>
      <c r="BY87" s="98">
        <v>256</v>
      </c>
      <c r="BZ87" s="455">
        <v>-278</v>
      </c>
      <c r="CA87" s="67">
        <f>SUM(BW87:BZ87)</f>
        <v>98</v>
      </c>
      <c r="CB87" s="454"/>
      <c r="CC87" s="98">
        <v>307</v>
      </c>
      <c r="CD87" s="98">
        <v>112</v>
      </c>
      <c r="CE87" s="455"/>
      <c r="CF87" s="67">
        <f>-300+SUM(CB87:CE87)</f>
        <v>119</v>
      </c>
      <c r="CG87" s="98"/>
      <c r="CH87" s="98">
        <v>5600</v>
      </c>
      <c r="CI87" s="98"/>
      <c r="CJ87" s="98">
        <v>2600</v>
      </c>
      <c r="CK87" s="67">
        <f>SUM(CG87:CJ87)</f>
        <v>8200</v>
      </c>
      <c r="CL87" s="98">
        <f>SEG!CL189</f>
        <v>1270</v>
      </c>
      <c r="CM87" s="98">
        <f>SEG!CM189</f>
        <v>1864</v>
      </c>
      <c r="CN87" s="98">
        <f>SEG!CN189</f>
        <v>590</v>
      </c>
      <c r="CO87" s="98">
        <f>SEG!CO189</f>
        <v>6500</v>
      </c>
      <c r="CP87" s="67">
        <f>SUM(CL87:CO87)</f>
        <v>10224</v>
      </c>
      <c r="CQ87" s="98">
        <f>SEG!CQ189</f>
        <v>568</v>
      </c>
      <c r="CR87" s="98">
        <f>SEG!CR189</f>
        <v>515</v>
      </c>
      <c r="CS87" s="98">
        <f>SEG!CS189</f>
        <v>601</v>
      </c>
      <c r="CT87" s="98">
        <f>SEG!CT189</f>
        <v>4131</v>
      </c>
      <c r="CU87" s="67">
        <f>SUM(CQ87:CT87)</f>
        <v>5815</v>
      </c>
      <c r="CV87" s="98">
        <f>SEG!CV189</f>
        <v>500</v>
      </c>
      <c r="CW87" s="392">
        <f>283+102</f>
        <v>385</v>
      </c>
      <c r="CX87" s="644">
        <f>330+111</f>
        <v>441</v>
      </c>
      <c r="CY87" s="644">
        <v>1560</v>
      </c>
      <c r="CZ87" s="67">
        <f>SUM(CV87:CY87)</f>
        <v>2886</v>
      </c>
      <c r="DA87" s="644">
        <f>379+126</f>
        <v>505</v>
      </c>
      <c r="DB87" s="644">
        <v>450</v>
      </c>
      <c r="DC87" s="644">
        <v>424</v>
      </c>
      <c r="DD87" s="985">
        <v>400</v>
      </c>
      <c r="DE87" s="67">
        <f>SUM(DA87:DD87)</f>
        <v>1779</v>
      </c>
      <c r="DF87" s="392">
        <v>1500</v>
      </c>
      <c r="DG87" s="392">
        <v>450</v>
      </c>
      <c r="DH87" s="392">
        <v>4000</v>
      </c>
      <c r="DI87" s="392">
        <v>1941</v>
      </c>
      <c r="DJ87" s="120">
        <f>SUM(DF87:DI87)</f>
        <v>7891</v>
      </c>
      <c r="DK87" s="392">
        <v>1500</v>
      </c>
      <c r="DL87" s="392">
        <v>650</v>
      </c>
      <c r="DM87" s="392">
        <v>5600</v>
      </c>
      <c r="DN87" s="392">
        <v>1066</v>
      </c>
      <c r="DO87" s="120">
        <f>SUM(DK87:DN87)</f>
        <v>8816</v>
      </c>
      <c r="DP87" s="392">
        <v>1500</v>
      </c>
      <c r="DQ87" s="985">
        <v>1000</v>
      </c>
      <c r="DR87" s="985">
        <v>1000</v>
      </c>
      <c r="DS87" s="985">
        <v>500</v>
      </c>
      <c r="DT87" s="67">
        <f>SUM(DP87:DS87)</f>
        <v>4000</v>
      </c>
      <c r="DU87" s="985">
        <v>1000</v>
      </c>
      <c r="DV87" s="985">
        <v>500</v>
      </c>
      <c r="DW87" s="985">
        <v>500</v>
      </c>
      <c r="DX87" s="985">
        <v>400</v>
      </c>
      <c r="DY87" s="67">
        <f>SUM(DU87:DX87)</f>
        <v>2400</v>
      </c>
      <c r="DZ87" s="67">
        <v>1000</v>
      </c>
      <c r="EA87" s="67">
        <v>800</v>
      </c>
      <c r="EB87" s="67">
        <v>500</v>
      </c>
    </row>
    <row r="88" spans="1:132" s="424" customFormat="1">
      <c r="A88" s="68"/>
      <c r="B88" s="392" t="s">
        <v>671</v>
      </c>
      <c r="C88" s="67"/>
      <c r="D88" s="67"/>
      <c r="E88" s="67"/>
      <c r="F88" s="67"/>
      <c r="G88" s="67"/>
      <c r="H88" s="67"/>
      <c r="I88" s="454"/>
      <c r="J88" s="265"/>
      <c r="K88" s="98"/>
      <c r="L88" s="98"/>
      <c r="M88" s="98"/>
      <c r="N88" s="67"/>
      <c r="O88" s="98"/>
      <c r="P88" s="98"/>
      <c r="Q88" s="98"/>
      <c r="R88" s="98"/>
      <c r="S88" s="67"/>
      <c r="T88" s="98"/>
      <c r="U88" s="98"/>
      <c r="V88" s="98"/>
      <c r="W88" s="98"/>
      <c r="X88" s="67"/>
      <c r="Y88" s="98"/>
      <c r="Z88" s="98"/>
      <c r="AA88" s="98"/>
      <c r="AB88" s="98"/>
      <c r="AC88" s="67"/>
      <c r="AD88" s="98"/>
      <c r="AE88" s="98"/>
      <c r="AF88" s="98"/>
      <c r="AG88" s="98"/>
      <c r="AH88" s="67"/>
      <c r="AI88" s="98"/>
      <c r="AJ88" s="98"/>
      <c r="AK88" s="98"/>
      <c r="AL88" s="98"/>
      <c r="AM88" s="67"/>
      <c r="AN88" s="98"/>
      <c r="AO88" s="98"/>
      <c r="AP88" s="98"/>
      <c r="AQ88" s="98"/>
      <c r="AR88" s="67"/>
      <c r="AS88" s="98"/>
      <c r="AT88" s="98"/>
      <c r="AU88" s="98"/>
      <c r="AV88" s="98"/>
      <c r="AW88" s="67"/>
      <c r="AX88" s="98"/>
      <c r="AY88" s="98"/>
      <c r="AZ88" s="98"/>
      <c r="BA88" s="98"/>
      <c r="BB88" s="67"/>
      <c r="BC88" s="98"/>
      <c r="BD88" s="98"/>
      <c r="BE88" s="98"/>
      <c r="BF88" s="98"/>
      <c r="BG88" s="67"/>
      <c r="BH88" s="98"/>
      <c r="BI88" s="98"/>
      <c r="BJ88" s="98"/>
      <c r="BK88" s="98"/>
      <c r="BL88" s="67"/>
      <c r="BM88" s="98"/>
      <c r="BN88" s="98"/>
      <c r="BO88" s="98"/>
      <c r="BP88" s="98"/>
      <c r="BQ88" s="67"/>
      <c r="BR88" s="98"/>
      <c r="BS88" s="98"/>
      <c r="BT88" s="98"/>
      <c r="BU88" s="98"/>
      <c r="BV88" s="67"/>
      <c r="BW88" s="98"/>
      <c r="BX88" s="98"/>
      <c r="BY88" s="98"/>
      <c r="BZ88" s="98"/>
      <c r="CA88" s="67"/>
      <c r="CB88" s="98"/>
      <c r="CC88" s="98"/>
      <c r="CD88" s="98"/>
      <c r="CE88" s="98"/>
      <c r="CF88" s="67"/>
      <c r="CG88" s="98"/>
      <c r="CH88" s="98"/>
      <c r="CI88" s="98"/>
      <c r="CJ88" s="98"/>
      <c r="CK88" s="67">
        <v>-1775</v>
      </c>
      <c r="CL88" s="98"/>
      <c r="CM88" s="98"/>
      <c r="CN88" s="98"/>
      <c r="CO88" s="98"/>
      <c r="CP88" s="67">
        <v>-3711</v>
      </c>
      <c r="CQ88" s="98"/>
      <c r="CR88" s="98"/>
      <c r="CS88" s="98"/>
      <c r="CT88" s="98"/>
      <c r="CU88" s="67">
        <v>-1530</v>
      </c>
      <c r="CV88" s="985"/>
      <c r="CW88" s="985"/>
      <c r="CX88" s="985"/>
      <c r="CY88" s="985"/>
      <c r="CZ88" s="67">
        <v>-1720</v>
      </c>
      <c r="DA88" s="985"/>
      <c r="DB88" s="985"/>
      <c r="DC88" s="985"/>
      <c r="DD88" s="985"/>
      <c r="DE88" s="67">
        <v>-1071</v>
      </c>
      <c r="DF88" s="392"/>
      <c r="DG88" s="392"/>
      <c r="DH88" s="392"/>
      <c r="DI88" s="392"/>
      <c r="DJ88" s="120"/>
      <c r="DK88" s="392"/>
      <c r="DL88" s="392"/>
      <c r="DM88" s="985"/>
      <c r="DN88" s="392"/>
      <c r="DO88" s="120"/>
      <c r="DP88" s="985"/>
      <c r="DQ88" s="985"/>
      <c r="DR88" s="985"/>
      <c r="DS88" s="985"/>
      <c r="DT88" s="67"/>
      <c r="DU88" s="985"/>
      <c r="DV88" s="985"/>
      <c r="DW88" s="985"/>
      <c r="DX88" s="985"/>
      <c r="DY88" s="67"/>
      <c r="DZ88" s="67"/>
      <c r="EA88" s="67"/>
      <c r="EB88" s="67"/>
    </row>
    <row r="89" spans="1:132" s="427" customFormat="1" ht="12.75" thickBot="1">
      <c r="A89" s="68"/>
      <c r="C89" s="413"/>
      <c r="D89" s="413"/>
      <c r="E89" s="413"/>
      <c r="F89" s="413"/>
      <c r="G89" s="413"/>
      <c r="H89" s="413"/>
      <c r="I89" s="457"/>
      <c r="J89" s="503"/>
      <c r="K89" s="266"/>
      <c r="L89" s="266"/>
      <c r="M89" s="266"/>
      <c r="N89" s="413"/>
      <c r="O89" s="266"/>
      <c r="P89" s="266"/>
      <c r="Q89" s="266"/>
      <c r="R89" s="266"/>
      <c r="S89" s="413"/>
      <c r="T89" s="266"/>
      <c r="U89" s="266"/>
      <c r="V89" s="266"/>
      <c r="W89" s="266"/>
      <c r="X89" s="413"/>
      <c r="Y89" s="266"/>
      <c r="Z89" s="266"/>
      <c r="AA89" s="266"/>
      <c r="AB89" s="266"/>
      <c r="AC89" s="413"/>
      <c r="AD89" s="266"/>
      <c r="AE89" s="266"/>
      <c r="AF89" s="266"/>
      <c r="AG89" s="266"/>
      <c r="AH89" s="413"/>
      <c r="AI89" s="266"/>
      <c r="AJ89" s="266"/>
      <c r="AK89" s="266"/>
      <c r="AL89" s="266"/>
      <c r="AM89" s="413"/>
      <c r="AN89" s="266"/>
      <c r="AO89" s="266"/>
      <c r="AP89" s="266"/>
      <c r="AQ89" s="266"/>
      <c r="AR89" s="413"/>
      <c r="AS89" s="266"/>
      <c r="AT89" s="266"/>
      <c r="AU89" s="266"/>
      <c r="AV89" s="266"/>
      <c r="AW89" s="413"/>
      <c r="AX89" s="266"/>
      <c r="AY89" s="266"/>
      <c r="AZ89" s="266"/>
      <c r="BA89" s="266"/>
      <c r="BB89" s="413"/>
      <c r="BC89" s="266"/>
      <c r="BD89" s="266"/>
      <c r="BE89" s="266"/>
      <c r="BF89" s="266"/>
      <c r="BG89" s="413"/>
      <c r="BH89" s="266"/>
      <c r="BI89" s="266"/>
      <c r="BJ89" s="266"/>
      <c r="BK89" s="266"/>
      <c r="BL89" s="438"/>
      <c r="BM89" s="266"/>
      <c r="BN89" s="266"/>
      <c r="BO89" s="266"/>
      <c r="BP89" s="266"/>
      <c r="BQ89" s="413"/>
      <c r="BR89" s="266"/>
      <c r="BS89" s="266"/>
      <c r="BT89" s="266"/>
      <c r="BU89" s="266"/>
      <c r="BV89" s="413"/>
      <c r="BW89" s="266"/>
      <c r="BX89" s="266"/>
      <c r="BY89" s="266"/>
      <c r="BZ89" s="266"/>
      <c r="CA89" s="413"/>
      <c r="CB89" s="266"/>
      <c r="CC89" s="266"/>
      <c r="CD89" s="266"/>
      <c r="CE89" s="266"/>
      <c r="CF89" s="413"/>
      <c r="CG89" s="266"/>
      <c r="CH89" s="266"/>
      <c r="CI89" s="266"/>
      <c r="CJ89" s="266"/>
      <c r="CK89" s="413"/>
      <c r="CL89" s="266"/>
      <c r="CM89" s="266"/>
      <c r="CN89" s="266"/>
      <c r="CO89" s="266"/>
      <c r="CP89" s="413"/>
      <c r="CQ89" s="266"/>
      <c r="CR89" s="266"/>
      <c r="CS89" s="266"/>
      <c r="CT89" s="266"/>
      <c r="CU89" s="413"/>
      <c r="CV89" s="266"/>
      <c r="CW89" s="266"/>
      <c r="CX89" s="266"/>
      <c r="CY89" s="266"/>
      <c r="CZ89" s="413"/>
      <c r="DA89" s="266"/>
      <c r="DB89" s="266"/>
      <c r="DC89" s="266"/>
      <c r="DD89" s="266"/>
      <c r="DE89" s="413"/>
      <c r="DF89" s="486"/>
      <c r="DG89" s="486"/>
      <c r="DH89" s="486"/>
      <c r="DI89" s="486"/>
      <c r="DJ89" s="438"/>
      <c r="DK89" s="486"/>
      <c r="DL89" s="486"/>
      <c r="DM89" s="266"/>
      <c r="DN89" s="486"/>
      <c r="DO89" s="438"/>
      <c r="DP89" s="266"/>
      <c r="DQ89" s="266"/>
      <c r="DR89" s="266"/>
      <c r="DS89" s="266"/>
      <c r="DT89" s="413"/>
      <c r="DU89" s="266"/>
      <c r="DV89" s="266"/>
      <c r="DW89" s="266"/>
      <c r="DX89" s="266"/>
      <c r="DY89" s="413"/>
      <c r="DZ89" s="413"/>
      <c r="EA89" s="413"/>
      <c r="EB89" s="413"/>
    </row>
    <row r="90" spans="1:132" s="427" customFormat="1">
      <c r="A90" s="68"/>
      <c r="B90" s="445" t="s">
        <v>379</v>
      </c>
      <c r="C90" s="446">
        <f t="shared" ref="C90:I90" si="242">C79-C83-C87</f>
        <v>-1818.4050000000002</v>
      </c>
      <c r="D90" s="446">
        <f t="shared" si="242"/>
        <v>68.690000000000055</v>
      </c>
      <c r="E90" s="446">
        <f t="shared" si="242"/>
        <v>1941.665</v>
      </c>
      <c r="F90" s="446">
        <f t="shared" si="242"/>
        <v>2713.96</v>
      </c>
      <c r="G90" s="446">
        <f t="shared" si="242"/>
        <v>2626.11</v>
      </c>
      <c r="H90" s="446">
        <f t="shared" si="242"/>
        <v>2827.23</v>
      </c>
      <c r="I90" s="446">
        <f t="shared" si="242"/>
        <v>708.57500000000005</v>
      </c>
      <c r="J90" s="505"/>
      <c r="K90" s="447"/>
      <c r="L90" s="447"/>
      <c r="M90" s="447"/>
      <c r="N90" s="446">
        <f>N79-N83-N87</f>
        <v>763.81099999999969</v>
      </c>
      <c r="O90" s="447"/>
      <c r="P90" s="447"/>
      <c r="Q90" s="447"/>
      <c r="R90" s="447"/>
      <c r="S90" s="446">
        <f>S79-S83-S87</f>
        <v>1431.348</v>
      </c>
      <c r="T90" s="447"/>
      <c r="U90" s="447"/>
      <c r="V90" s="447"/>
      <c r="W90" s="447"/>
      <c r="X90" s="446">
        <f>X79-X83-X87</f>
        <v>2740.6509999999989</v>
      </c>
      <c r="Y90" s="447"/>
      <c r="Z90" s="447"/>
      <c r="AA90" s="447"/>
      <c r="AB90" s="447"/>
      <c r="AC90" s="446">
        <f>AC79-AC83-AC87</f>
        <v>3582.079999999999</v>
      </c>
      <c r="AD90" s="447"/>
      <c r="AE90" s="447"/>
      <c r="AF90" s="447"/>
      <c r="AG90" s="447"/>
      <c r="AH90" s="446">
        <f>AH79-AH83-AH87</f>
        <v>1196.5080000000007</v>
      </c>
      <c r="AI90" s="447"/>
      <c r="AJ90" s="447"/>
      <c r="AK90" s="447"/>
      <c r="AL90" s="447"/>
      <c r="AM90" s="446">
        <f>AM79-AM83-AM87</f>
        <v>-595.88000000000011</v>
      </c>
      <c r="AN90" s="508"/>
      <c r="AO90" s="508"/>
      <c r="AP90" s="508"/>
      <c r="AQ90" s="447"/>
      <c r="AR90" s="446">
        <f>AR79-AR83-AR87</f>
        <v>2960.3899999999994</v>
      </c>
      <c r="AS90" s="508"/>
      <c r="AT90" s="508"/>
      <c r="AU90" s="508"/>
      <c r="AV90" s="508"/>
      <c r="AW90" s="446">
        <f>AW79-AW83-AW87</f>
        <v>3471.8099999999995</v>
      </c>
      <c r="AX90" s="508"/>
      <c r="AY90" s="508"/>
      <c r="AZ90" s="508"/>
      <c r="BA90" s="508"/>
      <c r="BB90" s="446">
        <f>BB79-BB83-BB87</f>
        <v>4674.3499999999995</v>
      </c>
      <c r="BC90" s="508"/>
      <c r="BD90" s="508"/>
      <c r="BE90" s="508"/>
      <c r="BF90" s="508"/>
      <c r="BG90" s="446">
        <f>BG79-BG83-BG87</f>
        <v>5763.5950000000003</v>
      </c>
      <c r="BH90" s="508"/>
      <c r="BI90" s="508"/>
      <c r="BJ90" s="508"/>
      <c r="BK90" s="508"/>
      <c r="BL90" s="446">
        <f>BL79-BL83-BL87</f>
        <v>6364.1785</v>
      </c>
      <c r="BM90" s="508"/>
      <c r="BN90" s="508"/>
      <c r="BO90" s="508"/>
      <c r="BP90" s="508"/>
      <c r="BQ90" s="446">
        <f>BQ79-BQ83-BQ87</f>
        <v>5061.4274129000023</v>
      </c>
      <c r="BR90" s="508"/>
      <c r="BS90" s="508"/>
      <c r="BT90" s="508"/>
      <c r="BU90" s="508"/>
      <c r="BV90" s="446">
        <f>BV79-BV83-BV87</f>
        <v>2023.327365000001</v>
      </c>
      <c r="BW90" s="508"/>
      <c r="BX90" s="508"/>
      <c r="BY90" s="508"/>
      <c r="BZ90" s="508"/>
      <c r="CA90" s="446">
        <f>CA79-CA83-CA87</f>
        <v>5406.392967499999</v>
      </c>
      <c r="CB90" s="508"/>
      <c r="CC90" s="508"/>
      <c r="CD90" s="508"/>
      <c r="CE90" s="508"/>
      <c r="CF90" s="446">
        <f>CF79-CF83-CF87</f>
        <v>7778.6597750000001</v>
      </c>
      <c r="CG90" s="508"/>
      <c r="CH90" s="508"/>
      <c r="CI90" s="508"/>
      <c r="CJ90" s="508"/>
      <c r="CK90" s="446">
        <f>CK79-CK83-CK87+CK88</f>
        <v>-6656.6058819999998</v>
      </c>
      <c r="CL90" s="508"/>
      <c r="CM90" s="508"/>
      <c r="CN90" s="508"/>
      <c r="CO90" s="508"/>
      <c r="CP90" s="446">
        <f>CP79-CP83-CP87+CP88</f>
        <v>-13847.208919279999</v>
      </c>
      <c r="CQ90" s="508"/>
      <c r="CR90" s="508"/>
      <c r="CS90" s="508"/>
      <c r="CT90" s="508"/>
      <c r="CU90" s="446">
        <f>CU79-CU83-CU87+CU88</f>
        <v>-6466.615845368</v>
      </c>
      <c r="CV90" s="508"/>
      <c r="CW90" s="508"/>
      <c r="CX90" s="508"/>
      <c r="CY90" s="508"/>
      <c r="CZ90" s="446">
        <f>CZ79-CZ83-CZ87+CZ88</f>
        <v>-2369.9459287058621</v>
      </c>
      <c r="DA90" s="508"/>
      <c r="DB90" s="508"/>
      <c r="DC90" s="508"/>
      <c r="DD90" s="508"/>
      <c r="DE90" s="446">
        <f>DE79-DE83-DE87+DE88</f>
        <v>-1635.2932805995897</v>
      </c>
      <c r="DF90" s="508"/>
      <c r="DG90" s="508"/>
      <c r="DH90" s="508"/>
      <c r="DI90" s="508"/>
      <c r="DJ90" s="446">
        <f>DJ79-DJ83-DJ87+DJ88</f>
        <v>-7969.1137106871483</v>
      </c>
      <c r="DK90" s="508"/>
      <c r="DL90" s="508"/>
      <c r="DM90" s="508"/>
      <c r="DN90" s="508"/>
      <c r="DO90" s="446">
        <f>DO79-DO83-DO87+DO88</f>
        <v>-7079.0729073852945</v>
      </c>
      <c r="DP90" s="508"/>
      <c r="DQ90" s="508"/>
      <c r="DR90" s="508"/>
      <c r="DS90" s="508"/>
      <c r="DT90" s="446">
        <f>DT79-DT83-DT87+DT88</f>
        <v>-1194.3135624853794</v>
      </c>
      <c r="DU90" s="508"/>
      <c r="DV90" s="508"/>
      <c r="DW90" s="508"/>
      <c r="DX90" s="508"/>
      <c r="DY90" s="446">
        <f>DY79-DY83-DY87+DY88</f>
        <v>1642.4119474055615</v>
      </c>
      <c r="DZ90" s="446">
        <f>DZ79-DZ83-DZ87+DZ88</f>
        <v>4833.8767780866756</v>
      </c>
      <c r="EA90" s="446">
        <f t="shared" ref="EA90:EB90" si="243">EA79-EA83-EA87+EA88</f>
        <v>8240.4159999999993</v>
      </c>
      <c r="EB90" s="446">
        <f t="shared" si="243"/>
        <v>12192.02</v>
      </c>
    </row>
    <row r="91" spans="1:132" s="427" customFormat="1" ht="12.75" thickBot="1">
      <c r="A91" s="407"/>
      <c r="B91" s="448" t="s">
        <v>378</v>
      </c>
      <c r="C91" s="449">
        <f t="shared" ref="C91:I91" si="244">C90/C77</f>
        <v>-6.7828154724159803E-2</v>
      </c>
      <c r="D91" s="449">
        <f t="shared" si="244"/>
        <v>1.9058320847899688E-3</v>
      </c>
      <c r="E91" s="449">
        <f t="shared" si="244"/>
        <v>5.1580352517698935E-2</v>
      </c>
      <c r="F91" s="449">
        <f t="shared" si="244"/>
        <v>8.8101282259373484E-2</v>
      </c>
      <c r="G91" s="449">
        <f t="shared" si="244"/>
        <v>7.5277980822978027E-2</v>
      </c>
      <c r="H91" s="449">
        <f t="shared" si="244"/>
        <v>9.9595941804347055E-2</v>
      </c>
      <c r="I91" s="449">
        <f t="shared" si="244"/>
        <v>3.1621519100321314E-2</v>
      </c>
      <c r="J91" s="506"/>
      <c r="K91" s="459"/>
      <c r="L91" s="459"/>
      <c r="M91" s="460"/>
      <c r="N91" s="449">
        <f>N90/N77</f>
        <v>3.6307981176023185E-2</v>
      </c>
      <c r="O91" s="448"/>
      <c r="P91" s="459"/>
      <c r="Q91" s="459"/>
      <c r="R91" s="460"/>
      <c r="S91" s="449">
        <f>S90/S77</f>
        <v>6.3191382278928079E-2</v>
      </c>
      <c r="T91" s="448"/>
      <c r="U91" s="459"/>
      <c r="V91" s="459"/>
      <c r="W91" s="460"/>
      <c r="X91" s="449">
        <f>X90/X77</f>
        <v>9.6282786338118181E-2</v>
      </c>
      <c r="Y91" s="448"/>
      <c r="Z91" s="459"/>
      <c r="AA91" s="459"/>
      <c r="AB91" s="460"/>
      <c r="AC91" s="449">
        <f>AC90/AC77</f>
        <v>0.10729287725393875</v>
      </c>
      <c r="AD91" s="448"/>
      <c r="AE91" s="459"/>
      <c r="AF91" s="459"/>
      <c r="AG91" s="460"/>
      <c r="AH91" s="449">
        <f>AH90/AH77</f>
        <v>4.2335083572752903E-2</v>
      </c>
      <c r="AI91" s="448"/>
      <c r="AJ91" s="459"/>
      <c r="AK91" s="459"/>
      <c r="AL91" s="460"/>
      <c r="AM91" s="449">
        <f>AM90/AM77</f>
        <v>-1.7499632903585801E-2</v>
      </c>
      <c r="AN91" s="448"/>
      <c r="AO91" s="459"/>
      <c r="AP91" s="459"/>
      <c r="AQ91" s="460"/>
      <c r="AR91" s="449">
        <f>AR90/AR77</f>
        <v>9.3810881896251211E-2</v>
      </c>
      <c r="AS91" s="448"/>
      <c r="AT91" s="459"/>
      <c r="AU91" s="459"/>
      <c r="AV91" s="460"/>
      <c r="AW91" s="449">
        <f>AW90/AW77</f>
        <v>9.7312274014070679E-2</v>
      </c>
      <c r="AX91" s="448"/>
      <c r="AY91" s="459"/>
      <c r="AZ91" s="459"/>
      <c r="BA91" s="460"/>
      <c r="BB91" s="449">
        <f>BB90/BB77</f>
        <v>9.5909678478363444E-2</v>
      </c>
      <c r="BC91" s="448"/>
      <c r="BD91" s="459"/>
      <c r="BE91" s="459"/>
      <c r="BF91" s="460"/>
      <c r="BG91" s="449">
        <f>BG90/BG77</f>
        <v>0.10870789960599105</v>
      </c>
      <c r="BH91" s="448"/>
      <c r="BI91" s="459"/>
      <c r="BJ91" s="459"/>
      <c r="BK91" s="460"/>
      <c r="BL91" s="449">
        <f>BL90/BL77</f>
        <v>0.10574628714495857</v>
      </c>
      <c r="BM91" s="448"/>
      <c r="BN91" s="459"/>
      <c r="BO91" s="459"/>
      <c r="BP91" s="459"/>
      <c r="BQ91" s="449">
        <f>BQ90/BQ77</f>
        <v>7.6738454981704826E-2</v>
      </c>
      <c r="BR91" s="448"/>
      <c r="BS91" s="459"/>
      <c r="BT91" s="459"/>
      <c r="BU91" s="460"/>
      <c r="BV91" s="449">
        <f>BV90/BV77</f>
        <v>3.4878144310615228E-2</v>
      </c>
      <c r="BW91" s="448"/>
      <c r="BX91" s="459"/>
      <c r="BY91" s="459"/>
      <c r="BZ91" s="459"/>
      <c r="CA91" s="449">
        <f>CA90/CA77</f>
        <v>9.3191964552739523E-2</v>
      </c>
      <c r="CB91" s="448"/>
      <c r="CC91" s="459"/>
      <c r="CD91" s="459"/>
      <c r="CE91" s="460"/>
      <c r="CF91" s="449">
        <f>CF90/CF77</f>
        <v>0.1352844040295263</v>
      </c>
      <c r="CG91" s="459"/>
      <c r="CH91" s="459"/>
      <c r="CI91" s="459"/>
      <c r="CJ91" s="459"/>
      <c r="CK91" s="449">
        <f>CK90/CK77</f>
        <v>-0.20637588414200916</v>
      </c>
      <c r="CL91" s="459"/>
      <c r="CM91" s="459"/>
      <c r="CN91" s="459"/>
      <c r="CO91" s="459"/>
      <c r="CP91" s="449">
        <f>CP90/CP77</f>
        <v>-0.8568187028261629</v>
      </c>
      <c r="CQ91" s="459"/>
      <c r="CR91" s="459"/>
      <c r="CS91" s="459"/>
      <c r="CT91" s="459"/>
      <c r="CU91" s="449">
        <f>CU90/CU77</f>
        <v>-0.33176093916994243</v>
      </c>
      <c r="CV91" s="459"/>
      <c r="CW91" s="459"/>
      <c r="CX91" s="459"/>
      <c r="CY91" s="459"/>
      <c r="CZ91" s="449">
        <f>CZ90/CZ77</f>
        <v>-9.1622901805988227E-2</v>
      </c>
      <c r="DA91" s="459"/>
      <c r="DB91" s="459"/>
      <c r="DC91" s="459"/>
      <c r="DD91" s="459"/>
      <c r="DE91" s="449">
        <f>DE90/DE77</f>
        <v>-4.8236794366199764E-2</v>
      </c>
      <c r="DF91" s="1044"/>
      <c r="DG91" s="1044"/>
      <c r="DH91" s="1044"/>
      <c r="DI91" s="1044"/>
      <c r="DJ91" s="1084">
        <f>DJ90/DJ77</f>
        <v>-0.34859332467138943</v>
      </c>
      <c r="DK91" s="1044"/>
      <c r="DL91" s="1044"/>
      <c r="DM91" s="459"/>
      <c r="DN91" s="1044"/>
      <c r="DO91" s="1084">
        <f>DO90/DO77</f>
        <v>-0.17060492015667461</v>
      </c>
      <c r="DP91" s="459"/>
      <c r="DQ91" s="459"/>
      <c r="DR91" s="459"/>
      <c r="DS91" s="459"/>
      <c r="DT91" s="449">
        <f>DT90/DT77</f>
        <v>-2.6648291108681572E-2</v>
      </c>
      <c r="DU91" s="459"/>
      <c r="DV91" s="459"/>
      <c r="DW91" s="459"/>
      <c r="DX91" s="459"/>
      <c r="DY91" s="449">
        <f>DY90/DY77</f>
        <v>2.7813262576126079E-2</v>
      </c>
      <c r="DZ91" s="449">
        <f>DZ90/DZ77</f>
        <v>7.0788252742959093E-2</v>
      </c>
      <c r="EA91" s="449">
        <f t="shared" ref="EA91:EB91" si="245">EA90/EA77</f>
        <v>0.10462558880664287</v>
      </c>
      <c r="EB91" s="449">
        <f t="shared" si="245"/>
        <v>0.1435689640960422</v>
      </c>
    </row>
    <row r="92" spans="1:132" s="424" customFormat="1">
      <c r="A92" s="98"/>
      <c r="B92" s="98"/>
      <c r="C92" s="425"/>
      <c r="D92" s="425"/>
      <c r="E92" s="425"/>
      <c r="F92" s="425"/>
      <c r="G92" s="425"/>
      <c r="H92" s="425"/>
      <c r="I92" s="490"/>
      <c r="J92" s="499"/>
      <c r="N92" s="425"/>
      <c r="S92" s="425"/>
      <c r="X92" s="425"/>
      <c r="AC92" s="425"/>
      <c r="AH92" s="425"/>
      <c r="AM92" s="425"/>
      <c r="AR92" s="425"/>
      <c r="AW92" s="425"/>
      <c r="BB92" s="425"/>
      <c r="BG92" s="425"/>
      <c r="BL92" s="585"/>
      <c r="BQ92" s="425"/>
      <c r="BV92" s="425"/>
      <c r="CA92" s="425"/>
      <c r="CF92" s="425"/>
      <c r="CK92" s="425"/>
      <c r="CP92" s="425"/>
      <c r="CU92" s="425"/>
      <c r="CZ92" s="425"/>
      <c r="DE92" s="425"/>
      <c r="DF92" s="439"/>
      <c r="DG92" s="439"/>
      <c r="DH92" s="439"/>
      <c r="DI92" s="439"/>
      <c r="DJ92" s="585"/>
      <c r="DK92" s="439"/>
      <c r="DL92" s="439"/>
      <c r="DN92" s="439"/>
      <c r="DO92" s="585"/>
      <c r="DT92" s="425"/>
      <c r="DY92" s="425"/>
      <c r="DZ92" s="425"/>
      <c r="EA92" s="425"/>
      <c r="EB92" s="425"/>
    </row>
    <row r="93" spans="1:132" s="98" customFormat="1" ht="4.5" customHeight="1">
      <c r="B93" s="148"/>
      <c r="C93" s="171"/>
      <c r="D93" s="171"/>
      <c r="E93" s="171"/>
      <c r="F93" s="171"/>
      <c r="G93" s="171"/>
      <c r="H93" s="171"/>
      <c r="I93" s="493"/>
      <c r="J93" s="507"/>
      <c r="K93" s="148"/>
      <c r="L93" s="148"/>
      <c r="M93" s="148"/>
      <c r="N93" s="171"/>
      <c r="O93" s="148"/>
      <c r="P93" s="148"/>
      <c r="Q93" s="148"/>
      <c r="R93" s="148"/>
      <c r="S93" s="171"/>
      <c r="T93" s="148"/>
      <c r="U93" s="148"/>
      <c r="V93" s="148"/>
      <c r="W93" s="148"/>
      <c r="X93" s="171"/>
      <c r="Y93" s="148"/>
      <c r="Z93" s="148"/>
      <c r="AA93" s="148"/>
      <c r="AB93" s="148"/>
      <c r="AC93" s="171"/>
      <c r="AD93" s="148"/>
      <c r="AE93" s="148"/>
      <c r="AF93" s="148"/>
      <c r="AG93" s="148"/>
      <c r="AH93" s="171"/>
      <c r="AI93" s="148"/>
      <c r="AJ93" s="148"/>
      <c r="AK93" s="148"/>
      <c r="AL93" s="148"/>
      <c r="AM93" s="171"/>
      <c r="AN93" s="148"/>
      <c r="AO93" s="148"/>
      <c r="AP93" s="148"/>
      <c r="AQ93" s="148"/>
      <c r="AR93" s="171"/>
      <c r="AS93" s="148"/>
      <c r="AT93" s="148"/>
      <c r="AU93" s="148"/>
      <c r="AV93" s="148"/>
      <c r="AW93" s="171"/>
      <c r="AX93" s="148"/>
      <c r="AY93" s="148"/>
      <c r="AZ93" s="148"/>
      <c r="BA93" s="148"/>
      <c r="BB93" s="171"/>
      <c r="BC93" s="148"/>
      <c r="BD93" s="148"/>
      <c r="BE93" s="148"/>
      <c r="BF93" s="148"/>
      <c r="BG93" s="171"/>
      <c r="BH93" s="148"/>
      <c r="BI93" s="148"/>
      <c r="BJ93" s="148"/>
      <c r="BK93" s="148"/>
      <c r="BL93" s="142"/>
      <c r="BM93" s="148"/>
      <c r="BN93" s="148"/>
      <c r="BO93" s="148"/>
      <c r="BP93" s="148"/>
      <c r="BQ93" s="171"/>
      <c r="BR93" s="148"/>
      <c r="BS93" s="148"/>
      <c r="BT93" s="148"/>
      <c r="BU93" s="148"/>
      <c r="BV93" s="171"/>
      <c r="BW93" s="148"/>
      <c r="BX93" s="148"/>
      <c r="BY93" s="148"/>
      <c r="BZ93" s="148"/>
      <c r="CA93" s="171"/>
      <c r="CB93" s="148"/>
      <c r="CC93" s="148"/>
      <c r="CD93" s="148"/>
      <c r="CE93" s="148"/>
      <c r="CF93" s="171"/>
      <c r="CG93" s="148"/>
      <c r="CH93" s="148"/>
      <c r="CI93" s="148"/>
      <c r="CJ93" s="148"/>
      <c r="CK93" s="171"/>
      <c r="CL93" s="148"/>
      <c r="CM93" s="148"/>
      <c r="CN93" s="148"/>
      <c r="CO93" s="148"/>
      <c r="CP93" s="171"/>
      <c r="CQ93" s="148"/>
      <c r="CR93" s="148"/>
      <c r="CS93" s="148"/>
      <c r="CT93" s="148"/>
      <c r="CU93" s="171"/>
      <c r="CV93" s="148"/>
      <c r="CW93" s="148"/>
      <c r="CX93" s="148"/>
      <c r="CY93" s="148"/>
      <c r="CZ93" s="171"/>
      <c r="DA93" s="148"/>
      <c r="DB93" s="148"/>
      <c r="DC93" s="148"/>
      <c r="DD93" s="148"/>
      <c r="DE93" s="171"/>
      <c r="DF93" s="143"/>
      <c r="DG93" s="143"/>
      <c r="DH93" s="143"/>
      <c r="DI93" s="143"/>
      <c r="DJ93" s="142"/>
      <c r="DK93" s="143"/>
      <c r="DL93" s="143"/>
      <c r="DM93" s="148"/>
      <c r="DN93" s="143"/>
      <c r="DO93" s="142"/>
      <c r="DP93" s="148"/>
      <c r="DQ93" s="148"/>
      <c r="DR93" s="148"/>
      <c r="DS93" s="148"/>
      <c r="DT93" s="171"/>
      <c r="DU93" s="148"/>
      <c r="DV93" s="148"/>
      <c r="DW93" s="148"/>
      <c r="DX93" s="148"/>
      <c r="DY93" s="171"/>
      <c r="DZ93" s="171"/>
      <c r="EA93" s="171"/>
      <c r="EB93" s="171"/>
    </row>
    <row r="94" spans="1:132" s="98" customFormat="1" ht="6.75" customHeight="1" thickBot="1">
      <c r="B94" s="68"/>
      <c r="C94" s="428"/>
      <c r="D94" s="428"/>
      <c r="E94" s="428"/>
      <c r="F94" s="428"/>
      <c r="G94" s="428"/>
      <c r="H94" s="428"/>
      <c r="I94" s="428"/>
      <c r="N94" s="428"/>
      <c r="S94" s="428"/>
      <c r="X94" s="428"/>
      <c r="AC94" s="428"/>
      <c r="AH94" s="428"/>
      <c r="AM94" s="428"/>
      <c r="AR94" s="428"/>
      <c r="AW94" s="428"/>
      <c r="BB94" s="428"/>
      <c r="BG94" s="428"/>
      <c r="BL94" s="730"/>
      <c r="BQ94" s="428"/>
      <c r="BV94" s="428"/>
      <c r="CA94" s="428"/>
      <c r="CF94" s="428"/>
      <c r="CK94" s="428"/>
      <c r="CP94" s="428"/>
      <c r="CU94" s="428"/>
      <c r="CZ94" s="428"/>
      <c r="DE94" s="428"/>
      <c r="DF94" s="437"/>
      <c r="DG94" s="437"/>
      <c r="DH94" s="437"/>
      <c r="DI94" s="437"/>
      <c r="DJ94" s="730"/>
      <c r="DK94" s="437"/>
      <c r="DL94" s="437"/>
      <c r="DN94" s="437"/>
      <c r="DO94" s="730"/>
      <c r="DT94" s="428"/>
      <c r="DY94" s="428"/>
      <c r="DZ94" s="428"/>
      <c r="EA94" s="428"/>
      <c r="EB94" s="428"/>
    </row>
  </sheetData>
  <phoneticPr fontId="6" type="noConversion"/>
  <pageMargins left="0.8" right="0.3" top="0.7" bottom="0.5" header="0.5" footer="0.5"/>
  <pageSetup scale="29" orientation="landscape" r:id="rId1"/>
  <headerFooter alignWithMargins="0"/>
  <customProperties>
    <customPr name="Qube.Worksheet.Visibility" r:id="rId2"/>
  </customProperties>
  <ignoredErrors>
    <ignoredError sqref="N8:AB33 N44:AQ44 N38:AB43 N63:AR63 N45:S45 BB46 BB22:BB32 BB10:BB20 AR71:AT72 AR41:AR45 AW45 BG67:BG68 BG82 BG71:BG72 AR82:AT87 AW21 AR33 AW33 BG84:BG86 AS42:AT42 BB34:BB38 AV42:AW42 AW85:AW86 AW82:AW83 AR10:AW20 AR22:AW32 AS41:AW41 AR34:AW38 AS43:AW44 N46:AW46 BB71:BB72 BB82:BB86 BB67:BB68 X45 AC45:AM45 AR40:AW40 AR39 AW39 AR70 AR73:AR74 BB40:BB44 BB75 AW66:AW75 AR75:AT75 BG75 N47:AR59 BB77:BB80 AW77:AW80 AR77:AT80 BG77:BG80" formula="1"/>
    <ignoredError sqref="AC8:AP8 AC38:AQ38 AC11:AP20 AC9:AL9 AC10:AL10 AN10:AP10 AC22:AP33 AC21:AM21 AC40:AQ43 AC39:AM39" formula="1" formulaRange="1"/>
    <ignoredError sqref="AC6:AQ7 AC34:AQ37 AQ8 AQ10:AQ20 AQ22:AQ33" formulaRange="1"/>
  </ignoredErrors>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pageSetUpPr autoPageBreaks="0" fitToPage="1"/>
  </sheetPr>
  <dimension ref="A1:EB137"/>
  <sheetViews>
    <sheetView showGridLines="0" zoomScaleNormal="100" workbookViewId="0">
      <pane xSplit="2" ySplit="4" topLeftCell="C5" activePane="bottomRight" state="frozen"/>
      <selection activeCell="S5" sqref="S5"/>
      <selection pane="topRight" activeCell="S5" sqref="S5"/>
      <selection pane="bottomLeft" activeCell="S5" sqref="S5"/>
      <selection pane="bottomRight"/>
    </sheetView>
  </sheetViews>
  <sheetFormatPr defaultColWidth="9.7109375" defaultRowHeight="12" outlineLevelRow="1"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0" width="9.7109375" hidden="1" customWidth="1" outlineLevel="1"/>
    <col min="41" max="42" width="9.7109375" style="437" hidden="1" customWidth="1" outlineLevel="1"/>
    <col min="43" max="43" width="9.7109375" hidden="1" customWidth="1" outlineLevel="1"/>
    <col min="44" max="44" width="9.7109375" hidden="1" customWidth="1" collapsed="1"/>
    <col min="45" max="45" width="9.7109375" hidden="1" customWidth="1" outlineLevel="1"/>
    <col min="46" max="47" width="9.7109375" style="437" hidden="1" customWidth="1" outlineLevel="1"/>
    <col min="48" max="48" width="9.7109375" hidden="1" customWidth="1" outlineLevel="1"/>
    <col min="49" max="49" width="9.7109375" hidden="1" customWidth="1" collapsed="1"/>
    <col min="50" max="50" width="9.7109375" hidden="1" customWidth="1" outlineLevel="1"/>
    <col min="51" max="52" width="9.7109375" style="437" hidden="1" customWidth="1" outlineLevel="1"/>
    <col min="53" max="53" width="9.7109375" hidden="1" customWidth="1" outlineLevel="1"/>
    <col min="54" max="54" width="9.7109375" hidden="1" customWidth="1" collapsed="1"/>
    <col min="55" max="55" width="9.7109375" hidden="1" customWidth="1" outlineLevel="1"/>
    <col min="56" max="56" width="9.7109375" style="437" hidden="1" customWidth="1" outlineLevel="1"/>
    <col min="57" max="57" width="9.7109375" style="66" hidden="1" customWidth="1" outlineLevel="1"/>
    <col min="58" max="58" width="9.7109375" hidden="1" customWidth="1" outlineLevel="1"/>
    <col min="59" max="59" width="9.7109375" hidden="1" customWidth="1" collapsed="1"/>
    <col min="60" max="60" width="9.7109375" hidden="1" customWidth="1" outlineLevel="1"/>
    <col min="61" max="61" width="9.7109375" style="437" hidden="1" customWidth="1" outlineLevel="1"/>
    <col min="62" max="62" width="9.7109375" style="66" hidden="1" customWidth="1" outlineLevel="1"/>
    <col min="63" max="63" width="9.7109375" hidden="1" customWidth="1" outlineLevel="1"/>
    <col min="64" max="64" width="9.7109375" hidden="1" customWidth="1" collapsed="1"/>
    <col min="65" max="65" width="9.7109375" hidden="1" customWidth="1" outlineLevel="1"/>
    <col min="66" max="66" width="9.7109375" style="437" hidden="1" customWidth="1" outlineLevel="1"/>
    <col min="67" max="67" width="9.7109375" style="66" hidden="1" customWidth="1" outlineLevel="1"/>
    <col min="68" max="68" width="9.7109375" hidden="1" customWidth="1" outlineLevel="1"/>
    <col min="69" max="69" width="9.7109375" customWidth="1" collapsed="1"/>
    <col min="70" max="70" width="9.7109375" style="66" hidden="1" customWidth="1" outlineLevel="1"/>
    <col min="71" max="71" width="9.7109375" hidden="1" customWidth="1" outlineLevel="1"/>
    <col min="72" max="72" width="9.7109375" style="66" hidden="1" customWidth="1" outlineLevel="1"/>
    <col min="73" max="73" width="9.7109375" hidden="1" customWidth="1" outlineLevel="1"/>
    <col min="74" max="74" width="9.7109375" customWidth="1" collapsed="1"/>
    <col min="75" max="75" width="9.7109375" style="66" hidden="1" customWidth="1" outlineLevel="1"/>
    <col min="76" max="76" width="9.7109375" hidden="1" customWidth="1" outlineLevel="1"/>
    <col min="77" max="77" width="9.7109375" style="66" hidden="1" customWidth="1" outlineLevel="1"/>
    <col min="78" max="78" width="9.7109375" hidden="1" customWidth="1" outlineLevel="1"/>
    <col min="79" max="79" width="9.7109375" customWidth="1" collapsed="1"/>
    <col min="80" max="80" width="9.7109375" style="66" hidden="1" customWidth="1" outlineLevel="1"/>
    <col min="81" max="81" width="9.7109375" hidden="1" customWidth="1" outlineLevel="1"/>
    <col min="82" max="82" width="9.7109375" style="66" hidden="1" customWidth="1" outlineLevel="1"/>
    <col min="83" max="83" width="9.7109375" hidden="1" customWidth="1" outlineLevel="1"/>
    <col min="84" max="84" width="9.7109375" customWidth="1" collapsed="1"/>
    <col min="85" max="87" width="9.7109375" hidden="1" customWidth="1" outlineLevel="1"/>
    <col min="88" max="88" width="9.7109375" style="121"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style="121" hidden="1" customWidth="1" outlineLevel="1"/>
    <col min="114" max="114" width="9.7109375" customWidth="1" collapsed="1"/>
    <col min="115" max="118" width="9.7109375" style="121" hidden="1" customWidth="1" outlineLevel="1"/>
    <col min="119" max="119" width="9.7109375" customWidth="1" collapsed="1"/>
    <col min="120" max="123" width="9.7109375" customWidth="1" outlineLevel="1"/>
    <col min="124" max="124" width="9.7109375" customWidth="1"/>
    <col min="125" max="128" width="9.7109375" hidden="1" customWidth="1" outlineLevel="1"/>
    <col min="129" max="129" width="9.7109375" customWidth="1" collapsed="1"/>
    <col min="130" max="132" width="9.7109375" customWidth="1"/>
    <col min="133" max="16384" width="9.7109375" style="66"/>
  </cols>
  <sheetData>
    <row r="1" spans="1:132" ht="12" customHeight="1" thickBot="1"/>
    <row r="2" spans="1:132" ht="6" customHeight="1">
      <c r="C2" s="58"/>
      <c r="D2" s="58"/>
      <c r="E2" s="58"/>
      <c r="F2" s="58"/>
      <c r="G2" s="58"/>
      <c r="H2" s="58"/>
      <c r="I2" s="58"/>
      <c r="N2" s="58"/>
      <c r="S2" s="58"/>
      <c r="X2" s="58"/>
      <c r="AC2" s="58"/>
      <c r="AH2" s="58"/>
      <c r="AM2" s="58"/>
      <c r="AR2" s="58"/>
      <c r="AW2" s="58"/>
      <c r="BB2" s="58"/>
      <c r="BG2" s="58"/>
      <c r="BL2" s="58"/>
      <c r="BQ2" s="58"/>
      <c r="BV2" s="58"/>
      <c r="CA2" s="58"/>
      <c r="CF2" s="58"/>
      <c r="CK2" s="58"/>
      <c r="CP2" s="58"/>
      <c r="CU2" s="58"/>
      <c r="CZ2" s="58"/>
      <c r="DE2" s="58"/>
      <c r="DJ2" s="58"/>
      <c r="DO2" s="58"/>
      <c r="DT2" s="58"/>
      <c r="DY2" s="58"/>
      <c r="DZ2" s="58"/>
      <c r="EA2" s="58"/>
      <c r="EB2" s="58"/>
    </row>
    <row r="3" spans="1:132" ht="15.75">
      <c r="B3" s="61" t="s">
        <v>354</v>
      </c>
      <c r="C3" s="603">
        <v>1997</v>
      </c>
      <c r="D3" s="603">
        <v>1998</v>
      </c>
      <c r="E3" s="603">
        <v>1999</v>
      </c>
      <c r="F3" s="603">
        <v>2000</v>
      </c>
      <c r="G3" s="603">
        <v>2001</v>
      </c>
      <c r="H3" s="603">
        <v>2002</v>
      </c>
      <c r="I3" s="603">
        <v>2003</v>
      </c>
      <c r="J3" s="62" t="s">
        <v>0</v>
      </c>
      <c r="K3" s="62" t="s">
        <v>1</v>
      </c>
      <c r="L3" s="62" t="s">
        <v>2</v>
      </c>
      <c r="M3" s="62" t="s">
        <v>3</v>
      </c>
      <c r="N3" s="603">
        <v>2004</v>
      </c>
      <c r="O3" s="62" t="s">
        <v>4</v>
      </c>
      <c r="P3" s="62" t="s">
        <v>5</v>
      </c>
      <c r="Q3" s="62" t="s">
        <v>6</v>
      </c>
      <c r="R3" s="62" t="s">
        <v>7</v>
      </c>
      <c r="S3" s="603">
        <v>2005</v>
      </c>
      <c r="T3" s="62" t="s">
        <v>8</v>
      </c>
      <c r="U3" s="62" t="s">
        <v>9</v>
      </c>
      <c r="V3" s="62" t="s">
        <v>10</v>
      </c>
      <c r="W3" s="62" t="s">
        <v>11</v>
      </c>
      <c r="X3" s="603">
        <v>2006</v>
      </c>
      <c r="Y3" s="62" t="s">
        <v>12</v>
      </c>
      <c r="Z3" s="62" t="s">
        <v>13</v>
      </c>
      <c r="AA3" s="62" t="s">
        <v>14</v>
      </c>
      <c r="AB3" s="62" t="s">
        <v>15</v>
      </c>
      <c r="AC3" s="603">
        <v>2007</v>
      </c>
      <c r="AD3" s="62" t="s">
        <v>16</v>
      </c>
      <c r="AE3" s="62" t="s">
        <v>17</v>
      </c>
      <c r="AF3" s="62" t="s">
        <v>18</v>
      </c>
      <c r="AG3" s="62" t="s">
        <v>19</v>
      </c>
      <c r="AH3" s="603">
        <v>2008</v>
      </c>
      <c r="AI3" s="62" t="s">
        <v>20</v>
      </c>
      <c r="AJ3" s="62" t="s">
        <v>21</v>
      </c>
      <c r="AK3" s="62" t="s">
        <v>22</v>
      </c>
      <c r="AL3" s="62" t="s">
        <v>23</v>
      </c>
      <c r="AM3" s="603">
        <v>2009</v>
      </c>
      <c r="AN3" s="62" t="s">
        <v>312</v>
      </c>
      <c r="AO3" s="62" t="s">
        <v>309</v>
      </c>
      <c r="AP3" s="62" t="s">
        <v>310</v>
      </c>
      <c r="AQ3" s="62" t="s">
        <v>311</v>
      </c>
      <c r="AR3" s="603">
        <v>2010</v>
      </c>
      <c r="AS3" s="62" t="s">
        <v>316</v>
      </c>
      <c r="AT3" s="62" t="s">
        <v>313</v>
      </c>
      <c r="AU3" s="62" t="s">
        <v>314</v>
      </c>
      <c r="AV3" s="62" t="s">
        <v>315</v>
      </c>
      <c r="AW3" s="603">
        <v>2011</v>
      </c>
      <c r="AX3" s="62" t="s">
        <v>395</v>
      </c>
      <c r="AY3" s="62" t="s">
        <v>396</v>
      </c>
      <c r="AZ3" s="62" t="s">
        <v>397</v>
      </c>
      <c r="BA3" s="62" t="s">
        <v>398</v>
      </c>
      <c r="BB3" s="603">
        <v>2012</v>
      </c>
      <c r="BC3" s="62" t="s">
        <v>411</v>
      </c>
      <c r="BD3" s="62" t="s">
        <v>412</v>
      </c>
      <c r="BE3" s="62" t="s">
        <v>413</v>
      </c>
      <c r="BF3" s="62" t="s">
        <v>414</v>
      </c>
      <c r="BG3" s="603">
        <v>2013</v>
      </c>
      <c r="BH3" s="62" t="s">
        <v>464</v>
      </c>
      <c r="BI3" s="62" t="s">
        <v>465</v>
      </c>
      <c r="BJ3" s="62" t="s">
        <v>466</v>
      </c>
      <c r="BK3" s="62" t="s">
        <v>467</v>
      </c>
      <c r="BL3" s="603">
        <v>2014</v>
      </c>
      <c r="BM3" s="62" t="s">
        <v>468</v>
      </c>
      <c r="BN3" s="62" t="s">
        <v>469</v>
      </c>
      <c r="BO3" s="62" t="s">
        <v>470</v>
      </c>
      <c r="BP3" s="62" t="s">
        <v>471</v>
      </c>
      <c r="BQ3" s="603">
        <v>2015</v>
      </c>
      <c r="BR3" s="55" t="s">
        <v>472</v>
      </c>
      <c r="BS3" s="55" t="s">
        <v>473</v>
      </c>
      <c r="BT3" s="55" t="s">
        <v>474</v>
      </c>
      <c r="BU3" s="55" t="s">
        <v>475</v>
      </c>
      <c r="BV3" s="603">
        <v>2016</v>
      </c>
      <c r="BW3" s="55" t="s">
        <v>476</v>
      </c>
      <c r="BX3" s="55" t="s">
        <v>477</v>
      </c>
      <c r="BY3" s="55" t="s">
        <v>478</v>
      </c>
      <c r="BZ3" s="55" t="s">
        <v>479</v>
      </c>
      <c r="CA3" s="603">
        <v>2017</v>
      </c>
      <c r="CB3" s="55" t="s">
        <v>549</v>
      </c>
      <c r="CC3" s="55" t="s">
        <v>550</v>
      </c>
      <c r="CD3" s="55" t="s">
        <v>551</v>
      </c>
      <c r="CE3" s="55" t="s">
        <v>552</v>
      </c>
      <c r="CF3" s="603">
        <v>2018</v>
      </c>
      <c r="CG3" s="55" t="s">
        <v>597</v>
      </c>
      <c r="CH3" s="55" t="s">
        <v>598</v>
      </c>
      <c r="CI3" s="55" t="s">
        <v>599</v>
      </c>
      <c r="CJ3" s="55" t="s">
        <v>600</v>
      </c>
      <c r="CK3" s="603">
        <v>2019</v>
      </c>
      <c r="CL3" s="55" t="s">
        <v>605</v>
      </c>
      <c r="CM3" s="55" t="s">
        <v>606</v>
      </c>
      <c r="CN3" s="55" t="s">
        <v>607</v>
      </c>
      <c r="CO3" s="55" t="s">
        <v>608</v>
      </c>
      <c r="CP3" s="603">
        <v>2020</v>
      </c>
      <c r="CQ3" s="55" t="s">
        <v>649</v>
      </c>
      <c r="CR3" s="55" t="s">
        <v>650</v>
      </c>
      <c r="CS3" s="55" t="s">
        <v>651</v>
      </c>
      <c r="CT3" s="55" t="s">
        <v>652</v>
      </c>
      <c r="CU3" s="603">
        <v>2021</v>
      </c>
      <c r="CV3" s="55" t="s">
        <v>667</v>
      </c>
      <c r="CW3" s="55" t="s">
        <v>668</v>
      </c>
      <c r="CX3" s="55" t="s">
        <v>669</v>
      </c>
      <c r="CY3" s="55" t="s">
        <v>670</v>
      </c>
      <c r="CZ3" s="603">
        <v>2022</v>
      </c>
      <c r="DA3" s="55" t="s">
        <v>674</v>
      </c>
      <c r="DB3" s="55" t="s">
        <v>675</v>
      </c>
      <c r="DC3" s="55" t="s">
        <v>676</v>
      </c>
      <c r="DD3" s="55" t="s">
        <v>677</v>
      </c>
      <c r="DE3" s="603">
        <v>2023</v>
      </c>
      <c r="DF3" s="55" t="s">
        <v>684</v>
      </c>
      <c r="DG3" s="55" t="s">
        <v>685</v>
      </c>
      <c r="DH3" s="55" t="s">
        <v>686</v>
      </c>
      <c r="DI3" s="55" t="s">
        <v>687</v>
      </c>
      <c r="DJ3" s="603">
        <v>2024</v>
      </c>
      <c r="DK3" s="55" t="s">
        <v>695</v>
      </c>
      <c r="DL3" s="55" t="s">
        <v>696</v>
      </c>
      <c r="DM3" s="55" t="s">
        <v>697</v>
      </c>
      <c r="DN3" s="55" t="s">
        <v>698</v>
      </c>
      <c r="DO3" s="603">
        <v>2025</v>
      </c>
      <c r="DP3" s="55" t="s">
        <v>715</v>
      </c>
      <c r="DQ3" s="55" t="s">
        <v>716</v>
      </c>
      <c r="DR3" s="55" t="s">
        <v>720</v>
      </c>
      <c r="DS3" s="55" t="s">
        <v>721</v>
      </c>
      <c r="DT3" s="603" t="s">
        <v>688</v>
      </c>
      <c r="DU3" s="55" t="s">
        <v>735</v>
      </c>
      <c r="DV3" s="55" t="s">
        <v>736</v>
      </c>
      <c r="DW3" s="55" t="s">
        <v>737</v>
      </c>
      <c r="DX3" s="55" t="s">
        <v>738</v>
      </c>
      <c r="DY3" s="603" t="s">
        <v>683</v>
      </c>
      <c r="DZ3" s="603" t="s">
        <v>691</v>
      </c>
      <c r="EA3" s="603" t="s">
        <v>692</v>
      </c>
      <c r="EB3" s="603" t="s">
        <v>693</v>
      </c>
    </row>
    <row r="4" spans="1:132" ht="12.75">
      <c r="B4" s="63" t="s">
        <v>358</v>
      </c>
      <c r="C4" s="56">
        <v>35795</v>
      </c>
      <c r="D4" s="56">
        <v>36160</v>
      </c>
      <c r="E4" s="56">
        <v>36525</v>
      </c>
      <c r="F4" s="56">
        <v>36891</v>
      </c>
      <c r="G4" s="56">
        <v>37256</v>
      </c>
      <c r="H4" s="56">
        <v>37621</v>
      </c>
      <c r="I4" s="56">
        <v>37986</v>
      </c>
      <c r="J4" s="64">
        <v>38077</v>
      </c>
      <c r="K4" s="64">
        <v>38168</v>
      </c>
      <c r="L4" s="64">
        <v>38260</v>
      </c>
      <c r="M4" s="64">
        <v>38352</v>
      </c>
      <c r="N4" s="56">
        <v>38352</v>
      </c>
      <c r="O4" s="64">
        <v>38442</v>
      </c>
      <c r="P4" s="64">
        <v>38533</v>
      </c>
      <c r="Q4" s="64">
        <v>38625</v>
      </c>
      <c r="R4" s="64">
        <v>38717</v>
      </c>
      <c r="S4" s="56">
        <v>38717</v>
      </c>
      <c r="T4" s="64">
        <v>38807</v>
      </c>
      <c r="U4" s="64">
        <v>38898</v>
      </c>
      <c r="V4" s="64">
        <v>38990</v>
      </c>
      <c r="W4" s="64">
        <v>39082</v>
      </c>
      <c r="X4" s="56">
        <v>39082</v>
      </c>
      <c r="Y4" s="64">
        <v>39172</v>
      </c>
      <c r="Z4" s="64">
        <v>39263</v>
      </c>
      <c r="AA4" s="64">
        <v>39355</v>
      </c>
      <c r="AB4" s="64">
        <v>39447</v>
      </c>
      <c r="AC4" s="56">
        <v>39447</v>
      </c>
      <c r="AD4" s="64">
        <v>39538</v>
      </c>
      <c r="AE4" s="64">
        <v>39629</v>
      </c>
      <c r="AF4" s="64">
        <v>39721</v>
      </c>
      <c r="AG4" s="64">
        <v>39813</v>
      </c>
      <c r="AH4" s="56">
        <v>39813</v>
      </c>
      <c r="AI4" s="64">
        <v>39903</v>
      </c>
      <c r="AJ4" s="64">
        <v>39994</v>
      </c>
      <c r="AK4" s="64">
        <v>40086</v>
      </c>
      <c r="AL4" s="64">
        <v>40178</v>
      </c>
      <c r="AM4" s="56">
        <v>40178</v>
      </c>
      <c r="AN4" s="64">
        <v>40268</v>
      </c>
      <c r="AO4" s="64">
        <v>40359</v>
      </c>
      <c r="AP4" s="64">
        <v>40451</v>
      </c>
      <c r="AQ4" s="64">
        <v>40543</v>
      </c>
      <c r="AR4" s="56">
        <v>40543</v>
      </c>
      <c r="AS4" s="64">
        <v>40633</v>
      </c>
      <c r="AT4" s="64">
        <v>40724</v>
      </c>
      <c r="AU4" s="64">
        <v>40816</v>
      </c>
      <c r="AV4" s="64">
        <v>40908</v>
      </c>
      <c r="AW4" s="56">
        <v>40908</v>
      </c>
      <c r="AX4" s="64">
        <v>40999</v>
      </c>
      <c r="AY4" s="64">
        <v>41090</v>
      </c>
      <c r="AZ4" s="64">
        <v>41182</v>
      </c>
      <c r="BA4" s="64">
        <v>41274</v>
      </c>
      <c r="BB4" s="56">
        <v>41274</v>
      </c>
      <c r="BC4" s="64">
        <v>41364</v>
      </c>
      <c r="BD4" s="64">
        <v>41455</v>
      </c>
      <c r="BE4" s="64">
        <v>41547</v>
      </c>
      <c r="BF4" s="64">
        <v>41639</v>
      </c>
      <c r="BG4" s="56">
        <v>41639</v>
      </c>
      <c r="BH4" s="64">
        <v>41729</v>
      </c>
      <c r="BI4" s="64">
        <v>41820</v>
      </c>
      <c r="BJ4" s="64">
        <v>41912</v>
      </c>
      <c r="BK4" s="64">
        <v>42004</v>
      </c>
      <c r="BL4" s="56">
        <v>42004</v>
      </c>
      <c r="BM4" s="64">
        <v>42094</v>
      </c>
      <c r="BN4" s="64">
        <v>42185</v>
      </c>
      <c r="BO4" s="64">
        <v>42277</v>
      </c>
      <c r="BP4" s="64">
        <v>42369</v>
      </c>
      <c r="BQ4" s="56">
        <v>42369</v>
      </c>
      <c r="BR4" s="57">
        <v>42460</v>
      </c>
      <c r="BS4" s="219">
        <v>42551</v>
      </c>
      <c r="BT4" s="57">
        <v>42643</v>
      </c>
      <c r="BU4" s="219">
        <v>42735</v>
      </c>
      <c r="BV4" s="56">
        <v>42735</v>
      </c>
      <c r="BW4" s="57">
        <v>42825</v>
      </c>
      <c r="BX4" s="219">
        <v>42916</v>
      </c>
      <c r="BY4" s="57">
        <v>43008</v>
      </c>
      <c r="BZ4" s="219">
        <v>43100</v>
      </c>
      <c r="CA4" s="56">
        <v>43100</v>
      </c>
      <c r="CB4" s="57">
        <v>43190</v>
      </c>
      <c r="CC4" s="219">
        <v>43281</v>
      </c>
      <c r="CD4" s="57">
        <v>43373</v>
      </c>
      <c r="CE4" s="219">
        <v>43465</v>
      </c>
      <c r="CF4" s="56">
        <v>43465</v>
      </c>
      <c r="CG4" s="57">
        <v>43555</v>
      </c>
      <c r="CH4" s="57">
        <v>43646</v>
      </c>
      <c r="CI4" s="57">
        <v>43738</v>
      </c>
      <c r="CJ4" s="219">
        <v>43830</v>
      </c>
      <c r="CK4" s="56">
        <v>43830</v>
      </c>
      <c r="CL4" s="57">
        <v>43921</v>
      </c>
      <c r="CM4" s="57">
        <v>44012</v>
      </c>
      <c r="CN4" s="57">
        <v>44104</v>
      </c>
      <c r="CO4" s="219">
        <v>44196</v>
      </c>
      <c r="CP4" s="56">
        <v>44196</v>
      </c>
      <c r="CQ4" s="57">
        <v>44286</v>
      </c>
      <c r="CR4" s="57">
        <v>44377</v>
      </c>
      <c r="CS4" s="57">
        <v>44469</v>
      </c>
      <c r="CT4" s="219">
        <v>44561</v>
      </c>
      <c r="CU4" s="56">
        <v>44561</v>
      </c>
      <c r="CV4" s="57">
        <v>44651</v>
      </c>
      <c r="CW4" s="57">
        <v>44742</v>
      </c>
      <c r="CX4" s="57">
        <v>44834</v>
      </c>
      <c r="CY4" s="219">
        <v>44926</v>
      </c>
      <c r="CZ4" s="56">
        <v>44926</v>
      </c>
      <c r="DA4" s="57">
        <v>45016</v>
      </c>
      <c r="DB4" s="57">
        <v>45107</v>
      </c>
      <c r="DC4" s="57">
        <v>45199</v>
      </c>
      <c r="DD4" s="219">
        <v>45291</v>
      </c>
      <c r="DE4" s="443">
        <v>45291</v>
      </c>
      <c r="DF4" s="57">
        <v>45382</v>
      </c>
      <c r="DG4" s="57">
        <v>45473</v>
      </c>
      <c r="DH4" s="57">
        <v>45565</v>
      </c>
      <c r="DI4" s="219">
        <v>45657</v>
      </c>
      <c r="DJ4" s="443">
        <v>45657</v>
      </c>
      <c r="DK4" s="57">
        <v>45747</v>
      </c>
      <c r="DL4" s="57">
        <v>45838</v>
      </c>
      <c r="DM4" s="57">
        <v>45930</v>
      </c>
      <c r="DN4" s="219">
        <v>46022</v>
      </c>
      <c r="DO4" s="443">
        <v>46022</v>
      </c>
      <c r="DP4" s="57">
        <v>46112</v>
      </c>
      <c r="DQ4" s="57">
        <v>46203</v>
      </c>
      <c r="DR4" s="57">
        <v>46295</v>
      </c>
      <c r="DS4" s="219">
        <v>46387</v>
      </c>
      <c r="DT4" s="443">
        <v>46387</v>
      </c>
      <c r="DU4" s="57">
        <v>46477</v>
      </c>
      <c r="DV4" s="57">
        <v>46568</v>
      </c>
      <c r="DW4" s="57">
        <v>46660</v>
      </c>
      <c r="DX4" s="219">
        <v>46752</v>
      </c>
      <c r="DY4" s="443">
        <v>46752</v>
      </c>
      <c r="DZ4" s="443">
        <v>47118</v>
      </c>
      <c r="EA4" s="443">
        <v>47483</v>
      </c>
      <c r="EB4" s="443">
        <v>47848</v>
      </c>
    </row>
    <row r="5" spans="1:132" s="98" customFormat="1">
      <c r="A5" s="68"/>
      <c r="B5" s="68"/>
      <c r="C5" s="67"/>
      <c r="D5" s="67"/>
      <c r="E5" s="67"/>
      <c r="F5" s="67"/>
      <c r="G5" s="67"/>
      <c r="H5" s="67"/>
      <c r="I5" s="67"/>
      <c r="J5" s="68"/>
      <c r="K5" s="68"/>
      <c r="L5" s="68"/>
      <c r="M5" s="68"/>
      <c r="N5" s="67"/>
      <c r="O5" s="68"/>
      <c r="P5" s="68"/>
      <c r="Q5" s="68"/>
      <c r="R5" s="68"/>
      <c r="S5" s="67"/>
      <c r="T5" s="68"/>
      <c r="U5" s="68"/>
      <c r="V5" s="68"/>
      <c r="W5" s="68"/>
      <c r="X5" s="67"/>
      <c r="Y5" s="68"/>
      <c r="Z5" s="68"/>
      <c r="AA5" s="68"/>
      <c r="AB5" s="68"/>
      <c r="AC5" s="67"/>
      <c r="AD5" s="68"/>
      <c r="AE5" s="68"/>
      <c r="AF5" s="68"/>
      <c r="AG5" s="68"/>
      <c r="AH5" s="67"/>
      <c r="AI5" s="68"/>
      <c r="AJ5" s="68"/>
      <c r="AK5" s="68"/>
      <c r="AL5" s="68"/>
      <c r="AM5" s="67"/>
      <c r="AN5" s="68"/>
      <c r="AO5" s="437"/>
      <c r="AP5" s="437"/>
      <c r="AQ5" s="68"/>
      <c r="AR5" s="67"/>
      <c r="AS5" s="68"/>
      <c r="AT5" s="437"/>
      <c r="AU5" s="437"/>
      <c r="AV5" s="68"/>
      <c r="AW5" s="67"/>
      <c r="AX5" s="68"/>
      <c r="AY5" s="437"/>
      <c r="AZ5" s="437"/>
      <c r="BA5" s="68"/>
      <c r="BB5" s="67"/>
      <c r="BC5" s="68"/>
      <c r="BD5" s="437"/>
      <c r="BE5" s="437"/>
      <c r="BF5" s="68"/>
      <c r="BG5" s="67"/>
      <c r="BH5" s="68"/>
      <c r="BI5" s="437"/>
      <c r="BK5" s="68"/>
      <c r="BL5" s="67"/>
      <c r="BM5" s="68"/>
      <c r="BN5" s="437"/>
      <c r="BP5" s="68"/>
      <c r="BQ5" s="67"/>
      <c r="BS5" s="68"/>
      <c r="BU5" s="68"/>
      <c r="BV5" s="67"/>
      <c r="BX5" s="121"/>
      <c r="BZ5" s="68"/>
      <c r="CA5" s="67"/>
      <c r="CF5" s="67"/>
      <c r="CJ5" s="437"/>
      <c r="CK5" s="67"/>
      <c r="CL5" s="437"/>
      <c r="CP5" s="67"/>
      <c r="CU5" s="67"/>
      <c r="CW5" s="437"/>
      <c r="CZ5" s="67"/>
      <c r="DE5" s="67"/>
      <c r="DF5" s="437"/>
      <c r="DG5" s="437"/>
      <c r="DH5" s="437"/>
      <c r="DI5" s="437"/>
      <c r="DJ5" s="67"/>
      <c r="DK5" s="437"/>
      <c r="DL5" s="437"/>
      <c r="DM5" s="437"/>
      <c r="DN5" s="437"/>
      <c r="DO5" s="67"/>
      <c r="DT5" s="67"/>
      <c r="DY5" s="67"/>
      <c r="DZ5" s="67"/>
      <c r="EA5" s="67"/>
      <c r="EB5" s="67"/>
    </row>
    <row r="6" spans="1:132" s="31" customFormat="1" ht="12" hidden="1" customHeight="1" outlineLevel="1">
      <c r="A6" s="74"/>
      <c r="B6" s="74" t="s">
        <v>609</v>
      </c>
      <c r="C6" s="930">
        <v>65</v>
      </c>
      <c r="D6" s="930">
        <v>52</v>
      </c>
      <c r="E6" s="930">
        <v>29</v>
      </c>
      <c r="F6" s="930"/>
      <c r="G6" s="930"/>
      <c r="H6" s="930"/>
      <c r="I6" s="930"/>
      <c r="J6" s="931"/>
      <c r="K6" s="931"/>
      <c r="L6" s="931"/>
      <c r="M6" s="931"/>
      <c r="N6" s="930"/>
      <c r="O6" s="931"/>
      <c r="P6" s="931"/>
      <c r="Q6" s="931"/>
      <c r="R6" s="931"/>
      <c r="S6" s="930"/>
      <c r="T6" s="931"/>
      <c r="U6" s="931"/>
      <c r="V6" s="931"/>
      <c r="W6" s="931"/>
      <c r="X6" s="930"/>
      <c r="Y6" s="931"/>
      <c r="Z6" s="931"/>
      <c r="AA6" s="931"/>
      <c r="AB6" s="931"/>
      <c r="AC6" s="930"/>
      <c r="AD6" s="931"/>
      <c r="AE6" s="931"/>
      <c r="AF6" s="931"/>
      <c r="AG6" s="931"/>
      <c r="AH6" s="930"/>
      <c r="AI6" s="931"/>
      <c r="AJ6" s="931"/>
      <c r="AK6" s="931"/>
      <c r="AL6" s="931"/>
      <c r="AM6" s="930"/>
      <c r="AN6" s="931"/>
      <c r="AO6" s="932"/>
      <c r="AP6" s="932"/>
      <c r="AQ6" s="931"/>
      <c r="AR6" s="930"/>
      <c r="AS6" s="931"/>
      <c r="AT6" s="932"/>
      <c r="AU6" s="932"/>
      <c r="AV6" s="931"/>
      <c r="AW6" s="930"/>
      <c r="AX6" s="931"/>
      <c r="AY6" s="932"/>
      <c r="AZ6" s="932"/>
      <c r="BA6" s="931"/>
      <c r="BB6" s="930"/>
      <c r="BC6" s="931"/>
      <c r="BD6" s="932"/>
      <c r="BE6" s="932"/>
      <c r="BF6" s="931"/>
      <c r="BG6" s="930"/>
      <c r="BH6" s="931"/>
      <c r="BI6" s="932"/>
      <c r="BJ6" s="932"/>
      <c r="BK6" s="931"/>
      <c r="BL6" s="930"/>
      <c r="BM6" s="931"/>
      <c r="BN6" s="932"/>
      <c r="BO6" s="932"/>
      <c r="BP6" s="931"/>
      <c r="BQ6" s="930"/>
      <c r="BR6" s="932"/>
      <c r="BS6" s="931"/>
      <c r="BT6" s="932"/>
      <c r="BU6" s="931"/>
      <c r="BV6" s="930"/>
      <c r="BW6" s="932"/>
      <c r="BX6" s="931"/>
      <c r="BY6" s="932"/>
      <c r="BZ6" s="931"/>
      <c r="CA6" s="930"/>
      <c r="CB6" s="932"/>
      <c r="CC6" s="931"/>
      <c r="CD6" s="932"/>
      <c r="CE6" s="931"/>
      <c r="CF6" s="930"/>
      <c r="CG6" s="931"/>
      <c r="CH6" s="931"/>
      <c r="CI6" s="931"/>
      <c r="CJ6" s="931"/>
      <c r="CK6" s="930"/>
      <c r="CL6" s="931"/>
      <c r="CM6" s="931"/>
      <c r="CN6" s="931"/>
      <c r="CO6" s="931"/>
      <c r="CP6" s="930"/>
      <c r="CQ6" s="931"/>
      <c r="CR6" s="931"/>
      <c r="CS6" s="931"/>
      <c r="CT6" s="931"/>
      <c r="CU6" s="930"/>
      <c r="CV6" s="931"/>
      <c r="CW6" s="931"/>
      <c r="CX6" s="931"/>
      <c r="CY6" s="931"/>
      <c r="CZ6" s="930"/>
      <c r="DA6" s="931"/>
      <c r="DB6" s="931"/>
      <c r="DC6" s="931"/>
      <c r="DD6" s="931"/>
      <c r="DE6" s="930"/>
      <c r="DF6" s="931"/>
      <c r="DG6" s="931"/>
      <c r="DH6" s="931"/>
      <c r="DI6" s="931"/>
      <c r="DJ6" s="930"/>
      <c r="DK6" s="931"/>
      <c r="DL6" s="931"/>
      <c r="DM6" s="931"/>
      <c r="DN6" s="931"/>
      <c r="DO6" s="930"/>
      <c r="DP6" s="931"/>
      <c r="DQ6" s="931"/>
      <c r="DR6" s="931"/>
      <c r="DS6" s="931"/>
      <c r="DT6" s="930"/>
      <c r="DU6" s="931"/>
      <c r="DV6" s="931"/>
      <c r="DW6" s="931"/>
      <c r="DX6" s="931"/>
      <c r="DY6" s="930"/>
      <c r="DZ6" s="930"/>
      <c r="EA6" s="930"/>
      <c r="EB6" s="930"/>
    </row>
    <row r="7" spans="1:132" s="941" customFormat="1" ht="12" hidden="1" customHeight="1" outlineLevel="1">
      <c r="A7" s="795"/>
      <c r="B7" s="942" t="s">
        <v>190</v>
      </c>
      <c r="C7" s="937"/>
      <c r="D7" s="937"/>
      <c r="E7" s="937"/>
      <c r="F7" s="937"/>
      <c r="G7" s="937"/>
      <c r="H7" s="937"/>
      <c r="I7" s="937"/>
      <c r="J7" s="936"/>
      <c r="K7" s="936"/>
      <c r="L7" s="936"/>
      <c r="M7" s="936"/>
      <c r="N7" s="937"/>
      <c r="O7" s="936"/>
      <c r="P7" s="936"/>
      <c r="Q7" s="936"/>
      <c r="R7" s="936"/>
      <c r="S7" s="937"/>
      <c r="T7" s="936"/>
      <c r="U7" s="936"/>
      <c r="V7" s="936"/>
      <c r="W7" s="936"/>
      <c r="X7" s="937"/>
      <c r="Y7" s="936"/>
      <c r="Z7" s="936"/>
      <c r="AA7" s="936"/>
      <c r="AB7" s="936"/>
      <c r="AC7" s="937"/>
      <c r="AD7" s="936"/>
      <c r="AE7" s="936"/>
      <c r="AF7" s="936"/>
      <c r="AG7" s="936"/>
      <c r="AH7" s="937"/>
      <c r="AI7" s="936"/>
      <c r="AJ7" s="936"/>
      <c r="AK7" s="936"/>
      <c r="AL7" s="936"/>
      <c r="AM7" s="937"/>
      <c r="AN7" s="936"/>
      <c r="AO7" s="938"/>
      <c r="AP7" s="938"/>
      <c r="AQ7" s="936"/>
      <c r="AR7" s="937"/>
      <c r="AS7" s="936"/>
      <c r="AT7" s="938"/>
      <c r="AU7" s="938"/>
      <c r="AV7" s="936"/>
      <c r="AW7" s="937"/>
      <c r="AX7" s="936"/>
      <c r="AY7" s="938"/>
      <c r="AZ7" s="938"/>
      <c r="BA7" s="936"/>
      <c r="BB7" s="937"/>
      <c r="BC7" s="936"/>
      <c r="BD7" s="938"/>
      <c r="BE7" s="938"/>
      <c r="BF7" s="936"/>
      <c r="BG7" s="937"/>
      <c r="BH7" s="936"/>
      <c r="BI7" s="936"/>
      <c r="BJ7" s="936"/>
      <c r="BK7" s="936"/>
      <c r="BL7" s="937"/>
      <c r="BM7" s="936"/>
      <c r="BN7" s="936"/>
      <c r="BO7" s="936"/>
      <c r="BP7" s="936"/>
      <c r="BQ7" s="937"/>
      <c r="BR7" s="936"/>
      <c r="BS7" s="936"/>
      <c r="BT7" s="936"/>
      <c r="BU7" s="936"/>
      <c r="BV7" s="937"/>
      <c r="BW7" s="936"/>
      <c r="BX7" s="936"/>
      <c r="BY7" s="936"/>
      <c r="BZ7" s="936"/>
      <c r="CA7" s="937"/>
      <c r="CB7" s="936"/>
      <c r="CC7" s="936"/>
      <c r="CD7" s="936"/>
      <c r="CE7" s="939"/>
      <c r="CF7" s="937"/>
      <c r="CG7" s="939"/>
      <c r="CH7" s="939"/>
      <c r="CI7" s="939"/>
      <c r="CJ7" s="936"/>
      <c r="CK7" s="937"/>
      <c r="CL7" s="936"/>
      <c r="CM7" s="939"/>
      <c r="CN7" s="939"/>
      <c r="CO7" s="939"/>
      <c r="CP7" s="937"/>
      <c r="CQ7" s="939"/>
      <c r="CR7" s="939"/>
      <c r="CS7" s="939"/>
      <c r="CT7" s="939"/>
      <c r="CU7" s="937"/>
      <c r="CV7" s="939"/>
      <c r="CW7" s="936"/>
      <c r="CX7" s="939"/>
      <c r="CY7" s="939"/>
      <c r="CZ7" s="937"/>
      <c r="DA7" s="939"/>
      <c r="DB7" s="939"/>
      <c r="DC7" s="939"/>
      <c r="DD7" s="939"/>
      <c r="DE7" s="937"/>
      <c r="DF7" s="936"/>
      <c r="DG7" s="936"/>
      <c r="DH7" s="936"/>
      <c r="DI7" s="936"/>
      <c r="DJ7" s="940"/>
      <c r="DK7" s="936"/>
      <c r="DL7" s="936"/>
      <c r="DM7" s="936"/>
      <c r="DN7" s="936"/>
      <c r="DO7" s="940"/>
      <c r="DP7" s="939"/>
      <c r="DQ7" s="939"/>
      <c r="DR7" s="939"/>
      <c r="DS7" s="939"/>
      <c r="DT7" s="940"/>
      <c r="DU7" s="939"/>
      <c r="DV7" s="939"/>
      <c r="DW7" s="939"/>
      <c r="DX7" s="939"/>
      <c r="DY7" s="940"/>
      <c r="DZ7" s="940"/>
      <c r="EA7" s="940"/>
      <c r="EB7" s="940"/>
    </row>
    <row r="8" spans="1:132" s="31" customFormat="1" ht="12" hidden="1" customHeight="1" outlineLevel="1">
      <c r="A8" s="74"/>
      <c r="B8" s="74" t="s">
        <v>616</v>
      </c>
      <c r="C8" s="930">
        <v>33</v>
      </c>
      <c r="D8" s="930">
        <v>33</v>
      </c>
      <c r="E8" s="930">
        <v>9</v>
      </c>
      <c r="F8" s="930">
        <v>2</v>
      </c>
      <c r="G8" s="930"/>
      <c r="H8" s="930"/>
      <c r="I8" s="930"/>
      <c r="J8" s="931"/>
      <c r="K8" s="931"/>
      <c r="L8" s="931"/>
      <c r="M8" s="931"/>
      <c r="N8" s="930"/>
      <c r="O8" s="931"/>
      <c r="P8" s="931"/>
      <c r="Q8" s="931"/>
      <c r="R8" s="931"/>
      <c r="S8" s="930"/>
      <c r="T8" s="931"/>
      <c r="U8" s="931"/>
      <c r="V8" s="931"/>
      <c r="W8" s="931"/>
      <c r="X8" s="930"/>
      <c r="Y8" s="931"/>
      <c r="Z8" s="931"/>
      <c r="AA8" s="931"/>
      <c r="AB8" s="931"/>
      <c r="AC8" s="930"/>
      <c r="AD8" s="931"/>
      <c r="AE8" s="931"/>
      <c r="AF8" s="931"/>
      <c r="AG8" s="931"/>
      <c r="AH8" s="930"/>
      <c r="AI8" s="931"/>
      <c r="AJ8" s="931"/>
      <c r="AK8" s="931"/>
      <c r="AL8" s="931"/>
      <c r="AM8" s="930"/>
      <c r="AN8" s="931"/>
      <c r="AO8" s="932"/>
      <c r="AP8" s="932"/>
      <c r="AQ8" s="931"/>
      <c r="AR8" s="930"/>
      <c r="AS8" s="931"/>
      <c r="AT8" s="932"/>
      <c r="AU8" s="932"/>
      <c r="AV8" s="931"/>
      <c r="AW8" s="930"/>
      <c r="AX8" s="931"/>
      <c r="AY8" s="932"/>
      <c r="AZ8" s="932"/>
      <c r="BA8" s="931"/>
      <c r="BB8" s="930"/>
      <c r="BC8" s="931"/>
      <c r="BD8" s="932"/>
      <c r="BE8" s="932"/>
      <c r="BF8" s="931"/>
      <c r="BG8" s="930"/>
      <c r="BH8" s="931"/>
      <c r="BI8" s="932"/>
      <c r="BJ8" s="932"/>
      <c r="BK8" s="931"/>
      <c r="BL8" s="930"/>
      <c r="BM8" s="931"/>
      <c r="BN8" s="932"/>
      <c r="BO8" s="932"/>
      <c r="BP8" s="931"/>
      <c r="BQ8" s="930"/>
      <c r="BR8" s="932"/>
      <c r="BS8" s="931"/>
      <c r="BT8" s="932"/>
      <c r="BU8" s="931"/>
      <c r="BV8" s="930"/>
      <c r="BW8" s="932"/>
      <c r="BX8" s="931"/>
      <c r="BY8" s="932"/>
      <c r="BZ8" s="931"/>
      <c r="CA8" s="930"/>
      <c r="CB8" s="932"/>
      <c r="CC8" s="931"/>
      <c r="CD8" s="932"/>
      <c r="CE8" s="931"/>
      <c r="CF8" s="930"/>
      <c r="CG8" s="931"/>
      <c r="CH8" s="931"/>
      <c r="CI8" s="931"/>
      <c r="CJ8" s="931"/>
      <c r="CK8" s="930"/>
      <c r="CL8" s="931"/>
      <c r="CM8" s="931"/>
      <c r="CN8" s="931"/>
      <c r="CO8" s="931"/>
      <c r="CP8" s="930"/>
      <c r="CQ8" s="931"/>
      <c r="CR8" s="931"/>
      <c r="CS8" s="931"/>
      <c r="CT8" s="931"/>
      <c r="CU8" s="930"/>
      <c r="CV8" s="931"/>
      <c r="CW8" s="931"/>
      <c r="CX8" s="931"/>
      <c r="CY8" s="931"/>
      <c r="CZ8" s="930"/>
      <c r="DA8" s="931"/>
      <c r="DB8" s="931"/>
      <c r="DC8" s="931"/>
      <c r="DD8" s="931"/>
      <c r="DE8" s="930"/>
      <c r="DF8" s="931"/>
      <c r="DG8" s="931"/>
      <c r="DH8" s="931"/>
      <c r="DI8" s="931"/>
      <c r="DJ8" s="930"/>
      <c r="DK8" s="931"/>
      <c r="DL8" s="931"/>
      <c r="DM8" s="931"/>
      <c r="DN8" s="931"/>
      <c r="DO8" s="930"/>
      <c r="DP8" s="931"/>
      <c r="DQ8" s="931"/>
      <c r="DR8" s="931"/>
      <c r="DS8" s="931"/>
      <c r="DT8" s="930"/>
      <c r="DU8" s="931"/>
      <c r="DV8" s="931"/>
      <c r="DW8" s="931"/>
      <c r="DX8" s="931"/>
      <c r="DY8" s="930"/>
      <c r="DZ8" s="930"/>
      <c r="EA8" s="930"/>
      <c r="EB8" s="930"/>
    </row>
    <row r="9" spans="1:132" s="941" customFormat="1" ht="12" hidden="1" customHeight="1" outlineLevel="1">
      <c r="A9" s="795"/>
      <c r="B9" s="942" t="s">
        <v>190</v>
      </c>
      <c r="C9" s="937"/>
      <c r="D9" s="937"/>
      <c r="E9" s="937"/>
      <c r="F9" s="937"/>
      <c r="G9" s="937"/>
      <c r="H9" s="937"/>
      <c r="I9" s="937"/>
      <c r="J9" s="936"/>
      <c r="K9" s="936"/>
      <c r="L9" s="936"/>
      <c r="M9" s="936"/>
      <c r="N9" s="937"/>
      <c r="O9" s="936"/>
      <c r="P9" s="936"/>
      <c r="Q9" s="936"/>
      <c r="R9" s="936"/>
      <c r="S9" s="937"/>
      <c r="T9" s="936"/>
      <c r="U9" s="936"/>
      <c r="V9" s="936"/>
      <c r="W9" s="936"/>
      <c r="X9" s="937"/>
      <c r="Y9" s="936"/>
      <c r="Z9" s="936"/>
      <c r="AA9" s="936"/>
      <c r="AB9" s="936"/>
      <c r="AC9" s="937"/>
      <c r="AD9" s="936"/>
      <c r="AE9" s="936"/>
      <c r="AF9" s="936"/>
      <c r="AG9" s="936"/>
      <c r="AH9" s="937"/>
      <c r="AI9" s="936"/>
      <c r="AJ9" s="936"/>
      <c r="AK9" s="936"/>
      <c r="AL9" s="936"/>
      <c r="AM9" s="937"/>
      <c r="AN9" s="936"/>
      <c r="AO9" s="938"/>
      <c r="AP9" s="938"/>
      <c r="AQ9" s="936"/>
      <c r="AR9" s="937"/>
      <c r="AS9" s="936"/>
      <c r="AT9" s="938"/>
      <c r="AU9" s="938"/>
      <c r="AV9" s="936"/>
      <c r="AW9" s="937"/>
      <c r="AX9" s="936"/>
      <c r="AY9" s="938"/>
      <c r="AZ9" s="938"/>
      <c r="BA9" s="936"/>
      <c r="BB9" s="937"/>
      <c r="BC9" s="936"/>
      <c r="BD9" s="938"/>
      <c r="BE9" s="938"/>
      <c r="BF9" s="936"/>
      <c r="BG9" s="937"/>
      <c r="BH9" s="936"/>
      <c r="BI9" s="936"/>
      <c r="BJ9" s="936"/>
      <c r="BK9" s="936"/>
      <c r="BL9" s="937"/>
      <c r="BM9" s="936"/>
      <c r="BN9" s="936"/>
      <c r="BO9" s="936"/>
      <c r="BP9" s="936"/>
      <c r="BQ9" s="937"/>
      <c r="BR9" s="936"/>
      <c r="BS9" s="936"/>
      <c r="BT9" s="936"/>
      <c r="BU9" s="936"/>
      <c r="BV9" s="937"/>
      <c r="BW9" s="936"/>
      <c r="BX9" s="936"/>
      <c r="BY9" s="936"/>
      <c r="BZ9" s="936"/>
      <c r="CA9" s="937"/>
      <c r="CB9" s="936"/>
      <c r="CC9" s="936"/>
      <c r="CD9" s="936"/>
      <c r="CE9" s="939"/>
      <c r="CF9" s="937"/>
      <c r="CG9" s="939"/>
      <c r="CH9" s="939"/>
      <c r="CI9" s="939"/>
      <c r="CJ9" s="936"/>
      <c r="CK9" s="937"/>
      <c r="CL9" s="936"/>
      <c r="CM9" s="939"/>
      <c r="CN9" s="939"/>
      <c r="CO9" s="939"/>
      <c r="CP9" s="937"/>
      <c r="CQ9" s="939"/>
      <c r="CR9" s="939"/>
      <c r="CS9" s="939"/>
      <c r="CT9" s="939"/>
      <c r="CU9" s="937"/>
      <c r="CV9" s="939"/>
      <c r="CW9" s="936"/>
      <c r="CX9" s="939"/>
      <c r="CY9" s="939"/>
      <c r="CZ9" s="937"/>
      <c r="DA9" s="939"/>
      <c r="DB9" s="939"/>
      <c r="DC9" s="939"/>
      <c r="DD9" s="939"/>
      <c r="DE9" s="937"/>
      <c r="DF9" s="936"/>
      <c r="DG9" s="936"/>
      <c r="DH9" s="936"/>
      <c r="DI9" s="936"/>
      <c r="DJ9" s="940"/>
      <c r="DK9" s="936"/>
      <c r="DL9" s="936"/>
      <c r="DM9" s="936"/>
      <c r="DN9" s="936"/>
      <c r="DO9" s="940"/>
      <c r="DP9" s="939"/>
      <c r="DQ9" s="939"/>
      <c r="DR9" s="939"/>
      <c r="DS9" s="939"/>
      <c r="DT9" s="940"/>
      <c r="DU9" s="939"/>
      <c r="DV9" s="939"/>
      <c r="DW9" s="939"/>
      <c r="DX9" s="939"/>
      <c r="DY9" s="940"/>
      <c r="DZ9" s="940"/>
      <c r="EA9" s="940"/>
      <c r="EB9" s="940"/>
    </row>
    <row r="10" spans="1:132" s="31" customFormat="1" ht="12" hidden="1" customHeight="1" outlineLevel="1">
      <c r="A10" s="74"/>
      <c r="B10" s="74" t="s">
        <v>617</v>
      </c>
      <c r="C10" s="930">
        <v>34</v>
      </c>
      <c r="D10" s="930">
        <v>31</v>
      </c>
      <c r="E10" s="930">
        <v>4</v>
      </c>
      <c r="F10" s="930"/>
      <c r="G10" s="930"/>
      <c r="H10" s="930"/>
      <c r="I10" s="930"/>
      <c r="J10" s="931"/>
      <c r="K10" s="931"/>
      <c r="L10" s="931"/>
      <c r="M10" s="931"/>
      <c r="N10" s="930"/>
      <c r="O10" s="931"/>
      <c r="P10" s="931"/>
      <c r="Q10" s="931"/>
      <c r="R10" s="931"/>
      <c r="S10" s="930"/>
      <c r="T10" s="931"/>
      <c r="U10" s="931"/>
      <c r="V10" s="931"/>
      <c r="W10" s="931"/>
      <c r="X10" s="930"/>
      <c r="Y10" s="931"/>
      <c r="Z10" s="931"/>
      <c r="AA10" s="931"/>
      <c r="AB10" s="931"/>
      <c r="AC10" s="930"/>
      <c r="AD10" s="931"/>
      <c r="AE10" s="931"/>
      <c r="AF10" s="931"/>
      <c r="AG10" s="931"/>
      <c r="AH10" s="930"/>
      <c r="AI10" s="931"/>
      <c r="AJ10" s="931"/>
      <c r="AK10" s="931"/>
      <c r="AL10" s="931"/>
      <c r="AM10" s="930"/>
      <c r="AN10" s="931"/>
      <c r="AO10" s="932"/>
      <c r="AP10" s="932"/>
      <c r="AQ10" s="931"/>
      <c r="AR10" s="930"/>
      <c r="AS10" s="931"/>
      <c r="AT10" s="932"/>
      <c r="AU10" s="932"/>
      <c r="AV10" s="931"/>
      <c r="AW10" s="930"/>
      <c r="AX10" s="931"/>
      <c r="AY10" s="932"/>
      <c r="AZ10" s="932"/>
      <c r="BA10" s="931"/>
      <c r="BB10" s="930"/>
      <c r="BC10" s="931"/>
      <c r="BD10" s="932"/>
      <c r="BE10" s="932"/>
      <c r="BF10" s="931"/>
      <c r="BG10" s="930"/>
      <c r="BH10" s="931"/>
      <c r="BI10" s="932"/>
      <c r="BJ10" s="932"/>
      <c r="BK10" s="931"/>
      <c r="BL10" s="930"/>
      <c r="BM10" s="931"/>
      <c r="BN10" s="932"/>
      <c r="BO10" s="932"/>
      <c r="BP10" s="931"/>
      <c r="BQ10" s="930"/>
      <c r="BR10" s="932"/>
      <c r="BS10" s="931"/>
      <c r="BT10" s="932"/>
      <c r="BU10" s="931"/>
      <c r="BV10" s="930"/>
      <c r="BW10" s="932"/>
      <c r="BX10" s="931"/>
      <c r="BY10" s="932"/>
      <c r="BZ10" s="931"/>
      <c r="CA10" s="930"/>
      <c r="CB10" s="932"/>
      <c r="CC10" s="931"/>
      <c r="CD10" s="932"/>
      <c r="CE10" s="931"/>
      <c r="CF10" s="930"/>
      <c r="CG10" s="931"/>
      <c r="CH10" s="931"/>
      <c r="CI10" s="931"/>
      <c r="CJ10" s="931"/>
      <c r="CK10" s="930"/>
      <c r="CL10" s="931"/>
      <c r="CM10" s="931"/>
      <c r="CN10" s="931"/>
      <c r="CO10" s="931"/>
      <c r="CP10" s="930"/>
      <c r="CQ10" s="931"/>
      <c r="CR10" s="931"/>
      <c r="CS10" s="931"/>
      <c r="CT10" s="931"/>
      <c r="CU10" s="930"/>
      <c r="CV10" s="931"/>
      <c r="CW10" s="931"/>
      <c r="CX10" s="931"/>
      <c r="CY10" s="931"/>
      <c r="CZ10" s="930"/>
      <c r="DA10" s="931"/>
      <c r="DB10" s="931"/>
      <c r="DC10" s="931"/>
      <c r="DD10" s="931"/>
      <c r="DE10" s="930"/>
      <c r="DF10" s="931"/>
      <c r="DG10" s="931"/>
      <c r="DH10" s="931"/>
      <c r="DI10" s="931"/>
      <c r="DJ10" s="930"/>
      <c r="DK10" s="931"/>
      <c r="DL10" s="931"/>
      <c r="DM10" s="931"/>
      <c r="DN10" s="931"/>
      <c r="DO10" s="930"/>
      <c r="DP10" s="931"/>
      <c r="DQ10" s="931"/>
      <c r="DR10" s="931"/>
      <c r="DS10" s="931"/>
      <c r="DT10" s="930"/>
      <c r="DU10" s="931"/>
      <c r="DV10" s="931"/>
      <c r="DW10" s="931"/>
      <c r="DX10" s="931"/>
      <c r="DY10" s="930"/>
      <c r="DZ10" s="930"/>
      <c r="EA10" s="930"/>
      <c r="EB10" s="930"/>
    </row>
    <row r="11" spans="1:132" s="941" customFormat="1" ht="12" hidden="1" customHeight="1" outlineLevel="1">
      <c r="A11" s="795"/>
      <c r="B11" s="942" t="s">
        <v>190</v>
      </c>
      <c r="C11" s="937"/>
      <c r="D11" s="937"/>
      <c r="E11" s="937"/>
      <c r="F11" s="937"/>
      <c r="G11" s="937"/>
      <c r="H11" s="937"/>
      <c r="I11" s="937"/>
      <c r="J11" s="936"/>
      <c r="K11" s="936"/>
      <c r="L11" s="936"/>
      <c r="M11" s="936"/>
      <c r="N11" s="937"/>
      <c r="O11" s="936"/>
      <c r="P11" s="936"/>
      <c r="Q11" s="936"/>
      <c r="R11" s="936"/>
      <c r="S11" s="937"/>
      <c r="T11" s="936"/>
      <c r="U11" s="936"/>
      <c r="V11" s="936"/>
      <c r="W11" s="936"/>
      <c r="X11" s="937"/>
      <c r="Y11" s="936"/>
      <c r="Z11" s="936"/>
      <c r="AA11" s="936"/>
      <c r="AB11" s="936"/>
      <c r="AC11" s="937"/>
      <c r="AD11" s="936"/>
      <c r="AE11" s="936"/>
      <c r="AF11" s="936"/>
      <c r="AG11" s="936"/>
      <c r="AH11" s="937"/>
      <c r="AI11" s="936"/>
      <c r="AJ11" s="936"/>
      <c r="AK11" s="936"/>
      <c r="AL11" s="936"/>
      <c r="AM11" s="937"/>
      <c r="AN11" s="936"/>
      <c r="AO11" s="938"/>
      <c r="AP11" s="938"/>
      <c r="AQ11" s="936"/>
      <c r="AR11" s="937"/>
      <c r="AS11" s="936"/>
      <c r="AT11" s="938"/>
      <c r="AU11" s="938"/>
      <c r="AV11" s="936"/>
      <c r="AW11" s="937"/>
      <c r="AX11" s="936"/>
      <c r="AY11" s="938"/>
      <c r="AZ11" s="938"/>
      <c r="BA11" s="936"/>
      <c r="BB11" s="937"/>
      <c r="BC11" s="936"/>
      <c r="BD11" s="938"/>
      <c r="BE11" s="938"/>
      <c r="BF11" s="936"/>
      <c r="BG11" s="937"/>
      <c r="BH11" s="936"/>
      <c r="BI11" s="936"/>
      <c r="BJ11" s="936"/>
      <c r="BK11" s="936"/>
      <c r="BL11" s="937"/>
      <c r="BM11" s="936"/>
      <c r="BN11" s="936"/>
      <c r="BO11" s="936"/>
      <c r="BP11" s="936"/>
      <c r="BQ11" s="937"/>
      <c r="BR11" s="936"/>
      <c r="BS11" s="936"/>
      <c r="BT11" s="936"/>
      <c r="BU11" s="936"/>
      <c r="BV11" s="937"/>
      <c r="BW11" s="936"/>
      <c r="BX11" s="936"/>
      <c r="BY11" s="936"/>
      <c r="BZ11" s="936"/>
      <c r="CA11" s="937"/>
      <c r="CB11" s="936"/>
      <c r="CC11" s="936"/>
      <c r="CD11" s="936"/>
      <c r="CE11" s="939"/>
      <c r="CF11" s="937"/>
      <c r="CG11" s="939"/>
      <c r="CH11" s="939"/>
      <c r="CI11" s="939"/>
      <c r="CJ11" s="936"/>
      <c r="CK11" s="937"/>
      <c r="CL11" s="936"/>
      <c r="CM11" s="939"/>
      <c r="CN11" s="939"/>
      <c r="CO11" s="939"/>
      <c r="CP11" s="937"/>
      <c r="CQ11" s="939"/>
      <c r="CR11" s="939"/>
      <c r="CS11" s="939"/>
      <c r="CT11" s="936"/>
      <c r="CU11" s="937"/>
      <c r="CV11" s="939"/>
      <c r="CW11" s="936"/>
      <c r="CX11" s="939"/>
      <c r="CY11" s="939"/>
      <c r="CZ11" s="937"/>
      <c r="DA11" s="939"/>
      <c r="DB11" s="939"/>
      <c r="DC11" s="939"/>
      <c r="DD11" s="939"/>
      <c r="DE11" s="937"/>
      <c r="DF11" s="936"/>
      <c r="DG11" s="936"/>
      <c r="DH11" s="936"/>
      <c r="DI11" s="936"/>
      <c r="DJ11" s="940"/>
      <c r="DK11" s="936"/>
      <c r="DL11" s="936"/>
      <c r="DM11" s="936"/>
      <c r="DN11" s="936"/>
      <c r="DO11" s="940"/>
      <c r="DP11" s="939"/>
      <c r="DQ11" s="939"/>
      <c r="DR11" s="939"/>
      <c r="DS11" s="939"/>
      <c r="DT11" s="940"/>
      <c r="DU11" s="939"/>
      <c r="DV11" s="939"/>
      <c r="DW11" s="939"/>
      <c r="DX11" s="939"/>
      <c r="DY11" s="940"/>
      <c r="DZ11" s="940"/>
      <c r="EA11" s="940"/>
      <c r="EB11" s="940"/>
    </row>
    <row r="12" spans="1:132" s="31" customFormat="1" ht="12" hidden="1" customHeight="1" outlineLevel="1">
      <c r="A12" s="74"/>
      <c r="B12" s="74" t="s">
        <v>560</v>
      </c>
      <c r="C12" s="930"/>
      <c r="D12" s="930">
        <v>8</v>
      </c>
      <c r="E12" s="930">
        <v>24</v>
      </c>
      <c r="F12" s="930">
        <v>6</v>
      </c>
      <c r="G12" s="930">
        <v>4</v>
      </c>
      <c r="H12" s="930">
        <v>5</v>
      </c>
      <c r="I12" s="930">
        <v>6</v>
      </c>
      <c r="J12" s="931">
        <v>2</v>
      </c>
      <c r="K12" s="931">
        <v>1</v>
      </c>
      <c r="L12" s="931">
        <v>0</v>
      </c>
      <c r="M12" s="931">
        <v>0</v>
      </c>
      <c r="N12" s="930">
        <f>SUM(J12:M12)</f>
        <v>3</v>
      </c>
      <c r="O12" s="931">
        <v>0</v>
      </c>
      <c r="P12" s="931">
        <v>0</v>
      </c>
      <c r="Q12" s="931">
        <v>1</v>
      </c>
      <c r="R12" s="931">
        <v>2</v>
      </c>
      <c r="S12" s="930">
        <f>SUM(O12:R12)</f>
        <v>3</v>
      </c>
      <c r="T12" s="931">
        <v>3</v>
      </c>
      <c r="U12" s="931">
        <v>2</v>
      </c>
      <c r="V12" s="931">
        <v>5</v>
      </c>
      <c r="W12" s="931">
        <v>0</v>
      </c>
      <c r="X12" s="930">
        <f>SUM(T12:W12)</f>
        <v>10</v>
      </c>
      <c r="Y12" s="931"/>
      <c r="Z12" s="931"/>
      <c r="AA12" s="931"/>
      <c r="AB12" s="931"/>
      <c r="AC12" s="930"/>
      <c r="AD12" s="931"/>
      <c r="AE12" s="931"/>
      <c r="AF12" s="931"/>
      <c r="AG12" s="931"/>
      <c r="AH12" s="930"/>
      <c r="AI12" s="931"/>
      <c r="AJ12" s="931"/>
      <c r="AK12" s="931"/>
      <c r="AL12" s="931"/>
      <c r="AM12" s="930"/>
      <c r="AN12" s="931"/>
      <c r="AO12" s="932"/>
      <c r="AP12" s="932"/>
      <c r="AQ12" s="931"/>
      <c r="AR12" s="930"/>
      <c r="AS12" s="931"/>
      <c r="AT12" s="932"/>
      <c r="AU12" s="932"/>
      <c r="AV12" s="931"/>
      <c r="AW12" s="930"/>
      <c r="AX12" s="931"/>
      <c r="AY12" s="932"/>
      <c r="AZ12" s="932"/>
      <c r="BA12" s="931"/>
      <c r="BB12" s="930"/>
      <c r="BC12" s="931"/>
      <c r="BD12" s="932"/>
      <c r="BE12" s="932"/>
      <c r="BF12" s="931"/>
      <c r="BG12" s="930"/>
      <c r="BH12" s="931"/>
      <c r="BI12" s="932"/>
      <c r="BJ12" s="932"/>
      <c r="BK12" s="931"/>
      <c r="BL12" s="930"/>
      <c r="BM12" s="931"/>
      <c r="BN12" s="932"/>
      <c r="BO12" s="932"/>
      <c r="BP12" s="931"/>
      <c r="BQ12" s="930"/>
      <c r="BR12" s="932"/>
      <c r="BS12" s="931"/>
      <c r="BT12" s="932"/>
      <c r="BU12" s="931"/>
      <c r="BV12" s="930"/>
      <c r="BW12" s="932"/>
      <c r="BX12" s="931"/>
      <c r="BY12" s="932"/>
      <c r="BZ12" s="931"/>
      <c r="CA12" s="930"/>
      <c r="CB12" s="932"/>
      <c r="CC12" s="931"/>
      <c r="CD12" s="932"/>
      <c r="CE12" s="931"/>
      <c r="CF12" s="930"/>
      <c r="CG12" s="931"/>
      <c r="CH12" s="931"/>
      <c r="CI12" s="931"/>
      <c r="CJ12" s="931"/>
      <c r="CK12" s="930"/>
      <c r="CL12" s="931"/>
      <c r="CM12" s="931"/>
      <c r="CN12" s="931"/>
      <c r="CO12" s="931"/>
      <c r="CP12" s="930"/>
      <c r="CQ12" s="931"/>
      <c r="CR12" s="931"/>
      <c r="CS12" s="931"/>
      <c r="CT12" s="931"/>
      <c r="CU12" s="930"/>
      <c r="CV12" s="931"/>
      <c r="CW12" s="931"/>
      <c r="CX12" s="931"/>
      <c r="CY12" s="931"/>
      <c r="CZ12" s="930"/>
      <c r="DA12" s="931"/>
      <c r="DB12" s="931"/>
      <c r="DC12" s="931"/>
      <c r="DD12" s="931"/>
      <c r="DE12" s="930"/>
      <c r="DF12" s="931"/>
      <c r="DG12" s="931"/>
      <c r="DH12" s="931"/>
      <c r="DI12" s="931"/>
      <c r="DJ12" s="930"/>
      <c r="DK12" s="931"/>
      <c r="DL12" s="931"/>
      <c r="DM12" s="931"/>
      <c r="DN12" s="931"/>
      <c r="DO12" s="930"/>
      <c r="DP12" s="931"/>
      <c r="DQ12" s="931"/>
      <c r="DR12" s="931"/>
      <c r="DS12" s="931"/>
      <c r="DT12" s="930"/>
      <c r="DU12" s="931"/>
      <c r="DV12" s="931"/>
      <c r="DW12" s="931"/>
      <c r="DX12" s="931"/>
      <c r="DY12" s="930"/>
      <c r="DZ12" s="930"/>
      <c r="EA12" s="930"/>
      <c r="EB12" s="930"/>
    </row>
    <row r="13" spans="1:132" s="941" customFormat="1" ht="12" hidden="1" customHeight="1" outlineLevel="1">
      <c r="A13" s="795"/>
      <c r="B13" s="942" t="s">
        <v>190</v>
      </c>
      <c r="C13" s="937"/>
      <c r="D13" s="937"/>
      <c r="E13" s="937"/>
      <c r="F13" s="937"/>
      <c r="G13" s="937"/>
      <c r="H13" s="937"/>
      <c r="I13" s="937"/>
      <c r="J13" s="936"/>
      <c r="K13" s="936"/>
      <c r="L13" s="936"/>
      <c r="M13" s="936"/>
      <c r="N13" s="937"/>
      <c r="O13" s="936"/>
      <c r="P13" s="936"/>
      <c r="Q13" s="936"/>
      <c r="R13" s="936"/>
      <c r="S13" s="937"/>
      <c r="T13" s="936"/>
      <c r="U13" s="936"/>
      <c r="V13" s="936"/>
      <c r="W13" s="936"/>
      <c r="X13" s="937"/>
      <c r="Y13" s="936"/>
      <c r="Z13" s="936"/>
      <c r="AA13" s="936"/>
      <c r="AB13" s="936"/>
      <c r="AC13" s="937"/>
      <c r="AD13" s="936"/>
      <c r="AE13" s="936"/>
      <c r="AF13" s="936"/>
      <c r="AG13" s="936"/>
      <c r="AH13" s="937"/>
      <c r="AI13" s="936"/>
      <c r="AJ13" s="936"/>
      <c r="AK13" s="936"/>
      <c r="AL13" s="936"/>
      <c r="AM13" s="937"/>
      <c r="AN13" s="936"/>
      <c r="AO13" s="938"/>
      <c r="AP13" s="938"/>
      <c r="AQ13" s="936"/>
      <c r="AR13" s="937"/>
      <c r="AS13" s="936"/>
      <c r="AT13" s="938"/>
      <c r="AU13" s="938"/>
      <c r="AV13" s="936"/>
      <c r="AW13" s="937"/>
      <c r="AX13" s="936"/>
      <c r="AY13" s="938"/>
      <c r="AZ13" s="938"/>
      <c r="BA13" s="936"/>
      <c r="BB13" s="937"/>
      <c r="BC13" s="936"/>
      <c r="BD13" s="938"/>
      <c r="BE13" s="938"/>
      <c r="BF13" s="936"/>
      <c r="BG13" s="937"/>
      <c r="BH13" s="936"/>
      <c r="BI13" s="936"/>
      <c r="BJ13" s="936"/>
      <c r="BK13" s="936"/>
      <c r="BL13" s="937"/>
      <c r="BM13" s="936"/>
      <c r="BN13" s="936"/>
      <c r="BO13" s="936"/>
      <c r="BP13" s="936"/>
      <c r="BQ13" s="937"/>
      <c r="BR13" s="936"/>
      <c r="BS13" s="936"/>
      <c r="BT13" s="936"/>
      <c r="BU13" s="936"/>
      <c r="BV13" s="937"/>
      <c r="BW13" s="936"/>
      <c r="BX13" s="936"/>
      <c r="BY13" s="936"/>
      <c r="BZ13" s="936"/>
      <c r="CA13" s="937"/>
      <c r="CB13" s="936"/>
      <c r="CC13" s="936"/>
      <c r="CD13" s="936"/>
      <c r="CE13" s="939"/>
      <c r="CF13" s="937"/>
      <c r="CG13" s="939"/>
      <c r="CH13" s="939"/>
      <c r="CI13" s="939"/>
      <c r="CJ13" s="936"/>
      <c r="CK13" s="937"/>
      <c r="CL13" s="936"/>
      <c r="CM13" s="939"/>
      <c r="CN13" s="939"/>
      <c r="CO13" s="939"/>
      <c r="CP13" s="937"/>
      <c r="CQ13" s="939"/>
      <c r="CR13" s="939"/>
      <c r="CS13" s="939"/>
      <c r="CT13" s="936"/>
      <c r="CU13" s="937"/>
      <c r="CV13" s="939"/>
      <c r="CW13" s="936"/>
      <c r="CX13" s="939"/>
      <c r="CY13" s="939"/>
      <c r="CZ13" s="937"/>
      <c r="DA13" s="939"/>
      <c r="DB13" s="939"/>
      <c r="DC13" s="939"/>
      <c r="DD13" s="939"/>
      <c r="DE13" s="937"/>
      <c r="DF13" s="936"/>
      <c r="DG13" s="936"/>
      <c r="DH13" s="936"/>
      <c r="DI13" s="936"/>
      <c r="DJ13" s="940"/>
      <c r="DK13" s="936"/>
      <c r="DL13" s="936"/>
      <c r="DM13" s="936"/>
      <c r="DN13" s="936"/>
      <c r="DO13" s="940"/>
      <c r="DP13" s="939"/>
      <c r="DQ13" s="939"/>
      <c r="DR13" s="939"/>
      <c r="DS13" s="939"/>
      <c r="DT13" s="940"/>
      <c r="DU13" s="939"/>
      <c r="DV13" s="939"/>
      <c r="DW13" s="939"/>
      <c r="DX13" s="939"/>
      <c r="DY13" s="940"/>
      <c r="DZ13" s="940"/>
      <c r="EA13" s="940"/>
      <c r="EB13" s="940"/>
    </row>
    <row r="14" spans="1:132" s="31" customFormat="1" ht="12" hidden="1" customHeight="1" outlineLevel="1">
      <c r="A14" s="74"/>
      <c r="B14" s="74" t="s">
        <v>558</v>
      </c>
      <c r="C14" s="930">
        <v>3</v>
      </c>
      <c r="D14" s="930">
        <v>85</v>
      </c>
      <c r="E14" s="930">
        <v>96</v>
      </c>
      <c r="F14" s="930">
        <v>78</v>
      </c>
      <c r="G14" s="930">
        <v>88</v>
      </c>
      <c r="H14" s="930">
        <v>74</v>
      </c>
      <c r="I14" s="930">
        <v>81</v>
      </c>
      <c r="J14" s="931">
        <v>22</v>
      </c>
      <c r="K14" s="931">
        <v>33</v>
      </c>
      <c r="L14" s="931">
        <v>32</v>
      </c>
      <c r="M14" s="931">
        <v>25</v>
      </c>
      <c r="N14" s="930">
        <f>SUM(J14:M14)</f>
        <v>112</v>
      </c>
      <c r="O14" s="931">
        <v>23</v>
      </c>
      <c r="P14" s="931">
        <v>23</v>
      </c>
      <c r="Q14" s="931">
        <v>24</v>
      </c>
      <c r="R14" s="931">
        <v>25</v>
      </c>
      <c r="S14" s="930">
        <f>SUM(O14:R14)</f>
        <v>95</v>
      </c>
      <c r="T14" s="931">
        <v>28</v>
      </c>
      <c r="U14" s="931">
        <v>27</v>
      </c>
      <c r="V14" s="931">
        <v>29</v>
      </c>
      <c r="W14" s="931">
        <v>25</v>
      </c>
      <c r="X14" s="930">
        <f>SUM(T14:W14)</f>
        <v>109</v>
      </c>
      <c r="Y14" s="931">
        <v>27</v>
      </c>
      <c r="Z14" s="931">
        <v>26</v>
      </c>
      <c r="AA14" s="931">
        <v>27</v>
      </c>
      <c r="AB14" s="931">
        <v>21</v>
      </c>
      <c r="AC14" s="930">
        <f>SUM(Y14:AB14)</f>
        <v>101</v>
      </c>
      <c r="AD14" s="931">
        <v>20</v>
      </c>
      <c r="AE14" s="931">
        <v>23</v>
      </c>
      <c r="AF14" s="931">
        <v>15</v>
      </c>
      <c r="AG14" s="931">
        <v>4</v>
      </c>
      <c r="AH14" s="930">
        <f>SUM(AD14:AG14)</f>
        <v>62</v>
      </c>
      <c r="AI14" s="931">
        <v>10</v>
      </c>
      <c r="AJ14" s="931">
        <v>13</v>
      </c>
      <c r="AK14" s="931">
        <v>17</v>
      </c>
      <c r="AL14" s="931">
        <v>13</v>
      </c>
      <c r="AM14" s="930">
        <f>SUM(AI14:AL14)</f>
        <v>53</v>
      </c>
      <c r="AN14" s="931">
        <v>7</v>
      </c>
      <c r="AO14" s="932">
        <v>8</v>
      </c>
      <c r="AP14" s="932">
        <v>8</v>
      </c>
      <c r="AQ14" s="931">
        <v>4</v>
      </c>
      <c r="AR14" s="930">
        <f>SUM(AN14:AQ14)</f>
        <v>27</v>
      </c>
      <c r="AS14" s="931">
        <v>8</v>
      </c>
      <c r="AT14" s="932">
        <v>12</v>
      </c>
      <c r="AU14" s="932">
        <v>16</v>
      </c>
      <c r="AV14" s="931">
        <v>8</v>
      </c>
      <c r="AW14" s="930">
        <f>SUM(AS14:AV14)</f>
        <v>44</v>
      </c>
      <c r="AX14" s="931">
        <v>1</v>
      </c>
      <c r="AY14" s="932">
        <v>2</v>
      </c>
      <c r="AZ14" s="932">
        <v>3</v>
      </c>
      <c r="BA14" s="931">
        <v>1</v>
      </c>
      <c r="BB14" s="930">
        <f>SUM(AX14:BA14)</f>
        <v>7</v>
      </c>
      <c r="BC14" s="931">
        <v>3</v>
      </c>
      <c r="BD14" s="932">
        <v>4</v>
      </c>
      <c r="BE14" s="932">
        <v>3</v>
      </c>
      <c r="BF14" s="931">
        <v>2</v>
      </c>
      <c r="BG14" s="930">
        <f>SUM(BC14:BF14)</f>
        <v>12</v>
      </c>
      <c r="BH14" s="931">
        <v>1</v>
      </c>
      <c r="BI14" s="932">
        <v>6</v>
      </c>
      <c r="BJ14" s="932">
        <v>3</v>
      </c>
      <c r="BK14" s="931">
        <v>3</v>
      </c>
      <c r="BL14" s="930">
        <f>SUM(BH14:BK14)</f>
        <v>13</v>
      </c>
      <c r="BM14" s="931">
        <v>2</v>
      </c>
      <c r="BN14" s="932">
        <v>3</v>
      </c>
      <c r="BO14" s="932">
        <v>1</v>
      </c>
      <c r="BP14" s="931">
        <v>1</v>
      </c>
      <c r="BQ14" s="930">
        <f>SUM(BM14:BP14)</f>
        <v>7</v>
      </c>
      <c r="BR14" s="932">
        <v>0</v>
      </c>
      <c r="BS14" s="931">
        <v>3</v>
      </c>
      <c r="BT14" s="932">
        <v>5</v>
      </c>
      <c r="BU14" s="931">
        <v>1</v>
      </c>
      <c r="BV14" s="930">
        <f>SUM(BR14:BU14)</f>
        <v>9</v>
      </c>
      <c r="BW14" s="932">
        <v>0</v>
      </c>
      <c r="BX14" s="931">
        <v>1</v>
      </c>
      <c r="BY14" s="932">
        <v>2</v>
      </c>
      <c r="BZ14" s="931">
        <v>1</v>
      </c>
      <c r="CA14" s="930">
        <f>SUM(BW14:BZ14)</f>
        <v>4</v>
      </c>
      <c r="CB14" s="932">
        <v>1</v>
      </c>
      <c r="CC14" s="931">
        <v>1</v>
      </c>
      <c r="CD14" s="932">
        <v>0</v>
      </c>
      <c r="CE14" s="931">
        <v>0</v>
      </c>
      <c r="CF14" s="930">
        <f>SUM(CB14:CE14)</f>
        <v>2</v>
      </c>
      <c r="CG14" s="292">
        <v>0</v>
      </c>
      <c r="CH14" s="292">
        <v>2</v>
      </c>
      <c r="CI14" s="292">
        <v>0</v>
      </c>
      <c r="CJ14" s="292">
        <v>0</v>
      </c>
      <c r="CK14" s="930">
        <f>SUM(CG14:CJ14)</f>
        <v>2</v>
      </c>
      <c r="CL14" s="292">
        <v>0</v>
      </c>
      <c r="CM14" s="292">
        <v>0</v>
      </c>
      <c r="CN14" s="292">
        <v>0</v>
      </c>
      <c r="CO14" s="292">
        <v>0</v>
      </c>
      <c r="CP14" s="930">
        <f>SUM(CL14:CO14)</f>
        <v>0</v>
      </c>
      <c r="CQ14" s="292">
        <v>0</v>
      </c>
      <c r="CR14" s="292">
        <v>0</v>
      </c>
      <c r="CS14" s="292">
        <v>0</v>
      </c>
      <c r="CT14" s="292">
        <v>0</v>
      </c>
      <c r="CU14" s="930">
        <f>SUM(CQ14:CT14)</f>
        <v>0</v>
      </c>
      <c r="CV14" s="951"/>
      <c r="CW14" s="292"/>
      <c r="CX14" s="951"/>
      <c r="CY14" s="951"/>
      <c r="CZ14" s="930">
        <f>SUM(CV14:CY14)</f>
        <v>0</v>
      </c>
      <c r="DA14" s="951"/>
      <c r="DB14" s="951"/>
      <c r="DC14" s="951"/>
      <c r="DD14" s="951"/>
      <c r="DE14" s="930">
        <f>SUM(DA14:DD14)</f>
        <v>0</v>
      </c>
      <c r="DF14" s="292"/>
      <c r="DG14" s="292"/>
      <c r="DH14" s="292"/>
      <c r="DI14" s="292"/>
      <c r="DJ14" s="930"/>
      <c r="DK14" s="292"/>
      <c r="DL14" s="292"/>
      <c r="DM14" s="292"/>
      <c r="DN14" s="292"/>
      <c r="DO14" s="930"/>
      <c r="DP14" s="951"/>
      <c r="DQ14" s="951"/>
      <c r="DR14" s="951"/>
      <c r="DS14" s="951"/>
      <c r="DT14" s="930"/>
      <c r="DU14" s="951"/>
      <c r="DV14" s="951"/>
      <c r="DW14" s="951"/>
      <c r="DX14" s="951"/>
      <c r="DY14" s="930"/>
      <c r="DZ14" s="930"/>
      <c r="EA14" s="930"/>
      <c r="EB14" s="930"/>
    </row>
    <row r="15" spans="1:132" s="941" customFormat="1" ht="12" hidden="1" customHeight="1" outlineLevel="1">
      <c r="A15" s="795"/>
      <c r="B15" s="942" t="s">
        <v>190</v>
      </c>
      <c r="C15" s="937"/>
      <c r="D15" s="937"/>
      <c r="E15" s="937"/>
      <c r="F15" s="937"/>
      <c r="G15" s="937"/>
      <c r="H15" s="937"/>
      <c r="I15" s="937"/>
      <c r="J15" s="936"/>
      <c r="K15" s="936"/>
      <c r="L15" s="936"/>
      <c r="M15" s="936"/>
      <c r="N15" s="937"/>
      <c r="O15" s="936"/>
      <c r="P15" s="936"/>
      <c r="Q15" s="936"/>
      <c r="R15" s="936"/>
      <c r="S15" s="937"/>
      <c r="T15" s="936"/>
      <c r="U15" s="936"/>
      <c r="V15" s="936"/>
      <c r="W15" s="936"/>
      <c r="X15" s="937"/>
      <c r="Y15" s="936"/>
      <c r="Z15" s="936"/>
      <c r="AA15" s="936"/>
      <c r="AB15" s="936"/>
      <c r="AC15" s="937"/>
      <c r="AD15" s="936"/>
      <c r="AE15" s="936"/>
      <c r="AF15" s="936"/>
      <c r="AG15" s="936"/>
      <c r="AH15" s="937"/>
      <c r="AI15" s="936"/>
      <c r="AJ15" s="936"/>
      <c r="AK15" s="936"/>
      <c r="AL15" s="936"/>
      <c r="AM15" s="937"/>
      <c r="AN15" s="936"/>
      <c r="AO15" s="938"/>
      <c r="AP15" s="938"/>
      <c r="AQ15" s="936"/>
      <c r="AR15" s="937"/>
      <c r="AS15" s="936"/>
      <c r="AT15" s="938"/>
      <c r="AU15" s="938"/>
      <c r="AV15" s="936"/>
      <c r="AW15" s="937"/>
      <c r="AX15" s="936"/>
      <c r="AY15" s="938"/>
      <c r="AZ15" s="938"/>
      <c r="BA15" s="936"/>
      <c r="BB15" s="937"/>
      <c r="BC15" s="936"/>
      <c r="BD15" s="938"/>
      <c r="BE15" s="938"/>
      <c r="BF15" s="936"/>
      <c r="BG15" s="937"/>
      <c r="BH15" s="936">
        <f>78.3*0.45</f>
        <v>35.234999999999999</v>
      </c>
      <c r="BI15" s="936">
        <f>78.3*0.45</f>
        <v>35.234999999999999</v>
      </c>
      <c r="BJ15" s="936">
        <f>78.3*0.45</f>
        <v>35.234999999999999</v>
      </c>
      <c r="BK15" s="936">
        <f>78.3*0.45</f>
        <v>35.234999999999999</v>
      </c>
      <c r="BL15" s="943">
        <f>IFERROR(SUMPRODUCT(BH14:BK14,BH15:BK15)/BL14,"--")</f>
        <v>35.234999999999999</v>
      </c>
      <c r="BM15" s="936">
        <f>80.6*0.45</f>
        <v>36.269999999999996</v>
      </c>
      <c r="BN15" s="936">
        <f>80.6*0.45</f>
        <v>36.269999999999996</v>
      </c>
      <c r="BO15" s="936">
        <f>80.6*0.45</f>
        <v>36.269999999999996</v>
      </c>
      <c r="BP15" s="936">
        <f>80.6*0.45</f>
        <v>36.269999999999996</v>
      </c>
      <c r="BQ15" s="943">
        <f>IFERROR(SUMPRODUCT(BM14:BP14,BM15:BP15)/BQ14,"--")</f>
        <v>36.269999999999989</v>
      </c>
      <c r="BR15" s="936">
        <f>80.6*0.45</f>
        <v>36.269999999999996</v>
      </c>
      <c r="BS15" s="936">
        <f>80.6*0.45</f>
        <v>36.269999999999996</v>
      </c>
      <c r="BT15" s="936">
        <f>80.6*0.45</f>
        <v>36.269999999999996</v>
      </c>
      <c r="BU15" s="936">
        <f>80.6*0.45</f>
        <v>36.269999999999996</v>
      </c>
      <c r="BV15" s="943">
        <f>IFERROR(SUMPRODUCT(BR14:BU14,BR15:BU15)/BV14,"--")</f>
        <v>36.269999999999996</v>
      </c>
      <c r="BW15" s="936">
        <f>82.4*0.45</f>
        <v>37.080000000000005</v>
      </c>
      <c r="BX15" s="936">
        <f>82.4*0.45</f>
        <v>37.080000000000005</v>
      </c>
      <c r="BY15" s="936">
        <f>82.4*0.45</f>
        <v>37.080000000000005</v>
      </c>
      <c r="BZ15" s="936">
        <f>82.4*0.45</f>
        <v>37.080000000000005</v>
      </c>
      <c r="CA15" s="943">
        <f>IFERROR(SUMPRODUCT(BW14:BZ14,BW15:BZ15)/CA14,"--")</f>
        <v>37.080000000000005</v>
      </c>
      <c r="CB15" s="936">
        <f>85.8*0.45</f>
        <v>38.61</v>
      </c>
      <c r="CC15" s="936">
        <f>85.8*0.45</f>
        <v>38.61</v>
      </c>
      <c r="CD15" s="936">
        <f>85.8*0.45</f>
        <v>38.61</v>
      </c>
      <c r="CE15" s="936">
        <f>85.8*0.45</f>
        <v>38.61</v>
      </c>
      <c r="CF15" s="943">
        <f>IFERROR(SUMPRODUCT(CB14:CE14,CB15:CE15)/CF14,"--")</f>
        <v>38.61</v>
      </c>
      <c r="CG15" s="936">
        <f>CB15</f>
        <v>38.61</v>
      </c>
      <c r="CH15" s="936">
        <f>CC15</f>
        <v>38.61</v>
      </c>
      <c r="CI15" s="936">
        <f>CD15</f>
        <v>38.61</v>
      </c>
      <c r="CJ15" s="936">
        <f>CE15</f>
        <v>38.61</v>
      </c>
      <c r="CK15" s="943">
        <f>IFERROR(SUMPRODUCT(CG14:CJ14,CG15:CJ15)/CK14,"--")</f>
        <v>38.61</v>
      </c>
      <c r="CL15" s="936">
        <f>CG15</f>
        <v>38.61</v>
      </c>
      <c r="CM15" s="936">
        <f>CH15</f>
        <v>38.61</v>
      </c>
      <c r="CN15" s="936">
        <f>CI15</f>
        <v>38.61</v>
      </c>
      <c r="CO15" s="936">
        <f>CJ15</f>
        <v>38.61</v>
      </c>
      <c r="CP15" s="943" t="str">
        <f>IFERROR(SUMPRODUCT(CL14:CO14,CL15:CO15)/CP14,"--")</f>
        <v>--</v>
      </c>
      <c r="CQ15" s="936">
        <f>CO15</f>
        <v>38.61</v>
      </c>
      <c r="CR15" s="936">
        <f>CQ15</f>
        <v>38.61</v>
      </c>
      <c r="CS15" s="936">
        <f>CR15</f>
        <v>38.61</v>
      </c>
      <c r="CT15" s="936">
        <f>CS15</f>
        <v>38.61</v>
      </c>
      <c r="CU15" s="943" t="str">
        <f>IFERROR(SUMPRODUCT(CQ14:CT14,CQ15:CT15)/CU14,"--")</f>
        <v>--</v>
      </c>
      <c r="CV15" s="939"/>
      <c r="CW15" s="936"/>
      <c r="CX15" s="936"/>
      <c r="CY15" s="939"/>
      <c r="CZ15" s="943" t="str">
        <f>IFERROR(SUMPRODUCT(CV14:CY14,CV15:CY15)/CZ14,"--")</f>
        <v>--</v>
      </c>
      <c r="DA15" s="939"/>
      <c r="DB15" s="939"/>
      <c r="DC15" s="939"/>
      <c r="DD15" s="939"/>
      <c r="DE15" s="943" t="str">
        <f>IFERROR(SUMPRODUCT(DA14:DD14,DA15:DD15)/DE14,"--")</f>
        <v>--</v>
      </c>
      <c r="DF15" s="936"/>
      <c r="DG15" s="936"/>
      <c r="DH15" s="936"/>
      <c r="DI15" s="936"/>
      <c r="DJ15" s="940"/>
      <c r="DK15" s="936"/>
      <c r="DL15" s="936"/>
      <c r="DM15" s="936"/>
      <c r="DN15" s="936"/>
      <c r="DO15" s="940"/>
      <c r="DP15" s="939"/>
      <c r="DQ15" s="939"/>
      <c r="DR15" s="939"/>
      <c r="DS15" s="939"/>
      <c r="DT15" s="940"/>
      <c r="DU15" s="939"/>
      <c r="DV15" s="939"/>
      <c r="DW15" s="939"/>
      <c r="DX15" s="939"/>
      <c r="DY15" s="940"/>
      <c r="DZ15" s="940"/>
      <c r="EA15" s="940"/>
      <c r="EB15" s="940"/>
    </row>
    <row r="16" spans="1:132" s="31" customFormat="1" ht="12" hidden="1" customHeight="1" outlineLevel="1">
      <c r="A16" s="74"/>
      <c r="B16" s="74" t="s">
        <v>554</v>
      </c>
      <c r="C16" s="930"/>
      <c r="D16" s="930">
        <v>65</v>
      </c>
      <c r="E16" s="930">
        <v>133</v>
      </c>
      <c r="F16" s="930">
        <v>185</v>
      </c>
      <c r="G16" s="930">
        <v>168</v>
      </c>
      <c r="H16" s="930">
        <v>126</v>
      </c>
      <c r="I16" s="930">
        <v>69</v>
      </c>
      <c r="J16" s="931">
        <v>28</v>
      </c>
      <c r="K16" s="931">
        <v>13</v>
      </c>
      <c r="L16" s="931">
        <v>15</v>
      </c>
      <c r="M16" s="931">
        <v>22</v>
      </c>
      <c r="N16" s="930">
        <f>SUM(J16:M16)</f>
        <v>78</v>
      </c>
      <c r="O16" s="931">
        <v>30</v>
      </c>
      <c r="P16" s="931">
        <v>34</v>
      </c>
      <c r="Q16" s="931">
        <v>16</v>
      </c>
      <c r="R16" s="931">
        <v>24</v>
      </c>
      <c r="S16" s="930">
        <f>SUM(O16:R16)</f>
        <v>104</v>
      </c>
      <c r="T16" s="931">
        <v>37</v>
      </c>
      <c r="U16" s="931">
        <v>40</v>
      </c>
      <c r="V16" s="931">
        <v>44</v>
      </c>
      <c r="W16" s="931">
        <v>51</v>
      </c>
      <c r="X16" s="930">
        <f>SUM(T16:W16)</f>
        <v>172</v>
      </c>
      <c r="Y16" s="931">
        <v>53</v>
      </c>
      <c r="Z16" s="931">
        <v>57</v>
      </c>
      <c r="AA16" s="931">
        <v>51</v>
      </c>
      <c r="AB16" s="931">
        <v>53</v>
      </c>
      <c r="AC16" s="930">
        <f>SUM(Y16:AB16)</f>
        <v>214</v>
      </c>
      <c r="AD16" s="931">
        <v>57</v>
      </c>
      <c r="AE16" s="931">
        <v>62</v>
      </c>
      <c r="AF16" s="931">
        <v>47</v>
      </c>
      <c r="AG16" s="931">
        <v>26</v>
      </c>
      <c r="AH16" s="930">
        <f>SUM(AD16:AG16)</f>
        <v>192</v>
      </c>
      <c r="AI16" s="931">
        <v>72</v>
      </c>
      <c r="AJ16" s="931">
        <v>77</v>
      </c>
      <c r="AK16" s="931">
        <v>64</v>
      </c>
      <c r="AL16" s="931">
        <v>73</v>
      </c>
      <c r="AM16" s="930">
        <f>SUM(AI16:AL16)</f>
        <v>286</v>
      </c>
      <c r="AN16" s="931">
        <v>73</v>
      </c>
      <c r="AO16" s="932">
        <v>86</v>
      </c>
      <c r="AP16" s="932">
        <v>82</v>
      </c>
      <c r="AQ16" s="931">
        <v>83</v>
      </c>
      <c r="AR16" s="930">
        <f>SUM(AN16:AQ16)</f>
        <v>324</v>
      </c>
      <c r="AS16" s="931">
        <v>75</v>
      </c>
      <c r="AT16" s="932">
        <v>75</v>
      </c>
      <c r="AU16" s="932">
        <v>76</v>
      </c>
      <c r="AV16" s="931">
        <v>71</v>
      </c>
      <c r="AW16" s="930">
        <f>SUM(AS16:AV16)</f>
        <v>297</v>
      </c>
      <c r="AX16" s="931">
        <v>87</v>
      </c>
      <c r="AY16" s="932">
        <v>95</v>
      </c>
      <c r="AZ16" s="932">
        <v>89</v>
      </c>
      <c r="BA16" s="931">
        <v>89</v>
      </c>
      <c r="BB16" s="930">
        <f>SUM(AX16:BA16)</f>
        <v>360</v>
      </c>
      <c r="BC16" s="931">
        <v>86</v>
      </c>
      <c r="BD16" s="932">
        <v>95</v>
      </c>
      <c r="BE16" s="932">
        <v>97</v>
      </c>
      <c r="BF16" s="931">
        <v>77</v>
      </c>
      <c r="BG16" s="930">
        <f>SUM(BC16:BF16)</f>
        <v>355</v>
      </c>
      <c r="BH16" s="931">
        <v>91</v>
      </c>
      <c r="BI16" s="932">
        <v>100</v>
      </c>
      <c r="BJ16" s="932">
        <v>100</v>
      </c>
      <c r="BK16" s="931">
        <v>108</v>
      </c>
      <c r="BL16" s="930">
        <f>SUM(BH16:BK16)</f>
        <v>399</v>
      </c>
      <c r="BM16" s="931">
        <v>98</v>
      </c>
      <c r="BN16" s="932">
        <v>102</v>
      </c>
      <c r="BO16" s="932">
        <v>105</v>
      </c>
      <c r="BP16" s="931">
        <v>106</v>
      </c>
      <c r="BQ16" s="930">
        <f>SUM(BM16:BP16)</f>
        <v>411</v>
      </c>
      <c r="BR16" s="932">
        <v>104</v>
      </c>
      <c r="BS16" s="931">
        <v>114</v>
      </c>
      <c r="BT16" s="932">
        <v>102</v>
      </c>
      <c r="BU16" s="931">
        <v>109</v>
      </c>
      <c r="BV16" s="930">
        <f>SUM(BR16:BU16)</f>
        <v>429</v>
      </c>
      <c r="BW16" s="932">
        <v>102</v>
      </c>
      <c r="BX16" s="931">
        <v>108</v>
      </c>
      <c r="BY16" s="932">
        <v>110</v>
      </c>
      <c r="BZ16" s="931">
        <v>94</v>
      </c>
      <c r="CA16" s="930">
        <f>SUM(BW16:BZ16)</f>
        <v>414</v>
      </c>
      <c r="CB16" s="932">
        <v>88</v>
      </c>
      <c r="CC16" s="931">
        <v>76</v>
      </c>
      <c r="CD16" s="932">
        <v>73</v>
      </c>
      <c r="CE16" s="931">
        <v>54</v>
      </c>
      <c r="CF16" s="930">
        <f>SUM(CB16:CE16)</f>
        <v>291</v>
      </c>
      <c r="CG16" s="292">
        <v>13</v>
      </c>
      <c r="CH16" s="292">
        <v>12</v>
      </c>
      <c r="CI16" s="292">
        <v>3</v>
      </c>
      <c r="CJ16" s="292">
        <v>9</v>
      </c>
      <c r="CK16" s="930">
        <f>SUM(CG16:CJ16)</f>
        <v>37</v>
      </c>
      <c r="CL16" s="292">
        <v>5</v>
      </c>
      <c r="CM16" s="292">
        <v>4</v>
      </c>
      <c r="CN16" s="292">
        <v>3</v>
      </c>
      <c r="CO16" s="292">
        <v>4</v>
      </c>
      <c r="CP16" s="930">
        <f>SUM(CL16:CO16)</f>
        <v>16</v>
      </c>
      <c r="CQ16" s="292">
        <v>5</v>
      </c>
      <c r="CR16" s="292">
        <v>3</v>
      </c>
      <c r="CS16" s="292">
        <v>3</v>
      </c>
      <c r="CT16" s="292">
        <v>0</v>
      </c>
      <c r="CU16" s="930">
        <f>SUM(CQ16:CT16)</f>
        <v>11</v>
      </c>
      <c r="CV16" s="292">
        <v>2</v>
      </c>
      <c r="CW16" s="292">
        <v>1</v>
      </c>
      <c r="CX16" s="292">
        <v>0</v>
      </c>
      <c r="CY16" s="292">
        <v>2</v>
      </c>
      <c r="CZ16" s="930">
        <f>SUM(CV16:CY16)</f>
        <v>5</v>
      </c>
      <c r="DA16" s="292">
        <v>2</v>
      </c>
      <c r="DB16" s="292">
        <v>2</v>
      </c>
      <c r="DC16" s="292">
        <v>1</v>
      </c>
      <c r="DD16" s="292">
        <v>0</v>
      </c>
      <c r="DE16" s="930">
        <f>SUM(DA16:DD16)</f>
        <v>5</v>
      </c>
      <c r="DF16" s="292">
        <v>1</v>
      </c>
      <c r="DG16" s="292">
        <v>1</v>
      </c>
      <c r="DH16" s="292">
        <v>2</v>
      </c>
      <c r="DI16" s="292">
        <v>1</v>
      </c>
      <c r="DJ16" s="930">
        <f>SUM(DF16:DI16)</f>
        <v>5</v>
      </c>
      <c r="DK16" s="292">
        <v>1</v>
      </c>
      <c r="DL16" s="292">
        <v>2</v>
      </c>
      <c r="DM16" s="292">
        <v>0</v>
      </c>
      <c r="DN16" s="292">
        <v>2</v>
      </c>
      <c r="DO16" s="930">
        <f>SUM(DK16:DN16)</f>
        <v>5</v>
      </c>
      <c r="DP16" s="292">
        <v>1</v>
      </c>
      <c r="DQ16" s="951">
        <v>2</v>
      </c>
      <c r="DR16" s="951">
        <v>0</v>
      </c>
      <c r="DS16" s="951">
        <v>0</v>
      </c>
      <c r="DT16" s="1025">
        <f>SUM(DP16:DS16)</f>
        <v>3</v>
      </c>
      <c r="DU16" s="951">
        <v>0</v>
      </c>
      <c r="DV16" s="951">
        <v>0</v>
      </c>
      <c r="DW16" s="951">
        <v>0</v>
      </c>
      <c r="DX16" s="951">
        <v>0</v>
      </c>
      <c r="DY16" s="1025">
        <f>SUM(DU16:DX16)</f>
        <v>0</v>
      </c>
      <c r="DZ16" s="1088">
        <v>0</v>
      </c>
      <c r="EA16" s="1088">
        <v>0</v>
      </c>
      <c r="EB16" s="1088">
        <v>0</v>
      </c>
    </row>
    <row r="17" spans="1:132" s="941" customFormat="1" ht="12" hidden="1" customHeight="1" outlineLevel="1">
      <c r="A17" s="795"/>
      <c r="B17" s="942" t="s">
        <v>190</v>
      </c>
      <c r="C17" s="937"/>
      <c r="D17" s="937"/>
      <c r="E17" s="937"/>
      <c r="F17" s="937"/>
      <c r="G17" s="937"/>
      <c r="H17" s="937"/>
      <c r="I17" s="937"/>
      <c r="J17" s="936"/>
      <c r="K17" s="936"/>
      <c r="L17" s="936"/>
      <c r="M17" s="936"/>
      <c r="N17" s="937"/>
      <c r="O17" s="936"/>
      <c r="P17" s="936"/>
      <c r="Q17" s="936"/>
      <c r="R17" s="936"/>
      <c r="S17" s="937"/>
      <c r="T17" s="936"/>
      <c r="U17" s="936"/>
      <c r="V17" s="936"/>
      <c r="W17" s="936"/>
      <c r="X17" s="937"/>
      <c r="Y17" s="936"/>
      <c r="Z17" s="936"/>
      <c r="AA17" s="936"/>
      <c r="AB17" s="936"/>
      <c r="AC17" s="937"/>
      <c r="AD17" s="936"/>
      <c r="AE17" s="936"/>
      <c r="AF17" s="936"/>
      <c r="AG17" s="936"/>
      <c r="AH17" s="937"/>
      <c r="AI17" s="936"/>
      <c r="AJ17" s="936"/>
      <c r="AK17" s="936"/>
      <c r="AL17" s="936"/>
      <c r="AM17" s="937"/>
      <c r="AN17" s="936"/>
      <c r="AO17" s="938"/>
      <c r="AP17" s="938"/>
      <c r="AQ17" s="936"/>
      <c r="AR17" s="937"/>
      <c r="AS17" s="936"/>
      <c r="AT17" s="938"/>
      <c r="AU17" s="938"/>
      <c r="AV17" s="936"/>
      <c r="AW17" s="937"/>
      <c r="AX17" s="936"/>
      <c r="AY17" s="938"/>
      <c r="AZ17" s="938"/>
      <c r="BA17" s="936"/>
      <c r="BB17" s="937"/>
      <c r="BC17" s="936"/>
      <c r="BD17" s="938"/>
      <c r="BE17" s="938"/>
      <c r="BF17" s="936"/>
      <c r="BG17" s="937"/>
      <c r="BH17" s="936">
        <f>93.3*0.5</f>
        <v>46.65</v>
      </c>
      <c r="BI17" s="936">
        <f t="shared" ref="BI17:BK17" si="0">93.3*0.5</f>
        <v>46.65</v>
      </c>
      <c r="BJ17" s="936">
        <f t="shared" si="0"/>
        <v>46.65</v>
      </c>
      <c r="BK17" s="936">
        <f t="shared" si="0"/>
        <v>46.65</v>
      </c>
      <c r="BL17" s="943">
        <f>IFERROR(SUMPRODUCT(BH16:BK16,BH17:BK17)/BL16,"--")</f>
        <v>46.65</v>
      </c>
      <c r="BM17" s="936">
        <f>96*0.5</f>
        <v>48</v>
      </c>
      <c r="BN17" s="936">
        <f t="shared" ref="BN17:BP17" si="1">96*0.5</f>
        <v>48</v>
      </c>
      <c r="BO17" s="936">
        <f t="shared" si="1"/>
        <v>48</v>
      </c>
      <c r="BP17" s="936">
        <f t="shared" si="1"/>
        <v>48</v>
      </c>
      <c r="BQ17" s="943">
        <f>IFERROR(SUMPRODUCT(BM16:BP16,BM17:BP17)/BQ16,"--")</f>
        <v>48</v>
      </c>
      <c r="BR17" s="936">
        <f>96*0.5</f>
        <v>48</v>
      </c>
      <c r="BS17" s="936">
        <f t="shared" ref="BS17:BU17" si="2">96*0.5</f>
        <v>48</v>
      </c>
      <c r="BT17" s="936">
        <f t="shared" si="2"/>
        <v>48</v>
      </c>
      <c r="BU17" s="936">
        <f t="shared" si="2"/>
        <v>48</v>
      </c>
      <c r="BV17" s="943">
        <f>IFERROR(SUMPRODUCT(BR16:BU16,BR17:BU17)/BV16,"--")</f>
        <v>48</v>
      </c>
      <c r="BW17" s="936">
        <f>98.1*0.5</f>
        <v>49.05</v>
      </c>
      <c r="BX17" s="936">
        <f t="shared" ref="BX17:BZ17" si="3">98.1*0.5</f>
        <v>49.05</v>
      </c>
      <c r="BY17" s="936">
        <f t="shared" si="3"/>
        <v>49.05</v>
      </c>
      <c r="BZ17" s="936">
        <f t="shared" si="3"/>
        <v>49.05</v>
      </c>
      <c r="CA17" s="943">
        <f>IFERROR(SUMPRODUCT(BW16:BZ16,BW17:BZ17)/CA16,"--")</f>
        <v>49.050000000000004</v>
      </c>
      <c r="CB17" s="936">
        <f>102.2*0.475</f>
        <v>48.545000000000002</v>
      </c>
      <c r="CC17" s="936">
        <f>102.2*0.475</f>
        <v>48.545000000000002</v>
      </c>
      <c r="CD17" s="936">
        <f>102.2*0.475</f>
        <v>48.545000000000002</v>
      </c>
      <c r="CE17" s="936">
        <f>102.2*0.475</f>
        <v>48.545000000000002</v>
      </c>
      <c r="CF17" s="943">
        <f>IFERROR(SUMPRODUCT(CB16:CE16,CB17:CE17)/CF16,"--")</f>
        <v>48.545000000000002</v>
      </c>
      <c r="CG17" s="936">
        <f>CB17</f>
        <v>48.545000000000002</v>
      </c>
      <c r="CH17" s="936">
        <f>CC17</f>
        <v>48.545000000000002</v>
      </c>
      <c r="CI17" s="936">
        <f>CD17</f>
        <v>48.545000000000002</v>
      </c>
      <c r="CJ17" s="936">
        <f>CE17</f>
        <v>48.545000000000002</v>
      </c>
      <c r="CK17" s="943">
        <f>IFERROR(SUMPRODUCT(CG16:CJ16,CG17:CJ17)/CK16,"--")</f>
        <v>48.545000000000002</v>
      </c>
      <c r="CL17" s="936">
        <f>CG17</f>
        <v>48.545000000000002</v>
      </c>
      <c r="CM17" s="936">
        <f>CH17</f>
        <v>48.545000000000002</v>
      </c>
      <c r="CN17" s="936">
        <f>CI17</f>
        <v>48.545000000000002</v>
      </c>
      <c r="CO17" s="936">
        <f>CJ17</f>
        <v>48.545000000000002</v>
      </c>
      <c r="CP17" s="943">
        <f>IFERROR(SUMPRODUCT(CL16:CO16,CL17:CO17)/CP16,"--")</f>
        <v>48.545000000000002</v>
      </c>
      <c r="CQ17" s="936">
        <f>CO17</f>
        <v>48.545000000000002</v>
      </c>
      <c r="CR17" s="936">
        <f>CQ17</f>
        <v>48.545000000000002</v>
      </c>
      <c r="CS17" s="936">
        <f>CR17</f>
        <v>48.545000000000002</v>
      </c>
      <c r="CT17" s="936">
        <f>CS17</f>
        <v>48.545000000000002</v>
      </c>
      <c r="CU17" s="943">
        <f>IFERROR(SUMPRODUCT(CQ16:CT16,CQ17:CT17)/CU16,"--")</f>
        <v>48.545000000000002</v>
      </c>
      <c r="CV17" s="936">
        <f>CU17</f>
        <v>48.545000000000002</v>
      </c>
      <c r="CW17" s="936">
        <f>CV17</f>
        <v>48.545000000000002</v>
      </c>
      <c r="CX17" s="936">
        <f>CW17</f>
        <v>48.545000000000002</v>
      </c>
      <c r="CY17" s="936">
        <f>CX17</f>
        <v>48.545000000000002</v>
      </c>
      <c r="CZ17" s="943">
        <f>IFERROR(SUMPRODUCT(CV16:CY16,CV17:CY17)/CZ16,"--")</f>
        <v>48.545000000000002</v>
      </c>
      <c r="DA17" s="936">
        <f t="shared" ref="DA17:DH17" si="4">CZ17</f>
        <v>48.545000000000002</v>
      </c>
      <c r="DB17" s="936">
        <f t="shared" si="4"/>
        <v>48.545000000000002</v>
      </c>
      <c r="DC17" s="936">
        <f t="shared" si="4"/>
        <v>48.545000000000002</v>
      </c>
      <c r="DD17" s="936">
        <f t="shared" si="4"/>
        <v>48.545000000000002</v>
      </c>
      <c r="DE17" s="943">
        <f>IFERROR(SUMPRODUCT(DA16:DD16,DA17:DD17)/DE16,"--")</f>
        <v>48.545000000000002</v>
      </c>
      <c r="DF17" s="936">
        <f t="shared" si="4"/>
        <v>48.545000000000002</v>
      </c>
      <c r="DG17" s="936">
        <f t="shared" si="4"/>
        <v>48.545000000000002</v>
      </c>
      <c r="DH17" s="936">
        <f t="shared" si="4"/>
        <v>48.545000000000002</v>
      </c>
      <c r="DI17" s="936">
        <v>49</v>
      </c>
      <c r="DJ17" s="943">
        <f>IFERROR(SUMPRODUCT(DF16:DI16,DF17:DI17)/DJ16,"--")</f>
        <v>48.636000000000003</v>
      </c>
      <c r="DK17" s="936">
        <v>49</v>
      </c>
      <c r="DL17" s="936">
        <v>49</v>
      </c>
      <c r="DM17" s="936">
        <v>49</v>
      </c>
      <c r="DN17" s="936">
        <v>49</v>
      </c>
      <c r="DO17" s="943">
        <f>IFERROR(SUMPRODUCT(DK16:DN16,DK17:DN17)/DO16,"--")</f>
        <v>49</v>
      </c>
      <c r="DP17" s="936">
        <v>49</v>
      </c>
      <c r="DQ17" s="1085">
        <v>49</v>
      </c>
      <c r="DR17" s="1085">
        <v>49</v>
      </c>
      <c r="DS17" s="1085">
        <v>49</v>
      </c>
      <c r="DT17" s="1026">
        <f>IFERROR(SUMPRODUCT(DP16:DS16,DP17:DS17)/DT16,"--")</f>
        <v>49</v>
      </c>
      <c r="DU17" s="1085">
        <v>49</v>
      </c>
      <c r="DV17" s="1085">
        <v>49</v>
      </c>
      <c r="DW17" s="1085">
        <v>49</v>
      </c>
      <c r="DX17" s="1085">
        <v>49</v>
      </c>
      <c r="DY17" s="1026" t="str">
        <f>IFERROR(SUMPRODUCT(DU16:DX16,DU17:DX17)/DY16,"--")</f>
        <v>--</v>
      </c>
      <c r="DZ17" s="1089">
        <v>49</v>
      </c>
      <c r="EA17" s="1089">
        <v>49</v>
      </c>
      <c r="EB17" s="1089">
        <v>49</v>
      </c>
    </row>
    <row r="18" spans="1:132" s="31" customFormat="1" ht="12" hidden="1" customHeight="1" outlineLevel="1">
      <c r="A18" s="74"/>
      <c r="B18" s="74" t="s">
        <v>559</v>
      </c>
      <c r="C18" s="930"/>
      <c r="D18" s="930"/>
      <c r="E18" s="930"/>
      <c r="F18" s="930"/>
      <c r="G18" s="930">
        <v>21</v>
      </c>
      <c r="H18" s="930">
        <v>8</v>
      </c>
      <c r="I18" s="930">
        <v>11</v>
      </c>
      <c r="J18" s="931">
        <v>1</v>
      </c>
      <c r="K18" s="931">
        <v>3</v>
      </c>
      <c r="L18" s="931">
        <v>1</v>
      </c>
      <c r="M18" s="931">
        <v>1</v>
      </c>
      <c r="N18" s="930">
        <f>SUM(J18:M18)</f>
        <v>6</v>
      </c>
      <c r="O18" s="931">
        <v>0</v>
      </c>
      <c r="P18" s="931">
        <v>2</v>
      </c>
      <c r="Q18" s="931">
        <v>4</v>
      </c>
      <c r="R18" s="931">
        <v>0</v>
      </c>
      <c r="S18" s="930">
        <f>SUM(O18:R18)</f>
        <v>6</v>
      </c>
      <c r="T18" s="931">
        <v>0</v>
      </c>
      <c r="U18" s="931">
        <v>0</v>
      </c>
      <c r="V18" s="931">
        <v>0</v>
      </c>
      <c r="W18" s="931">
        <v>0</v>
      </c>
      <c r="X18" s="930">
        <f>SUM(T18:W18)</f>
        <v>0</v>
      </c>
      <c r="Y18" s="931">
        <v>0</v>
      </c>
      <c r="Z18" s="931">
        <v>3</v>
      </c>
      <c r="AA18" s="931">
        <v>2</v>
      </c>
      <c r="AB18" s="931">
        <v>4</v>
      </c>
      <c r="AC18" s="930">
        <f>SUM(Y18:AB18)</f>
        <v>9</v>
      </c>
      <c r="AD18" s="931">
        <v>9</v>
      </c>
      <c r="AE18" s="931">
        <v>13</v>
      </c>
      <c r="AF18" s="931">
        <v>4</v>
      </c>
      <c r="AG18" s="931">
        <v>4</v>
      </c>
      <c r="AH18" s="930">
        <f>SUM(AD18:AG18)</f>
        <v>30</v>
      </c>
      <c r="AI18" s="931">
        <v>7</v>
      </c>
      <c r="AJ18" s="931">
        <v>8</v>
      </c>
      <c r="AK18" s="931">
        <v>8</v>
      </c>
      <c r="AL18" s="931">
        <v>5</v>
      </c>
      <c r="AM18" s="930">
        <f>SUM(AI18:AL18)</f>
        <v>28</v>
      </c>
      <c r="AN18" s="931">
        <v>4</v>
      </c>
      <c r="AO18" s="932">
        <v>0</v>
      </c>
      <c r="AP18" s="932">
        <v>7</v>
      </c>
      <c r="AQ18" s="931">
        <v>4</v>
      </c>
      <c r="AR18" s="930">
        <f>SUM(AN18:AQ18)</f>
        <v>15</v>
      </c>
      <c r="AS18" s="931">
        <v>3</v>
      </c>
      <c r="AT18" s="932">
        <v>6</v>
      </c>
      <c r="AU18" s="932">
        <v>6</v>
      </c>
      <c r="AV18" s="931">
        <v>9</v>
      </c>
      <c r="AW18" s="930">
        <f>SUM(AS18:AV18)</f>
        <v>24</v>
      </c>
      <c r="AX18" s="931">
        <v>10</v>
      </c>
      <c r="AY18" s="932">
        <v>11</v>
      </c>
      <c r="AZ18" s="932">
        <v>8</v>
      </c>
      <c r="BA18" s="931">
        <v>15</v>
      </c>
      <c r="BB18" s="930">
        <f>SUM(AX18:BA18)</f>
        <v>44</v>
      </c>
      <c r="BC18" s="931">
        <v>12</v>
      </c>
      <c r="BD18" s="932">
        <v>15</v>
      </c>
      <c r="BE18" s="932">
        <v>10</v>
      </c>
      <c r="BF18" s="931">
        <v>30</v>
      </c>
      <c r="BG18" s="930">
        <f>SUM(BC18:BF18)</f>
        <v>67</v>
      </c>
      <c r="BH18" s="931">
        <v>23</v>
      </c>
      <c r="BI18" s="932">
        <v>17</v>
      </c>
      <c r="BJ18" s="932">
        <v>16</v>
      </c>
      <c r="BK18" s="931">
        <v>14</v>
      </c>
      <c r="BL18" s="930">
        <f>SUM(BH18:BK18)</f>
        <v>70</v>
      </c>
      <c r="BM18" s="931">
        <v>21</v>
      </c>
      <c r="BN18" s="932">
        <v>23</v>
      </c>
      <c r="BO18" s="932">
        <v>19</v>
      </c>
      <c r="BP18" s="931">
        <v>10</v>
      </c>
      <c r="BQ18" s="930">
        <f>SUM(BM18:BP18)</f>
        <v>73</v>
      </c>
      <c r="BR18" s="932">
        <v>17</v>
      </c>
      <c r="BS18" s="931">
        <v>10</v>
      </c>
      <c r="BT18" s="932">
        <v>13</v>
      </c>
      <c r="BU18" s="931">
        <v>12</v>
      </c>
      <c r="BV18" s="930">
        <f>SUM(BR18:BU18)</f>
        <v>52</v>
      </c>
      <c r="BW18" s="932">
        <v>11</v>
      </c>
      <c r="BX18" s="931">
        <v>8</v>
      </c>
      <c r="BY18" s="932">
        <v>9</v>
      </c>
      <c r="BZ18" s="931">
        <v>9</v>
      </c>
      <c r="CA18" s="930">
        <f>SUM(BW18:BZ18)</f>
        <v>37</v>
      </c>
      <c r="CB18" s="932">
        <v>6</v>
      </c>
      <c r="CC18" s="931">
        <v>8</v>
      </c>
      <c r="CD18" s="932">
        <v>8</v>
      </c>
      <c r="CE18" s="931">
        <v>12</v>
      </c>
      <c r="CF18" s="930">
        <f>SUM(CB18:CE18)</f>
        <v>34</v>
      </c>
      <c r="CG18" s="292">
        <v>9</v>
      </c>
      <c r="CH18" s="292">
        <v>9</v>
      </c>
      <c r="CI18" s="292">
        <v>1</v>
      </c>
      <c r="CJ18" s="292">
        <v>0</v>
      </c>
      <c r="CK18" s="930">
        <f>SUM(CG18:CJ18)</f>
        <v>19</v>
      </c>
      <c r="CL18" s="292">
        <v>0</v>
      </c>
      <c r="CM18" s="292">
        <v>0</v>
      </c>
      <c r="CN18" s="292">
        <v>0</v>
      </c>
      <c r="CO18" s="292">
        <v>0</v>
      </c>
      <c r="CP18" s="930">
        <f>SUM(CL18:CO18)</f>
        <v>0</v>
      </c>
      <c r="CQ18" s="292">
        <v>0</v>
      </c>
      <c r="CR18" s="292">
        <v>0</v>
      </c>
      <c r="CS18" s="292">
        <v>0</v>
      </c>
      <c r="CT18" s="292">
        <v>0</v>
      </c>
      <c r="CU18" s="930">
        <f>SUM(CQ18:CT18)</f>
        <v>0</v>
      </c>
      <c r="CV18" s="292"/>
      <c r="CW18" s="292"/>
      <c r="CX18" s="292"/>
      <c r="CY18" s="292"/>
      <c r="CZ18" s="930">
        <f>SUM(CV18:CY18)</f>
        <v>0</v>
      </c>
      <c r="DA18" s="292"/>
      <c r="DB18" s="292"/>
      <c r="DC18" s="292"/>
      <c r="DD18" s="292"/>
      <c r="DE18" s="930">
        <f>SUM(DA18:DD18)</f>
        <v>0</v>
      </c>
      <c r="DF18" s="292"/>
      <c r="DG18" s="292"/>
      <c r="DH18" s="292"/>
      <c r="DI18" s="292"/>
      <c r="DJ18" s="930"/>
      <c r="DK18" s="292"/>
      <c r="DL18" s="292"/>
      <c r="DM18" s="292"/>
      <c r="DN18" s="292"/>
      <c r="DO18" s="930"/>
      <c r="DP18" s="292"/>
      <c r="DQ18" s="951"/>
      <c r="DR18" s="951"/>
      <c r="DS18" s="951"/>
      <c r="DT18" s="930"/>
      <c r="DU18" s="951"/>
      <c r="DV18" s="951"/>
      <c r="DW18" s="951"/>
      <c r="DX18" s="951"/>
      <c r="DY18" s="930"/>
      <c r="DZ18" s="930"/>
      <c r="EA18" s="930"/>
      <c r="EB18" s="930"/>
    </row>
    <row r="19" spans="1:132" s="941" customFormat="1" ht="12" hidden="1" customHeight="1" outlineLevel="1">
      <c r="A19" s="795"/>
      <c r="B19" s="942" t="s">
        <v>190</v>
      </c>
      <c r="C19" s="937"/>
      <c r="D19" s="937"/>
      <c r="E19" s="937"/>
      <c r="F19" s="937"/>
      <c r="G19" s="937"/>
      <c r="H19" s="937"/>
      <c r="I19" s="937"/>
      <c r="J19" s="936"/>
      <c r="K19" s="936"/>
      <c r="L19" s="936"/>
      <c r="M19" s="936"/>
      <c r="N19" s="937"/>
      <c r="O19" s="936"/>
      <c r="P19" s="936"/>
      <c r="Q19" s="936"/>
      <c r="R19" s="936"/>
      <c r="S19" s="937"/>
      <c r="T19" s="936"/>
      <c r="U19" s="936"/>
      <c r="V19" s="936"/>
      <c r="W19" s="936"/>
      <c r="X19" s="937"/>
      <c r="Y19" s="936"/>
      <c r="Z19" s="936"/>
      <c r="AA19" s="936"/>
      <c r="AB19" s="936"/>
      <c r="AC19" s="937"/>
      <c r="AD19" s="936"/>
      <c r="AE19" s="936"/>
      <c r="AF19" s="936"/>
      <c r="AG19" s="936"/>
      <c r="AH19" s="937"/>
      <c r="AI19" s="936"/>
      <c r="AJ19" s="936"/>
      <c r="AK19" s="936"/>
      <c r="AL19" s="936"/>
      <c r="AM19" s="937"/>
      <c r="AN19" s="936"/>
      <c r="AO19" s="938"/>
      <c r="AP19" s="938"/>
      <c r="AQ19" s="936"/>
      <c r="AR19" s="937"/>
      <c r="AS19" s="936"/>
      <c r="AT19" s="938"/>
      <c r="AU19" s="938"/>
      <c r="AV19" s="936"/>
      <c r="AW19" s="937"/>
      <c r="AX19" s="936"/>
      <c r="AY19" s="938"/>
      <c r="AZ19" s="938"/>
      <c r="BA19" s="936"/>
      <c r="BB19" s="937"/>
      <c r="BC19" s="936"/>
      <c r="BD19" s="938"/>
      <c r="BE19" s="938"/>
      <c r="BF19" s="936"/>
      <c r="BG19" s="937"/>
      <c r="BH19" s="936">
        <f>99*0.5</f>
        <v>49.5</v>
      </c>
      <c r="BI19" s="936">
        <f t="shared" ref="BI19:BK19" si="5">99*0.5</f>
        <v>49.5</v>
      </c>
      <c r="BJ19" s="936">
        <f t="shared" si="5"/>
        <v>49.5</v>
      </c>
      <c r="BK19" s="936">
        <f t="shared" si="5"/>
        <v>49.5</v>
      </c>
      <c r="BL19" s="943">
        <f>IFERROR(SUMPRODUCT(BH18:BK18,BH19:BK19)/BL18,"--")</f>
        <v>49.5</v>
      </c>
      <c r="BM19" s="936">
        <f>101.9*0.5</f>
        <v>50.95</v>
      </c>
      <c r="BN19" s="936">
        <f t="shared" ref="BN19:BP19" si="6">101.9*0.5</f>
        <v>50.95</v>
      </c>
      <c r="BO19" s="936">
        <f t="shared" si="6"/>
        <v>50.95</v>
      </c>
      <c r="BP19" s="936">
        <f t="shared" si="6"/>
        <v>50.95</v>
      </c>
      <c r="BQ19" s="943">
        <f>IFERROR(SUMPRODUCT(BM18:BP18,BM19:BP19)/BQ18,"--")</f>
        <v>50.95</v>
      </c>
      <c r="BR19" s="936">
        <f>101.9*0.475</f>
        <v>48.402500000000003</v>
      </c>
      <c r="BS19" s="936">
        <f>101.9*0.475</f>
        <v>48.402500000000003</v>
      </c>
      <c r="BT19" s="936">
        <f>101.9*0.475</f>
        <v>48.402500000000003</v>
      </c>
      <c r="BU19" s="936">
        <f>101.9*0.475</f>
        <v>48.402500000000003</v>
      </c>
      <c r="BV19" s="943">
        <f>IFERROR(SUMPRODUCT(BR18:BU18,BR19:BU19)/BV18,"--")</f>
        <v>48.402500000000003</v>
      </c>
      <c r="BW19" s="936">
        <f>104.1*0.475</f>
        <v>49.447499999999998</v>
      </c>
      <c r="BX19" s="936">
        <f>104.1*0.475</f>
        <v>49.447499999999998</v>
      </c>
      <c r="BY19" s="936">
        <f>104.1*0.475</f>
        <v>49.447499999999998</v>
      </c>
      <c r="BZ19" s="936">
        <f>104.1*0.475</f>
        <v>49.447499999999998</v>
      </c>
      <c r="CA19" s="943">
        <f>IFERROR(SUMPRODUCT(BW18:BZ18,BW19:BZ19)/CA18,"--")</f>
        <v>49.447499999999998</v>
      </c>
      <c r="CB19" s="936">
        <f>108.4*0.475</f>
        <v>51.49</v>
      </c>
      <c r="CC19" s="936">
        <f>108.4*0.475</f>
        <v>51.49</v>
      </c>
      <c r="CD19" s="936">
        <f>108.4*0.475</f>
        <v>51.49</v>
      </c>
      <c r="CE19" s="936">
        <f>108.4*0.475</f>
        <v>51.49</v>
      </c>
      <c r="CF19" s="943">
        <f>IFERROR(SUMPRODUCT(CB18:CE18,CB19:CE19)/CF18,"--")</f>
        <v>51.489999999999995</v>
      </c>
      <c r="CG19" s="936">
        <f>CB19</f>
        <v>51.49</v>
      </c>
      <c r="CH19" s="936">
        <f>CC19</f>
        <v>51.49</v>
      </c>
      <c r="CI19" s="936">
        <f>CD19</f>
        <v>51.49</v>
      </c>
      <c r="CJ19" s="936">
        <f>CE19</f>
        <v>51.49</v>
      </c>
      <c r="CK19" s="943">
        <f>IFERROR(SUMPRODUCT(CG18:CJ18,CG19:CJ19)/CK18,"--")</f>
        <v>51.49</v>
      </c>
      <c r="CL19" s="936">
        <f>CG19</f>
        <v>51.49</v>
      </c>
      <c r="CM19" s="936">
        <f>CH19</f>
        <v>51.49</v>
      </c>
      <c r="CN19" s="936">
        <f>CI19</f>
        <v>51.49</v>
      </c>
      <c r="CO19" s="936">
        <f>CJ19</f>
        <v>51.49</v>
      </c>
      <c r="CP19" s="943" t="str">
        <f>IFERROR(SUMPRODUCT(CL18:CO18,CL19:CO19)/CP18,"--")</f>
        <v>--</v>
      </c>
      <c r="CQ19" s="936">
        <f>CO19</f>
        <v>51.49</v>
      </c>
      <c r="CR19" s="936">
        <f>CQ19</f>
        <v>51.49</v>
      </c>
      <c r="CS19" s="936">
        <f>CR19</f>
        <v>51.49</v>
      </c>
      <c r="CT19" s="936">
        <f>CS19</f>
        <v>51.49</v>
      </c>
      <c r="CU19" s="943" t="str">
        <f>IFERROR(SUMPRODUCT(CQ18:CT18,CQ19:CT19)/CU18,"--")</f>
        <v>--</v>
      </c>
      <c r="CV19" s="936"/>
      <c r="CW19" s="936"/>
      <c r="CX19" s="936"/>
      <c r="CY19" s="936"/>
      <c r="CZ19" s="943" t="str">
        <f>IFERROR(SUMPRODUCT(CV18:CY18,CV19:CY19)/CZ18,"--")</f>
        <v>--</v>
      </c>
      <c r="DA19" s="936"/>
      <c r="DB19" s="936"/>
      <c r="DC19" s="936"/>
      <c r="DD19" s="936"/>
      <c r="DE19" s="943" t="str">
        <f>IFERROR(SUMPRODUCT(DA18:DD18,DA19:DD19)/DE18,"--")</f>
        <v>--</v>
      </c>
      <c r="DF19" s="936"/>
      <c r="DG19" s="936"/>
      <c r="DH19" s="936"/>
      <c r="DI19" s="936"/>
      <c r="DJ19" s="940"/>
      <c r="DK19" s="936"/>
      <c r="DL19" s="936"/>
      <c r="DM19" s="936"/>
      <c r="DN19" s="936"/>
      <c r="DO19" s="940"/>
      <c r="DP19" s="936"/>
      <c r="DQ19" s="939"/>
      <c r="DR19" s="939"/>
      <c r="DS19" s="939"/>
      <c r="DT19" s="940"/>
      <c r="DU19" s="939"/>
      <c r="DV19" s="939"/>
      <c r="DW19" s="939"/>
      <c r="DX19" s="939"/>
      <c r="DY19" s="940"/>
      <c r="DZ19" s="940"/>
      <c r="EA19" s="940"/>
      <c r="EB19" s="940"/>
    </row>
    <row r="20" spans="1:132" s="31" customFormat="1" ht="12" hidden="1" customHeight="1" outlineLevel="1">
      <c r="A20" s="74"/>
      <c r="B20" s="74" t="s">
        <v>621</v>
      </c>
      <c r="C20" s="930"/>
      <c r="D20" s="930"/>
      <c r="E20" s="930"/>
      <c r="F20" s="930"/>
      <c r="G20" s="930"/>
      <c r="H20" s="930"/>
      <c r="I20" s="930"/>
      <c r="J20" s="931"/>
      <c r="K20" s="931"/>
      <c r="L20" s="931"/>
      <c r="M20" s="931"/>
      <c r="N20" s="930"/>
      <c r="O20" s="931"/>
      <c r="P20" s="931"/>
      <c r="Q20" s="931"/>
      <c r="R20" s="931"/>
      <c r="S20" s="930"/>
      <c r="T20" s="931"/>
      <c r="U20" s="931"/>
      <c r="V20" s="931"/>
      <c r="W20" s="931"/>
      <c r="X20" s="930"/>
      <c r="Y20" s="931"/>
      <c r="Z20" s="931"/>
      <c r="AA20" s="931"/>
      <c r="AB20" s="931"/>
      <c r="AC20" s="930"/>
      <c r="AD20" s="931"/>
      <c r="AE20" s="931"/>
      <c r="AF20" s="931"/>
      <c r="AG20" s="931"/>
      <c r="AH20" s="930"/>
      <c r="AI20" s="931"/>
      <c r="AJ20" s="931"/>
      <c r="AK20" s="931"/>
      <c r="AL20" s="931"/>
      <c r="AM20" s="930"/>
      <c r="AN20" s="931"/>
      <c r="AO20" s="932"/>
      <c r="AP20" s="932"/>
      <c r="AQ20" s="931"/>
      <c r="AR20" s="930"/>
      <c r="AS20" s="931"/>
      <c r="AT20" s="932"/>
      <c r="AU20" s="932"/>
      <c r="AV20" s="931"/>
      <c r="AW20" s="930"/>
      <c r="AX20" s="931"/>
      <c r="AY20" s="932"/>
      <c r="AZ20" s="932"/>
      <c r="BA20" s="931"/>
      <c r="BB20" s="930"/>
      <c r="BC20" s="931"/>
      <c r="BD20" s="932"/>
      <c r="BE20" s="932"/>
      <c r="BF20" s="931"/>
      <c r="BG20" s="930"/>
      <c r="BH20" s="931"/>
      <c r="BI20" s="932"/>
      <c r="BJ20" s="932"/>
      <c r="BK20" s="931"/>
      <c r="BL20" s="930"/>
      <c r="BM20" s="931"/>
      <c r="BN20" s="932"/>
      <c r="BO20" s="932"/>
      <c r="BP20" s="931"/>
      <c r="BQ20" s="930"/>
      <c r="BR20" s="932"/>
      <c r="BS20" s="931"/>
      <c r="BT20" s="932"/>
      <c r="BU20" s="931"/>
      <c r="BV20" s="930"/>
      <c r="BW20" s="932"/>
      <c r="BX20" s="931"/>
      <c r="BY20" s="932"/>
      <c r="BZ20" s="931"/>
      <c r="CA20" s="930"/>
      <c r="CB20" s="932">
        <v>0</v>
      </c>
      <c r="CC20" s="931">
        <v>0</v>
      </c>
      <c r="CD20" s="932">
        <v>0</v>
      </c>
      <c r="CE20" s="931">
        <v>0</v>
      </c>
      <c r="CF20" s="930">
        <f>SUM(CB20:CE20)</f>
        <v>0</v>
      </c>
      <c r="CG20" s="292">
        <v>0</v>
      </c>
      <c r="CH20" s="292">
        <v>0</v>
      </c>
      <c r="CI20" s="292">
        <v>0</v>
      </c>
      <c r="CJ20" s="292">
        <v>0</v>
      </c>
      <c r="CK20" s="930">
        <f>SUM(CG20:CJ20)</f>
        <v>0</v>
      </c>
      <c r="CL20" s="292">
        <v>0</v>
      </c>
      <c r="CM20" s="292">
        <v>0</v>
      </c>
      <c r="CN20" s="292">
        <v>0</v>
      </c>
      <c r="CO20" s="292">
        <v>0</v>
      </c>
      <c r="CP20" s="930">
        <f>SUM(CL20:CO20)</f>
        <v>0</v>
      </c>
      <c r="CQ20" s="292">
        <v>0</v>
      </c>
      <c r="CR20" s="292">
        <v>0</v>
      </c>
      <c r="CS20" s="292">
        <v>0</v>
      </c>
      <c r="CT20" s="292">
        <v>0</v>
      </c>
      <c r="CU20" s="930">
        <f>SUM(CQ20:CT20)</f>
        <v>0</v>
      </c>
      <c r="CV20" s="292">
        <v>0</v>
      </c>
      <c r="CW20" s="292">
        <v>0</v>
      </c>
      <c r="CX20" s="292">
        <v>0</v>
      </c>
      <c r="CY20" s="292">
        <v>0</v>
      </c>
      <c r="CZ20" s="930">
        <f>SUM(CV20:CY20)</f>
        <v>0</v>
      </c>
      <c r="DA20" s="292">
        <v>0</v>
      </c>
      <c r="DB20" s="292">
        <v>0</v>
      </c>
      <c r="DC20" s="292">
        <v>0</v>
      </c>
      <c r="DD20" s="292">
        <v>0</v>
      </c>
      <c r="DE20" s="930">
        <f>SUM(DA20:DD20)</f>
        <v>0</v>
      </c>
      <c r="DF20" s="292">
        <v>0</v>
      </c>
      <c r="DG20" s="292">
        <v>0</v>
      </c>
      <c r="DH20" s="292">
        <v>0</v>
      </c>
      <c r="DI20" s="292">
        <v>0</v>
      </c>
      <c r="DJ20" s="930">
        <f>SUM(DF20:DI20)</f>
        <v>0</v>
      </c>
      <c r="DK20" s="292">
        <v>0</v>
      </c>
      <c r="DL20" s="292">
        <v>0</v>
      </c>
      <c r="DM20" s="292">
        <v>0</v>
      </c>
      <c r="DN20" s="292">
        <v>0</v>
      </c>
      <c r="DO20" s="930">
        <f>SUM(DK20:DN20)</f>
        <v>0</v>
      </c>
      <c r="DP20" s="292">
        <v>0</v>
      </c>
      <c r="DQ20" s="951">
        <v>0</v>
      </c>
      <c r="DR20" s="951">
        <v>0</v>
      </c>
      <c r="DS20" s="951">
        <v>0</v>
      </c>
      <c r="DT20" s="1025">
        <f>SUM(DP20:DS20)</f>
        <v>0</v>
      </c>
      <c r="DU20" s="951">
        <v>4</v>
      </c>
      <c r="DV20" s="951">
        <v>5</v>
      </c>
      <c r="DW20" s="951">
        <v>5</v>
      </c>
      <c r="DX20" s="951">
        <v>8</v>
      </c>
      <c r="DY20" s="1025">
        <f>SUM(DU20:DX20)</f>
        <v>22</v>
      </c>
      <c r="DZ20" s="950">
        <v>30</v>
      </c>
      <c r="EA20" s="950">
        <v>32</v>
      </c>
      <c r="EB20" s="950">
        <v>37</v>
      </c>
    </row>
    <row r="21" spans="1:132" s="941" customFormat="1" ht="12" hidden="1" customHeight="1" outlineLevel="1">
      <c r="A21" s="795"/>
      <c r="B21" s="942" t="s">
        <v>190</v>
      </c>
      <c r="C21" s="937"/>
      <c r="D21" s="937"/>
      <c r="E21" s="937"/>
      <c r="F21" s="937"/>
      <c r="G21" s="937"/>
      <c r="H21" s="937"/>
      <c r="I21" s="937"/>
      <c r="J21" s="936"/>
      <c r="K21" s="936"/>
      <c r="L21" s="936"/>
      <c r="M21" s="936"/>
      <c r="N21" s="937"/>
      <c r="O21" s="936"/>
      <c r="P21" s="936"/>
      <c r="Q21" s="936"/>
      <c r="R21" s="936"/>
      <c r="S21" s="937"/>
      <c r="T21" s="936"/>
      <c r="U21" s="936"/>
      <c r="V21" s="936"/>
      <c r="W21" s="936"/>
      <c r="X21" s="937"/>
      <c r="Y21" s="936"/>
      <c r="Z21" s="936"/>
      <c r="AA21" s="936"/>
      <c r="AB21" s="936"/>
      <c r="AC21" s="937"/>
      <c r="AD21" s="936"/>
      <c r="AE21" s="936"/>
      <c r="AF21" s="936"/>
      <c r="AG21" s="936"/>
      <c r="AH21" s="937"/>
      <c r="AI21" s="936"/>
      <c r="AJ21" s="936"/>
      <c r="AK21" s="936"/>
      <c r="AL21" s="936"/>
      <c r="AM21" s="937"/>
      <c r="AN21" s="936"/>
      <c r="AO21" s="938"/>
      <c r="AP21" s="938"/>
      <c r="AQ21" s="936"/>
      <c r="AR21" s="937"/>
      <c r="AS21" s="936"/>
      <c r="AT21" s="938"/>
      <c r="AU21" s="938"/>
      <c r="AV21" s="936"/>
      <c r="AW21" s="937"/>
      <c r="AX21" s="936"/>
      <c r="AY21" s="938"/>
      <c r="AZ21" s="938"/>
      <c r="BA21" s="936"/>
      <c r="BB21" s="937"/>
      <c r="BC21" s="936"/>
      <c r="BD21" s="938"/>
      <c r="BE21" s="938"/>
      <c r="BF21" s="936"/>
      <c r="BG21" s="937"/>
      <c r="BH21" s="936"/>
      <c r="BI21" s="936"/>
      <c r="BJ21" s="936"/>
      <c r="BK21" s="936"/>
      <c r="BL21" s="937"/>
      <c r="BM21" s="936"/>
      <c r="BN21" s="936"/>
      <c r="BO21" s="936"/>
      <c r="BP21" s="936"/>
      <c r="BQ21" s="937"/>
      <c r="BR21" s="936"/>
      <c r="BS21" s="936"/>
      <c r="BT21" s="936"/>
      <c r="BU21" s="936"/>
      <c r="BV21" s="937"/>
      <c r="BW21" s="936"/>
      <c r="BX21" s="936"/>
      <c r="BY21" s="936"/>
      <c r="BZ21" s="936"/>
      <c r="CA21" s="943"/>
      <c r="CB21" s="936">
        <f>96*0.5</f>
        <v>48</v>
      </c>
      <c r="CC21" s="936">
        <f>96*0.5</f>
        <v>48</v>
      </c>
      <c r="CD21" s="936">
        <f>96*0.5</f>
        <v>48</v>
      </c>
      <c r="CE21" s="936">
        <f>96*0.5</f>
        <v>48</v>
      </c>
      <c r="CF21" s="943" t="str">
        <f>IFERROR(SUMPRODUCT(CB20:CE20,CB21:CE21)/CF20,"--")</f>
        <v>--</v>
      </c>
      <c r="CG21" s="936">
        <f>CB21*1.01</f>
        <v>48.480000000000004</v>
      </c>
      <c r="CH21" s="936">
        <f>CC21*1.01</f>
        <v>48.480000000000004</v>
      </c>
      <c r="CI21" s="936">
        <f>CD21*1.01</f>
        <v>48.480000000000004</v>
      </c>
      <c r="CJ21" s="936">
        <f>CE21*1.01</f>
        <v>48.480000000000004</v>
      </c>
      <c r="CK21" s="943" t="str">
        <f>IFERROR(SUMPRODUCT(CG20:CJ20,CG21:CJ21)/CK20,"--")</f>
        <v>--</v>
      </c>
      <c r="CL21" s="936">
        <f>CG21*1.01</f>
        <v>48.964800000000004</v>
      </c>
      <c r="CM21" s="936">
        <f>CH21*1.01</f>
        <v>48.964800000000004</v>
      </c>
      <c r="CN21" s="936">
        <f>CI21*1.01</f>
        <v>48.964800000000004</v>
      </c>
      <c r="CO21" s="936">
        <f>CJ21*1.01</f>
        <v>48.964800000000004</v>
      </c>
      <c r="CP21" s="943" t="str">
        <f>IFERROR(SUMPRODUCT(CL20:CO20,CL21:CO21)/CP20,"--")</f>
        <v>--</v>
      </c>
      <c r="CQ21" s="936">
        <v>49</v>
      </c>
      <c r="CR21" s="936">
        <v>49</v>
      </c>
      <c r="CS21" s="936">
        <v>49</v>
      </c>
      <c r="CT21" s="936">
        <v>49</v>
      </c>
      <c r="CU21" s="943" t="str">
        <f>IFERROR(SUMPRODUCT(CQ20:CT20,CQ21:CT21)/CU20,"--")</f>
        <v>--</v>
      </c>
      <c r="CV21" s="936">
        <v>49</v>
      </c>
      <c r="CW21" s="936">
        <v>49</v>
      </c>
      <c r="CX21" s="936">
        <v>49</v>
      </c>
      <c r="CY21" s="936">
        <v>49</v>
      </c>
      <c r="CZ21" s="943" t="str">
        <f>IFERROR(SUMPRODUCT(CV20:CY20,CV21:CY21)/CZ20,"--")</f>
        <v>--</v>
      </c>
      <c r="DA21" s="936">
        <v>49</v>
      </c>
      <c r="DB21" s="936">
        <v>49</v>
      </c>
      <c r="DC21" s="936">
        <v>49</v>
      </c>
      <c r="DD21" s="936">
        <v>49</v>
      </c>
      <c r="DE21" s="943" t="str">
        <f>IFERROR(SUMPRODUCT(DA20:DD20,DA21:DD21)/DE20,"--")</f>
        <v>--</v>
      </c>
      <c r="DF21" s="936">
        <v>49</v>
      </c>
      <c r="DG21" s="936">
        <v>49</v>
      </c>
      <c r="DH21" s="936">
        <v>49</v>
      </c>
      <c r="DI21" s="936">
        <v>49</v>
      </c>
      <c r="DJ21" s="943" t="str">
        <f>IFERROR(SUMPRODUCT(DF20:DI20,DF21:DI21)/DJ20,"--")</f>
        <v>--</v>
      </c>
      <c r="DK21" s="936">
        <v>49</v>
      </c>
      <c r="DL21" s="936">
        <v>49</v>
      </c>
      <c r="DM21" s="936">
        <v>49</v>
      </c>
      <c r="DN21" s="936">
        <v>49</v>
      </c>
      <c r="DO21" s="943" t="str">
        <f>IFERROR(SUMPRODUCT(DK20:DN20,DK21:DN21)/DO20,"--")</f>
        <v>--</v>
      </c>
      <c r="DP21" s="936">
        <v>49</v>
      </c>
      <c r="DQ21" s="939">
        <v>49</v>
      </c>
      <c r="DR21" s="939">
        <v>49</v>
      </c>
      <c r="DS21" s="939">
        <v>49</v>
      </c>
      <c r="DT21" s="1026" t="str">
        <f>IFERROR(SUMPRODUCT(DP20:DS20,DP21:DS21)/DT20,"--")</f>
        <v>--</v>
      </c>
      <c r="DU21" s="939">
        <v>50</v>
      </c>
      <c r="DV21" s="939">
        <v>50</v>
      </c>
      <c r="DW21" s="939">
        <v>50</v>
      </c>
      <c r="DX21" s="939">
        <v>50</v>
      </c>
      <c r="DY21" s="1026">
        <f>IFERROR(SUMPRODUCT(DU20:DX20,DU21:DX21)/DY20,"--")</f>
        <v>50</v>
      </c>
      <c r="DZ21" s="949">
        <v>51</v>
      </c>
      <c r="EA21" s="949">
        <v>52</v>
      </c>
      <c r="EB21" s="949">
        <v>53</v>
      </c>
    </row>
    <row r="22" spans="1:132" s="31" customFormat="1" ht="12" hidden="1" customHeight="1" outlineLevel="1">
      <c r="A22" s="74"/>
      <c r="B22" s="74" t="s">
        <v>622</v>
      </c>
      <c r="C22" s="930"/>
      <c r="D22" s="930"/>
      <c r="E22" s="930"/>
      <c r="F22" s="930"/>
      <c r="G22" s="930"/>
      <c r="H22" s="930"/>
      <c r="I22" s="930"/>
      <c r="J22" s="931"/>
      <c r="K22" s="931"/>
      <c r="L22" s="931"/>
      <c r="M22" s="931"/>
      <c r="N22" s="930"/>
      <c r="O22" s="931"/>
      <c r="P22" s="931"/>
      <c r="Q22" s="931"/>
      <c r="R22" s="931"/>
      <c r="S22" s="930"/>
      <c r="T22" s="931"/>
      <c r="U22" s="931"/>
      <c r="V22" s="931"/>
      <c r="W22" s="931"/>
      <c r="X22" s="930"/>
      <c r="Y22" s="931"/>
      <c r="Z22" s="931"/>
      <c r="AA22" s="931"/>
      <c r="AB22" s="931"/>
      <c r="AC22" s="930"/>
      <c r="AD22" s="931"/>
      <c r="AE22" s="931"/>
      <c r="AF22" s="931"/>
      <c r="AG22" s="931"/>
      <c r="AH22" s="930"/>
      <c r="AI22" s="931"/>
      <c r="AJ22" s="931"/>
      <c r="AK22" s="931"/>
      <c r="AL22" s="931"/>
      <c r="AM22" s="930"/>
      <c r="AN22" s="931"/>
      <c r="AO22" s="932"/>
      <c r="AP22" s="932"/>
      <c r="AQ22" s="931"/>
      <c r="AR22" s="930"/>
      <c r="AS22" s="931"/>
      <c r="AT22" s="932"/>
      <c r="AU22" s="932"/>
      <c r="AV22" s="931"/>
      <c r="AW22" s="930"/>
      <c r="AX22" s="931"/>
      <c r="AY22" s="932"/>
      <c r="AZ22" s="932"/>
      <c r="BA22" s="931"/>
      <c r="BB22" s="930"/>
      <c r="BC22" s="931"/>
      <c r="BD22" s="932"/>
      <c r="BE22" s="932"/>
      <c r="BF22" s="931"/>
      <c r="BG22" s="930"/>
      <c r="BH22" s="931"/>
      <c r="BI22" s="932"/>
      <c r="BJ22" s="932"/>
      <c r="BK22" s="931"/>
      <c r="BL22" s="930"/>
      <c r="BM22" s="931"/>
      <c r="BN22" s="932"/>
      <c r="BO22" s="932"/>
      <c r="BP22" s="931"/>
      <c r="BQ22" s="930"/>
      <c r="BR22" s="932"/>
      <c r="BS22" s="931"/>
      <c r="BT22" s="932"/>
      <c r="BU22" s="931"/>
      <c r="BV22" s="930"/>
      <c r="BW22" s="932">
        <v>0</v>
      </c>
      <c r="BX22" s="931">
        <v>6</v>
      </c>
      <c r="BY22" s="932">
        <v>24</v>
      </c>
      <c r="BZ22" s="931">
        <v>44</v>
      </c>
      <c r="CA22" s="930">
        <f>SUM(BW22:BZ22)</f>
        <v>74</v>
      </c>
      <c r="CB22" s="932">
        <v>35</v>
      </c>
      <c r="CC22" s="931">
        <v>45</v>
      </c>
      <c r="CD22" s="932">
        <v>54</v>
      </c>
      <c r="CE22" s="931">
        <v>97</v>
      </c>
      <c r="CF22" s="930">
        <f>SUM(CB22:CE22)</f>
        <v>231</v>
      </c>
      <c r="CG22" s="292">
        <f>108-46</f>
        <v>62</v>
      </c>
      <c r="CH22" s="292">
        <f>85-85</f>
        <v>0</v>
      </c>
      <c r="CI22" s="292">
        <v>0</v>
      </c>
      <c r="CJ22" s="292">
        <v>0</v>
      </c>
      <c r="CK22" s="930">
        <f>SUM(CG22:CJ22)</f>
        <v>62</v>
      </c>
      <c r="CL22" s="292">
        <v>0</v>
      </c>
      <c r="CM22" s="292">
        <v>0</v>
      </c>
      <c r="CN22" s="292">
        <v>0</v>
      </c>
      <c r="CO22" s="292">
        <v>17</v>
      </c>
      <c r="CP22" s="930">
        <f>SUM(CL22:CO22)</f>
        <v>17</v>
      </c>
      <c r="CQ22" s="292">
        <v>32</v>
      </c>
      <c r="CR22" s="292">
        <v>38</v>
      </c>
      <c r="CS22" s="292">
        <v>44</v>
      </c>
      <c r="CT22" s="292">
        <v>62</v>
      </c>
      <c r="CU22" s="930">
        <f>SUM(CQ22:CT22)</f>
        <v>176</v>
      </c>
      <c r="CV22" s="292">
        <v>48</v>
      </c>
      <c r="CW22" s="292">
        <v>81</v>
      </c>
      <c r="CX22" s="292">
        <v>65</v>
      </c>
      <c r="CY22" s="292">
        <v>69</v>
      </c>
      <c r="CZ22" s="930">
        <f>SUM(CV22:CY22)</f>
        <v>263</v>
      </c>
      <c r="DA22" s="292">
        <v>73</v>
      </c>
      <c r="DB22" s="292">
        <v>59</v>
      </c>
      <c r="DC22" s="292">
        <v>38</v>
      </c>
      <c r="DD22" s="292">
        <v>61</v>
      </c>
      <c r="DE22" s="930">
        <f>SUM(DA22:DD22)</f>
        <v>231</v>
      </c>
      <c r="DF22" s="292">
        <v>47</v>
      </c>
      <c r="DG22" s="292">
        <v>47</v>
      </c>
      <c r="DH22" s="292">
        <v>67</v>
      </c>
      <c r="DI22" s="292">
        <v>26</v>
      </c>
      <c r="DJ22" s="930">
        <f>SUM(DF22:DI22)</f>
        <v>187</v>
      </c>
      <c r="DK22" s="292">
        <v>79</v>
      </c>
      <c r="DL22" s="292">
        <v>73</v>
      </c>
      <c r="DM22" s="292">
        <v>87</v>
      </c>
      <c r="DN22" s="292">
        <v>96</v>
      </c>
      <c r="DO22" s="930">
        <f>SUM(DK22:DN22)</f>
        <v>335</v>
      </c>
      <c r="DP22" s="292">
        <v>77</v>
      </c>
      <c r="DQ22" s="951">
        <v>107</v>
      </c>
      <c r="DR22" s="951">
        <v>90</v>
      </c>
      <c r="DS22" s="951">
        <v>90</v>
      </c>
      <c r="DT22" s="1025">
        <f>SUM(DP22:DS22)</f>
        <v>364</v>
      </c>
      <c r="DU22" s="951">
        <v>97</v>
      </c>
      <c r="DV22" s="951">
        <v>99</v>
      </c>
      <c r="DW22" s="951">
        <v>101</v>
      </c>
      <c r="DX22" s="951">
        <v>101</v>
      </c>
      <c r="DY22" s="1025">
        <f>SUM(DU22:DX22)</f>
        <v>398</v>
      </c>
      <c r="DZ22" s="950">
        <v>400</v>
      </c>
      <c r="EA22" s="950">
        <v>414</v>
      </c>
      <c r="EB22" s="950">
        <v>430</v>
      </c>
    </row>
    <row r="23" spans="1:132" s="941" customFormat="1" ht="12" hidden="1" customHeight="1" outlineLevel="1">
      <c r="A23" s="795"/>
      <c r="B23" s="942" t="s">
        <v>190</v>
      </c>
      <c r="C23" s="937"/>
      <c r="D23" s="937"/>
      <c r="E23" s="937"/>
      <c r="F23" s="937"/>
      <c r="G23" s="937"/>
      <c r="H23" s="937"/>
      <c r="I23" s="937"/>
      <c r="J23" s="936"/>
      <c r="K23" s="936"/>
      <c r="L23" s="936"/>
      <c r="M23" s="936"/>
      <c r="N23" s="937"/>
      <c r="O23" s="936"/>
      <c r="P23" s="936"/>
      <c r="Q23" s="936"/>
      <c r="R23" s="936"/>
      <c r="S23" s="937"/>
      <c r="T23" s="936"/>
      <c r="U23" s="936"/>
      <c r="V23" s="936"/>
      <c r="W23" s="936"/>
      <c r="X23" s="937"/>
      <c r="Y23" s="936"/>
      <c r="Z23" s="936"/>
      <c r="AA23" s="936"/>
      <c r="AB23" s="936"/>
      <c r="AC23" s="937"/>
      <c r="AD23" s="936"/>
      <c r="AE23" s="936"/>
      <c r="AF23" s="936"/>
      <c r="AG23" s="936"/>
      <c r="AH23" s="937"/>
      <c r="AI23" s="936"/>
      <c r="AJ23" s="936"/>
      <c r="AK23" s="936"/>
      <c r="AL23" s="936"/>
      <c r="AM23" s="937"/>
      <c r="AN23" s="936"/>
      <c r="AO23" s="938"/>
      <c r="AP23" s="938"/>
      <c r="AQ23" s="936"/>
      <c r="AR23" s="937"/>
      <c r="AS23" s="936"/>
      <c r="AT23" s="938"/>
      <c r="AU23" s="938"/>
      <c r="AV23" s="936"/>
      <c r="AW23" s="937"/>
      <c r="AX23" s="936"/>
      <c r="AY23" s="938"/>
      <c r="AZ23" s="938"/>
      <c r="BA23" s="936"/>
      <c r="BB23" s="937"/>
      <c r="BC23" s="936"/>
      <c r="BD23" s="938"/>
      <c r="BE23" s="938"/>
      <c r="BF23" s="936"/>
      <c r="BG23" s="937"/>
      <c r="BH23" s="936"/>
      <c r="BI23" s="936"/>
      <c r="BJ23" s="936"/>
      <c r="BK23" s="936"/>
      <c r="BL23" s="937"/>
      <c r="BM23" s="936"/>
      <c r="BN23" s="936"/>
      <c r="BO23" s="936"/>
      <c r="BP23" s="936"/>
      <c r="BQ23" s="937"/>
      <c r="BR23" s="936"/>
      <c r="BS23" s="936"/>
      <c r="BT23" s="936"/>
      <c r="BU23" s="936"/>
      <c r="BV23" s="937"/>
      <c r="BW23" s="936">
        <f>112.4*0.5</f>
        <v>56.2</v>
      </c>
      <c r="BX23" s="936">
        <f>112.4*0.5</f>
        <v>56.2</v>
      </c>
      <c r="BY23" s="936">
        <f>112.4*0.5</f>
        <v>56.2</v>
      </c>
      <c r="BZ23" s="936">
        <f>112.4*0.5</f>
        <v>56.2</v>
      </c>
      <c r="CA23" s="943">
        <f>IFERROR(SUMPRODUCT(BW22:BZ22,BW23:BZ23)/CA22,"--")</f>
        <v>56.2</v>
      </c>
      <c r="CB23" s="936">
        <f>117.1*0.5</f>
        <v>58.55</v>
      </c>
      <c r="CC23" s="936">
        <f>117.1*0.5</f>
        <v>58.55</v>
      </c>
      <c r="CD23" s="936">
        <f>117.1*0.5</f>
        <v>58.55</v>
      </c>
      <c r="CE23" s="936">
        <f>117.1*0.5</f>
        <v>58.55</v>
      </c>
      <c r="CF23" s="943">
        <f>IFERROR(SUMPRODUCT(CB22:CE22,CB23:CE23)/CF22,"--")</f>
        <v>58.55</v>
      </c>
      <c r="CG23" s="936">
        <f>CB23*1.01</f>
        <v>59.1355</v>
      </c>
      <c r="CH23" s="936">
        <f>CC23*1.01</f>
        <v>59.1355</v>
      </c>
      <c r="CI23" s="936">
        <f>CD23*1.01</f>
        <v>59.1355</v>
      </c>
      <c r="CJ23" s="936">
        <f>CE23*1.01</f>
        <v>59.1355</v>
      </c>
      <c r="CK23" s="943">
        <f>IFERROR(SUMPRODUCT(CG22:CJ22,CG23:CJ23)/CK22,"--")</f>
        <v>59.1355</v>
      </c>
      <c r="CL23" s="936">
        <f>CG23*1.01</f>
        <v>59.726855</v>
      </c>
      <c r="CM23" s="936">
        <f>CH23*1.01</f>
        <v>59.726855</v>
      </c>
      <c r="CN23" s="936">
        <f>CI23*1.01</f>
        <v>59.726855</v>
      </c>
      <c r="CO23" s="936">
        <f>CJ23*1.01</f>
        <v>59.726855</v>
      </c>
      <c r="CP23" s="943">
        <f>IFERROR(SUMPRODUCT(CL22:CO22,CL23:CO23)/CP22,"--")</f>
        <v>59.726855</v>
      </c>
      <c r="CQ23" s="936">
        <v>59</v>
      </c>
      <c r="CR23" s="936">
        <v>59</v>
      </c>
      <c r="CS23" s="936">
        <v>59</v>
      </c>
      <c r="CT23" s="936">
        <v>59</v>
      </c>
      <c r="CU23" s="943">
        <f>IFERROR(SUMPRODUCT(CQ22:CT22,CQ23:CT23)/CU22,"--")</f>
        <v>59</v>
      </c>
      <c r="CV23" s="936">
        <v>58</v>
      </c>
      <c r="CW23" s="936">
        <v>58</v>
      </c>
      <c r="CX23" s="936">
        <v>58</v>
      </c>
      <c r="CY23" s="936">
        <v>58</v>
      </c>
      <c r="CZ23" s="943">
        <f>IFERROR(SUMPRODUCT(CV22:CY22,CV23:CY23)/CZ22,"--")</f>
        <v>58</v>
      </c>
      <c r="DA23" s="936">
        <v>58</v>
      </c>
      <c r="DB23" s="936">
        <v>58</v>
      </c>
      <c r="DC23" s="936">
        <v>58</v>
      </c>
      <c r="DD23" s="936">
        <v>58</v>
      </c>
      <c r="DE23" s="943">
        <f>IFERROR(SUMPRODUCT(DA22:DD22,DA23:DD23)/DE22,"--")</f>
        <v>58</v>
      </c>
      <c r="DF23" s="936">
        <v>58</v>
      </c>
      <c r="DG23" s="936">
        <v>58</v>
      </c>
      <c r="DH23" s="936">
        <v>58</v>
      </c>
      <c r="DI23" s="936">
        <v>58</v>
      </c>
      <c r="DJ23" s="943">
        <f>IFERROR(SUMPRODUCT(DF22:DI22,DF23:DI23)/DJ22,"--")</f>
        <v>58</v>
      </c>
      <c r="DK23" s="936">
        <v>58</v>
      </c>
      <c r="DL23" s="936">
        <v>58</v>
      </c>
      <c r="DM23" s="936">
        <v>58</v>
      </c>
      <c r="DN23" s="936">
        <v>58</v>
      </c>
      <c r="DO23" s="943">
        <f>IFERROR(SUMPRODUCT(DK22:DN22,DK23:DN23)/DO22,"--")</f>
        <v>58</v>
      </c>
      <c r="DP23" s="936">
        <v>58</v>
      </c>
      <c r="DQ23" s="939">
        <v>58</v>
      </c>
      <c r="DR23" s="939">
        <v>58</v>
      </c>
      <c r="DS23" s="939">
        <v>58</v>
      </c>
      <c r="DT23" s="1026">
        <f>IFERROR(SUMPRODUCT(DP22:DS22,DP23:DS23)/DT22,"--")</f>
        <v>58</v>
      </c>
      <c r="DU23" s="939">
        <v>59</v>
      </c>
      <c r="DV23" s="939">
        <v>59</v>
      </c>
      <c r="DW23" s="939">
        <v>59</v>
      </c>
      <c r="DX23" s="939">
        <v>59</v>
      </c>
      <c r="DY23" s="1026">
        <f>IFERROR(SUMPRODUCT(DU22:DX22,DU23:DX23)/DY22,"--")</f>
        <v>59</v>
      </c>
      <c r="DZ23" s="949">
        <v>60</v>
      </c>
      <c r="EA23" s="949">
        <v>61</v>
      </c>
      <c r="EB23" s="949">
        <v>62</v>
      </c>
    </row>
    <row r="24" spans="1:132" s="31" customFormat="1" ht="12" hidden="1" customHeight="1" outlineLevel="1">
      <c r="A24" s="74"/>
      <c r="B24" s="74" t="s">
        <v>623</v>
      </c>
      <c r="C24" s="930"/>
      <c r="D24" s="930"/>
      <c r="E24" s="930"/>
      <c r="F24" s="930"/>
      <c r="G24" s="930"/>
      <c r="H24" s="930"/>
      <c r="I24" s="930"/>
      <c r="J24" s="931"/>
      <c r="K24" s="931"/>
      <c r="L24" s="931"/>
      <c r="M24" s="931"/>
      <c r="N24" s="930"/>
      <c r="O24" s="931"/>
      <c r="P24" s="931"/>
      <c r="Q24" s="931"/>
      <c r="R24" s="931"/>
      <c r="S24" s="930"/>
      <c r="T24" s="931"/>
      <c r="U24" s="931"/>
      <c r="V24" s="931"/>
      <c r="W24" s="931"/>
      <c r="X24" s="930"/>
      <c r="Y24" s="931"/>
      <c r="Z24" s="931"/>
      <c r="AA24" s="931"/>
      <c r="AB24" s="931"/>
      <c r="AC24" s="930"/>
      <c r="AD24" s="931"/>
      <c r="AE24" s="931"/>
      <c r="AF24" s="931"/>
      <c r="AG24" s="931"/>
      <c r="AH24" s="930"/>
      <c r="AI24" s="931"/>
      <c r="AJ24" s="931"/>
      <c r="AK24" s="931"/>
      <c r="AL24" s="931"/>
      <c r="AM24" s="930"/>
      <c r="AN24" s="931"/>
      <c r="AO24" s="932"/>
      <c r="AP24" s="932"/>
      <c r="AQ24" s="931"/>
      <c r="AR24" s="930"/>
      <c r="AS24" s="931"/>
      <c r="AT24" s="932"/>
      <c r="AU24" s="932"/>
      <c r="AV24" s="931"/>
      <c r="AW24" s="930"/>
      <c r="AX24" s="931"/>
      <c r="AY24" s="932"/>
      <c r="AZ24" s="932"/>
      <c r="BA24" s="931"/>
      <c r="BB24" s="930"/>
      <c r="BC24" s="931"/>
      <c r="BD24" s="932"/>
      <c r="BE24" s="932"/>
      <c r="BF24" s="931"/>
      <c r="BG24" s="930"/>
      <c r="BH24" s="931"/>
      <c r="BI24" s="932"/>
      <c r="BJ24" s="932"/>
      <c r="BK24" s="931"/>
      <c r="BL24" s="930"/>
      <c r="BM24" s="931"/>
      <c r="BN24" s="932"/>
      <c r="BO24" s="932"/>
      <c r="BP24" s="931"/>
      <c r="BQ24" s="930"/>
      <c r="BR24" s="932"/>
      <c r="BS24" s="931"/>
      <c r="BT24" s="932"/>
      <c r="BU24" s="931"/>
      <c r="BV24" s="930"/>
      <c r="BW24" s="932">
        <v>0</v>
      </c>
      <c r="BX24" s="931">
        <v>0</v>
      </c>
      <c r="BY24" s="932">
        <v>0</v>
      </c>
      <c r="BZ24" s="931">
        <v>0</v>
      </c>
      <c r="CA24" s="930">
        <f>SUM(BW24:BZ24)</f>
        <v>0</v>
      </c>
      <c r="CB24" s="932">
        <v>1</v>
      </c>
      <c r="CC24" s="931">
        <v>7</v>
      </c>
      <c r="CD24" s="932">
        <v>2</v>
      </c>
      <c r="CE24" s="931">
        <v>10</v>
      </c>
      <c r="CF24" s="930">
        <f>SUM(CB24:CE24)</f>
        <v>20</v>
      </c>
      <c r="CG24" s="292">
        <v>4</v>
      </c>
      <c r="CH24" s="292">
        <f>9-9</f>
        <v>0</v>
      </c>
      <c r="CI24" s="292">
        <v>0</v>
      </c>
      <c r="CJ24" s="292">
        <v>0</v>
      </c>
      <c r="CK24" s="930">
        <f>SUM(CG24:CJ24)</f>
        <v>4</v>
      </c>
      <c r="CL24" s="292">
        <v>0</v>
      </c>
      <c r="CM24" s="292">
        <v>0</v>
      </c>
      <c r="CN24" s="292">
        <v>0</v>
      </c>
      <c r="CO24" s="292">
        <v>9</v>
      </c>
      <c r="CP24" s="930">
        <f>SUM(CL24:CO24)</f>
        <v>9</v>
      </c>
      <c r="CQ24" s="292">
        <v>18</v>
      </c>
      <c r="CR24" s="292">
        <v>7</v>
      </c>
      <c r="CS24" s="292">
        <v>7</v>
      </c>
      <c r="CT24" s="292">
        <v>12</v>
      </c>
      <c r="CU24" s="930">
        <f>SUM(CQ24:CT24)</f>
        <v>44</v>
      </c>
      <c r="CV24" s="292">
        <v>16</v>
      </c>
      <c r="CW24" s="292">
        <v>14</v>
      </c>
      <c r="CX24" s="292">
        <v>15</v>
      </c>
      <c r="CY24" s="292">
        <v>31</v>
      </c>
      <c r="CZ24" s="930">
        <f>SUM(CV24:CY24)</f>
        <v>76</v>
      </c>
      <c r="DA24" s="292">
        <v>24</v>
      </c>
      <c r="DB24" s="292">
        <v>21</v>
      </c>
      <c r="DC24" s="292">
        <v>16</v>
      </c>
      <c r="DD24" s="292">
        <v>25</v>
      </c>
      <c r="DE24" s="930">
        <f>SUM(DA24:DD24)</f>
        <v>86</v>
      </c>
      <c r="DF24" s="292">
        <v>5</v>
      </c>
      <c r="DG24" s="292">
        <v>11</v>
      </c>
      <c r="DH24" s="292">
        <v>6</v>
      </c>
      <c r="DI24" s="292">
        <v>3</v>
      </c>
      <c r="DJ24" s="930">
        <f>SUM(DF24:DI24)</f>
        <v>25</v>
      </c>
      <c r="DK24" s="292">
        <v>16</v>
      </c>
      <c r="DL24" s="292">
        <v>16</v>
      </c>
      <c r="DM24" s="292">
        <v>13</v>
      </c>
      <c r="DN24" s="292">
        <v>11</v>
      </c>
      <c r="DO24" s="930">
        <f>SUM(DK24:DN24)</f>
        <v>56</v>
      </c>
      <c r="DP24" s="292">
        <v>25</v>
      </c>
      <c r="DQ24" s="951">
        <v>15</v>
      </c>
      <c r="DR24" s="951">
        <v>25</v>
      </c>
      <c r="DS24" s="951">
        <v>28</v>
      </c>
      <c r="DT24" s="1025">
        <f>SUM(DP24:DS24)</f>
        <v>93</v>
      </c>
      <c r="DU24" s="951">
        <v>19</v>
      </c>
      <c r="DV24" s="951">
        <v>19</v>
      </c>
      <c r="DW24" s="951">
        <v>18</v>
      </c>
      <c r="DX24" s="951">
        <v>22</v>
      </c>
      <c r="DY24" s="1025">
        <f>SUM(DU24:DX24)</f>
        <v>78</v>
      </c>
      <c r="DZ24" s="950">
        <v>65</v>
      </c>
      <c r="EA24" s="950">
        <v>71</v>
      </c>
      <c r="EB24" s="950">
        <v>70</v>
      </c>
    </row>
    <row r="25" spans="1:132" s="941" customFormat="1" ht="12" hidden="1" customHeight="1" outlineLevel="1">
      <c r="A25" s="795"/>
      <c r="B25" s="942" t="s">
        <v>190</v>
      </c>
      <c r="C25" s="937"/>
      <c r="D25" s="937"/>
      <c r="E25" s="937"/>
      <c r="F25" s="937"/>
      <c r="G25" s="937"/>
      <c r="H25" s="937"/>
      <c r="I25" s="937"/>
      <c r="J25" s="936"/>
      <c r="K25" s="936"/>
      <c r="L25" s="936"/>
      <c r="M25" s="936"/>
      <c r="N25" s="937"/>
      <c r="O25" s="936"/>
      <c r="P25" s="936"/>
      <c r="Q25" s="936"/>
      <c r="R25" s="936"/>
      <c r="S25" s="937"/>
      <c r="T25" s="936"/>
      <c r="U25" s="936"/>
      <c r="V25" s="936"/>
      <c r="W25" s="936"/>
      <c r="X25" s="937"/>
      <c r="Y25" s="936"/>
      <c r="Z25" s="936"/>
      <c r="AA25" s="936"/>
      <c r="AB25" s="936"/>
      <c r="AC25" s="937"/>
      <c r="AD25" s="936"/>
      <c r="AE25" s="936"/>
      <c r="AF25" s="936"/>
      <c r="AG25" s="936"/>
      <c r="AH25" s="937"/>
      <c r="AI25" s="936"/>
      <c r="AJ25" s="936"/>
      <c r="AK25" s="936"/>
      <c r="AL25" s="936"/>
      <c r="AM25" s="937"/>
      <c r="AN25" s="936"/>
      <c r="AO25" s="938"/>
      <c r="AP25" s="938"/>
      <c r="AQ25" s="936"/>
      <c r="AR25" s="937"/>
      <c r="AS25" s="936"/>
      <c r="AT25" s="938"/>
      <c r="AU25" s="938"/>
      <c r="AV25" s="936"/>
      <c r="AW25" s="937"/>
      <c r="AX25" s="936"/>
      <c r="AY25" s="938"/>
      <c r="AZ25" s="938"/>
      <c r="BA25" s="936"/>
      <c r="BB25" s="937"/>
      <c r="BC25" s="936"/>
      <c r="BD25" s="938"/>
      <c r="BE25" s="938"/>
      <c r="BF25" s="936"/>
      <c r="BG25" s="937"/>
      <c r="BH25" s="936"/>
      <c r="BI25" s="936"/>
      <c r="BJ25" s="936"/>
      <c r="BK25" s="936"/>
      <c r="BL25" s="937"/>
      <c r="BM25" s="936"/>
      <c r="BN25" s="936"/>
      <c r="BO25" s="936"/>
      <c r="BP25" s="936"/>
      <c r="BQ25" s="937"/>
      <c r="BR25" s="936"/>
      <c r="BS25" s="936"/>
      <c r="BT25" s="936"/>
      <c r="BU25" s="936"/>
      <c r="BV25" s="937"/>
      <c r="BW25" s="936">
        <f>119.2*0.5</f>
        <v>59.6</v>
      </c>
      <c r="BX25" s="936">
        <f>119.2*0.5</f>
        <v>59.6</v>
      </c>
      <c r="BY25" s="936">
        <f>119.2*0.5</f>
        <v>59.6</v>
      </c>
      <c r="BZ25" s="936">
        <f>119.2*0.5</f>
        <v>59.6</v>
      </c>
      <c r="CA25" s="943" t="str">
        <f>IFERROR(SUMPRODUCT(BW24:BZ24,BW25:BZ25)/CA24,"--")</f>
        <v>--</v>
      </c>
      <c r="CB25" s="936">
        <f>124.1*0.5</f>
        <v>62.05</v>
      </c>
      <c r="CC25" s="936">
        <f>124.1*0.5</f>
        <v>62.05</v>
      </c>
      <c r="CD25" s="936">
        <f>124.1*0.5</f>
        <v>62.05</v>
      </c>
      <c r="CE25" s="936">
        <f>124.1*0.5</f>
        <v>62.05</v>
      </c>
      <c r="CF25" s="943">
        <f>IFERROR(SUMPRODUCT(CB24:CE24,CB25:CE25)/CF24,"--")</f>
        <v>62.05</v>
      </c>
      <c r="CG25" s="936">
        <f>CB25*1.01</f>
        <v>62.670499999999997</v>
      </c>
      <c r="CH25" s="936">
        <f>CC25*1.01</f>
        <v>62.670499999999997</v>
      </c>
      <c r="CI25" s="936">
        <f>CD25*1.01</f>
        <v>62.670499999999997</v>
      </c>
      <c r="CJ25" s="936">
        <f>CE25*1.01</f>
        <v>62.670499999999997</v>
      </c>
      <c r="CK25" s="943">
        <f>IFERROR(SUMPRODUCT(CG24:CJ24,CG25:CJ25)/CK24,"--")</f>
        <v>62.670499999999997</v>
      </c>
      <c r="CL25" s="936">
        <f>CG25*1.01</f>
        <v>63.297204999999998</v>
      </c>
      <c r="CM25" s="936">
        <f>CH25*1.01</f>
        <v>63.297204999999998</v>
      </c>
      <c r="CN25" s="936">
        <f>CI25*1.01</f>
        <v>63.297204999999998</v>
      </c>
      <c r="CO25" s="936">
        <f>CJ25*1.01</f>
        <v>63.297204999999998</v>
      </c>
      <c r="CP25" s="943">
        <f>IFERROR(SUMPRODUCT(CL24:CO24,CL25:CO25)/CP24,"--")</f>
        <v>63.297204999999998</v>
      </c>
      <c r="CQ25" s="936">
        <v>62</v>
      </c>
      <c r="CR25" s="936">
        <v>62</v>
      </c>
      <c r="CS25" s="936">
        <v>62</v>
      </c>
      <c r="CT25" s="936">
        <v>62</v>
      </c>
      <c r="CU25" s="943">
        <f>IFERROR(SUMPRODUCT(CQ24:CT24,CQ25:CT25)/CU24,"--")</f>
        <v>62</v>
      </c>
      <c r="CV25" s="936">
        <v>62</v>
      </c>
      <c r="CW25" s="936">
        <v>62</v>
      </c>
      <c r="CX25" s="936">
        <v>62</v>
      </c>
      <c r="CY25" s="936">
        <v>62</v>
      </c>
      <c r="CZ25" s="943">
        <f>IFERROR(SUMPRODUCT(CV24:CY24,CV25:CY25)/CZ24,"--")</f>
        <v>62</v>
      </c>
      <c r="DA25" s="936">
        <v>62</v>
      </c>
      <c r="DB25" s="936">
        <v>62</v>
      </c>
      <c r="DC25" s="936">
        <v>62</v>
      </c>
      <c r="DD25" s="936">
        <v>62</v>
      </c>
      <c r="DE25" s="943">
        <f>IFERROR(SUMPRODUCT(DA24:DD24,DA25:DD25)/DE24,"--")</f>
        <v>62</v>
      </c>
      <c r="DF25" s="936">
        <v>62</v>
      </c>
      <c r="DG25" s="936">
        <v>62</v>
      </c>
      <c r="DH25" s="936">
        <v>62</v>
      </c>
      <c r="DI25" s="936">
        <v>62</v>
      </c>
      <c r="DJ25" s="943">
        <f>IFERROR(SUMPRODUCT(DF24:DI24,DF25:DI25)/DJ24,"--")</f>
        <v>62</v>
      </c>
      <c r="DK25" s="936">
        <v>62</v>
      </c>
      <c r="DL25" s="936">
        <v>62</v>
      </c>
      <c r="DM25" s="936">
        <v>62</v>
      </c>
      <c r="DN25" s="936">
        <v>62</v>
      </c>
      <c r="DO25" s="943">
        <f>IFERROR(SUMPRODUCT(DK24:DN24,DK25:DN25)/DO24,"--")</f>
        <v>62</v>
      </c>
      <c r="DP25" s="936">
        <v>62</v>
      </c>
      <c r="DQ25" s="939">
        <v>62</v>
      </c>
      <c r="DR25" s="939">
        <v>62</v>
      </c>
      <c r="DS25" s="939">
        <v>62</v>
      </c>
      <c r="DT25" s="1026">
        <f>IFERROR(SUMPRODUCT(DP24:DS24,DP25:DS25)/DT24,"--")</f>
        <v>62</v>
      </c>
      <c r="DU25" s="939">
        <v>63</v>
      </c>
      <c r="DV25" s="939">
        <v>63</v>
      </c>
      <c r="DW25" s="939">
        <v>63</v>
      </c>
      <c r="DX25" s="939">
        <v>63</v>
      </c>
      <c r="DY25" s="1026">
        <f>IFERROR(SUMPRODUCT(DU24:DX24,DU25:DX25)/DY24,"--")</f>
        <v>63</v>
      </c>
      <c r="DZ25" s="949">
        <v>64</v>
      </c>
      <c r="EA25" s="949">
        <v>65</v>
      </c>
      <c r="EB25" s="949">
        <v>66</v>
      </c>
    </row>
    <row r="26" spans="1:132" s="31" customFormat="1" ht="12" hidden="1" customHeight="1" outlineLevel="1">
      <c r="A26" s="74"/>
      <c r="B26" s="74" t="s">
        <v>624</v>
      </c>
      <c r="C26" s="930"/>
      <c r="D26" s="930"/>
      <c r="E26" s="930"/>
      <c r="F26" s="930"/>
      <c r="G26" s="930"/>
      <c r="H26" s="930"/>
      <c r="I26" s="930"/>
      <c r="J26" s="931"/>
      <c r="K26" s="931"/>
      <c r="L26" s="931"/>
      <c r="M26" s="931"/>
      <c r="N26" s="930"/>
      <c r="O26" s="931"/>
      <c r="P26" s="931"/>
      <c r="Q26" s="931"/>
      <c r="R26" s="931"/>
      <c r="S26" s="930"/>
      <c r="T26" s="931"/>
      <c r="U26" s="931"/>
      <c r="V26" s="931"/>
      <c r="W26" s="931"/>
      <c r="X26" s="930"/>
      <c r="Y26" s="931"/>
      <c r="Z26" s="931"/>
      <c r="AA26" s="931"/>
      <c r="AB26" s="931"/>
      <c r="AC26" s="930"/>
      <c r="AD26" s="931"/>
      <c r="AE26" s="931"/>
      <c r="AF26" s="931"/>
      <c r="AG26" s="931"/>
      <c r="AH26" s="930"/>
      <c r="AI26" s="931"/>
      <c r="AJ26" s="931"/>
      <c r="AK26" s="931"/>
      <c r="AL26" s="931"/>
      <c r="AM26" s="930"/>
      <c r="AN26" s="931"/>
      <c r="AO26" s="932"/>
      <c r="AP26" s="932"/>
      <c r="AQ26" s="931"/>
      <c r="AR26" s="930"/>
      <c r="AS26" s="931"/>
      <c r="AT26" s="932"/>
      <c r="AU26" s="932"/>
      <c r="AV26" s="931"/>
      <c r="AW26" s="930"/>
      <c r="AX26" s="931"/>
      <c r="AY26" s="932"/>
      <c r="AZ26" s="932"/>
      <c r="BA26" s="931"/>
      <c r="BB26" s="930"/>
      <c r="BC26" s="931"/>
      <c r="BD26" s="932"/>
      <c r="BE26" s="932"/>
      <c r="BF26" s="931"/>
      <c r="BG26" s="930"/>
      <c r="BH26" s="931"/>
      <c r="BI26" s="932"/>
      <c r="BJ26" s="932"/>
      <c r="BK26" s="931"/>
      <c r="BL26" s="930"/>
      <c r="BM26" s="931"/>
      <c r="BN26" s="932"/>
      <c r="BO26" s="932"/>
      <c r="BP26" s="931"/>
      <c r="BQ26" s="930"/>
      <c r="BR26" s="932"/>
      <c r="BS26" s="931"/>
      <c r="BT26" s="932"/>
      <c r="BU26" s="931"/>
      <c r="BV26" s="930"/>
      <c r="BW26" s="932"/>
      <c r="BX26" s="931"/>
      <c r="BY26" s="932"/>
      <c r="BZ26" s="931"/>
      <c r="CA26" s="930"/>
      <c r="CB26" s="932"/>
      <c r="CC26" s="931"/>
      <c r="CD26" s="932"/>
      <c r="CE26" s="931"/>
      <c r="CF26" s="930"/>
      <c r="CG26" s="292">
        <v>0</v>
      </c>
      <c r="CH26" s="292">
        <v>0</v>
      </c>
      <c r="CI26" s="292">
        <v>0</v>
      </c>
      <c r="CJ26" s="292">
        <v>0</v>
      </c>
      <c r="CK26" s="930">
        <f>SUM(CG26:CJ26)</f>
        <v>0</v>
      </c>
      <c r="CL26" s="292">
        <v>0</v>
      </c>
      <c r="CM26" s="292">
        <v>0</v>
      </c>
      <c r="CN26" s="292">
        <v>0</v>
      </c>
      <c r="CO26" s="292">
        <v>0</v>
      </c>
      <c r="CP26" s="930">
        <f>SUM(CL26:CO26)</f>
        <v>0</v>
      </c>
      <c r="CQ26" s="292">
        <v>0</v>
      </c>
      <c r="CR26" s="292">
        <v>0</v>
      </c>
      <c r="CS26" s="292">
        <v>0</v>
      </c>
      <c r="CT26" s="292">
        <v>0</v>
      </c>
      <c r="CU26" s="930">
        <f>SUM(CQ26:CT26)</f>
        <v>0</v>
      </c>
      <c r="CV26" s="292">
        <v>0</v>
      </c>
      <c r="CW26" s="292">
        <v>0</v>
      </c>
      <c r="CX26" s="292">
        <v>0</v>
      </c>
      <c r="CY26" s="292">
        <v>0</v>
      </c>
      <c r="CZ26" s="930">
        <f>SUM(CV26:CY26)</f>
        <v>0</v>
      </c>
      <c r="DA26" s="292">
        <v>0</v>
      </c>
      <c r="DB26" s="292">
        <v>0</v>
      </c>
      <c r="DC26" s="292">
        <v>0</v>
      </c>
      <c r="DD26" s="292">
        <v>0</v>
      </c>
      <c r="DE26" s="930">
        <f>SUM(DA26:DD26)</f>
        <v>0</v>
      </c>
      <c r="DF26" s="292">
        <v>0</v>
      </c>
      <c r="DG26" s="292">
        <v>0</v>
      </c>
      <c r="DH26" s="292">
        <v>0</v>
      </c>
      <c r="DI26" s="292">
        <v>0</v>
      </c>
      <c r="DJ26" s="930">
        <f>SUM(DF26:DI26)</f>
        <v>0</v>
      </c>
      <c r="DK26" s="292">
        <v>0</v>
      </c>
      <c r="DL26" s="292">
        <v>0</v>
      </c>
      <c r="DM26" s="292">
        <v>0</v>
      </c>
      <c r="DN26" s="292">
        <v>0</v>
      </c>
      <c r="DO26" s="930">
        <f>SUM(DK26:DN26)</f>
        <v>0</v>
      </c>
      <c r="DP26" s="292">
        <v>0</v>
      </c>
      <c r="DQ26" s="951">
        <v>0</v>
      </c>
      <c r="DR26" s="951">
        <v>0</v>
      </c>
      <c r="DS26" s="951">
        <v>0</v>
      </c>
      <c r="DT26" s="1025">
        <f>SUM(DP26:DS26)</f>
        <v>0</v>
      </c>
      <c r="DU26" s="951">
        <v>5</v>
      </c>
      <c r="DV26" s="951">
        <v>10</v>
      </c>
      <c r="DW26" s="951">
        <v>10</v>
      </c>
      <c r="DX26" s="951">
        <v>13</v>
      </c>
      <c r="DY26" s="1025">
        <f>SUM(DU26:DX26)</f>
        <v>38</v>
      </c>
      <c r="DZ26" s="950">
        <v>80</v>
      </c>
      <c r="EA26" s="950">
        <v>100</v>
      </c>
      <c r="EB26" s="950">
        <v>115</v>
      </c>
    </row>
    <row r="27" spans="1:132" s="941" customFormat="1" ht="12" hidden="1" customHeight="1" outlineLevel="1">
      <c r="A27" s="795"/>
      <c r="B27" s="942" t="s">
        <v>190</v>
      </c>
      <c r="C27" s="937"/>
      <c r="D27" s="937"/>
      <c r="E27" s="937"/>
      <c r="F27" s="937"/>
      <c r="G27" s="937"/>
      <c r="H27" s="937"/>
      <c r="I27" s="937"/>
      <c r="J27" s="936"/>
      <c r="K27" s="936"/>
      <c r="L27" s="936"/>
      <c r="M27" s="936"/>
      <c r="N27" s="937"/>
      <c r="O27" s="936"/>
      <c r="P27" s="936"/>
      <c r="Q27" s="936"/>
      <c r="R27" s="936"/>
      <c r="S27" s="937"/>
      <c r="T27" s="936"/>
      <c r="U27" s="936"/>
      <c r="V27" s="936"/>
      <c r="W27" s="936"/>
      <c r="X27" s="937"/>
      <c r="Y27" s="936"/>
      <c r="Z27" s="936"/>
      <c r="AA27" s="936"/>
      <c r="AB27" s="936"/>
      <c r="AC27" s="937"/>
      <c r="AD27" s="936"/>
      <c r="AE27" s="936"/>
      <c r="AF27" s="936"/>
      <c r="AG27" s="936"/>
      <c r="AH27" s="937"/>
      <c r="AI27" s="936"/>
      <c r="AJ27" s="936"/>
      <c r="AK27" s="936"/>
      <c r="AL27" s="936"/>
      <c r="AM27" s="937"/>
      <c r="AN27" s="936"/>
      <c r="AO27" s="938"/>
      <c r="AP27" s="938"/>
      <c r="AQ27" s="936"/>
      <c r="AR27" s="937"/>
      <c r="AS27" s="936"/>
      <c r="AT27" s="938"/>
      <c r="AU27" s="938"/>
      <c r="AV27" s="936"/>
      <c r="AW27" s="937"/>
      <c r="AX27" s="936"/>
      <c r="AY27" s="938"/>
      <c r="AZ27" s="938"/>
      <c r="BA27" s="936"/>
      <c r="BB27" s="937"/>
      <c r="BC27" s="936"/>
      <c r="BD27" s="938"/>
      <c r="BE27" s="938"/>
      <c r="BF27" s="936"/>
      <c r="BG27" s="937"/>
      <c r="BH27" s="936"/>
      <c r="BI27" s="936"/>
      <c r="BJ27" s="936"/>
      <c r="BK27" s="936"/>
      <c r="BL27" s="937"/>
      <c r="BM27" s="936"/>
      <c r="BN27" s="936"/>
      <c r="BO27" s="936"/>
      <c r="BP27" s="936"/>
      <c r="BQ27" s="937"/>
      <c r="BR27" s="936"/>
      <c r="BS27" s="936"/>
      <c r="BT27" s="936"/>
      <c r="BU27" s="936"/>
      <c r="BV27" s="937"/>
      <c r="BW27" s="936"/>
      <c r="BX27" s="936"/>
      <c r="BY27" s="936"/>
      <c r="BZ27" s="936"/>
      <c r="CA27" s="943" t="str">
        <f>IFERROR(SUMPRODUCT(BW26:BZ26,BW27:BZ27)/CA26,"--")</f>
        <v>--</v>
      </c>
      <c r="CB27" s="936">
        <f>129.9*0.5</f>
        <v>64.95</v>
      </c>
      <c r="CC27" s="936">
        <f>129.9*0.5</f>
        <v>64.95</v>
      </c>
      <c r="CD27" s="936">
        <f>129.9*0.5</f>
        <v>64.95</v>
      </c>
      <c r="CE27" s="936">
        <f>129.9*0.5</f>
        <v>64.95</v>
      </c>
      <c r="CF27" s="943" t="str">
        <f>IFERROR(SUMPRODUCT(CB26:CE26,CB27:CE27)/CF26,"--")</f>
        <v>--</v>
      </c>
      <c r="CG27" s="936">
        <f>CB27*1.01</f>
        <v>65.599500000000006</v>
      </c>
      <c r="CH27" s="936">
        <f>CC27*1.01</f>
        <v>65.599500000000006</v>
      </c>
      <c r="CI27" s="936">
        <f>CD27*1.01</f>
        <v>65.599500000000006</v>
      </c>
      <c r="CJ27" s="936">
        <f>CE27*1.01</f>
        <v>65.599500000000006</v>
      </c>
      <c r="CK27" s="943" t="str">
        <f>IFERROR(SUMPRODUCT(CG26:CJ26,CG27:CJ27)/CK26,"--")</f>
        <v>--</v>
      </c>
      <c r="CL27" s="936">
        <f>CG27*1.01</f>
        <v>66.25549500000001</v>
      </c>
      <c r="CM27" s="936">
        <f>CH27*1.01</f>
        <v>66.25549500000001</v>
      </c>
      <c r="CN27" s="936">
        <f>CI27*1.01</f>
        <v>66.25549500000001</v>
      </c>
      <c r="CO27" s="936">
        <f>CJ27*1.01</f>
        <v>66.25549500000001</v>
      </c>
      <c r="CP27" s="943" t="str">
        <f>IFERROR(SUMPRODUCT(CL26:CO26,CL27:CO27)/CP26,"--")</f>
        <v>--</v>
      </c>
      <c r="CQ27" s="936">
        <f t="shared" ref="CQ27:CT27" si="7">CL27*1.01</f>
        <v>66.918049950000011</v>
      </c>
      <c r="CR27" s="936">
        <f t="shared" si="7"/>
        <v>66.918049950000011</v>
      </c>
      <c r="CS27" s="936">
        <f t="shared" si="7"/>
        <v>66.918049950000011</v>
      </c>
      <c r="CT27" s="936">
        <f t="shared" si="7"/>
        <v>66.918049950000011</v>
      </c>
      <c r="CU27" s="943" t="str">
        <f>IFERROR(SUMPRODUCT(CQ26:CT26,CQ27:CT27)/CU26,"--")</f>
        <v>--</v>
      </c>
      <c r="CV27" s="936">
        <f>CQ27*1</f>
        <v>66.918049950000011</v>
      </c>
      <c r="CW27" s="936">
        <f>CR27*1</f>
        <v>66.918049950000011</v>
      </c>
      <c r="CX27" s="936">
        <f>CS27*1</f>
        <v>66.918049950000011</v>
      </c>
      <c r="CY27" s="936">
        <f>CT27*1</f>
        <v>66.918049950000011</v>
      </c>
      <c r="CZ27" s="943">
        <f>CY27</f>
        <v>66.918049950000011</v>
      </c>
      <c r="DA27" s="936">
        <f t="shared" ref="DA27:DD27" si="8">CV27*1</f>
        <v>66.918049950000011</v>
      </c>
      <c r="DB27" s="936">
        <f t="shared" si="8"/>
        <v>66.918049950000011</v>
      </c>
      <c r="DC27" s="936">
        <f t="shared" si="8"/>
        <v>66.918049950000011</v>
      </c>
      <c r="DD27" s="936">
        <f t="shared" si="8"/>
        <v>66.918049950000011</v>
      </c>
      <c r="DE27" s="943">
        <f>DD27</f>
        <v>66.918049950000011</v>
      </c>
      <c r="DF27" s="936">
        <v>66.918049950000011</v>
      </c>
      <c r="DG27" s="936">
        <v>66.918049950000011</v>
      </c>
      <c r="DH27" s="936">
        <v>66.918049950000011</v>
      </c>
      <c r="DI27" s="936">
        <v>66.918049950000011</v>
      </c>
      <c r="DJ27" s="943">
        <f>DI27</f>
        <v>66.918049950000011</v>
      </c>
      <c r="DK27" s="936">
        <v>66.918049950000011</v>
      </c>
      <c r="DL27" s="936">
        <v>66.918049950000011</v>
      </c>
      <c r="DM27" s="936">
        <v>66.918049950000011</v>
      </c>
      <c r="DN27" s="936">
        <v>66.918049950000011</v>
      </c>
      <c r="DO27" s="943">
        <f>DN27</f>
        <v>66.918049950000011</v>
      </c>
      <c r="DP27" s="936">
        <v>66.918049950000011</v>
      </c>
      <c r="DQ27" s="939">
        <v>66.918049950000011</v>
      </c>
      <c r="DR27" s="939">
        <v>66.918049950000011</v>
      </c>
      <c r="DS27" s="939">
        <v>66.918049950000011</v>
      </c>
      <c r="DT27" s="1026">
        <f>DS27</f>
        <v>66.918049950000011</v>
      </c>
      <c r="DU27" s="939">
        <v>68</v>
      </c>
      <c r="DV27" s="939">
        <v>68</v>
      </c>
      <c r="DW27" s="939">
        <v>68</v>
      </c>
      <c r="DX27" s="939">
        <v>68</v>
      </c>
      <c r="DY27" s="1026">
        <f>DX27</f>
        <v>68</v>
      </c>
      <c r="DZ27" s="949">
        <v>69</v>
      </c>
      <c r="EA27" s="949">
        <v>70</v>
      </c>
      <c r="EB27" s="949">
        <v>71</v>
      </c>
    </row>
    <row r="28" spans="1:132" s="31" customFormat="1" ht="12" hidden="1" customHeight="1" outlineLevel="1">
      <c r="A28" s="74"/>
      <c r="B28" s="74" t="s">
        <v>625</v>
      </c>
      <c r="C28" s="930"/>
      <c r="D28" s="930"/>
      <c r="E28" s="930"/>
      <c r="F28" s="930"/>
      <c r="G28" s="930"/>
      <c r="H28" s="930"/>
      <c r="I28" s="930"/>
      <c r="J28" s="931"/>
      <c r="K28" s="931"/>
      <c r="L28" s="931"/>
      <c r="M28" s="931"/>
      <c r="N28" s="930"/>
      <c r="O28" s="931"/>
      <c r="P28" s="931"/>
      <c r="Q28" s="931"/>
      <c r="R28" s="931"/>
      <c r="S28" s="930"/>
      <c r="T28" s="931"/>
      <c r="U28" s="931"/>
      <c r="V28" s="931"/>
      <c r="W28" s="931"/>
      <c r="X28" s="930"/>
      <c r="Y28" s="931"/>
      <c r="Z28" s="931"/>
      <c r="AA28" s="931"/>
      <c r="AB28" s="931"/>
      <c r="AC28" s="930"/>
      <c r="AD28" s="931"/>
      <c r="AE28" s="931"/>
      <c r="AF28" s="931"/>
      <c r="AG28" s="931"/>
      <c r="AH28" s="930"/>
      <c r="AI28" s="931"/>
      <c r="AJ28" s="931"/>
      <c r="AK28" s="931"/>
      <c r="AL28" s="931"/>
      <c r="AM28" s="930"/>
      <c r="AN28" s="931"/>
      <c r="AO28" s="932"/>
      <c r="AP28" s="932"/>
      <c r="AQ28" s="931"/>
      <c r="AR28" s="930"/>
      <c r="AS28" s="931"/>
      <c r="AT28" s="932"/>
      <c r="AU28" s="932"/>
      <c r="AV28" s="931"/>
      <c r="AW28" s="930"/>
      <c r="AX28" s="931"/>
      <c r="AY28" s="932"/>
      <c r="AZ28" s="932"/>
      <c r="BA28" s="931"/>
      <c r="BB28" s="930"/>
      <c r="BC28" s="931"/>
      <c r="BD28" s="932"/>
      <c r="BE28" s="932"/>
      <c r="BF28" s="931"/>
      <c r="BG28" s="930"/>
      <c r="BH28" s="931"/>
      <c r="BI28" s="932"/>
      <c r="BJ28" s="932"/>
      <c r="BK28" s="931"/>
      <c r="BL28" s="930"/>
      <c r="BM28" s="931"/>
      <c r="BN28" s="932"/>
      <c r="BO28" s="932"/>
      <c r="BP28" s="931"/>
      <c r="BQ28" s="930"/>
      <c r="BR28" s="932"/>
      <c r="BS28" s="931"/>
      <c r="BT28" s="932"/>
      <c r="BU28" s="931"/>
      <c r="BV28" s="930"/>
      <c r="BW28" s="932"/>
      <c r="BX28" s="931"/>
      <c r="BY28" s="932"/>
      <c r="BZ28" s="931"/>
      <c r="CA28" s="930"/>
      <c r="CB28" s="932"/>
      <c r="CC28" s="931"/>
      <c r="CD28" s="932"/>
      <c r="CE28" s="931"/>
      <c r="CF28" s="930"/>
      <c r="CG28" s="292">
        <v>0</v>
      </c>
      <c r="CH28" s="292">
        <f>6-6</f>
        <v>0</v>
      </c>
      <c r="CI28" s="292">
        <v>0</v>
      </c>
      <c r="CJ28" s="292">
        <v>0</v>
      </c>
      <c r="CK28" s="930">
        <f>SUM(CG28:CJ28)</f>
        <v>0</v>
      </c>
      <c r="CL28" s="292">
        <v>0</v>
      </c>
      <c r="CM28" s="292">
        <v>0</v>
      </c>
      <c r="CN28" s="292">
        <v>0</v>
      </c>
      <c r="CO28" s="292">
        <v>0</v>
      </c>
      <c r="CP28" s="930">
        <f>SUM(CL28:CO28)</f>
        <v>0</v>
      </c>
      <c r="CQ28" s="292">
        <v>7</v>
      </c>
      <c r="CR28" s="292">
        <v>2</v>
      </c>
      <c r="CS28" s="292">
        <v>11</v>
      </c>
      <c r="CT28" s="292">
        <v>9</v>
      </c>
      <c r="CU28" s="930">
        <f>SUM(CQ28:CT28)</f>
        <v>29</v>
      </c>
      <c r="CV28" s="292">
        <v>20</v>
      </c>
      <c r="CW28" s="292">
        <v>6</v>
      </c>
      <c r="CX28" s="292">
        <v>7</v>
      </c>
      <c r="CY28" s="292">
        <v>7</v>
      </c>
      <c r="CZ28" s="930">
        <f>SUM(CV28:CY28)</f>
        <v>40</v>
      </c>
      <c r="DA28" s="292">
        <v>14</v>
      </c>
      <c r="DB28" s="292">
        <v>21</v>
      </c>
      <c r="DC28" s="292">
        <v>15</v>
      </c>
      <c r="DD28" s="292">
        <v>22</v>
      </c>
      <c r="DE28" s="930">
        <f>SUM(DA28:DD28)</f>
        <v>72</v>
      </c>
      <c r="DF28" s="292">
        <v>14</v>
      </c>
      <c r="DG28" s="292">
        <v>10</v>
      </c>
      <c r="DH28" s="292">
        <v>16</v>
      </c>
      <c r="DI28" s="292">
        <v>6</v>
      </c>
      <c r="DJ28" s="930">
        <f>SUM(DF28:DI28)</f>
        <v>46</v>
      </c>
      <c r="DK28" s="292">
        <v>9</v>
      </c>
      <c r="DL28" s="292">
        <v>13</v>
      </c>
      <c r="DM28" s="292">
        <v>21</v>
      </c>
      <c r="DN28" s="292">
        <v>8</v>
      </c>
      <c r="DO28" s="930">
        <f>SUM(DK28:DN28)</f>
        <v>51</v>
      </c>
      <c r="DP28" s="292">
        <v>11</v>
      </c>
      <c r="DQ28" s="951">
        <v>5</v>
      </c>
      <c r="DR28" s="951">
        <v>21</v>
      </c>
      <c r="DS28" s="951">
        <v>22</v>
      </c>
      <c r="DT28" s="1025">
        <f>SUM(DP28:DS28)</f>
        <v>59</v>
      </c>
      <c r="DU28" s="951">
        <v>17</v>
      </c>
      <c r="DV28" s="951">
        <v>17</v>
      </c>
      <c r="DW28" s="951">
        <v>19</v>
      </c>
      <c r="DX28" s="951">
        <v>19</v>
      </c>
      <c r="DY28" s="1025">
        <f>SUM(DU28:DX28)</f>
        <v>72</v>
      </c>
      <c r="DZ28" s="950">
        <v>74</v>
      </c>
      <c r="EA28" s="950">
        <v>76</v>
      </c>
      <c r="EB28" s="950">
        <v>80</v>
      </c>
    </row>
    <row r="29" spans="1:132" s="941" customFormat="1" ht="12" hidden="1" customHeight="1" outlineLevel="1">
      <c r="A29" s="795"/>
      <c r="B29" s="942" t="s">
        <v>190</v>
      </c>
      <c r="C29" s="937"/>
      <c r="D29" s="937"/>
      <c r="E29" s="937"/>
      <c r="F29" s="937"/>
      <c r="G29" s="937"/>
      <c r="H29" s="937"/>
      <c r="I29" s="937"/>
      <c r="J29" s="936"/>
      <c r="K29" s="936"/>
      <c r="L29" s="936"/>
      <c r="M29" s="936"/>
      <c r="N29" s="937"/>
      <c r="O29" s="936"/>
      <c r="P29" s="936"/>
      <c r="Q29" s="936"/>
      <c r="R29" s="936"/>
      <c r="S29" s="937"/>
      <c r="T29" s="936"/>
      <c r="U29" s="936"/>
      <c r="V29" s="936"/>
      <c r="W29" s="936"/>
      <c r="X29" s="937"/>
      <c r="Y29" s="936"/>
      <c r="Z29" s="936"/>
      <c r="AA29" s="936"/>
      <c r="AB29" s="936"/>
      <c r="AC29" s="937"/>
      <c r="AD29" s="936"/>
      <c r="AE29" s="936"/>
      <c r="AF29" s="936"/>
      <c r="AG29" s="936"/>
      <c r="AH29" s="937"/>
      <c r="AI29" s="936"/>
      <c r="AJ29" s="936"/>
      <c r="AK29" s="936"/>
      <c r="AL29" s="936"/>
      <c r="AM29" s="937"/>
      <c r="AN29" s="936"/>
      <c r="AO29" s="938"/>
      <c r="AP29" s="938"/>
      <c r="AQ29" s="936"/>
      <c r="AR29" s="937"/>
      <c r="AS29" s="936"/>
      <c r="AT29" s="938"/>
      <c r="AU29" s="938"/>
      <c r="AV29" s="936"/>
      <c r="AW29" s="937"/>
      <c r="AX29" s="936"/>
      <c r="AY29" s="938"/>
      <c r="AZ29" s="938"/>
      <c r="BA29" s="936"/>
      <c r="BB29" s="937"/>
      <c r="BC29" s="936"/>
      <c r="BD29" s="938"/>
      <c r="BE29" s="938"/>
      <c r="BF29" s="936"/>
      <c r="BG29" s="937"/>
      <c r="BH29" s="936"/>
      <c r="BI29" s="936"/>
      <c r="BJ29" s="936"/>
      <c r="BK29" s="936"/>
      <c r="BL29" s="937"/>
      <c r="BM29" s="936"/>
      <c r="BN29" s="936"/>
      <c r="BO29" s="936"/>
      <c r="BP29" s="936"/>
      <c r="BQ29" s="937"/>
      <c r="BR29" s="936"/>
      <c r="BS29" s="936"/>
      <c r="BT29" s="936"/>
      <c r="BU29" s="936"/>
      <c r="BV29" s="937"/>
      <c r="BW29" s="936">
        <f>115.4*0.4</f>
        <v>46.160000000000004</v>
      </c>
      <c r="BX29" s="936">
        <f t="shared" ref="BX29:BZ29" si="9">115.4*0.4</f>
        <v>46.160000000000004</v>
      </c>
      <c r="BY29" s="936">
        <f t="shared" si="9"/>
        <v>46.160000000000004</v>
      </c>
      <c r="BZ29" s="936">
        <f t="shared" si="9"/>
        <v>46.160000000000004</v>
      </c>
      <c r="CA29" s="943" t="str">
        <f>IFERROR(SUMPRODUCT(BW28:BZ28,BW29:BZ29)/CA28,"--")</f>
        <v>--</v>
      </c>
      <c r="CB29" s="936">
        <f>120.2*0.4</f>
        <v>48.080000000000005</v>
      </c>
      <c r="CC29" s="936">
        <f>120.2*0.4</f>
        <v>48.080000000000005</v>
      </c>
      <c r="CD29" s="936">
        <f>120.2*0.4</f>
        <v>48.080000000000005</v>
      </c>
      <c r="CE29" s="936">
        <f>120.2*0.4</f>
        <v>48.080000000000005</v>
      </c>
      <c r="CF29" s="943" t="str">
        <f>IFERROR(SUMPRODUCT(CB28:CE28,CB29:CE29)/CF28,"--")</f>
        <v>--</v>
      </c>
      <c r="CG29" s="936">
        <f>CB29*1.01</f>
        <v>48.560800000000008</v>
      </c>
      <c r="CH29" s="936">
        <f>CC29*1.01</f>
        <v>48.560800000000008</v>
      </c>
      <c r="CI29" s="936">
        <f>CD29*1.01</f>
        <v>48.560800000000008</v>
      </c>
      <c r="CJ29" s="936">
        <f>CE29*1.01</f>
        <v>48.560800000000008</v>
      </c>
      <c r="CK29" s="943" t="str">
        <f>IFERROR(SUMPRODUCT(CG28:CJ28,CG29:CJ29)/CK28,"--")</f>
        <v>--</v>
      </c>
      <c r="CL29" s="936">
        <f>CG29*1.01</f>
        <v>49.046408000000007</v>
      </c>
      <c r="CM29" s="936">
        <f>CH29*1.01</f>
        <v>49.046408000000007</v>
      </c>
      <c r="CN29" s="936">
        <f>CI29*1.01</f>
        <v>49.046408000000007</v>
      </c>
      <c r="CO29" s="936">
        <f>CJ29*1.01</f>
        <v>49.046408000000007</v>
      </c>
      <c r="CP29" s="943" t="str">
        <f>IFERROR(SUMPRODUCT(CL28:CO28,CL29:CO29)/CP28,"--")</f>
        <v>--</v>
      </c>
      <c r="CQ29" s="936">
        <f t="shared" ref="CQ29:CT29" si="10">CL29*1.01</f>
        <v>49.536872080000009</v>
      </c>
      <c r="CR29" s="936">
        <f t="shared" si="10"/>
        <v>49.536872080000009</v>
      </c>
      <c r="CS29" s="936">
        <f t="shared" si="10"/>
        <v>49.536872080000009</v>
      </c>
      <c r="CT29" s="936">
        <f t="shared" si="10"/>
        <v>49.536872080000009</v>
      </c>
      <c r="CU29" s="943">
        <f>IFERROR(SUMPRODUCT(CQ28:CT28,CQ29:CT29)/CU28,"--")</f>
        <v>49.536872080000009</v>
      </c>
      <c r="CV29" s="936">
        <f t="shared" ref="CV29:CW29" si="11">CQ29*1.01</f>
        <v>50.032240800800011</v>
      </c>
      <c r="CW29" s="936">
        <f t="shared" si="11"/>
        <v>50.032240800800011</v>
      </c>
      <c r="CX29" s="936">
        <f t="shared" ref="CX29" si="12">CS29*1.01</f>
        <v>50.032240800800011</v>
      </c>
      <c r="CY29" s="936">
        <f t="shared" ref="CY29" si="13">CT29*1.01</f>
        <v>50.032240800800011</v>
      </c>
      <c r="CZ29" s="943">
        <f>IFERROR(SUMPRODUCT(CV28:CY28,CV29:CY29)/CZ28,"--")</f>
        <v>50.032240800800011</v>
      </c>
      <c r="DA29" s="936">
        <f t="shared" ref="DA29" si="14">CV29*1.01</f>
        <v>50.532563208808014</v>
      </c>
      <c r="DB29" s="936">
        <f t="shared" ref="DB29" si="15">CW29*1.01</f>
        <v>50.532563208808014</v>
      </c>
      <c r="DC29" s="936">
        <f t="shared" ref="DC29" si="16">CX29*1.01</f>
        <v>50.532563208808014</v>
      </c>
      <c r="DD29" s="936">
        <f t="shared" ref="DD29" si="17">CY29*1.01</f>
        <v>50.532563208808014</v>
      </c>
      <c r="DE29" s="943">
        <f>IFERROR(SUMPRODUCT(DA28:DD28,DA29:DD29)/DE28,"--")</f>
        <v>50.532563208808014</v>
      </c>
      <c r="DF29" s="936">
        <v>50.532563208808014</v>
      </c>
      <c r="DG29" s="936">
        <v>50.532563208808014</v>
      </c>
      <c r="DH29" s="936">
        <v>50.532563208808014</v>
      </c>
      <c r="DI29" s="936">
        <v>50.532563208808014</v>
      </c>
      <c r="DJ29" s="943">
        <f>IFERROR(SUMPRODUCT(DF28:DI28,DF29:DI29)/DJ28,"--")</f>
        <v>50.532563208808014</v>
      </c>
      <c r="DK29" s="936">
        <v>50.532563208808014</v>
      </c>
      <c r="DL29" s="936">
        <v>50.532563208808014</v>
      </c>
      <c r="DM29" s="936">
        <v>50.532563208808014</v>
      </c>
      <c r="DN29" s="936">
        <v>50.532563208808014</v>
      </c>
      <c r="DO29" s="943">
        <f>IFERROR(SUMPRODUCT(DK28:DN28,DK29:DN29)/DO28,"--")</f>
        <v>50.532563208808021</v>
      </c>
      <c r="DP29" s="936">
        <v>50.532563208808014</v>
      </c>
      <c r="DQ29" s="939">
        <v>50.532563208808014</v>
      </c>
      <c r="DR29" s="939">
        <v>50.532563208808014</v>
      </c>
      <c r="DS29" s="939">
        <v>50.532563208808014</v>
      </c>
      <c r="DT29" s="1026">
        <f>IFERROR(SUMPRODUCT(DP28:DS28,DP29:DS29)/DT28,"--")</f>
        <v>50.532563208808014</v>
      </c>
      <c r="DU29" s="939">
        <v>52</v>
      </c>
      <c r="DV29" s="939">
        <v>52</v>
      </c>
      <c r="DW29" s="939">
        <v>52</v>
      </c>
      <c r="DX29" s="939">
        <v>52</v>
      </c>
      <c r="DY29" s="1026">
        <f>IFERROR(SUMPRODUCT(DU28:DX28,DU29:DX29)/DY28,"--")</f>
        <v>52</v>
      </c>
      <c r="DZ29" s="949">
        <v>53</v>
      </c>
      <c r="EA29" s="949">
        <v>54</v>
      </c>
      <c r="EB29" s="949">
        <v>55</v>
      </c>
    </row>
    <row r="30" spans="1:132" s="31" customFormat="1" ht="12" hidden="1" customHeight="1" outlineLevel="1">
      <c r="A30" s="74"/>
      <c r="B30" s="74" t="s">
        <v>618</v>
      </c>
      <c r="C30" s="930"/>
      <c r="D30" s="930">
        <v>8</v>
      </c>
      <c r="E30" s="930">
        <v>25</v>
      </c>
      <c r="F30" s="930">
        <v>11</v>
      </c>
      <c r="G30" s="930">
        <v>18</v>
      </c>
      <c r="H30" s="930">
        <v>10</v>
      </c>
      <c r="I30" s="930">
        <v>6</v>
      </c>
      <c r="J30" s="931">
        <v>2</v>
      </c>
      <c r="K30" s="931">
        <v>0</v>
      </c>
      <c r="L30" s="931">
        <v>1</v>
      </c>
      <c r="M30" s="931">
        <v>0</v>
      </c>
      <c r="N30" s="930">
        <f>SUM(J30:M30)</f>
        <v>3</v>
      </c>
      <c r="O30" s="931">
        <v>1</v>
      </c>
      <c r="P30" s="931">
        <v>0</v>
      </c>
      <c r="Q30" s="931">
        <v>2</v>
      </c>
      <c r="R30" s="931">
        <v>1</v>
      </c>
      <c r="S30" s="930">
        <f>SUM(O30:R30)</f>
        <v>4</v>
      </c>
      <c r="T30" s="931">
        <v>4</v>
      </c>
      <c r="U30" s="931">
        <v>1</v>
      </c>
      <c r="V30" s="931">
        <v>3</v>
      </c>
      <c r="W30" s="931">
        <v>3</v>
      </c>
      <c r="X30" s="930">
        <f>SUM(T30:W30)</f>
        <v>11</v>
      </c>
      <c r="Y30" s="931">
        <v>3</v>
      </c>
      <c r="Z30" s="931">
        <v>0</v>
      </c>
      <c r="AA30" s="931">
        <v>1</v>
      </c>
      <c r="AB30" s="931">
        <v>2</v>
      </c>
      <c r="AC30" s="930">
        <f>SUM(Y30:AB30)</f>
        <v>6</v>
      </c>
      <c r="AD30" s="931">
        <v>1</v>
      </c>
      <c r="AE30" s="931">
        <v>2</v>
      </c>
      <c r="AF30" s="931">
        <v>1</v>
      </c>
      <c r="AG30" s="931">
        <v>2</v>
      </c>
      <c r="AH30" s="930">
        <f>SUM(AD30:AG30)</f>
        <v>6</v>
      </c>
      <c r="AI30" s="931">
        <v>2</v>
      </c>
      <c r="AJ30" s="931">
        <v>1</v>
      </c>
      <c r="AK30" s="931">
        <v>1</v>
      </c>
      <c r="AL30" s="931">
        <v>1</v>
      </c>
      <c r="AM30" s="930">
        <f>SUM(AI30:AL30)</f>
        <v>5</v>
      </c>
      <c r="AN30" s="931">
        <v>2</v>
      </c>
      <c r="AO30" s="932">
        <v>1</v>
      </c>
      <c r="AP30" s="932">
        <v>3</v>
      </c>
      <c r="AQ30" s="931">
        <v>4</v>
      </c>
      <c r="AR30" s="930">
        <f>SUM(AN30:AQ30)</f>
        <v>10</v>
      </c>
      <c r="AS30" s="931">
        <v>1</v>
      </c>
      <c r="AT30" s="932">
        <v>1</v>
      </c>
      <c r="AU30" s="932">
        <v>2</v>
      </c>
      <c r="AV30" s="931">
        <v>3</v>
      </c>
      <c r="AW30" s="930">
        <f>SUM(AS30:AV30)</f>
        <v>7</v>
      </c>
      <c r="AX30" s="931">
        <v>1</v>
      </c>
      <c r="AY30" s="932">
        <v>1</v>
      </c>
      <c r="AZ30" s="932">
        <v>2</v>
      </c>
      <c r="BA30" s="931">
        <v>0</v>
      </c>
      <c r="BB30" s="930">
        <f>SUM(AX30:BA30)</f>
        <v>4</v>
      </c>
      <c r="BC30" s="931">
        <v>1</v>
      </c>
      <c r="BD30" s="932">
        <v>2</v>
      </c>
      <c r="BE30" s="932">
        <v>2</v>
      </c>
      <c r="BF30" s="931">
        <v>1</v>
      </c>
      <c r="BG30" s="930">
        <f>SUM(BC30:BF30)</f>
        <v>6</v>
      </c>
      <c r="BH30" s="931">
        <v>0</v>
      </c>
      <c r="BI30" s="932">
        <v>1</v>
      </c>
      <c r="BJ30" s="932">
        <v>1</v>
      </c>
      <c r="BK30" s="931">
        <v>1</v>
      </c>
      <c r="BL30" s="930">
        <f>SUM(BH30:BK30)</f>
        <v>3</v>
      </c>
      <c r="BM30" s="931">
        <v>0</v>
      </c>
      <c r="BN30" s="932">
        <v>0</v>
      </c>
      <c r="BO30" s="932">
        <v>1</v>
      </c>
      <c r="BP30" s="931">
        <v>3</v>
      </c>
      <c r="BQ30" s="930">
        <f>SUM(BM30:BP30)</f>
        <v>4</v>
      </c>
      <c r="BR30" s="932">
        <v>0</v>
      </c>
      <c r="BS30" s="931">
        <v>0</v>
      </c>
      <c r="BT30" s="932">
        <v>0</v>
      </c>
      <c r="BU30" s="931">
        <v>0</v>
      </c>
      <c r="BV30" s="930">
        <f>SUM(BR30:BU30)</f>
        <v>0</v>
      </c>
      <c r="BW30" s="932">
        <v>0</v>
      </c>
      <c r="BX30" s="931">
        <v>0</v>
      </c>
      <c r="BY30" s="932">
        <v>0</v>
      </c>
      <c r="BZ30" s="931">
        <v>0</v>
      </c>
      <c r="CA30" s="930">
        <f>SUM(BW30:BZ30)</f>
        <v>0</v>
      </c>
      <c r="CB30" s="932">
        <v>1</v>
      </c>
      <c r="CC30" s="931">
        <v>0</v>
      </c>
      <c r="CD30" s="932">
        <v>1</v>
      </c>
      <c r="CE30" s="931">
        <v>0</v>
      </c>
      <c r="CF30" s="930">
        <f>SUM(CB30:CE30)</f>
        <v>2</v>
      </c>
      <c r="CG30" s="292">
        <v>1</v>
      </c>
      <c r="CH30" s="292">
        <v>1</v>
      </c>
      <c r="CI30" s="292">
        <v>1</v>
      </c>
      <c r="CJ30" s="292">
        <v>0</v>
      </c>
      <c r="CK30" s="930">
        <f>SUM(CG30:CJ30)</f>
        <v>3</v>
      </c>
      <c r="CL30" s="292">
        <v>0</v>
      </c>
      <c r="CM30" s="292">
        <v>0</v>
      </c>
      <c r="CN30" s="292">
        <v>0</v>
      </c>
      <c r="CO30" s="292">
        <v>1</v>
      </c>
      <c r="CP30" s="930">
        <f>SUM(CL30:CO30)</f>
        <v>1</v>
      </c>
      <c r="CQ30" s="292">
        <v>1</v>
      </c>
      <c r="CR30" s="292">
        <v>0</v>
      </c>
      <c r="CS30" s="292">
        <v>1</v>
      </c>
      <c r="CT30" s="292">
        <v>1</v>
      </c>
      <c r="CU30" s="930">
        <f>SUM(CQ30:CT30)</f>
        <v>3</v>
      </c>
      <c r="CV30" s="292">
        <v>0</v>
      </c>
      <c r="CW30" s="292">
        <v>1</v>
      </c>
      <c r="CX30" s="292">
        <v>1</v>
      </c>
      <c r="CY30" s="292">
        <v>1</v>
      </c>
      <c r="CZ30" s="930">
        <f>SUM(CV30:CY30)</f>
        <v>3</v>
      </c>
      <c r="DA30" s="292">
        <v>0</v>
      </c>
      <c r="DB30" s="292">
        <v>0</v>
      </c>
      <c r="DC30" s="292">
        <v>0</v>
      </c>
      <c r="DD30" s="292">
        <v>2</v>
      </c>
      <c r="DE30" s="930">
        <f>SUM(DA30:DD30)</f>
        <v>2</v>
      </c>
      <c r="DF30" s="292">
        <v>0</v>
      </c>
      <c r="DG30" s="292">
        <v>1</v>
      </c>
      <c r="DH30" s="292">
        <v>1</v>
      </c>
      <c r="DI30" s="292">
        <v>0</v>
      </c>
      <c r="DJ30" s="930">
        <f>SUM(DF30:DI30)</f>
        <v>2</v>
      </c>
      <c r="DK30" s="292">
        <v>0</v>
      </c>
      <c r="DL30" s="292">
        <v>0</v>
      </c>
      <c r="DM30" s="292">
        <v>0</v>
      </c>
      <c r="DN30" s="292">
        <v>0</v>
      </c>
      <c r="DO30" s="930">
        <f>SUM(DK30:DN30)</f>
        <v>0</v>
      </c>
      <c r="DP30" s="292">
        <v>0</v>
      </c>
      <c r="DQ30" s="951">
        <v>0</v>
      </c>
      <c r="DR30" s="951">
        <v>1</v>
      </c>
      <c r="DS30" s="951">
        <v>2</v>
      </c>
      <c r="DT30" s="1025">
        <f>SUM(DP30:DS30)</f>
        <v>3</v>
      </c>
      <c r="DU30" s="951">
        <v>2</v>
      </c>
      <c r="DV30" s="951">
        <v>1</v>
      </c>
      <c r="DW30" s="951">
        <v>2</v>
      </c>
      <c r="DX30" s="951">
        <v>1</v>
      </c>
      <c r="DY30" s="1025">
        <f>SUM(DU30:DX30)</f>
        <v>6</v>
      </c>
      <c r="DZ30" s="950">
        <v>7</v>
      </c>
      <c r="EA30" s="950">
        <v>7</v>
      </c>
      <c r="EB30" s="950">
        <v>8</v>
      </c>
    </row>
    <row r="31" spans="1:132" s="941" customFormat="1" ht="12" hidden="1" customHeight="1" outlineLevel="1">
      <c r="A31" s="795"/>
      <c r="B31" s="942" t="s">
        <v>190</v>
      </c>
      <c r="C31" s="937"/>
      <c r="D31" s="937"/>
      <c r="E31" s="937"/>
      <c r="F31" s="937"/>
      <c r="G31" s="937"/>
      <c r="H31" s="937"/>
      <c r="I31" s="937"/>
      <c r="J31" s="936"/>
      <c r="K31" s="936"/>
      <c r="L31" s="936"/>
      <c r="M31" s="936"/>
      <c r="N31" s="937"/>
      <c r="O31" s="936"/>
      <c r="P31" s="936"/>
      <c r="Q31" s="936"/>
      <c r="R31" s="936"/>
      <c r="S31" s="937"/>
      <c r="T31" s="936"/>
      <c r="U31" s="936"/>
      <c r="V31" s="936"/>
      <c r="W31" s="936"/>
      <c r="X31" s="937"/>
      <c r="Y31" s="936"/>
      <c r="Z31" s="936"/>
      <c r="AA31" s="936"/>
      <c r="AB31" s="936"/>
      <c r="AC31" s="937"/>
      <c r="AD31" s="936"/>
      <c r="AE31" s="936"/>
      <c r="AF31" s="936"/>
      <c r="AG31" s="936"/>
      <c r="AH31" s="937"/>
      <c r="AI31" s="936"/>
      <c r="AJ31" s="936"/>
      <c r="AK31" s="936"/>
      <c r="AL31" s="936"/>
      <c r="AM31" s="937"/>
      <c r="AN31" s="936"/>
      <c r="AO31" s="938"/>
      <c r="AP31" s="938"/>
      <c r="AQ31" s="936"/>
      <c r="AR31" s="937"/>
      <c r="AS31" s="936"/>
      <c r="AT31" s="938"/>
      <c r="AU31" s="938"/>
      <c r="AV31" s="936"/>
      <c r="AW31" s="937"/>
      <c r="AX31" s="936"/>
      <c r="AY31" s="938"/>
      <c r="AZ31" s="938"/>
      <c r="BA31" s="936"/>
      <c r="BB31" s="937"/>
      <c r="BC31" s="936"/>
      <c r="BD31" s="938"/>
      <c r="BE31" s="938"/>
      <c r="BF31" s="936"/>
      <c r="BG31" s="937"/>
      <c r="BH31" s="936"/>
      <c r="BI31" s="936"/>
      <c r="BJ31" s="936"/>
      <c r="BK31" s="936"/>
      <c r="BL31" s="937"/>
      <c r="BM31" s="936"/>
      <c r="BN31" s="936"/>
      <c r="BO31" s="936"/>
      <c r="BP31" s="936"/>
      <c r="BQ31" s="937"/>
      <c r="BR31" s="936"/>
      <c r="BS31" s="936"/>
      <c r="BT31" s="936"/>
      <c r="BU31" s="936"/>
      <c r="BV31" s="937"/>
      <c r="BW31" s="936">
        <v>60</v>
      </c>
      <c r="BX31" s="936">
        <v>60</v>
      </c>
      <c r="BY31" s="936">
        <v>60</v>
      </c>
      <c r="BZ31" s="936">
        <v>60</v>
      </c>
      <c r="CA31" s="943" t="str">
        <f>IFERROR(SUMPRODUCT(BW30:BZ30,BW31:BZ31)/CA30,"--")</f>
        <v>--</v>
      </c>
      <c r="CB31" s="936">
        <v>60</v>
      </c>
      <c r="CC31" s="936">
        <v>60</v>
      </c>
      <c r="CD31" s="936">
        <v>60</v>
      </c>
      <c r="CE31" s="936">
        <v>60</v>
      </c>
      <c r="CF31" s="943">
        <f>IFERROR(SUMPRODUCT(CB30:CE30,CB31:CE31)/CF30,"--")</f>
        <v>60</v>
      </c>
      <c r="CG31" s="936">
        <f>CB31*1.01</f>
        <v>60.6</v>
      </c>
      <c r="CH31" s="936">
        <f>CC31*1.01</f>
        <v>60.6</v>
      </c>
      <c r="CI31" s="936">
        <f>CD31*1.01</f>
        <v>60.6</v>
      </c>
      <c r="CJ31" s="936">
        <f>CE31*1.01</f>
        <v>60.6</v>
      </c>
      <c r="CK31" s="943">
        <f>IFERROR(SUMPRODUCT(CG30:CJ30,CG31:CJ31)/CK30,"--")</f>
        <v>60.6</v>
      </c>
      <c r="CL31" s="936">
        <f>CG31*1.01</f>
        <v>61.206000000000003</v>
      </c>
      <c r="CM31" s="936">
        <f>CH31*1.01</f>
        <v>61.206000000000003</v>
      </c>
      <c r="CN31" s="936">
        <f>CI31*1.01</f>
        <v>61.206000000000003</v>
      </c>
      <c r="CO31" s="936">
        <f>CJ31*1.01</f>
        <v>61.206000000000003</v>
      </c>
      <c r="CP31" s="943">
        <f>IFERROR(SUMPRODUCT(CL30:CO30,CL31:CO31)/CP30,"--")</f>
        <v>61.206000000000003</v>
      </c>
      <c r="CQ31" s="936">
        <f t="shared" ref="CQ31:CT31" si="18">CL31*1.01</f>
        <v>61.818060000000003</v>
      </c>
      <c r="CR31" s="936">
        <f t="shared" si="18"/>
        <v>61.818060000000003</v>
      </c>
      <c r="CS31" s="936">
        <f t="shared" si="18"/>
        <v>61.818060000000003</v>
      </c>
      <c r="CT31" s="936">
        <f t="shared" si="18"/>
        <v>61.818060000000003</v>
      </c>
      <c r="CU31" s="943">
        <f>IFERROR(SUMPRODUCT(CQ30:CT30,CQ31:CT31)/CU30,"--")</f>
        <v>61.818060000000003</v>
      </c>
      <c r="CV31" s="936">
        <f t="shared" ref="CV31:CW31" si="19">CQ31*1.01</f>
        <v>62.436240600000005</v>
      </c>
      <c r="CW31" s="936">
        <f t="shared" si="19"/>
        <v>62.436240600000005</v>
      </c>
      <c r="CX31" s="936">
        <f t="shared" ref="CX31" si="20">CS31*1.01</f>
        <v>62.436240600000005</v>
      </c>
      <c r="CY31" s="936">
        <f t="shared" ref="CY31" si="21">CT31*1.01</f>
        <v>62.436240600000005</v>
      </c>
      <c r="CZ31" s="943">
        <f>IFERROR(SUMPRODUCT(CV30:CY30,CV31:CY31)/CZ30,"--")</f>
        <v>62.436240599999998</v>
      </c>
      <c r="DA31" s="936">
        <f t="shared" ref="DA31" si="22">CV31*1.01</f>
        <v>63.060603006000008</v>
      </c>
      <c r="DB31" s="936">
        <f t="shared" ref="DB31" si="23">CW31*1.01</f>
        <v>63.060603006000008</v>
      </c>
      <c r="DC31" s="936">
        <f t="shared" ref="DC31" si="24">CX31*1.01</f>
        <v>63.060603006000008</v>
      </c>
      <c r="DD31" s="936">
        <f t="shared" ref="DD31" si="25">CY31*1.01</f>
        <v>63.060603006000008</v>
      </c>
      <c r="DE31" s="943">
        <f>IFERROR(SUMPRODUCT(DA30:DD30,DA31:DD31)/DE30,"--")</f>
        <v>63.060603006000008</v>
      </c>
      <c r="DF31" s="936">
        <v>63.691209036060009</v>
      </c>
      <c r="DG31" s="936">
        <v>63.691209036060009</v>
      </c>
      <c r="DH31" s="936">
        <v>63.691209036060009</v>
      </c>
      <c r="DI31" s="936">
        <v>63.691209036060009</v>
      </c>
      <c r="DJ31" s="943">
        <f>IFERROR(SUMPRODUCT(DF30:DI30,DF31:DI31)/DJ30,"--")</f>
        <v>63.691209036060009</v>
      </c>
      <c r="DK31" s="936">
        <v>63.691209036060009</v>
      </c>
      <c r="DL31" s="936">
        <v>63.691209036060009</v>
      </c>
      <c r="DM31" s="936">
        <v>63.691209036060009</v>
      </c>
      <c r="DN31" s="936">
        <v>63.691209036060009</v>
      </c>
      <c r="DO31" s="943" t="str">
        <f>IFERROR(SUMPRODUCT(DK30:DN30,DK31:DN31)/DO30,"--")</f>
        <v>--</v>
      </c>
      <c r="DP31" s="936">
        <v>63.691209036060009</v>
      </c>
      <c r="DQ31" s="939">
        <v>63.691209036060009</v>
      </c>
      <c r="DR31" s="939">
        <v>63.691209036060009</v>
      </c>
      <c r="DS31" s="939">
        <v>63.691209036060009</v>
      </c>
      <c r="DT31" s="1026">
        <f>IFERROR(SUMPRODUCT(DP30:DS30,DP31:DS31)/DT30,"--")</f>
        <v>63.691209036060009</v>
      </c>
      <c r="DU31" s="939">
        <v>65</v>
      </c>
      <c r="DV31" s="939">
        <v>65</v>
      </c>
      <c r="DW31" s="939">
        <v>65</v>
      </c>
      <c r="DX31" s="939">
        <v>65</v>
      </c>
      <c r="DY31" s="1026">
        <f>IFERROR(SUMPRODUCT(DU30:DX30,DU31:DX31)/DY30,"--")</f>
        <v>65</v>
      </c>
      <c r="DZ31" s="949">
        <f>DY31*1.01</f>
        <v>65.650000000000006</v>
      </c>
      <c r="EA31" s="949">
        <v>67</v>
      </c>
      <c r="EB31" s="949">
        <v>68</v>
      </c>
    </row>
    <row r="32" spans="1:132" s="298" customFormat="1" collapsed="1">
      <c r="A32" s="241"/>
      <c r="B32" s="42" t="s">
        <v>610</v>
      </c>
      <c r="C32" s="43">
        <v>135</v>
      </c>
      <c r="D32" s="43">
        <v>282</v>
      </c>
      <c r="E32" s="43">
        <v>320</v>
      </c>
      <c r="F32" s="43">
        <v>282</v>
      </c>
      <c r="G32" s="43">
        <v>299</v>
      </c>
      <c r="H32" s="43">
        <v>223</v>
      </c>
      <c r="I32" s="43">
        <v>173</v>
      </c>
      <c r="J32" s="42">
        <f>+J12+J14+J16+J18+J20+J22+J24+J26+J28+J30</f>
        <v>55</v>
      </c>
      <c r="K32" s="42">
        <f t="shared" ref="K32:BU32" si="26">+K12+K14+K16+K18+K20+K22+K24+K26+K28+K30</f>
        <v>50</v>
      </c>
      <c r="L32" s="42">
        <f t="shared" si="26"/>
        <v>49</v>
      </c>
      <c r="M32" s="42">
        <f t="shared" si="26"/>
        <v>48</v>
      </c>
      <c r="N32" s="43">
        <f>SUM(J32:M32)</f>
        <v>202</v>
      </c>
      <c r="O32" s="42">
        <f t="shared" si="26"/>
        <v>54</v>
      </c>
      <c r="P32" s="42">
        <f t="shared" si="26"/>
        <v>59</v>
      </c>
      <c r="Q32" s="42">
        <f t="shared" si="26"/>
        <v>47</v>
      </c>
      <c r="R32" s="42">
        <f t="shared" si="26"/>
        <v>52</v>
      </c>
      <c r="S32" s="43">
        <f>SUM(O32:R32)</f>
        <v>212</v>
      </c>
      <c r="T32" s="42">
        <f t="shared" si="26"/>
        <v>72</v>
      </c>
      <c r="U32" s="42">
        <f t="shared" si="26"/>
        <v>70</v>
      </c>
      <c r="V32" s="42">
        <f t="shared" si="26"/>
        <v>81</v>
      </c>
      <c r="W32" s="42">
        <f t="shared" si="26"/>
        <v>79</v>
      </c>
      <c r="X32" s="43">
        <f>SUM(T32:W32)</f>
        <v>302</v>
      </c>
      <c r="Y32" s="42">
        <f t="shared" si="26"/>
        <v>83</v>
      </c>
      <c r="Z32" s="42">
        <f t="shared" si="26"/>
        <v>86</v>
      </c>
      <c r="AA32" s="42">
        <f t="shared" si="26"/>
        <v>81</v>
      </c>
      <c r="AB32" s="42">
        <f t="shared" si="26"/>
        <v>80</v>
      </c>
      <c r="AC32" s="43">
        <f>SUM(Y32:AB32)</f>
        <v>330</v>
      </c>
      <c r="AD32" s="42">
        <f t="shared" si="26"/>
        <v>87</v>
      </c>
      <c r="AE32" s="42">
        <f t="shared" si="26"/>
        <v>100</v>
      </c>
      <c r="AF32" s="42">
        <f t="shared" si="26"/>
        <v>67</v>
      </c>
      <c r="AG32" s="42">
        <f t="shared" si="26"/>
        <v>36</v>
      </c>
      <c r="AH32" s="43">
        <f>SUM(AD32:AG32)</f>
        <v>290</v>
      </c>
      <c r="AI32" s="42">
        <f t="shared" si="26"/>
        <v>91</v>
      </c>
      <c r="AJ32" s="42">
        <f t="shared" si="26"/>
        <v>99</v>
      </c>
      <c r="AK32" s="42">
        <f t="shared" si="26"/>
        <v>90</v>
      </c>
      <c r="AL32" s="42">
        <f t="shared" si="26"/>
        <v>92</v>
      </c>
      <c r="AM32" s="43">
        <f>SUM(AI32:AL32)</f>
        <v>372</v>
      </c>
      <c r="AN32" s="42">
        <f t="shared" si="26"/>
        <v>86</v>
      </c>
      <c r="AO32" s="432">
        <f t="shared" si="26"/>
        <v>95</v>
      </c>
      <c r="AP32" s="432">
        <f t="shared" si="26"/>
        <v>100</v>
      </c>
      <c r="AQ32" s="42">
        <f t="shared" si="26"/>
        <v>95</v>
      </c>
      <c r="AR32" s="43">
        <f>SUM(AN32:AQ32)</f>
        <v>376</v>
      </c>
      <c r="AS32" s="42">
        <f t="shared" si="26"/>
        <v>87</v>
      </c>
      <c r="AT32" s="432">
        <f t="shared" si="26"/>
        <v>94</v>
      </c>
      <c r="AU32" s="432">
        <f t="shared" si="26"/>
        <v>100</v>
      </c>
      <c r="AV32" s="42">
        <f t="shared" si="26"/>
        <v>91</v>
      </c>
      <c r="AW32" s="43">
        <f>SUM(AS32:AV32)</f>
        <v>372</v>
      </c>
      <c r="AX32" s="42">
        <f t="shared" si="26"/>
        <v>99</v>
      </c>
      <c r="AY32" s="432">
        <f t="shared" si="26"/>
        <v>109</v>
      </c>
      <c r="AZ32" s="432">
        <f t="shared" si="26"/>
        <v>102</v>
      </c>
      <c r="BA32" s="42">
        <f t="shared" si="26"/>
        <v>105</v>
      </c>
      <c r="BB32" s="43">
        <f>SUM(AX32:BA32)</f>
        <v>415</v>
      </c>
      <c r="BC32" s="42">
        <f t="shared" si="26"/>
        <v>102</v>
      </c>
      <c r="BD32" s="432">
        <f t="shared" si="26"/>
        <v>116</v>
      </c>
      <c r="BE32" s="432">
        <f t="shared" si="26"/>
        <v>112</v>
      </c>
      <c r="BF32" s="42">
        <f t="shared" si="26"/>
        <v>110</v>
      </c>
      <c r="BG32" s="43">
        <f>SUM(BC32:BF32)</f>
        <v>440</v>
      </c>
      <c r="BH32" s="42">
        <f t="shared" si="26"/>
        <v>115</v>
      </c>
      <c r="BI32" s="42">
        <f t="shared" si="26"/>
        <v>124</v>
      </c>
      <c r="BJ32" s="42">
        <f t="shared" si="26"/>
        <v>120</v>
      </c>
      <c r="BK32" s="42">
        <f t="shared" si="26"/>
        <v>126</v>
      </c>
      <c r="BL32" s="43">
        <f>SUM(BH32:BK32)</f>
        <v>485</v>
      </c>
      <c r="BM32" s="432">
        <f t="shared" si="26"/>
        <v>121</v>
      </c>
      <c r="BN32" s="432">
        <f t="shared" si="26"/>
        <v>128</v>
      </c>
      <c r="BO32" s="432">
        <f t="shared" si="26"/>
        <v>126</v>
      </c>
      <c r="BP32" s="42">
        <f t="shared" si="26"/>
        <v>120</v>
      </c>
      <c r="BQ32" s="43">
        <f>SUM(BM32:BP32)</f>
        <v>495</v>
      </c>
      <c r="BR32" s="432">
        <f t="shared" si="26"/>
        <v>121</v>
      </c>
      <c r="BS32" s="42">
        <f t="shared" si="26"/>
        <v>127</v>
      </c>
      <c r="BT32" s="432">
        <f t="shared" si="26"/>
        <v>120</v>
      </c>
      <c r="BU32" s="42">
        <f t="shared" si="26"/>
        <v>122</v>
      </c>
      <c r="BV32" s="43">
        <f>SUM(BR32:BU32)</f>
        <v>490</v>
      </c>
      <c r="BW32" s="432">
        <f t="shared" ref="BW32:DI32" si="27">+BW12+BW14+BW16+BW18+BW20+BW22+BW24+BW26+BW28+BW30</f>
        <v>113</v>
      </c>
      <c r="BX32" s="432">
        <f t="shared" si="27"/>
        <v>123</v>
      </c>
      <c r="BY32" s="432">
        <f t="shared" si="27"/>
        <v>145</v>
      </c>
      <c r="BZ32" s="432">
        <f t="shared" si="27"/>
        <v>148</v>
      </c>
      <c r="CA32" s="43">
        <f>SUM(BW32:BZ32)</f>
        <v>529</v>
      </c>
      <c r="CB32" s="432">
        <f t="shared" si="27"/>
        <v>132</v>
      </c>
      <c r="CC32" s="432">
        <f t="shared" si="27"/>
        <v>137</v>
      </c>
      <c r="CD32" s="432">
        <f t="shared" si="27"/>
        <v>138</v>
      </c>
      <c r="CE32" s="432">
        <f t="shared" si="27"/>
        <v>173</v>
      </c>
      <c r="CF32" s="43">
        <f>SUM(CB32:CE32)</f>
        <v>580</v>
      </c>
      <c r="CG32" s="432">
        <f t="shared" si="27"/>
        <v>89</v>
      </c>
      <c r="CH32" s="432">
        <f t="shared" si="27"/>
        <v>24</v>
      </c>
      <c r="CI32" s="432">
        <f t="shared" si="27"/>
        <v>5</v>
      </c>
      <c r="CJ32" s="432">
        <f t="shared" si="27"/>
        <v>9</v>
      </c>
      <c r="CK32" s="43">
        <f>SUM(CG32:CJ32)</f>
        <v>127</v>
      </c>
      <c r="CL32" s="432">
        <f t="shared" si="27"/>
        <v>5</v>
      </c>
      <c r="CM32" s="432">
        <f t="shared" si="27"/>
        <v>4</v>
      </c>
      <c r="CN32" s="432">
        <f t="shared" si="27"/>
        <v>3</v>
      </c>
      <c r="CO32" s="432">
        <f t="shared" si="27"/>
        <v>31</v>
      </c>
      <c r="CP32" s="43">
        <f>SUM(CL32:CO32)</f>
        <v>43</v>
      </c>
      <c r="CQ32" s="432">
        <f t="shared" ref="CQ32:CT32" si="28">+CQ12+CQ14+CQ16+CQ18+CQ20+CQ22+CQ24+CQ26+CQ28+CQ30</f>
        <v>63</v>
      </c>
      <c r="CR32" s="432">
        <f t="shared" si="28"/>
        <v>50</v>
      </c>
      <c r="CS32" s="432">
        <f t="shared" si="28"/>
        <v>66</v>
      </c>
      <c r="CT32" s="432">
        <f t="shared" si="28"/>
        <v>84</v>
      </c>
      <c r="CU32" s="43">
        <f>SUM(CQ32:CT32)</f>
        <v>263</v>
      </c>
      <c r="CV32" s="432">
        <f t="shared" ref="CV32" si="29">+CV12+CV14+CV16+CV18+CV20+CV22+CV24+CV26+CV28+CV30</f>
        <v>86</v>
      </c>
      <c r="CW32" s="432">
        <f t="shared" ref="CW32:CY32" si="30">+CW12+CW14+CW16+CW18+CW20+CW22+CW24+CW26+CW28+CW30</f>
        <v>103</v>
      </c>
      <c r="CX32" s="432">
        <f t="shared" si="30"/>
        <v>88</v>
      </c>
      <c r="CY32" s="432">
        <f t="shared" si="30"/>
        <v>110</v>
      </c>
      <c r="CZ32" s="43">
        <f>SUM(CV32:CY32)</f>
        <v>387</v>
      </c>
      <c r="DA32" s="432">
        <f t="shared" ref="DA32:DD32" si="31">+DA12+DA14+DA16+DA18+DA20+DA22+DA24+DA26+DA28+DA30</f>
        <v>113</v>
      </c>
      <c r="DB32" s="432">
        <f t="shared" si="31"/>
        <v>103</v>
      </c>
      <c r="DC32" s="432">
        <f t="shared" si="31"/>
        <v>70</v>
      </c>
      <c r="DD32" s="432">
        <f t="shared" si="31"/>
        <v>110</v>
      </c>
      <c r="DE32" s="43">
        <f>SUM(DA32:DD32)</f>
        <v>396</v>
      </c>
      <c r="DF32" s="432">
        <f t="shared" si="27"/>
        <v>67</v>
      </c>
      <c r="DG32" s="432">
        <f t="shared" si="27"/>
        <v>70</v>
      </c>
      <c r="DH32" s="432">
        <f t="shared" si="27"/>
        <v>92</v>
      </c>
      <c r="DI32" s="432">
        <f t="shared" si="27"/>
        <v>36</v>
      </c>
      <c r="DJ32" s="43">
        <f>SUM(DF32:DI32)</f>
        <v>265</v>
      </c>
      <c r="DK32" s="432">
        <f t="shared" ref="DK32:DN32" si="32">+DK12+DK14+DK16+DK18+DK20+DK22+DK24+DK26+DK28+DK30</f>
        <v>105</v>
      </c>
      <c r="DL32" s="432">
        <f t="shared" si="32"/>
        <v>104</v>
      </c>
      <c r="DM32" s="432">
        <f t="shared" si="32"/>
        <v>121</v>
      </c>
      <c r="DN32" s="432">
        <f t="shared" si="32"/>
        <v>117</v>
      </c>
      <c r="DO32" s="43">
        <f>SUM(DK32:DN32)</f>
        <v>447</v>
      </c>
      <c r="DP32" s="432">
        <f t="shared" ref="DP32:DS32" si="33">+DP12+DP14+DP16+DP18+DP20+DP22+DP24+DP26+DP28+DP30</f>
        <v>114</v>
      </c>
      <c r="DQ32" s="432">
        <f t="shared" si="33"/>
        <v>129</v>
      </c>
      <c r="DR32" s="432">
        <f t="shared" si="33"/>
        <v>137</v>
      </c>
      <c r="DS32" s="432">
        <f t="shared" si="33"/>
        <v>142</v>
      </c>
      <c r="DT32" s="43">
        <f>SUM(DP32:DS32)</f>
        <v>522</v>
      </c>
      <c r="DU32" s="432">
        <f t="shared" ref="DU32:DX32" si="34">+DU12+DU14+DU16+DU18+DU20+DU22+DU24+DU26+DU28+DU30</f>
        <v>144</v>
      </c>
      <c r="DV32" s="432">
        <f t="shared" si="34"/>
        <v>151</v>
      </c>
      <c r="DW32" s="432">
        <f t="shared" si="34"/>
        <v>155</v>
      </c>
      <c r="DX32" s="432">
        <f t="shared" si="34"/>
        <v>164</v>
      </c>
      <c r="DY32" s="43">
        <f>SUM(DU32:DX32)</f>
        <v>614</v>
      </c>
      <c r="DZ32" s="43">
        <f t="shared" ref="DZ32:EB32" si="35">+DZ12+DZ14+DZ16+DZ18+DZ20+DZ22+DZ24+DZ26+DZ28+DZ30</f>
        <v>656</v>
      </c>
      <c r="EA32" s="43">
        <f t="shared" si="35"/>
        <v>700</v>
      </c>
      <c r="EB32" s="43">
        <f t="shared" si="35"/>
        <v>740</v>
      </c>
    </row>
    <row r="33" spans="1:132" s="743" customFormat="1">
      <c r="A33" s="813"/>
      <c r="B33" s="929" t="s">
        <v>620</v>
      </c>
      <c r="C33" s="952">
        <f>C32/11.5</f>
        <v>11.739130434782609</v>
      </c>
      <c r="D33" s="952">
        <f t="shared" ref="D33:I33" si="36">D32/11.5</f>
        <v>24.521739130434781</v>
      </c>
      <c r="E33" s="952">
        <f t="shared" si="36"/>
        <v>27.826086956521738</v>
      </c>
      <c r="F33" s="952">
        <f t="shared" si="36"/>
        <v>24.521739130434781</v>
      </c>
      <c r="G33" s="952">
        <f t="shared" si="36"/>
        <v>26</v>
      </c>
      <c r="H33" s="952">
        <f t="shared" si="36"/>
        <v>19.391304347826086</v>
      </c>
      <c r="I33" s="952">
        <f t="shared" si="36"/>
        <v>15.043478260869565</v>
      </c>
      <c r="J33" s="813"/>
      <c r="K33" s="813"/>
      <c r="L33" s="813"/>
      <c r="M33" s="813"/>
      <c r="N33" s="952">
        <f t="shared" ref="N33" si="37">N32/11.5</f>
        <v>17.565217391304348</v>
      </c>
      <c r="O33" s="813"/>
      <c r="P33" s="813"/>
      <c r="Q33" s="813"/>
      <c r="R33" s="813"/>
      <c r="S33" s="952">
        <f t="shared" ref="S33" si="38">S32/11.5</f>
        <v>18.434782608695652</v>
      </c>
      <c r="T33" s="813"/>
      <c r="U33" s="813"/>
      <c r="V33" s="813"/>
      <c r="W33" s="813"/>
      <c r="X33" s="952">
        <f t="shared" ref="X33" si="39">X32/11.5</f>
        <v>26.260869565217391</v>
      </c>
      <c r="Y33" s="813"/>
      <c r="Z33" s="813"/>
      <c r="AA33" s="813"/>
      <c r="AB33" s="813"/>
      <c r="AC33" s="952">
        <f t="shared" ref="AC33" si="40">AC32/11.5</f>
        <v>28.695652173913043</v>
      </c>
      <c r="AD33" s="813"/>
      <c r="AE33" s="813"/>
      <c r="AF33" s="813"/>
      <c r="AG33" s="813"/>
      <c r="AH33" s="952">
        <f t="shared" ref="AH33" si="41">AH32/11.5</f>
        <v>25.217391304347824</v>
      </c>
      <c r="AI33" s="813"/>
      <c r="AJ33" s="813"/>
      <c r="AK33" s="813"/>
      <c r="AL33" s="813"/>
      <c r="AM33" s="952">
        <f t="shared" ref="AM33" si="42">AM32/11.5</f>
        <v>32.347826086956523</v>
      </c>
      <c r="AN33" s="813"/>
      <c r="AO33" s="953"/>
      <c r="AP33" s="953"/>
      <c r="AQ33" s="929"/>
      <c r="AR33" s="952">
        <f t="shared" ref="AR33" si="43">AR32/11.5</f>
        <v>32.695652173913047</v>
      </c>
      <c r="AS33" s="813"/>
      <c r="AT33" s="953"/>
      <c r="AU33" s="953"/>
      <c r="AV33" s="929"/>
      <c r="AW33" s="952">
        <f t="shared" ref="AW33" si="44">AW32/11.5</f>
        <v>32.347826086956523</v>
      </c>
      <c r="AX33" s="813"/>
      <c r="AY33" s="953"/>
      <c r="AZ33" s="953"/>
      <c r="BA33" s="929"/>
      <c r="BB33" s="952">
        <f t="shared" ref="BB33" si="45">BB32/11.5</f>
        <v>36.086956521739133</v>
      </c>
      <c r="BC33" s="813"/>
      <c r="BD33" s="953"/>
      <c r="BE33" s="953"/>
      <c r="BF33" s="813"/>
      <c r="BG33" s="952">
        <f t="shared" ref="BG33" si="46">BG32/11.5</f>
        <v>38.260869565217391</v>
      </c>
      <c r="BH33" s="813"/>
      <c r="BI33" s="813"/>
      <c r="BJ33" s="813"/>
      <c r="BK33" s="813"/>
      <c r="BL33" s="952">
        <f t="shared" ref="BL33" si="47">BL32/11.5</f>
        <v>42.173913043478258</v>
      </c>
      <c r="BM33" s="813"/>
      <c r="BN33" s="813"/>
      <c r="BO33" s="813"/>
      <c r="BP33" s="813"/>
      <c r="BQ33" s="952">
        <f t="shared" ref="BQ33" si="48">BQ32/11.5</f>
        <v>43.043478260869563</v>
      </c>
      <c r="BR33" s="813"/>
      <c r="BS33" s="813"/>
      <c r="BT33" s="813"/>
      <c r="BU33" s="813"/>
      <c r="BV33" s="952">
        <f t="shared" ref="BV33" si="49">BV32/11.5</f>
        <v>42.608695652173914</v>
      </c>
      <c r="BW33" s="813"/>
      <c r="BX33" s="813"/>
      <c r="BY33" s="813"/>
      <c r="BZ33" s="813"/>
      <c r="CA33" s="952">
        <f t="shared" ref="CA33" si="50">CA32/11.5</f>
        <v>46</v>
      </c>
      <c r="CB33" s="813"/>
      <c r="CC33" s="813"/>
      <c r="CD33" s="813"/>
      <c r="CE33" s="813"/>
      <c r="CF33" s="952">
        <f t="shared" ref="CF33" si="51">CF32/11.5</f>
        <v>50.434782608695649</v>
      </c>
      <c r="CG33" s="813">
        <f>CG32/11.5*4</f>
        <v>30.956521739130434</v>
      </c>
      <c r="CH33" s="929">
        <f t="shared" ref="CH33:CJ33" si="52">CH32/11.5*4</f>
        <v>8.3478260869565215</v>
      </c>
      <c r="CI33" s="813">
        <f t="shared" si="52"/>
        <v>1.7391304347826086</v>
      </c>
      <c r="CJ33" s="929">
        <f t="shared" si="52"/>
        <v>3.1304347826086958</v>
      </c>
      <c r="CK33" s="952">
        <f t="shared" ref="CK33" si="53">CK32/11.5</f>
        <v>11.043478260869565</v>
      </c>
      <c r="CL33" s="929">
        <f>CL32/11.5*4</f>
        <v>1.7391304347826086</v>
      </c>
      <c r="CM33" s="929">
        <f t="shared" ref="CM33" si="54">CM32/11.5*4</f>
        <v>1.3913043478260869</v>
      </c>
      <c r="CN33" s="929">
        <f t="shared" ref="CN33" si="55">CN32/11.5*4</f>
        <v>1.0434782608695652</v>
      </c>
      <c r="CO33" s="929">
        <f t="shared" ref="CO33:CT33" si="56">CO32/11.5*4</f>
        <v>10.782608695652174</v>
      </c>
      <c r="CP33" s="952">
        <f t="shared" ref="CP33" si="57">CP32/11.5</f>
        <v>3.7391304347826089</v>
      </c>
      <c r="CQ33" s="929">
        <f t="shared" si="56"/>
        <v>21.913043478260871</v>
      </c>
      <c r="CR33" s="929">
        <f t="shared" si="56"/>
        <v>17.391304347826086</v>
      </c>
      <c r="CS33" s="929">
        <f t="shared" si="56"/>
        <v>22.956521739130434</v>
      </c>
      <c r="CT33" s="929">
        <f t="shared" si="56"/>
        <v>29.217391304347824</v>
      </c>
      <c r="CU33" s="952">
        <f t="shared" ref="CU33" si="58">CU32/11.5</f>
        <v>22.869565217391305</v>
      </c>
      <c r="CV33" s="929">
        <f t="shared" ref="CV33" si="59">CV32/11.5*4</f>
        <v>29.913043478260871</v>
      </c>
      <c r="CW33" s="929">
        <f t="shared" ref="CW33:CY33" si="60">CW32/11.5*4</f>
        <v>35.826086956521742</v>
      </c>
      <c r="CX33" s="929">
        <f t="shared" si="60"/>
        <v>30.608695652173914</v>
      </c>
      <c r="CY33" s="929">
        <f t="shared" si="60"/>
        <v>38.260869565217391</v>
      </c>
      <c r="CZ33" s="952">
        <f t="shared" ref="CZ33" si="61">CZ32/11.5</f>
        <v>33.652173913043477</v>
      </c>
      <c r="DA33" s="813">
        <f t="shared" ref="DA33:DD33" si="62">DA32/11.5*4</f>
        <v>39.304347826086953</v>
      </c>
      <c r="DB33" s="813">
        <f t="shared" si="62"/>
        <v>35.826086956521742</v>
      </c>
      <c r="DC33" s="929">
        <f t="shared" si="62"/>
        <v>24.347826086956523</v>
      </c>
      <c r="DD33" s="813">
        <f t="shared" si="62"/>
        <v>38.260869565217391</v>
      </c>
      <c r="DE33" s="952">
        <f t="shared" ref="DE33" si="63">DE32/11.5</f>
        <v>34.434782608695649</v>
      </c>
      <c r="DF33" s="929">
        <f>DF32/11.5*4</f>
        <v>23.304347826086957</v>
      </c>
      <c r="DG33" s="929">
        <f t="shared" ref="DG33:DI33" si="64">DG32/11.5*4</f>
        <v>24.347826086956523</v>
      </c>
      <c r="DH33" s="929">
        <f t="shared" si="64"/>
        <v>32</v>
      </c>
      <c r="DI33" s="929">
        <f t="shared" si="64"/>
        <v>12.521739130434783</v>
      </c>
      <c r="DJ33" s="1023">
        <f t="shared" ref="DJ33" si="65">DJ32/11.5</f>
        <v>23.043478260869566</v>
      </c>
      <c r="DK33" s="929">
        <f>DK32/11.5*4</f>
        <v>36.521739130434781</v>
      </c>
      <c r="DL33" s="929">
        <f>DL32/11.5*4</f>
        <v>36.173913043478258</v>
      </c>
      <c r="DM33" s="929">
        <f>DM32/11.5*4</f>
        <v>42.086956521739133</v>
      </c>
      <c r="DN33" s="929">
        <f>DN32/11.5*4</f>
        <v>40.695652173913047</v>
      </c>
      <c r="DO33" s="1023">
        <f t="shared" ref="DO33" si="66">DO32/11.5</f>
        <v>38.869565217391305</v>
      </c>
      <c r="DP33" s="929">
        <f>DP32/11.5*4</f>
        <v>39.652173913043477</v>
      </c>
      <c r="DQ33" s="813">
        <f>DQ32/11.5*4</f>
        <v>44.869565217391305</v>
      </c>
      <c r="DR33" s="813">
        <f>DR32/11.5*4</f>
        <v>47.652173913043477</v>
      </c>
      <c r="DS33" s="813">
        <f>DS32/11.5*4</f>
        <v>49.391304347826086</v>
      </c>
      <c r="DT33" s="1023">
        <f t="shared" ref="DT33" si="67">DT32/11.5</f>
        <v>45.391304347826086</v>
      </c>
      <c r="DU33" s="813">
        <f>DU32/11.5*4</f>
        <v>50.086956521739133</v>
      </c>
      <c r="DV33" s="813">
        <f>DV32/11.5*4</f>
        <v>52.521739130434781</v>
      </c>
      <c r="DW33" s="813">
        <f>DW32/11.5*4</f>
        <v>53.913043478260867</v>
      </c>
      <c r="DX33" s="813">
        <f>DX32/11.5*4</f>
        <v>57.043478260869563</v>
      </c>
      <c r="DY33" s="1023">
        <f t="shared" ref="DY33" si="68">DY32/11.5</f>
        <v>53.391304347826086</v>
      </c>
      <c r="DZ33" s="952">
        <f t="shared" ref="DZ33:EB33" si="69">DZ32/11.5</f>
        <v>57.043478260869563</v>
      </c>
      <c r="EA33" s="952">
        <f t="shared" si="69"/>
        <v>60.869565217391305</v>
      </c>
      <c r="EB33" s="952">
        <f t="shared" si="69"/>
        <v>64.347826086956516</v>
      </c>
    </row>
    <row r="34" spans="1:132" s="298" customFormat="1">
      <c r="A34" s="68"/>
      <c r="B34" s="190" t="s">
        <v>190</v>
      </c>
      <c r="C34" s="189">
        <v>32</v>
      </c>
      <c r="D34" s="189">
        <v>30</v>
      </c>
      <c r="E34" s="189">
        <v>29</v>
      </c>
      <c r="F34" s="189">
        <v>31</v>
      </c>
      <c r="G34" s="189">
        <v>33.5</v>
      </c>
      <c r="H34" s="189">
        <v>38.623318385650222</v>
      </c>
      <c r="I34" s="189">
        <v>40</v>
      </c>
      <c r="J34" s="190">
        <v>41</v>
      </c>
      <c r="K34" s="190">
        <v>41</v>
      </c>
      <c r="L34" s="190">
        <v>41</v>
      </c>
      <c r="M34" s="190">
        <v>41</v>
      </c>
      <c r="N34" s="189">
        <f>N35/N32</f>
        <v>41</v>
      </c>
      <c r="O34" s="190">
        <v>42</v>
      </c>
      <c r="P34" s="190">
        <v>42</v>
      </c>
      <c r="Q34" s="190">
        <v>42</v>
      </c>
      <c r="R34" s="190">
        <v>42</v>
      </c>
      <c r="S34" s="189">
        <f>S35/S32</f>
        <v>42</v>
      </c>
      <c r="T34" s="190">
        <v>41</v>
      </c>
      <c r="U34" s="190">
        <v>41.4</v>
      </c>
      <c r="V34" s="190">
        <v>40</v>
      </c>
      <c r="W34" s="190">
        <v>40</v>
      </c>
      <c r="X34" s="189">
        <f>+X35/X32</f>
        <v>40.562913907284766</v>
      </c>
      <c r="Y34" s="190">
        <v>40</v>
      </c>
      <c r="Z34" s="190">
        <v>40</v>
      </c>
      <c r="AA34" s="190">
        <v>40</v>
      </c>
      <c r="AB34" s="190">
        <v>40</v>
      </c>
      <c r="AC34" s="189">
        <f>AC35/AC32</f>
        <v>40</v>
      </c>
      <c r="AD34" s="190">
        <v>41</v>
      </c>
      <c r="AE34" s="190">
        <v>41</v>
      </c>
      <c r="AF34" s="190">
        <v>41</v>
      </c>
      <c r="AG34" s="190">
        <v>41.3</v>
      </c>
      <c r="AH34" s="189">
        <f>AH35/AH32</f>
        <v>41.037241379310345</v>
      </c>
      <c r="AI34" s="190">
        <v>41</v>
      </c>
      <c r="AJ34" s="190">
        <v>41</v>
      </c>
      <c r="AK34" s="190">
        <v>41</v>
      </c>
      <c r="AL34" s="190">
        <v>41</v>
      </c>
      <c r="AM34" s="189">
        <f>AM35/AM32</f>
        <v>41</v>
      </c>
      <c r="AN34" s="190">
        <v>40</v>
      </c>
      <c r="AO34" s="470">
        <v>40</v>
      </c>
      <c r="AP34" s="470">
        <v>41</v>
      </c>
      <c r="AQ34" s="537">
        <v>41</v>
      </c>
      <c r="AR34" s="411">
        <f>AR35/AR32</f>
        <v>40.518617021276597</v>
      </c>
      <c r="AS34" s="190">
        <v>42</v>
      </c>
      <c r="AT34" s="470">
        <v>43</v>
      </c>
      <c r="AU34" s="470">
        <v>43</v>
      </c>
      <c r="AV34" s="537">
        <v>43</v>
      </c>
      <c r="AW34" s="411">
        <f>AW35/AW32</f>
        <v>42.766129032258064</v>
      </c>
      <c r="AX34" s="190">
        <v>44</v>
      </c>
      <c r="AY34" s="470">
        <v>44</v>
      </c>
      <c r="AZ34" s="470">
        <v>44</v>
      </c>
      <c r="BA34" s="537">
        <v>44</v>
      </c>
      <c r="BB34" s="411">
        <f>BB35/BB32</f>
        <v>44</v>
      </c>
      <c r="BC34" s="190">
        <v>44</v>
      </c>
      <c r="BD34" s="470">
        <v>44</v>
      </c>
      <c r="BE34" s="470">
        <v>44</v>
      </c>
      <c r="BF34" s="537">
        <v>44</v>
      </c>
      <c r="BG34" s="411">
        <v>45</v>
      </c>
      <c r="BH34" s="190">
        <f t="shared" ref="BH34:CA34" si="70">BH35/BH32</f>
        <v>47.120739130434778</v>
      </c>
      <c r="BI34" s="190">
        <f t="shared" si="70"/>
        <v>46.112177419354836</v>
      </c>
      <c r="BJ34" s="190">
        <f t="shared" si="70"/>
        <v>46.355874999999997</v>
      </c>
      <c r="BK34" s="190">
        <f t="shared" si="70"/>
        <v>46.324642857142855</v>
      </c>
      <c r="BL34" s="566">
        <f t="shared" si="70"/>
        <v>46.466814432989686</v>
      </c>
      <c r="BM34" s="190">
        <f t="shared" si="70"/>
        <v>48.318099173553719</v>
      </c>
      <c r="BN34" s="190">
        <f t="shared" si="70"/>
        <v>48.255156250000006</v>
      </c>
      <c r="BO34" s="190">
        <f t="shared" si="70"/>
        <v>47.970793650793652</v>
      </c>
      <c r="BP34" s="190">
        <f t="shared" si="70"/>
        <v>46.948083333333336</v>
      </c>
      <c r="BQ34" s="566">
        <f t="shared" si="70"/>
        <v>47.881292929292933</v>
      </c>
      <c r="BR34" s="190">
        <f t="shared" si="70"/>
        <v>48.05654958677686</v>
      </c>
      <c r="BS34" s="190">
        <f t="shared" si="70"/>
        <v>47.754606299212597</v>
      </c>
      <c r="BT34" s="190">
        <f t="shared" si="70"/>
        <v>47.554854166666672</v>
      </c>
      <c r="BU34" s="190">
        <f t="shared" si="70"/>
        <v>47.943442622950826</v>
      </c>
      <c r="BV34" s="566">
        <f t="shared" si="70"/>
        <v>47.827265306122449</v>
      </c>
      <c r="BW34" s="190">
        <f t="shared" si="70"/>
        <v>49.088694690265477</v>
      </c>
      <c r="BX34" s="190">
        <f t="shared" si="70"/>
        <v>49.327317073170725</v>
      </c>
      <c r="BY34" s="190">
        <f t="shared" si="70"/>
        <v>50.093017241379314</v>
      </c>
      <c r="BZ34" s="190">
        <f t="shared" si="70"/>
        <v>51.118969594594596</v>
      </c>
      <c r="CA34" s="566">
        <f t="shared" si="70"/>
        <v>49.98748109640831</v>
      </c>
      <c r="CB34" s="190">
        <f t="shared" ref="CB34:CE34" si="71">CB35/CB32</f>
        <v>50.990984848484842</v>
      </c>
      <c r="CC34" s="190">
        <f t="shared" si="71"/>
        <v>52.620802919708034</v>
      </c>
      <c r="CD34" s="190">
        <f t="shared" si="71"/>
        <v>52.474673913043489</v>
      </c>
      <c r="CE34" s="537">
        <f t="shared" si="71"/>
        <v>55.139653179190752</v>
      </c>
      <c r="CF34" s="566">
        <f t="shared" ref="CF34" si="72">CF35/CF32</f>
        <v>52.966422413793104</v>
      </c>
      <c r="CG34" s="537">
        <f t="shared" ref="CG34" si="73">CG35/CG32</f>
        <v>56.990764044943816</v>
      </c>
      <c r="CH34" s="537">
        <f t="shared" ref="CH34" si="74">CH35/CH32</f>
        <v>49.323749999999997</v>
      </c>
      <c r="CI34" s="537">
        <f t="shared" ref="CI34" si="75">CI35/CI32</f>
        <v>51.545000000000002</v>
      </c>
      <c r="CJ34" s="537">
        <f t="shared" ref="CJ34" si="76">CJ35/CJ32</f>
        <v>48.545000000000002</v>
      </c>
      <c r="CK34" s="566">
        <f t="shared" ref="CK34" si="77">CK35/CK32</f>
        <v>54.728960629921261</v>
      </c>
      <c r="CL34" s="978">
        <f>IFERROR(CL35/CL32,"--")</f>
        <v>48.545000000000002</v>
      </c>
      <c r="CM34" s="978">
        <f>IFERROR(CM35/CM32,"--")</f>
        <v>48.545000000000002</v>
      </c>
      <c r="CN34" s="978">
        <f>IFERROR(CN35/CN32,"--")</f>
        <v>48.544999999999995</v>
      </c>
      <c r="CO34" s="537">
        <f t="shared" ref="CO34:CV34" si="78">CO35/CO32</f>
        <v>59.368302580645157</v>
      </c>
      <c r="CP34" s="566">
        <f t="shared" ref="CP34" si="79">CP35/CP32</f>
        <v>56.347846046511627</v>
      </c>
      <c r="CQ34" s="537">
        <f t="shared" si="78"/>
        <v>58.020653405714285</v>
      </c>
      <c r="CR34" s="537">
        <f t="shared" si="78"/>
        <v>58.414174883200005</v>
      </c>
      <c r="CS34" s="537">
        <f t="shared" si="78"/>
        <v>57.308464437575758</v>
      </c>
      <c r="CT34" s="537">
        <f t="shared" si="78"/>
        <v>58.448213199047622</v>
      </c>
      <c r="CU34" s="566">
        <f t="shared" si="78"/>
        <v>58.053302168517106</v>
      </c>
      <c r="CV34" s="537">
        <f t="shared" si="78"/>
        <v>56.671335069953486</v>
      </c>
      <c r="CW34" s="537">
        <f t="shared" ref="CW34:CZ34" si="80">CW35/CW32</f>
        <v>58.030822188396115</v>
      </c>
      <c r="CX34" s="537">
        <f t="shared" si="80"/>
        <v>58.098430979609091</v>
      </c>
      <c r="CY34" s="537">
        <f t="shared" si="80"/>
        <v>58.488653874596366</v>
      </c>
      <c r="CZ34" s="566">
        <f t="shared" si="80"/>
        <v>57.874220552537473</v>
      </c>
      <c r="DA34" s="537">
        <f t="shared" ref="DA34:DI34" si="81">DA35/DA32</f>
        <v>57.757043229409845</v>
      </c>
      <c r="DB34" s="537">
        <f t="shared" si="81"/>
        <v>57.109454634805516</v>
      </c>
      <c r="DC34" s="537">
        <f t="shared" si="81"/>
        <v>57.179049259030286</v>
      </c>
      <c r="DD34" s="537">
        <f t="shared" si="81"/>
        <v>57.507614514597961</v>
      </c>
      <c r="DE34" s="566">
        <f t="shared" si="81"/>
        <v>57.417148376379238</v>
      </c>
      <c r="DF34" s="537">
        <f t="shared" si="81"/>
        <v>56.597028133183763</v>
      </c>
      <c r="DG34" s="537">
        <f t="shared" si="81"/>
        <v>56.598151886972573</v>
      </c>
      <c r="DH34" s="537">
        <f t="shared" si="81"/>
        <v>56.126206645010093</v>
      </c>
      <c r="DI34" s="537">
        <f t="shared" si="81"/>
        <v>56.838760534801331</v>
      </c>
      <c r="DJ34" s="566">
        <f t="shared" ref="DJ34:DN34" si="82">DJ35/DJ32</f>
        <v>56.466709085302519</v>
      </c>
      <c r="DK34" s="537">
        <f t="shared" si="82"/>
        <v>57.883743513135926</v>
      </c>
      <c r="DL34" s="537">
        <f t="shared" si="82"/>
        <v>57.50887809340869</v>
      </c>
      <c r="DM34" s="537">
        <f t="shared" si="82"/>
        <v>57.133750639545191</v>
      </c>
      <c r="DN34" s="537">
        <f t="shared" si="82"/>
        <v>57.711628253593709</v>
      </c>
      <c r="DO34" s="566">
        <f t="shared" ref="DO34:DS34" si="83">DO35/DO32</f>
        <v>57.54845799474095</v>
      </c>
      <c r="DP34" s="537">
        <f t="shared" si="83"/>
        <v>58.077703467516564</v>
      </c>
      <c r="DQ34" s="537">
        <f t="shared" si="83"/>
        <v>58.036145860806513</v>
      </c>
      <c r="DR34" s="537">
        <f t="shared" si="83"/>
        <v>57.16192574733553</v>
      </c>
      <c r="DS34" s="537">
        <f t="shared" si="83"/>
        <v>56.814904159111101</v>
      </c>
      <c r="DT34" s="566">
        <f t="shared" ref="DT34:DX34" si="84">DT35/DT32</f>
        <v>57.483565573409344</v>
      </c>
      <c r="DU34" s="537">
        <f t="shared" si="84"/>
        <v>57.944444444444443</v>
      </c>
      <c r="DV34" s="537">
        <f t="shared" si="84"/>
        <v>58.622516556291387</v>
      </c>
      <c r="DW34" s="537">
        <f t="shared" si="84"/>
        <v>58.13548387096774</v>
      </c>
      <c r="DX34" s="537">
        <f t="shared" si="84"/>
        <v>58.640243902439025</v>
      </c>
      <c r="DY34" s="566">
        <f t="shared" ref="DY34" si="85">DY35/DY32</f>
        <v>58.34527687296417</v>
      </c>
      <c r="DZ34" s="566">
        <f t="shared" ref="DZ34" si="86">DZ35/DZ32</f>
        <v>59.652439024390247</v>
      </c>
      <c r="EA34" s="566">
        <f t="shared" ref="EA34:EB34" si="87">EA35/EA32</f>
        <v>60.91</v>
      </c>
      <c r="EB34" s="566">
        <f t="shared" si="87"/>
        <v>61.9</v>
      </c>
    </row>
    <row r="35" spans="1:132" s="298" customFormat="1">
      <c r="A35" s="241"/>
      <c r="B35" s="241" t="s">
        <v>191</v>
      </c>
      <c r="C35" s="285">
        <f t="shared" ref="C35:M35" si="88">C34*C32</f>
        <v>4320</v>
      </c>
      <c r="D35" s="285">
        <f t="shared" si="88"/>
        <v>8460</v>
      </c>
      <c r="E35" s="285">
        <f t="shared" si="88"/>
        <v>9280</v>
      </c>
      <c r="F35" s="285">
        <f t="shared" si="88"/>
        <v>8742</v>
      </c>
      <c r="G35" s="285">
        <f t="shared" si="88"/>
        <v>10016.5</v>
      </c>
      <c r="H35" s="285">
        <f t="shared" si="88"/>
        <v>8613</v>
      </c>
      <c r="I35" s="285">
        <f t="shared" si="88"/>
        <v>6920</v>
      </c>
      <c r="J35" s="241">
        <f t="shared" si="88"/>
        <v>2255</v>
      </c>
      <c r="K35" s="241">
        <f t="shared" si="88"/>
        <v>2050</v>
      </c>
      <c r="L35" s="241">
        <f t="shared" si="88"/>
        <v>2009</v>
      </c>
      <c r="M35" s="241">
        <f t="shared" si="88"/>
        <v>1968</v>
      </c>
      <c r="N35" s="285">
        <f>SUM(J35:M35)</f>
        <v>8282</v>
      </c>
      <c r="O35" s="241">
        <f>O34*O32</f>
        <v>2268</v>
      </c>
      <c r="P35" s="241">
        <f>P34*P32</f>
        <v>2478</v>
      </c>
      <c r="Q35" s="241">
        <f>Q34*Q32</f>
        <v>1974</v>
      </c>
      <c r="R35" s="241">
        <f>R34*R32</f>
        <v>2184</v>
      </c>
      <c r="S35" s="285">
        <f>SUM(O35:R35)</f>
        <v>8904</v>
      </c>
      <c r="T35" s="241">
        <f>T34*T32</f>
        <v>2952</v>
      </c>
      <c r="U35" s="241">
        <f>U34*U32</f>
        <v>2898</v>
      </c>
      <c r="V35" s="241">
        <f>V34*V32</f>
        <v>3240</v>
      </c>
      <c r="W35" s="241">
        <f>W34*W32</f>
        <v>3160</v>
      </c>
      <c r="X35" s="285">
        <f>SUM(T35:W35)</f>
        <v>12250</v>
      </c>
      <c r="Y35" s="241">
        <f>Y34*Y32</f>
        <v>3320</v>
      </c>
      <c r="Z35" s="241">
        <f>Z34*Z32</f>
        <v>3440</v>
      </c>
      <c r="AA35" s="241">
        <f>AA34*AA32</f>
        <v>3240</v>
      </c>
      <c r="AB35" s="241">
        <f>AB34*AB32</f>
        <v>3200</v>
      </c>
      <c r="AC35" s="285">
        <f>SUM(Y35:AB35)</f>
        <v>13200</v>
      </c>
      <c r="AD35" s="241">
        <f>AD34*AD32</f>
        <v>3567</v>
      </c>
      <c r="AE35" s="241">
        <f>AE34*AE32</f>
        <v>4100</v>
      </c>
      <c r="AF35" s="241">
        <f>AF34*AF32</f>
        <v>2747</v>
      </c>
      <c r="AG35" s="241">
        <f>AG34*AG32</f>
        <v>1486.8</v>
      </c>
      <c r="AH35" s="285">
        <f>SUM(AD35:AG35)</f>
        <v>11900.8</v>
      </c>
      <c r="AI35" s="241">
        <f t="shared" ref="AI35:BG35" si="89">AI34*AI32</f>
        <v>3731</v>
      </c>
      <c r="AJ35" s="241">
        <f t="shared" si="89"/>
        <v>4059</v>
      </c>
      <c r="AK35" s="241">
        <f t="shared" si="89"/>
        <v>3690</v>
      </c>
      <c r="AL35" s="241">
        <f t="shared" si="89"/>
        <v>3772</v>
      </c>
      <c r="AM35" s="285">
        <f>SUM(AI35:AL35)</f>
        <v>15252</v>
      </c>
      <c r="AN35" s="241">
        <f t="shared" si="89"/>
        <v>3440</v>
      </c>
      <c r="AO35" s="437">
        <f t="shared" si="89"/>
        <v>3800</v>
      </c>
      <c r="AP35" s="437">
        <f t="shared" si="89"/>
        <v>4100</v>
      </c>
      <c r="AQ35" s="121">
        <f t="shared" si="89"/>
        <v>3895</v>
      </c>
      <c r="AR35" s="285">
        <f>SUM(AN35:AQ35)</f>
        <v>15235</v>
      </c>
      <c r="AS35" s="241">
        <f t="shared" si="89"/>
        <v>3654</v>
      </c>
      <c r="AT35" s="437">
        <f t="shared" si="89"/>
        <v>4042</v>
      </c>
      <c r="AU35" s="437">
        <f t="shared" si="89"/>
        <v>4300</v>
      </c>
      <c r="AV35" s="121">
        <f t="shared" si="89"/>
        <v>3913</v>
      </c>
      <c r="AW35" s="285">
        <f>SUM(AS35:AV35)</f>
        <v>15909</v>
      </c>
      <c r="AX35" s="241">
        <f>AX34*AX32</f>
        <v>4356</v>
      </c>
      <c r="AY35" s="437">
        <f>AY34*AY32</f>
        <v>4796</v>
      </c>
      <c r="AZ35" s="437">
        <f>AZ34*AZ32</f>
        <v>4488</v>
      </c>
      <c r="BA35" s="121">
        <f>BA34*BA32</f>
        <v>4620</v>
      </c>
      <c r="BB35" s="285">
        <f>SUM(AX35:BA35)</f>
        <v>18260</v>
      </c>
      <c r="BC35" s="241">
        <f>BC34*BC32</f>
        <v>4488</v>
      </c>
      <c r="BD35" s="437">
        <f>BD34*BD32</f>
        <v>5104</v>
      </c>
      <c r="BE35" s="437">
        <f>BE34*BE32</f>
        <v>4928</v>
      </c>
      <c r="BF35" s="241">
        <f>BF34*BF32</f>
        <v>4840</v>
      </c>
      <c r="BG35" s="285">
        <f t="shared" si="89"/>
        <v>19800</v>
      </c>
      <c r="BH35" s="241">
        <f>BH14*BH15+BH16*BH17+BH18*BH19+BH20*BH21+BH22*BH23+BH24*BH25+BH26*BH27+BH28*BH29</f>
        <v>5418.8849999999993</v>
      </c>
      <c r="BI35" s="241">
        <f>BI14*BI15+BI16*BI17+BI18*BI19+BI20*BI21+BI22*BI23+BI24*BI25+BI26*BI27+BI28*BI29</f>
        <v>5717.91</v>
      </c>
      <c r="BJ35" s="241">
        <f>BJ14*BJ15+BJ16*BJ17+BJ18*BJ19+BJ20*BJ21+BJ22*BJ23+BJ24*BJ25+BJ26*BJ27+BJ28*BJ29</f>
        <v>5562.7049999999999</v>
      </c>
      <c r="BK35" s="241">
        <f>BK14*BK15+BK16*BK17+BK18*BK19+BK20*BK21+BK22*BK23+BK24*BK25+BK26*BK27+BK28*BK29</f>
        <v>5836.9049999999997</v>
      </c>
      <c r="BL35" s="285">
        <f>SUM(BH35:BK35)</f>
        <v>22536.404999999999</v>
      </c>
      <c r="BM35" s="241">
        <f>BM14*BM15+BM16*BM17+BM18*BM19+BM20*BM21+BM22*BM23+BM24*BM25+BM26*BM27+BM28*BM29</f>
        <v>5846.49</v>
      </c>
      <c r="BN35" s="241">
        <f>BN14*BN15+BN16*BN17+BN18*BN19+BN20*BN21+BN22*BN23+BN24*BN25+BN26*BN27+BN28*BN29</f>
        <v>6176.6600000000008</v>
      </c>
      <c r="BO35" s="241">
        <f>BO14*BO15+BO16*BO17+BO18*BO19+BO20*BO21+BO22*BO23+BO24*BO25+BO26*BO27+BO28*BO29</f>
        <v>6044.3200000000006</v>
      </c>
      <c r="BP35" s="241">
        <f>BP14*BP15+BP16*BP17+BP18*BP19+BP20*BP21+BP22*BP23+BP24*BP25+BP26*BP27+BP28*BP29</f>
        <v>5633.77</v>
      </c>
      <c r="BQ35" s="285">
        <f>SUM(BM35:BP35)</f>
        <v>23701.24</v>
      </c>
      <c r="BR35" s="241">
        <f>BR14*BR15+BR16*BR17+BR18*BR19+BR20*BR21+BR22*BR23+BR24*BR25+BR26*BR27+BR28*BR29</f>
        <v>5814.8424999999997</v>
      </c>
      <c r="BS35" s="241">
        <f>BS14*BS15+BS16*BS17+BS18*BS19+BS20*BS21+BS22*BS23+BS24*BS25+BS26*BS27+BS28*BS29</f>
        <v>6064.835</v>
      </c>
      <c r="BT35" s="241">
        <f>BT14*BT15+BT16*BT17+BT18*BT19+BT20*BT21+BT22*BT23+BT24*BT25+BT26*BT27+BT28*BT29</f>
        <v>5706.5825000000004</v>
      </c>
      <c r="BU35" s="241">
        <f>BU14*BU15+BU16*BU17+BU18*BU19+BU20*BU21+BU22*BU23+BU24*BU25+BU26*BU27+BU28*BU29</f>
        <v>5849.1</v>
      </c>
      <c r="BV35" s="285">
        <f>SUM(BR35:BU35)</f>
        <v>23435.360000000001</v>
      </c>
      <c r="BW35" s="241">
        <f>BW14*BW15+BW16*BW17+BW18*BW19+BW20*BW21+BW22*BW23+BW24*BW25+BW26*BW27+BW28*BW29</f>
        <v>5547.0224999999991</v>
      </c>
      <c r="BX35" s="241">
        <f>BX14*BX15+BX16*BX17+BX18*BX19+BX20*BX21+BX22*BX23+BX24*BX25+BX26*BX27+BX28*BX29</f>
        <v>6067.2599999999993</v>
      </c>
      <c r="BY35" s="241">
        <f>BY14*BY15+BY16*BY17+BY18*BY19+BY20*BY21+BY22*BY23+BY24*BY25+BY26*BY27+BY28*BY29</f>
        <v>7263.4875000000002</v>
      </c>
      <c r="BZ35" s="241">
        <f>BZ14*BZ15+BZ16*BZ17+BZ18*BZ19+BZ20*BZ21+BZ22*BZ23+BZ24*BZ25+BZ26*BZ27+BZ28*BZ29</f>
        <v>7565.6075000000001</v>
      </c>
      <c r="CA35" s="285">
        <f>SUM(BW35:BZ35)</f>
        <v>26443.377499999995</v>
      </c>
      <c r="CB35" s="241">
        <f t="shared" ref="CB35:CE35" si="90">CB14*CB15+CB16*CB17+CB18*CB19+CB20*CB21+CB22*CB23+CB24*CB25+CB26*CB27+CB28*CB29</f>
        <v>6730.8099999999995</v>
      </c>
      <c r="CC35" s="241">
        <f t="shared" si="90"/>
        <v>7209.05</v>
      </c>
      <c r="CD35" s="241">
        <f t="shared" si="90"/>
        <v>7241.505000000001</v>
      </c>
      <c r="CE35" s="241">
        <f t="shared" si="90"/>
        <v>9539.16</v>
      </c>
      <c r="CF35" s="285">
        <f>SUM(CB35:CE35)</f>
        <v>30720.525000000001</v>
      </c>
      <c r="CG35" s="241">
        <f t="shared" ref="CG35:CJ35" si="91">CG14*CG15+CG16*CG17+CG18*CG19+CG20*CG21+CG22*CG23+CG24*CG25+CG26*CG27+CG28*CG29+CG30*CG31</f>
        <v>5072.1779999999999</v>
      </c>
      <c r="CH35" s="241">
        <f t="shared" si="91"/>
        <v>1183.77</v>
      </c>
      <c r="CI35" s="241">
        <f t="shared" si="91"/>
        <v>257.72500000000002</v>
      </c>
      <c r="CJ35" s="241">
        <f t="shared" si="91"/>
        <v>436.90500000000003</v>
      </c>
      <c r="CK35" s="285">
        <f>SUM(CG35:CJ35)</f>
        <v>6950.5780000000004</v>
      </c>
      <c r="CL35" s="241">
        <f t="shared" ref="CL35:CO35" si="92">CL14*CL15+CL16*CL17+CL18*CL19+CL20*CL21+CL22*CL23+CL24*CL25+CL26*CL27+CL28*CL29+CL30*CL31</f>
        <v>242.72500000000002</v>
      </c>
      <c r="CM35" s="241">
        <f t="shared" si="92"/>
        <v>194.18</v>
      </c>
      <c r="CN35" s="241">
        <f t="shared" si="92"/>
        <v>145.63499999999999</v>
      </c>
      <c r="CO35" s="241">
        <f t="shared" si="92"/>
        <v>1840.4173799999999</v>
      </c>
      <c r="CP35" s="285">
        <f>SUM(CL35:CO35)</f>
        <v>2422.9573799999998</v>
      </c>
      <c r="CQ35" s="241">
        <f>CQ14*CQ15+CQ16*CQ17+CQ18*CQ19+CQ20*CQ21+CQ22*CQ23+CQ24*CQ25+CQ26*CQ27+CQ28*CQ29+CQ30*CQ31</f>
        <v>3655.30116456</v>
      </c>
      <c r="CR35" s="121">
        <f>CR14*CR15+CR16*CR17+CR18*CR19+CR20*CR21+CR22*CR23+CR24*CR25+CR26*CR27+CR28*CR29+CR30*CR31</f>
        <v>2920.7087441600002</v>
      </c>
      <c r="CS35" s="121">
        <f>CS14*CS15+CS16*CS17+CS18*CS19+CS20*CS21+CS22*CS23+CS24*CS25+CS26*CS27+CS28*CS29+CS30*CS31</f>
        <v>3782.3586528800001</v>
      </c>
      <c r="CT35" s="121">
        <f>CT14*CT15+CT16*CT17+CT18*CT19+CT20*CT21+CT22*CT23+CT24*CT25+CT26*CT27+CT28*CT29+CT30*CT31</f>
        <v>4909.64990872</v>
      </c>
      <c r="CU35" s="285">
        <f>SUM(CQ35:CT35)</f>
        <v>15268.018470319999</v>
      </c>
      <c r="CV35" s="121">
        <f t="shared" ref="CV35:CY35" si="93">CV14*CV15+CV16*CV17+CV18*CV19+CV20*CV21+CV22*CV23+CV24*CV25+CV26*CV27+CV28*CV29+CV30*CV31</f>
        <v>4873.734816016</v>
      </c>
      <c r="CW35" s="121">
        <f t="shared" si="93"/>
        <v>5977.1746854047997</v>
      </c>
      <c r="CX35" s="121">
        <f t="shared" si="93"/>
        <v>5112.6619262056001</v>
      </c>
      <c r="CY35" s="121">
        <f t="shared" si="93"/>
        <v>6433.7519262056003</v>
      </c>
      <c r="CZ35" s="285">
        <f>SUM(CV35:CY35)</f>
        <v>22397.323353832002</v>
      </c>
      <c r="DA35" s="241">
        <f t="shared" ref="DA35:DD35" si="94">DA14*DA15+DA16*DA17+DA18*DA19+DA20*DA21+DA22*DA23+DA24*DA25+DA26*DA27+DA28*DA29+DA30*DA31</f>
        <v>6526.5458849233128</v>
      </c>
      <c r="DB35" s="241">
        <f t="shared" si="94"/>
        <v>5882.2738273849682</v>
      </c>
      <c r="DC35" s="121">
        <f t="shared" si="94"/>
        <v>4002.5334481321202</v>
      </c>
      <c r="DD35" s="241">
        <f t="shared" si="94"/>
        <v>6325.8375966057756</v>
      </c>
      <c r="DE35" s="285">
        <f>SUM(DA35:DD35)</f>
        <v>22737.190757046177</v>
      </c>
      <c r="DF35" s="121">
        <f t="shared" ref="DF35:DI35" si="95">DF14*DF15+DF16*DF17+DF18*DF19+DF20*DF21+DF22*DF23+DF24*DF25+DF26*DF27+DF28*DF29</f>
        <v>3792.0008849233122</v>
      </c>
      <c r="DG35" s="121">
        <f t="shared" si="95"/>
        <v>3961.8706320880801</v>
      </c>
      <c r="DH35" s="121">
        <f t="shared" si="95"/>
        <v>5163.6110113409286</v>
      </c>
      <c r="DI35" s="121">
        <f t="shared" si="95"/>
        <v>2046.1953792528479</v>
      </c>
      <c r="DJ35" s="120">
        <f>SUM(DF35:DI35)</f>
        <v>14963.677907605168</v>
      </c>
      <c r="DK35" s="121">
        <f t="shared" ref="DK35:DN35" si="96">DK14*DK15+DK16*DK17+DK18*DK19+DK20*DK21+DK22*DK23+DK24*DK25+DK26*DK27+DK28*DK29</f>
        <v>6077.7930688792721</v>
      </c>
      <c r="DL35" s="121">
        <f t="shared" si="96"/>
        <v>5980.9233217145038</v>
      </c>
      <c r="DM35" s="121">
        <f t="shared" si="96"/>
        <v>6913.183827384968</v>
      </c>
      <c r="DN35" s="121">
        <f t="shared" si="96"/>
        <v>6752.2605056704642</v>
      </c>
      <c r="DO35" s="120">
        <f>SUM(DK35:DN35)</f>
        <v>25724.160723649205</v>
      </c>
      <c r="DP35" s="121">
        <f t="shared" ref="DP35:DS35" si="97">DP14*DP15+DP16*DP17+DP18*DP19+DP20*DP21+DP22*DP23+DP24*DP25+DP26*DP27+DP28*DP29</f>
        <v>6620.858195296888</v>
      </c>
      <c r="DQ35" s="241">
        <f t="shared" si="97"/>
        <v>7486.6628160440405</v>
      </c>
      <c r="DR35" s="241">
        <f t="shared" si="97"/>
        <v>7831.183827384968</v>
      </c>
      <c r="DS35" s="241">
        <f t="shared" si="97"/>
        <v>8067.7163905937759</v>
      </c>
      <c r="DT35" s="120">
        <f>SUM(DP35:DS35)</f>
        <v>30006.421229319676</v>
      </c>
      <c r="DU35" s="241">
        <f t="shared" ref="DU35:DX35" si="98">DU14*DU15+DU16*DU17+DU18*DU19+DU20*DU21+DU22*DU23+DU24*DU25+DU26*DU27+DU28*DU29</f>
        <v>8344</v>
      </c>
      <c r="DV35" s="241">
        <f t="shared" si="98"/>
        <v>8852</v>
      </c>
      <c r="DW35" s="241">
        <f t="shared" si="98"/>
        <v>9011</v>
      </c>
      <c r="DX35" s="241">
        <f t="shared" si="98"/>
        <v>9617</v>
      </c>
      <c r="DY35" s="120">
        <f>SUM(DU35:DX35)</f>
        <v>35824</v>
      </c>
      <c r="DZ35" s="285">
        <f t="shared" ref="DZ35" si="99">DZ14*DZ15+DZ16*DZ17+DZ18*DZ19+DZ20*DZ21+DZ22*DZ23+DZ24*DZ25+DZ26*DZ27+DZ28*DZ29</f>
        <v>39132</v>
      </c>
      <c r="EA35" s="285">
        <f t="shared" ref="EA35:EB35" si="100">EA14*EA15+EA16*EA17+EA18*EA19+EA20*EA21+EA22*EA23+EA24*EA25+EA26*EA27+EA28*EA29</f>
        <v>42637</v>
      </c>
      <c r="EB35" s="285">
        <f t="shared" si="100"/>
        <v>45806</v>
      </c>
    </row>
    <row r="36" spans="1:132" s="298" customFormat="1">
      <c r="A36" s="241"/>
      <c r="B36" s="241"/>
      <c r="C36" s="933"/>
      <c r="D36" s="933"/>
      <c r="E36" s="933"/>
      <c r="F36" s="933"/>
      <c r="G36" s="933"/>
      <c r="H36" s="933"/>
      <c r="I36" s="933"/>
      <c r="J36" s="934"/>
      <c r="K36" s="934"/>
      <c r="L36" s="934"/>
      <c r="M36" s="934"/>
      <c r="N36" s="933"/>
      <c r="O36" s="934"/>
      <c r="P36" s="934"/>
      <c r="Q36" s="934"/>
      <c r="R36" s="934"/>
      <c r="S36" s="933"/>
      <c r="T36" s="934"/>
      <c r="U36" s="934"/>
      <c r="V36" s="934"/>
      <c r="W36" s="934"/>
      <c r="X36" s="933"/>
      <c r="Y36" s="934"/>
      <c r="Z36" s="934"/>
      <c r="AA36" s="934"/>
      <c r="AB36" s="934"/>
      <c r="AC36" s="933"/>
      <c r="AD36" s="934"/>
      <c r="AE36" s="934"/>
      <c r="AF36" s="934"/>
      <c r="AG36" s="934"/>
      <c r="AH36" s="933"/>
      <c r="AI36" s="934"/>
      <c r="AJ36" s="934"/>
      <c r="AK36" s="934"/>
      <c r="AL36" s="934"/>
      <c r="AM36" s="933"/>
      <c r="AN36" s="934"/>
      <c r="AO36" s="935"/>
      <c r="AP36" s="935"/>
      <c r="AQ36" s="934"/>
      <c r="AR36" s="933"/>
      <c r="AS36" s="934"/>
      <c r="AT36" s="935"/>
      <c r="AU36" s="935"/>
      <c r="AV36" s="934"/>
      <c r="AW36" s="933"/>
      <c r="AX36" s="934"/>
      <c r="AY36" s="935"/>
      <c r="AZ36" s="935"/>
      <c r="BA36" s="934"/>
      <c r="BB36" s="933"/>
      <c r="BC36" s="934"/>
      <c r="BD36" s="935"/>
      <c r="BE36" s="935"/>
      <c r="BF36" s="934"/>
      <c r="BG36" s="933"/>
      <c r="BH36" s="948"/>
      <c r="BI36" s="946"/>
      <c r="BJ36" s="948"/>
      <c r="BK36" s="946"/>
      <c r="BL36" s="947"/>
      <c r="BM36" s="948"/>
      <c r="BN36" s="946"/>
      <c r="BO36" s="948"/>
      <c r="BP36" s="946"/>
      <c r="BQ36" s="947"/>
      <c r="BR36" s="948"/>
      <c r="BS36" s="946"/>
      <c r="BT36" s="948"/>
      <c r="BU36" s="946"/>
      <c r="BV36" s="947"/>
      <c r="BW36" s="948"/>
      <c r="BX36" s="946"/>
      <c r="BY36" s="948"/>
      <c r="BZ36" s="946"/>
      <c r="CA36" s="947"/>
      <c r="CB36" s="946"/>
      <c r="CC36" s="946"/>
      <c r="CD36" s="946"/>
      <c r="CE36" s="946"/>
      <c r="CF36" s="947"/>
      <c r="CG36" s="944"/>
      <c r="CH36" s="944"/>
      <c r="CI36" s="934"/>
      <c r="CJ36" s="539"/>
      <c r="CK36" s="945"/>
      <c r="CL36" s="539"/>
      <c r="CM36" s="539"/>
      <c r="CN36" s="539"/>
      <c r="CO36" s="944"/>
      <c r="CP36" s="945"/>
      <c r="CQ36" s="944"/>
      <c r="CR36" s="539"/>
      <c r="CS36" s="539"/>
      <c r="CT36" s="539"/>
      <c r="CU36" s="945"/>
      <c r="CV36" s="539"/>
      <c r="CW36" s="539"/>
      <c r="CX36" s="539"/>
      <c r="CY36" s="539"/>
      <c r="CZ36" s="945"/>
      <c r="DA36" s="944"/>
      <c r="DB36" s="944"/>
      <c r="DC36" s="539"/>
      <c r="DD36" s="944"/>
      <c r="DE36" s="945"/>
      <c r="DF36" s="539"/>
      <c r="DG36" s="539"/>
      <c r="DH36" s="539"/>
      <c r="DI36" s="539"/>
      <c r="DJ36" s="1024"/>
      <c r="DK36" s="539"/>
      <c r="DL36" s="539"/>
      <c r="DM36" s="539"/>
      <c r="DN36" s="539"/>
      <c r="DO36" s="1024"/>
      <c r="DP36" s="539"/>
      <c r="DQ36" s="944"/>
      <c r="DR36" s="944"/>
      <c r="DS36" s="944"/>
      <c r="DT36" s="945"/>
      <c r="DU36" s="944"/>
      <c r="DV36" s="944"/>
      <c r="DW36" s="944"/>
      <c r="DX36" s="944"/>
      <c r="DY36" s="945"/>
      <c r="DZ36" s="945"/>
      <c r="EA36" s="945"/>
      <c r="EB36" s="945"/>
    </row>
    <row r="37" spans="1:132" s="298" customFormat="1" ht="12" hidden="1" customHeight="1" outlineLevel="1">
      <c r="A37" s="241"/>
      <c r="B37" s="42" t="s">
        <v>203</v>
      </c>
      <c r="C37" s="43">
        <v>39</v>
      </c>
      <c r="D37" s="43">
        <v>53</v>
      </c>
      <c r="E37" s="43">
        <v>47</v>
      </c>
      <c r="F37" s="43">
        <v>25</v>
      </c>
      <c r="G37" s="43">
        <v>31</v>
      </c>
      <c r="H37" s="43">
        <v>27</v>
      </c>
      <c r="I37" s="43">
        <v>19</v>
      </c>
      <c r="J37" s="42">
        <v>5</v>
      </c>
      <c r="K37" s="42">
        <v>4</v>
      </c>
      <c r="L37" s="42">
        <v>2</v>
      </c>
      <c r="M37" s="42">
        <v>4</v>
      </c>
      <c r="N37" s="43">
        <f>+M37+L37+K37+J37</f>
        <v>15</v>
      </c>
      <c r="O37" s="42">
        <v>3</v>
      </c>
      <c r="P37" s="42">
        <v>4</v>
      </c>
      <c r="Q37" s="42">
        <f>2+3*0</f>
        <v>2</v>
      </c>
      <c r="R37" s="42">
        <v>4</v>
      </c>
      <c r="S37" s="43">
        <f>+R37+Q37+P37+O37</f>
        <v>13</v>
      </c>
      <c r="T37" s="42">
        <v>4</v>
      </c>
      <c r="U37" s="42">
        <v>4</v>
      </c>
      <c r="V37" s="42">
        <v>3</v>
      </c>
      <c r="W37" s="42">
        <v>3</v>
      </c>
      <c r="X37" s="43">
        <f>+W37+V37+U37+T37</f>
        <v>14</v>
      </c>
      <c r="Y37" s="42">
        <v>3</v>
      </c>
      <c r="Z37" s="42">
        <v>4</v>
      </c>
      <c r="AA37" s="42">
        <v>5</v>
      </c>
      <c r="AB37" s="42">
        <v>4</v>
      </c>
      <c r="AC37" s="43">
        <f>SUM(Y37:AB37)</f>
        <v>16</v>
      </c>
      <c r="AD37" s="42">
        <v>4</v>
      </c>
      <c r="AE37" s="42">
        <v>5</v>
      </c>
      <c r="AF37" s="42">
        <v>4</v>
      </c>
      <c r="AG37" s="42">
        <v>1</v>
      </c>
      <c r="AH37" s="43">
        <f>SUM(AD37:AG37)</f>
        <v>14</v>
      </c>
      <c r="AI37" s="42">
        <v>4</v>
      </c>
      <c r="AJ37" s="42">
        <v>2</v>
      </c>
      <c r="AK37" s="42">
        <v>0</v>
      </c>
      <c r="AL37" s="42">
        <v>2</v>
      </c>
      <c r="AM37" s="43">
        <f>SUM(AI37:AL37)</f>
        <v>8</v>
      </c>
      <c r="AN37" s="42"/>
      <c r="AO37" s="432"/>
      <c r="AP37" s="432"/>
      <c r="AQ37" s="42"/>
      <c r="AR37" s="43"/>
      <c r="AS37" s="42"/>
      <c r="AT37" s="432"/>
      <c r="AU37" s="432"/>
      <c r="AV37" s="42"/>
      <c r="AW37" s="43"/>
      <c r="AX37" s="42"/>
      <c r="AY37" s="42"/>
      <c r="AZ37" s="42"/>
      <c r="BA37" s="42"/>
      <c r="BB37" s="36"/>
      <c r="BC37" s="42"/>
      <c r="BD37" s="42"/>
      <c r="BE37" s="42"/>
      <c r="BF37" s="37"/>
      <c r="BG37" s="36"/>
      <c r="BH37" s="42"/>
      <c r="BI37" s="42"/>
      <c r="BJ37" s="42"/>
      <c r="BK37" s="37"/>
      <c r="BL37" s="36"/>
      <c r="BM37" s="42"/>
      <c r="BN37" s="432"/>
      <c r="BO37" s="434"/>
      <c r="BP37" s="37"/>
      <c r="BQ37" s="36"/>
      <c r="BR37" s="432"/>
      <c r="BS37" s="37"/>
      <c r="BT37" s="434"/>
      <c r="BU37" s="42"/>
      <c r="BV37" s="36"/>
      <c r="BW37" s="432"/>
      <c r="BX37" s="42"/>
      <c r="BY37" s="432"/>
      <c r="BZ37" s="42"/>
      <c r="CA37" s="36"/>
      <c r="CB37" s="432"/>
      <c r="CC37" s="42"/>
      <c r="CD37" s="432"/>
      <c r="CE37" s="37"/>
      <c r="CF37" s="36"/>
      <c r="CG37" s="37"/>
      <c r="CH37" s="37"/>
      <c r="CI37" s="37"/>
      <c r="CJ37" s="42"/>
      <c r="CK37" s="43"/>
      <c r="CL37" s="42"/>
      <c r="CM37" s="42"/>
      <c r="CN37" s="42"/>
      <c r="CO37" s="37"/>
      <c r="CP37" s="43"/>
      <c r="CQ37" s="37"/>
      <c r="CR37" s="42"/>
      <c r="CS37" s="42"/>
      <c r="CT37" s="42"/>
      <c r="CU37" s="43"/>
      <c r="CV37" s="42"/>
      <c r="CW37" s="42"/>
      <c r="CX37" s="42"/>
      <c r="CY37" s="42"/>
      <c r="CZ37" s="43"/>
      <c r="DA37" s="37"/>
      <c r="DB37" s="37"/>
      <c r="DC37" s="42"/>
      <c r="DD37" s="37"/>
      <c r="DE37" s="43"/>
      <c r="DF37" s="42"/>
      <c r="DG37" s="42"/>
      <c r="DH37" s="42"/>
      <c r="DI37" s="42"/>
      <c r="DJ37" s="43"/>
      <c r="DK37" s="42"/>
      <c r="DL37" s="42"/>
      <c r="DM37" s="42"/>
      <c r="DN37" s="42"/>
      <c r="DO37" s="43"/>
      <c r="DP37" s="42"/>
      <c r="DQ37" s="37"/>
      <c r="DR37" s="37"/>
      <c r="DS37" s="37"/>
      <c r="DT37" s="36"/>
      <c r="DU37" s="37"/>
      <c r="DV37" s="37"/>
      <c r="DW37" s="37"/>
      <c r="DX37" s="37"/>
      <c r="DY37" s="36"/>
      <c r="DZ37" s="36"/>
      <c r="EA37" s="36"/>
      <c r="EB37" s="36"/>
    </row>
    <row r="38" spans="1:132" s="743" customFormat="1" ht="12" hidden="1" customHeight="1" outlineLevel="1">
      <c r="A38" s="813"/>
      <c r="B38" s="929" t="s">
        <v>620</v>
      </c>
      <c r="C38" s="952">
        <f>C37/11.5</f>
        <v>3.3913043478260869</v>
      </c>
      <c r="D38" s="952">
        <f t="shared" ref="D38" si="101">D37/11.5</f>
        <v>4.6086956521739131</v>
      </c>
      <c r="E38" s="952">
        <f t="shared" ref="E38" si="102">E37/11.5</f>
        <v>4.0869565217391308</v>
      </c>
      <c r="F38" s="952">
        <f t="shared" ref="F38" si="103">F37/11.5</f>
        <v>2.1739130434782608</v>
      </c>
      <c r="G38" s="952">
        <f t="shared" ref="G38" si="104">G37/11.5</f>
        <v>2.6956521739130435</v>
      </c>
      <c r="H38" s="952">
        <f t="shared" ref="H38" si="105">H37/11.5</f>
        <v>2.347826086956522</v>
      </c>
      <c r="I38" s="952">
        <f t="shared" ref="I38" si="106">I37/11.5</f>
        <v>1.6521739130434783</v>
      </c>
      <c r="J38" s="813"/>
      <c r="K38" s="813"/>
      <c r="L38" s="813"/>
      <c r="M38" s="813"/>
      <c r="N38" s="952">
        <f t="shared" ref="N38" si="107">N37/11.5</f>
        <v>1.3043478260869565</v>
      </c>
      <c r="O38" s="813"/>
      <c r="P38" s="813"/>
      <c r="Q38" s="813"/>
      <c r="R38" s="813"/>
      <c r="S38" s="952">
        <f t="shared" ref="S38" si="108">S37/11.5</f>
        <v>1.1304347826086956</v>
      </c>
      <c r="T38" s="813"/>
      <c r="U38" s="813"/>
      <c r="V38" s="813"/>
      <c r="W38" s="813"/>
      <c r="X38" s="952">
        <f t="shared" ref="X38" si="109">X37/11.5</f>
        <v>1.2173913043478262</v>
      </c>
      <c r="Y38" s="813"/>
      <c r="Z38" s="813"/>
      <c r="AA38" s="813"/>
      <c r="AB38" s="813"/>
      <c r="AC38" s="952">
        <f t="shared" ref="AC38" si="110">AC37/11.5</f>
        <v>1.3913043478260869</v>
      </c>
      <c r="AD38" s="813"/>
      <c r="AE38" s="813"/>
      <c r="AF38" s="813"/>
      <c r="AG38" s="813"/>
      <c r="AH38" s="952">
        <f t="shared" ref="AH38" si="111">AH37/11.5</f>
        <v>1.2173913043478262</v>
      </c>
      <c r="AI38" s="813"/>
      <c r="AJ38" s="813"/>
      <c r="AK38" s="813"/>
      <c r="AL38" s="813"/>
      <c r="AM38" s="952">
        <f t="shared" ref="AM38" si="112">AM37/11.5</f>
        <v>0.69565217391304346</v>
      </c>
      <c r="AN38" s="813"/>
      <c r="AO38" s="953"/>
      <c r="AP38" s="953"/>
      <c r="AQ38" s="929"/>
      <c r="AR38" s="952"/>
      <c r="AS38" s="813"/>
      <c r="AT38" s="953"/>
      <c r="AU38" s="953"/>
      <c r="AV38" s="929"/>
      <c r="AW38" s="952"/>
      <c r="AX38" s="813"/>
      <c r="AY38" s="953"/>
      <c r="AZ38" s="953"/>
      <c r="BA38" s="929"/>
      <c r="BB38" s="952"/>
      <c r="BC38" s="813"/>
      <c r="BD38" s="953"/>
      <c r="BE38" s="953"/>
      <c r="BF38" s="813"/>
      <c r="BG38" s="952"/>
      <c r="BH38" s="813"/>
      <c r="BI38" s="813"/>
      <c r="BJ38" s="813"/>
      <c r="BK38" s="813"/>
      <c r="BL38" s="952"/>
      <c r="BM38" s="813"/>
      <c r="BN38" s="813"/>
      <c r="BO38" s="813"/>
      <c r="BP38" s="813"/>
      <c r="BQ38" s="952"/>
      <c r="BR38" s="813"/>
      <c r="BS38" s="813"/>
      <c r="BT38" s="813"/>
      <c r="BU38" s="813"/>
      <c r="BV38" s="952"/>
      <c r="BW38" s="813"/>
      <c r="BX38" s="813"/>
      <c r="BY38" s="813"/>
      <c r="BZ38" s="813"/>
      <c r="CA38" s="952"/>
      <c r="CB38" s="813"/>
      <c r="CC38" s="813"/>
      <c r="CD38" s="813"/>
      <c r="CE38" s="813"/>
      <c r="CF38" s="952"/>
      <c r="CG38" s="813"/>
      <c r="CH38" s="813"/>
      <c r="CI38" s="813"/>
      <c r="CJ38" s="929"/>
      <c r="CK38" s="952"/>
      <c r="CL38" s="929"/>
      <c r="CM38" s="929"/>
      <c r="CN38" s="929"/>
      <c r="CO38" s="813"/>
      <c r="CP38" s="952"/>
      <c r="CQ38" s="813"/>
      <c r="CR38" s="929"/>
      <c r="CS38" s="929"/>
      <c r="CT38" s="929"/>
      <c r="CU38" s="952"/>
      <c r="CV38" s="929"/>
      <c r="CW38" s="929"/>
      <c r="CX38" s="929"/>
      <c r="CY38" s="929"/>
      <c r="CZ38" s="952"/>
      <c r="DA38" s="813"/>
      <c r="DB38" s="813"/>
      <c r="DC38" s="929"/>
      <c r="DD38" s="813"/>
      <c r="DE38" s="952"/>
      <c r="DF38" s="929"/>
      <c r="DG38" s="929"/>
      <c r="DH38" s="929"/>
      <c r="DI38" s="929"/>
      <c r="DJ38" s="1023"/>
      <c r="DK38" s="929"/>
      <c r="DL38" s="929"/>
      <c r="DM38" s="929"/>
      <c r="DN38" s="929"/>
      <c r="DO38" s="1023"/>
      <c r="DP38" s="929"/>
      <c r="DQ38" s="813"/>
      <c r="DR38" s="813"/>
      <c r="DS38" s="813"/>
      <c r="DT38" s="952"/>
      <c r="DU38" s="813"/>
      <c r="DV38" s="813"/>
      <c r="DW38" s="813"/>
      <c r="DX38" s="813"/>
      <c r="DY38" s="952"/>
      <c r="DZ38" s="952"/>
      <c r="EA38" s="952"/>
      <c r="EB38" s="952"/>
    </row>
    <row r="39" spans="1:132" s="298" customFormat="1" ht="12" hidden="1" customHeight="1" outlineLevel="1">
      <c r="A39" s="241"/>
      <c r="B39" s="241" t="s">
        <v>190</v>
      </c>
      <c r="C39" s="411">
        <v>150</v>
      </c>
      <c r="D39" s="411">
        <v>150</v>
      </c>
      <c r="E39" s="411">
        <v>150</v>
      </c>
      <c r="F39" s="411">
        <v>152</v>
      </c>
      <c r="G39" s="411">
        <v>155</v>
      </c>
      <c r="H39" s="411">
        <v>162</v>
      </c>
      <c r="I39" s="411">
        <v>162</v>
      </c>
      <c r="J39" s="304">
        <v>164</v>
      </c>
      <c r="K39" s="304">
        <v>164</v>
      </c>
      <c r="L39" s="304">
        <v>164</v>
      </c>
      <c r="M39" s="304">
        <v>164</v>
      </c>
      <c r="N39" s="411">
        <f>N40/N37</f>
        <v>164</v>
      </c>
      <c r="O39" s="304">
        <v>166</v>
      </c>
      <c r="P39" s="304">
        <v>166</v>
      </c>
      <c r="Q39" s="304">
        <v>166</v>
      </c>
      <c r="R39" s="304">
        <v>166</v>
      </c>
      <c r="S39" s="189">
        <f>S40/S37</f>
        <v>166</v>
      </c>
      <c r="T39" s="304">
        <v>166</v>
      </c>
      <c r="U39" s="304">
        <v>166.4</v>
      </c>
      <c r="V39" s="304">
        <v>166</v>
      </c>
      <c r="W39" s="304">
        <v>166</v>
      </c>
      <c r="X39" s="189">
        <f>X40/X37</f>
        <v>166.1142857142857</v>
      </c>
      <c r="Y39" s="304">
        <v>166</v>
      </c>
      <c r="Z39" s="304">
        <v>166</v>
      </c>
      <c r="AA39" s="304">
        <v>166</v>
      </c>
      <c r="AB39" s="304">
        <v>166</v>
      </c>
      <c r="AC39" s="189">
        <f>AC40/AC37</f>
        <v>166</v>
      </c>
      <c r="AD39" s="304">
        <v>165</v>
      </c>
      <c r="AE39" s="304">
        <v>165</v>
      </c>
      <c r="AF39" s="304">
        <v>165</v>
      </c>
      <c r="AG39" s="304">
        <v>165</v>
      </c>
      <c r="AH39" s="189">
        <f>AH40/AH37</f>
        <v>165</v>
      </c>
      <c r="AI39" s="304">
        <v>165</v>
      </c>
      <c r="AJ39" s="304">
        <v>165</v>
      </c>
      <c r="AK39" s="304">
        <v>165</v>
      </c>
      <c r="AL39" s="304">
        <v>165</v>
      </c>
      <c r="AM39" s="411">
        <f>AM40/AM37</f>
        <v>165</v>
      </c>
      <c r="AN39" s="304"/>
      <c r="AO39" s="470"/>
      <c r="AP39" s="470"/>
      <c r="AQ39" s="537"/>
      <c r="AR39" s="411"/>
      <c r="AS39" s="304"/>
      <c r="AT39" s="470"/>
      <c r="AU39" s="470"/>
      <c r="AV39" s="537"/>
      <c r="AW39" s="411"/>
      <c r="AX39" s="304"/>
      <c r="AY39" s="470"/>
      <c r="AZ39" s="470"/>
      <c r="BA39" s="537"/>
      <c r="BB39" s="412"/>
      <c r="BC39" s="304"/>
      <c r="BD39" s="470"/>
      <c r="BE39" s="470"/>
      <c r="BF39" s="410"/>
      <c r="BG39" s="412"/>
      <c r="BH39" s="304"/>
      <c r="BI39" s="304"/>
      <c r="BJ39" s="304"/>
      <c r="BK39" s="410"/>
      <c r="BL39" s="412"/>
      <c r="BM39" s="537"/>
      <c r="BN39" s="470"/>
      <c r="BO39" s="435"/>
      <c r="BP39" s="410"/>
      <c r="BQ39" s="412"/>
      <c r="BR39" s="470"/>
      <c r="BS39" s="410"/>
      <c r="BT39" s="435"/>
      <c r="BU39" s="537"/>
      <c r="BV39" s="412"/>
      <c r="BW39" s="470"/>
      <c r="BX39" s="537"/>
      <c r="BY39" s="470"/>
      <c r="BZ39" s="537"/>
      <c r="CA39" s="412"/>
      <c r="CB39" s="470"/>
      <c r="CC39" s="537"/>
      <c r="CD39" s="470"/>
      <c r="CE39" s="410"/>
      <c r="CF39" s="412"/>
      <c r="CG39" s="410"/>
      <c r="CH39" s="410"/>
      <c r="CI39" s="410"/>
      <c r="CJ39" s="537"/>
      <c r="CK39" s="566"/>
      <c r="CL39" s="537"/>
      <c r="CM39" s="537"/>
      <c r="CN39" s="537"/>
      <c r="CO39" s="410"/>
      <c r="CP39" s="566"/>
      <c r="CQ39" s="410"/>
      <c r="CR39" s="537"/>
      <c r="CS39" s="537"/>
      <c r="CT39" s="537"/>
      <c r="CU39" s="566"/>
      <c r="CV39" s="537"/>
      <c r="CW39" s="537"/>
      <c r="CX39" s="537"/>
      <c r="CY39" s="537"/>
      <c r="CZ39" s="566"/>
      <c r="DA39" s="410"/>
      <c r="DB39" s="410"/>
      <c r="DC39" s="537"/>
      <c r="DD39" s="410"/>
      <c r="DE39" s="566"/>
      <c r="DF39" s="537"/>
      <c r="DG39" s="537"/>
      <c r="DH39" s="537"/>
      <c r="DI39" s="537"/>
      <c r="DJ39" s="566"/>
      <c r="DK39" s="537"/>
      <c r="DL39" s="537"/>
      <c r="DM39" s="537"/>
      <c r="DN39" s="537"/>
      <c r="DO39" s="566"/>
      <c r="DP39" s="537"/>
      <c r="DQ39" s="410"/>
      <c r="DR39" s="410"/>
      <c r="DS39" s="410"/>
      <c r="DT39" s="412"/>
      <c r="DU39" s="410"/>
      <c r="DV39" s="410"/>
      <c r="DW39" s="410"/>
      <c r="DX39" s="410"/>
      <c r="DY39" s="412"/>
      <c r="DZ39" s="412"/>
      <c r="EA39" s="412"/>
      <c r="EB39" s="412"/>
    </row>
    <row r="40" spans="1:132" s="298" customFormat="1" ht="12" hidden="1" customHeight="1" outlineLevel="1">
      <c r="A40" s="241"/>
      <c r="B40" s="241" t="s">
        <v>191</v>
      </c>
      <c r="C40" s="285">
        <f t="shared" ref="C40:M40" si="113">C39*C37</f>
        <v>5850</v>
      </c>
      <c r="D40" s="285">
        <f t="shared" si="113"/>
        <v>7950</v>
      </c>
      <c r="E40" s="285">
        <f t="shared" si="113"/>
        <v>7050</v>
      </c>
      <c r="F40" s="285">
        <f t="shared" si="113"/>
        <v>3800</v>
      </c>
      <c r="G40" s="285">
        <f t="shared" si="113"/>
        <v>4805</v>
      </c>
      <c r="H40" s="285">
        <f t="shared" si="113"/>
        <v>4374</v>
      </c>
      <c r="I40" s="285">
        <f t="shared" si="113"/>
        <v>3078</v>
      </c>
      <c r="J40" s="241">
        <f t="shared" si="113"/>
        <v>820</v>
      </c>
      <c r="K40" s="241">
        <f t="shared" si="113"/>
        <v>656</v>
      </c>
      <c r="L40" s="241">
        <f t="shared" si="113"/>
        <v>328</v>
      </c>
      <c r="M40" s="241">
        <f t="shared" si="113"/>
        <v>656</v>
      </c>
      <c r="N40" s="285">
        <f>SUM(J40:M40)</f>
        <v>2460</v>
      </c>
      <c r="O40" s="241">
        <f>O39*O37</f>
        <v>498</v>
      </c>
      <c r="P40" s="241">
        <f>P39*P37</f>
        <v>664</v>
      </c>
      <c r="Q40" s="241">
        <f>Q39*Q37</f>
        <v>332</v>
      </c>
      <c r="R40" s="241">
        <f>R39*R37</f>
        <v>664</v>
      </c>
      <c r="S40" s="285">
        <f>SUM(O40:R40)</f>
        <v>2158</v>
      </c>
      <c r="T40" s="241">
        <f>T39*T37</f>
        <v>664</v>
      </c>
      <c r="U40" s="241">
        <f>U39*U37</f>
        <v>665.6</v>
      </c>
      <c r="V40" s="241">
        <f>V39*V37</f>
        <v>498</v>
      </c>
      <c r="W40" s="241">
        <f>W39*W37</f>
        <v>498</v>
      </c>
      <c r="X40" s="285">
        <f>SUM(T40:W40)</f>
        <v>2325.6</v>
      </c>
      <c r="Y40" s="241">
        <f>Y39*Y37</f>
        <v>498</v>
      </c>
      <c r="Z40" s="241">
        <f>Z39*Z37</f>
        <v>664</v>
      </c>
      <c r="AA40" s="241">
        <f>AA39*AA37</f>
        <v>830</v>
      </c>
      <c r="AB40" s="241">
        <f>AB39*AB37</f>
        <v>664</v>
      </c>
      <c r="AC40" s="285">
        <f>SUM(Y40:AB40)</f>
        <v>2656</v>
      </c>
      <c r="AD40" s="241">
        <f>AD39*AD37</f>
        <v>660</v>
      </c>
      <c r="AE40" s="241">
        <f>AE39*AE37</f>
        <v>825</v>
      </c>
      <c r="AF40" s="241">
        <f>AF39*AF37</f>
        <v>660</v>
      </c>
      <c r="AG40" s="241">
        <f>AG39*AG37</f>
        <v>165</v>
      </c>
      <c r="AH40" s="285">
        <f>SUM(AD40:AG40)</f>
        <v>2310</v>
      </c>
      <c r="AI40" s="241">
        <f>AI39*AI37</f>
        <v>660</v>
      </c>
      <c r="AJ40" s="241">
        <f>AJ39*AJ37</f>
        <v>330</v>
      </c>
      <c r="AK40" s="241">
        <f>AK39*AK37</f>
        <v>0</v>
      </c>
      <c r="AL40" s="241">
        <f>AL39*AL37</f>
        <v>330</v>
      </c>
      <c r="AM40" s="285">
        <f>SUM(AI40:AL40)</f>
        <v>1320</v>
      </c>
      <c r="AN40" s="241"/>
      <c r="AO40" s="437"/>
      <c r="AP40" s="437"/>
      <c r="AQ40" s="121"/>
      <c r="AR40" s="285"/>
      <c r="AS40" s="241"/>
      <c r="AT40" s="437"/>
      <c r="AU40" s="437"/>
      <c r="AV40" s="121"/>
      <c r="AW40" s="285"/>
      <c r="AX40" s="241"/>
      <c r="AY40" s="437"/>
      <c r="AZ40" s="437"/>
      <c r="BA40" s="121"/>
      <c r="BB40" s="285"/>
      <c r="BC40" s="241"/>
      <c r="BD40" s="437"/>
      <c r="BE40" s="437"/>
      <c r="BF40" s="241"/>
      <c r="BG40" s="285"/>
      <c r="BH40" s="241"/>
      <c r="BI40" s="241"/>
      <c r="BJ40" s="241"/>
      <c r="BK40" s="241"/>
      <c r="BL40" s="285"/>
      <c r="BM40" s="121"/>
      <c r="BN40" s="437"/>
      <c r="BO40" s="300"/>
      <c r="BP40" s="241"/>
      <c r="BQ40" s="285"/>
      <c r="BR40" s="437"/>
      <c r="BS40" s="241"/>
      <c r="BT40" s="743"/>
      <c r="BU40" s="121"/>
      <c r="BV40" s="285"/>
      <c r="BW40" s="437"/>
      <c r="BX40" s="121"/>
      <c r="BY40" s="437"/>
      <c r="BZ40" s="121"/>
      <c r="CA40" s="285"/>
      <c r="CB40" s="437"/>
      <c r="CC40" s="121"/>
      <c r="CD40" s="437"/>
      <c r="CE40" s="241"/>
      <c r="CF40" s="285"/>
      <c r="CG40" s="241"/>
      <c r="CH40" s="241"/>
      <c r="CI40" s="241"/>
      <c r="CJ40" s="121"/>
      <c r="CK40" s="120"/>
      <c r="CL40" s="121"/>
      <c r="CM40" s="121"/>
      <c r="CN40" s="121"/>
      <c r="CO40" s="241"/>
      <c r="CP40" s="120"/>
      <c r="CQ40" s="241"/>
      <c r="CR40" s="121"/>
      <c r="CS40" s="121"/>
      <c r="CT40" s="121"/>
      <c r="CU40" s="120"/>
      <c r="CV40" s="121"/>
      <c r="CW40" s="121"/>
      <c r="CX40" s="121"/>
      <c r="CY40" s="121"/>
      <c r="CZ40" s="120"/>
      <c r="DA40" s="241"/>
      <c r="DB40" s="241"/>
      <c r="DC40" s="121"/>
      <c r="DD40" s="241"/>
      <c r="DE40" s="120"/>
      <c r="DF40" s="121"/>
      <c r="DG40" s="121"/>
      <c r="DH40" s="121"/>
      <c r="DI40" s="121"/>
      <c r="DJ40" s="120"/>
      <c r="DK40" s="121"/>
      <c r="DL40" s="121"/>
      <c r="DM40" s="121"/>
      <c r="DN40" s="121"/>
      <c r="DO40" s="120"/>
      <c r="DP40" s="121"/>
      <c r="DQ40" s="241"/>
      <c r="DR40" s="241"/>
      <c r="DS40" s="241"/>
      <c r="DT40" s="285"/>
      <c r="DU40" s="241"/>
      <c r="DV40" s="241"/>
      <c r="DW40" s="241"/>
      <c r="DX40" s="241"/>
      <c r="DY40" s="285"/>
      <c r="DZ40" s="285"/>
      <c r="EA40" s="285"/>
      <c r="EB40" s="285"/>
    </row>
    <row r="41" spans="1:132" s="298" customFormat="1" ht="12" hidden="1" customHeight="1" outlineLevel="1">
      <c r="A41" s="241"/>
      <c r="B41" s="241"/>
      <c r="C41" s="299"/>
      <c r="D41" s="299"/>
      <c r="E41" s="299"/>
      <c r="F41" s="299"/>
      <c r="G41" s="299"/>
      <c r="H41" s="299"/>
      <c r="I41" s="299"/>
      <c r="J41" s="243"/>
      <c r="K41" s="243"/>
      <c r="L41" s="243"/>
      <c r="M41" s="243"/>
      <c r="N41" s="299"/>
      <c r="O41" s="243"/>
      <c r="P41" s="243"/>
      <c r="Q41" s="243"/>
      <c r="R41" s="243"/>
      <c r="S41" s="299"/>
      <c r="T41" s="243"/>
      <c r="U41" s="243"/>
      <c r="V41" s="243"/>
      <c r="W41" s="243"/>
      <c r="X41" s="299"/>
      <c r="Y41" s="243"/>
      <c r="Z41" s="243"/>
      <c r="AA41" s="243"/>
      <c r="AB41" s="243"/>
      <c r="AC41" s="299"/>
      <c r="AD41" s="243"/>
      <c r="AE41" s="243"/>
      <c r="AF41" s="243"/>
      <c r="AG41" s="243"/>
      <c r="AH41" s="299"/>
      <c r="AI41" s="243"/>
      <c r="AJ41" s="243"/>
      <c r="AK41" s="243"/>
      <c r="AL41" s="243"/>
      <c r="AM41" s="299"/>
      <c r="AN41" s="243"/>
      <c r="AO41" s="439"/>
      <c r="AP41" s="439"/>
      <c r="AQ41" s="538"/>
      <c r="AR41" s="299"/>
      <c r="AS41" s="243"/>
      <c r="AT41" s="439"/>
      <c r="AU41" s="439"/>
      <c r="AV41" s="538"/>
      <c r="AW41" s="299"/>
      <c r="AX41" s="243"/>
      <c r="AY41" s="439"/>
      <c r="AZ41" s="439"/>
      <c r="BA41" s="538"/>
      <c r="BB41" s="299"/>
      <c r="BC41" s="243"/>
      <c r="BD41" s="439"/>
      <c r="BE41" s="439"/>
      <c r="BF41" s="243"/>
      <c r="BG41" s="299"/>
      <c r="BH41" s="243"/>
      <c r="BI41" s="243"/>
      <c r="BJ41" s="243"/>
      <c r="BK41" s="243"/>
      <c r="BL41" s="299"/>
      <c r="BM41" s="538"/>
      <c r="BN41" s="439"/>
      <c r="BP41" s="243"/>
      <c r="BQ41" s="299"/>
      <c r="BR41" s="439"/>
      <c r="BS41" s="243"/>
      <c r="BU41" s="538"/>
      <c r="BV41" s="299"/>
      <c r="BW41" s="439"/>
      <c r="BX41" s="538"/>
      <c r="BY41" s="439"/>
      <c r="BZ41" s="538"/>
      <c r="CA41" s="299"/>
      <c r="CB41" s="439"/>
      <c r="CC41" s="538"/>
      <c r="CD41" s="439"/>
      <c r="CE41" s="243"/>
      <c r="CF41" s="299"/>
      <c r="CG41" s="243"/>
      <c r="CH41" s="243"/>
      <c r="CI41" s="243"/>
      <c r="CJ41" s="538"/>
      <c r="CK41" s="585"/>
      <c r="CL41" s="538"/>
      <c r="CM41" s="538"/>
      <c r="CN41" s="538"/>
      <c r="CO41" s="243"/>
      <c r="CP41" s="585"/>
      <c r="CQ41" s="243"/>
      <c r="CR41" s="538"/>
      <c r="CS41" s="538"/>
      <c r="CT41" s="538"/>
      <c r="CU41" s="585"/>
      <c r="CV41" s="538"/>
      <c r="CW41" s="538"/>
      <c r="CX41" s="538"/>
      <c r="CY41" s="538"/>
      <c r="CZ41" s="585"/>
      <c r="DA41" s="243"/>
      <c r="DB41" s="243"/>
      <c r="DC41" s="538"/>
      <c r="DD41" s="243"/>
      <c r="DE41" s="585"/>
      <c r="DF41" s="538"/>
      <c r="DG41" s="538"/>
      <c r="DH41" s="538"/>
      <c r="DI41" s="538"/>
      <c r="DJ41" s="585"/>
      <c r="DK41" s="538"/>
      <c r="DL41" s="538"/>
      <c r="DM41" s="538"/>
      <c r="DN41" s="538"/>
      <c r="DO41" s="585"/>
      <c r="DP41" s="538"/>
      <c r="DQ41" s="243"/>
      <c r="DR41" s="243"/>
      <c r="DS41" s="243"/>
      <c r="DT41" s="299"/>
      <c r="DU41" s="243"/>
      <c r="DV41" s="243"/>
      <c r="DW41" s="243"/>
      <c r="DX41" s="243"/>
      <c r="DY41" s="299"/>
      <c r="DZ41" s="299"/>
      <c r="EA41" s="299"/>
      <c r="EB41" s="299"/>
    </row>
    <row r="42" spans="1:132" s="298" customFormat="1" collapsed="1">
      <c r="A42" s="241"/>
      <c r="B42" s="42" t="s">
        <v>611</v>
      </c>
      <c r="C42" s="43"/>
      <c r="D42" s="43"/>
      <c r="E42" s="43"/>
      <c r="F42" s="43"/>
      <c r="G42" s="43"/>
      <c r="H42" s="43"/>
      <c r="I42" s="43"/>
      <c r="J42" s="42"/>
      <c r="K42" s="42"/>
      <c r="L42" s="42"/>
      <c r="M42" s="42"/>
      <c r="N42" s="43"/>
      <c r="O42" s="42"/>
      <c r="P42" s="42"/>
      <c r="Q42" s="42"/>
      <c r="R42" s="42"/>
      <c r="S42" s="43"/>
      <c r="T42" s="42"/>
      <c r="U42" s="42"/>
      <c r="V42" s="42"/>
      <c r="W42" s="42"/>
      <c r="X42" s="43"/>
      <c r="Y42" s="42"/>
      <c r="Z42" s="42"/>
      <c r="AA42" s="42"/>
      <c r="AB42" s="42"/>
      <c r="AC42" s="43"/>
      <c r="AD42" s="42"/>
      <c r="AE42" s="42"/>
      <c r="AF42" s="42"/>
      <c r="AG42" s="42"/>
      <c r="AH42" s="43"/>
      <c r="AI42" s="42"/>
      <c r="AJ42" s="42"/>
      <c r="AK42" s="42"/>
      <c r="AL42" s="42"/>
      <c r="AM42" s="43"/>
      <c r="AN42" s="42"/>
      <c r="AO42" s="432"/>
      <c r="AP42" s="432"/>
      <c r="AQ42" s="42"/>
      <c r="AR42" s="43"/>
      <c r="AS42" s="42">
        <v>0</v>
      </c>
      <c r="AT42" s="432">
        <v>0</v>
      </c>
      <c r="AU42" s="432">
        <v>0</v>
      </c>
      <c r="AV42" s="42">
        <v>9</v>
      </c>
      <c r="AW42" s="43">
        <f>SUM(AS42:AV42)</f>
        <v>9</v>
      </c>
      <c r="AX42" s="42">
        <v>6</v>
      </c>
      <c r="AY42" s="432">
        <v>7</v>
      </c>
      <c r="AZ42" s="432">
        <v>8</v>
      </c>
      <c r="BA42" s="42">
        <v>10</v>
      </c>
      <c r="BB42" s="43">
        <f>SUM(AX42:BA42)</f>
        <v>31</v>
      </c>
      <c r="BC42" s="42">
        <v>6</v>
      </c>
      <c r="BD42" s="432">
        <v>6</v>
      </c>
      <c r="BE42" s="432">
        <v>4</v>
      </c>
      <c r="BF42" s="42">
        <v>8</v>
      </c>
      <c r="BG42" s="43">
        <f>SUM(BC42:BF42)</f>
        <v>24</v>
      </c>
      <c r="BH42" s="42">
        <v>4</v>
      </c>
      <c r="BI42" s="42">
        <v>2</v>
      </c>
      <c r="BJ42" s="42">
        <v>6</v>
      </c>
      <c r="BK42" s="42">
        <v>7</v>
      </c>
      <c r="BL42" s="43">
        <f>SUM(BH42:BK42)</f>
        <v>19</v>
      </c>
      <c r="BM42" s="432">
        <v>4</v>
      </c>
      <c r="BN42" s="432">
        <v>5</v>
      </c>
      <c r="BO42" s="432">
        <v>4</v>
      </c>
      <c r="BP42" s="42">
        <v>5</v>
      </c>
      <c r="BQ42" s="43">
        <f>SUM(BM42:BP42)</f>
        <v>18</v>
      </c>
      <c r="BR42" s="432">
        <v>1</v>
      </c>
      <c r="BS42" s="42">
        <v>2</v>
      </c>
      <c r="BT42" s="432">
        <f>5</f>
        <v>5</v>
      </c>
      <c r="BU42" s="42">
        <v>1</v>
      </c>
      <c r="BV42" s="43">
        <f>SUM(BR42:BU42)</f>
        <v>9</v>
      </c>
      <c r="BW42" s="432">
        <v>1</v>
      </c>
      <c r="BX42" s="432">
        <v>3</v>
      </c>
      <c r="BY42" s="432">
        <v>4</v>
      </c>
      <c r="BZ42" s="432">
        <v>6</v>
      </c>
      <c r="CA42" s="43">
        <f>SUM(BW42:BZ42)</f>
        <v>14</v>
      </c>
      <c r="CB42" s="432">
        <v>2</v>
      </c>
      <c r="CC42" s="432">
        <v>1</v>
      </c>
      <c r="CD42" s="432">
        <v>2</v>
      </c>
      <c r="CE42" s="432">
        <v>1</v>
      </c>
      <c r="CF42" s="43">
        <f>SUM(CB42:CE42)</f>
        <v>6</v>
      </c>
      <c r="CG42" s="432">
        <v>2</v>
      </c>
      <c r="CH42" s="432">
        <v>2</v>
      </c>
      <c r="CI42" s="432">
        <v>1</v>
      </c>
      <c r="CJ42" s="432">
        <v>2</v>
      </c>
      <c r="CK42" s="43">
        <f>SUM(CG42:CJ42)</f>
        <v>7</v>
      </c>
      <c r="CL42" s="432">
        <v>0</v>
      </c>
      <c r="CM42" s="432">
        <v>1</v>
      </c>
      <c r="CN42" s="432">
        <v>1</v>
      </c>
      <c r="CO42" s="432">
        <v>3</v>
      </c>
      <c r="CP42" s="43">
        <f>SUM(CL42:CO42)</f>
        <v>5</v>
      </c>
      <c r="CQ42" s="432">
        <v>1</v>
      </c>
      <c r="CR42" s="432">
        <v>1</v>
      </c>
      <c r="CS42" s="432">
        <v>2</v>
      </c>
      <c r="CT42" s="432">
        <v>3</v>
      </c>
      <c r="CU42" s="43">
        <f>SUM(CQ42:CT42)</f>
        <v>7</v>
      </c>
      <c r="CV42" s="432">
        <v>1</v>
      </c>
      <c r="CW42" s="432">
        <v>2</v>
      </c>
      <c r="CX42" s="432">
        <v>0</v>
      </c>
      <c r="CY42" s="432">
        <v>2</v>
      </c>
      <c r="CZ42" s="43">
        <f>SUM(CV42:CY42)</f>
        <v>5</v>
      </c>
      <c r="DA42" s="432">
        <v>1</v>
      </c>
      <c r="DB42" s="432">
        <v>0</v>
      </c>
      <c r="DC42" s="432">
        <v>0</v>
      </c>
      <c r="DD42" s="432">
        <v>0</v>
      </c>
      <c r="DE42" s="43">
        <f>SUM(DA42:DD42)</f>
        <v>1</v>
      </c>
      <c r="DF42" s="432">
        <v>0</v>
      </c>
      <c r="DG42" s="432">
        <v>0</v>
      </c>
      <c r="DH42" s="432">
        <v>0</v>
      </c>
      <c r="DI42" s="432">
        <v>0</v>
      </c>
      <c r="DJ42" s="43">
        <f>SUM(DF42:DI42)</f>
        <v>0</v>
      </c>
      <c r="DK42" s="432">
        <v>0</v>
      </c>
      <c r="DL42" s="432">
        <v>0</v>
      </c>
      <c r="DM42" s="432">
        <v>0</v>
      </c>
      <c r="DN42" s="432">
        <v>0</v>
      </c>
      <c r="DO42" s="43">
        <f>SUM(DK42:DN42)</f>
        <v>0</v>
      </c>
      <c r="DP42" s="432">
        <v>0</v>
      </c>
      <c r="DQ42" s="434">
        <v>0</v>
      </c>
      <c r="DR42" s="434">
        <v>0</v>
      </c>
      <c r="DS42" s="434">
        <v>0</v>
      </c>
      <c r="DT42" s="43">
        <f>SUM(DP42:DS42)</f>
        <v>0</v>
      </c>
      <c r="DU42" s="434">
        <v>0</v>
      </c>
      <c r="DV42" s="434">
        <v>0</v>
      </c>
      <c r="DW42" s="434">
        <v>0</v>
      </c>
      <c r="DX42" s="434">
        <v>0</v>
      </c>
      <c r="DY42" s="43">
        <f>SUM(DU42:DX42)</f>
        <v>0</v>
      </c>
      <c r="DZ42" s="36">
        <v>0</v>
      </c>
      <c r="EA42" s="36"/>
      <c r="EB42" s="36"/>
    </row>
    <row r="43" spans="1:132" s="743" customFormat="1">
      <c r="A43" s="813"/>
      <c r="B43" s="929" t="s">
        <v>620</v>
      </c>
      <c r="C43" s="952">
        <f>C42/11.5</f>
        <v>0</v>
      </c>
      <c r="D43" s="952">
        <f t="shared" ref="D43" si="114">D42/11.5</f>
        <v>0</v>
      </c>
      <c r="E43" s="952">
        <f t="shared" ref="E43" si="115">E42/11.5</f>
        <v>0</v>
      </c>
      <c r="F43" s="952">
        <f t="shared" ref="F43" si="116">F42/11.5</f>
        <v>0</v>
      </c>
      <c r="G43" s="952">
        <f t="shared" ref="G43" si="117">G42/11.5</f>
        <v>0</v>
      </c>
      <c r="H43" s="952">
        <f t="shared" ref="H43" si="118">H42/11.5</f>
        <v>0</v>
      </c>
      <c r="I43" s="952">
        <f t="shared" ref="I43" si="119">I42/11.5</f>
        <v>0</v>
      </c>
      <c r="J43" s="813"/>
      <c r="K43" s="813"/>
      <c r="L43" s="813"/>
      <c r="M43" s="813"/>
      <c r="N43" s="952">
        <f t="shared" ref="N43" si="120">N42/11.5</f>
        <v>0</v>
      </c>
      <c r="O43" s="813"/>
      <c r="P43" s="813"/>
      <c r="Q43" s="813"/>
      <c r="R43" s="813"/>
      <c r="S43" s="952">
        <f t="shared" ref="S43" si="121">S42/11.5</f>
        <v>0</v>
      </c>
      <c r="T43" s="813"/>
      <c r="U43" s="813"/>
      <c r="V43" s="813"/>
      <c r="W43" s="813"/>
      <c r="X43" s="952">
        <f t="shared" ref="X43" si="122">X42/11.5</f>
        <v>0</v>
      </c>
      <c r="Y43" s="813"/>
      <c r="Z43" s="813"/>
      <c r="AA43" s="813"/>
      <c r="AB43" s="813"/>
      <c r="AC43" s="952">
        <f t="shared" ref="AC43" si="123">AC42/11.5</f>
        <v>0</v>
      </c>
      <c r="AD43" s="813"/>
      <c r="AE43" s="813"/>
      <c r="AF43" s="813"/>
      <c r="AG43" s="813"/>
      <c r="AH43" s="952">
        <f t="shared" ref="AH43" si="124">AH42/11.5</f>
        <v>0</v>
      </c>
      <c r="AI43" s="813"/>
      <c r="AJ43" s="813"/>
      <c r="AK43" s="813"/>
      <c r="AL43" s="813"/>
      <c r="AM43" s="952">
        <f t="shared" ref="AM43" si="125">AM42/11.5</f>
        <v>0</v>
      </c>
      <c r="AN43" s="813"/>
      <c r="AO43" s="953"/>
      <c r="AP43" s="953"/>
      <c r="AQ43" s="929"/>
      <c r="AR43" s="952">
        <f t="shared" ref="AR43" si="126">AR42/11.5</f>
        <v>0</v>
      </c>
      <c r="AS43" s="813"/>
      <c r="AT43" s="953"/>
      <c r="AU43" s="953"/>
      <c r="AV43" s="929"/>
      <c r="AW43" s="952">
        <f t="shared" ref="AW43" si="127">AW42/11.5</f>
        <v>0.78260869565217395</v>
      </c>
      <c r="AX43" s="813"/>
      <c r="AY43" s="953"/>
      <c r="AZ43" s="953"/>
      <c r="BA43" s="929"/>
      <c r="BB43" s="952">
        <f t="shared" ref="BB43" si="128">BB42/11.5</f>
        <v>2.6956521739130435</v>
      </c>
      <c r="BC43" s="813"/>
      <c r="BD43" s="953"/>
      <c r="BE43" s="953"/>
      <c r="BF43" s="813"/>
      <c r="BG43" s="952">
        <f t="shared" ref="BG43" si="129">BG42/11.5</f>
        <v>2.0869565217391304</v>
      </c>
      <c r="BH43" s="813"/>
      <c r="BI43" s="813"/>
      <c r="BJ43" s="813"/>
      <c r="BK43" s="813"/>
      <c r="BL43" s="952">
        <f t="shared" ref="BL43" si="130">BL42/11.5</f>
        <v>1.6521739130434783</v>
      </c>
      <c r="BM43" s="813"/>
      <c r="BN43" s="813"/>
      <c r="BO43" s="813"/>
      <c r="BP43" s="813"/>
      <c r="BQ43" s="952">
        <f t="shared" ref="BQ43" si="131">BQ42/11.5</f>
        <v>1.5652173913043479</v>
      </c>
      <c r="BR43" s="813"/>
      <c r="BS43" s="813"/>
      <c r="BT43" s="813"/>
      <c r="BU43" s="813"/>
      <c r="BV43" s="952">
        <f t="shared" ref="BV43" si="132">BV42/11.5</f>
        <v>0.78260869565217395</v>
      </c>
      <c r="BW43" s="813"/>
      <c r="BX43" s="813"/>
      <c r="BY43" s="813"/>
      <c r="BZ43" s="813"/>
      <c r="CA43" s="952">
        <f t="shared" ref="CA43" si="133">CA42/11.5</f>
        <v>1.2173913043478262</v>
      </c>
      <c r="CB43" s="813"/>
      <c r="CC43" s="813"/>
      <c r="CD43" s="813"/>
      <c r="CE43" s="929"/>
      <c r="CF43" s="952">
        <f t="shared" ref="CF43" si="134">CF42/11.5</f>
        <v>0.52173913043478259</v>
      </c>
      <c r="CG43" s="929"/>
      <c r="CH43" s="813"/>
      <c r="CI43" s="929"/>
      <c r="CJ43" s="929"/>
      <c r="CK43" s="952">
        <f t="shared" ref="CK43" si="135">CK42/11.5</f>
        <v>0.60869565217391308</v>
      </c>
      <c r="CL43" s="929"/>
      <c r="CM43" s="929"/>
      <c r="CN43" s="929"/>
      <c r="CO43" s="929"/>
      <c r="CP43" s="952">
        <f t="shared" ref="CP43" si="136">CP42/11.5</f>
        <v>0.43478260869565216</v>
      </c>
      <c r="CQ43" s="929"/>
      <c r="CR43" s="929"/>
      <c r="CS43" s="929"/>
      <c r="CT43" s="929"/>
      <c r="CU43" s="952">
        <f t="shared" ref="CU43" si="137">CU42/11.5</f>
        <v>0.60869565217391308</v>
      </c>
      <c r="CV43" s="929"/>
      <c r="CW43" s="929"/>
      <c r="CX43" s="929"/>
      <c r="CY43" s="929"/>
      <c r="CZ43" s="952">
        <f t="shared" ref="CZ43" si="138">CZ42/11.5</f>
        <v>0.43478260869565216</v>
      </c>
      <c r="DA43" s="929"/>
      <c r="DB43" s="929"/>
      <c r="DC43" s="929"/>
      <c r="DD43" s="929"/>
      <c r="DE43" s="952">
        <f t="shared" ref="DE43" si="139">DE42/11.5</f>
        <v>8.6956521739130432E-2</v>
      </c>
      <c r="DF43" s="929"/>
      <c r="DG43" s="929"/>
      <c r="DH43" s="929"/>
      <c r="DI43" s="929"/>
      <c r="DJ43" s="1023">
        <f t="shared" ref="DJ43" si="140">DJ42/11.5</f>
        <v>0</v>
      </c>
      <c r="DK43" s="929"/>
      <c r="DL43" s="929"/>
      <c r="DM43" s="929"/>
      <c r="DN43" s="929"/>
      <c r="DO43" s="1023">
        <f t="shared" ref="DO43" si="141">DO42/11.5</f>
        <v>0</v>
      </c>
      <c r="DP43" s="929"/>
      <c r="DQ43" s="813"/>
      <c r="DR43" s="813"/>
      <c r="DS43" s="813"/>
      <c r="DT43" s="1023">
        <f t="shared" ref="DT43" si="142">DT42/11.5</f>
        <v>0</v>
      </c>
      <c r="DU43" s="813"/>
      <c r="DV43" s="813"/>
      <c r="DW43" s="813"/>
      <c r="DX43" s="813"/>
      <c r="DY43" s="1023">
        <f t="shared" ref="DY43" si="143">DY42/11.5</f>
        <v>0</v>
      </c>
      <c r="DZ43" s="952">
        <f t="shared" ref="DZ43" si="144">DZ42/11.5</f>
        <v>0</v>
      </c>
      <c r="EA43" s="952"/>
      <c r="EB43" s="952"/>
    </row>
    <row r="44" spans="1:132" s="298" customFormat="1">
      <c r="A44" s="241"/>
      <c r="B44" s="241" t="s">
        <v>190</v>
      </c>
      <c r="C44" s="411"/>
      <c r="D44" s="411"/>
      <c r="E44" s="411"/>
      <c r="F44" s="411"/>
      <c r="G44" s="411"/>
      <c r="H44" s="411"/>
      <c r="I44" s="411"/>
      <c r="J44" s="304"/>
      <c r="K44" s="304"/>
      <c r="L44" s="304"/>
      <c r="M44" s="304"/>
      <c r="N44" s="411"/>
      <c r="O44" s="304"/>
      <c r="P44" s="304"/>
      <c r="Q44" s="304"/>
      <c r="R44" s="304"/>
      <c r="S44" s="411"/>
      <c r="T44" s="304"/>
      <c r="U44" s="304"/>
      <c r="V44" s="304"/>
      <c r="W44" s="304"/>
      <c r="X44" s="411"/>
      <c r="Y44" s="304"/>
      <c r="Z44" s="304"/>
      <c r="AA44" s="304"/>
      <c r="AB44" s="304"/>
      <c r="AC44" s="411"/>
      <c r="AD44" s="304"/>
      <c r="AE44" s="304"/>
      <c r="AF44" s="304"/>
      <c r="AG44" s="304"/>
      <c r="AH44" s="411"/>
      <c r="AI44" s="304"/>
      <c r="AJ44" s="304"/>
      <c r="AK44" s="304"/>
      <c r="AL44" s="304"/>
      <c r="AM44" s="411"/>
      <c r="AN44" s="304"/>
      <c r="AO44" s="470"/>
      <c r="AP44" s="470"/>
      <c r="AQ44" s="537"/>
      <c r="AR44" s="411"/>
      <c r="AS44" s="304">
        <v>185</v>
      </c>
      <c r="AT44" s="470">
        <v>185</v>
      </c>
      <c r="AU44" s="470">
        <v>185</v>
      </c>
      <c r="AV44" s="537">
        <v>185</v>
      </c>
      <c r="AW44" s="411">
        <f>AW45/AW42</f>
        <v>185</v>
      </c>
      <c r="AX44" s="304">
        <v>186</v>
      </c>
      <c r="AY44" s="470">
        <v>186</v>
      </c>
      <c r="AZ44" s="470">
        <v>186</v>
      </c>
      <c r="BA44" s="537">
        <v>186</v>
      </c>
      <c r="BB44" s="411">
        <f>BB45/BB42</f>
        <v>186</v>
      </c>
      <c r="BC44" s="304">
        <v>186</v>
      </c>
      <c r="BD44" s="470">
        <v>186</v>
      </c>
      <c r="BE44" s="470">
        <v>186</v>
      </c>
      <c r="BF44" s="537">
        <v>186</v>
      </c>
      <c r="BG44" s="411">
        <v>187</v>
      </c>
      <c r="BH44" s="304">
        <v>188</v>
      </c>
      <c r="BI44" s="304">
        <v>188</v>
      </c>
      <c r="BJ44" s="304">
        <v>188</v>
      </c>
      <c r="BK44" s="537">
        <v>188</v>
      </c>
      <c r="BL44" s="566">
        <v>188</v>
      </c>
      <c r="BM44" s="537">
        <v>187</v>
      </c>
      <c r="BN44" s="537">
        <v>187</v>
      </c>
      <c r="BO44" s="537">
        <v>188</v>
      </c>
      <c r="BP44" s="537">
        <v>187</v>
      </c>
      <c r="BQ44" s="566">
        <f>+BQ45/BQ42</f>
        <v>187.22222222222223</v>
      </c>
      <c r="BR44" s="537">
        <v>186</v>
      </c>
      <c r="BS44" s="537">
        <v>186</v>
      </c>
      <c r="BT44" s="537">
        <v>186</v>
      </c>
      <c r="BU44" s="537">
        <v>184</v>
      </c>
      <c r="BV44" s="566">
        <f>BV45/BV42</f>
        <v>185.77777777777777</v>
      </c>
      <c r="BW44" s="537">
        <v>184</v>
      </c>
      <c r="BX44" s="537">
        <v>184</v>
      </c>
      <c r="BY44" s="537">
        <v>184</v>
      </c>
      <c r="BZ44" s="537">
        <v>184</v>
      </c>
      <c r="CA44" s="566">
        <f>CA45/CA42</f>
        <v>184</v>
      </c>
      <c r="CB44" s="537">
        <v>175</v>
      </c>
      <c r="CC44" s="537">
        <v>175</v>
      </c>
      <c r="CD44" s="537">
        <v>175</v>
      </c>
      <c r="CE44" s="537">
        <v>175</v>
      </c>
      <c r="CF44" s="566">
        <f>CF45/CF42</f>
        <v>175</v>
      </c>
      <c r="CG44" s="537">
        <v>175</v>
      </c>
      <c r="CH44" s="537">
        <v>175</v>
      </c>
      <c r="CI44" s="537">
        <v>175</v>
      </c>
      <c r="CJ44" s="537">
        <v>175</v>
      </c>
      <c r="CK44" s="566">
        <f>CK45/CK42</f>
        <v>175</v>
      </c>
      <c r="CL44" s="537">
        <v>175</v>
      </c>
      <c r="CM44" s="537">
        <v>175</v>
      </c>
      <c r="CN44" s="537">
        <v>175</v>
      </c>
      <c r="CO44" s="537">
        <v>175</v>
      </c>
      <c r="CP44" s="566">
        <f>CP45/CP42</f>
        <v>175</v>
      </c>
      <c r="CQ44" s="537">
        <v>175</v>
      </c>
      <c r="CR44" s="537">
        <v>175</v>
      </c>
      <c r="CS44" s="537">
        <v>175</v>
      </c>
      <c r="CT44" s="537">
        <v>175</v>
      </c>
      <c r="CU44" s="566">
        <f>CU45/CU42</f>
        <v>175</v>
      </c>
      <c r="CV44" s="537">
        <v>175</v>
      </c>
      <c r="CW44" s="537">
        <v>175</v>
      </c>
      <c r="CX44" s="537">
        <v>175</v>
      </c>
      <c r="CY44" s="537">
        <v>175</v>
      </c>
      <c r="CZ44" s="566">
        <f>CZ45/CZ42</f>
        <v>175</v>
      </c>
      <c r="DA44" s="537">
        <v>175</v>
      </c>
      <c r="DB44" s="537">
        <v>175</v>
      </c>
      <c r="DC44" s="537">
        <v>175</v>
      </c>
      <c r="DD44" s="537">
        <v>175</v>
      </c>
      <c r="DE44" s="566">
        <f>IFERROR(DE45/DE42,"")</f>
        <v>175</v>
      </c>
      <c r="DF44" s="537"/>
      <c r="DG44" s="537"/>
      <c r="DH44" s="537"/>
      <c r="DI44" s="537"/>
      <c r="DJ44" s="566" t="str">
        <f>IFERROR(DJ45/DJ42,"")</f>
        <v/>
      </c>
      <c r="DK44" s="537"/>
      <c r="DL44" s="537"/>
      <c r="DM44" s="537"/>
      <c r="DN44" s="537"/>
      <c r="DO44" s="566" t="str">
        <f>IFERROR(DO45/DO42,"")</f>
        <v/>
      </c>
      <c r="DP44" s="537"/>
      <c r="DQ44" s="410"/>
      <c r="DR44" s="410"/>
      <c r="DS44" s="410"/>
      <c r="DT44" s="566" t="str">
        <f>IFERROR(DT45/DT42,"")</f>
        <v/>
      </c>
      <c r="DU44" s="410"/>
      <c r="DV44" s="410"/>
      <c r="DW44" s="410"/>
      <c r="DX44" s="410"/>
      <c r="DY44" s="566" t="str">
        <f>IFERROR(DY45/DY42,"")</f>
        <v/>
      </c>
      <c r="DZ44" s="412"/>
      <c r="EA44" s="412"/>
      <c r="EB44" s="412"/>
    </row>
    <row r="45" spans="1:132" s="298" customFormat="1">
      <c r="A45" s="241"/>
      <c r="B45" s="241" t="s">
        <v>191</v>
      </c>
      <c r="C45" s="285"/>
      <c r="D45" s="285"/>
      <c r="E45" s="285"/>
      <c r="F45" s="285"/>
      <c r="G45" s="285"/>
      <c r="H45" s="285"/>
      <c r="I45" s="285"/>
      <c r="J45" s="241"/>
      <c r="K45" s="241"/>
      <c r="L45" s="241"/>
      <c r="M45" s="241"/>
      <c r="N45" s="285"/>
      <c r="O45" s="241"/>
      <c r="P45" s="241"/>
      <c r="Q45" s="241"/>
      <c r="R45" s="241"/>
      <c r="S45" s="285"/>
      <c r="T45" s="241"/>
      <c r="U45" s="241"/>
      <c r="V45" s="241"/>
      <c r="W45" s="241"/>
      <c r="X45" s="285"/>
      <c r="Y45" s="241"/>
      <c r="Z45" s="241"/>
      <c r="AA45" s="241"/>
      <c r="AB45" s="241"/>
      <c r="AC45" s="285"/>
      <c r="AD45" s="241"/>
      <c r="AE45" s="241"/>
      <c r="AF45" s="241"/>
      <c r="AG45" s="241"/>
      <c r="AH45" s="285"/>
      <c r="AI45" s="241"/>
      <c r="AJ45" s="241"/>
      <c r="AK45" s="241"/>
      <c r="AL45" s="241"/>
      <c r="AM45" s="285"/>
      <c r="AN45" s="241"/>
      <c r="AO45" s="437"/>
      <c r="AP45" s="437"/>
      <c r="AQ45" s="121"/>
      <c r="AR45" s="285"/>
      <c r="AS45" s="241">
        <f>AS44*AS42</f>
        <v>0</v>
      </c>
      <c r="AT45" s="437">
        <f>AT44*AT42</f>
        <v>0</v>
      </c>
      <c r="AU45" s="437">
        <f>AU44*AU42</f>
        <v>0</v>
      </c>
      <c r="AV45" s="121">
        <f>AV44*AV42</f>
        <v>1665</v>
      </c>
      <c r="AW45" s="285">
        <f>SUM(AS45:AV45)</f>
        <v>1665</v>
      </c>
      <c r="AX45" s="241">
        <f>AX44*AX42</f>
        <v>1116</v>
      </c>
      <c r="AY45" s="437">
        <f>AY44*AY42</f>
        <v>1302</v>
      </c>
      <c r="AZ45" s="437">
        <f>AZ44*AZ42</f>
        <v>1488</v>
      </c>
      <c r="BA45" s="121">
        <f>BA44*BA42</f>
        <v>1860</v>
      </c>
      <c r="BB45" s="285">
        <f>SUM(AX45:BA45)</f>
        <v>5766</v>
      </c>
      <c r="BC45" s="241">
        <f t="shared" ref="BC45:BL45" si="145">BC44*BC42</f>
        <v>1116</v>
      </c>
      <c r="BD45" s="437">
        <f t="shared" si="145"/>
        <v>1116</v>
      </c>
      <c r="BE45" s="437">
        <f t="shared" si="145"/>
        <v>744</v>
      </c>
      <c r="BF45" s="121">
        <f t="shared" si="145"/>
        <v>1488</v>
      </c>
      <c r="BG45" s="285">
        <f t="shared" si="145"/>
        <v>4488</v>
      </c>
      <c r="BH45" s="241">
        <f>BH44*BH42</f>
        <v>752</v>
      </c>
      <c r="BI45" s="241">
        <f>BI44*BI42</f>
        <v>376</v>
      </c>
      <c r="BJ45" s="241">
        <f>BJ44*BJ42</f>
        <v>1128</v>
      </c>
      <c r="BK45" s="241">
        <f>BK44*BK42</f>
        <v>1316</v>
      </c>
      <c r="BL45" s="120">
        <f t="shared" si="145"/>
        <v>3572</v>
      </c>
      <c r="BM45" s="121">
        <f>BM44*BM42</f>
        <v>748</v>
      </c>
      <c r="BN45" s="121">
        <f>BN44*BN42</f>
        <v>935</v>
      </c>
      <c r="BO45" s="121">
        <f>BO44*BO42</f>
        <v>752</v>
      </c>
      <c r="BP45" s="241">
        <f>BP44*BP42</f>
        <v>935</v>
      </c>
      <c r="BQ45" s="285">
        <f>SUM(BM45:BP45)</f>
        <v>3370</v>
      </c>
      <c r="BR45" s="121">
        <f>BR44*BR42</f>
        <v>186</v>
      </c>
      <c r="BS45" s="121">
        <f>BS44*BS42</f>
        <v>372</v>
      </c>
      <c r="BT45" s="121">
        <f>BT44*BT42</f>
        <v>930</v>
      </c>
      <c r="BU45" s="121">
        <f>BU44*BU42</f>
        <v>184</v>
      </c>
      <c r="BV45" s="285">
        <f>SUM(BR45:BU45)</f>
        <v>1672</v>
      </c>
      <c r="BW45" s="121">
        <f>BW44*BW42</f>
        <v>184</v>
      </c>
      <c r="BX45" s="121">
        <f>BX44*BX42</f>
        <v>552</v>
      </c>
      <c r="BY45" s="121">
        <f>BY44*BY42</f>
        <v>736</v>
      </c>
      <c r="BZ45" s="121">
        <f>BZ44*BZ42</f>
        <v>1104</v>
      </c>
      <c r="CA45" s="285">
        <f>SUM(BW45:BZ45)</f>
        <v>2576</v>
      </c>
      <c r="CB45" s="121">
        <f>CB44*CB42</f>
        <v>350</v>
      </c>
      <c r="CC45" s="121">
        <f>CC44*CC42</f>
        <v>175</v>
      </c>
      <c r="CD45" s="121">
        <f>CD44*CD42</f>
        <v>350</v>
      </c>
      <c r="CE45" s="121">
        <f>CE44*CE42</f>
        <v>175</v>
      </c>
      <c r="CF45" s="285">
        <f>SUM(CB45:CE45)</f>
        <v>1050</v>
      </c>
      <c r="CG45" s="121">
        <f t="shared" ref="CG45:CJ45" si="146">CG44*CG42</f>
        <v>350</v>
      </c>
      <c r="CH45" s="241">
        <f t="shared" si="146"/>
        <v>350</v>
      </c>
      <c r="CI45" s="241">
        <f t="shared" si="146"/>
        <v>175</v>
      </c>
      <c r="CJ45" s="121">
        <f t="shared" si="146"/>
        <v>350</v>
      </c>
      <c r="CK45" s="120">
        <f>SUM(CG45:CJ45)</f>
        <v>1225</v>
      </c>
      <c r="CL45" s="121">
        <f t="shared" ref="CL45:CO45" si="147">CL44*CL42</f>
        <v>0</v>
      </c>
      <c r="CM45" s="121">
        <f t="shared" si="147"/>
        <v>175</v>
      </c>
      <c r="CN45" s="121">
        <f t="shared" si="147"/>
        <v>175</v>
      </c>
      <c r="CO45" s="121">
        <f t="shared" si="147"/>
        <v>525</v>
      </c>
      <c r="CP45" s="120">
        <f>SUM(CL45:CO45)</f>
        <v>875</v>
      </c>
      <c r="CQ45" s="121">
        <f t="shared" ref="CQ45:CT45" si="148">CQ44*CQ42</f>
        <v>175</v>
      </c>
      <c r="CR45" s="121">
        <f t="shared" si="148"/>
        <v>175</v>
      </c>
      <c r="CS45" s="121">
        <f t="shared" si="148"/>
        <v>350</v>
      </c>
      <c r="CT45" s="121">
        <f t="shared" si="148"/>
        <v>525</v>
      </c>
      <c r="CU45" s="120">
        <f>SUM(CQ45:CT45)</f>
        <v>1225</v>
      </c>
      <c r="CV45" s="121">
        <f t="shared" ref="CV45" si="149">CV44*CV42</f>
        <v>175</v>
      </c>
      <c r="CW45" s="121">
        <f t="shared" ref="CW45:CY45" si="150">CW44*CW42</f>
        <v>350</v>
      </c>
      <c r="CX45" s="121">
        <f t="shared" si="150"/>
        <v>0</v>
      </c>
      <c r="CY45" s="121">
        <f t="shared" si="150"/>
        <v>350</v>
      </c>
      <c r="CZ45" s="120">
        <f>SUM(CV45:CY45)</f>
        <v>875</v>
      </c>
      <c r="DA45" s="241">
        <f t="shared" ref="DA45:DD45" si="151">DA44*DA42</f>
        <v>175</v>
      </c>
      <c r="DB45" s="241">
        <f t="shared" si="151"/>
        <v>0</v>
      </c>
      <c r="DC45" s="121">
        <f t="shared" si="151"/>
        <v>0</v>
      </c>
      <c r="DD45" s="241">
        <f t="shared" si="151"/>
        <v>0</v>
      </c>
      <c r="DE45" s="120">
        <f>SUM(DA45:DD45)</f>
        <v>175</v>
      </c>
      <c r="DF45" s="121"/>
      <c r="DG45" s="121"/>
      <c r="DH45" s="121"/>
      <c r="DI45" s="121"/>
      <c r="DJ45" s="120">
        <f>SUM(DF45:DI45)</f>
        <v>0</v>
      </c>
      <c r="DK45" s="121"/>
      <c r="DL45" s="121"/>
      <c r="DM45" s="121"/>
      <c r="DN45" s="121"/>
      <c r="DO45" s="120">
        <f>SUM(DK45:DN45)</f>
        <v>0</v>
      </c>
      <c r="DP45" s="121"/>
      <c r="DQ45" s="241"/>
      <c r="DR45" s="241"/>
      <c r="DS45" s="241"/>
      <c r="DT45" s="120">
        <f>SUM(DP45:DS45)</f>
        <v>0</v>
      </c>
      <c r="DU45" s="241"/>
      <c r="DV45" s="241"/>
      <c r="DW45" s="241"/>
      <c r="DX45" s="241"/>
      <c r="DY45" s="120">
        <f>SUM(DU45:DX45)</f>
        <v>0</v>
      </c>
      <c r="DZ45" s="285"/>
      <c r="EA45" s="285"/>
      <c r="EB45" s="285"/>
    </row>
    <row r="46" spans="1:132" s="298" customFormat="1" ht="12" hidden="1" customHeight="1" outlineLevel="1">
      <c r="A46" s="241"/>
      <c r="B46" s="241"/>
      <c r="C46" s="285"/>
      <c r="D46" s="285"/>
      <c r="E46" s="285"/>
      <c r="F46" s="285"/>
      <c r="G46" s="285"/>
      <c r="H46" s="285"/>
      <c r="I46" s="285"/>
      <c r="J46" s="241"/>
      <c r="K46" s="241"/>
      <c r="L46" s="241"/>
      <c r="M46" s="241"/>
      <c r="N46" s="285"/>
      <c r="O46" s="241"/>
      <c r="P46" s="241"/>
      <c r="Q46" s="241"/>
      <c r="R46" s="241"/>
      <c r="S46" s="285"/>
      <c r="T46" s="241"/>
      <c r="U46" s="241"/>
      <c r="V46" s="241"/>
      <c r="W46" s="241"/>
      <c r="X46" s="285"/>
      <c r="Y46" s="241"/>
      <c r="Z46" s="241"/>
      <c r="AA46" s="241"/>
      <c r="AB46" s="241"/>
      <c r="AC46" s="285"/>
      <c r="AD46" s="241"/>
      <c r="AE46" s="241"/>
      <c r="AF46" s="241"/>
      <c r="AG46" s="241"/>
      <c r="AH46" s="285"/>
      <c r="AI46" s="241"/>
      <c r="AJ46" s="241"/>
      <c r="AK46" s="241"/>
      <c r="AL46" s="241"/>
      <c r="AM46" s="285"/>
      <c r="AN46" s="241"/>
      <c r="AO46" s="437"/>
      <c r="AP46" s="437"/>
      <c r="AQ46" s="121"/>
      <c r="AR46" s="285"/>
      <c r="AS46" s="241"/>
      <c r="AT46" s="437"/>
      <c r="AU46" s="437"/>
      <c r="AV46" s="121"/>
      <c r="AW46" s="285"/>
      <c r="AX46" s="241"/>
      <c r="AY46" s="437"/>
      <c r="AZ46" s="437"/>
      <c r="BA46" s="121"/>
      <c r="BB46" s="285"/>
      <c r="BC46" s="241"/>
      <c r="BD46" s="437"/>
      <c r="BE46" s="437"/>
      <c r="BF46" s="121"/>
      <c r="BG46" s="285"/>
      <c r="BH46" s="241"/>
      <c r="BI46" s="241"/>
      <c r="BJ46" s="241"/>
      <c r="BK46" s="241"/>
      <c r="BL46" s="120"/>
      <c r="BM46" s="121"/>
      <c r="BN46" s="121"/>
      <c r="BO46" s="121"/>
      <c r="BP46" s="241"/>
      <c r="BQ46" s="285"/>
      <c r="BR46" s="121"/>
      <c r="BS46" s="121"/>
      <c r="BT46" s="121"/>
      <c r="BU46" s="121"/>
      <c r="BV46" s="285"/>
      <c r="BW46" s="121"/>
      <c r="BX46" s="121"/>
      <c r="BY46" s="121"/>
      <c r="BZ46" s="121"/>
      <c r="CA46" s="285"/>
      <c r="CB46" s="121"/>
      <c r="CC46" s="121"/>
      <c r="CD46" s="121"/>
      <c r="CE46" s="121"/>
      <c r="CF46" s="285"/>
      <c r="CG46" s="121"/>
      <c r="CH46" s="241"/>
      <c r="CI46" s="241"/>
      <c r="CJ46" s="121"/>
      <c r="CK46" s="120"/>
      <c r="CL46" s="121"/>
      <c r="CM46" s="121"/>
      <c r="CN46" s="241"/>
      <c r="CO46" s="241"/>
      <c r="CP46" s="120"/>
      <c r="CQ46" s="121"/>
      <c r="CR46" s="121"/>
      <c r="CS46" s="121"/>
      <c r="CT46" s="121"/>
      <c r="CU46" s="120"/>
      <c r="CV46" s="121"/>
      <c r="CW46" s="121"/>
      <c r="CX46" s="121"/>
      <c r="CY46" s="121"/>
      <c r="CZ46" s="120"/>
      <c r="DA46" s="241"/>
      <c r="DB46" s="241"/>
      <c r="DC46" s="121"/>
      <c r="DD46" s="241"/>
      <c r="DE46" s="120"/>
      <c r="DF46" s="121"/>
      <c r="DG46" s="121"/>
      <c r="DH46" s="121"/>
      <c r="DI46" s="121"/>
      <c r="DJ46" s="120"/>
      <c r="DK46" s="121"/>
      <c r="DL46" s="121"/>
      <c r="DM46" s="121"/>
      <c r="DN46" s="121"/>
      <c r="DO46" s="120"/>
      <c r="DP46" s="121"/>
      <c r="DQ46" s="241"/>
      <c r="DR46" s="241"/>
      <c r="DS46" s="241"/>
      <c r="DT46" s="285"/>
      <c r="DU46" s="241"/>
      <c r="DV46" s="241"/>
      <c r="DW46" s="241"/>
      <c r="DX46" s="241"/>
      <c r="DY46" s="285"/>
      <c r="DZ46" s="285"/>
      <c r="EA46" s="285"/>
      <c r="EB46" s="285"/>
    </row>
    <row r="47" spans="1:132" s="298" customFormat="1" ht="12" hidden="1" customHeight="1" outlineLevel="1">
      <c r="A47" s="241"/>
      <c r="B47" s="42" t="s">
        <v>205</v>
      </c>
      <c r="C47" s="43">
        <v>46</v>
      </c>
      <c r="D47" s="43">
        <v>54</v>
      </c>
      <c r="E47" s="43">
        <v>67</v>
      </c>
      <c r="F47" s="43">
        <v>45</v>
      </c>
      <c r="G47" s="43">
        <v>45</v>
      </c>
      <c r="H47" s="43">
        <v>29</v>
      </c>
      <c r="I47" s="43">
        <v>14</v>
      </c>
      <c r="J47" s="42">
        <v>4</v>
      </c>
      <c r="K47" s="42">
        <v>4</v>
      </c>
      <c r="L47" s="42">
        <v>3</v>
      </c>
      <c r="M47" s="42">
        <v>0</v>
      </c>
      <c r="N47" s="43">
        <f>+M47+L47+K47+J47</f>
        <v>11</v>
      </c>
      <c r="O47" s="42">
        <v>1</v>
      </c>
      <c r="P47" s="42">
        <v>1</v>
      </c>
      <c r="Q47" s="42">
        <v>0</v>
      </c>
      <c r="R47" s="42">
        <v>0</v>
      </c>
      <c r="S47" s="43">
        <f>+R47+Q47+P47+O47</f>
        <v>2</v>
      </c>
      <c r="T47" s="42"/>
      <c r="U47" s="42"/>
      <c r="V47" s="42"/>
      <c r="W47" s="42"/>
      <c r="X47" s="43"/>
      <c r="Y47" s="42"/>
      <c r="Z47" s="42"/>
      <c r="AA47" s="42"/>
      <c r="AB47" s="42"/>
      <c r="AC47" s="43"/>
      <c r="AD47" s="42"/>
      <c r="AE47" s="42"/>
      <c r="AF47" s="42"/>
      <c r="AG47" s="42"/>
      <c r="AH47" s="43"/>
      <c r="AI47" s="42"/>
      <c r="AJ47" s="42"/>
      <c r="AK47" s="42"/>
      <c r="AL47" s="42"/>
      <c r="AM47" s="43"/>
      <c r="AN47" s="42"/>
      <c r="AO47" s="432"/>
      <c r="AP47" s="432"/>
      <c r="AQ47" s="42"/>
      <c r="AR47" s="43"/>
      <c r="AS47" s="42"/>
      <c r="AT47" s="432"/>
      <c r="AU47" s="432"/>
      <c r="AV47" s="42"/>
      <c r="AW47" s="43"/>
      <c r="AX47" s="42"/>
      <c r="AY47" s="432"/>
      <c r="AZ47" s="432"/>
      <c r="BA47" s="42"/>
      <c r="BB47" s="43"/>
      <c r="BC47" s="42"/>
      <c r="BD47" s="432"/>
      <c r="BE47" s="432"/>
      <c r="BF47" s="42"/>
      <c r="BG47" s="43"/>
      <c r="BH47" s="42"/>
      <c r="BI47" s="42"/>
      <c r="BJ47" s="42"/>
      <c r="BK47" s="42"/>
      <c r="BL47" s="43"/>
      <c r="BM47" s="42"/>
      <c r="BN47" s="432"/>
      <c r="BO47" s="432"/>
      <c r="BP47" s="42"/>
      <c r="BQ47" s="43"/>
      <c r="BR47" s="432"/>
      <c r="BS47" s="42"/>
      <c r="BT47" s="432"/>
      <c r="BU47" s="42"/>
      <c r="BV47" s="43"/>
      <c r="BW47" s="432"/>
      <c r="BX47" s="42"/>
      <c r="BY47" s="432"/>
      <c r="BZ47" s="42"/>
      <c r="CA47" s="43"/>
      <c r="CB47" s="432"/>
      <c r="CC47" s="42"/>
      <c r="CD47" s="432"/>
      <c r="CE47" s="42"/>
      <c r="CF47" s="43"/>
      <c r="CG47" s="42"/>
      <c r="CH47" s="42"/>
      <c r="CI47" s="42"/>
      <c r="CJ47" s="42"/>
      <c r="CK47" s="43"/>
      <c r="CL47" s="42"/>
      <c r="CM47" s="42"/>
      <c r="CN47" s="42"/>
      <c r="CO47" s="42"/>
      <c r="CP47" s="43"/>
      <c r="CQ47" s="42"/>
      <c r="CR47" s="42"/>
      <c r="CS47" s="42"/>
      <c r="CT47" s="42"/>
      <c r="CU47" s="43"/>
      <c r="CV47" s="42"/>
      <c r="CW47" s="42"/>
      <c r="CX47" s="42"/>
      <c r="CY47" s="42"/>
      <c r="CZ47" s="43"/>
      <c r="DA47" s="42"/>
      <c r="DB47" s="42"/>
      <c r="DC47" s="42"/>
      <c r="DD47" s="42"/>
      <c r="DE47" s="43"/>
      <c r="DF47" s="42"/>
      <c r="DG47" s="42"/>
      <c r="DH47" s="42"/>
      <c r="DI47" s="42"/>
      <c r="DJ47" s="43"/>
      <c r="DK47" s="42"/>
      <c r="DL47" s="42"/>
      <c r="DM47" s="42"/>
      <c r="DN47" s="42"/>
      <c r="DO47" s="43"/>
      <c r="DP47" s="42"/>
      <c r="DQ47" s="42"/>
      <c r="DR47" s="42"/>
      <c r="DS47" s="42"/>
      <c r="DT47" s="43"/>
      <c r="DU47" s="42"/>
      <c r="DV47" s="42"/>
      <c r="DW47" s="42"/>
      <c r="DX47" s="42"/>
      <c r="DY47" s="43"/>
      <c r="DZ47" s="43"/>
      <c r="EA47" s="43"/>
      <c r="EB47" s="43"/>
    </row>
    <row r="48" spans="1:132" s="743" customFormat="1" ht="12" hidden="1" customHeight="1" outlineLevel="1">
      <c r="A48" s="813"/>
      <c r="B48" s="929" t="s">
        <v>620</v>
      </c>
      <c r="C48" s="952">
        <f>C47/11.5</f>
        <v>4</v>
      </c>
      <c r="D48" s="952">
        <f t="shared" ref="D48" si="152">D47/11.5</f>
        <v>4.6956521739130439</v>
      </c>
      <c r="E48" s="952">
        <f t="shared" ref="E48" si="153">E47/11.5</f>
        <v>5.8260869565217392</v>
      </c>
      <c r="F48" s="952">
        <f t="shared" ref="F48" si="154">F47/11.5</f>
        <v>3.9130434782608696</v>
      </c>
      <c r="G48" s="952">
        <f t="shared" ref="G48" si="155">G47/11.5</f>
        <v>3.9130434782608696</v>
      </c>
      <c r="H48" s="952">
        <f t="shared" ref="H48" si="156">H47/11.5</f>
        <v>2.5217391304347827</v>
      </c>
      <c r="I48" s="952">
        <f t="shared" ref="I48" si="157">I47/11.5</f>
        <v>1.2173913043478262</v>
      </c>
      <c r="J48" s="813"/>
      <c r="K48" s="813"/>
      <c r="L48" s="813"/>
      <c r="M48" s="813"/>
      <c r="N48" s="952">
        <f t="shared" ref="N48" si="158">N47/11.5</f>
        <v>0.95652173913043481</v>
      </c>
      <c r="O48" s="813"/>
      <c r="P48" s="813"/>
      <c r="Q48" s="813"/>
      <c r="R48" s="813"/>
      <c r="S48" s="952">
        <f t="shared" ref="S48" si="159">S47/11.5</f>
        <v>0.17391304347826086</v>
      </c>
      <c r="T48" s="813"/>
      <c r="U48" s="813"/>
      <c r="V48" s="813"/>
      <c r="W48" s="813"/>
      <c r="X48" s="952"/>
      <c r="Y48" s="813"/>
      <c r="Z48" s="813"/>
      <c r="AA48" s="813"/>
      <c r="AB48" s="813"/>
      <c r="AC48" s="952"/>
      <c r="AD48" s="813"/>
      <c r="AE48" s="813"/>
      <c r="AF48" s="813"/>
      <c r="AG48" s="813"/>
      <c r="AH48" s="952"/>
      <c r="AI48" s="813"/>
      <c r="AJ48" s="813"/>
      <c r="AK48" s="813"/>
      <c r="AL48" s="813"/>
      <c r="AM48" s="952"/>
      <c r="AN48" s="813"/>
      <c r="AO48" s="953"/>
      <c r="AP48" s="953"/>
      <c r="AQ48" s="929"/>
      <c r="AR48" s="952"/>
      <c r="AS48" s="813"/>
      <c r="AT48" s="953"/>
      <c r="AU48" s="953"/>
      <c r="AV48" s="929"/>
      <c r="AW48" s="952"/>
      <c r="AX48" s="813"/>
      <c r="AY48" s="953"/>
      <c r="AZ48" s="953"/>
      <c r="BA48" s="929"/>
      <c r="BB48" s="952"/>
      <c r="BC48" s="813"/>
      <c r="BD48" s="953"/>
      <c r="BE48" s="953"/>
      <c r="BF48" s="813"/>
      <c r="BG48" s="952"/>
      <c r="BH48" s="813"/>
      <c r="BI48" s="813"/>
      <c r="BJ48" s="813"/>
      <c r="BK48" s="813"/>
      <c r="BL48" s="952"/>
      <c r="BM48" s="813"/>
      <c r="BN48" s="813"/>
      <c r="BO48" s="813"/>
      <c r="BP48" s="813"/>
      <c r="BQ48" s="952"/>
      <c r="BR48" s="813"/>
      <c r="BS48" s="813"/>
      <c r="BT48" s="813"/>
      <c r="BU48" s="813"/>
      <c r="BV48" s="952"/>
      <c r="BW48" s="813"/>
      <c r="BX48" s="813"/>
      <c r="BY48" s="813"/>
      <c r="BZ48" s="813"/>
      <c r="CA48" s="952"/>
      <c r="CB48" s="813"/>
      <c r="CC48" s="813"/>
      <c r="CD48" s="813"/>
      <c r="CE48" s="929"/>
      <c r="CF48" s="952"/>
      <c r="CG48" s="929"/>
      <c r="CH48" s="813"/>
      <c r="CI48" s="813"/>
      <c r="CJ48" s="929"/>
      <c r="CK48" s="952"/>
      <c r="CL48" s="929"/>
      <c r="CM48" s="929"/>
      <c r="CN48" s="813"/>
      <c r="CO48" s="813"/>
      <c r="CP48" s="952"/>
      <c r="CQ48" s="929"/>
      <c r="CR48" s="929"/>
      <c r="CS48" s="929"/>
      <c r="CT48" s="929"/>
      <c r="CU48" s="952"/>
      <c r="CV48" s="929"/>
      <c r="CW48" s="929"/>
      <c r="CX48" s="929"/>
      <c r="CY48" s="929"/>
      <c r="CZ48" s="952"/>
      <c r="DA48" s="813"/>
      <c r="DB48" s="813"/>
      <c r="DC48" s="929"/>
      <c r="DD48" s="813"/>
      <c r="DE48" s="952"/>
      <c r="DF48" s="929"/>
      <c r="DG48" s="929"/>
      <c r="DH48" s="929"/>
      <c r="DI48" s="929"/>
      <c r="DJ48" s="1023"/>
      <c r="DK48" s="929"/>
      <c r="DL48" s="929"/>
      <c r="DM48" s="929"/>
      <c r="DN48" s="929"/>
      <c r="DO48" s="1023"/>
      <c r="DP48" s="929"/>
      <c r="DQ48" s="813"/>
      <c r="DR48" s="813"/>
      <c r="DS48" s="813"/>
      <c r="DT48" s="952"/>
      <c r="DU48" s="813"/>
      <c r="DV48" s="813"/>
      <c r="DW48" s="813"/>
      <c r="DX48" s="813"/>
      <c r="DY48" s="952"/>
      <c r="DZ48" s="952"/>
      <c r="EA48" s="952"/>
      <c r="EB48" s="952"/>
    </row>
    <row r="49" spans="1:132" s="298" customFormat="1" ht="12" hidden="1" customHeight="1" outlineLevel="1">
      <c r="A49" s="241"/>
      <c r="B49" s="241" t="s">
        <v>190</v>
      </c>
      <c r="C49" s="411">
        <v>48</v>
      </c>
      <c r="D49" s="411">
        <v>50</v>
      </c>
      <c r="E49" s="411">
        <v>54</v>
      </c>
      <c r="F49" s="411">
        <v>54</v>
      </c>
      <c r="G49" s="411">
        <v>56</v>
      </c>
      <c r="H49" s="411">
        <v>60</v>
      </c>
      <c r="I49" s="411">
        <v>60</v>
      </c>
      <c r="J49" s="304">
        <v>60</v>
      </c>
      <c r="K49" s="304">
        <v>60</v>
      </c>
      <c r="L49" s="304">
        <v>60</v>
      </c>
      <c r="M49" s="304">
        <v>60</v>
      </c>
      <c r="N49" s="411">
        <f>N50/N47</f>
        <v>60</v>
      </c>
      <c r="O49" s="304">
        <v>60</v>
      </c>
      <c r="P49" s="304">
        <v>60</v>
      </c>
      <c r="Q49" s="304">
        <v>60</v>
      </c>
      <c r="R49" s="304">
        <v>60</v>
      </c>
      <c r="S49" s="189">
        <f>S50/S47</f>
        <v>60</v>
      </c>
      <c r="T49" s="304"/>
      <c r="U49" s="304"/>
      <c r="V49" s="304"/>
      <c r="W49" s="304"/>
      <c r="X49" s="411"/>
      <c r="Y49" s="304"/>
      <c r="Z49" s="304"/>
      <c r="AA49" s="304"/>
      <c r="AB49" s="304"/>
      <c r="AC49" s="411"/>
      <c r="AD49" s="304"/>
      <c r="AE49" s="304"/>
      <c r="AF49" s="304"/>
      <c r="AG49" s="304"/>
      <c r="AH49" s="411"/>
      <c r="AI49" s="304"/>
      <c r="AJ49" s="304"/>
      <c r="AK49" s="304"/>
      <c r="AL49" s="304"/>
      <c r="AM49" s="411"/>
      <c r="AN49" s="304"/>
      <c r="AO49" s="470"/>
      <c r="AP49" s="470"/>
      <c r="AQ49" s="537"/>
      <c r="AR49" s="411"/>
      <c r="AS49" s="304"/>
      <c r="AT49" s="470"/>
      <c r="AU49" s="470"/>
      <c r="AV49" s="537"/>
      <c r="AW49" s="411"/>
      <c r="AX49" s="304"/>
      <c r="AY49" s="470"/>
      <c r="AZ49" s="470"/>
      <c r="BA49" s="537"/>
      <c r="BB49" s="412"/>
      <c r="BC49" s="304"/>
      <c r="BD49" s="470"/>
      <c r="BE49" s="470"/>
      <c r="BF49" s="410"/>
      <c r="BG49" s="412"/>
      <c r="BH49" s="304"/>
      <c r="BI49" s="304"/>
      <c r="BJ49" s="304"/>
      <c r="BK49" s="410"/>
      <c r="BL49" s="566"/>
      <c r="BM49" s="537"/>
      <c r="BN49" s="470"/>
      <c r="BO49" s="435"/>
      <c r="BP49" s="410"/>
      <c r="BQ49" s="412"/>
      <c r="BR49" s="470"/>
      <c r="BS49" s="410"/>
      <c r="BT49" s="435"/>
      <c r="BU49" s="537"/>
      <c r="BV49" s="412"/>
      <c r="BW49" s="470"/>
      <c r="BX49" s="537"/>
      <c r="BY49" s="470"/>
      <c r="BZ49" s="537"/>
      <c r="CA49" s="412"/>
      <c r="CB49" s="470"/>
      <c r="CC49" s="537"/>
      <c r="CD49" s="470"/>
      <c r="CE49" s="537"/>
      <c r="CF49" s="412"/>
      <c r="CG49" s="537"/>
      <c r="CH49" s="410"/>
      <c r="CI49" s="410"/>
      <c r="CJ49" s="537"/>
      <c r="CK49" s="566"/>
      <c r="CL49" s="537"/>
      <c r="CM49" s="537"/>
      <c r="CN49" s="410"/>
      <c r="CO49" s="410"/>
      <c r="CP49" s="566"/>
      <c r="CQ49" s="537"/>
      <c r="CR49" s="537"/>
      <c r="CS49" s="537"/>
      <c r="CT49" s="537"/>
      <c r="CU49" s="566"/>
      <c r="CV49" s="537"/>
      <c r="CW49" s="537"/>
      <c r="CX49" s="537"/>
      <c r="CY49" s="537"/>
      <c r="CZ49" s="566"/>
      <c r="DA49" s="410"/>
      <c r="DB49" s="410"/>
      <c r="DC49" s="537"/>
      <c r="DD49" s="410"/>
      <c r="DE49" s="566"/>
      <c r="DF49" s="537"/>
      <c r="DG49" s="537"/>
      <c r="DH49" s="537"/>
      <c r="DI49" s="537"/>
      <c r="DJ49" s="566"/>
      <c r="DK49" s="537"/>
      <c r="DL49" s="537"/>
      <c r="DM49" s="537"/>
      <c r="DN49" s="537"/>
      <c r="DO49" s="566"/>
      <c r="DP49" s="537"/>
      <c r="DQ49" s="410"/>
      <c r="DR49" s="410"/>
      <c r="DS49" s="410"/>
      <c r="DT49" s="412"/>
      <c r="DU49" s="410"/>
      <c r="DV49" s="410"/>
      <c r="DW49" s="410"/>
      <c r="DX49" s="410"/>
      <c r="DY49" s="412"/>
      <c r="DZ49" s="412"/>
      <c r="EA49" s="412"/>
      <c r="EB49" s="412"/>
    </row>
    <row r="50" spans="1:132" s="298" customFormat="1" ht="12" hidden="1" customHeight="1" outlineLevel="1">
      <c r="A50" s="241"/>
      <c r="B50" s="241" t="s">
        <v>191</v>
      </c>
      <c r="C50" s="285">
        <f t="shared" ref="C50:M50" si="160">C49*C47</f>
        <v>2208</v>
      </c>
      <c r="D50" s="285">
        <f t="shared" si="160"/>
        <v>2700</v>
      </c>
      <c r="E50" s="285">
        <f t="shared" si="160"/>
        <v>3618</v>
      </c>
      <c r="F50" s="285">
        <f t="shared" si="160"/>
        <v>2430</v>
      </c>
      <c r="G50" s="285">
        <f t="shared" si="160"/>
        <v>2520</v>
      </c>
      <c r="H50" s="285">
        <f t="shared" si="160"/>
        <v>1740</v>
      </c>
      <c r="I50" s="285">
        <f t="shared" si="160"/>
        <v>840</v>
      </c>
      <c r="J50" s="241">
        <f t="shared" si="160"/>
        <v>240</v>
      </c>
      <c r="K50" s="241">
        <f t="shared" si="160"/>
        <v>240</v>
      </c>
      <c r="L50" s="241">
        <f t="shared" si="160"/>
        <v>180</v>
      </c>
      <c r="M50" s="241">
        <f t="shared" si="160"/>
        <v>0</v>
      </c>
      <c r="N50" s="285">
        <f>SUM(J50:M50)</f>
        <v>660</v>
      </c>
      <c r="O50" s="241">
        <f>O49*O47</f>
        <v>60</v>
      </c>
      <c r="P50" s="241">
        <f>P49*P47</f>
        <v>60</v>
      </c>
      <c r="Q50" s="241">
        <f>Q49*Q47</f>
        <v>0</v>
      </c>
      <c r="R50" s="241">
        <f>R49*R47</f>
        <v>0</v>
      </c>
      <c r="S50" s="285">
        <f>SUM(O50:R50)</f>
        <v>120</v>
      </c>
      <c r="T50" s="241"/>
      <c r="U50" s="241"/>
      <c r="V50" s="241"/>
      <c r="W50" s="241"/>
      <c r="X50" s="285"/>
      <c r="Y50" s="241"/>
      <c r="Z50" s="241"/>
      <c r="AA50" s="241"/>
      <c r="AB50" s="241"/>
      <c r="AC50" s="285"/>
      <c r="AD50" s="241"/>
      <c r="AE50" s="241"/>
      <c r="AF50" s="241"/>
      <c r="AG50" s="241"/>
      <c r="AH50" s="285"/>
      <c r="AI50" s="241"/>
      <c r="AJ50" s="241"/>
      <c r="AK50" s="241"/>
      <c r="AL50" s="241"/>
      <c r="AM50" s="285"/>
      <c r="AN50" s="241"/>
      <c r="AO50" s="437"/>
      <c r="AP50" s="437"/>
      <c r="AQ50" s="121"/>
      <c r="AR50" s="285"/>
      <c r="AS50" s="241"/>
      <c r="AT50" s="437"/>
      <c r="AU50" s="437"/>
      <c r="AV50" s="121"/>
      <c r="AW50" s="285"/>
      <c r="AX50" s="241"/>
      <c r="AY50" s="437"/>
      <c r="AZ50" s="437"/>
      <c r="BA50" s="121"/>
      <c r="BB50" s="285"/>
      <c r="BC50" s="241"/>
      <c r="BD50" s="437"/>
      <c r="BE50" s="437"/>
      <c r="BF50" s="241"/>
      <c r="BG50" s="285"/>
      <c r="BH50" s="241"/>
      <c r="BI50" s="241"/>
      <c r="BJ50" s="241"/>
      <c r="BK50" s="241"/>
      <c r="BL50" s="120"/>
      <c r="BM50" s="121"/>
      <c r="BN50" s="437"/>
      <c r="BO50" s="300"/>
      <c r="BP50" s="241"/>
      <c r="BQ50" s="285"/>
      <c r="BR50" s="437"/>
      <c r="BS50" s="241"/>
      <c r="BT50" s="300"/>
      <c r="BU50" s="121"/>
      <c r="BV50" s="285"/>
      <c r="BW50" s="437"/>
      <c r="BX50" s="121"/>
      <c r="BY50" s="437"/>
      <c r="BZ50" s="121"/>
      <c r="CA50" s="285"/>
      <c r="CB50" s="437"/>
      <c r="CC50" s="121"/>
      <c r="CD50" s="437"/>
      <c r="CE50" s="121"/>
      <c r="CF50" s="285"/>
      <c r="CG50" s="121"/>
      <c r="CH50" s="241"/>
      <c r="CI50" s="241"/>
      <c r="CJ50" s="121"/>
      <c r="CK50" s="120"/>
      <c r="CL50" s="121"/>
      <c r="CM50" s="121"/>
      <c r="CN50" s="241"/>
      <c r="CO50" s="241"/>
      <c r="CP50" s="120"/>
      <c r="CQ50" s="121"/>
      <c r="CR50" s="121"/>
      <c r="CS50" s="121"/>
      <c r="CT50" s="121"/>
      <c r="CU50" s="120"/>
      <c r="CV50" s="121"/>
      <c r="CW50" s="121"/>
      <c r="CX50" s="121"/>
      <c r="CY50" s="121"/>
      <c r="CZ50" s="120"/>
      <c r="DA50" s="241"/>
      <c r="DB50" s="241"/>
      <c r="DC50" s="121"/>
      <c r="DD50" s="241"/>
      <c r="DE50" s="120"/>
      <c r="DF50" s="121"/>
      <c r="DG50" s="121"/>
      <c r="DH50" s="121"/>
      <c r="DI50" s="121"/>
      <c r="DJ50" s="120"/>
      <c r="DK50" s="121"/>
      <c r="DL50" s="121"/>
      <c r="DM50" s="121"/>
      <c r="DN50" s="121"/>
      <c r="DO50" s="120"/>
      <c r="DP50" s="121"/>
      <c r="DQ50" s="241"/>
      <c r="DR50" s="241"/>
      <c r="DS50" s="241"/>
      <c r="DT50" s="285"/>
      <c r="DU50" s="241"/>
      <c r="DV50" s="241"/>
      <c r="DW50" s="241"/>
      <c r="DX50" s="241"/>
      <c r="DY50" s="285"/>
      <c r="DZ50" s="285"/>
      <c r="EA50" s="285"/>
      <c r="EB50" s="285"/>
    </row>
    <row r="51" spans="1:132" s="31" customFormat="1" ht="12" customHeight="1" collapsed="1">
      <c r="A51" s="74"/>
      <c r="B51" s="74"/>
      <c r="C51" s="930"/>
      <c r="D51" s="930"/>
      <c r="E51" s="930"/>
      <c r="F51" s="930"/>
      <c r="G51" s="930"/>
      <c r="H51" s="930"/>
      <c r="I51" s="930"/>
      <c r="J51" s="931"/>
      <c r="K51" s="931"/>
      <c r="L51" s="931"/>
      <c r="M51" s="931"/>
      <c r="N51" s="930"/>
      <c r="O51" s="931"/>
      <c r="P51" s="931"/>
      <c r="Q51" s="931"/>
      <c r="R51" s="931"/>
      <c r="S51" s="930"/>
      <c r="T51" s="931"/>
      <c r="U51" s="931"/>
      <c r="V51" s="931"/>
      <c r="W51" s="931"/>
      <c r="X51" s="930"/>
      <c r="Y51" s="931"/>
      <c r="Z51" s="931"/>
      <c r="AA51" s="931"/>
      <c r="AB51" s="931"/>
      <c r="AC51" s="930"/>
      <c r="AD51" s="931"/>
      <c r="AE51" s="931"/>
      <c r="AF51" s="931"/>
      <c r="AG51" s="931"/>
      <c r="AH51" s="930"/>
      <c r="AI51" s="931"/>
      <c r="AJ51" s="931"/>
      <c r="AK51" s="931"/>
      <c r="AL51" s="931"/>
      <c r="AM51" s="930"/>
      <c r="AN51" s="931"/>
      <c r="AO51" s="932"/>
      <c r="AP51" s="932"/>
      <c r="AQ51" s="931"/>
      <c r="AR51" s="930"/>
      <c r="AS51" s="931"/>
      <c r="AT51" s="932"/>
      <c r="AU51" s="932"/>
      <c r="AV51" s="931"/>
      <c r="AW51" s="930"/>
      <c r="AX51" s="931"/>
      <c r="AY51" s="932"/>
      <c r="AZ51" s="932"/>
      <c r="BA51" s="931"/>
      <c r="BB51" s="930"/>
      <c r="BC51" s="931"/>
      <c r="BD51" s="932"/>
      <c r="BE51" s="932"/>
      <c r="BF51" s="931"/>
      <c r="BG51" s="930"/>
      <c r="BH51" s="931"/>
      <c r="BI51" s="932"/>
      <c r="BJ51" s="932"/>
      <c r="BK51" s="931"/>
      <c r="BL51" s="930"/>
      <c r="BM51" s="931"/>
      <c r="BN51" s="932"/>
      <c r="BO51" s="932"/>
      <c r="BP51" s="931"/>
      <c r="BQ51" s="930"/>
      <c r="BR51" s="932"/>
      <c r="BS51" s="931"/>
      <c r="BT51" s="932"/>
      <c r="BU51" s="931"/>
      <c r="BV51" s="930"/>
      <c r="BW51" s="932"/>
      <c r="BX51" s="931"/>
      <c r="BY51" s="932"/>
      <c r="BZ51" s="931"/>
      <c r="CA51" s="930"/>
      <c r="CB51" s="932"/>
      <c r="CC51" s="931"/>
      <c r="CD51" s="932"/>
      <c r="CE51" s="931"/>
      <c r="CF51" s="930"/>
      <c r="CG51" s="931"/>
      <c r="CH51" s="931"/>
      <c r="CI51" s="931"/>
      <c r="CJ51" s="931"/>
      <c r="CK51" s="930"/>
      <c r="CL51" s="931"/>
      <c r="CM51" s="931"/>
      <c r="CN51" s="931"/>
      <c r="CO51" s="931"/>
      <c r="CP51" s="930"/>
      <c r="CQ51" s="931"/>
      <c r="CR51" s="931"/>
      <c r="CS51" s="931"/>
      <c r="CT51" s="931"/>
      <c r="CU51" s="930"/>
      <c r="CV51" s="931"/>
      <c r="CW51" s="931"/>
      <c r="CX51" s="931"/>
      <c r="CY51" s="931"/>
      <c r="CZ51" s="930"/>
      <c r="DA51" s="931"/>
      <c r="DB51" s="931"/>
      <c r="DC51" s="931"/>
      <c r="DD51" s="931"/>
      <c r="DE51" s="930"/>
      <c r="DF51" s="931"/>
      <c r="DG51" s="931"/>
      <c r="DH51" s="931"/>
      <c r="DI51" s="931"/>
      <c r="DJ51" s="930"/>
      <c r="DK51" s="931"/>
      <c r="DL51" s="931"/>
      <c r="DM51" s="931"/>
      <c r="DN51" s="931"/>
      <c r="DO51" s="930"/>
      <c r="DP51" s="931"/>
      <c r="DQ51" s="931"/>
      <c r="DR51" s="931"/>
      <c r="DS51" s="931"/>
      <c r="DT51" s="930"/>
      <c r="DU51" s="931"/>
      <c r="DV51" s="931"/>
      <c r="DW51" s="931"/>
      <c r="DX51" s="931"/>
      <c r="DY51" s="930"/>
      <c r="DZ51" s="930"/>
      <c r="EA51" s="930"/>
      <c r="EB51" s="930"/>
    </row>
    <row r="52" spans="1:132" s="298" customFormat="1">
      <c r="A52" s="241"/>
      <c r="B52" s="42" t="s">
        <v>613</v>
      </c>
      <c r="C52" s="43">
        <v>41</v>
      </c>
      <c r="D52" s="43">
        <v>47</v>
      </c>
      <c r="E52" s="43">
        <v>44</v>
      </c>
      <c r="F52" s="43">
        <v>44</v>
      </c>
      <c r="G52" s="43">
        <v>40</v>
      </c>
      <c r="H52" s="43">
        <v>35</v>
      </c>
      <c r="I52" s="43">
        <v>24</v>
      </c>
      <c r="J52" s="42">
        <v>1</v>
      </c>
      <c r="K52" s="42">
        <v>3</v>
      </c>
      <c r="L52" s="42">
        <v>2</v>
      </c>
      <c r="M52" s="42">
        <v>3</v>
      </c>
      <c r="N52" s="43">
        <f>+M52+L52+K52+J52</f>
        <v>9</v>
      </c>
      <c r="O52" s="42">
        <v>1</v>
      </c>
      <c r="P52" s="42">
        <v>4</v>
      </c>
      <c r="Q52" s="42">
        <f>2+3*0</f>
        <v>2</v>
      </c>
      <c r="R52" s="42">
        <v>3</v>
      </c>
      <c r="S52" s="43">
        <f>+R52+Q52+P52+O52</f>
        <v>10</v>
      </c>
      <c r="T52" s="42">
        <v>3</v>
      </c>
      <c r="U52" s="42">
        <v>3</v>
      </c>
      <c r="V52" s="42">
        <v>3</v>
      </c>
      <c r="W52" s="42">
        <v>3</v>
      </c>
      <c r="X52" s="43">
        <v>12</v>
      </c>
      <c r="Y52" s="42">
        <v>3</v>
      </c>
      <c r="Z52" s="42">
        <v>3</v>
      </c>
      <c r="AA52" s="42">
        <v>3</v>
      </c>
      <c r="AB52" s="42">
        <v>3</v>
      </c>
      <c r="AC52" s="43">
        <f>SUM(Y52:AB52)</f>
        <v>12</v>
      </c>
      <c r="AD52" s="42">
        <v>3</v>
      </c>
      <c r="AE52" s="42">
        <v>3</v>
      </c>
      <c r="AF52" s="42">
        <v>2</v>
      </c>
      <c r="AG52" s="42">
        <v>2</v>
      </c>
      <c r="AH52" s="43">
        <f>SUM(AD52:AG52)</f>
        <v>10</v>
      </c>
      <c r="AI52" s="42">
        <v>3</v>
      </c>
      <c r="AJ52" s="42">
        <v>3</v>
      </c>
      <c r="AK52" s="42">
        <v>4</v>
      </c>
      <c r="AL52" s="42">
        <v>3</v>
      </c>
      <c r="AM52" s="43">
        <f>SUM(AI52:AL52)</f>
        <v>13</v>
      </c>
      <c r="AN52" s="42">
        <v>3</v>
      </c>
      <c r="AO52" s="432">
        <v>3</v>
      </c>
      <c r="AP52" s="432">
        <v>3</v>
      </c>
      <c r="AQ52" s="42">
        <v>3</v>
      </c>
      <c r="AR52" s="43">
        <f>SUM(AN52:AQ52)</f>
        <v>12</v>
      </c>
      <c r="AS52" s="42">
        <v>4</v>
      </c>
      <c r="AT52" s="432">
        <v>5</v>
      </c>
      <c r="AU52" s="432">
        <v>5</v>
      </c>
      <c r="AV52" s="42">
        <v>6</v>
      </c>
      <c r="AW52" s="43">
        <f>SUM(AS52:AV52)</f>
        <v>20</v>
      </c>
      <c r="AX52" s="42">
        <v>7</v>
      </c>
      <c r="AY52" s="432">
        <v>6</v>
      </c>
      <c r="AZ52" s="432">
        <v>7</v>
      </c>
      <c r="BA52" s="42">
        <v>6</v>
      </c>
      <c r="BB52" s="43">
        <f>SUM(AX52:BA52)</f>
        <v>26</v>
      </c>
      <c r="BC52" s="42">
        <v>4</v>
      </c>
      <c r="BD52" s="432">
        <v>8</v>
      </c>
      <c r="BE52" s="432">
        <v>5</v>
      </c>
      <c r="BF52" s="42">
        <v>4</v>
      </c>
      <c r="BG52" s="43">
        <f>SUM(BC52:BF52)</f>
        <v>21</v>
      </c>
      <c r="BH52" s="42">
        <v>0</v>
      </c>
      <c r="BI52" s="42">
        <v>1</v>
      </c>
      <c r="BJ52" s="42">
        <v>2</v>
      </c>
      <c r="BK52" s="42">
        <v>3</v>
      </c>
      <c r="BL52" s="43">
        <f>SUM(BH52:BK52)</f>
        <v>6</v>
      </c>
      <c r="BM52" s="432">
        <v>5</v>
      </c>
      <c r="BN52" s="42">
        <v>4</v>
      </c>
      <c r="BO52" s="42">
        <v>5</v>
      </c>
      <c r="BP52" s="42">
        <v>2</v>
      </c>
      <c r="BQ52" s="43">
        <f>SUM(BM52:BP52)</f>
        <v>16</v>
      </c>
      <c r="BR52" s="432">
        <v>1</v>
      </c>
      <c r="BS52" s="42">
        <v>4</v>
      </c>
      <c r="BT52" s="432">
        <v>5</v>
      </c>
      <c r="BU52" s="42">
        <v>3</v>
      </c>
      <c r="BV52" s="43">
        <f>SUM(BR52:BU52)</f>
        <v>13</v>
      </c>
      <c r="BW52" s="432">
        <v>2</v>
      </c>
      <c r="BX52" s="432">
        <v>3</v>
      </c>
      <c r="BY52" s="432">
        <v>2</v>
      </c>
      <c r="BZ52" s="42">
        <v>3</v>
      </c>
      <c r="CA52" s="43">
        <f>SUM(BW52:BZ52)</f>
        <v>10</v>
      </c>
      <c r="CB52" s="432">
        <v>4</v>
      </c>
      <c r="CC52" s="432">
        <v>5</v>
      </c>
      <c r="CD52" s="432">
        <v>4</v>
      </c>
      <c r="CE52" s="42">
        <v>14</v>
      </c>
      <c r="CF52" s="43">
        <f>SUM(CB52:CE52)</f>
        <v>27</v>
      </c>
      <c r="CG52" s="42">
        <v>12</v>
      </c>
      <c r="CH52" s="42">
        <v>10</v>
      </c>
      <c r="CI52" s="42">
        <v>10</v>
      </c>
      <c r="CJ52" s="42">
        <v>11</v>
      </c>
      <c r="CK52" s="43">
        <f>SUM(CG52:CJ52)</f>
        <v>43</v>
      </c>
      <c r="CL52" s="42">
        <v>10</v>
      </c>
      <c r="CM52" s="42">
        <v>4</v>
      </c>
      <c r="CN52" s="42">
        <v>6</v>
      </c>
      <c r="CO52" s="42">
        <v>10</v>
      </c>
      <c r="CP52" s="43">
        <f>SUM(CL52:CO52)</f>
        <v>30</v>
      </c>
      <c r="CQ52" s="42">
        <v>5</v>
      </c>
      <c r="CR52" s="42">
        <v>8</v>
      </c>
      <c r="CS52" s="42">
        <v>11</v>
      </c>
      <c r="CT52" s="42">
        <v>8</v>
      </c>
      <c r="CU52" s="43">
        <f>SUM(CQ52:CT52)</f>
        <v>32</v>
      </c>
      <c r="CV52" s="42">
        <v>5</v>
      </c>
      <c r="CW52" s="42">
        <v>7</v>
      </c>
      <c r="CX52" s="42">
        <v>9</v>
      </c>
      <c r="CY52" s="42">
        <v>12</v>
      </c>
      <c r="CZ52" s="43">
        <f>SUM(CV52:CY52)</f>
        <v>33</v>
      </c>
      <c r="DA52" s="42">
        <v>1</v>
      </c>
      <c r="DB52" s="42">
        <v>8</v>
      </c>
      <c r="DC52" s="42">
        <v>8</v>
      </c>
      <c r="DD52" s="42">
        <v>15</v>
      </c>
      <c r="DE52" s="43">
        <f>SUM(DA52:DD52)</f>
        <v>32</v>
      </c>
      <c r="DF52" s="42">
        <v>3</v>
      </c>
      <c r="DG52" s="42">
        <v>6</v>
      </c>
      <c r="DH52" s="42">
        <v>6</v>
      </c>
      <c r="DI52" s="42">
        <v>3</v>
      </c>
      <c r="DJ52" s="43">
        <f>SUM(DF52:DI52)</f>
        <v>18</v>
      </c>
      <c r="DK52" s="42">
        <v>5</v>
      </c>
      <c r="DL52" s="42">
        <v>9</v>
      </c>
      <c r="DM52" s="42">
        <v>6</v>
      </c>
      <c r="DN52" s="42">
        <v>10</v>
      </c>
      <c r="DO52" s="43">
        <f>SUM(DK52:DN52)</f>
        <v>30</v>
      </c>
      <c r="DP52" s="42">
        <v>6</v>
      </c>
      <c r="DQ52" s="37">
        <v>10</v>
      </c>
      <c r="DR52" s="37">
        <v>5</v>
      </c>
      <c r="DS52" s="37">
        <v>7</v>
      </c>
      <c r="DT52" s="43">
        <f>SUM(DP52:DS52)</f>
        <v>28</v>
      </c>
      <c r="DU52" s="37">
        <v>5</v>
      </c>
      <c r="DV52" s="37">
        <v>6</v>
      </c>
      <c r="DW52" s="37">
        <v>7</v>
      </c>
      <c r="DX52" s="37">
        <v>9</v>
      </c>
      <c r="DY52" s="43">
        <f>SUM(DU52:DX52)</f>
        <v>27</v>
      </c>
      <c r="DZ52" s="36">
        <v>28</v>
      </c>
      <c r="EA52" s="36">
        <v>30</v>
      </c>
      <c r="EB52" s="36">
        <v>30</v>
      </c>
    </row>
    <row r="53" spans="1:132" s="743" customFormat="1">
      <c r="A53" s="813"/>
      <c r="B53" s="929" t="s">
        <v>620</v>
      </c>
      <c r="C53" s="952">
        <f>C52/11.5</f>
        <v>3.5652173913043477</v>
      </c>
      <c r="D53" s="952">
        <f t="shared" ref="D53" si="161">D52/11.5</f>
        <v>4.0869565217391308</v>
      </c>
      <c r="E53" s="952">
        <f t="shared" ref="E53" si="162">E52/11.5</f>
        <v>3.8260869565217392</v>
      </c>
      <c r="F53" s="952">
        <f t="shared" ref="F53" si="163">F52/11.5</f>
        <v>3.8260869565217392</v>
      </c>
      <c r="G53" s="952">
        <f t="shared" ref="G53" si="164">G52/11.5</f>
        <v>3.4782608695652173</v>
      </c>
      <c r="H53" s="952">
        <f t="shared" ref="H53" si="165">H52/11.5</f>
        <v>3.0434782608695654</v>
      </c>
      <c r="I53" s="952">
        <f t="shared" ref="I53" si="166">I52/11.5</f>
        <v>2.0869565217391304</v>
      </c>
      <c r="J53" s="813"/>
      <c r="K53" s="813"/>
      <c r="L53" s="813"/>
      <c r="M53" s="813"/>
      <c r="N53" s="952">
        <f t="shared" ref="N53" si="167">N52/11.5</f>
        <v>0.78260869565217395</v>
      </c>
      <c r="O53" s="813"/>
      <c r="P53" s="813"/>
      <c r="Q53" s="813"/>
      <c r="R53" s="813"/>
      <c r="S53" s="952">
        <f t="shared" ref="S53" si="168">S52/11.5</f>
        <v>0.86956521739130432</v>
      </c>
      <c r="T53" s="813"/>
      <c r="U53" s="813"/>
      <c r="V53" s="813"/>
      <c r="W53" s="813"/>
      <c r="X53" s="952">
        <f t="shared" ref="X53" si="169">X52/11.5</f>
        <v>1.0434782608695652</v>
      </c>
      <c r="Y53" s="813"/>
      <c r="Z53" s="813"/>
      <c r="AA53" s="813"/>
      <c r="AB53" s="813"/>
      <c r="AC53" s="952">
        <f t="shared" ref="AC53" si="170">AC52/11.5</f>
        <v>1.0434782608695652</v>
      </c>
      <c r="AD53" s="813"/>
      <c r="AE53" s="813"/>
      <c r="AF53" s="813"/>
      <c r="AG53" s="813"/>
      <c r="AH53" s="952">
        <f t="shared" ref="AH53" si="171">AH52/11.5</f>
        <v>0.86956521739130432</v>
      </c>
      <c r="AI53" s="813"/>
      <c r="AJ53" s="813"/>
      <c r="AK53" s="813"/>
      <c r="AL53" s="813"/>
      <c r="AM53" s="952">
        <f t="shared" ref="AM53" si="172">AM52/11.5</f>
        <v>1.1304347826086956</v>
      </c>
      <c r="AN53" s="813"/>
      <c r="AO53" s="953"/>
      <c r="AP53" s="953"/>
      <c r="AQ53" s="929"/>
      <c r="AR53" s="952">
        <f t="shared" ref="AR53" si="173">AR52/11.5</f>
        <v>1.0434782608695652</v>
      </c>
      <c r="AS53" s="813"/>
      <c r="AT53" s="953"/>
      <c r="AU53" s="953"/>
      <c r="AV53" s="929"/>
      <c r="AW53" s="952">
        <f t="shared" ref="AW53" si="174">AW52/11.5</f>
        <v>1.7391304347826086</v>
      </c>
      <c r="AX53" s="813"/>
      <c r="AY53" s="953"/>
      <c r="AZ53" s="953"/>
      <c r="BA53" s="929"/>
      <c r="BB53" s="952">
        <f t="shared" ref="BB53" si="175">BB52/11.5</f>
        <v>2.2608695652173911</v>
      </c>
      <c r="BC53" s="813"/>
      <c r="BD53" s="953"/>
      <c r="BE53" s="953"/>
      <c r="BF53" s="813"/>
      <c r="BG53" s="952">
        <f t="shared" ref="BG53" si="176">BG52/11.5</f>
        <v>1.826086956521739</v>
      </c>
      <c r="BH53" s="813"/>
      <c r="BI53" s="813"/>
      <c r="BJ53" s="813"/>
      <c r="BK53" s="813"/>
      <c r="BL53" s="952">
        <f t="shared" ref="BL53" si="177">BL52/11.5</f>
        <v>0.52173913043478259</v>
      </c>
      <c r="BM53" s="813"/>
      <c r="BN53" s="813"/>
      <c r="BO53" s="813"/>
      <c r="BP53" s="813"/>
      <c r="BQ53" s="952">
        <f t="shared" ref="BQ53" si="178">BQ52/11.5</f>
        <v>1.3913043478260869</v>
      </c>
      <c r="BR53" s="813"/>
      <c r="BS53" s="813"/>
      <c r="BT53" s="813"/>
      <c r="BU53" s="813"/>
      <c r="BV53" s="952">
        <f t="shared" ref="BV53" si="179">BV52/11.5</f>
        <v>1.1304347826086956</v>
      </c>
      <c r="BW53" s="813"/>
      <c r="BX53" s="813"/>
      <c r="BY53" s="813"/>
      <c r="BZ53" s="813"/>
      <c r="CA53" s="952">
        <f t="shared" ref="CA53" si="180">CA52/11.5</f>
        <v>0.86956521739130432</v>
      </c>
      <c r="CB53" s="813"/>
      <c r="CC53" s="813"/>
      <c r="CD53" s="813"/>
      <c r="CE53" s="929"/>
      <c r="CF53" s="952">
        <f t="shared" ref="CF53" si="181">CF52/11.5</f>
        <v>2.347826086956522</v>
      </c>
      <c r="CG53" s="929"/>
      <c r="CH53" s="813"/>
      <c r="CI53" s="813"/>
      <c r="CJ53" s="929"/>
      <c r="CK53" s="952">
        <f t="shared" ref="CK53" si="182">CK52/11.5</f>
        <v>3.7391304347826089</v>
      </c>
      <c r="CL53" s="929"/>
      <c r="CM53" s="929"/>
      <c r="CN53" s="929"/>
      <c r="CO53" s="929"/>
      <c r="CP53" s="952">
        <f t="shared" ref="CP53" si="183">CP52/11.5</f>
        <v>2.6086956521739131</v>
      </c>
      <c r="CQ53" s="929"/>
      <c r="CR53" s="929"/>
      <c r="CS53" s="929"/>
      <c r="CT53" s="929"/>
      <c r="CU53" s="952">
        <f t="shared" ref="CU53" si="184">CU52/11.5</f>
        <v>2.7826086956521738</v>
      </c>
      <c r="CV53" s="929"/>
      <c r="CW53" s="929"/>
      <c r="CX53" s="929"/>
      <c r="CY53" s="929"/>
      <c r="CZ53" s="952">
        <f t="shared" ref="CZ53" si="185">CZ52/11.5</f>
        <v>2.8695652173913042</v>
      </c>
      <c r="DA53" s="929"/>
      <c r="DB53" s="929"/>
      <c r="DC53" s="929"/>
      <c r="DD53" s="929"/>
      <c r="DE53" s="952">
        <f t="shared" ref="DE53" si="186">DE52/11.5</f>
        <v>2.7826086956521738</v>
      </c>
      <c r="DF53" s="929">
        <f>DF52/11.5*4</f>
        <v>1.0434782608695652</v>
      </c>
      <c r="DG53" s="929">
        <f t="shared" ref="DG53:DI53" si="187">DG52/11.5*4</f>
        <v>2.0869565217391304</v>
      </c>
      <c r="DH53" s="929">
        <f t="shared" si="187"/>
        <v>2.0869565217391304</v>
      </c>
      <c r="DI53" s="929">
        <f t="shared" si="187"/>
        <v>1.0434782608695652</v>
      </c>
      <c r="DJ53" s="1023">
        <f t="shared" ref="DJ53" si="188">DJ52/11.5</f>
        <v>1.5652173913043479</v>
      </c>
      <c r="DK53" s="929">
        <f t="shared" ref="DK53:DN53" si="189">DK52/11.5*4</f>
        <v>1.7391304347826086</v>
      </c>
      <c r="DL53" s="929">
        <f t="shared" si="189"/>
        <v>3.1304347826086958</v>
      </c>
      <c r="DM53" s="929">
        <f t="shared" si="189"/>
        <v>2.0869565217391304</v>
      </c>
      <c r="DN53" s="929">
        <f t="shared" si="189"/>
        <v>3.4782608695652173</v>
      </c>
      <c r="DO53" s="1023">
        <f t="shared" ref="DO53" si="190">DO52/11.5</f>
        <v>2.6086956521739131</v>
      </c>
      <c r="DP53" s="929">
        <f t="shared" ref="DP53:DS53" si="191">DP52/11.5*4</f>
        <v>2.0869565217391304</v>
      </c>
      <c r="DQ53" s="813">
        <f t="shared" si="191"/>
        <v>3.4782608695652173</v>
      </c>
      <c r="DR53" s="813">
        <f t="shared" si="191"/>
        <v>1.7391304347826086</v>
      </c>
      <c r="DS53" s="813">
        <f t="shared" si="191"/>
        <v>2.4347826086956523</v>
      </c>
      <c r="DT53" s="1023">
        <f t="shared" ref="DT53" si="192">DT52/11.5</f>
        <v>2.4347826086956523</v>
      </c>
      <c r="DU53" s="813">
        <f t="shared" ref="DU53:DX53" si="193">DU52/11.5*4</f>
        <v>1.7391304347826086</v>
      </c>
      <c r="DV53" s="813">
        <f t="shared" si="193"/>
        <v>2.0869565217391304</v>
      </c>
      <c r="DW53" s="813">
        <f t="shared" si="193"/>
        <v>2.4347826086956523</v>
      </c>
      <c r="DX53" s="813">
        <f t="shared" si="193"/>
        <v>3.1304347826086958</v>
      </c>
      <c r="DY53" s="1023">
        <f t="shared" ref="DY53" si="194">DY52/11.5</f>
        <v>2.347826086956522</v>
      </c>
      <c r="DZ53" s="952">
        <f t="shared" ref="DZ53:EB53" si="195">DZ52/11.5</f>
        <v>2.4347826086956523</v>
      </c>
      <c r="EA53" s="952">
        <f t="shared" si="195"/>
        <v>2.6086956521739131</v>
      </c>
      <c r="EB53" s="952">
        <f t="shared" si="195"/>
        <v>2.6086956521739131</v>
      </c>
    </row>
    <row r="54" spans="1:132" s="298" customFormat="1">
      <c r="A54" s="241"/>
      <c r="B54" s="241" t="s">
        <v>190</v>
      </c>
      <c r="C54" s="411">
        <v>82.5</v>
      </c>
      <c r="D54" s="411">
        <v>83</v>
      </c>
      <c r="E54" s="411">
        <v>84</v>
      </c>
      <c r="F54" s="411">
        <v>85</v>
      </c>
      <c r="G54" s="411">
        <v>88</v>
      </c>
      <c r="H54" s="411">
        <v>88</v>
      </c>
      <c r="I54" s="411">
        <v>90</v>
      </c>
      <c r="J54" s="304">
        <v>92</v>
      </c>
      <c r="K54" s="304">
        <v>92</v>
      </c>
      <c r="L54" s="304">
        <v>92</v>
      </c>
      <c r="M54" s="304">
        <v>92</v>
      </c>
      <c r="N54" s="411">
        <f>N55/N52</f>
        <v>92</v>
      </c>
      <c r="O54" s="304">
        <v>94</v>
      </c>
      <c r="P54" s="304">
        <v>94</v>
      </c>
      <c r="Q54" s="304">
        <v>94</v>
      </c>
      <c r="R54" s="304">
        <v>94</v>
      </c>
      <c r="S54" s="189">
        <f>S55/S52</f>
        <v>94</v>
      </c>
      <c r="T54" s="304">
        <v>90</v>
      </c>
      <c r="U54" s="304">
        <v>90</v>
      </c>
      <c r="V54" s="304">
        <v>90</v>
      </c>
      <c r="W54" s="304">
        <v>90</v>
      </c>
      <c r="X54" s="411">
        <v>90</v>
      </c>
      <c r="Y54" s="304">
        <v>85</v>
      </c>
      <c r="Z54" s="304">
        <v>85</v>
      </c>
      <c r="AA54" s="304">
        <v>85</v>
      </c>
      <c r="AB54" s="304">
        <v>85</v>
      </c>
      <c r="AC54" s="189">
        <f>AC55/AC52</f>
        <v>85</v>
      </c>
      <c r="AD54" s="304">
        <v>86</v>
      </c>
      <c r="AE54" s="304">
        <v>87</v>
      </c>
      <c r="AF54" s="304">
        <v>87</v>
      </c>
      <c r="AG54" s="304">
        <v>87</v>
      </c>
      <c r="AH54" s="189">
        <f>AH55/AH52</f>
        <v>86.7</v>
      </c>
      <c r="AI54" s="304">
        <v>87</v>
      </c>
      <c r="AJ54" s="304">
        <v>87</v>
      </c>
      <c r="AK54" s="304">
        <v>87</v>
      </c>
      <c r="AL54" s="304">
        <v>87</v>
      </c>
      <c r="AM54" s="189">
        <f>AM55/AM52</f>
        <v>87</v>
      </c>
      <c r="AN54" s="304">
        <v>86</v>
      </c>
      <c r="AO54" s="470">
        <v>86</v>
      </c>
      <c r="AP54" s="470">
        <v>87</v>
      </c>
      <c r="AQ54" s="537">
        <v>87</v>
      </c>
      <c r="AR54" s="411">
        <f>AR55/AR52</f>
        <v>86.5</v>
      </c>
      <c r="AS54" s="304">
        <v>88</v>
      </c>
      <c r="AT54" s="470">
        <v>88</v>
      </c>
      <c r="AU54" s="470">
        <v>89</v>
      </c>
      <c r="AV54" s="537">
        <v>89</v>
      </c>
      <c r="AW54" s="411">
        <f>AW55/AW52</f>
        <v>88.55</v>
      </c>
      <c r="AX54" s="304">
        <v>90</v>
      </c>
      <c r="AY54" s="470">
        <v>90</v>
      </c>
      <c r="AZ54" s="470">
        <v>90</v>
      </c>
      <c r="BA54" s="537">
        <v>90</v>
      </c>
      <c r="BB54" s="411">
        <f>BB55/BB52</f>
        <v>90</v>
      </c>
      <c r="BC54" s="304">
        <v>90</v>
      </c>
      <c r="BD54" s="470">
        <v>90</v>
      </c>
      <c r="BE54" s="470">
        <v>90</v>
      </c>
      <c r="BF54" s="537">
        <v>90</v>
      </c>
      <c r="BG54" s="411">
        <v>91</v>
      </c>
      <c r="BH54" s="304">
        <v>91</v>
      </c>
      <c r="BI54" s="304">
        <v>91</v>
      </c>
      <c r="BJ54" s="304">
        <v>91</v>
      </c>
      <c r="BK54" s="537">
        <v>91</v>
      </c>
      <c r="BL54" s="566">
        <v>91</v>
      </c>
      <c r="BM54" s="537">
        <v>90</v>
      </c>
      <c r="BN54" s="537">
        <v>91</v>
      </c>
      <c r="BO54" s="537">
        <v>92</v>
      </c>
      <c r="BP54" s="537">
        <v>92</v>
      </c>
      <c r="BQ54" s="566">
        <f>+BQ55/BQ52</f>
        <v>91.125</v>
      </c>
      <c r="BR54" s="537">
        <v>92</v>
      </c>
      <c r="BS54" s="537">
        <v>92</v>
      </c>
      <c r="BT54" s="537">
        <v>92</v>
      </c>
      <c r="BU54" s="537">
        <v>92</v>
      </c>
      <c r="BV54" s="566">
        <f>BV55/BV52</f>
        <v>92</v>
      </c>
      <c r="BW54" s="537">
        <v>92</v>
      </c>
      <c r="BX54" s="537">
        <v>92</v>
      </c>
      <c r="BY54" s="537">
        <v>92</v>
      </c>
      <c r="BZ54" s="537">
        <v>92</v>
      </c>
      <c r="CA54" s="566">
        <f>CA55/CA52</f>
        <v>92</v>
      </c>
      <c r="CB54" s="537">
        <v>92</v>
      </c>
      <c r="CC54" s="537">
        <v>92</v>
      </c>
      <c r="CD54" s="537">
        <v>92</v>
      </c>
      <c r="CE54" s="537">
        <v>92</v>
      </c>
      <c r="CF54" s="566">
        <f>CF55/CF52</f>
        <v>92</v>
      </c>
      <c r="CG54" s="537">
        <v>92</v>
      </c>
      <c r="CH54" s="537">
        <v>92</v>
      </c>
      <c r="CI54" s="537">
        <v>92</v>
      </c>
      <c r="CJ54" s="537">
        <v>92</v>
      </c>
      <c r="CK54" s="566">
        <f>CK55/CK52</f>
        <v>92</v>
      </c>
      <c r="CL54" s="537">
        <v>92</v>
      </c>
      <c r="CM54" s="537">
        <v>92</v>
      </c>
      <c r="CN54" s="537">
        <v>92</v>
      </c>
      <c r="CO54" s="537">
        <v>92</v>
      </c>
      <c r="CP54" s="566">
        <f>CP55/CP52</f>
        <v>92</v>
      </c>
      <c r="CQ54" s="537">
        <v>92</v>
      </c>
      <c r="CR54" s="537">
        <v>92</v>
      </c>
      <c r="CS54" s="537">
        <v>92</v>
      </c>
      <c r="CT54" s="537">
        <v>92</v>
      </c>
      <c r="CU54" s="566">
        <f>CU55/CU52</f>
        <v>92</v>
      </c>
      <c r="CV54" s="537">
        <v>92</v>
      </c>
      <c r="CW54" s="537">
        <v>92</v>
      </c>
      <c r="CX54" s="537">
        <v>92</v>
      </c>
      <c r="CY54" s="537">
        <v>92</v>
      </c>
      <c r="CZ54" s="566">
        <f>CZ55/CZ52</f>
        <v>92</v>
      </c>
      <c r="DA54" s="537">
        <v>92</v>
      </c>
      <c r="DB54" s="537">
        <v>92</v>
      </c>
      <c r="DC54" s="537">
        <v>92</v>
      </c>
      <c r="DD54" s="537">
        <v>92</v>
      </c>
      <c r="DE54" s="566">
        <f>DE55/DE52</f>
        <v>92</v>
      </c>
      <c r="DF54" s="537">
        <v>92</v>
      </c>
      <c r="DG54" s="537">
        <v>92</v>
      </c>
      <c r="DH54" s="537">
        <v>92</v>
      </c>
      <c r="DI54" s="537">
        <v>92</v>
      </c>
      <c r="DJ54" s="566">
        <f>DJ55/DJ52</f>
        <v>92</v>
      </c>
      <c r="DK54" s="537">
        <v>92</v>
      </c>
      <c r="DL54" s="537">
        <v>92</v>
      </c>
      <c r="DM54" s="537">
        <v>92</v>
      </c>
      <c r="DN54" s="537">
        <v>92</v>
      </c>
      <c r="DO54" s="566">
        <f>DO55/DO52</f>
        <v>92</v>
      </c>
      <c r="DP54" s="537">
        <v>92</v>
      </c>
      <c r="DQ54" s="410">
        <v>92</v>
      </c>
      <c r="DR54" s="410">
        <v>92</v>
      </c>
      <c r="DS54" s="410">
        <v>92</v>
      </c>
      <c r="DT54" s="566">
        <f>DT55/DT52</f>
        <v>92</v>
      </c>
      <c r="DU54" s="410">
        <v>92</v>
      </c>
      <c r="DV54" s="410">
        <v>92</v>
      </c>
      <c r="DW54" s="410">
        <v>92</v>
      </c>
      <c r="DX54" s="410">
        <v>92</v>
      </c>
      <c r="DY54" s="566">
        <f>DY55/DY52</f>
        <v>92</v>
      </c>
      <c r="DZ54" s="412">
        <v>92</v>
      </c>
      <c r="EA54" s="412">
        <v>92</v>
      </c>
      <c r="EB54" s="412">
        <v>92</v>
      </c>
    </row>
    <row r="55" spans="1:132" s="298" customFormat="1">
      <c r="A55" s="241"/>
      <c r="B55" s="241" t="s">
        <v>191</v>
      </c>
      <c r="C55" s="285">
        <f t="shared" ref="C55:M55" si="196">C54*C52</f>
        <v>3382.5</v>
      </c>
      <c r="D55" s="285">
        <f t="shared" si="196"/>
        <v>3901</v>
      </c>
      <c r="E55" s="285">
        <f t="shared" si="196"/>
        <v>3696</v>
      </c>
      <c r="F55" s="285">
        <f t="shared" si="196"/>
        <v>3740</v>
      </c>
      <c r="G55" s="285">
        <f t="shared" si="196"/>
        <v>3520</v>
      </c>
      <c r="H55" s="285">
        <f t="shared" si="196"/>
        <v>3080</v>
      </c>
      <c r="I55" s="285">
        <f t="shared" si="196"/>
        <v>2160</v>
      </c>
      <c r="J55" s="241">
        <f t="shared" si="196"/>
        <v>92</v>
      </c>
      <c r="K55" s="241">
        <f t="shared" si="196"/>
        <v>276</v>
      </c>
      <c r="L55" s="241">
        <f t="shared" si="196"/>
        <v>184</v>
      </c>
      <c r="M55" s="241">
        <f t="shared" si="196"/>
        <v>276</v>
      </c>
      <c r="N55" s="285">
        <f>SUM(J55:M55)</f>
        <v>828</v>
      </c>
      <c r="O55" s="241">
        <f>O54*O52</f>
        <v>94</v>
      </c>
      <c r="P55" s="241">
        <f>P54*P52</f>
        <v>376</v>
      </c>
      <c r="Q55" s="241">
        <f>Q54*Q52</f>
        <v>188</v>
      </c>
      <c r="R55" s="241">
        <f>R54*R52</f>
        <v>282</v>
      </c>
      <c r="S55" s="285">
        <f>SUM(O55:R55)</f>
        <v>940</v>
      </c>
      <c r="T55" s="241">
        <f>T54*T52</f>
        <v>270</v>
      </c>
      <c r="U55" s="241">
        <f>U54*U52</f>
        <v>270</v>
      </c>
      <c r="V55" s="241">
        <f>V54*V52</f>
        <v>270</v>
      </c>
      <c r="W55" s="241">
        <f>W54*W52</f>
        <v>270</v>
      </c>
      <c r="X55" s="285">
        <f>SUM(T55:W55)</f>
        <v>1080</v>
      </c>
      <c r="Y55" s="241">
        <f>Y54*Y52</f>
        <v>255</v>
      </c>
      <c r="Z55" s="241">
        <f>Z54*Z52</f>
        <v>255</v>
      </c>
      <c r="AA55" s="241">
        <f>AA54*AA52</f>
        <v>255</v>
      </c>
      <c r="AB55" s="241">
        <f>AB54*AB52</f>
        <v>255</v>
      </c>
      <c r="AC55" s="285">
        <f>SUM(Y55:AB55)</f>
        <v>1020</v>
      </c>
      <c r="AD55" s="241">
        <f>AD54*AD52</f>
        <v>258</v>
      </c>
      <c r="AE55" s="241">
        <f>AE54*AE52</f>
        <v>261</v>
      </c>
      <c r="AF55" s="241">
        <f>AF54*AF52</f>
        <v>174</v>
      </c>
      <c r="AG55" s="241">
        <f>AG54*AG52</f>
        <v>174</v>
      </c>
      <c r="AH55" s="285">
        <f>SUM(AD55:AG55)</f>
        <v>867</v>
      </c>
      <c r="AI55" s="241">
        <f>AI54*AI52</f>
        <v>261</v>
      </c>
      <c r="AJ55" s="241">
        <f>AJ54*AJ52</f>
        <v>261</v>
      </c>
      <c r="AK55" s="241">
        <f>AK54*AK52</f>
        <v>348</v>
      </c>
      <c r="AL55" s="241">
        <f>AL54*AL52</f>
        <v>261</v>
      </c>
      <c r="AM55" s="285">
        <f>SUM(AI55:AL55)</f>
        <v>1131</v>
      </c>
      <c r="AN55" s="241">
        <f>AN54*AN52</f>
        <v>258</v>
      </c>
      <c r="AO55" s="437">
        <f>AO54*AO52</f>
        <v>258</v>
      </c>
      <c r="AP55" s="437">
        <f>AP54*AP52</f>
        <v>261</v>
      </c>
      <c r="AQ55" s="121">
        <f>AQ54*AQ52</f>
        <v>261</v>
      </c>
      <c r="AR55" s="285">
        <f>SUM(AN55:AQ55)</f>
        <v>1038</v>
      </c>
      <c r="AS55" s="241">
        <f>AS54*AS52</f>
        <v>352</v>
      </c>
      <c r="AT55" s="437">
        <f>AT54*AT52</f>
        <v>440</v>
      </c>
      <c r="AU55" s="437">
        <f>AU54*AU52</f>
        <v>445</v>
      </c>
      <c r="AV55" s="121">
        <f>AV54*AV52</f>
        <v>534</v>
      </c>
      <c r="AW55" s="285">
        <f>SUM(AS55:AV55)</f>
        <v>1771</v>
      </c>
      <c r="AX55" s="241">
        <f>AX54*AX52</f>
        <v>630</v>
      </c>
      <c r="AY55" s="437">
        <f>AY54*AY52</f>
        <v>540</v>
      </c>
      <c r="AZ55" s="437">
        <f>AZ54*AZ52</f>
        <v>630</v>
      </c>
      <c r="BA55" s="121">
        <f>BA54*BA52</f>
        <v>540</v>
      </c>
      <c r="BB55" s="285">
        <f>SUM(AX55:BA55)</f>
        <v>2340</v>
      </c>
      <c r="BC55" s="241">
        <f t="shared" ref="BC55:BL55" si="197">BC54*BC52</f>
        <v>360</v>
      </c>
      <c r="BD55" s="437">
        <f t="shared" si="197"/>
        <v>720</v>
      </c>
      <c r="BE55" s="437">
        <f t="shared" si="197"/>
        <v>450</v>
      </c>
      <c r="BF55" s="121">
        <f t="shared" si="197"/>
        <v>360</v>
      </c>
      <c r="BG55" s="285">
        <f t="shared" si="197"/>
        <v>1911</v>
      </c>
      <c r="BH55" s="241">
        <f>BH54*BH52</f>
        <v>0</v>
      </c>
      <c r="BI55" s="241">
        <f>BI54*BI52</f>
        <v>91</v>
      </c>
      <c r="BJ55" s="241">
        <f>BJ54*BJ52</f>
        <v>182</v>
      </c>
      <c r="BK55" s="121">
        <f>BK54*BK52</f>
        <v>273</v>
      </c>
      <c r="BL55" s="120">
        <f t="shared" si="197"/>
        <v>546</v>
      </c>
      <c r="BM55" s="121">
        <f>BM54*BM52</f>
        <v>450</v>
      </c>
      <c r="BN55" s="121">
        <f>BN54*BN52</f>
        <v>364</v>
      </c>
      <c r="BO55" s="121">
        <f>BO54*BO52</f>
        <v>460</v>
      </c>
      <c r="BP55" s="241">
        <f>BP54*BP52</f>
        <v>184</v>
      </c>
      <c r="BQ55" s="285">
        <f>SUM(BM55:BP55)</f>
        <v>1458</v>
      </c>
      <c r="BR55" s="121">
        <f>BR54*BR52</f>
        <v>92</v>
      </c>
      <c r="BS55" s="121">
        <f>BS54*BS52</f>
        <v>368</v>
      </c>
      <c r="BT55" s="121">
        <f>BT54*BT52</f>
        <v>460</v>
      </c>
      <c r="BU55" s="121">
        <f>BU54*BU52</f>
        <v>276</v>
      </c>
      <c r="BV55" s="285">
        <f>SUM(BR55:BU55)</f>
        <v>1196</v>
      </c>
      <c r="BW55" s="121">
        <f>BW54*BW52</f>
        <v>184</v>
      </c>
      <c r="BX55" s="121">
        <f>BX54*BX52</f>
        <v>276</v>
      </c>
      <c r="BY55" s="121">
        <f>BY54*BY52</f>
        <v>184</v>
      </c>
      <c r="BZ55" s="121">
        <f>BZ54*BZ52</f>
        <v>276</v>
      </c>
      <c r="CA55" s="285">
        <f>SUM(BW55:BZ55)</f>
        <v>920</v>
      </c>
      <c r="CB55" s="121">
        <f t="shared" ref="CB55:CE55" si="198">CB54*CB52</f>
        <v>368</v>
      </c>
      <c r="CC55" s="121">
        <f t="shared" si="198"/>
        <v>460</v>
      </c>
      <c r="CD55" s="121">
        <f t="shared" si="198"/>
        <v>368</v>
      </c>
      <c r="CE55" s="121">
        <f t="shared" si="198"/>
        <v>1288</v>
      </c>
      <c r="CF55" s="285">
        <f>SUM(CB55:CE55)</f>
        <v>2484</v>
      </c>
      <c r="CG55" s="121">
        <f t="shared" ref="CG55:CJ55" si="199">CG54*CG52</f>
        <v>1104</v>
      </c>
      <c r="CH55" s="241">
        <f t="shared" si="199"/>
        <v>920</v>
      </c>
      <c r="CI55" s="121">
        <f t="shared" si="199"/>
        <v>920</v>
      </c>
      <c r="CJ55" s="121">
        <f t="shared" si="199"/>
        <v>1012</v>
      </c>
      <c r="CK55" s="120">
        <f>SUM(CG55:CJ55)</f>
        <v>3956</v>
      </c>
      <c r="CL55" s="121">
        <f t="shared" ref="CL55:CO55" si="200">CL54*CL52</f>
        <v>920</v>
      </c>
      <c r="CM55" s="121">
        <f t="shared" si="200"/>
        <v>368</v>
      </c>
      <c r="CN55" s="121">
        <f t="shared" si="200"/>
        <v>552</v>
      </c>
      <c r="CO55" s="121">
        <f t="shared" si="200"/>
        <v>920</v>
      </c>
      <c r="CP55" s="120">
        <f>SUM(CL55:CO55)</f>
        <v>2760</v>
      </c>
      <c r="CQ55" s="121">
        <f t="shared" ref="CQ55:CT55" si="201">CQ54*CQ52</f>
        <v>460</v>
      </c>
      <c r="CR55" s="121">
        <f t="shared" si="201"/>
        <v>736</v>
      </c>
      <c r="CS55" s="121">
        <f t="shared" si="201"/>
        <v>1012</v>
      </c>
      <c r="CT55" s="121">
        <f t="shared" si="201"/>
        <v>736</v>
      </c>
      <c r="CU55" s="120">
        <f>SUM(CQ55:CT55)</f>
        <v>2944</v>
      </c>
      <c r="CV55" s="121">
        <f t="shared" ref="CV55" si="202">CV54*CV52</f>
        <v>460</v>
      </c>
      <c r="CW55" s="121">
        <f t="shared" ref="CW55:CY55" si="203">CW54*CW52</f>
        <v>644</v>
      </c>
      <c r="CX55" s="121">
        <f t="shared" si="203"/>
        <v>828</v>
      </c>
      <c r="CY55" s="121">
        <f t="shared" si="203"/>
        <v>1104</v>
      </c>
      <c r="CZ55" s="120">
        <f>SUM(CV55:CY55)</f>
        <v>3036</v>
      </c>
      <c r="DA55" s="241">
        <f t="shared" ref="DA55:DD55" si="204">DA54*DA52</f>
        <v>92</v>
      </c>
      <c r="DB55" s="241">
        <f t="shared" si="204"/>
        <v>736</v>
      </c>
      <c r="DC55" s="121">
        <f t="shared" si="204"/>
        <v>736</v>
      </c>
      <c r="DD55" s="121">
        <f t="shared" si="204"/>
        <v>1380</v>
      </c>
      <c r="DE55" s="120">
        <f>SUM(DA55:DD55)</f>
        <v>2944</v>
      </c>
      <c r="DF55" s="121">
        <f t="shared" ref="DF55:DI55" si="205">DF54*DF52</f>
        <v>276</v>
      </c>
      <c r="DG55" s="121">
        <f t="shared" si="205"/>
        <v>552</v>
      </c>
      <c r="DH55" s="121">
        <f t="shared" si="205"/>
        <v>552</v>
      </c>
      <c r="DI55" s="121">
        <f t="shared" si="205"/>
        <v>276</v>
      </c>
      <c r="DJ55" s="120">
        <f>SUM(DF55:DI55)</f>
        <v>1656</v>
      </c>
      <c r="DK55" s="121">
        <f t="shared" ref="DK55:DN55" si="206">DK54*DK52</f>
        <v>460</v>
      </c>
      <c r="DL55" s="121">
        <f t="shared" si="206"/>
        <v>828</v>
      </c>
      <c r="DM55" s="121">
        <f t="shared" si="206"/>
        <v>552</v>
      </c>
      <c r="DN55" s="121">
        <f t="shared" si="206"/>
        <v>920</v>
      </c>
      <c r="DO55" s="120">
        <f>SUM(DK55:DN55)</f>
        <v>2760</v>
      </c>
      <c r="DP55" s="121">
        <f t="shared" ref="DP55:DS55" si="207">DP54*DP52</f>
        <v>552</v>
      </c>
      <c r="DQ55" s="241">
        <f t="shared" si="207"/>
        <v>920</v>
      </c>
      <c r="DR55" s="241">
        <f t="shared" si="207"/>
        <v>460</v>
      </c>
      <c r="DS55" s="241">
        <f t="shared" si="207"/>
        <v>644</v>
      </c>
      <c r="DT55" s="120">
        <f>SUM(DP55:DS55)</f>
        <v>2576</v>
      </c>
      <c r="DU55" s="241">
        <f t="shared" ref="DU55:DX55" si="208">DU54*DU52</f>
        <v>460</v>
      </c>
      <c r="DV55" s="241">
        <f t="shared" si="208"/>
        <v>552</v>
      </c>
      <c r="DW55" s="241">
        <f t="shared" si="208"/>
        <v>644</v>
      </c>
      <c r="DX55" s="241">
        <f t="shared" si="208"/>
        <v>828</v>
      </c>
      <c r="DY55" s="120">
        <f>SUM(DU55:DX55)</f>
        <v>2484</v>
      </c>
      <c r="DZ55" s="285">
        <f t="shared" ref="DZ55:EB55" si="209">DZ54*DZ52</f>
        <v>2576</v>
      </c>
      <c r="EA55" s="285">
        <f t="shared" si="209"/>
        <v>2760</v>
      </c>
      <c r="EB55" s="285">
        <f t="shared" si="209"/>
        <v>2760</v>
      </c>
    </row>
    <row r="56" spans="1:132" s="31" customFormat="1" ht="12" customHeight="1">
      <c r="A56" s="74"/>
      <c r="B56" s="74"/>
      <c r="C56" s="930"/>
      <c r="D56" s="930"/>
      <c r="E56" s="930"/>
      <c r="F56" s="930"/>
      <c r="G56" s="930"/>
      <c r="H56" s="930"/>
      <c r="I56" s="930"/>
      <c r="J56" s="931"/>
      <c r="K56" s="931"/>
      <c r="L56" s="931"/>
      <c r="M56" s="931"/>
      <c r="N56" s="930"/>
      <c r="O56" s="931"/>
      <c r="P56" s="931"/>
      <c r="Q56" s="931"/>
      <c r="R56" s="931"/>
      <c r="S56" s="930"/>
      <c r="T56" s="931"/>
      <c r="U56" s="931"/>
      <c r="V56" s="931"/>
      <c r="W56" s="931"/>
      <c r="X56" s="930"/>
      <c r="Y56" s="931"/>
      <c r="Z56" s="931"/>
      <c r="AA56" s="931"/>
      <c r="AB56" s="931"/>
      <c r="AC56" s="930"/>
      <c r="AD56" s="931"/>
      <c r="AE56" s="931"/>
      <c r="AF56" s="931"/>
      <c r="AG56" s="931"/>
      <c r="AH56" s="930"/>
      <c r="AI56" s="931"/>
      <c r="AJ56" s="931"/>
      <c r="AK56" s="931"/>
      <c r="AL56" s="931"/>
      <c r="AM56" s="930"/>
      <c r="AN56" s="931"/>
      <c r="AO56" s="932"/>
      <c r="AP56" s="932"/>
      <c r="AQ56" s="931"/>
      <c r="AR56" s="930"/>
      <c r="AS56" s="931"/>
      <c r="AT56" s="932"/>
      <c r="AU56" s="932"/>
      <c r="AV56" s="931"/>
      <c r="AW56" s="930"/>
      <c r="AX56" s="931"/>
      <c r="AY56" s="932"/>
      <c r="AZ56" s="932"/>
      <c r="BA56" s="931"/>
      <c r="BB56" s="930"/>
      <c r="BC56" s="931"/>
      <c r="BD56" s="932"/>
      <c r="BE56" s="932"/>
      <c r="BF56" s="931"/>
      <c r="BG56" s="930"/>
      <c r="BH56" s="931"/>
      <c r="BI56" s="932"/>
      <c r="BJ56" s="932"/>
      <c r="BK56" s="931"/>
      <c r="BL56" s="930"/>
      <c r="BM56" s="931"/>
      <c r="BN56" s="932"/>
      <c r="BO56" s="932"/>
      <c r="BP56" s="931"/>
      <c r="BQ56" s="930"/>
      <c r="BR56" s="932"/>
      <c r="BS56" s="931"/>
      <c r="BT56" s="932"/>
      <c r="BU56" s="931"/>
      <c r="BV56" s="930"/>
      <c r="BW56" s="932"/>
      <c r="BX56" s="931"/>
      <c r="BY56" s="932"/>
      <c r="BZ56" s="931"/>
      <c r="CA56" s="930"/>
      <c r="CB56" s="932"/>
      <c r="CC56" s="931"/>
      <c r="CD56" s="932"/>
      <c r="CE56" s="931"/>
      <c r="CF56" s="930"/>
      <c r="CG56" s="931"/>
      <c r="CH56" s="931"/>
      <c r="CI56" s="931"/>
      <c r="CJ56" s="931"/>
      <c r="CK56" s="930"/>
      <c r="CL56" s="931"/>
      <c r="CM56" s="931"/>
      <c r="CN56" s="931"/>
      <c r="CO56" s="931"/>
      <c r="CP56" s="930"/>
      <c r="CQ56" s="931"/>
      <c r="CR56" s="931"/>
      <c r="CS56" s="931"/>
      <c r="CT56" s="931"/>
      <c r="CU56" s="930"/>
      <c r="CV56" s="931"/>
      <c r="CW56" s="931"/>
      <c r="CX56" s="931"/>
      <c r="CY56" s="931"/>
      <c r="CZ56" s="930"/>
      <c r="DA56" s="931"/>
      <c r="DB56" s="931"/>
      <c r="DC56" s="931"/>
      <c r="DD56" s="931"/>
      <c r="DE56" s="930"/>
      <c r="DF56" s="931"/>
      <c r="DG56" s="931"/>
      <c r="DH56" s="931"/>
      <c r="DI56" s="931"/>
      <c r="DJ56" s="930"/>
      <c r="DK56" s="931"/>
      <c r="DL56" s="931"/>
      <c r="DM56" s="931"/>
      <c r="DN56" s="931"/>
      <c r="DO56" s="930"/>
      <c r="DP56" s="931"/>
      <c r="DQ56" s="931"/>
      <c r="DR56" s="931"/>
      <c r="DS56" s="931"/>
      <c r="DT56" s="930"/>
      <c r="DU56" s="931"/>
      <c r="DV56" s="931"/>
      <c r="DW56" s="931"/>
      <c r="DX56" s="931"/>
      <c r="DY56" s="930"/>
      <c r="DZ56" s="930"/>
      <c r="EA56" s="930"/>
      <c r="EB56" s="930"/>
    </row>
    <row r="57" spans="1:132" s="31" customFormat="1" ht="12" hidden="1" customHeight="1" outlineLevel="1">
      <c r="A57" s="74"/>
      <c r="B57" s="74" t="s">
        <v>561</v>
      </c>
      <c r="C57" s="930">
        <v>59</v>
      </c>
      <c r="D57" s="930">
        <v>60</v>
      </c>
      <c r="E57" s="930">
        <v>66</v>
      </c>
      <c r="F57" s="930">
        <v>51</v>
      </c>
      <c r="G57" s="930">
        <v>58</v>
      </c>
      <c r="H57" s="930">
        <v>41</v>
      </c>
      <c r="I57" s="930">
        <v>30</v>
      </c>
      <c r="J57" s="931">
        <v>7</v>
      </c>
      <c r="K57" s="931">
        <v>7</v>
      </c>
      <c r="L57" s="931">
        <v>5</v>
      </c>
      <c r="M57" s="931">
        <v>5</v>
      </c>
      <c r="N57" s="930">
        <f>SUM(J57:M57)</f>
        <v>24</v>
      </c>
      <c r="O57" s="931">
        <v>2</v>
      </c>
      <c r="P57" s="931">
        <v>7</v>
      </c>
      <c r="Q57" s="931">
        <v>4</v>
      </c>
      <c r="R57" s="931">
        <v>3</v>
      </c>
      <c r="S57" s="930">
        <f>SUM(O57:R57)</f>
        <v>16</v>
      </c>
      <c r="T57" s="931">
        <v>8</v>
      </c>
      <c r="U57" s="931">
        <v>7</v>
      </c>
      <c r="V57" s="931">
        <v>4</v>
      </c>
      <c r="W57" s="931">
        <v>6</v>
      </c>
      <c r="X57" s="930">
        <f>SUM(T57:W57)</f>
        <v>25</v>
      </c>
      <c r="Y57" s="931">
        <v>6</v>
      </c>
      <c r="Z57" s="931">
        <v>6</v>
      </c>
      <c r="AA57" s="931">
        <v>11</v>
      </c>
      <c r="AB57" s="931">
        <v>7</v>
      </c>
      <c r="AC57" s="930">
        <f>SUM(Y57:AB57)</f>
        <v>30</v>
      </c>
      <c r="AD57" s="931">
        <v>7</v>
      </c>
      <c r="AE57" s="931">
        <v>3</v>
      </c>
      <c r="AF57" s="931">
        <v>1</v>
      </c>
      <c r="AG57" s="931">
        <v>3</v>
      </c>
      <c r="AH57" s="930">
        <f>SUM(AD57:AG57)</f>
        <v>14</v>
      </c>
      <c r="AI57" s="931">
        <v>8</v>
      </c>
      <c r="AJ57" s="931">
        <v>6</v>
      </c>
      <c r="AK57" s="931">
        <v>3</v>
      </c>
      <c r="AL57" s="931">
        <v>3</v>
      </c>
      <c r="AM57" s="930">
        <f>SUM(AI57:AL57)</f>
        <v>20</v>
      </c>
      <c r="AN57" s="931">
        <v>4</v>
      </c>
      <c r="AO57" s="932">
        <v>0</v>
      </c>
      <c r="AP57" s="932">
        <v>5</v>
      </c>
      <c r="AQ57" s="931">
        <v>3</v>
      </c>
      <c r="AR57" s="930">
        <f>SUM(AN57:AQ57)</f>
        <v>12</v>
      </c>
      <c r="AS57" s="931">
        <v>1</v>
      </c>
      <c r="AT57" s="932">
        <v>2</v>
      </c>
      <c r="AU57" s="932">
        <v>3</v>
      </c>
      <c r="AV57" s="931">
        <v>0</v>
      </c>
      <c r="AW57" s="930">
        <f>SUM(AS57:AV57)</f>
        <v>6</v>
      </c>
      <c r="AX57" s="931">
        <v>0</v>
      </c>
      <c r="AY57" s="932">
        <v>2</v>
      </c>
      <c r="AZ57" s="932">
        <v>1</v>
      </c>
      <c r="BA57" s="931">
        <v>1</v>
      </c>
      <c r="BB57" s="930">
        <f>SUM(AX57:BA57)</f>
        <v>4</v>
      </c>
      <c r="BC57" s="931">
        <v>1</v>
      </c>
      <c r="BD57" s="932">
        <v>2</v>
      </c>
      <c r="BE57" s="932">
        <v>2</v>
      </c>
      <c r="BF57" s="931">
        <v>0</v>
      </c>
      <c r="BG57" s="930">
        <f>SUM(BC57:BF57)</f>
        <v>5</v>
      </c>
      <c r="BH57" s="931">
        <v>1</v>
      </c>
      <c r="BI57" s="932">
        <v>1</v>
      </c>
      <c r="BJ57" s="932">
        <v>0</v>
      </c>
      <c r="BK57" s="931">
        <v>1</v>
      </c>
      <c r="BL57" s="930">
        <f>SUM(BH57:BK57)</f>
        <v>3</v>
      </c>
      <c r="BM57" s="931">
        <v>0</v>
      </c>
      <c r="BN57" s="932">
        <v>0</v>
      </c>
      <c r="BO57" s="932">
        <v>0</v>
      </c>
      <c r="BP57" s="931">
        <v>0</v>
      </c>
      <c r="BQ57" s="930">
        <f>SUM(BM57:BP57)</f>
        <v>0</v>
      </c>
      <c r="BR57" s="932"/>
      <c r="BS57" s="931"/>
      <c r="BT57" s="932"/>
      <c r="BU57" s="931"/>
      <c r="BV57" s="930"/>
      <c r="BW57" s="932"/>
      <c r="BX57" s="931"/>
      <c r="BY57" s="932"/>
      <c r="BZ57" s="931"/>
      <c r="CA57" s="930"/>
      <c r="CB57" s="932"/>
      <c r="CC57" s="931"/>
      <c r="CD57" s="932"/>
      <c r="CE57" s="931"/>
      <c r="CF57" s="930"/>
      <c r="CG57" s="292"/>
      <c r="CH57" s="951"/>
      <c r="CI57" s="951"/>
      <c r="CJ57" s="292"/>
      <c r="CK57" s="930"/>
      <c r="CL57" s="292"/>
      <c r="CM57" s="292"/>
      <c r="CN57" s="951"/>
      <c r="CO57" s="951"/>
      <c r="CP57" s="930"/>
      <c r="CQ57" s="951"/>
      <c r="CR57" s="292"/>
      <c r="CS57" s="292"/>
      <c r="CT57" s="292"/>
      <c r="CU57" s="930"/>
      <c r="CV57" s="292"/>
      <c r="CW57" s="292"/>
      <c r="CX57" s="292"/>
      <c r="CY57" s="292"/>
      <c r="CZ57" s="930"/>
      <c r="DA57" s="951"/>
      <c r="DB57" s="951"/>
      <c r="DC57" s="292"/>
      <c r="DD57" s="951"/>
      <c r="DE57" s="930"/>
      <c r="DF57" s="292"/>
      <c r="DG57" s="292"/>
      <c r="DH57" s="292"/>
      <c r="DI57" s="292"/>
      <c r="DJ57" s="1025"/>
      <c r="DK57" s="292"/>
      <c r="DL57" s="292"/>
      <c r="DM57" s="292"/>
      <c r="DN57" s="292"/>
      <c r="DO57" s="1025"/>
      <c r="DP57" s="292"/>
      <c r="DQ57" s="951"/>
      <c r="DR57" s="951"/>
      <c r="DS57" s="951"/>
      <c r="DT57" s="1025"/>
      <c r="DU57" s="951"/>
      <c r="DV57" s="951"/>
      <c r="DW57" s="951"/>
      <c r="DX57" s="951"/>
      <c r="DY57" s="1025"/>
      <c r="DZ57" s="950"/>
      <c r="EA57" s="950"/>
      <c r="EB57" s="950"/>
    </row>
    <row r="58" spans="1:132" s="941" customFormat="1" ht="12" hidden="1" customHeight="1" outlineLevel="1">
      <c r="A58" s="795"/>
      <c r="B58" s="942" t="s">
        <v>190</v>
      </c>
      <c r="C58" s="937"/>
      <c r="D58" s="937"/>
      <c r="E58" s="937"/>
      <c r="F58" s="937"/>
      <c r="G58" s="937"/>
      <c r="H58" s="937"/>
      <c r="I58" s="937"/>
      <c r="J58" s="936"/>
      <c r="K58" s="936"/>
      <c r="L58" s="936"/>
      <c r="M58" s="936"/>
      <c r="N58" s="943"/>
      <c r="O58" s="936"/>
      <c r="P58" s="936"/>
      <c r="Q58" s="936"/>
      <c r="R58" s="936"/>
      <c r="S58" s="943"/>
      <c r="T58" s="936"/>
      <c r="U58" s="936"/>
      <c r="V58" s="936"/>
      <c r="W58" s="936"/>
      <c r="X58" s="943"/>
      <c r="Y58" s="936"/>
      <c r="Z58" s="936"/>
      <c r="AA58" s="936"/>
      <c r="AB58" s="936"/>
      <c r="AC58" s="943"/>
      <c r="AD58" s="936"/>
      <c r="AE58" s="936"/>
      <c r="AF58" s="936"/>
      <c r="AG58" s="936"/>
      <c r="AH58" s="943"/>
      <c r="AI58" s="936"/>
      <c r="AJ58" s="936"/>
      <c r="AK58" s="936"/>
      <c r="AL58" s="936"/>
      <c r="AM58" s="943"/>
      <c r="AN58" s="936"/>
      <c r="AO58" s="938"/>
      <c r="AP58" s="938"/>
      <c r="AQ58" s="936"/>
      <c r="AR58" s="943"/>
      <c r="AS58" s="936"/>
      <c r="AT58" s="938"/>
      <c r="AU58" s="938"/>
      <c r="AV58" s="936"/>
      <c r="AW58" s="943"/>
      <c r="AX58" s="936"/>
      <c r="AY58" s="938"/>
      <c r="AZ58" s="938"/>
      <c r="BA58" s="936"/>
      <c r="BB58" s="943"/>
      <c r="BC58" s="936"/>
      <c r="BD58" s="938"/>
      <c r="BE58" s="938"/>
      <c r="BF58" s="936"/>
      <c r="BG58" s="943"/>
      <c r="BH58" s="936">
        <f>305*0.5</f>
        <v>152.5</v>
      </c>
      <c r="BI58" s="936">
        <f t="shared" ref="BI58:BK58" si="210">305*0.5</f>
        <v>152.5</v>
      </c>
      <c r="BJ58" s="936">
        <f t="shared" si="210"/>
        <v>152.5</v>
      </c>
      <c r="BK58" s="936">
        <f t="shared" si="210"/>
        <v>152.5</v>
      </c>
      <c r="BL58" s="943">
        <f>IFERROR(SUMPRODUCT(BH57:BK57,BH58:BK58)/BL57,"--")</f>
        <v>152.5</v>
      </c>
      <c r="BM58" s="936"/>
      <c r="BN58" s="936"/>
      <c r="BO58" s="936"/>
      <c r="BP58" s="936"/>
      <c r="BQ58" s="943" t="str">
        <f>IFERROR(SUMPRODUCT(BM57:BP57,BM58:BP58)/BQ57,"--")</f>
        <v>--</v>
      </c>
      <c r="BR58" s="936"/>
      <c r="BS58" s="936"/>
      <c r="BT58" s="936"/>
      <c r="BU58" s="936"/>
      <c r="BV58" s="943"/>
      <c r="BW58" s="936"/>
      <c r="BX58" s="936"/>
      <c r="BY58" s="936"/>
      <c r="BZ58" s="936"/>
      <c r="CA58" s="943"/>
      <c r="CB58" s="936"/>
      <c r="CC58" s="936"/>
      <c r="CD58" s="936"/>
      <c r="CE58" s="936"/>
      <c r="CF58" s="943"/>
      <c r="CG58" s="936"/>
      <c r="CH58" s="939"/>
      <c r="CI58" s="939"/>
      <c r="CJ58" s="936"/>
      <c r="CK58" s="943"/>
      <c r="CL58" s="936"/>
      <c r="CM58" s="936"/>
      <c r="CN58" s="939"/>
      <c r="CO58" s="939"/>
      <c r="CP58" s="943"/>
      <c r="CQ58" s="939"/>
      <c r="CR58" s="936"/>
      <c r="CS58" s="936"/>
      <c r="CT58" s="936"/>
      <c r="CU58" s="943"/>
      <c r="CV58" s="936"/>
      <c r="CW58" s="936"/>
      <c r="CX58" s="936"/>
      <c r="CY58" s="936"/>
      <c r="CZ58" s="943"/>
      <c r="DA58" s="939"/>
      <c r="DB58" s="939"/>
      <c r="DC58" s="936"/>
      <c r="DD58" s="939"/>
      <c r="DE58" s="943"/>
      <c r="DF58" s="936"/>
      <c r="DG58" s="936"/>
      <c r="DH58" s="936"/>
      <c r="DI58" s="936"/>
      <c r="DJ58" s="1026"/>
      <c r="DK58" s="936"/>
      <c r="DL58" s="936"/>
      <c r="DM58" s="936"/>
      <c r="DN58" s="936"/>
      <c r="DO58" s="1026"/>
      <c r="DP58" s="936"/>
      <c r="DQ58" s="939"/>
      <c r="DR58" s="939"/>
      <c r="DS58" s="939"/>
      <c r="DT58" s="1026"/>
      <c r="DU58" s="939"/>
      <c r="DV58" s="939"/>
      <c r="DW58" s="939"/>
      <c r="DX58" s="939"/>
      <c r="DY58" s="1026"/>
      <c r="DZ58" s="949"/>
      <c r="EA58" s="949"/>
      <c r="EB58" s="949"/>
    </row>
    <row r="59" spans="1:132" s="31" customFormat="1" ht="12" hidden="1" customHeight="1" outlineLevel="1">
      <c r="A59" s="74"/>
      <c r="B59" s="74" t="s">
        <v>562</v>
      </c>
      <c r="C59" s="930">
        <v>0</v>
      </c>
      <c r="D59" s="930">
        <v>14</v>
      </c>
      <c r="E59" s="930">
        <v>17</v>
      </c>
      <c r="F59" s="930">
        <v>4</v>
      </c>
      <c r="G59" s="930">
        <v>3</v>
      </c>
      <c r="H59" s="930">
        <v>6</v>
      </c>
      <c r="I59" s="930">
        <v>9</v>
      </c>
      <c r="J59" s="931">
        <v>1</v>
      </c>
      <c r="K59" s="931">
        <v>4</v>
      </c>
      <c r="L59" s="931">
        <v>3</v>
      </c>
      <c r="M59" s="931">
        <v>4</v>
      </c>
      <c r="N59" s="930">
        <f>SUM(J59:M59)</f>
        <v>12</v>
      </c>
      <c r="O59" s="931">
        <v>6</v>
      </c>
      <c r="P59" s="931">
        <v>7</v>
      </c>
      <c r="Q59" s="931">
        <v>4</v>
      </c>
      <c r="R59" s="931">
        <v>7</v>
      </c>
      <c r="S59" s="930">
        <f>SUM(O59:R59)</f>
        <v>24</v>
      </c>
      <c r="T59" s="931">
        <v>9</v>
      </c>
      <c r="U59" s="931">
        <v>10</v>
      </c>
      <c r="V59" s="931">
        <v>9</v>
      </c>
      <c r="W59" s="931">
        <v>12</v>
      </c>
      <c r="X59" s="930">
        <f>SUM(T59:W59)</f>
        <v>40</v>
      </c>
      <c r="Y59" s="931">
        <v>11</v>
      </c>
      <c r="Z59" s="931">
        <v>15</v>
      </c>
      <c r="AA59" s="931">
        <v>9</v>
      </c>
      <c r="AB59" s="931">
        <v>18</v>
      </c>
      <c r="AC59" s="930">
        <f>SUM(Y59:AB59)</f>
        <v>53</v>
      </c>
      <c r="AD59" s="931">
        <v>14</v>
      </c>
      <c r="AE59" s="931">
        <v>15</v>
      </c>
      <c r="AF59" s="931">
        <v>10</v>
      </c>
      <c r="AG59" s="931">
        <v>8</v>
      </c>
      <c r="AH59" s="930">
        <f>SUM(AD59:AG59)</f>
        <v>47</v>
      </c>
      <c r="AI59" s="931">
        <v>12</v>
      </c>
      <c r="AJ59" s="931">
        <v>11</v>
      </c>
      <c r="AK59" s="931">
        <v>14</v>
      </c>
      <c r="AL59" s="931">
        <v>15</v>
      </c>
      <c r="AM59" s="930">
        <f>SUM(AI59:AL59)</f>
        <v>52</v>
      </c>
      <c r="AN59" s="931">
        <v>9</v>
      </c>
      <c r="AO59" s="932">
        <v>13</v>
      </c>
      <c r="AP59" s="932">
        <v>5</v>
      </c>
      <c r="AQ59" s="931">
        <v>13</v>
      </c>
      <c r="AR59" s="930">
        <f>SUM(AN59:AQ59)</f>
        <v>40</v>
      </c>
      <c r="AS59" s="931">
        <v>11</v>
      </c>
      <c r="AT59" s="932">
        <v>14</v>
      </c>
      <c r="AU59" s="932">
        <v>13</v>
      </c>
      <c r="AV59" s="931">
        <v>14</v>
      </c>
      <c r="AW59" s="930">
        <f>SUM(AS59:AV59)</f>
        <v>52</v>
      </c>
      <c r="AX59" s="931">
        <v>15</v>
      </c>
      <c r="AY59" s="932">
        <v>17</v>
      </c>
      <c r="AZ59" s="932">
        <v>14</v>
      </c>
      <c r="BA59" s="931">
        <v>14</v>
      </c>
      <c r="BB59" s="930">
        <f>SUM(AX59:BA59)</f>
        <v>60</v>
      </c>
      <c r="BC59" s="931">
        <v>20</v>
      </c>
      <c r="BD59" s="932">
        <v>19</v>
      </c>
      <c r="BE59" s="932">
        <v>20</v>
      </c>
      <c r="BF59" s="931">
        <v>20</v>
      </c>
      <c r="BG59" s="930">
        <f>SUM(BC59:BF59)</f>
        <v>79</v>
      </c>
      <c r="BH59" s="931">
        <v>19</v>
      </c>
      <c r="BI59" s="932">
        <v>19</v>
      </c>
      <c r="BJ59" s="932">
        <v>25</v>
      </c>
      <c r="BK59" s="931">
        <v>20</v>
      </c>
      <c r="BL59" s="930">
        <f>SUM(BH59:BK59)</f>
        <v>83</v>
      </c>
      <c r="BM59" s="931">
        <v>18</v>
      </c>
      <c r="BN59" s="932">
        <v>24</v>
      </c>
      <c r="BO59" s="932">
        <v>19</v>
      </c>
      <c r="BP59" s="931">
        <v>18</v>
      </c>
      <c r="BQ59" s="930">
        <f>SUM(BM59:BP59)</f>
        <v>79</v>
      </c>
      <c r="BR59" s="932">
        <v>21</v>
      </c>
      <c r="BS59" s="931">
        <v>25</v>
      </c>
      <c r="BT59" s="932">
        <v>19</v>
      </c>
      <c r="BU59" s="931">
        <v>23</v>
      </c>
      <c r="BV59" s="930">
        <f>SUM(BR59:BU59)</f>
        <v>88</v>
      </c>
      <c r="BW59" s="932">
        <v>20</v>
      </c>
      <c r="BX59" s="931">
        <v>21</v>
      </c>
      <c r="BY59" s="932">
        <v>15</v>
      </c>
      <c r="BZ59" s="931">
        <v>9</v>
      </c>
      <c r="CA59" s="930">
        <f>SUM(BW59:BZ59)</f>
        <v>65</v>
      </c>
      <c r="CB59" s="932">
        <v>11</v>
      </c>
      <c r="CC59" s="931">
        <v>11</v>
      </c>
      <c r="CD59" s="932">
        <v>7</v>
      </c>
      <c r="CE59" s="931">
        <v>3</v>
      </c>
      <c r="CF59" s="930">
        <f>SUM(CB59:CE59)</f>
        <v>32</v>
      </c>
      <c r="CG59" s="292">
        <v>5</v>
      </c>
      <c r="CH59" s="292">
        <v>6</v>
      </c>
      <c r="CI59" s="292">
        <v>2</v>
      </c>
      <c r="CJ59" s="292">
        <v>7</v>
      </c>
      <c r="CK59" s="930">
        <f>SUM(CG59:CJ59)</f>
        <v>20</v>
      </c>
      <c r="CL59" s="292">
        <v>2</v>
      </c>
      <c r="CM59" s="292">
        <v>0</v>
      </c>
      <c r="CN59" s="292">
        <v>2</v>
      </c>
      <c r="CO59" s="292">
        <v>2</v>
      </c>
      <c r="CP59" s="930">
        <f>SUM(CL59:CO59)</f>
        <v>6</v>
      </c>
      <c r="CQ59" s="292">
        <v>5</v>
      </c>
      <c r="CR59" s="292">
        <v>0</v>
      </c>
      <c r="CS59" s="292">
        <v>2</v>
      </c>
      <c r="CT59" s="292">
        <v>1</v>
      </c>
      <c r="CU59" s="930">
        <f>SUM(CQ59:CT59)</f>
        <v>8</v>
      </c>
      <c r="CV59" s="292">
        <v>0</v>
      </c>
      <c r="CW59" s="292">
        <v>1</v>
      </c>
      <c r="CX59" s="292">
        <v>1</v>
      </c>
      <c r="CY59" s="292">
        <v>0</v>
      </c>
      <c r="CZ59" s="930">
        <f>SUM(CV59:CY59)</f>
        <v>2</v>
      </c>
      <c r="DA59" s="292">
        <v>0</v>
      </c>
      <c r="DB59" s="292">
        <v>0</v>
      </c>
      <c r="DC59" s="292">
        <v>1</v>
      </c>
      <c r="DD59" s="292">
        <v>0</v>
      </c>
      <c r="DE59" s="930">
        <f>SUM(DA59:DD59)</f>
        <v>1</v>
      </c>
      <c r="DF59" s="292">
        <v>0</v>
      </c>
      <c r="DG59" s="292">
        <v>0</v>
      </c>
      <c r="DH59" s="292">
        <v>0</v>
      </c>
      <c r="DI59" s="292">
        <v>1</v>
      </c>
      <c r="DJ59" s="1025">
        <f>SUM(DF59:DI59)</f>
        <v>1</v>
      </c>
      <c r="DK59" s="292"/>
      <c r="DL59" s="292"/>
      <c r="DM59" s="292"/>
      <c r="DN59" s="292"/>
      <c r="DO59" s="1025">
        <f>SUM(DK59:DN59)</f>
        <v>0</v>
      </c>
      <c r="DP59" s="292"/>
      <c r="DQ59" s="951"/>
      <c r="DR59" s="951"/>
      <c r="DS59" s="951"/>
      <c r="DT59" s="1025">
        <f>SUM(DP59:DS59)</f>
        <v>0</v>
      </c>
      <c r="DU59" s="951"/>
      <c r="DV59" s="951"/>
      <c r="DW59" s="951"/>
      <c r="DX59" s="951"/>
      <c r="DY59" s="1025">
        <f>SUM(DU59:DX59)</f>
        <v>0</v>
      </c>
      <c r="DZ59" s="950"/>
      <c r="EA59" s="950"/>
      <c r="EB59" s="950"/>
    </row>
    <row r="60" spans="1:132" s="941" customFormat="1" ht="12" hidden="1" customHeight="1" outlineLevel="1">
      <c r="A60" s="795"/>
      <c r="B60" s="942" t="s">
        <v>190</v>
      </c>
      <c r="C60" s="937"/>
      <c r="D60" s="937"/>
      <c r="E60" s="937"/>
      <c r="F60" s="937"/>
      <c r="G60" s="937"/>
      <c r="H60" s="937"/>
      <c r="I60" s="937"/>
      <c r="J60" s="936"/>
      <c r="K60" s="936"/>
      <c r="L60" s="936"/>
      <c r="M60" s="936"/>
      <c r="N60" s="943"/>
      <c r="O60" s="936"/>
      <c r="P60" s="936"/>
      <c r="Q60" s="936"/>
      <c r="R60" s="936"/>
      <c r="S60" s="943"/>
      <c r="T60" s="936"/>
      <c r="U60" s="936"/>
      <c r="V60" s="936"/>
      <c r="W60" s="936"/>
      <c r="X60" s="943"/>
      <c r="Y60" s="936"/>
      <c r="Z60" s="936"/>
      <c r="AA60" s="936"/>
      <c r="AB60" s="936"/>
      <c r="AC60" s="943"/>
      <c r="AD60" s="936"/>
      <c r="AE60" s="936"/>
      <c r="AF60" s="936"/>
      <c r="AG60" s="936"/>
      <c r="AH60" s="943"/>
      <c r="AI60" s="936"/>
      <c r="AJ60" s="936"/>
      <c r="AK60" s="936"/>
      <c r="AL60" s="936"/>
      <c r="AM60" s="943"/>
      <c r="AN60" s="936"/>
      <c r="AO60" s="938"/>
      <c r="AP60" s="938"/>
      <c r="AQ60" s="936"/>
      <c r="AR60" s="943"/>
      <c r="AS60" s="936"/>
      <c r="AT60" s="938"/>
      <c r="AU60" s="938"/>
      <c r="AV60" s="936"/>
      <c r="AW60" s="943"/>
      <c r="AX60" s="936"/>
      <c r="AY60" s="938"/>
      <c r="AZ60" s="938"/>
      <c r="BA60" s="936"/>
      <c r="BB60" s="943"/>
      <c r="BC60" s="936"/>
      <c r="BD60" s="938"/>
      <c r="BE60" s="938"/>
      <c r="BF60" s="936"/>
      <c r="BG60" s="943"/>
      <c r="BH60" s="936">
        <f>330*0.5</f>
        <v>165</v>
      </c>
      <c r="BI60" s="936">
        <f>330*0.5</f>
        <v>165</v>
      </c>
      <c r="BJ60" s="936">
        <f>330*0.5</f>
        <v>165</v>
      </c>
      <c r="BK60" s="936">
        <f>330*0.5</f>
        <v>165</v>
      </c>
      <c r="BL60" s="943">
        <f>IFERROR(SUMPRODUCT(BH59:BK59,BH60:BK60)/BL59,"--")</f>
        <v>165</v>
      </c>
      <c r="BM60" s="936">
        <f>339.6*0.475</f>
        <v>161.31</v>
      </c>
      <c r="BN60" s="936">
        <f>339.6*0.475</f>
        <v>161.31</v>
      </c>
      <c r="BO60" s="936">
        <f>339.6*0.475</f>
        <v>161.31</v>
      </c>
      <c r="BP60" s="936">
        <f>339.6*0.475</f>
        <v>161.31</v>
      </c>
      <c r="BQ60" s="943">
        <f>IFERROR(SUMPRODUCT(BM59:BP59,BM60:BP60)/BQ59,"--")</f>
        <v>161.31</v>
      </c>
      <c r="BR60" s="936">
        <f>339.6*0.45</f>
        <v>152.82000000000002</v>
      </c>
      <c r="BS60" s="936">
        <f>339.6*0.45</f>
        <v>152.82000000000002</v>
      </c>
      <c r="BT60" s="936">
        <f>339.6*0.45</f>
        <v>152.82000000000002</v>
      </c>
      <c r="BU60" s="936">
        <f>339.6*0.45</f>
        <v>152.82000000000002</v>
      </c>
      <c r="BV60" s="943">
        <f>IFERROR(SUMPRODUCT(BR59:BU59,BR60:BU60)/BV59,"--")</f>
        <v>152.82000000000002</v>
      </c>
      <c r="BW60" s="936">
        <f>347.1*0.425</f>
        <v>147.51750000000001</v>
      </c>
      <c r="BX60" s="936">
        <f>347.1*0.425</f>
        <v>147.51750000000001</v>
      </c>
      <c r="BY60" s="936">
        <f>347.1*0.425</f>
        <v>147.51750000000001</v>
      </c>
      <c r="BZ60" s="936">
        <f>347.1*0.425</f>
        <v>147.51750000000001</v>
      </c>
      <c r="CA60" s="943">
        <f>IFERROR(SUMPRODUCT(BW59:BZ59,BW60:BZ60)/CA59,"--")</f>
        <v>147.51750000000001</v>
      </c>
      <c r="CB60" s="936">
        <f>361.5*0.4</f>
        <v>144.6</v>
      </c>
      <c r="CC60" s="936">
        <f>361.5*0.4</f>
        <v>144.6</v>
      </c>
      <c r="CD60" s="936">
        <f>361.5*0.4</f>
        <v>144.6</v>
      </c>
      <c r="CE60" s="936">
        <f>361.5*0.4</f>
        <v>144.6</v>
      </c>
      <c r="CF60" s="943">
        <f>IFERROR(SUMPRODUCT(CB59:CE59,CB60:CE60)/CF59,"--")</f>
        <v>144.6</v>
      </c>
      <c r="CG60" s="936">
        <f>CB60*0.975</f>
        <v>140.98499999999999</v>
      </c>
      <c r="CH60" s="936">
        <f>CC60*0.975</f>
        <v>140.98499999999999</v>
      </c>
      <c r="CI60" s="936">
        <f>CD60*0.975</f>
        <v>140.98499999999999</v>
      </c>
      <c r="CJ60" s="936">
        <f>CE60*0.975</f>
        <v>140.98499999999999</v>
      </c>
      <c r="CK60" s="943">
        <f>IFERROR(SUMPRODUCT(CG59:CJ59,CG60:CJ60)/CK59,"--")</f>
        <v>140.98499999999999</v>
      </c>
      <c r="CL60" s="936">
        <f>CG60*0.975</f>
        <v>137.46037499999997</v>
      </c>
      <c r="CM60" s="936">
        <f>CH60*0.975</f>
        <v>137.46037499999997</v>
      </c>
      <c r="CN60" s="936">
        <f>CI60*0.975</f>
        <v>137.46037499999997</v>
      </c>
      <c r="CO60" s="936">
        <f>CJ60*0.975</f>
        <v>137.46037499999997</v>
      </c>
      <c r="CP60" s="943">
        <f>IFERROR(SUMPRODUCT(CL59:CO59,CL60:CO60)/CP59,"--")</f>
        <v>137.46037499999997</v>
      </c>
      <c r="CQ60" s="936">
        <f t="shared" ref="CQ60:CT60" si="211">CL60*0.975</f>
        <v>134.02386562499996</v>
      </c>
      <c r="CR60" s="936">
        <f t="shared" si="211"/>
        <v>134.02386562499996</v>
      </c>
      <c r="CS60" s="936">
        <f t="shared" si="211"/>
        <v>134.02386562499996</v>
      </c>
      <c r="CT60" s="936">
        <f t="shared" si="211"/>
        <v>134.02386562499996</v>
      </c>
      <c r="CU60" s="943">
        <f>IFERROR(SUMPRODUCT(CQ59:CT59,CQ60:CT60)/CU59,"--")</f>
        <v>134.02386562499996</v>
      </c>
      <c r="CV60" s="936">
        <f t="shared" ref="CV60:CW60" si="212">CQ60*0.975</f>
        <v>130.67326898437494</v>
      </c>
      <c r="CW60" s="936">
        <f t="shared" si="212"/>
        <v>130.67326898437494</v>
      </c>
      <c r="CX60" s="936">
        <f t="shared" ref="CX60" si="213">CS60*0.975</f>
        <v>130.67326898437494</v>
      </c>
      <c r="CY60" s="936">
        <f t="shared" ref="CY60" si="214">CT60*0.975</f>
        <v>130.67326898437494</v>
      </c>
      <c r="CZ60" s="943">
        <f>IFERROR(SUMPRODUCT(CV59:CY59,CV60:CY60)/CZ59,"--")</f>
        <v>130.67326898437494</v>
      </c>
      <c r="DA60" s="936">
        <f t="shared" ref="DA60" si="215">CV60*0.975</f>
        <v>127.40643725976557</v>
      </c>
      <c r="DB60" s="936">
        <f t="shared" ref="DB60" si="216">CW60*0.975</f>
        <v>127.40643725976557</v>
      </c>
      <c r="DC60" s="936">
        <f t="shared" ref="DC60" si="217">CX60*0.975</f>
        <v>127.40643725976557</v>
      </c>
      <c r="DD60" s="936">
        <f t="shared" ref="DD60" si="218">CY60*0.975</f>
        <v>127.40643725976557</v>
      </c>
      <c r="DE60" s="943">
        <f>IFERROR(SUMPRODUCT(DA59:DD59,DA60:DD60)/DE59,"--")</f>
        <v>127.40643725976557</v>
      </c>
      <c r="DF60" s="936">
        <f t="shared" ref="DF60" si="219">DA60*0.975</f>
        <v>124.22127632827143</v>
      </c>
      <c r="DG60" s="936">
        <f t="shared" ref="DG60" si="220">DB60*0.975</f>
        <v>124.22127632827143</v>
      </c>
      <c r="DH60" s="936">
        <f t="shared" ref="DH60" si="221">DC60*0.975</f>
        <v>124.22127632827143</v>
      </c>
      <c r="DI60" s="936">
        <f t="shared" ref="DI60" si="222">DD60*0.975</f>
        <v>124.22127632827143</v>
      </c>
      <c r="DJ60" s="1026">
        <f>IFERROR(SUMPRODUCT(DF59:DI59,DF60:DI60)/DJ59,"--")</f>
        <v>124.22127632827143</v>
      </c>
      <c r="DK60" s="936"/>
      <c r="DL60" s="936"/>
      <c r="DM60" s="936"/>
      <c r="DN60" s="936"/>
      <c r="DO60" s="1026" t="str">
        <f>IFERROR(SUMPRODUCT(DK59:DN59,DK60:DN60)/DO59,"--")</f>
        <v>--</v>
      </c>
      <c r="DP60" s="936"/>
      <c r="DQ60" s="939"/>
      <c r="DR60" s="939"/>
      <c r="DS60" s="939"/>
      <c r="DT60" s="1026" t="str">
        <f>IFERROR(SUMPRODUCT(DP59:DS59,DP60:DS60)/DT59,"--")</f>
        <v>--</v>
      </c>
      <c r="DU60" s="939"/>
      <c r="DV60" s="939"/>
      <c r="DW60" s="939"/>
      <c r="DX60" s="939"/>
      <c r="DY60" s="1026" t="str">
        <f>IFERROR(SUMPRODUCT(DU59:DX59,DU60:DX60)/DY59,"--")</f>
        <v>--</v>
      </c>
      <c r="DZ60" s="949"/>
      <c r="EA60" s="949"/>
      <c r="EB60" s="949"/>
    </row>
    <row r="61" spans="1:132" s="31" customFormat="1" ht="12" hidden="1" customHeight="1" outlineLevel="1">
      <c r="A61" s="74"/>
      <c r="B61" s="74" t="s">
        <v>619</v>
      </c>
      <c r="C61" s="930">
        <v>0</v>
      </c>
      <c r="D61" s="930">
        <v>0</v>
      </c>
      <c r="E61" s="930">
        <v>0</v>
      </c>
      <c r="F61" s="930">
        <v>0</v>
      </c>
      <c r="G61" s="930">
        <v>0</v>
      </c>
      <c r="H61" s="930">
        <v>0</v>
      </c>
      <c r="I61" s="930">
        <v>0</v>
      </c>
      <c r="J61" s="931">
        <v>0</v>
      </c>
      <c r="K61" s="931">
        <v>0</v>
      </c>
      <c r="L61" s="931">
        <v>0</v>
      </c>
      <c r="M61" s="931">
        <v>0</v>
      </c>
      <c r="N61" s="930">
        <f>SUM(J61:M61)</f>
        <v>0</v>
      </c>
      <c r="O61" s="931">
        <v>0</v>
      </c>
      <c r="P61" s="931">
        <v>0</v>
      </c>
      <c r="Q61" s="931">
        <v>0</v>
      </c>
      <c r="R61" s="931">
        <v>0</v>
      </c>
      <c r="S61" s="930">
        <f>SUM(O61:R61)</f>
        <v>0</v>
      </c>
      <c r="T61" s="931">
        <v>0</v>
      </c>
      <c r="U61" s="931">
        <v>0</v>
      </c>
      <c r="V61" s="931">
        <v>0</v>
      </c>
      <c r="W61" s="931">
        <v>0</v>
      </c>
      <c r="X61" s="930">
        <f>SUM(T61:W61)</f>
        <v>0</v>
      </c>
      <c r="Y61" s="931">
        <v>0</v>
      </c>
      <c r="Z61" s="931">
        <v>0</v>
      </c>
      <c r="AA61" s="931">
        <v>0</v>
      </c>
      <c r="AB61" s="931">
        <v>0</v>
      </c>
      <c r="AC61" s="930">
        <f>SUM(Y61:AB61)</f>
        <v>0</v>
      </c>
      <c r="AD61" s="931">
        <v>0</v>
      </c>
      <c r="AE61" s="931">
        <v>0</v>
      </c>
      <c r="AF61" s="931">
        <v>0</v>
      </c>
      <c r="AG61" s="931">
        <v>0</v>
      </c>
      <c r="AH61" s="930">
        <f>SUM(AD61:AG61)</f>
        <v>0</v>
      </c>
      <c r="AI61" s="931">
        <v>3</v>
      </c>
      <c r="AJ61" s="931">
        <v>4</v>
      </c>
      <c r="AK61" s="931">
        <v>2</v>
      </c>
      <c r="AL61" s="931">
        <v>7</v>
      </c>
      <c r="AM61" s="930">
        <f>SUM(AI61:AL61)</f>
        <v>16</v>
      </c>
      <c r="AN61" s="931">
        <v>6</v>
      </c>
      <c r="AO61" s="932">
        <v>3</v>
      </c>
      <c r="AP61" s="932">
        <v>11</v>
      </c>
      <c r="AQ61" s="931">
        <v>2</v>
      </c>
      <c r="AR61" s="930">
        <f>SUM(AN61:AQ61)</f>
        <v>22</v>
      </c>
      <c r="AS61" s="931">
        <v>1</v>
      </c>
      <c r="AT61" s="932">
        <v>3</v>
      </c>
      <c r="AU61" s="932">
        <v>5</v>
      </c>
      <c r="AV61" s="931">
        <v>6</v>
      </c>
      <c r="AW61" s="930">
        <f>SUM(AS61:AV61)</f>
        <v>15</v>
      </c>
      <c r="AX61" s="931">
        <v>5</v>
      </c>
      <c r="AY61" s="932">
        <v>3</v>
      </c>
      <c r="AZ61" s="932">
        <v>5</v>
      </c>
      <c r="BA61" s="931">
        <v>6</v>
      </c>
      <c r="BB61" s="930">
        <f>SUM(AX61:BA61)</f>
        <v>19</v>
      </c>
      <c r="BC61" s="931">
        <v>3</v>
      </c>
      <c r="BD61" s="932">
        <v>2</v>
      </c>
      <c r="BE61" s="932">
        <v>4</v>
      </c>
      <c r="BF61" s="931">
        <v>5</v>
      </c>
      <c r="BG61" s="930">
        <f>SUM(BC61:BF61)</f>
        <v>14</v>
      </c>
      <c r="BH61" s="931">
        <v>4</v>
      </c>
      <c r="BI61" s="932">
        <v>4</v>
      </c>
      <c r="BJ61" s="932">
        <v>2</v>
      </c>
      <c r="BK61" s="931">
        <v>3</v>
      </c>
      <c r="BL61" s="930">
        <f>SUM(BH61:BK61)</f>
        <v>13</v>
      </c>
      <c r="BM61" s="931">
        <v>6</v>
      </c>
      <c r="BN61" s="932">
        <v>2</v>
      </c>
      <c r="BO61" s="932">
        <v>8</v>
      </c>
      <c r="BP61" s="931">
        <v>3</v>
      </c>
      <c r="BQ61" s="930">
        <f>SUM(BM61:BP61)</f>
        <v>19</v>
      </c>
      <c r="BR61" s="932">
        <v>2</v>
      </c>
      <c r="BS61" s="931">
        <v>3</v>
      </c>
      <c r="BT61" s="932">
        <v>3</v>
      </c>
      <c r="BU61" s="931">
        <v>3</v>
      </c>
      <c r="BV61" s="930">
        <f>SUM(BR61:BU61)</f>
        <v>11</v>
      </c>
      <c r="BW61" s="932">
        <v>1</v>
      </c>
      <c r="BX61" s="931">
        <v>0</v>
      </c>
      <c r="BY61" s="932">
        <v>1</v>
      </c>
      <c r="BZ61" s="931">
        <v>7</v>
      </c>
      <c r="CA61" s="930">
        <f>SUM(BW61:BZ61)</f>
        <v>9</v>
      </c>
      <c r="CB61" s="932">
        <v>1</v>
      </c>
      <c r="CC61" s="931">
        <v>2</v>
      </c>
      <c r="CD61" s="932">
        <v>5</v>
      </c>
      <c r="CE61" s="931">
        <v>8</v>
      </c>
      <c r="CF61" s="930">
        <f>SUM(CB61:CE61)</f>
        <v>16</v>
      </c>
      <c r="CG61" s="292">
        <v>5</v>
      </c>
      <c r="CH61" s="292">
        <v>6</v>
      </c>
      <c r="CI61" s="292">
        <v>9</v>
      </c>
      <c r="CJ61" s="292">
        <v>5</v>
      </c>
      <c r="CK61" s="930">
        <f>SUM(CG61:CJ61)</f>
        <v>25</v>
      </c>
      <c r="CL61" s="292">
        <v>4</v>
      </c>
      <c r="CM61" s="292">
        <v>4</v>
      </c>
      <c r="CN61" s="292">
        <v>3</v>
      </c>
      <c r="CO61" s="292">
        <v>9</v>
      </c>
      <c r="CP61" s="930">
        <f>SUM(CL61:CO61)</f>
        <v>20</v>
      </c>
      <c r="CQ61" s="292">
        <v>1</v>
      </c>
      <c r="CR61" s="292">
        <v>8</v>
      </c>
      <c r="CS61" s="292">
        <v>4</v>
      </c>
      <c r="CT61" s="292">
        <v>3</v>
      </c>
      <c r="CU61" s="930">
        <f>SUM(CQ61:CT61)</f>
        <v>16</v>
      </c>
      <c r="CV61" s="292">
        <v>3</v>
      </c>
      <c r="CW61" s="292">
        <v>8</v>
      </c>
      <c r="CX61" s="292">
        <v>5</v>
      </c>
      <c r="CY61" s="292">
        <v>6</v>
      </c>
      <c r="CZ61" s="930">
        <f>SUM(CV61:CY61)</f>
        <v>22</v>
      </c>
      <c r="DA61" s="292">
        <v>4</v>
      </c>
      <c r="DB61" s="292">
        <v>5</v>
      </c>
      <c r="DC61" s="292">
        <v>7</v>
      </c>
      <c r="DD61" s="292">
        <v>9</v>
      </c>
      <c r="DE61" s="930">
        <f>SUM(DA61:DD61)</f>
        <v>25</v>
      </c>
      <c r="DF61" s="292">
        <v>0</v>
      </c>
      <c r="DG61" s="292">
        <v>7</v>
      </c>
      <c r="DH61" s="292">
        <v>4</v>
      </c>
      <c r="DI61" s="292">
        <v>2</v>
      </c>
      <c r="DJ61" s="1025">
        <f>SUM(DF61:DI61)</f>
        <v>13</v>
      </c>
      <c r="DK61" s="292">
        <v>7</v>
      </c>
      <c r="DL61" s="292">
        <v>13</v>
      </c>
      <c r="DM61" s="292">
        <v>9</v>
      </c>
      <c r="DN61" s="292">
        <v>6</v>
      </c>
      <c r="DO61" s="1025">
        <f>SUM(DK61:DN61)</f>
        <v>35</v>
      </c>
      <c r="DP61" s="292">
        <v>8</v>
      </c>
      <c r="DQ61" s="951">
        <v>7</v>
      </c>
      <c r="DR61" s="951">
        <v>1</v>
      </c>
      <c r="DS61" s="951">
        <v>1</v>
      </c>
      <c r="DT61" s="1025">
        <f>SUM(DP61:DS61)</f>
        <v>17</v>
      </c>
      <c r="DU61" s="951">
        <v>2</v>
      </c>
      <c r="DV61" s="951">
        <v>1</v>
      </c>
      <c r="DW61" s="951">
        <v>1</v>
      </c>
      <c r="DX61" s="951">
        <v>1</v>
      </c>
      <c r="DY61" s="1025">
        <f>SUM(DU61:DX61)</f>
        <v>5</v>
      </c>
      <c r="DZ61" s="950">
        <v>2</v>
      </c>
      <c r="EA61" s="950"/>
      <c r="EB61" s="950"/>
    </row>
    <row r="62" spans="1:132" s="941" customFormat="1" ht="12" hidden="1" customHeight="1" outlineLevel="1">
      <c r="A62" s="795"/>
      <c r="B62" s="942" t="s">
        <v>190</v>
      </c>
      <c r="C62" s="937"/>
      <c r="D62" s="937"/>
      <c r="E62" s="937"/>
      <c r="F62" s="937"/>
      <c r="G62" s="937"/>
      <c r="H62" s="937"/>
      <c r="I62" s="937"/>
      <c r="J62" s="936"/>
      <c r="K62" s="936"/>
      <c r="L62" s="936"/>
      <c r="M62" s="936"/>
      <c r="N62" s="943"/>
      <c r="O62" s="936"/>
      <c r="P62" s="936"/>
      <c r="Q62" s="936"/>
      <c r="R62" s="936"/>
      <c r="S62" s="943"/>
      <c r="T62" s="936"/>
      <c r="U62" s="936"/>
      <c r="V62" s="936"/>
      <c r="W62" s="936"/>
      <c r="X62" s="943"/>
      <c r="Y62" s="936"/>
      <c r="Z62" s="936"/>
      <c r="AA62" s="936"/>
      <c r="AB62" s="936"/>
      <c r="AC62" s="943"/>
      <c r="AD62" s="936"/>
      <c r="AE62" s="936"/>
      <c r="AF62" s="936"/>
      <c r="AG62" s="936"/>
      <c r="AH62" s="943"/>
      <c r="AI62" s="936"/>
      <c r="AJ62" s="936"/>
      <c r="AK62" s="936"/>
      <c r="AL62" s="936"/>
      <c r="AM62" s="943"/>
      <c r="AN62" s="936"/>
      <c r="AO62" s="938"/>
      <c r="AP62" s="938"/>
      <c r="AQ62" s="936"/>
      <c r="AR62" s="943"/>
      <c r="AS62" s="936"/>
      <c r="AT62" s="938"/>
      <c r="AU62" s="938"/>
      <c r="AV62" s="936"/>
      <c r="AW62" s="943"/>
      <c r="AX62" s="936"/>
      <c r="AY62" s="938"/>
      <c r="AZ62" s="938"/>
      <c r="BA62" s="936"/>
      <c r="BB62" s="943"/>
      <c r="BC62" s="936"/>
      <c r="BD62" s="938"/>
      <c r="BE62" s="938"/>
      <c r="BF62" s="936"/>
      <c r="BG62" s="943"/>
      <c r="BH62" s="936">
        <f>309.7*0.4</f>
        <v>123.88</v>
      </c>
      <c r="BI62" s="936">
        <f>309.7*0.4</f>
        <v>123.88</v>
      </c>
      <c r="BJ62" s="936">
        <f>309.7*0.4</f>
        <v>123.88</v>
      </c>
      <c r="BK62" s="936">
        <f>309.7*0.4</f>
        <v>123.88</v>
      </c>
      <c r="BL62" s="943">
        <f>IFERROR(SUMPRODUCT(BH61:BK61,BH62:BK62)/BL61,"--")</f>
        <v>123.88000000000001</v>
      </c>
      <c r="BM62" s="936">
        <f>318.7*0.4</f>
        <v>127.48</v>
      </c>
      <c r="BN62" s="936">
        <f>318.7*0.4</f>
        <v>127.48</v>
      </c>
      <c r="BO62" s="936">
        <f>318.7*0.4</f>
        <v>127.48</v>
      </c>
      <c r="BP62" s="936">
        <f>318.7*0.4</f>
        <v>127.48</v>
      </c>
      <c r="BQ62" s="943">
        <f>IFERROR(SUMPRODUCT(BM61:BP61,BM62:BP62)/BQ61,"--")</f>
        <v>127.47999999999999</v>
      </c>
      <c r="BR62" s="936">
        <f>318.7*0.4</f>
        <v>127.48</v>
      </c>
      <c r="BS62" s="936">
        <f>318.7*0.4</f>
        <v>127.48</v>
      </c>
      <c r="BT62" s="936">
        <f>318.7*0.4</f>
        <v>127.48</v>
      </c>
      <c r="BU62" s="936">
        <f>318.7*0.4</f>
        <v>127.48</v>
      </c>
      <c r="BV62" s="943">
        <f>IFERROR(SUMPRODUCT(BR61:BU61,BR62:BU62)/BV61,"--")</f>
        <v>127.48</v>
      </c>
      <c r="BW62" s="936">
        <f>325.7*0.4</f>
        <v>130.28</v>
      </c>
      <c r="BX62" s="936">
        <f>325.7*0.4</f>
        <v>130.28</v>
      </c>
      <c r="BY62" s="936">
        <f>325.7*0.4</f>
        <v>130.28</v>
      </c>
      <c r="BZ62" s="936">
        <f>325.7*0.4</f>
        <v>130.28</v>
      </c>
      <c r="CA62" s="943">
        <f>IFERROR(SUMPRODUCT(BW61:BZ61,BW62:BZ62)/CA61,"--")</f>
        <v>130.28</v>
      </c>
      <c r="CB62" s="936">
        <f>339.2*0.35</f>
        <v>118.71999999999998</v>
      </c>
      <c r="CC62" s="936">
        <f>339.2*0.35</f>
        <v>118.71999999999998</v>
      </c>
      <c r="CD62" s="936">
        <f>339.2*0.35</f>
        <v>118.71999999999998</v>
      </c>
      <c r="CE62" s="936">
        <f>339.2*0.35</f>
        <v>118.71999999999998</v>
      </c>
      <c r="CF62" s="943">
        <f>IFERROR(SUMPRODUCT(CB61:CE61,CB62:CE62)/CF61,"--")</f>
        <v>118.71999999999998</v>
      </c>
      <c r="CG62" s="936">
        <f>CB62*0.975</f>
        <v>115.75199999999998</v>
      </c>
      <c r="CH62" s="936">
        <f>CC62*0.975</f>
        <v>115.75199999999998</v>
      </c>
      <c r="CI62" s="936">
        <f>CD62*0.975</f>
        <v>115.75199999999998</v>
      </c>
      <c r="CJ62" s="936">
        <f>CE62*0.975</f>
        <v>115.75199999999998</v>
      </c>
      <c r="CK62" s="943">
        <f>IFERROR(SUMPRODUCT(CG61:CJ61,CG62:CJ62)/CK61,"--")</f>
        <v>115.752</v>
      </c>
      <c r="CL62" s="936">
        <f>CG62*0.975</f>
        <v>112.85819999999998</v>
      </c>
      <c r="CM62" s="936">
        <f>CH62*0.975</f>
        <v>112.85819999999998</v>
      </c>
      <c r="CN62" s="936">
        <f>CI62*0.975</f>
        <v>112.85819999999998</v>
      </c>
      <c r="CO62" s="936">
        <f>CJ62*0.975</f>
        <v>112.85819999999998</v>
      </c>
      <c r="CP62" s="943">
        <f>IFERROR(SUMPRODUCT(CL61:CO61,CL62:CO62)/CP61,"--")</f>
        <v>112.85819999999998</v>
      </c>
      <c r="CQ62" s="936">
        <f t="shared" ref="CQ62:CT62" si="223">CL62*0.975</f>
        <v>110.03674499999998</v>
      </c>
      <c r="CR62" s="936">
        <f t="shared" si="223"/>
        <v>110.03674499999998</v>
      </c>
      <c r="CS62" s="936">
        <f t="shared" si="223"/>
        <v>110.03674499999998</v>
      </c>
      <c r="CT62" s="936">
        <f t="shared" si="223"/>
        <v>110.03674499999998</v>
      </c>
      <c r="CU62" s="943">
        <f>IFERROR(SUMPRODUCT(CQ61:CT61,CQ62:CT62)/CU61,"--")</f>
        <v>110.03674499999998</v>
      </c>
      <c r="CV62" s="936">
        <f t="shared" ref="CV62:CW62" si="224">CQ62*0.975</f>
        <v>107.28582637499998</v>
      </c>
      <c r="CW62" s="936">
        <f t="shared" si="224"/>
        <v>107.28582637499998</v>
      </c>
      <c r="CX62" s="936">
        <f t="shared" ref="CX62" si="225">CS62*0.975</f>
        <v>107.28582637499998</v>
      </c>
      <c r="CY62" s="936">
        <f t="shared" ref="CY62" si="226">CT62*0.975</f>
        <v>107.28582637499998</v>
      </c>
      <c r="CZ62" s="943">
        <f>IFERROR(SUMPRODUCT(CV61:CY61,CV62:CY62)/CZ61,"--")</f>
        <v>107.28582637499998</v>
      </c>
      <c r="DA62" s="936">
        <f>CY62*0.99</f>
        <v>106.21296811124998</v>
      </c>
      <c r="DB62" s="936">
        <f>DA62</f>
        <v>106.21296811124998</v>
      </c>
      <c r="DC62" s="936">
        <f>DB62</f>
        <v>106.21296811124998</v>
      </c>
      <c r="DD62" s="936">
        <f>DC62</f>
        <v>106.21296811124998</v>
      </c>
      <c r="DE62" s="943">
        <f>IFERROR(SUMPRODUCT(DA61:DD61,DA62:DD62)/DE61,"--")</f>
        <v>106.21296811124998</v>
      </c>
      <c r="DF62" s="936">
        <f>DA62*1</f>
        <v>106.21296811124998</v>
      </c>
      <c r="DG62" s="936">
        <f>DB62*1</f>
        <v>106.21296811124998</v>
      </c>
      <c r="DH62" s="936">
        <f>DC62*1</f>
        <v>106.21296811124998</v>
      </c>
      <c r="DI62" s="936">
        <f>DD62*1</f>
        <v>106.21296811124998</v>
      </c>
      <c r="DJ62" s="1026">
        <f>IFERROR(SUMPRODUCT(DF61:DI61,DF62:DI62)/DJ61,"--")</f>
        <v>106.21296811124998</v>
      </c>
      <c r="DK62" s="936">
        <f>DF62*1</f>
        <v>106.21296811124998</v>
      </c>
      <c r="DL62" s="936">
        <f>DG62*1</f>
        <v>106.21296811124998</v>
      </c>
      <c r="DM62" s="936">
        <f>DH62*1</f>
        <v>106.21296811124998</v>
      </c>
      <c r="DN62" s="936">
        <f>DI62*1</f>
        <v>106.21296811124998</v>
      </c>
      <c r="DO62" s="1026">
        <f>IFERROR(SUMPRODUCT(DK61:DN61,DK62:DN62)/DO61,"--")</f>
        <v>106.21296811124998</v>
      </c>
      <c r="DP62" s="936">
        <f>DK62*1</f>
        <v>106.21296811124998</v>
      </c>
      <c r="DQ62" s="939">
        <f>DL62*1</f>
        <v>106.21296811124998</v>
      </c>
      <c r="DR62" s="939">
        <f>DM62*1</f>
        <v>106.21296811124998</v>
      </c>
      <c r="DS62" s="939">
        <f>DN62*1</f>
        <v>106.21296811124998</v>
      </c>
      <c r="DT62" s="1026">
        <f>IFERROR(SUMPRODUCT(DP61:DS61,DP62:DS62)/DT61,"--")</f>
        <v>106.21296811124996</v>
      </c>
      <c r="DU62" s="939">
        <f>DP62*1</f>
        <v>106.21296811124998</v>
      </c>
      <c r="DV62" s="939">
        <f>DQ62*1</f>
        <v>106.21296811124998</v>
      </c>
      <c r="DW62" s="939">
        <f>DR62*1</f>
        <v>106.21296811124998</v>
      </c>
      <c r="DX62" s="939">
        <f>DS62*1</f>
        <v>106.21296811124998</v>
      </c>
      <c r="DY62" s="1026">
        <f>IFERROR(SUMPRODUCT(DU61:DX61,DU62:DX62)/DY61,"--")</f>
        <v>106.21296811124998</v>
      </c>
      <c r="DZ62" s="949">
        <f>DY62*1</f>
        <v>106.21296811124998</v>
      </c>
      <c r="EA62" s="949"/>
      <c r="EB62" s="949"/>
    </row>
    <row r="63" spans="1:132" s="31" customFormat="1" ht="12" hidden="1" customHeight="1" outlineLevel="1">
      <c r="A63" s="74"/>
      <c r="B63" s="74" t="s">
        <v>626</v>
      </c>
      <c r="C63" s="930"/>
      <c r="D63" s="930"/>
      <c r="E63" s="930"/>
      <c r="F63" s="930"/>
      <c r="G63" s="930"/>
      <c r="H63" s="930"/>
      <c r="I63" s="930"/>
      <c r="J63" s="931"/>
      <c r="K63" s="931"/>
      <c r="L63" s="931"/>
      <c r="M63" s="931"/>
      <c r="N63" s="930"/>
      <c r="O63" s="931"/>
      <c r="P63" s="931"/>
      <c r="Q63" s="931"/>
      <c r="R63" s="931"/>
      <c r="S63" s="930"/>
      <c r="T63" s="931"/>
      <c r="U63" s="931"/>
      <c r="V63" s="931"/>
      <c r="W63" s="931"/>
      <c r="X63" s="930"/>
      <c r="Y63" s="931"/>
      <c r="Z63" s="931"/>
      <c r="AA63" s="931"/>
      <c r="AB63" s="931"/>
      <c r="AC63" s="930"/>
      <c r="AD63" s="931"/>
      <c r="AE63" s="931"/>
      <c r="AF63" s="931"/>
      <c r="AG63" s="931"/>
      <c r="AH63" s="930"/>
      <c r="AI63" s="931"/>
      <c r="AJ63" s="931"/>
      <c r="AK63" s="931"/>
      <c r="AL63" s="931"/>
      <c r="AM63" s="930"/>
      <c r="AN63" s="931"/>
      <c r="AO63" s="932"/>
      <c r="AP63" s="932"/>
      <c r="AQ63" s="931"/>
      <c r="AR63" s="930"/>
      <c r="AS63" s="931"/>
      <c r="AT63" s="932"/>
      <c r="AU63" s="932"/>
      <c r="AV63" s="931"/>
      <c r="AW63" s="930"/>
      <c r="AX63" s="931"/>
      <c r="AY63" s="932"/>
      <c r="AZ63" s="932"/>
      <c r="BA63" s="931"/>
      <c r="BB63" s="930"/>
      <c r="BC63" s="931"/>
      <c r="BD63" s="932"/>
      <c r="BE63" s="932"/>
      <c r="BF63" s="931"/>
      <c r="BG63" s="930"/>
      <c r="BH63" s="931"/>
      <c r="BI63" s="932"/>
      <c r="BJ63" s="932"/>
      <c r="BK63" s="931"/>
      <c r="BL63" s="930"/>
      <c r="BM63" s="931"/>
      <c r="BN63" s="932"/>
      <c r="BO63" s="932"/>
      <c r="BP63" s="931"/>
      <c r="BQ63" s="930"/>
      <c r="BR63" s="932"/>
      <c r="BS63" s="931"/>
      <c r="BT63" s="932"/>
      <c r="BU63" s="931"/>
      <c r="BV63" s="930"/>
      <c r="BW63" s="932"/>
      <c r="BX63" s="931"/>
      <c r="BY63" s="932"/>
      <c r="BZ63" s="931"/>
      <c r="CA63" s="930"/>
      <c r="CB63" s="932"/>
      <c r="CC63" s="931"/>
      <c r="CD63" s="932"/>
      <c r="CE63" s="931"/>
      <c r="CF63" s="930"/>
      <c r="CG63" s="292"/>
      <c r="CH63" s="292"/>
      <c r="CI63" s="292"/>
      <c r="CJ63" s="292"/>
      <c r="CK63" s="930"/>
      <c r="CL63" s="292">
        <v>0</v>
      </c>
      <c r="CM63" s="292">
        <v>0</v>
      </c>
      <c r="CN63" s="292">
        <v>0</v>
      </c>
      <c r="CO63" s="292">
        <v>0</v>
      </c>
      <c r="CP63" s="930">
        <f>SUM(CL63:CO63)</f>
        <v>0</v>
      </c>
      <c r="CQ63" s="292">
        <v>0</v>
      </c>
      <c r="CR63" s="292">
        <v>0</v>
      </c>
      <c r="CS63" s="292">
        <v>0</v>
      </c>
      <c r="CT63" s="292">
        <v>0</v>
      </c>
      <c r="CU63" s="930">
        <f>SUM(CQ63:CT63)</f>
        <v>0</v>
      </c>
      <c r="CV63" s="292">
        <v>0</v>
      </c>
      <c r="CW63" s="292">
        <v>0</v>
      </c>
      <c r="CX63" s="292">
        <v>0</v>
      </c>
      <c r="CY63" s="292">
        <v>0</v>
      </c>
      <c r="CZ63" s="930">
        <f>SUM(CV63:CY63)</f>
        <v>0</v>
      </c>
      <c r="DA63" s="292">
        <v>0</v>
      </c>
      <c r="DB63" s="292">
        <v>0</v>
      </c>
      <c r="DC63" s="292">
        <v>0</v>
      </c>
      <c r="DD63" s="292">
        <v>0</v>
      </c>
      <c r="DE63" s="930">
        <f>SUM(DA63:DD63)</f>
        <v>0</v>
      </c>
      <c r="DF63" s="292">
        <v>0</v>
      </c>
      <c r="DG63" s="292">
        <v>0</v>
      </c>
      <c r="DH63" s="292">
        <v>0</v>
      </c>
      <c r="DI63" s="292">
        <v>0</v>
      </c>
      <c r="DJ63" s="1025">
        <f>SUM(DF63:DI63)</f>
        <v>0</v>
      </c>
      <c r="DK63" s="292">
        <v>0</v>
      </c>
      <c r="DL63" s="292">
        <v>0</v>
      </c>
      <c r="DM63" s="292">
        <v>0</v>
      </c>
      <c r="DN63" s="292">
        <v>0</v>
      </c>
      <c r="DO63" s="1025">
        <f>SUM(DK63:DN63)</f>
        <v>0</v>
      </c>
      <c r="DP63" s="292">
        <v>0</v>
      </c>
      <c r="DQ63" s="951">
        <v>0</v>
      </c>
      <c r="DR63" s="951">
        <v>0</v>
      </c>
      <c r="DS63" s="951">
        <v>0</v>
      </c>
      <c r="DT63" s="1025">
        <f>SUM(DP63:DS63)</f>
        <v>0</v>
      </c>
      <c r="DU63" s="951">
        <v>1</v>
      </c>
      <c r="DV63" s="951">
        <v>3</v>
      </c>
      <c r="DW63" s="951">
        <v>3</v>
      </c>
      <c r="DX63" s="951">
        <v>5</v>
      </c>
      <c r="DY63" s="1025">
        <f>SUM(DU63:DX63)</f>
        <v>12</v>
      </c>
      <c r="DZ63" s="950">
        <v>16</v>
      </c>
      <c r="EA63" s="950">
        <v>18</v>
      </c>
      <c r="EB63" s="950">
        <v>20</v>
      </c>
    </row>
    <row r="64" spans="1:132" s="941" customFormat="1" ht="12" hidden="1" customHeight="1" outlineLevel="1">
      <c r="A64" s="795"/>
      <c r="B64" s="942" t="s">
        <v>190</v>
      </c>
      <c r="C64" s="937"/>
      <c r="D64" s="937"/>
      <c r="E64" s="937"/>
      <c r="F64" s="937"/>
      <c r="G64" s="937"/>
      <c r="H64" s="937"/>
      <c r="I64" s="937"/>
      <c r="J64" s="936"/>
      <c r="K64" s="936"/>
      <c r="L64" s="936"/>
      <c r="M64" s="936"/>
      <c r="N64" s="943"/>
      <c r="O64" s="936"/>
      <c r="P64" s="936"/>
      <c r="Q64" s="936"/>
      <c r="R64" s="936"/>
      <c r="S64" s="943"/>
      <c r="T64" s="936"/>
      <c r="U64" s="936"/>
      <c r="V64" s="936"/>
      <c r="W64" s="936"/>
      <c r="X64" s="943"/>
      <c r="Y64" s="936"/>
      <c r="Z64" s="936"/>
      <c r="AA64" s="936"/>
      <c r="AB64" s="936"/>
      <c r="AC64" s="943"/>
      <c r="AD64" s="936"/>
      <c r="AE64" s="936"/>
      <c r="AF64" s="936"/>
      <c r="AG64" s="936"/>
      <c r="AH64" s="943"/>
      <c r="AI64" s="936"/>
      <c r="AJ64" s="936"/>
      <c r="AK64" s="936"/>
      <c r="AL64" s="936"/>
      <c r="AM64" s="943"/>
      <c r="AN64" s="936"/>
      <c r="AO64" s="938"/>
      <c r="AP64" s="938"/>
      <c r="AQ64" s="936"/>
      <c r="AR64" s="943"/>
      <c r="AS64" s="936"/>
      <c r="AT64" s="938"/>
      <c r="AU64" s="938"/>
      <c r="AV64" s="936"/>
      <c r="AW64" s="943"/>
      <c r="AX64" s="936"/>
      <c r="AY64" s="938"/>
      <c r="AZ64" s="938"/>
      <c r="BA64" s="936"/>
      <c r="BB64" s="943"/>
      <c r="BC64" s="936"/>
      <c r="BD64" s="938"/>
      <c r="BE64" s="938"/>
      <c r="BF64" s="936"/>
      <c r="BG64" s="943"/>
      <c r="BH64" s="936"/>
      <c r="BI64" s="936"/>
      <c r="BJ64" s="936"/>
      <c r="BK64" s="936"/>
      <c r="BL64" s="943"/>
      <c r="BM64" s="936"/>
      <c r="BN64" s="936"/>
      <c r="BO64" s="936"/>
      <c r="BP64" s="936"/>
      <c r="BQ64" s="943"/>
      <c r="BR64" s="936"/>
      <c r="BS64" s="936"/>
      <c r="BT64" s="936"/>
      <c r="BU64" s="936"/>
      <c r="BV64" s="943"/>
      <c r="BW64" s="936"/>
      <c r="BX64" s="936"/>
      <c r="BY64" s="936"/>
      <c r="BZ64" s="936"/>
      <c r="CA64" s="943"/>
      <c r="CB64" s="936">
        <f>394.9*0.425</f>
        <v>167.83249999999998</v>
      </c>
      <c r="CC64" s="936">
        <f>394.9*0.425</f>
        <v>167.83249999999998</v>
      </c>
      <c r="CD64" s="936">
        <f>394.9*0.425</f>
        <v>167.83249999999998</v>
      </c>
      <c r="CE64" s="936">
        <f>394.9*0.425</f>
        <v>167.83249999999998</v>
      </c>
      <c r="CF64" s="943" t="str">
        <f>IFERROR(SUMPRODUCT(CB63:CE63,CB64:CE64)/CF63,"--")</f>
        <v>--</v>
      </c>
      <c r="CG64" s="936">
        <f>CB64*1.01</f>
        <v>169.51082499999998</v>
      </c>
      <c r="CH64" s="936">
        <f>CC64*1.01</f>
        <v>169.51082499999998</v>
      </c>
      <c r="CI64" s="936">
        <f>CD64*1.01</f>
        <v>169.51082499999998</v>
      </c>
      <c r="CJ64" s="936">
        <f>CE64*1.01</f>
        <v>169.51082499999998</v>
      </c>
      <c r="CK64" s="943" t="str">
        <f>IFERROR(SUMPRODUCT(CG63:CJ63,CG64:CJ64)/CK63,"--")</f>
        <v>--</v>
      </c>
      <c r="CL64" s="936">
        <f>CG64*1</f>
        <v>169.51082499999998</v>
      </c>
      <c r="CM64" s="936">
        <f>CH64*1</f>
        <v>169.51082499999998</v>
      </c>
      <c r="CN64" s="936">
        <f>CI64*1</f>
        <v>169.51082499999998</v>
      </c>
      <c r="CO64" s="936">
        <f>CJ64*1</f>
        <v>169.51082499999998</v>
      </c>
      <c r="CP64" s="943">
        <f>CO64</f>
        <v>169.51082499999998</v>
      </c>
      <c r="CQ64" s="936">
        <f t="shared" ref="CQ64:CT64" si="227">CL64*1</f>
        <v>169.51082499999998</v>
      </c>
      <c r="CR64" s="936">
        <f t="shared" si="227"/>
        <v>169.51082499999998</v>
      </c>
      <c r="CS64" s="936">
        <f t="shared" si="227"/>
        <v>169.51082499999998</v>
      </c>
      <c r="CT64" s="936">
        <f t="shared" si="227"/>
        <v>169.51082499999998</v>
      </c>
      <c r="CU64" s="943">
        <f>CT64</f>
        <v>169.51082499999998</v>
      </c>
      <c r="CV64" s="936">
        <f t="shared" ref="CV64:CW64" si="228">CQ64*1</f>
        <v>169.51082499999998</v>
      </c>
      <c r="CW64" s="936">
        <f t="shared" si="228"/>
        <v>169.51082499999998</v>
      </c>
      <c r="CX64" s="936">
        <f t="shared" ref="CX64" si="229">CS64*1</f>
        <v>169.51082499999998</v>
      </c>
      <c r="CY64" s="936">
        <f t="shared" ref="CY64" si="230">CT64*1</f>
        <v>169.51082499999998</v>
      </c>
      <c r="CZ64" s="943">
        <f>CY64</f>
        <v>169.51082499999998</v>
      </c>
      <c r="DA64" s="936">
        <f t="shared" ref="DA64" si="231">CV64*1</f>
        <v>169.51082499999998</v>
      </c>
      <c r="DB64" s="936">
        <f t="shared" ref="DB64" si="232">CW64*1</f>
        <v>169.51082499999998</v>
      </c>
      <c r="DC64" s="936">
        <f t="shared" ref="DC64" si="233">CX64*1</f>
        <v>169.51082499999998</v>
      </c>
      <c r="DD64" s="936">
        <f t="shared" ref="DD64" si="234">CY64*1</f>
        <v>169.51082499999998</v>
      </c>
      <c r="DE64" s="943">
        <f>DD64</f>
        <v>169.51082499999998</v>
      </c>
      <c r="DF64" s="936">
        <f>DA64*1</f>
        <v>169.51082499999998</v>
      </c>
      <c r="DG64" s="936">
        <f>DB64*1</f>
        <v>169.51082499999998</v>
      </c>
      <c r="DH64" s="936">
        <f>DC64*1</f>
        <v>169.51082499999998</v>
      </c>
      <c r="DI64" s="936">
        <f>DD64*1</f>
        <v>169.51082499999998</v>
      </c>
      <c r="DJ64" s="1026">
        <f>DI64</f>
        <v>169.51082499999998</v>
      </c>
      <c r="DK64" s="936">
        <f>DF64*1</f>
        <v>169.51082499999998</v>
      </c>
      <c r="DL64" s="936">
        <f>DG64*1</f>
        <v>169.51082499999998</v>
      </c>
      <c r="DM64" s="936">
        <f>DH64*1</f>
        <v>169.51082499999998</v>
      </c>
      <c r="DN64" s="936">
        <f>DI64*1</f>
        <v>169.51082499999998</v>
      </c>
      <c r="DO64" s="1026">
        <f>DN64</f>
        <v>169.51082499999998</v>
      </c>
      <c r="DP64" s="936">
        <f>DK64*1</f>
        <v>169.51082499999998</v>
      </c>
      <c r="DQ64" s="939">
        <f>DL64*1</f>
        <v>169.51082499999998</v>
      </c>
      <c r="DR64" s="939">
        <f>DM64*1</f>
        <v>169.51082499999998</v>
      </c>
      <c r="DS64" s="939">
        <f>DN64*1</f>
        <v>169.51082499999998</v>
      </c>
      <c r="DT64" s="1026">
        <f>DS64</f>
        <v>169.51082499999998</v>
      </c>
      <c r="DU64" s="939">
        <f>DP64*1</f>
        <v>169.51082499999998</v>
      </c>
      <c r="DV64" s="939">
        <f>DQ64*1</f>
        <v>169.51082499999998</v>
      </c>
      <c r="DW64" s="939">
        <f>DR64*1</f>
        <v>169.51082499999998</v>
      </c>
      <c r="DX64" s="939">
        <f>DS64*1</f>
        <v>169.51082499999998</v>
      </c>
      <c r="DY64" s="1026">
        <f>DX64</f>
        <v>169.51082499999998</v>
      </c>
      <c r="DZ64" s="949">
        <v>172</v>
      </c>
      <c r="EA64" s="949">
        <v>173</v>
      </c>
      <c r="EB64" s="949">
        <v>174</v>
      </c>
    </row>
    <row r="65" spans="1:132" s="31" customFormat="1" ht="12" hidden="1" customHeight="1" outlineLevel="1">
      <c r="A65" s="74"/>
      <c r="B65" s="74" t="s">
        <v>627</v>
      </c>
      <c r="C65" s="930"/>
      <c r="D65" s="930"/>
      <c r="E65" s="930"/>
      <c r="F65" s="930"/>
      <c r="G65" s="930"/>
      <c r="H65" s="930"/>
      <c r="I65" s="930"/>
      <c r="J65" s="931"/>
      <c r="K65" s="931"/>
      <c r="L65" s="931"/>
      <c r="M65" s="931"/>
      <c r="N65" s="930"/>
      <c r="O65" s="931"/>
      <c r="P65" s="931"/>
      <c r="Q65" s="931"/>
      <c r="R65" s="931"/>
      <c r="S65" s="930"/>
      <c r="T65" s="931"/>
      <c r="U65" s="931"/>
      <c r="V65" s="931"/>
      <c r="W65" s="931"/>
      <c r="X65" s="930"/>
      <c r="Y65" s="931"/>
      <c r="Z65" s="931"/>
      <c r="AA65" s="931"/>
      <c r="AB65" s="931"/>
      <c r="AC65" s="930"/>
      <c r="AD65" s="931"/>
      <c r="AE65" s="931"/>
      <c r="AF65" s="931"/>
      <c r="AG65" s="931"/>
      <c r="AH65" s="930"/>
      <c r="AI65" s="931"/>
      <c r="AJ65" s="931"/>
      <c r="AK65" s="931"/>
      <c r="AL65" s="931"/>
      <c r="AM65" s="930"/>
      <c r="AN65" s="931"/>
      <c r="AO65" s="932"/>
      <c r="AP65" s="932"/>
      <c r="AQ65" s="931"/>
      <c r="AR65" s="930"/>
      <c r="AS65" s="931"/>
      <c r="AT65" s="932"/>
      <c r="AU65" s="932"/>
      <c r="AV65" s="931"/>
      <c r="AW65" s="930"/>
      <c r="AX65" s="931"/>
      <c r="AY65" s="932"/>
      <c r="AZ65" s="932"/>
      <c r="BA65" s="931"/>
      <c r="BB65" s="930"/>
      <c r="BC65" s="931"/>
      <c r="BD65" s="932"/>
      <c r="BE65" s="932"/>
      <c r="BF65" s="931"/>
      <c r="BG65" s="930"/>
      <c r="BH65" s="931"/>
      <c r="BI65" s="932"/>
      <c r="BJ65" s="932"/>
      <c r="BK65" s="931"/>
      <c r="BL65" s="930"/>
      <c r="BM65" s="931"/>
      <c r="BN65" s="932"/>
      <c r="BO65" s="932"/>
      <c r="BP65" s="931"/>
      <c r="BQ65" s="930"/>
      <c r="BR65" s="932"/>
      <c r="BS65" s="931"/>
      <c r="BT65" s="932"/>
      <c r="BU65" s="931"/>
      <c r="BV65" s="930"/>
      <c r="BW65" s="932"/>
      <c r="BX65" s="931"/>
      <c r="BY65" s="932"/>
      <c r="BZ65" s="931"/>
      <c r="CA65" s="930"/>
      <c r="CB65" s="932"/>
      <c r="CC65" s="931"/>
      <c r="CD65" s="932"/>
      <c r="CE65" s="931"/>
      <c r="CF65" s="930"/>
      <c r="CG65" s="292">
        <v>0</v>
      </c>
      <c r="CH65" s="292">
        <v>0</v>
      </c>
      <c r="CI65" s="292">
        <v>0</v>
      </c>
      <c r="CJ65" s="292">
        <v>0</v>
      </c>
      <c r="CK65" s="930">
        <f>SUM(CG65:CJ65)</f>
        <v>0</v>
      </c>
      <c r="CL65" s="292">
        <v>0</v>
      </c>
      <c r="CM65" s="292">
        <v>0</v>
      </c>
      <c r="CN65" s="292">
        <v>0</v>
      </c>
      <c r="CO65" s="292">
        <v>0</v>
      </c>
      <c r="CP65" s="930">
        <f>SUM(CL65:CO65)</f>
        <v>0</v>
      </c>
      <c r="CQ65" s="292">
        <v>0</v>
      </c>
      <c r="CR65" s="292">
        <v>0</v>
      </c>
      <c r="CS65" s="292">
        <v>0</v>
      </c>
      <c r="CT65" s="292">
        <v>0</v>
      </c>
      <c r="CU65" s="930">
        <f>SUM(CQ65:CT65)</f>
        <v>0</v>
      </c>
      <c r="CV65" s="292">
        <v>0</v>
      </c>
      <c r="CW65" s="292">
        <v>0</v>
      </c>
      <c r="CX65" s="292">
        <v>0</v>
      </c>
      <c r="CY65" s="292">
        <v>0</v>
      </c>
      <c r="CZ65" s="930">
        <f>SUM(CV65:CY65)</f>
        <v>0</v>
      </c>
      <c r="DA65" s="292">
        <v>0</v>
      </c>
      <c r="DB65" s="292">
        <v>0</v>
      </c>
      <c r="DC65" s="292">
        <v>0</v>
      </c>
      <c r="DD65" s="292">
        <v>0</v>
      </c>
      <c r="DE65" s="930">
        <f>SUM(DA65:DD65)</f>
        <v>0</v>
      </c>
      <c r="DF65" s="292">
        <v>0</v>
      </c>
      <c r="DG65" s="292">
        <v>0</v>
      </c>
      <c r="DH65" s="292">
        <v>0</v>
      </c>
      <c r="DI65" s="292">
        <v>0</v>
      </c>
      <c r="DJ65" s="1025">
        <f>SUM(DF65:DI65)</f>
        <v>0</v>
      </c>
      <c r="DK65" s="292">
        <v>0</v>
      </c>
      <c r="DL65" s="292">
        <v>0</v>
      </c>
      <c r="DM65" s="292">
        <v>0</v>
      </c>
      <c r="DN65" s="292">
        <v>0</v>
      </c>
      <c r="DO65" s="1025">
        <f>SUM(DK65:DN65)</f>
        <v>0</v>
      </c>
      <c r="DP65" s="292">
        <v>0</v>
      </c>
      <c r="DQ65" s="951">
        <v>0</v>
      </c>
      <c r="DR65" s="951">
        <v>0</v>
      </c>
      <c r="DS65" s="951">
        <v>0</v>
      </c>
      <c r="DT65" s="1025">
        <f>SUM(DP65:DS65)</f>
        <v>0</v>
      </c>
      <c r="DU65" s="951">
        <v>1</v>
      </c>
      <c r="DV65" s="951">
        <v>3</v>
      </c>
      <c r="DW65" s="951">
        <v>4</v>
      </c>
      <c r="DX65" s="951">
        <v>6</v>
      </c>
      <c r="DY65" s="1025">
        <f>SUM(DU65:DX65)</f>
        <v>14</v>
      </c>
      <c r="DZ65" s="950">
        <v>28</v>
      </c>
      <c r="EA65" s="950">
        <v>42</v>
      </c>
      <c r="EB65" s="950">
        <v>45</v>
      </c>
    </row>
    <row r="66" spans="1:132" s="941" customFormat="1" ht="12" hidden="1" customHeight="1" outlineLevel="1">
      <c r="A66" s="795"/>
      <c r="B66" s="942" t="s">
        <v>190</v>
      </c>
      <c r="C66" s="937"/>
      <c r="D66" s="937"/>
      <c r="E66" s="937"/>
      <c r="F66" s="937"/>
      <c r="G66" s="937"/>
      <c r="H66" s="937"/>
      <c r="I66" s="937"/>
      <c r="J66" s="936"/>
      <c r="K66" s="936"/>
      <c r="L66" s="936"/>
      <c r="M66" s="936"/>
      <c r="N66" s="943"/>
      <c r="O66" s="936"/>
      <c r="P66" s="936"/>
      <c r="Q66" s="936"/>
      <c r="R66" s="936"/>
      <c r="S66" s="943"/>
      <c r="T66" s="936"/>
      <c r="U66" s="936"/>
      <c r="V66" s="936"/>
      <c r="W66" s="936"/>
      <c r="X66" s="943"/>
      <c r="Y66" s="936"/>
      <c r="Z66" s="936"/>
      <c r="AA66" s="936"/>
      <c r="AB66" s="936"/>
      <c r="AC66" s="943"/>
      <c r="AD66" s="936"/>
      <c r="AE66" s="936"/>
      <c r="AF66" s="936"/>
      <c r="AG66" s="936"/>
      <c r="AH66" s="943"/>
      <c r="AI66" s="936"/>
      <c r="AJ66" s="936"/>
      <c r="AK66" s="936"/>
      <c r="AL66" s="936"/>
      <c r="AM66" s="943"/>
      <c r="AN66" s="936"/>
      <c r="AO66" s="938"/>
      <c r="AP66" s="938"/>
      <c r="AQ66" s="936"/>
      <c r="AR66" s="943"/>
      <c r="AS66" s="936"/>
      <c r="AT66" s="938"/>
      <c r="AU66" s="938"/>
      <c r="AV66" s="936"/>
      <c r="AW66" s="943"/>
      <c r="AX66" s="936"/>
      <c r="AY66" s="938"/>
      <c r="AZ66" s="938"/>
      <c r="BA66" s="936"/>
      <c r="BB66" s="943"/>
      <c r="BC66" s="936"/>
      <c r="BD66" s="938"/>
      <c r="BE66" s="938"/>
      <c r="BF66" s="936"/>
      <c r="BG66" s="943"/>
      <c r="BH66" s="936"/>
      <c r="BI66" s="936"/>
      <c r="BJ66" s="936"/>
      <c r="BK66" s="936"/>
      <c r="BL66" s="943"/>
      <c r="BM66" s="936"/>
      <c r="BN66" s="936"/>
      <c r="BO66" s="936"/>
      <c r="BP66" s="936"/>
      <c r="BQ66" s="943"/>
      <c r="BR66" s="936"/>
      <c r="BS66" s="936"/>
      <c r="BT66" s="936"/>
      <c r="BU66" s="936"/>
      <c r="BV66" s="943"/>
      <c r="BW66" s="936"/>
      <c r="BX66" s="936"/>
      <c r="BY66" s="936"/>
      <c r="BZ66" s="936"/>
      <c r="CA66" s="943"/>
      <c r="CB66" s="936">
        <f>425.8*0.425</f>
        <v>180.965</v>
      </c>
      <c r="CC66" s="936">
        <f>425.8*0.425</f>
        <v>180.965</v>
      </c>
      <c r="CD66" s="936">
        <f>425.8*0.425</f>
        <v>180.965</v>
      </c>
      <c r="CE66" s="936">
        <f>425.8*0.425</f>
        <v>180.965</v>
      </c>
      <c r="CF66" s="943" t="str">
        <f>IFERROR(SUMPRODUCT(CB65:CE65,CB66:CE66)/CF65,"--")</f>
        <v>--</v>
      </c>
      <c r="CG66" s="936">
        <f>CB66*1.01</f>
        <v>182.77465000000001</v>
      </c>
      <c r="CH66" s="936">
        <f>CC66*1.01</f>
        <v>182.77465000000001</v>
      </c>
      <c r="CI66" s="936">
        <f>CD66*1.01</f>
        <v>182.77465000000001</v>
      </c>
      <c r="CJ66" s="936">
        <f>CE66*1.01</f>
        <v>182.77465000000001</v>
      </c>
      <c r="CK66" s="943" t="str">
        <f>IFERROR(SUMPRODUCT(CG65:CJ65,CG66:CJ66)/CK65,"--")</f>
        <v>--</v>
      </c>
      <c r="CL66" s="936">
        <f>CG66*1</f>
        <v>182.77465000000001</v>
      </c>
      <c r="CM66" s="936">
        <f>CH66*1</f>
        <v>182.77465000000001</v>
      </c>
      <c r="CN66" s="936">
        <f>CI66*1</f>
        <v>182.77465000000001</v>
      </c>
      <c r="CO66" s="936">
        <f>CJ66*1</f>
        <v>182.77465000000001</v>
      </c>
      <c r="CP66" s="943" t="str">
        <f>IFERROR(SUMPRODUCT(CL65:CO65,CL66:CO66)/CP65,"--")</f>
        <v>--</v>
      </c>
      <c r="CQ66" s="936">
        <v>186</v>
      </c>
      <c r="CR66" s="936">
        <v>186</v>
      </c>
      <c r="CS66" s="936">
        <v>186</v>
      </c>
      <c r="CT66" s="936">
        <v>186</v>
      </c>
      <c r="CU66" s="943" t="str">
        <f>IFERROR(SUMPRODUCT(CQ65:CT65,CQ66:CT66)/CU65,"--")</f>
        <v>--</v>
      </c>
      <c r="CV66" s="936">
        <v>186</v>
      </c>
      <c r="CW66" s="936">
        <v>186</v>
      </c>
      <c r="CX66" s="936">
        <v>186</v>
      </c>
      <c r="CY66" s="936">
        <v>186</v>
      </c>
      <c r="CZ66" s="943">
        <f>CY66</f>
        <v>186</v>
      </c>
      <c r="DA66" s="936">
        <v>186</v>
      </c>
      <c r="DB66" s="936">
        <v>186</v>
      </c>
      <c r="DC66" s="936">
        <v>186</v>
      </c>
      <c r="DD66" s="936">
        <v>186</v>
      </c>
      <c r="DE66" s="943">
        <f>DD66</f>
        <v>186</v>
      </c>
      <c r="DF66" s="936">
        <f>DA66*1</f>
        <v>186</v>
      </c>
      <c r="DG66" s="936">
        <f>DB66*1</f>
        <v>186</v>
      </c>
      <c r="DH66" s="936">
        <f>DC66*1</f>
        <v>186</v>
      </c>
      <c r="DI66" s="936">
        <f>DD66*1</f>
        <v>186</v>
      </c>
      <c r="DJ66" s="1026">
        <f>DI66</f>
        <v>186</v>
      </c>
      <c r="DK66" s="936">
        <f>DF66*1</f>
        <v>186</v>
      </c>
      <c r="DL66" s="936">
        <f>DG66*1</f>
        <v>186</v>
      </c>
      <c r="DM66" s="936">
        <f>DH66*1</f>
        <v>186</v>
      </c>
      <c r="DN66" s="936">
        <f>DI66*1</f>
        <v>186</v>
      </c>
      <c r="DO66" s="1026">
        <f>DN66</f>
        <v>186</v>
      </c>
      <c r="DP66" s="936">
        <f>DK66*1</f>
        <v>186</v>
      </c>
      <c r="DQ66" s="939">
        <f>DL66*1</f>
        <v>186</v>
      </c>
      <c r="DR66" s="939">
        <f>DM66*1</f>
        <v>186</v>
      </c>
      <c r="DS66" s="939">
        <f>DN66*1</f>
        <v>186</v>
      </c>
      <c r="DT66" s="1026">
        <f>DS66</f>
        <v>186</v>
      </c>
      <c r="DU66" s="939">
        <f>DP66*1</f>
        <v>186</v>
      </c>
      <c r="DV66" s="939">
        <f>DQ66*1</f>
        <v>186</v>
      </c>
      <c r="DW66" s="939">
        <f>DR66*1</f>
        <v>186</v>
      </c>
      <c r="DX66" s="939">
        <f>DS66*1</f>
        <v>186</v>
      </c>
      <c r="DY66" s="1026">
        <f>DX66</f>
        <v>186</v>
      </c>
      <c r="DZ66" s="949">
        <v>188</v>
      </c>
      <c r="EA66" s="949">
        <v>190</v>
      </c>
      <c r="EB66" s="949">
        <v>192</v>
      </c>
    </row>
    <row r="67" spans="1:132" s="298" customFormat="1" collapsed="1">
      <c r="A67" s="241"/>
      <c r="B67" s="42" t="s">
        <v>614</v>
      </c>
      <c r="C67" s="43">
        <f>C57+C59+C61</f>
        <v>59</v>
      </c>
      <c r="D67" s="43">
        <f t="shared" ref="D67:BO67" si="235">D57+D59+D61</f>
        <v>74</v>
      </c>
      <c r="E67" s="43">
        <f t="shared" si="235"/>
        <v>83</v>
      </c>
      <c r="F67" s="43">
        <f t="shared" si="235"/>
        <v>55</v>
      </c>
      <c r="G67" s="43">
        <f t="shared" si="235"/>
        <v>61</v>
      </c>
      <c r="H67" s="43">
        <f t="shared" si="235"/>
        <v>47</v>
      </c>
      <c r="I67" s="43">
        <f t="shared" si="235"/>
        <v>39</v>
      </c>
      <c r="J67" s="42">
        <f t="shared" si="235"/>
        <v>8</v>
      </c>
      <c r="K67" s="42">
        <f t="shared" si="235"/>
        <v>11</v>
      </c>
      <c r="L67" s="42">
        <f t="shared" si="235"/>
        <v>8</v>
      </c>
      <c r="M67" s="42">
        <f t="shared" si="235"/>
        <v>9</v>
      </c>
      <c r="N67" s="43">
        <f>SUM(J67:M67)</f>
        <v>36</v>
      </c>
      <c r="O67" s="42">
        <f t="shared" si="235"/>
        <v>8</v>
      </c>
      <c r="P67" s="42">
        <f t="shared" si="235"/>
        <v>14</v>
      </c>
      <c r="Q67" s="42">
        <f t="shared" si="235"/>
        <v>8</v>
      </c>
      <c r="R67" s="42">
        <f t="shared" si="235"/>
        <v>10</v>
      </c>
      <c r="S67" s="43">
        <f>SUM(O67:R67)</f>
        <v>40</v>
      </c>
      <c r="T67" s="42">
        <f t="shared" si="235"/>
        <v>17</v>
      </c>
      <c r="U67" s="42">
        <f t="shared" si="235"/>
        <v>17</v>
      </c>
      <c r="V67" s="42">
        <f t="shared" si="235"/>
        <v>13</v>
      </c>
      <c r="W67" s="42">
        <f t="shared" si="235"/>
        <v>18</v>
      </c>
      <c r="X67" s="43">
        <f>SUM(T67:W67)</f>
        <v>65</v>
      </c>
      <c r="Y67" s="42">
        <f t="shared" si="235"/>
        <v>17</v>
      </c>
      <c r="Z67" s="42">
        <f t="shared" si="235"/>
        <v>21</v>
      </c>
      <c r="AA67" s="42">
        <f t="shared" si="235"/>
        <v>20</v>
      </c>
      <c r="AB67" s="42">
        <f t="shared" si="235"/>
        <v>25</v>
      </c>
      <c r="AC67" s="43">
        <f>SUM(Y67:AB67)</f>
        <v>83</v>
      </c>
      <c r="AD67" s="42">
        <f t="shared" si="235"/>
        <v>21</v>
      </c>
      <c r="AE67" s="42">
        <f t="shared" si="235"/>
        <v>18</v>
      </c>
      <c r="AF67" s="42">
        <f t="shared" si="235"/>
        <v>11</v>
      </c>
      <c r="AG67" s="42">
        <f t="shared" si="235"/>
        <v>11</v>
      </c>
      <c r="AH67" s="43">
        <f>SUM(AD67:AG67)</f>
        <v>61</v>
      </c>
      <c r="AI67" s="42">
        <f t="shared" si="235"/>
        <v>23</v>
      </c>
      <c r="AJ67" s="42">
        <f t="shared" si="235"/>
        <v>21</v>
      </c>
      <c r="AK67" s="42">
        <f t="shared" si="235"/>
        <v>19</v>
      </c>
      <c r="AL67" s="42">
        <f t="shared" si="235"/>
        <v>25</v>
      </c>
      <c r="AM67" s="43">
        <f>SUM(AI67:AL67)</f>
        <v>88</v>
      </c>
      <c r="AN67" s="42">
        <f t="shared" si="235"/>
        <v>19</v>
      </c>
      <c r="AO67" s="432">
        <f t="shared" si="235"/>
        <v>16</v>
      </c>
      <c r="AP67" s="432">
        <f t="shared" si="235"/>
        <v>21</v>
      </c>
      <c r="AQ67" s="42">
        <f t="shared" si="235"/>
        <v>18</v>
      </c>
      <c r="AR67" s="43">
        <f>SUM(AN67:AQ67)</f>
        <v>74</v>
      </c>
      <c r="AS67" s="42">
        <f t="shared" si="235"/>
        <v>13</v>
      </c>
      <c r="AT67" s="432">
        <f t="shared" si="235"/>
        <v>19</v>
      </c>
      <c r="AU67" s="432">
        <f t="shared" si="235"/>
        <v>21</v>
      </c>
      <c r="AV67" s="42">
        <f t="shared" si="235"/>
        <v>20</v>
      </c>
      <c r="AW67" s="43">
        <f>SUM(AS67:AV67)</f>
        <v>73</v>
      </c>
      <c r="AX67" s="42">
        <f t="shared" si="235"/>
        <v>20</v>
      </c>
      <c r="AY67" s="432">
        <f t="shared" si="235"/>
        <v>22</v>
      </c>
      <c r="AZ67" s="432">
        <f t="shared" si="235"/>
        <v>20</v>
      </c>
      <c r="BA67" s="42">
        <f t="shared" si="235"/>
        <v>21</v>
      </c>
      <c r="BB67" s="43">
        <f>SUM(AX67:BA67)</f>
        <v>83</v>
      </c>
      <c r="BC67" s="42">
        <f t="shared" si="235"/>
        <v>24</v>
      </c>
      <c r="BD67" s="432">
        <f t="shared" si="235"/>
        <v>23</v>
      </c>
      <c r="BE67" s="432">
        <f t="shared" si="235"/>
        <v>26</v>
      </c>
      <c r="BF67" s="42">
        <f t="shared" si="235"/>
        <v>25</v>
      </c>
      <c r="BG67" s="43">
        <f>SUM(BC67:BF67)</f>
        <v>98</v>
      </c>
      <c r="BH67" s="42">
        <f t="shared" si="235"/>
        <v>24</v>
      </c>
      <c r="BI67" s="42">
        <f t="shared" si="235"/>
        <v>24</v>
      </c>
      <c r="BJ67" s="42">
        <f t="shared" si="235"/>
        <v>27</v>
      </c>
      <c r="BK67" s="432">
        <f t="shared" si="235"/>
        <v>24</v>
      </c>
      <c r="BL67" s="43">
        <f>SUM(BH67:BK67)</f>
        <v>99</v>
      </c>
      <c r="BM67" s="432">
        <f t="shared" si="235"/>
        <v>24</v>
      </c>
      <c r="BN67" s="432">
        <f t="shared" si="235"/>
        <v>26</v>
      </c>
      <c r="BO67" s="432">
        <f t="shared" si="235"/>
        <v>27</v>
      </c>
      <c r="BP67" s="432">
        <f t="shared" ref="BP67:BZ67" si="236">BP57+BP59+BP61</f>
        <v>21</v>
      </c>
      <c r="BQ67" s="43">
        <f>SUM(BM67:BP67)</f>
        <v>98</v>
      </c>
      <c r="BR67" s="432">
        <f t="shared" si="236"/>
        <v>23</v>
      </c>
      <c r="BS67" s="432">
        <f t="shared" si="236"/>
        <v>28</v>
      </c>
      <c r="BT67" s="432">
        <f t="shared" si="236"/>
        <v>22</v>
      </c>
      <c r="BU67" s="432">
        <f t="shared" si="236"/>
        <v>26</v>
      </c>
      <c r="BV67" s="43">
        <f>SUM(BR67:BU67)</f>
        <v>99</v>
      </c>
      <c r="BW67" s="432">
        <f t="shared" si="236"/>
        <v>21</v>
      </c>
      <c r="BX67" s="432">
        <f t="shared" si="236"/>
        <v>21</v>
      </c>
      <c r="BY67" s="432">
        <f t="shared" si="236"/>
        <v>16</v>
      </c>
      <c r="BZ67" s="432">
        <f t="shared" si="236"/>
        <v>16</v>
      </c>
      <c r="CA67" s="43">
        <f>SUM(BW67:BZ67)</f>
        <v>74</v>
      </c>
      <c r="CB67" s="432">
        <f>CB57+CB59+CB61+CB63+CB65</f>
        <v>12</v>
      </c>
      <c r="CC67" s="432">
        <f t="shared" ref="CC67:CE67" si="237">CC57+CC59+CC61+CC63+CC65</f>
        <v>13</v>
      </c>
      <c r="CD67" s="432">
        <f t="shared" si="237"/>
        <v>12</v>
      </c>
      <c r="CE67" s="432">
        <f t="shared" si="237"/>
        <v>11</v>
      </c>
      <c r="CF67" s="43">
        <f>SUM(CB67:CE67)</f>
        <v>48</v>
      </c>
      <c r="CG67" s="432">
        <f>CG57+CG59+CG61+CG63+CG65</f>
        <v>10</v>
      </c>
      <c r="CH67" s="432">
        <f t="shared" ref="CH67:CJ67" si="238">CH57+CH59+CH61+CH63+CH65</f>
        <v>12</v>
      </c>
      <c r="CI67" s="432">
        <f t="shared" si="238"/>
        <v>11</v>
      </c>
      <c r="CJ67" s="432">
        <f t="shared" si="238"/>
        <v>12</v>
      </c>
      <c r="CK67" s="43">
        <f>SUM(CG67:CJ67)</f>
        <v>45</v>
      </c>
      <c r="CL67" s="432">
        <f>CL57+CL59+CL61+CL63+CL65</f>
        <v>6</v>
      </c>
      <c r="CM67" s="432">
        <f t="shared" ref="CM67:DI67" si="239">CM57+CM59+CM61+CM63+CM65</f>
        <v>4</v>
      </c>
      <c r="CN67" s="432">
        <f t="shared" si="239"/>
        <v>5</v>
      </c>
      <c r="CO67" s="432">
        <f t="shared" si="239"/>
        <v>11</v>
      </c>
      <c r="CP67" s="43">
        <f>SUM(CL67:CO67)</f>
        <v>26</v>
      </c>
      <c r="CQ67" s="432">
        <f t="shared" ref="CQ67:CT67" si="240">CQ57+CQ59+CQ61+CQ63+CQ65</f>
        <v>6</v>
      </c>
      <c r="CR67" s="432">
        <f t="shared" si="240"/>
        <v>8</v>
      </c>
      <c r="CS67" s="432">
        <f t="shared" si="240"/>
        <v>6</v>
      </c>
      <c r="CT67" s="432">
        <f t="shared" si="240"/>
        <v>4</v>
      </c>
      <c r="CU67" s="43">
        <f>SUM(CQ67:CT67)</f>
        <v>24</v>
      </c>
      <c r="CV67" s="432">
        <f t="shared" ref="CV67" si="241">CV57+CV59+CV61+CV63+CV65</f>
        <v>3</v>
      </c>
      <c r="CW67" s="432">
        <f t="shared" ref="CW67:CY67" si="242">CW57+CW59+CW61+CW63+CW65</f>
        <v>9</v>
      </c>
      <c r="CX67" s="432">
        <f t="shared" si="242"/>
        <v>6</v>
      </c>
      <c r="CY67" s="432">
        <f t="shared" si="242"/>
        <v>6</v>
      </c>
      <c r="CZ67" s="43">
        <f>SUM(CV67:CY67)</f>
        <v>24</v>
      </c>
      <c r="DA67" s="432">
        <f t="shared" ref="DA67:DD67" si="243">DA57+DA59+DA61+DA63+DA65</f>
        <v>4</v>
      </c>
      <c r="DB67" s="432">
        <f t="shared" si="243"/>
        <v>5</v>
      </c>
      <c r="DC67" s="432">
        <f t="shared" si="243"/>
        <v>8</v>
      </c>
      <c r="DD67" s="432">
        <f t="shared" si="243"/>
        <v>9</v>
      </c>
      <c r="DE67" s="43">
        <f>SUM(DA67:DD67)</f>
        <v>26</v>
      </c>
      <c r="DF67" s="432">
        <f t="shared" si="239"/>
        <v>0</v>
      </c>
      <c r="DG67" s="432">
        <f t="shared" si="239"/>
        <v>7</v>
      </c>
      <c r="DH67" s="432">
        <f t="shared" si="239"/>
        <v>4</v>
      </c>
      <c r="DI67" s="432">
        <f t="shared" si="239"/>
        <v>3</v>
      </c>
      <c r="DJ67" s="43">
        <f>SUM(DF67:DI67)</f>
        <v>14</v>
      </c>
      <c r="DK67" s="432">
        <f t="shared" ref="DK67:DN67" si="244">DK57+DK59+DK61+DK63+DK65</f>
        <v>7</v>
      </c>
      <c r="DL67" s="432">
        <f t="shared" si="244"/>
        <v>13</v>
      </c>
      <c r="DM67" s="432">
        <f t="shared" si="244"/>
        <v>9</v>
      </c>
      <c r="DN67" s="432">
        <f t="shared" si="244"/>
        <v>6</v>
      </c>
      <c r="DO67" s="43">
        <f>SUM(DK67:DN67)</f>
        <v>35</v>
      </c>
      <c r="DP67" s="432">
        <f t="shared" ref="DP67:DS67" si="245">DP57+DP59+DP61+DP63+DP65</f>
        <v>8</v>
      </c>
      <c r="DQ67" s="432">
        <f t="shared" si="245"/>
        <v>7</v>
      </c>
      <c r="DR67" s="432">
        <f t="shared" si="245"/>
        <v>1</v>
      </c>
      <c r="DS67" s="432">
        <f t="shared" si="245"/>
        <v>1</v>
      </c>
      <c r="DT67" s="43">
        <f>SUM(DP67:DS67)</f>
        <v>17</v>
      </c>
      <c r="DU67" s="432">
        <f t="shared" ref="DU67:DX67" si="246">DU57+DU59+DU61+DU63+DU65</f>
        <v>4</v>
      </c>
      <c r="DV67" s="432">
        <f t="shared" si="246"/>
        <v>7</v>
      </c>
      <c r="DW67" s="432">
        <f t="shared" si="246"/>
        <v>8</v>
      </c>
      <c r="DX67" s="432">
        <f t="shared" si="246"/>
        <v>12</v>
      </c>
      <c r="DY67" s="43">
        <f>SUM(DU67:DX67)</f>
        <v>31</v>
      </c>
      <c r="DZ67" s="43">
        <f t="shared" ref="DZ67:EB67" si="247">DZ57+DZ59+DZ61+DZ63+DZ65</f>
        <v>46</v>
      </c>
      <c r="EA67" s="43">
        <f t="shared" si="247"/>
        <v>60</v>
      </c>
      <c r="EB67" s="43">
        <f t="shared" si="247"/>
        <v>65</v>
      </c>
    </row>
    <row r="68" spans="1:132" s="743" customFormat="1">
      <c r="A68" s="813"/>
      <c r="B68" s="929" t="s">
        <v>620</v>
      </c>
      <c r="C68" s="952">
        <f>C67/11.5</f>
        <v>5.1304347826086953</v>
      </c>
      <c r="D68" s="952">
        <f t="shared" ref="D68" si="248">D67/11.5</f>
        <v>6.4347826086956523</v>
      </c>
      <c r="E68" s="952">
        <f t="shared" ref="E68" si="249">E67/11.5</f>
        <v>7.2173913043478262</v>
      </c>
      <c r="F68" s="952">
        <f t="shared" ref="F68" si="250">F67/11.5</f>
        <v>4.7826086956521738</v>
      </c>
      <c r="G68" s="952">
        <f t="shared" ref="G68" si="251">G67/11.5</f>
        <v>5.3043478260869561</v>
      </c>
      <c r="H68" s="952">
        <f t="shared" ref="H68" si="252">H67/11.5</f>
        <v>4.0869565217391308</v>
      </c>
      <c r="I68" s="952">
        <f t="shared" ref="I68" si="253">I67/11.5</f>
        <v>3.3913043478260869</v>
      </c>
      <c r="J68" s="813"/>
      <c r="K68" s="813"/>
      <c r="L68" s="813"/>
      <c r="M68" s="813"/>
      <c r="N68" s="952">
        <f t="shared" ref="N68" si="254">N67/11.5</f>
        <v>3.1304347826086958</v>
      </c>
      <c r="O68" s="813"/>
      <c r="P68" s="813"/>
      <c r="Q68" s="813"/>
      <c r="R68" s="813"/>
      <c r="S68" s="952">
        <f t="shared" ref="S68" si="255">S67/11.5</f>
        <v>3.4782608695652173</v>
      </c>
      <c r="T68" s="813"/>
      <c r="U68" s="813"/>
      <c r="V68" s="813"/>
      <c r="W68" s="813"/>
      <c r="X68" s="952">
        <f t="shared" ref="X68" si="256">X67/11.5</f>
        <v>5.6521739130434785</v>
      </c>
      <c r="Y68" s="813"/>
      <c r="Z68" s="813"/>
      <c r="AA68" s="813"/>
      <c r="AB68" s="813"/>
      <c r="AC68" s="952">
        <f t="shared" ref="AC68" si="257">AC67/11.5</f>
        <v>7.2173913043478262</v>
      </c>
      <c r="AD68" s="813"/>
      <c r="AE68" s="813"/>
      <c r="AF68" s="813"/>
      <c r="AG68" s="813"/>
      <c r="AH68" s="952">
        <f t="shared" ref="AH68" si="258">AH67/11.5</f>
        <v>5.3043478260869561</v>
      </c>
      <c r="AI68" s="813"/>
      <c r="AJ68" s="813"/>
      <c r="AK68" s="813"/>
      <c r="AL68" s="813"/>
      <c r="AM68" s="952">
        <f t="shared" ref="AM68" si="259">AM67/11.5</f>
        <v>7.6521739130434785</v>
      </c>
      <c r="AN68" s="813"/>
      <c r="AO68" s="953"/>
      <c r="AP68" s="953"/>
      <c r="AQ68" s="929"/>
      <c r="AR68" s="952">
        <f t="shared" ref="AR68" si="260">AR67/11.5</f>
        <v>6.4347826086956523</v>
      </c>
      <c r="AS68" s="813"/>
      <c r="AT68" s="953"/>
      <c r="AU68" s="953"/>
      <c r="AV68" s="929"/>
      <c r="AW68" s="952">
        <f t="shared" ref="AW68" si="261">AW67/11.5</f>
        <v>6.3478260869565215</v>
      </c>
      <c r="AX68" s="813"/>
      <c r="AY68" s="953"/>
      <c r="AZ68" s="953"/>
      <c r="BA68" s="929"/>
      <c r="BB68" s="952">
        <f t="shared" ref="BB68" si="262">BB67/11.5</f>
        <v>7.2173913043478262</v>
      </c>
      <c r="BC68" s="813"/>
      <c r="BD68" s="953"/>
      <c r="BE68" s="953"/>
      <c r="BF68" s="813"/>
      <c r="BG68" s="952">
        <f t="shared" ref="BG68" si="263">BG67/11.5</f>
        <v>8.5217391304347831</v>
      </c>
      <c r="BH68" s="813"/>
      <c r="BI68" s="813"/>
      <c r="BJ68" s="813"/>
      <c r="BK68" s="813"/>
      <c r="BL68" s="952">
        <f t="shared" ref="BL68" si="264">BL67/11.5</f>
        <v>8.6086956521739122</v>
      </c>
      <c r="BM68" s="813"/>
      <c r="BN68" s="813"/>
      <c r="BO68" s="813"/>
      <c r="BP68" s="813"/>
      <c r="BQ68" s="952">
        <f t="shared" ref="BQ68" si="265">BQ67/11.5</f>
        <v>8.5217391304347831</v>
      </c>
      <c r="BR68" s="813"/>
      <c r="BS68" s="813"/>
      <c r="BT68" s="813"/>
      <c r="BU68" s="813"/>
      <c r="BV68" s="952">
        <f t="shared" ref="BV68" si="266">BV67/11.5</f>
        <v>8.6086956521739122</v>
      </c>
      <c r="BW68" s="813"/>
      <c r="BX68" s="813"/>
      <c r="BY68" s="813"/>
      <c r="BZ68" s="813"/>
      <c r="CA68" s="952">
        <f t="shared" ref="CA68" si="267">CA67/11.5</f>
        <v>6.4347826086956523</v>
      </c>
      <c r="CB68" s="813"/>
      <c r="CC68" s="813"/>
      <c r="CD68" s="813"/>
      <c r="CE68" s="929"/>
      <c r="CF68" s="952">
        <f t="shared" ref="CF68" si="268">CF67/11.5</f>
        <v>4.1739130434782608</v>
      </c>
      <c r="CG68" s="929"/>
      <c r="CH68" s="813"/>
      <c r="CI68" s="813"/>
      <c r="CJ68" s="929"/>
      <c r="CK68" s="952">
        <f t="shared" ref="CK68" si="269">CK67/11.5</f>
        <v>3.9130434782608696</v>
      </c>
      <c r="CL68" s="929"/>
      <c r="CM68" s="929"/>
      <c r="CN68" s="813"/>
      <c r="CO68" s="813"/>
      <c r="CP68" s="952">
        <f t="shared" ref="CP68" si="270">CP67/11.5</f>
        <v>2.2608695652173911</v>
      </c>
      <c r="CQ68" s="813"/>
      <c r="CR68" s="929"/>
      <c r="CS68" s="929"/>
      <c r="CT68" s="929"/>
      <c r="CU68" s="952">
        <f t="shared" ref="CU68" si="271">CU67/11.5</f>
        <v>2.0869565217391304</v>
      </c>
      <c r="CV68" s="929"/>
      <c r="CW68" s="929"/>
      <c r="CX68" s="929"/>
      <c r="CY68" s="929"/>
      <c r="CZ68" s="952">
        <f t="shared" ref="CZ68" si="272">CZ67/11.5</f>
        <v>2.0869565217391304</v>
      </c>
      <c r="DA68" s="813"/>
      <c r="DB68" s="813"/>
      <c r="DC68" s="929"/>
      <c r="DD68" s="813"/>
      <c r="DE68" s="952">
        <f t="shared" ref="DE68" si="273">DE67/11.5</f>
        <v>2.2608695652173911</v>
      </c>
      <c r="DF68" s="929"/>
      <c r="DG68" s="929"/>
      <c r="DH68" s="929"/>
      <c r="DI68" s="929"/>
      <c r="DJ68" s="1023">
        <f t="shared" ref="DJ68" si="274">DJ67/11.5</f>
        <v>1.2173913043478262</v>
      </c>
      <c r="DK68" s="929"/>
      <c r="DL68" s="929"/>
      <c r="DM68" s="929"/>
      <c r="DN68" s="929"/>
      <c r="DO68" s="1023">
        <f t="shared" ref="DO68" si="275">DO67/11.5</f>
        <v>3.0434782608695654</v>
      </c>
      <c r="DP68" s="929"/>
      <c r="DQ68" s="813"/>
      <c r="DR68" s="813"/>
      <c r="DS68" s="813"/>
      <c r="DT68" s="1023">
        <f t="shared" ref="DT68" si="276">DT67/11.5</f>
        <v>1.4782608695652173</v>
      </c>
      <c r="DU68" s="813"/>
      <c r="DV68" s="813"/>
      <c r="DW68" s="813"/>
      <c r="DX68" s="813"/>
      <c r="DY68" s="1023">
        <f t="shared" ref="DY68" si="277">DY67/11.5</f>
        <v>2.6956521739130435</v>
      </c>
      <c r="DZ68" s="952">
        <f t="shared" ref="DZ68:EB68" si="278">DZ67/11.5</f>
        <v>4</v>
      </c>
      <c r="EA68" s="952">
        <f t="shared" si="278"/>
        <v>5.2173913043478262</v>
      </c>
      <c r="EB68" s="952">
        <f t="shared" si="278"/>
        <v>5.6521739130434785</v>
      </c>
    </row>
    <row r="69" spans="1:132" s="298" customFormat="1">
      <c r="A69" s="241"/>
      <c r="B69" s="241" t="s">
        <v>190</v>
      </c>
      <c r="C69" s="411">
        <v>112.5</v>
      </c>
      <c r="D69" s="411">
        <v>112</v>
      </c>
      <c r="E69" s="411">
        <v>118.5</v>
      </c>
      <c r="F69" s="411">
        <v>120</v>
      </c>
      <c r="G69" s="411">
        <v>126</v>
      </c>
      <c r="H69" s="411">
        <v>132</v>
      </c>
      <c r="I69" s="411">
        <v>135</v>
      </c>
      <c r="J69" s="304">
        <v>138</v>
      </c>
      <c r="K69" s="304">
        <v>138</v>
      </c>
      <c r="L69" s="304">
        <v>138</v>
      </c>
      <c r="M69" s="304">
        <v>138</v>
      </c>
      <c r="N69" s="411">
        <f>N70/N67</f>
        <v>138</v>
      </c>
      <c r="O69" s="304">
        <v>141</v>
      </c>
      <c r="P69" s="304">
        <v>141</v>
      </c>
      <c r="Q69" s="304">
        <v>141</v>
      </c>
      <c r="R69" s="304">
        <v>141</v>
      </c>
      <c r="S69" s="189">
        <f>S70/S67</f>
        <v>141</v>
      </c>
      <c r="T69" s="304">
        <v>141</v>
      </c>
      <c r="U69" s="304">
        <v>141.4</v>
      </c>
      <c r="V69" s="304">
        <v>141</v>
      </c>
      <c r="W69" s="304">
        <v>141</v>
      </c>
      <c r="X69" s="411">
        <v>141</v>
      </c>
      <c r="Y69" s="304">
        <v>141</v>
      </c>
      <c r="Z69" s="304">
        <v>141</v>
      </c>
      <c r="AA69" s="304">
        <v>141</v>
      </c>
      <c r="AB69" s="304">
        <v>141</v>
      </c>
      <c r="AC69" s="189">
        <f>AC70/AC67</f>
        <v>141</v>
      </c>
      <c r="AD69" s="304">
        <v>143</v>
      </c>
      <c r="AE69" s="304">
        <v>143</v>
      </c>
      <c r="AF69" s="304">
        <v>143</v>
      </c>
      <c r="AG69" s="304">
        <v>143</v>
      </c>
      <c r="AH69" s="189">
        <f>AH70/AH67</f>
        <v>143</v>
      </c>
      <c r="AI69" s="304">
        <v>143</v>
      </c>
      <c r="AJ69" s="304">
        <v>143</v>
      </c>
      <c r="AK69" s="304">
        <v>143</v>
      </c>
      <c r="AL69" s="304">
        <v>143</v>
      </c>
      <c r="AM69" s="189">
        <f>AM70/AM67</f>
        <v>143</v>
      </c>
      <c r="AN69" s="304">
        <v>141</v>
      </c>
      <c r="AO69" s="470">
        <v>141</v>
      </c>
      <c r="AP69" s="470">
        <v>142</v>
      </c>
      <c r="AQ69" s="537">
        <v>142</v>
      </c>
      <c r="AR69" s="411">
        <f>AR70/AR67</f>
        <v>141.52702702702703</v>
      </c>
      <c r="AS69" s="304">
        <v>144</v>
      </c>
      <c r="AT69" s="470">
        <v>144</v>
      </c>
      <c r="AU69" s="470">
        <v>144</v>
      </c>
      <c r="AV69" s="537">
        <v>144</v>
      </c>
      <c r="AW69" s="411">
        <f>AW70/AW67</f>
        <v>144</v>
      </c>
      <c r="AX69" s="304">
        <v>144</v>
      </c>
      <c r="AY69" s="470">
        <v>145</v>
      </c>
      <c r="AZ69" s="470">
        <v>145</v>
      </c>
      <c r="BA69" s="537">
        <v>145</v>
      </c>
      <c r="BB69" s="411">
        <f>BB70/BB67</f>
        <v>144.75903614457832</v>
      </c>
      <c r="BC69" s="304">
        <v>145</v>
      </c>
      <c r="BD69" s="470">
        <v>145</v>
      </c>
      <c r="BE69" s="470">
        <v>145</v>
      </c>
      <c r="BF69" s="537">
        <v>145</v>
      </c>
      <c r="BG69" s="411">
        <v>146</v>
      </c>
      <c r="BH69" s="304">
        <f>BH70/BH67</f>
        <v>157.62583333333333</v>
      </c>
      <c r="BI69" s="304">
        <f t="shared" ref="BI69:BL69" si="279">BI70/BI67</f>
        <v>157.62583333333333</v>
      </c>
      <c r="BJ69" s="304">
        <f t="shared" si="279"/>
        <v>161.95407407407407</v>
      </c>
      <c r="BK69" s="304">
        <f t="shared" si="279"/>
        <v>159.33916666666667</v>
      </c>
      <c r="BL69" s="566">
        <f t="shared" si="279"/>
        <v>159.22161616161614</v>
      </c>
      <c r="BM69" s="304">
        <f>BM70/BM67</f>
        <v>152.85249999999999</v>
      </c>
      <c r="BN69" s="304">
        <f t="shared" ref="BN69" si="280">BN70/BN67</f>
        <v>158.7076923076923</v>
      </c>
      <c r="BO69" s="304">
        <f t="shared" ref="BO69" si="281">BO70/BO67</f>
        <v>151.28629629629629</v>
      </c>
      <c r="BP69" s="304">
        <f t="shared" ref="BP69" si="282">BP70/BP67</f>
        <v>156.47714285714287</v>
      </c>
      <c r="BQ69" s="566">
        <f t="shared" ref="BQ69" si="283">BQ70/BQ67</f>
        <v>154.7511224489796</v>
      </c>
      <c r="BR69" s="304">
        <f>BR70/BR67</f>
        <v>150.61652173913043</v>
      </c>
      <c r="BS69" s="304">
        <f t="shared" ref="BS69" si="284">BS70/BS67</f>
        <v>150.10500000000002</v>
      </c>
      <c r="BT69" s="304">
        <f t="shared" ref="BT69" si="285">BT70/BT67</f>
        <v>149.36454545454546</v>
      </c>
      <c r="BU69" s="304">
        <f t="shared" ref="BU69" si="286">BU70/BU67</f>
        <v>149.89615384615388</v>
      </c>
      <c r="BV69" s="566">
        <f t="shared" ref="BV69" si="287">BV70/BV67</f>
        <v>150.00444444444446</v>
      </c>
      <c r="BW69" s="304">
        <f>BW70/BW67</f>
        <v>146.69666666666669</v>
      </c>
      <c r="BX69" s="304">
        <f t="shared" ref="BX69" si="288">BX70/BX67</f>
        <v>147.51750000000001</v>
      </c>
      <c r="BY69" s="304">
        <f t="shared" ref="BY69" si="289">BY70/BY67</f>
        <v>146.44015625000003</v>
      </c>
      <c r="BZ69" s="304">
        <f t="shared" ref="BZ69" si="290">BZ70/BZ67</f>
        <v>139.97609375000002</v>
      </c>
      <c r="CA69" s="566">
        <f t="shared" ref="CA69" si="291">CA70/CA67</f>
        <v>145.42104729729732</v>
      </c>
      <c r="CB69" s="304">
        <f t="shared" ref="CB69" si="292">CB70/CB67</f>
        <v>142.44333333333333</v>
      </c>
      <c r="CC69" s="304">
        <f t="shared" ref="CC69" si="293">CC70/CC67</f>
        <v>140.61846153846153</v>
      </c>
      <c r="CD69" s="304">
        <f t="shared" ref="CD69" si="294">CD70/CD67</f>
        <v>133.81666666666663</v>
      </c>
      <c r="CE69" s="537">
        <f t="shared" ref="CE69" si="295">CE70/CE67</f>
        <v>125.77818181818181</v>
      </c>
      <c r="CF69" s="566">
        <f>CF70/CF67</f>
        <v>135.97333333333333</v>
      </c>
      <c r="CG69" s="537">
        <f t="shared" ref="CG69:CP69" si="296">CG70/CG67</f>
        <v>128.36849999999998</v>
      </c>
      <c r="CH69" s="537">
        <f t="shared" si="296"/>
        <v>128.36849999999998</v>
      </c>
      <c r="CI69" s="537">
        <f t="shared" si="296"/>
        <v>120.33981818181816</v>
      </c>
      <c r="CJ69" s="537">
        <f t="shared" si="296"/>
        <v>130.47124999999997</v>
      </c>
      <c r="CK69" s="566">
        <f t="shared" si="296"/>
        <v>126.96666666666664</v>
      </c>
      <c r="CL69" s="537">
        <f t="shared" si="296"/>
        <v>121.05892499999997</v>
      </c>
      <c r="CM69" s="537">
        <f t="shared" si="296"/>
        <v>112.85819999999998</v>
      </c>
      <c r="CN69" s="537">
        <f t="shared" si="296"/>
        <v>122.69906999999998</v>
      </c>
      <c r="CO69" s="537">
        <f t="shared" si="296"/>
        <v>117.33132272727271</v>
      </c>
      <c r="CP69" s="566">
        <f t="shared" si="296"/>
        <v>118.53562499999998</v>
      </c>
      <c r="CQ69" s="537">
        <f t="shared" ref="CQ69:CV69" si="297">CQ70/CQ67</f>
        <v>130.02601218749996</v>
      </c>
      <c r="CR69" s="537">
        <f t="shared" si="297"/>
        <v>110.03674499999998</v>
      </c>
      <c r="CS69" s="537">
        <f t="shared" si="297"/>
        <v>118.03245187499998</v>
      </c>
      <c r="CT69" s="537">
        <f t="shared" si="297"/>
        <v>116.03352515624996</v>
      </c>
      <c r="CU69" s="566">
        <f t="shared" si="297"/>
        <v>118.03245187499998</v>
      </c>
      <c r="CV69" s="537">
        <f t="shared" si="297"/>
        <v>107.28582637499998</v>
      </c>
      <c r="CW69" s="537">
        <f t="shared" ref="CW69:CZ69" si="298">CW70/CW67</f>
        <v>109.88443110937497</v>
      </c>
      <c r="CX69" s="537">
        <f t="shared" si="298"/>
        <v>111.18373347656249</v>
      </c>
      <c r="CY69" s="537">
        <f t="shared" si="298"/>
        <v>107.28582637499998</v>
      </c>
      <c r="CZ69" s="566">
        <f t="shared" si="298"/>
        <v>109.23477992578121</v>
      </c>
      <c r="DA69" s="537">
        <f t="shared" ref="DA69:DI69" si="299">DA70/DA67</f>
        <v>106.21296811124998</v>
      </c>
      <c r="DB69" s="537">
        <f t="shared" si="299"/>
        <v>106.21296811124998</v>
      </c>
      <c r="DC69" s="537">
        <f t="shared" si="299"/>
        <v>108.86215175481442</v>
      </c>
      <c r="DD69" s="537">
        <f t="shared" si="299"/>
        <v>106.21296811124998</v>
      </c>
      <c r="DE69" s="566">
        <f t="shared" si="299"/>
        <v>107.02810154003903</v>
      </c>
      <c r="DF69" s="537">
        <f>IFERROR(DF70/DF67,0)</f>
        <v>0</v>
      </c>
      <c r="DG69" s="537">
        <f t="shared" si="299"/>
        <v>106.21296811124998</v>
      </c>
      <c r="DH69" s="537">
        <f t="shared" si="299"/>
        <v>106.21296811124998</v>
      </c>
      <c r="DI69" s="537">
        <f t="shared" si="299"/>
        <v>112.2157375169238</v>
      </c>
      <c r="DJ69" s="566">
        <f t="shared" ref="DJ69" si="300">DJ70/DJ67</f>
        <v>107.49927584103723</v>
      </c>
      <c r="DK69" s="537">
        <f>IFERROR(DK70/DK67,0)</f>
        <v>106.21296811124998</v>
      </c>
      <c r="DL69" s="537">
        <f t="shared" ref="DL69:DO69" si="301">DL70/DL67</f>
        <v>106.21296811124998</v>
      </c>
      <c r="DM69" s="537">
        <f t="shared" si="301"/>
        <v>106.21296811124998</v>
      </c>
      <c r="DN69" s="537">
        <f t="shared" si="301"/>
        <v>106.21296811124996</v>
      </c>
      <c r="DO69" s="566">
        <f t="shared" si="301"/>
        <v>106.21296811124998</v>
      </c>
      <c r="DP69" s="537">
        <f>IFERROR(DP70/DP67,0)</f>
        <v>106.21296811124998</v>
      </c>
      <c r="DQ69" s="537">
        <f t="shared" ref="DQ69:DT69" si="302">DQ70/DQ67</f>
        <v>106.21296811124998</v>
      </c>
      <c r="DR69" s="537">
        <f t="shared" si="302"/>
        <v>106.21296811124998</v>
      </c>
      <c r="DS69" s="537">
        <f t="shared" si="302"/>
        <v>106.21296811124998</v>
      </c>
      <c r="DT69" s="566">
        <f t="shared" si="302"/>
        <v>106.21296811124996</v>
      </c>
      <c r="DU69" s="537">
        <f>IFERROR(DU70/DU67,0)</f>
        <v>141.98419030562499</v>
      </c>
      <c r="DV69" s="537">
        <f t="shared" ref="DV69:DY69" si="303">DV70/DV67</f>
        <v>167.53506330160715</v>
      </c>
      <c r="DW69" s="537">
        <f t="shared" si="303"/>
        <v>169.84318038890626</v>
      </c>
      <c r="DX69" s="537">
        <f t="shared" si="303"/>
        <v>172.48059109260416</v>
      </c>
      <c r="DY69" s="566">
        <f t="shared" si="303"/>
        <v>166.74821743729836</v>
      </c>
      <c r="DZ69" s="566">
        <f t="shared" ref="DZ69" si="304">DZ70/DZ67</f>
        <v>178.87882470048913</v>
      </c>
      <c r="EA69" s="566">
        <f t="shared" ref="EA69:EB69" si="305">EA70/EA67</f>
        <v>184.9</v>
      </c>
      <c r="EB69" s="566">
        <f t="shared" si="305"/>
        <v>186.46153846153845</v>
      </c>
    </row>
    <row r="70" spans="1:132" s="298" customFormat="1">
      <c r="A70" s="241"/>
      <c r="B70" s="241" t="s">
        <v>191</v>
      </c>
      <c r="C70" s="285">
        <f t="shared" ref="C70:M70" si="306">C69*C67</f>
        <v>6637.5</v>
      </c>
      <c r="D70" s="285">
        <f t="shared" si="306"/>
        <v>8288</v>
      </c>
      <c r="E70" s="285">
        <f t="shared" si="306"/>
        <v>9835.5</v>
      </c>
      <c r="F70" s="285">
        <f t="shared" si="306"/>
        <v>6600</v>
      </c>
      <c r="G70" s="285">
        <f t="shared" si="306"/>
        <v>7686</v>
      </c>
      <c r="H70" s="285">
        <f t="shared" si="306"/>
        <v>6204</v>
      </c>
      <c r="I70" s="285">
        <f t="shared" si="306"/>
        <v>5265</v>
      </c>
      <c r="J70" s="241">
        <f t="shared" si="306"/>
        <v>1104</v>
      </c>
      <c r="K70" s="241">
        <f t="shared" si="306"/>
        <v>1518</v>
      </c>
      <c r="L70" s="241">
        <f t="shared" si="306"/>
        <v>1104</v>
      </c>
      <c r="M70" s="241">
        <f t="shared" si="306"/>
        <v>1242</v>
      </c>
      <c r="N70" s="285">
        <f>SUM(J70:M70)</f>
        <v>4968</v>
      </c>
      <c r="O70" s="241">
        <f>O69*O67</f>
        <v>1128</v>
      </c>
      <c r="P70" s="241">
        <f>P69*P67</f>
        <v>1974</v>
      </c>
      <c r="Q70" s="241">
        <f>Q69*Q67</f>
        <v>1128</v>
      </c>
      <c r="R70" s="241">
        <f>R69*R67</f>
        <v>1410</v>
      </c>
      <c r="S70" s="285">
        <f>SUM(O70:R70)</f>
        <v>5640</v>
      </c>
      <c r="T70" s="241">
        <f>T69*T67</f>
        <v>2397</v>
      </c>
      <c r="U70" s="241">
        <f>U69*U67</f>
        <v>2403.8000000000002</v>
      </c>
      <c r="V70" s="241">
        <f>V69*V67</f>
        <v>1833</v>
      </c>
      <c r="W70" s="241">
        <f>W69*W67</f>
        <v>2538</v>
      </c>
      <c r="X70" s="285">
        <f>SUM(T70:W70)</f>
        <v>9171.7999999999993</v>
      </c>
      <c r="Y70" s="241">
        <f>Y69*Y67</f>
        <v>2397</v>
      </c>
      <c r="Z70" s="241">
        <f>Z69*Z67</f>
        <v>2961</v>
      </c>
      <c r="AA70" s="241">
        <f>AA69*AA67</f>
        <v>2820</v>
      </c>
      <c r="AB70" s="241">
        <f>AB69*AB67</f>
        <v>3525</v>
      </c>
      <c r="AC70" s="285">
        <f>SUM(Y70:AB70)</f>
        <v>11703</v>
      </c>
      <c r="AD70" s="241">
        <f>AD69*AD67</f>
        <v>3003</v>
      </c>
      <c r="AE70" s="241">
        <f>AE69*AE67</f>
        <v>2574</v>
      </c>
      <c r="AF70" s="241">
        <f>AF69*AF67</f>
        <v>1573</v>
      </c>
      <c r="AG70" s="241">
        <f>AG69*AG67</f>
        <v>1573</v>
      </c>
      <c r="AH70" s="285">
        <f>SUM(AD70:AG70)</f>
        <v>8723</v>
      </c>
      <c r="AI70" s="241">
        <f>AI69*AI67</f>
        <v>3289</v>
      </c>
      <c r="AJ70" s="241">
        <f>AJ69*AJ67</f>
        <v>3003</v>
      </c>
      <c r="AK70" s="241">
        <f>AK69*AK67</f>
        <v>2717</v>
      </c>
      <c r="AL70" s="241">
        <f>AL69*AL67</f>
        <v>3575</v>
      </c>
      <c r="AM70" s="285">
        <f>SUM(AI70:AL70)</f>
        <v>12584</v>
      </c>
      <c r="AN70" s="241">
        <f>AN69*AN67</f>
        <v>2679</v>
      </c>
      <c r="AO70" s="437">
        <f>AO69*AO67</f>
        <v>2256</v>
      </c>
      <c r="AP70" s="437">
        <f>AP69*AP67</f>
        <v>2982</v>
      </c>
      <c r="AQ70" s="121">
        <f>AQ69*AQ67</f>
        <v>2556</v>
      </c>
      <c r="AR70" s="285">
        <f>SUM(AN70:AQ70)</f>
        <v>10473</v>
      </c>
      <c r="AS70" s="241">
        <f>AS69*AS67</f>
        <v>1872</v>
      </c>
      <c r="AT70" s="437">
        <f>AT69*AT67</f>
        <v>2736</v>
      </c>
      <c r="AU70" s="437">
        <f>AU69*AU67</f>
        <v>3024</v>
      </c>
      <c r="AV70" s="121">
        <f>AV69*AV67</f>
        <v>2880</v>
      </c>
      <c r="AW70" s="285">
        <f>SUM(AS70:AV70)</f>
        <v>10512</v>
      </c>
      <c r="AX70" s="241">
        <f>AX69*AX67</f>
        <v>2880</v>
      </c>
      <c r="AY70" s="437">
        <f>AY69*AY67</f>
        <v>3190</v>
      </c>
      <c r="AZ70" s="437">
        <f>AZ69*AZ67</f>
        <v>2900</v>
      </c>
      <c r="BA70" s="121">
        <f>BA69*BA67</f>
        <v>3045</v>
      </c>
      <c r="BB70" s="285">
        <f>SUM(AX70:BA70)</f>
        <v>12015</v>
      </c>
      <c r="BC70" s="241">
        <f t="shared" ref="BC70:BG70" si="307">BC69*BC67</f>
        <v>3480</v>
      </c>
      <c r="BD70" s="437">
        <f t="shared" si="307"/>
        <v>3335</v>
      </c>
      <c r="BE70" s="437">
        <f t="shared" si="307"/>
        <v>3770</v>
      </c>
      <c r="BF70" s="121">
        <f t="shared" si="307"/>
        <v>3625</v>
      </c>
      <c r="BG70" s="285">
        <f t="shared" si="307"/>
        <v>14308</v>
      </c>
      <c r="BH70" s="241">
        <f>BH57*BH58+BH59*BH60+BH61*BH62</f>
        <v>3783.02</v>
      </c>
      <c r="BI70" s="241">
        <f t="shared" ref="BI70:BK70" si="308">BI57*BI58+BI59*BI60+BI61*BI62</f>
        <v>3783.02</v>
      </c>
      <c r="BJ70" s="241">
        <f t="shared" si="308"/>
        <v>4372.76</v>
      </c>
      <c r="BK70" s="241">
        <f t="shared" si="308"/>
        <v>3824.14</v>
      </c>
      <c r="BL70" s="120">
        <f>SUM(BH70:BK70)</f>
        <v>15762.939999999999</v>
      </c>
      <c r="BM70" s="241">
        <f>BM57*BM58+BM59*BM60+BM61*BM62</f>
        <v>3668.46</v>
      </c>
      <c r="BN70" s="241">
        <f t="shared" ref="BN70:BP70" si="309">BN57*BN58+BN59*BN60+BN61*BN62</f>
        <v>4126.3999999999996</v>
      </c>
      <c r="BO70" s="241">
        <f t="shared" si="309"/>
        <v>4084.73</v>
      </c>
      <c r="BP70" s="241">
        <f t="shared" si="309"/>
        <v>3286.02</v>
      </c>
      <c r="BQ70" s="120">
        <f>SUM(BM70:BP70)</f>
        <v>15165.61</v>
      </c>
      <c r="BR70" s="241">
        <f>BR57*BR58+BR59*BR60+BR61*BR62</f>
        <v>3464.1800000000003</v>
      </c>
      <c r="BS70" s="241">
        <f t="shared" ref="BS70:BU70" si="310">BS57*BS58+BS59*BS60+BS61*BS62</f>
        <v>4202.9400000000005</v>
      </c>
      <c r="BT70" s="241">
        <f t="shared" si="310"/>
        <v>3286.0200000000004</v>
      </c>
      <c r="BU70" s="241">
        <f t="shared" si="310"/>
        <v>3897.3000000000006</v>
      </c>
      <c r="BV70" s="120">
        <f>SUM(BR70:BU70)</f>
        <v>14850.440000000002</v>
      </c>
      <c r="BW70" s="241">
        <f>BW57*BW58+BW59*BW60+BW61*BW62</f>
        <v>3080.6300000000006</v>
      </c>
      <c r="BX70" s="241">
        <f t="shared" ref="BX70:BZ70" si="311">BX57*BX58+BX59*BX60+BX61*BX62</f>
        <v>3097.8675000000003</v>
      </c>
      <c r="BY70" s="241">
        <f t="shared" si="311"/>
        <v>2343.0425000000005</v>
      </c>
      <c r="BZ70" s="241">
        <f t="shared" si="311"/>
        <v>2239.6175000000003</v>
      </c>
      <c r="CA70" s="120">
        <f>SUM(BW70:BZ70)</f>
        <v>10761.157500000001</v>
      </c>
      <c r="CB70" s="241">
        <f>CB57*CB58+CB59*CB60+CB61*CB62+CB63*CB64+CB65*CB66</f>
        <v>1709.32</v>
      </c>
      <c r="CC70" s="241">
        <f t="shared" ref="CC70:CE70" si="312">CC57*CC58+CC59*CC60+CC61*CC62+CC63*CC64+CC65*CC66</f>
        <v>1828.04</v>
      </c>
      <c r="CD70" s="241">
        <f t="shared" si="312"/>
        <v>1605.7999999999997</v>
      </c>
      <c r="CE70" s="121">
        <f t="shared" si="312"/>
        <v>1383.56</v>
      </c>
      <c r="CF70" s="285">
        <f>SUM(CB70:CE70)</f>
        <v>6526.7199999999993</v>
      </c>
      <c r="CG70" s="121">
        <f>CG57*CG58+CG59*CG60+CG61*CG62+CG63*CG64+CG65*CG66</f>
        <v>1283.6849999999999</v>
      </c>
      <c r="CH70" s="241">
        <f t="shared" ref="CH70:CJ70" si="313">CH57*CH58+CH59*CH60+CH61*CH62+CH63*CH64+CH65*CH66</f>
        <v>1540.4219999999998</v>
      </c>
      <c r="CI70" s="241">
        <f t="shared" si="313"/>
        <v>1323.7379999999998</v>
      </c>
      <c r="CJ70" s="121">
        <f t="shared" si="313"/>
        <v>1565.6549999999997</v>
      </c>
      <c r="CK70" s="120">
        <f>SUM(CG70:CJ70)</f>
        <v>5713.4999999999991</v>
      </c>
      <c r="CL70" s="121">
        <f>CL57*CL58+CL59*CL60+CL61*CL62+CL63*CL64+CL65*CL66</f>
        <v>726.35354999999981</v>
      </c>
      <c r="CM70" s="121">
        <f t="shared" ref="CM70:CO70" si="314">CM57*CM58+CM59*CM60+CM61*CM62+CM63*CM64+CM65*CM66</f>
        <v>451.43279999999993</v>
      </c>
      <c r="CN70" s="241">
        <f t="shared" si="314"/>
        <v>613.49534999999992</v>
      </c>
      <c r="CO70" s="241">
        <f t="shared" si="314"/>
        <v>1290.6445499999998</v>
      </c>
      <c r="CP70" s="120">
        <f>SUM(CL70:CO70)</f>
        <v>3081.9262499999995</v>
      </c>
      <c r="CQ70" s="241">
        <f t="shared" ref="CQ70:CT70" si="315">CQ57*CQ58+CQ59*CQ60+CQ61*CQ62+CQ63*CQ64+CQ65*CQ66</f>
        <v>780.15607312499981</v>
      </c>
      <c r="CR70" s="121">
        <f t="shared" si="315"/>
        <v>880.29395999999986</v>
      </c>
      <c r="CS70" s="121">
        <f t="shared" si="315"/>
        <v>708.19471124999984</v>
      </c>
      <c r="CT70" s="121">
        <f t="shared" si="315"/>
        <v>464.13410062499986</v>
      </c>
      <c r="CU70" s="120">
        <f>SUM(CQ70:CT70)</f>
        <v>2832.7788449999994</v>
      </c>
      <c r="CV70" s="121">
        <f t="shared" ref="CV70" si="316">CV57*CV58+CV59*CV60+CV61*CV62+CV63*CV64+CV65*CV66</f>
        <v>321.85747912499994</v>
      </c>
      <c r="CW70" s="121">
        <f t="shared" ref="CW70:CY70" si="317">CW57*CW58+CW59*CW60+CW61*CW62+CW63*CW64+CW65*CW66</f>
        <v>988.95987998437477</v>
      </c>
      <c r="CX70" s="121">
        <f t="shared" si="317"/>
        <v>667.10240085937494</v>
      </c>
      <c r="CY70" s="121">
        <f t="shared" si="317"/>
        <v>643.71495824999988</v>
      </c>
      <c r="CZ70" s="120">
        <f>SUM(CV70:CY70)</f>
        <v>2621.6347182187492</v>
      </c>
      <c r="DA70" s="241">
        <f t="shared" ref="DA70:DD70" si="318">DA57*DA58+DA59*DA60+DA61*DA62+DA63*DA64+DA65*DA66</f>
        <v>424.85187244499991</v>
      </c>
      <c r="DB70" s="241">
        <f t="shared" si="318"/>
        <v>531.06484055624992</v>
      </c>
      <c r="DC70" s="121">
        <f t="shared" si="318"/>
        <v>870.89721403851536</v>
      </c>
      <c r="DD70" s="241">
        <f t="shared" si="318"/>
        <v>955.91671300124983</v>
      </c>
      <c r="DE70" s="120">
        <f>SUM(DA70:DD70)</f>
        <v>2782.7306400410148</v>
      </c>
      <c r="DF70" s="121">
        <f t="shared" ref="DF70:DI70" si="319">DF57*DF58+DF59*DF60+DF61*DF62+DF63*DF64+DF65*DF66</f>
        <v>0</v>
      </c>
      <c r="DG70" s="121">
        <f t="shared" si="319"/>
        <v>743.49077677874982</v>
      </c>
      <c r="DH70" s="121">
        <f t="shared" si="319"/>
        <v>424.85187244499991</v>
      </c>
      <c r="DI70" s="121">
        <f t="shared" si="319"/>
        <v>336.64721255077137</v>
      </c>
      <c r="DJ70" s="120">
        <f>SUM(DF70:DI70)</f>
        <v>1504.9898617745212</v>
      </c>
      <c r="DK70" s="121">
        <f t="shared" ref="DK70:DN70" si="320">DK57*DK58+DK59*DK60+DK61*DK62+DK63*DK64+DK65*DK66</f>
        <v>743.49077677874982</v>
      </c>
      <c r="DL70" s="121">
        <f t="shared" si="320"/>
        <v>1380.7685854462497</v>
      </c>
      <c r="DM70" s="121">
        <f t="shared" si="320"/>
        <v>955.91671300124983</v>
      </c>
      <c r="DN70" s="121">
        <f t="shared" si="320"/>
        <v>637.27780866749981</v>
      </c>
      <c r="DO70" s="120">
        <f>SUM(DK70:DN70)</f>
        <v>3717.4538838937492</v>
      </c>
      <c r="DP70" s="121">
        <f t="shared" ref="DP70:DS70" si="321">DP57*DP58+DP59*DP60+DP61*DP62+DP63*DP64+DP65*DP66</f>
        <v>849.70374488999983</v>
      </c>
      <c r="DQ70" s="241">
        <f t="shared" si="321"/>
        <v>743.49077677874982</v>
      </c>
      <c r="DR70" s="241">
        <f t="shared" si="321"/>
        <v>106.21296811124998</v>
      </c>
      <c r="DS70" s="241">
        <f t="shared" si="321"/>
        <v>106.21296811124998</v>
      </c>
      <c r="DT70" s="120">
        <f>SUM(DP70:DS70)</f>
        <v>1805.6204578912493</v>
      </c>
      <c r="DU70" s="241">
        <f t="shared" ref="DU70:DX70" si="322">DU57*DU58+DU59*DU60+DU61*DU62+DU63*DU64+DU65*DU66</f>
        <v>567.93676122249997</v>
      </c>
      <c r="DV70" s="241">
        <f t="shared" si="322"/>
        <v>1172.7454431112501</v>
      </c>
      <c r="DW70" s="241">
        <f t="shared" si="322"/>
        <v>1358.7454431112501</v>
      </c>
      <c r="DX70" s="241">
        <f t="shared" si="322"/>
        <v>2069.7670931112498</v>
      </c>
      <c r="DY70" s="120">
        <f>SUM(DU70:DX70)</f>
        <v>5169.1947405562496</v>
      </c>
      <c r="DZ70" s="285">
        <f t="shared" ref="DZ70" si="323">DZ57*DZ58+DZ59*DZ60+DZ61*DZ62+DZ63*DZ64+DZ65*DZ66</f>
        <v>8228.4259362225002</v>
      </c>
      <c r="EA70" s="285">
        <f t="shared" ref="EA70:EB70" si="324">EA57*EA58+EA59*EA60+EA61*EA62+EA63*EA64+EA65*EA66</f>
        <v>11094</v>
      </c>
      <c r="EB70" s="285">
        <f t="shared" si="324"/>
        <v>12120</v>
      </c>
    </row>
    <row r="71" spans="1:132" s="31" customFormat="1" ht="12" customHeight="1">
      <c r="A71" s="74"/>
      <c r="B71" s="74"/>
      <c r="C71" s="930"/>
      <c r="D71" s="930"/>
      <c r="E71" s="930"/>
      <c r="F71" s="930"/>
      <c r="G71" s="930"/>
      <c r="H71" s="930"/>
      <c r="I71" s="930"/>
      <c r="J71" s="931"/>
      <c r="K71" s="931"/>
      <c r="L71" s="931"/>
      <c r="M71" s="931"/>
      <c r="N71" s="930"/>
      <c r="O71" s="931"/>
      <c r="P71" s="931"/>
      <c r="Q71" s="931"/>
      <c r="R71" s="931"/>
      <c r="S71" s="930"/>
      <c r="T71" s="931"/>
      <c r="U71" s="931"/>
      <c r="V71" s="931"/>
      <c r="W71" s="931"/>
      <c r="X71" s="930"/>
      <c r="Y71" s="931"/>
      <c r="Z71" s="931"/>
      <c r="AA71" s="931"/>
      <c r="AB71" s="931"/>
      <c r="AC71" s="930"/>
      <c r="AD71" s="931"/>
      <c r="AE71" s="931"/>
      <c r="AF71" s="931"/>
      <c r="AG71" s="931"/>
      <c r="AH71" s="930"/>
      <c r="AI71" s="931"/>
      <c r="AJ71" s="931"/>
      <c r="AK71" s="931"/>
      <c r="AL71" s="931"/>
      <c r="AM71" s="930"/>
      <c r="AN71" s="931"/>
      <c r="AO71" s="932"/>
      <c r="AP71" s="932"/>
      <c r="AQ71" s="931"/>
      <c r="AR71" s="930"/>
      <c r="AS71" s="931"/>
      <c r="AT71" s="932"/>
      <c r="AU71" s="932"/>
      <c r="AV71" s="931"/>
      <c r="AW71" s="930"/>
      <c r="AX71" s="931"/>
      <c r="AY71" s="932"/>
      <c r="AZ71" s="932"/>
      <c r="BA71" s="931"/>
      <c r="BB71" s="930"/>
      <c r="BC71" s="931"/>
      <c r="BD71" s="932"/>
      <c r="BE71" s="932"/>
      <c r="BF71" s="931"/>
      <c r="BG71" s="930"/>
      <c r="BH71" s="931"/>
      <c r="BI71" s="932"/>
      <c r="BJ71" s="932"/>
      <c r="BK71" s="931"/>
      <c r="BL71" s="930"/>
      <c r="BM71" s="931"/>
      <c r="BN71" s="932"/>
      <c r="BO71" s="932"/>
      <c r="BP71" s="931"/>
      <c r="BQ71" s="930"/>
      <c r="BR71" s="932"/>
      <c r="BS71" s="931"/>
      <c r="BT71" s="932"/>
      <c r="BU71" s="931"/>
      <c r="BV71" s="930"/>
      <c r="BW71" s="932"/>
      <c r="BX71" s="931"/>
      <c r="BY71" s="932"/>
      <c r="BZ71" s="931"/>
      <c r="CA71" s="930"/>
      <c r="CB71" s="932"/>
      <c r="CC71" s="931"/>
      <c r="CD71" s="932"/>
      <c r="CE71" s="931"/>
      <c r="CF71" s="930"/>
      <c r="CG71" s="931"/>
      <c r="CH71" s="931"/>
      <c r="CI71" s="931"/>
      <c r="CJ71" s="931"/>
      <c r="CK71" s="930"/>
      <c r="CL71" s="931"/>
      <c r="CM71" s="931"/>
      <c r="CN71" s="931"/>
      <c r="CO71" s="931"/>
      <c r="CP71" s="930"/>
      <c r="CQ71" s="931"/>
      <c r="CR71" s="931"/>
      <c r="CS71" s="931"/>
      <c r="CT71" s="931"/>
      <c r="CU71" s="930"/>
      <c r="CV71" s="931"/>
      <c r="CW71" s="931"/>
      <c r="CX71" s="931"/>
      <c r="CY71" s="931"/>
      <c r="CZ71" s="930"/>
      <c r="DA71" s="931"/>
      <c r="DB71" s="931"/>
      <c r="DC71" s="931"/>
      <c r="DD71" s="931"/>
      <c r="DE71" s="930"/>
      <c r="DF71" s="931"/>
      <c r="DG71" s="931"/>
      <c r="DH71" s="931"/>
      <c r="DI71" s="931"/>
      <c r="DJ71" s="930"/>
      <c r="DK71" s="931"/>
      <c r="DL71" s="931"/>
      <c r="DM71" s="931"/>
      <c r="DN71" s="931"/>
      <c r="DO71" s="930"/>
      <c r="DP71" s="931"/>
      <c r="DQ71" s="931"/>
      <c r="DR71" s="931"/>
      <c r="DS71" s="931"/>
      <c r="DT71" s="930"/>
      <c r="DU71" s="931"/>
      <c r="DV71" s="931"/>
      <c r="DW71" s="931"/>
      <c r="DX71" s="931"/>
      <c r="DY71" s="930"/>
      <c r="DZ71" s="930"/>
      <c r="EA71" s="930"/>
      <c r="EB71" s="930"/>
    </row>
    <row r="72" spans="1:132" s="31" customFormat="1" ht="12" hidden="1" customHeight="1" outlineLevel="1">
      <c r="A72" s="74"/>
      <c r="B72" s="74" t="s">
        <v>557</v>
      </c>
      <c r="C72" s="930"/>
      <c r="D72" s="930"/>
      <c r="E72" s="930"/>
      <c r="F72" s="930"/>
      <c r="G72" s="930"/>
      <c r="H72" s="930"/>
      <c r="I72" s="930"/>
      <c r="J72" s="931"/>
      <c r="K72" s="931"/>
      <c r="L72" s="931"/>
      <c r="M72" s="931"/>
      <c r="N72" s="930"/>
      <c r="O72" s="931"/>
      <c r="P72" s="931"/>
      <c r="Q72" s="931"/>
      <c r="R72" s="931"/>
      <c r="S72" s="930"/>
      <c r="T72" s="931"/>
      <c r="U72" s="931"/>
      <c r="V72" s="931"/>
      <c r="W72" s="931"/>
      <c r="X72" s="930"/>
      <c r="Y72" s="931"/>
      <c r="Z72" s="931"/>
      <c r="AA72" s="931"/>
      <c r="AB72" s="931"/>
      <c r="AC72" s="930"/>
      <c r="AD72" s="931"/>
      <c r="AE72" s="931"/>
      <c r="AF72" s="931"/>
      <c r="AG72" s="931"/>
      <c r="AH72" s="930"/>
      <c r="AI72" s="931"/>
      <c r="AJ72" s="931"/>
      <c r="AK72" s="931"/>
      <c r="AL72" s="931"/>
      <c r="AM72" s="930"/>
      <c r="AN72" s="931"/>
      <c r="AO72" s="932"/>
      <c r="AP72" s="932"/>
      <c r="AQ72" s="931"/>
      <c r="AR72" s="930"/>
      <c r="AS72" s="931">
        <v>0</v>
      </c>
      <c r="AT72" s="932">
        <v>0</v>
      </c>
      <c r="AU72" s="932">
        <v>1</v>
      </c>
      <c r="AV72" s="931">
        <v>2</v>
      </c>
      <c r="AW72" s="930">
        <f>SUM(AS72:AV72)</f>
        <v>3</v>
      </c>
      <c r="AX72" s="931">
        <v>5</v>
      </c>
      <c r="AY72" s="932">
        <v>6</v>
      </c>
      <c r="AZ72" s="932">
        <v>12</v>
      </c>
      <c r="BA72" s="931">
        <v>23</v>
      </c>
      <c r="BB72" s="930">
        <f>SUM(AX72:BA72)</f>
        <v>46</v>
      </c>
      <c r="BC72" s="931">
        <v>1</v>
      </c>
      <c r="BD72" s="932">
        <v>16</v>
      </c>
      <c r="BE72" s="932">
        <v>23</v>
      </c>
      <c r="BF72" s="931">
        <v>25</v>
      </c>
      <c r="BG72" s="930">
        <f>SUM(BC72:BF72)</f>
        <v>65</v>
      </c>
      <c r="BH72" s="931">
        <v>18</v>
      </c>
      <c r="BI72" s="932">
        <v>29</v>
      </c>
      <c r="BJ72" s="932">
        <v>27</v>
      </c>
      <c r="BK72" s="931">
        <v>30</v>
      </c>
      <c r="BL72" s="930">
        <f>SUM(BH72:BK72)</f>
        <v>104</v>
      </c>
      <c r="BM72" s="931">
        <v>20</v>
      </c>
      <c r="BN72" s="932">
        <v>20</v>
      </c>
      <c r="BO72" s="932">
        <v>17</v>
      </c>
      <c r="BP72" s="931">
        <v>14</v>
      </c>
      <c r="BQ72" s="930">
        <f>SUM(BM72:BP72)</f>
        <v>71</v>
      </c>
      <c r="BR72" s="932">
        <v>6</v>
      </c>
      <c r="BS72" s="931">
        <v>11</v>
      </c>
      <c r="BT72" s="932">
        <v>9</v>
      </c>
      <c r="BU72" s="931">
        <v>9</v>
      </c>
      <c r="BV72" s="930">
        <f>SUM(BR72:BU72)</f>
        <v>35</v>
      </c>
      <c r="BW72" s="932">
        <v>8</v>
      </c>
      <c r="BX72" s="931">
        <v>8</v>
      </c>
      <c r="BY72" s="932">
        <v>6</v>
      </c>
      <c r="BZ72" s="931">
        <v>4</v>
      </c>
      <c r="CA72" s="930">
        <f>SUM(BW72:BZ72)</f>
        <v>26</v>
      </c>
      <c r="CB72" s="932">
        <v>0</v>
      </c>
      <c r="CC72" s="931">
        <v>3</v>
      </c>
      <c r="CD72" s="932">
        <v>4</v>
      </c>
      <c r="CE72" s="931">
        <v>3</v>
      </c>
      <c r="CF72" s="930">
        <f>SUM(CB72:CE72)</f>
        <v>10</v>
      </c>
      <c r="CG72" s="292">
        <v>2</v>
      </c>
      <c r="CH72" s="292">
        <v>1</v>
      </c>
      <c r="CI72" s="292">
        <v>3</v>
      </c>
      <c r="CJ72" s="292">
        <v>6</v>
      </c>
      <c r="CK72" s="930">
        <f>SUM(CG72:CJ72)</f>
        <v>12</v>
      </c>
      <c r="CL72" s="292">
        <v>3</v>
      </c>
      <c r="CM72" s="292">
        <v>1</v>
      </c>
      <c r="CN72" s="292">
        <v>0</v>
      </c>
      <c r="CO72" s="292">
        <v>1</v>
      </c>
      <c r="CP72" s="930">
        <f>SUM(CL72:CO72)</f>
        <v>5</v>
      </c>
      <c r="CQ72" s="292">
        <v>0</v>
      </c>
      <c r="CR72" s="292">
        <v>2</v>
      </c>
      <c r="CS72" s="292">
        <v>0</v>
      </c>
      <c r="CT72" s="292">
        <v>0</v>
      </c>
      <c r="CU72" s="930">
        <f>SUM(CQ72:CT72)</f>
        <v>2</v>
      </c>
      <c r="CV72" s="292">
        <v>0</v>
      </c>
      <c r="CW72" s="292">
        <v>0</v>
      </c>
      <c r="CX72" s="292">
        <v>1</v>
      </c>
      <c r="CY72" s="292">
        <v>6</v>
      </c>
      <c r="CZ72" s="930">
        <f>SUM(CV72:CY72)</f>
        <v>7</v>
      </c>
      <c r="DA72" s="292">
        <v>2</v>
      </c>
      <c r="DB72" s="292">
        <v>4</v>
      </c>
      <c r="DC72" s="292">
        <v>0</v>
      </c>
      <c r="DD72" s="292">
        <v>0</v>
      </c>
      <c r="DE72" s="930">
        <f>SUM(DA72:DD72)</f>
        <v>6</v>
      </c>
      <c r="DF72" s="292">
        <v>0</v>
      </c>
      <c r="DG72" s="292">
        <v>0</v>
      </c>
      <c r="DH72" s="292">
        <v>1</v>
      </c>
      <c r="DI72" s="292">
        <v>0</v>
      </c>
      <c r="DJ72" s="1025">
        <f>SUM(DF72:DI72)</f>
        <v>1</v>
      </c>
      <c r="DK72" s="292">
        <v>1</v>
      </c>
      <c r="DL72" s="292">
        <v>0</v>
      </c>
      <c r="DM72" s="292">
        <v>1</v>
      </c>
      <c r="DN72" s="292">
        <v>0</v>
      </c>
      <c r="DO72" s="1025">
        <f>SUM(DK72:DN72)</f>
        <v>2</v>
      </c>
      <c r="DP72" s="292">
        <v>0</v>
      </c>
      <c r="DQ72" s="951">
        <v>0</v>
      </c>
      <c r="DR72" s="951">
        <v>0</v>
      </c>
      <c r="DS72" s="951">
        <v>1</v>
      </c>
      <c r="DT72" s="1025">
        <f>SUM(DP72:DS72)</f>
        <v>1</v>
      </c>
      <c r="DU72" s="951">
        <v>1</v>
      </c>
      <c r="DV72" s="951">
        <v>0</v>
      </c>
      <c r="DW72" s="951">
        <v>0</v>
      </c>
      <c r="DX72" s="951">
        <v>1</v>
      </c>
      <c r="DY72" s="1025">
        <f>SUM(DU72:DX72)</f>
        <v>2</v>
      </c>
      <c r="DZ72" s="950">
        <v>0</v>
      </c>
      <c r="EA72" s="950">
        <v>0</v>
      </c>
      <c r="EB72" s="950">
        <v>0</v>
      </c>
    </row>
    <row r="73" spans="1:132" s="941" customFormat="1" ht="12" hidden="1" customHeight="1" outlineLevel="1">
      <c r="A73" s="795"/>
      <c r="B73" s="942" t="s">
        <v>190</v>
      </c>
      <c r="C73" s="937"/>
      <c r="D73" s="937"/>
      <c r="E73" s="937"/>
      <c r="F73" s="937"/>
      <c r="G73" s="937"/>
      <c r="H73" s="937"/>
      <c r="I73" s="937"/>
      <c r="J73" s="936"/>
      <c r="K73" s="936"/>
      <c r="L73" s="936"/>
      <c r="M73" s="936"/>
      <c r="N73" s="937"/>
      <c r="O73" s="936"/>
      <c r="P73" s="936"/>
      <c r="Q73" s="936"/>
      <c r="R73" s="936"/>
      <c r="S73" s="937"/>
      <c r="T73" s="936"/>
      <c r="U73" s="936"/>
      <c r="V73" s="936"/>
      <c r="W73" s="936"/>
      <c r="X73" s="937"/>
      <c r="Y73" s="936"/>
      <c r="Z73" s="936"/>
      <c r="AA73" s="936"/>
      <c r="AB73" s="936"/>
      <c r="AC73" s="937"/>
      <c r="AD73" s="936"/>
      <c r="AE73" s="936"/>
      <c r="AF73" s="936"/>
      <c r="AG73" s="936"/>
      <c r="AH73" s="937"/>
      <c r="AI73" s="936"/>
      <c r="AJ73" s="936"/>
      <c r="AK73" s="936"/>
      <c r="AL73" s="936"/>
      <c r="AM73" s="937"/>
      <c r="AN73" s="936"/>
      <c r="AO73" s="938"/>
      <c r="AP73" s="938"/>
      <c r="AQ73" s="936"/>
      <c r="AR73" s="937"/>
      <c r="AS73" s="936"/>
      <c r="AT73" s="938"/>
      <c r="AU73" s="938"/>
      <c r="AV73" s="936"/>
      <c r="AW73" s="937"/>
      <c r="AX73" s="936"/>
      <c r="AY73" s="938"/>
      <c r="AZ73" s="938"/>
      <c r="BA73" s="936"/>
      <c r="BB73" s="937"/>
      <c r="BC73" s="936"/>
      <c r="BD73" s="938"/>
      <c r="BE73" s="938"/>
      <c r="BF73" s="936"/>
      <c r="BG73" s="937"/>
      <c r="BH73" s="936">
        <f>218.3*0.45</f>
        <v>98.235000000000014</v>
      </c>
      <c r="BI73" s="936">
        <f>218.3*0.45</f>
        <v>98.235000000000014</v>
      </c>
      <c r="BJ73" s="936">
        <f>218.3*0.45</f>
        <v>98.235000000000014</v>
      </c>
      <c r="BK73" s="936">
        <f>218.3*0.45</f>
        <v>98.235000000000014</v>
      </c>
      <c r="BL73" s="943">
        <f>IFERROR(SUMPRODUCT(BH72:BK72,BH73:BK73)/BL72,"--")</f>
        <v>98.235000000000028</v>
      </c>
      <c r="BM73" s="936">
        <f>224.6*0.45</f>
        <v>101.07</v>
      </c>
      <c r="BN73" s="936">
        <f>224.6*0.45</f>
        <v>101.07</v>
      </c>
      <c r="BO73" s="936">
        <f>224.6*0.45</f>
        <v>101.07</v>
      </c>
      <c r="BP73" s="936">
        <f>224.6*0.45</f>
        <v>101.07</v>
      </c>
      <c r="BQ73" s="943">
        <f>IFERROR(SUMPRODUCT(BM72:BP72,BM73:BP73)/BQ72,"--")</f>
        <v>101.07</v>
      </c>
      <c r="BR73" s="936">
        <f>224.6*0.425</f>
        <v>95.454999999999998</v>
      </c>
      <c r="BS73" s="936">
        <f>224.6*0.425</f>
        <v>95.454999999999998</v>
      </c>
      <c r="BT73" s="936">
        <f>224.6*0.425</f>
        <v>95.454999999999998</v>
      </c>
      <c r="BU73" s="936">
        <f>224.6*0.425</f>
        <v>95.454999999999998</v>
      </c>
      <c r="BV73" s="943">
        <f>IFERROR(SUMPRODUCT(BR72:BU72,BR73:BU73)/BV72,"--")</f>
        <v>95.454999999999998</v>
      </c>
      <c r="BW73" s="936">
        <f>229.5*0.425</f>
        <v>97.537499999999994</v>
      </c>
      <c r="BX73" s="936">
        <f>229.5*0.425</f>
        <v>97.537499999999994</v>
      </c>
      <c r="BY73" s="936">
        <f>229.5*0.425</f>
        <v>97.537499999999994</v>
      </c>
      <c r="BZ73" s="936">
        <f>229.5*0.425</f>
        <v>97.537499999999994</v>
      </c>
      <c r="CA73" s="943">
        <f>IFERROR(SUMPRODUCT(BW72:BZ72,BW73:BZ73)/CA72,"--")</f>
        <v>97.537499999999994</v>
      </c>
      <c r="CB73" s="936">
        <f>239*0.4</f>
        <v>95.600000000000009</v>
      </c>
      <c r="CC73" s="936">
        <f>239*0.4</f>
        <v>95.600000000000009</v>
      </c>
      <c r="CD73" s="936">
        <f>239*0.4</f>
        <v>95.600000000000009</v>
      </c>
      <c r="CE73" s="936">
        <f>239*0.4</f>
        <v>95.600000000000009</v>
      </c>
      <c r="CF73" s="943">
        <f>IFERROR(SUMPRODUCT(CB72:CE72,CB73:CE73)/CF72,"--")</f>
        <v>95.6</v>
      </c>
      <c r="CG73" s="936">
        <f>CB73*1</f>
        <v>95.600000000000009</v>
      </c>
      <c r="CH73" s="936">
        <f>CC73*1</f>
        <v>95.600000000000009</v>
      </c>
      <c r="CI73" s="936">
        <f>CD73*1</f>
        <v>95.600000000000009</v>
      </c>
      <c r="CJ73" s="936">
        <f>CE73*1</f>
        <v>95.600000000000009</v>
      </c>
      <c r="CK73" s="943">
        <f>IFERROR(SUMPRODUCT(CG72:CJ72,CG73:CJ73)/CK72,"--")</f>
        <v>95.600000000000009</v>
      </c>
      <c r="CL73" s="936">
        <f>CG73*1</f>
        <v>95.600000000000009</v>
      </c>
      <c r="CM73" s="936">
        <f>CH73*1</f>
        <v>95.600000000000009</v>
      </c>
      <c r="CN73" s="936">
        <f>CI73*1</f>
        <v>95.600000000000009</v>
      </c>
      <c r="CO73" s="936">
        <f>CJ73*1</f>
        <v>95.600000000000009</v>
      </c>
      <c r="CP73" s="943">
        <f>IFERROR(SUMPRODUCT(CL72:CO72,CL73:CO73)/CP72,"--")</f>
        <v>95.600000000000009</v>
      </c>
      <c r="CQ73" s="936">
        <f t="shared" ref="CQ73:CT73" si="325">CL73*1</f>
        <v>95.600000000000009</v>
      </c>
      <c r="CR73" s="936">
        <f t="shared" si="325"/>
        <v>95.600000000000009</v>
      </c>
      <c r="CS73" s="936">
        <f t="shared" si="325"/>
        <v>95.600000000000009</v>
      </c>
      <c r="CT73" s="936">
        <f t="shared" si="325"/>
        <v>95.600000000000009</v>
      </c>
      <c r="CU73" s="943">
        <f>IFERROR(SUMPRODUCT(CQ72:CT72,CQ73:CT73)/CU72,"--")</f>
        <v>95.600000000000009</v>
      </c>
      <c r="CV73" s="936">
        <f t="shared" ref="CV73:CW73" si="326">CQ73*1</f>
        <v>95.600000000000009</v>
      </c>
      <c r="CW73" s="936">
        <f t="shared" si="326"/>
        <v>95.600000000000009</v>
      </c>
      <c r="CX73" s="936">
        <f t="shared" ref="CX73" si="327">CS73*1</f>
        <v>95.600000000000009</v>
      </c>
      <c r="CY73" s="936">
        <f t="shared" ref="CY73" si="328">CT73*1</f>
        <v>95.600000000000009</v>
      </c>
      <c r="CZ73" s="943">
        <f>IFERROR(SUMPRODUCT(CV72:CY72,CV73:CY73)/CZ72,"--")</f>
        <v>95.600000000000009</v>
      </c>
      <c r="DA73" s="936">
        <f t="shared" ref="DA73" si="329">CV73*1</f>
        <v>95.600000000000009</v>
      </c>
      <c r="DB73" s="936">
        <f t="shared" ref="DB73" si="330">CW73*1</f>
        <v>95.600000000000009</v>
      </c>
      <c r="DC73" s="936">
        <f t="shared" ref="DC73" si="331">CX73*1</f>
        <v>95.600000000000009</v>
      </c>
      <c r="DD73" s="936">
        <f t="shared" ref="DD73" si="332">CY73*1</f>
        <v>95.600000000000009</v>
      </c>
      <c r="DE73" s="943">
        <f>IFERROR(SUMPRODUCT(DA72:DD72,DA73:DD73)/DE72,"--")</f>
        <v>95.600000000000009</v>
      </c>
      <c r="DF73" s="936">
        <f t="shared" ref="DF73:DN73" si="333">DA73*1</f>
        <v>95.600000000000009</v>
      </c>
      <c r="DG73" s="936">
        <f t="shared" si="333"/>
        <v>95.600000000000009</v>
      </c>
      <c r="DH73" s="936">
        <f t="shared" si="333"/>
        <v>95.600000000000009</v>
      </c>
      <c r="DI73" s="936">
        <f t="shared" si="333"/>
        <v>95.600000000000009</v>
      </c>
      <c r="DJ73" s="1026">
        <f>IFERROR(SUMPRODUCT(DF72:DI72,DF73:DI73)/DJ72,"--")</f>
        <v>95.600000000000009</v>
      </c>
      <c r="DK73" s="936">
        <f t="shared" si="333"/>
        <v>95.600000000000009</v>
      </c>
      <c r="DL73" s="936">
        <f t="shared" si="333"/>
        <v>95.600000000000009</v>
      </c>
      <c r="DM73" s="936">
        <f t="shared" si="333"/>
        <v>95.600000000000009</v>
      </c>
      <c r="DN73" s="936">
        <f t="shared" si="333"/>
        <v>95.600000000000009</v>
      </c>
      <c r="DO73" s="1026">
        <f>IFERROR(SUMPRODUCT(DK72:DN72,DK73:DN73)/DO72,"--")</f>
        <v>95.600000000000009</v>
      </c>
      <c r="DP73" s="936">
        <f t="shared" ref="DP73" si="334">DK73*1</f>
        <v>95.600000000000009</v>
      </c>
      <c r="DQ73" s="939">
        <f t="shared" ref="DQ73" si="335">DL73*1</f>
        <v>95.600000000000009</v>
      </c>
      <c r="DR73" s="939">
        <f t="shared" ref="DR73" si="336">DM73*1</f>
        <v>95.600000000000009</v>
      </c>
      <c r="DS73" s="939">
        <f t="shared" ref="DS73" si="337">DN73*1</f>
        <v>95.600000000000009</v>
      </c>
      <c r="DT73" s="1026">
        <f>IFERROR(SUMPRODUCT(DP72:DS72,DP73:DS73)/DT72,"--")</f>
        <v>95.600000000000009</v>
      </c>
      <c r="DU73" s="939">
        <f t="shared" ref="DU73" si="338">DP73*1</f>
        <v>95.600000000000009</v>
      </c>
      <c r="DV73" s="939">
        <f t="shared" ref="DV73" si="339">DQ73*1</f>
        <v>95.600000000000009</v>
      </c>
      <c r="DW73" s="939">
        <f t="shared" ref="DW73" si="340">DR73*1</f>
        <v>95.600000000000009</v>
      </c>
      <c r="DX73" s="939">
        <f t="shared" ref="DX73" si="341">DS73*1</f>
        <v>95.600000000000009</v>
      </c>
      <c r="DY73" s="1026">
        <f>IFERROR(SUMPRODUCT(DU72:DX72,DU73:DX73)/DY72,"--")</f>
        <v>95.600000000000009</v>
      </c>
      <c r="DZ73" s="949">
        <f>DY73*1</f>
        <v>95.600000000000009</v>
      </c>
      <c r="EA73" s="949">
        <v>96</v>
      </c>
      <c r="EB73" s="949">
        <v>96</v>
      </c>
    </row>
    <row r="74" spans="1:132" s="31" customFormat="1" ht="12" hidden="1" customHeight="1" outlineLevel="1">
      <c r="A74" s="74"/>
      <c r="B74" s="74" t="s">
        <v>555</v>
      </c>
      <c r="C74" s="930"/>
      <c r="D74" s="930"/>
      <c r="E74" s="930"/>
      <c r="F74" s="930"/>
      <c r="G74" s="930"/>
      <c r="H74" s="930"/>
      <c r="I74" s="930"/>
      <c r="J74" s="931"/>
      <c r="K74" s="931"/>
      <c r="L74" s="931"/>
      <c r="M74" s="931"/>
      <c r="N74" s="930"/>
      <c r="O74" s="931"/>
      <c r="P74" s="931"/>
      <c r="Q74" s="931"/>
      <c r="R74" s="931"/>
      <c r="S74" s="930"/>
      <c r="T74" s="931"/>
      <c r="U74" s="931"/>
      <c r="V74" s="931"/>
      <c r="W74" s="931"/>
      <c r="X74" s="930"/>
      <c r="Y74" s="931"/>
      <c r="Z74" s="931"/>
      <c r="AA74" s="931"/>
      <c r="AB74" s="931"/>
      <c r="AC74" s="930"/>
      <c r="AD74" s="931"/>
      <c r="AE74" s="931"/>
      <c r="AF74" s="931"/>
      <c r="AG74" s="931"/>
      <c r="AH74" s="930"/>
      <c r="AI74" s="931"/>
      <c r="AJ74" s="931"/>
      <c r="AK74" s="931"/>
      <c r="AL74" s="931"/>
      <c r="AM74" s="930"/>
      <c r="AN74" s="931"/>
      <c r="AO74" s="932"/>
      <c r="AP74" s="932"/>
      <c r="AQ74" s="931"/>
      <c r="AR74" s="930"/>
      <c r="AS74" s="931"/>
      <c r="AT74" s="932"/>
      <c r="AU74" s="932"/>
      <c r="AV74" s="931"/>
      <c r="AW74" s="930"/>
      <c r="AX74" s="931"/>
      <c r="AY74" s="932"/>
      <c r="AZ74" s="932"/>
      <c r="BA74" s="931"/>
      <c r="BB74" s="930"/>
      <c r="BC74" s="931"/>
      <c r="BD74" s="932"/>
      <c r="BE74" s="932"/>
      <c r="BF74" s="931"/>
      <c r="BG74" s="930"/>
      <c r="BH74" s="931">
        <v>0</v>
      </c>
      <c r="BI74" s="932">
        <v>1</v>
      </c>
      <c r="BJ74" s="932">
        <v>4</v>
      </c>
      <c r="BK74" s="931">
        <v>5</v>
      </c>
      <c r="BL74" s="930">
        <f>SUM(BH74:BK74)</f>
        <v>10</v>
      </c>
      <c r="BM74" s="931">
        <v>10</v>
      </c>
      <c r="BN74" s="932">
        <v>14</v>
      </c>
      <c r="BO74" s="932">
        <v>20</v>
      </c>
      <c r="BP74" s="931">
        <v>20</v>
      </c>
      <c r="BQ74" s="930">
        <f>SUM(BM74:BP74)</f>
        <v>64</v>
      </c>
      <c r="BR74" s="932">
        <v>24</v>
      </c>
      <c r="BS74" s="931">
        <v>27</v>
      </c>
      <c r="BT74" s="932">
        <v>27</v>
      </c>
      <c r="BU74" s="931">
        <v>24</v>
      </c>
      <c r="BV74" s="930">
        <f>SUM(BR74:BU74)</f>
        <v>102</v>
      </c>
      <c r="BW74" s="932">
        <v>24</v>
      </c>
      <c r="BX74" s="931">
        <v>25</v>
      </c>
      <c r="BY74" s="932">
        <v>29</v>
      </c>
      <c r="BZ74" s="931">
        <v>32</v>
      </c>
      <c r="CA74" s="930">
        <f>SUM(BW74:BZ74)</f>
        <v>110</v>
      </c>
      <c r="CB74" s="932">
        <v>33</v>
      </c>
      <c r="CC74" s="931">
        <v>30</v>
      </c>
      <c r="CD74" s="932">
        <v>30</v>
      </c>
      <c r="CE74" s="931">
        <v>27</v>
      </c>
      <c r="CF74" s="930">
        <f>SUM(CB74:CE74)</f>
        <v>120</v>
      </c>
      <c r="CG74" s="292">
        <v>28</v>
      </c>
      <c r="CH74" s="292">
        <v>32</v>
      </c>
      <c r="CI74" s="292">
        <v>25</v>
      </c>
      <c r="CJ74" s="292">
        <v>28</v>
      </c>
      <c r="CK74" s="930">
        <f>SUM(CG74:CJ74)</f>
        <v>113</v>
      </c>
      <c r="CL74" s="292">
        <v>19</v>
      </c>
      <c r="CM74" s="292">
        <v>3</v>
      </c>
      <c r="CN74" s="292">
        <v>12</v>
      </c>
      <c r="CO74" s="292">
        <v>1</v>
      </c>
      <c r="CP74" s="930">
        <f>SUM(CL74:CO74)</f>
        <v>35</v>
      </c>
      <c r="CQ74" s="292">
        <v>2</v>
      </c>
      <c r="CR74" s="292">
        <v>10</v>
      </c>
      <c r="CS74" s="292">
        <v>0</v>
      </c>
      <c r="CT74" s="292">
        <v>0</v>
      </c>
      <c r="CU74" s="930">
        <f>SUM(CQ74:CT74)</f>
        <v>12</v>
      </c>
      <c r="CV74" s="292">
        <v>0</v>
      </c>
      <c r="CW74" s="292">
        <v>0</v>
      </c>
      <c r="CX74" s="292">
        <v>6</v>
      </c>
      <c r="CY74" s="292">
        <v>7</v>
      </c>
      <c r="CZ74" s="930">
        <f>SUM(CV74:CY74)</f>
        <v>13</v>
      </c>
      <c r="DA74" s="292">
        <v>6</v>
      </c>
      <c r="DB74" s="292">
        <v>8</v>
      </c>
      <c r="DC74" s="292">
        <v>13</v>
      </c>
      <c r="DD74" s="292">
        <v>17</v>
      </c>
      <c r="DE74" s="930">
        <f>SUM(DA74:DD74)</f>
        <v>44</v>
      </c>
      <c r="DF74" s="292">
        <v>12</v>
      </c>
      <c r="DG74" s="292">
        <v>5</v>
      </c>
      <c r="DH74" s="292">
        <v>4</v>
      </c>
      <c r="DI74" s="292">
        <v>9</v>
      </c>
      <c r="DJ74" s="1025">
        <f>SUM(DF74:DI74)</f>
        <v>30</v>
      </c>
      <c r="DK74" s="292">
        <v>10</v>
      </c>
      <c r="DL74" s="292">
        <v>19</v>
      </c>
      <c r="DM74" s="292">
        <v>19</v>
      </c>
      <c r="DN74" s="292">
        <v>19</v>
      </c>
      <c r="DO74" s="1025">
        <f>SUM(DK74:DN74)</f>
        <v>67</v>
      </c>
      <c r="DP74" s="292">
        <v>11</v>
      </c>
      <c r="DQ74" s="951">
        <v>24</v>
      </c>
      <c r="DR74" s="951">
        <v>20</v>
      </c>
      <c r="DS74" s="951">
        <v>23</v>
      </c>
      <c r="DT74" s="1025">
        <f>SUM(DP74:DS74)</f>
        <v>78</v>
      </c>
      <c r="DU74" s="951">
        <v>16</v>
      </c>
      <c r="DV74" s="951">
        <v>22</v>
      </c>
      <c r="DW74" s="951">
        <v>24</v>
      </c>
      <c r="DX74" s="951">
        <v>26</v>
      </c>
      <c r="DY74" s="1025">
        <f>SUM(DU74:DX74)</f>
        <v>88</v>
      </c>
      <c r="DZ74" s="950">
        <v>100</v>
      </c>
      <c r="EA74" s="950">
        <v>115</v>
      </c>
      <c r="EB74" s="950">
        <v>120</v>
      </c>
    </row>
    <row r="75" spans="1:132" s="941" customFormat="1" ht="12" hidden="1" customHeight="1" outlineLevel="1">
      <c r="A75" s="795"/>
      <c r="B75" s="942" t="s">
        <v>190</v>
      </c>
      <c r="C75" s="937"/>
      <c r="D75" s="937"/>
      <c r="E75" s="937"/>
      <c r="F75" s="937"/>
      <c r="G75" s="937"/>
      <c r="H75" s="937"/>
      <c r="I75" s="937"/>
      <c r="J75" s="936"/>
      <c r="K75" s="936"/>
      <c r="L75" s="936"/>
      <c r="M75" s="936"/>
      <c r="N75" s="937"/>
      <c r="O75" s="936"/>
      <c r="P75" s="936"/>
      <c r="Q75" s="936"/>
      <c r="R75" s="936"/>
      <c r="S75" s="937"/>
      <c r="T75" s="936"/>
      <c r="U75" s="936"/>
      <c r="V75" s="936"/>
      <c r="W75" s="936"/>
      <c r="X75" s="937"/>
      <c r="Y75" s="936"/>
      <c r="Z75" s="936"/>
      <c r="AA75" s="936"/>
      <c r="AB75" s="936"/>
      <c r="AC75" s="937"/>
      <c r="AD75" s="936"/>
      <c r="AE75" s="936"/>
      <c r="AF75" s="936"/>
      <c r="AG75" s="936"/>
      <c r="AH75" s="937"/>
      <c r="AI75" s="936"/>
      <c r="AJ75" s="936"/>
      <c r="AK75" s="936"/>
      <c r="AL75" s="936"/>
      <c r="AM75" s="937"/>
      <c r="AN75" s="936"/>
      <c r="AO75" s="938"/>
      <c r="AP75" s="938"/>
      <c r="AQ75" s="936"/>
      <c r="AR75" s="937"/>
      <c r="AS75" s="936"/>
      <c r="AT75" s="938"/>
      <c r="AU75" s="938"/>
      <c r="AV75" s="936"/>
      <c r="AW75" s="937"/>
      <c r="AX75" s="936"/>
      <c r="AY75" s="938"/>
      <c r="AZ75" s="938"/>
      <c r="BA75" s="936"/>
      <c r="BB75" s="937"/>
      <c r="BC75" s="936"/>
      <c r="BD75" s="938"/>
      <c r="BE75" s="938"/>
      <c r="BF75" s="936"/>
      <c r="BG75" s="937"/>
      <c r="BH75" s="936">
        <f>257.1*0.45</f>
        <v>115.69500000000001</v>
      </c>
      <c r="BI75" s="936">
        <f>257.1*0.5</f>
        <v>128.55000000000001</v>
      </c>
      <c r="BJ75" s="936">
        <f>257.1*0.5</f>
        <v>128.55000000000001</v>
      </c>
      <c r="BK75" s="936">
        <f>257.1*0.5</f>
        <v>128.55000000000001</v>
      </c>
      <c r="BL75" s="943">
        <f>IFERROR(SUMPRODUCT(BH74:BK74,BH75:BK75)/BL74,"--")</f>
        <v>128.55000000000001</v>
      </c>
      <c r="BM75" s="936">
        <f>264.6*0.5</f>
        <v>132.30000000000001</v>
      </c>
      <c r="BN75" s="936">
        <f>264.6*0.5</f>
        <v>132.30000000000001</v>
      </c>
      <c r="BO75" s="936">
        <f>264.6*0.5</f>
        <v>132.30000000000001</v>
      </c>
      <c r="BP75" s="936">
        <f>264.6*0.5</f>
        <v>132.30000000000001</v>
      </c>
      <c r="BQ75" s="943">
        <f>IFERROR(SUMPRODUCT(BM74:BP74,BM75:BP75)/BQ74,"--")</f>
        <v>132.30000000000001</v>
      </c>
      <c r="BR75" s="936">
        <f>264.6*0.5</f>
        <v>132.30000000000001</v>
      </c>
      <c r="BS75" s="936">
        <f>264.6*0.5</f>
        <v>132.30000000000001</v>
      </c>
      <c r="BT75" s="936">
        <f>264.6*0.5</f>
        <v>132.30000000000001</v>
      </c>
      <c r="BU75" s="936">
        <f>264.6*0.5</f>
        <v>132.30000000000001</v>
      </c>
      <c r="BV75" s="943">
        <f>IFERROR(SUMPRODUCT(BR74:BU74,BR75:BU75)/BV74,"--")</f>
        <v>132.30000000000001</v>
      </c>
      <c r="BW75" s="936">
        <f>270.4*0.5</f>
        <v>135.19999999999999</v>
      </c>
      <c r="BX75" s="936">
        <f>270.4*0.5</f>
        <v>135.19999999999999</v>
      </c>
      <c r="BY75" s="936">
        <f>270.4*0.5</f>
        <v>135.19999999999999</v>
      </c>
      <c r="BZ75" s="936">
        <f>270.4*0.5</f>
        <v>135.19999999999999</v>
      </c>
      <c r="CA75" s="943">
        <f>IFERROR(SUMPRODUCT(BW74:BZ74,BW75:BZ75)/CA74,"--")</f>
        <v>135.19999999999999</v>
      </c>
      <c r="CB75" s="936">
        <f>281.6*0.5</f>
        <v>140.80000000000001</v>
      </c>
      <c r="CC75" s="936">
        <f>281.6*0.5</f>
        <v>140.80000000000001</v>
      </c>
      <c r="CD75" s="936">
        <f>281.6*0.5</f>
        <v>140.80000000000001</v>
      </c>
      <c r="CE75" s="936">
        <f>281.6*0.5</f>
        <v>140.80000000000001</v>
      </c>
      <c r="CF75" s="943">
        <f>IFERROR(SUMPRODUCT(CB74:CE74,CB75:CE75)/CF74,"--")</f>
        <v>140.80000000000001</v>
      </c>
      <c r="CG75" s="936">
        <f>CB75*1.01</f>
        <v>142.20800000000003</v>
      </c>
      <c r="CH75" s="936">
        <f>CC75*1.01</f>
        <v>142.20800000000003</v>
      </c>
      <c r="CI75" s="936">
        <f>CD75*1.01</f>
        <v>142.20800000000003</v>
      </c>
      <c r="CJ75" s="936">
        <f>CE75*1.01</f>
        <v>142.20800000000003</v>
      </c>
      <c r="CK75" s="943">
        <f>IFERROR(SUMPRODUCT(CG74:CJ74,CG75:CJ75)/CK74,"--")</f>
        <v>142.20800000000003</v>
      </c>
      <c r="CL75" s="936">
        <f>CG75*1.01</f>
        <v>143.63008000000002</v>
      </c>
      <c r="CM75" s="936">
        <f>CH75*1.01</f>
        <v>143.63008000000002</v>
      </c>
      <c r="CN75" s="936">
        <f>CI75*1.01</f>
        <v>143.63008000000002</v>
      </c>
      <c r="CO75" s="936">
        <f>CJ75*1.01</f>
        <v>143.63008000000002</v>
      </c>
      <c r="CP75" s="943">
        <f>IFERROR(SUMPRODUCT(CL74:CO74,CL75:CO75)/CP74,"--")</f>
        <v>143.63008000000002</v>
      </c>
      <c r="CQ75" s="936">
        <f t="shared" ref="CQ75:CT75" si="342">CL75*1.01</f>
        <v>145.06638080000002</v>
      </c>
      <c r="CR75" s="936">
        <f t="shared" si="342"/>
        <v>145.06638080000002</v>
      </c>
      <c r="CS75" s="936">
        <f t="shared" si="342"/>
        <v>145.06638080000002</v>
      </c>
      <c r="CT75" s="936">
        <f t="shared" si="342"/>
        <v>145.06638080000002</v>
      </c>
      <c r="CU75" s="943">
        <f>IFERROR(SUMPRODUCT(CQ74:CT74,CQ75:CT75)/CU74,"--")</f>
        <v>145.06638080000002</v>
      </c>
      <c r="CV75" s="936">
        <f t="shared" ref="CV75:CW75" si="343">CQ75*1.01</f>
        <v>146.51704460800002</v>
      </c>
      <c r="CW75" s="936">
        <f t="shared" si="343"/>
        <v>146.51704460800002</v>
      </c>
      <c r="CX75" s="936">
        <f t="shared" ref="CX75" si="344">CS75*1.01</f>
        <v>146.51704460800002</v>
      </c>
      <c r="CY75" s="936">
        <f t="shared" ref="CY75" si="345">CT75*1.01</f>
        <v>146.51704460800002</v>
      </c>
      <c r="CZ75" s="943">
        <f>IFERROR(SUMPRODUCT(CV74:CY74,CV75:CY75)/CZ74,"--")</f>
        <v>146.51704460800002</v>
      </c>
      <c r="DA75" s="936">
        <f t="shared" ref="DA75" si="346">CV75*1.01</f>
        <v>147.98221505408003</v>
      </c>
      <c r="DB75" s="936">
        <f t="shared" ref="DB75" si="347">CW75*1.01</f>
        <v>147.98221505408003</v>
      </c>
      <c r="DC75" s="936">
        <f t="shared" ref="DC75" si="348">CX75*1.01</f>
        <v>147.98221505408003</v>
      </c>
      <c r="DD75" s="936">
        <f t="shared" ref="DD75" si="349">CY75*1.01</f>
        <v>147.98221505408003</v>
      </c>
      <c r="DE75" s="943">
        <f>IFERROR(SUMPRODUCT(DA74:DD74,DA75:DD75)/DE74,"--")</f>
        <v>147.98221505408003</v>
      </c>
      <c r="DF75" s="936">
        <f t="shared" ref="DF75:DN75" si="350">DA75*1</f>
        <v>147.98221505408003</v>
      </c>
      <c r="DG75" s="936">
        <f t="shared" si="350"/>
        <v>147.98221505408003</v>
      </c>
      <c r="DH75" s="936">
        <f t="shared" si="350"/>
        <v>147.98221505408003</v>
      </c>
      <c r="DI75" s="936">
        <f t="shared" si="350"/>
        <v>147.98221505408003</v>
      </c>
      <c r="DJ75" s="1026">
        <f>IFERROR(SUMPRODUCT(DF74:DI74,DF75:DI75)/DJ74,"--")</f>
        <v>147.98221505408</v>
      </c>
      <c r="DK75" s="936">
        <f t="shared" si="350"/>
        <v>147.98221505408003</v>
      </c>
      <c r="DL75" s="936">
        <f t="shared" si="350"/>
        <v>147.98221505408003</v>
      </c>
      <c r="DM75" s="936">
        <f t="shared" si="350"/>
        <v>147.98221505408003</v>
      </c>
      <c r="DN75" s="936">
        <f t="shared" si="350"/>
        <v>147.98221505408003</v>
      </c>
      <c r="DO75" s="1026">
        <f>IFERROR(SUMPRODUCT(DK74:DN74,DK75:DN75)/DO74,"--")</f>
        <v>147.98221505408003</v>
      </c>
      <c r="DP75" s="936">
        <v>149</v>
      </c>
      <c r="DQ75" s="939">
        <v>149</v>
      </c>
      <c r="DR75" s="939">
        <v>149</v>
      </c>
      <c r="DS75" s="939">
        <v>149</v>
      </c>
      <c r="DT75" s="1026">
        <f>IFERROR(SUMPRODUCT(DP74:DS74,DP75:DS75)/DT74,"--")</f>
        <v>149</v>
      </c>
      <c r="DU75" s="939">
        <v>153</v>
      </c>
      <c r="DV75" s="939">
        <v>153</v>
      </c>
      <c r="DW75" s="939">
        <v>153</v>
      </c>
      <c r="DX75" s="939">
        <v>153</v>
      </c>
      <c r="DY75" s="1026">
        <f>IFERROR(SUMPRODUCT(DU74:DX74,DU75:DX75)/DY74,"--")</f>
        <v>153</v>
      </c>
      <c r="DZ75" s="949">
        <v>155</v>
      </c>
      <c r="EA75" s="949">
        <v>156</v>
      </c>
      <c r="EB75" s="949">
        <v>158</v>
      </c>
    </row>
    <row r="76" spans="1:132" s="31" customFormat="1" ht="12" hidden="1" customHeight="1" outlineLevel="1">
      <c r="A76" s="74"/>
      <c r="B76" s="74" t="s">
        <v>556</v>
      </c>
      <c r="C76" s="930"/>
      <c r="D76" s="930"/>
      <c r="E76" s="930"/>
      <c r="F76" s="930"/>
      <c r="G76" s="930"/>
      <c r="H76" s="930"/>
      <c r="I76" s="930"/>
      <c r="J76" s="931"/>
      <c r="K76" s="931"/>
      <c r="L76" s="931"/>
      <c r="M76" s="931"/>
      <c r="N76" s="930"/>
      <c r="O76" s="931"/>
      <c r="P76" s="931"/>
      <c r="Q76" s="931"/>
      <c r="R76" s="931"/>
      <c r="S76" s="930"/>
      <c r="T76" s="931"/>
      <c r="U76" s="931"/>
      <c r="V76" s="931"/>
      <c r="W76" s="931"/>
      <c r="X76" s="930"/>
      <c r="Y76" s="931"/>
      <c r="Z76" s="931"/>
      <c r="AA76" s="931"/>
      <c r="AB76" s="931"/>
      <c r="AC76" s="930"/>
      <c r="AD76" s="931"/>
      <c r="AE76" s="931"/>
      <c r="AF76" s="931"/>
      <c r="AG76" s="931"/>
      <c r="AH76" s="930"/>
      <c r="AI76" s="931"/>
      <c r="AJ76" s="931"/>
      <c r="AK76" s="931"/>
      <c r="AL76" s="931"/>
      <c r="AM76" s="930"/>
      <c r="AN76" s="931"/>
      <c r="AO76" s="932"/>
      <c r="AP76" s="932"/>
      <c r="AQ76" s="931"/>
      <c r="AR76" s="930"/>
      <c r="AS76" s="931"/>
      <c r="AT76" s="932"/>
      <c r="AU76" s="932"/>
      <c r="AV76" s="931"/>
      <c r="AW76" s="930"/>
      <c r="AX76" s="931"/>
      <c r="AY76" s="932"/>
      <c r="AZ76" s="932"/>
      <c r="BA76" s="931"/>
      <c r="BB76" s="930"/>
      <c r="BC76" s="931"/>
      <c r="BD76" s="932"/>
      <c r="BE76" s="932"/>
      <c r="BF76" s="931"/>
      <c r="BG76" s="930"/>
      <c r="BH76" s="931"/>
      <c r="BI76" s="932"/>
      <c r="BJ76" s="932"/>
      <c r="BK76" s="931"/>
      <c r="BL76" s="930"/>
      <c r="BM76" s="931"/>
      <c r="BN76" s="932"/>
      <c r="BO76" s="932"/>
      <c r="BP76" s="931"/>
      <c r="BQ76" s="930"/>
      <c r="BR76" s="932"/>
      <c r="BS76" s="931"/>
      <c r="BT76" s="932"/>
      <c r="BU76" s="931"/>
      <c r="BV76" s="930"/>
      <c r="BW76" s="932">
        <v>0</v>
      </c>
      <c r="BX76" s="931">
        <v>0</v>
      </c>
      <c r="BY76" s="932">
        <v>0</v>
      </c>
      <c r="BZ76" s="931">
        <v>0</v>
      </c>
      <c r="CA76" s="930">
        <f>SUM(BW76:BZ76)</f>
        <v>0</v>
      </c>
      <c r="CB76" s="932">
        <v>1</v>
      </c>
      <c r="CC76" s="931">
        <v>5</v>
      </c>
      <c r="CD76" s="932">
        <v>0</v>
      </c>
      <c r="CE76" s="931">
        <v>9</v>
      </c>
      <c r="CF76" s="930">
        <f>SUM(CB76:CE76)</f>
        <v>15</v>
      </c>
      <c r="CG76" s="292">
        <v>6</v>
      </c>
      <c r="CH76" s="292">
        <v>9</v>
      </c>
      <c r="CI76" s="292">
        <v>7</v>
      </c>
      <c r="CJ76" s="292">
        <v>11</v>
      </c>
      <c r="CK76" s="930">
        <f>SUM(CG76:CJ76)</f>
        <v>33</v>
      </c>
      <c r="CL76" s="292">
        <v>7</v>
      </c>
      <c r="CM76" s="292">
        <v>3</v>
      </c>
      <c r="CN76" s="292">
        <v>1</v>
      </c>
      <c r="CO76" s="292">
        <v>2</v>
      </c>
      <c r="CP76" s="930">
        <f>SUM(CL76:CO76)</f>
        <v>13</v>
      </c>
      <c r="CQ76" s="292">
        <v>0</v>
      </c>
      <c r="CR76" s="292">
        <v>0</v>
      </c>
      <c r="CS76" s="292">
        <v>0</v>
      </c>
      <c r="CT76" s="292">
        <v>0</v>
      </c>
      <c r="CU76" s="930">
        <f>SUM(CQ76:CT76)</f>
        <v>0</v>
      </c>
      <c r="CV76" s="292">
        <v>0</v>
      </c>
      <c r="CW76" s="292">
        <v>0</v>
      </c>
      <c r="CX76" s="292">
        <v>2</v>
      </c>
      <c r="CY76" s="292">
        <v>9</v>
      </c>
      <c r="CZ76" s="930">
        <f>SUM(CV76:CY76)</f>
        <v>11</v>
      </c>
      <c r="DA76" s="292">
        <v>3</v>
      </c>
      <c r="DB76" s="292">
        <v>8</v>
      </c>
      <c r="DC76" s="292">
        <v>6</v>
      </c>
      <c r="DD76" s="292">
        <v>6</v>
      </c>
      <c r="DE76" s="930">
        <f>SUM(DA76:DD76)</f>
        <v>23</v>
      </c>
      <c r="DF76" s="292">
        <v>1</v>
      </c>
      <c r="DG76" s="292">
        <v>4</v>
      </c>
      <c r="DH76" s="292">
        <v>9</v>
      </c>
      <c r="DI76" s="292">
        <v>6</v>
      </c>
      <c r="DJ76" s="1025">
        <f>SUM(DF76:DI76)</f>
        <v>20</v>
      </c>
      <c r="DK76" s="292">
        <v>2</v>
      </c>
      <c r="DL76" s="292">
        <v>5</v>
      </c>
      <c r="DM76" s="292">
        <v>4</v>
      </c>
      <c r="DN76" s="292">
        <v>8</v>
      </c>
      <c r="DO76" s="1025">
        <f>SUM(DK76:DN76)</f>
        <v>19</v>
      </c>
      <c r="DP76" s="292">
        <v>4</v>
      </c>
      <c r="DQ76" s="951">
        <v>1</v>
      </c>
      <c r="DR76" s="951">
        <v>6</v>
      </c>
      <c r="DS76" s="951">
        <v>8</v>
      </c>
      <c r="DT76" s="1025">
        <f>SUM(DP76:DS76)</f>
        <v>19</v>
      </c>
      <c r="DU76" s="951">
        <v>7</v>
      </c>
      <c r="DV76" s="951">
        <v>8</v>
      </c>
      <c r="DW76" s="951">
        <v>10</v>
      </c>
      <c r="DX76" s="951">
        <v>12</v>
      </c>
      <c r="DY76" s="1025">
        <f>SUM(DU76:DX76)</f>
        <v>37</v>
      </c>
      <c r="DZ76" s="950">
        <v>42</v>
      </c>
      <c r="EA76" s="950">
        <v>50</v>
      </c>
      <c r="EB76" s="950">
        <v>55</v>
      </c>
    </row>
    <row r="77" spans="1:132" s="941" customFormat="1" ht="12" hidden="1" customHeight="1" outlineLevel="1">
      <c r="A77" s="795"/>
      <c r="B77" s="942" t="s">
        <v>190</v>
      </c>
      <c r="C77" s="937"/>
      <c r="D77" s="937"/>
      <c r="E77" s="937"/>
      <c r="F77" s="937"/>
      <c r="G77" s="937"/>
      <c r="H77" s="937"/>
      <c r="I77" s="937"/>
      <c r="J77" s="936"/>
      <c r="K77" s="936"/>
      <c r="L77" s="936"/>
      <c r="M77" s="936"/>
      <c r="N77" s="937"/>
      <c r="O77" s="936"/>
      <c r="P77" s="936"/>
      <c r="Q77" s="936"/>
      <c r="R77" s="936"/>
      <c r="S77" s="937"/>
      <c r="T77" s="936"/>
      <c r="U77" s="936"/>
      <c r="V77" s="936"/>
      <c r="W77" s="936"/>
      <c r="X77" s="937"/>
      <c r="Y77" s="936"/>
      <c r="Z77" s="936"/>
      <c r="AA77" s="936"/>
      <c r="AB77" s="936"/>
      <c r="AC77" s="937"/>
      <c r="AD77" s="936"/>
      <c r="AE77" s="936"/>
      <c r="AF77" s="936"/>
      <c r="AG77" s="936"/>
      <c r="AH77" s="937"/>
      <c r="AI77" s="936"/>
      <c r="AJ77" s="936"/>
      <c r="AK77" s="936"/>
      <c r="AL77" s="936"/>
      <c r="AM77" s="937"/>
      <c r="AN77" s="936"/>
      <c r="AO77" s="938"/>
      <c r="AP77" s="938"/>
      <c r="AQ77" s="936"/>
      <c r="AR77" s="937"/>
      <c r="AS77" s="936"/>
      <c r="AT77" s="938"/>
      <c r="AU77" s="938"/>
      <c r="AV77" s="936"/>
      <c r="AW77" s="937"/>
      <c r="AX77" s="936"/>
      <c r="AY77" s="938"/>
      <c r="AZ77" s="938"/>
      <c r="BA77" s="936"/>
      <c r="BB77" s="937"/>
      <c r="BC77" s="936"/>
      <c r="BD77" s="938"/>
      <c r="BE77" s="938"/>
      <c r="BF77" s="936"/>
      <c r="BG77" s="937"/>
      <c r="BH77" s="936">
        <f>297.5*0.5</f>
        <v>148.75</v>
      </c>
      <c r="BI77" s="936">
        <f t="shared" ref="BI77:BK77" si="351">297.5*0.5</f>
        <v>148.75</v>
      </c>
      <c r="BJ77" s="936">
        <f t="shared" si="351"/>
        <v>148.75</v>
      </c>
      <c r="BK77" s="936">
        <f t="shared" si="351"/>
        <v>148.75</v>
      </c>
      <c r="BL77" s="943" t="str">
        <f>IFERROR(SUMPRODUCT(BH76:BK76,BH77:BK77)/BL76,"--")</f>
        <v>--</v>
      </c>
      <c r="BM77" s="936">
        <f>306.1*0.5</f>
        <v>153.05000000000001</v>
      </c>
      <c r="BN77" s="936">
        <f t="shared" ref="BN77:BU77" si="352">306.1*0.5</f>
        <v>153.05000000000001</v>
      </c>
      <c r="BO77" s="936">
        <f t="shared" si="352"/>
        <v>153.05000000000001</v>
      </c>
      <c r="BP77" s="936">
        <f t="shared" si="352"/>
        <v>153.05000000000001</v>
      </c>
      <c r="BQ77" s="943" t="str">
        <f>IFERROR(SUMPRODUCT(BM76:BP76,BM77:BP77)/BQ76,"--")</f>
        <v>--</v>
      </c>
      <c r="BR77" s="936">
        <f t="shared" si="352"/>
        <v>153.05000000000001</v>
      </c>
      <c r="BS77" s="936">
        <f t="shared" si="352"/>
        <v>153.05000000000001</v>
      </c>
      <c r="BT77" s="936">
        <f t="shared" si="352"/>
        <v>153.05000000000001</v>
      </c>
      <c r="BU77" s="936">
        <f t="shared" si="352"/>
        <v>153.05000000000001</v>
      </c>
      <c r="BV77" s="943" t="str">
        <f>IFERROR(SUMPRODUCT(BR76:BU76,BR77:BU77)/BV76,"--")</f>
        <v>--</v>
      </c>
      <c r="BW77" s="936">
        <f>312.8*0.475</f>
        <v>148.58000000000001</v>
      </c>
      <c r="BX77" s="936">
        <f>312.8*0.475</f>
        <v>148.58000000000001</v>
      </c>
      <c r="BY77" s="936">
        <f>312.8*0.475</f>
        <v>148.58000000000001</v>
      </c>
      <c r="BZ77" s="936">
        <f>312.8*0.475</f>
        <v>148.58000000000001</v>
      </c>
      <c r="CA77" s="943" t="str">
        <f>IFERROR(SUMPRODUCT(BW76:BZ76,BW77:BZ77)/CA76,"--")</f>
        <v>--</v>
      </c>
      <c r="CB77" s="936">
        <f>325.8*0.475</f>
        <v>154.755</v>
      </c>
      <c r="CC77" s="936">
        <f>325.8*0.475</f>
        <v>154.755</v>
      </c>
      <c r="CD77" s="936">
        <f>325.8*0.475</f>
        <v>154.755</v>
      </c>
      <c r="CE77" s="936">
        <f>325.8*0.475</f>
        <v>154.755</v>
      </c>
      <c r="CF77" s="943">
        <f>IFERROR(SUMPRODUCT(CB76:CE76,CB77:CE77)/CF76,"--")</f>
        <v>154.755</v>
      </c>
      <c r="CG77" s="936">
        <f>CB77*1.01</f>
        <v>156.30255</v>
      </c>
      <c r="CH77" s="936">
        <f>CC77*1.01</f>
        <v>156.30255</v>
      </c>
      <c r="CI77" s="936">
        <f>CD77*1.01</f>
        <v>156.30255</v>
      </c>
      <c r="CJ77" s="936">
        <f>CE77*1.01</f>
        <v>156.30255</v>
      </c>
      <c r="CK77" s="943">
        <f>IFERROR(SUMPRODUCT(CG76:CJ76,CG77:CJ77)/CK76,"--")</f>
        <v>156.30255</v>
      </c>
      <c r="CL77" s="936">
        <f>CG77*1.01</f>
        <v>157.86557550000001</v>
      </c>
      <c r="CM77" s="936">
        <f>CH77*1.01</f>
        <v>157.86557550000001</v>
      </c>
      <c r="CN77" s="936">
        <f>CI77*1.01</f>
        <v>157.86557550000001</v>
      </c>
      <c r="CO77" s="936">
        <f>CJ77*1.01</f>
        <v>157.86557550000001</v>
      </c>
      <c r="CP77" s="943">
        <f>IFERROR(SUMPRODUCT(CL76:CO76,CL77:CO77)/CP76,"--")</f>
        <v>157.86557550000001</v>
      </c>
      <c r="CQ77" s="936">
        <f t="shared" ref="CQ77:CT77" si="353">CL77*1.01</f>
        <v>159.44423125500001</v>
      </c>
      <c r="CR77" s="936">
        <f t="shared" si="353"/>
        <v>159.44423125500001</v>
      </c>
      <c r="CS77" s="936">
        <f t="shared" si="353"/>
        <v>159.44423125500001</v>
      </c>
      <c r="CT77" s="936">
        <f t="shared" si="353"/>
        <v>159.44423125500001</v>
      </c>
      <c r="CU77" s="943" t="str">
        <f>IFERROR(SUMPRODUCT(CQ76:CT76,CQ77:CT77)/CU76,"--")</f>
        <v>--</v>
      </c>
      <c r="CV77" s="936">
        <f t="shared" ref="CV77:CW77" si="354">CQ77*1.01</f>
        <v>161.03867356755001</v>
      </c>
      <c r="CW77" s="936">
        <f t="shared" si="354"/>
        <v>161.03867356755001</v>
      </c>
      <c r="CX77" s="936">
        <f t="shared" ref="CX77" si="355">CS77*1.01</f>
        <v>161.03867356755001</v>
      </c>
      <c r="CY77" s="936">
        <f t="shared" ref="CY77" si="356">CT77*1.01</f>
        <v>161.03867356755001</v>
      </c>
      <c r="CZ77" s="943">
        <f>IFERROR(SUMPRODUCT(CV76:CY76,CV77:CY77)/CZ76,"--")</f>
        <v>161.03867356755001</v>
      </c>
      <c r="DA77" s="936">
        <f t="shared" ref="DA77" si="357">CV77*1.01</f>
        <v>162.6490603032255</v>
      </c>
      <c r="DB77" s="936">
        <f t="shared" ref="DB77" si="358">CW77*1.01</f>
        <v>162.6490603032255</v>
      </c>
      <c r="DC77" s="936">
        <f t="shared" ref="DC77" si="359">CX77*1.01</f>
        <v>162.6490603032255</v>
      </c>
      <c r="DD77" s="936">
        <f t="shared" ref="DD77" si="360">CY77*1.01</f>
        <v>162.6490603032255</v>
      </c>
      <c r="DE77" s="943">
        <f>IFERROR(SUMPRODUCT(DA76:DD76,DA77:DD77)/DE76,"--")</f>
        <v>162.6490603032255</v>
      </c>
      <c r="DF77" s="936">
        <f t="shared" ref="DF77:DN77" si="361">DA77*1</f>
        <v>162.6490603032255</v>
      </c>
      <c r="DG77" s="936">
        <f t="shared" si="361"/>
        <v>162.6490603032255</v>
      </c>
      <c r="DH77" s="936">
        <f t="shared" si="361"/>
        <v>162.6490603032255</v>
      </c>
      <c r="DI77" s="936">
        <f t="shared" si="361"/>
        <v>162.6490603032255</v>
      </c>
      <c r="DJ77" s="1026">
        <f>IFERROR(SUMPRODUCT(DF76:DI76,DF77:DI77)/DJ76,"--")</f>
        <v>162.6490603032255</v>
      </c>
      <c r="DK77" s="936">
        <f t="shared" si="361"/>
        <v>162.6490603032255</v>
      </c>
      <c r="DL77" s="936">
        <f t="shared" si="361"/>
        <v>162.6490603032255</v>
      </c>
      <c r="DM77" s="936">
        <f t="shared" si="361"/>
        <v>162.6490603032255</v>
      </c>
      <c r="DN77" s="936">
        <f t="shared" si="361"/>
        <v>162.6490603032255</v>
      </c>
      <c r="DO77" s="1026">
        <f>IFERROR(SUMPRODUCT(DK76:DN76,DK77:DN77)/DO76,"--")</f>
        <v>162.6490603032255</v>
      </c>
      <c r="DP77" s="936">
        <v>164</v>
      </c>
      <c r="DQ77" s="939">
        <v>164</v>
      </c>
      <c r="DR77" s="939">
        <v>164</v>
      </c>
      <c r="DS77" s="939">
        <v>164</v>
      </c>
      <c r="DT77" s="1026">
        <f>IFERROR(SUMPRODUCT(DP76:DS76,DP77:DS77)/DT76,"--")</f>
        <v>164</v>
      </c>
      <c r="DU77" s="939">
        <v>167</v>
      </c>
      <c r="DV77" s="939">
        <v>167</v>
      </c>
      <c r="DW77" s="939">
        <v>167</v>
      </c>
      <c r="DX77" s="939">
        <v>167</v>
      </c>
      <c r="DY77" s="1026">
        <f>IFERROR(SUMPRODUCT(DU76:DX76,DU77:DX77)/DY76,"--")</f>
        <v>167</v>
      </c>
      <c r="DZ77" s="949">
        <v>170</v>
      </c>
      <c r="EA77" s="949">
        <v>173</v>
      </c>
      <c r="EB77" s="949">
        <v>175</v>
      </c>
    </row>
    <row r="78" spans="1:132" s="298" customFormat="1" collapsed="1">
      <c r="A78" s="241"/>
      <c r="B78" s="42" t="s">
        <v>612</v>
      </c>
      <c r="C78" s="43"/>
      <c r="D78" s="43"/>
      <c r="E78" s="43"/>
      <c r="F78" s="43"/>
      <c r="G78" s="43"/>
      <c r="H78" s="43"/>
      <c r="I78" s="43"/>
      <c r="J78" s="42"/>
      <c r="K78" s="42"/>
      <c r="L78" s="42"/>
      <c r="M78" s="42"/>
      <c r="N78" s="43"/>
      <c r="O78" s="42"/>
      <c r="P78" s="42"/>
      <c r="Q78" s="42"/>
      <c r="R78" s="42"/>
      <c r="S78" s="43"/>
      <c r="T78" s="42"/>
      <c r="U78" s="42"/>
      <c r="V78" s="42"/>
      <c r="W78" s="42"/>
      <c r="X78" s="43"/>
      <c r="Y78" s="42"/>
      <c r="Z78" s="42"/>
      <c r="AA78" s="42"/>
      <c r="AB78" s="42"/>
      <c r="AC78" s="43"/>
      <c r="AD78" s="42"/>
      <c r="AE78" s="42"/>
      <c r="AF78" s="42"/>
      <c r="AG78" s="42"/>
      <c r="AH78" s="43"/>
      <c r="AI78" s="42"/>
      <c r="AJ78" s="42"/>
      <c r="AK78" s="42"/>
      <c r="AL78" s="42"/>
      <c r="AM78" s="43"/>
      <c r="AN78" s="42"/>
      <c r="AO78" s="432"/>
      <c r="AP78" s="432"/>
      <c r="AQ78" s="42"/>
      <c r="AR78" s="43"/>
      <c r="AS78" s="42">
        <v>0</v>
      </c>
      <c r="AT78" s="432">
        <v>0</v>
      </c>
      <c r="AU78" s="432">
        <v>1</v>
      </c>
      <c r="AV78" s="42">
        <v>2</v>
      </c>
      <c r="AW78" s="43">
        <f>SUM(AS78:AV78)</f>
        <v>3</v>
      </c>
      <c r="AX78" s="42">
        <v>5</v>
      </c>
      <c r="AY78" s="432">
        <v>6</v>
      </c>
      <c r="AZ78" s="432">
        <v>12</v>
      </c>
      <c r="BA78" s="42">
        <v>23</v>
      </c>
      <c r="BB78" s="43">
        <f>SUM(AX78:BA78)</f>
        <v>46</v>
      </c>
      <c r="BC78" s="42">
        <v>1</v>
      </c>
      <c r="BD78" s="432">
        <v>16</v>
      </c>
      <c r="BE78" s="432">
        <v>23</v>
      </c>
      <c r="BF78" s="42">
        <v>25</v>
      </c>
      <c r="BG78" s="43">
        <f>SUM(BC78:BF78)</f>
        <v>65</v>
      </c>
      <c r="BH78" s="42">
        <f>BH72+BH74+BH76</f>
        <v>18</v>
      </c>
      <c r="BI78" s="42">
        <f>BI72+BI74+BI76</f>
        <v>30</v>
      </c>
      <c r="BJ78" s="42">
        <f>BJ72+BJ74+BJ76</f>
        <v>31</v>
      </c>
      <c r="BK78" s="42">
        <f>BK72+BK74+BK76</f>
        <v>35</v>
      </c>
      <c r="BL78" s="43">
        <f>SUM(BH78:BK78)</f>
        <v>114</v>
      </c>
      <c r="BM78" s="42">
        <f>BM72+BM74+BM76</f>
        <v>30</v>
      </c>
      <c r="BN78" s="42">
        <f>BN72+BN74+BN76</f>
        <v>34</v>
      </c>
      <c r="BO78" s="42">
        <f>BO72+BO74+BO76</f>
        <v>37</v>
      </c>
      <c r="BP78" s="42">
        <f>BP72+BP74+BP76</f>
        <v>34</v>
      </c>
      <c r="BQ78" s="43">
        <f>SUM(BM78:BP78)</f>
        <v>135</v>
      </c>
      <c r="BR78" s="42">
        <f>BR72+BR74+BR76</f>
        <v>30</v>
      </c>
      <c r="BS78" s="42">
        <f>BS72+BS74+BS76</f>
        <v>38</v>
      </c>
      <c r="BT78" s="42">
        <f>BT72+BT74+BT76</f>
        <v>36</v>
      </c>
      <c r="BU78" s="42">
        <f>BU72+BU74+BU76</f>
        <v>33</v>
      </c>
      <c r="BV78" s="43">
        <f>SUM(BR78:BU78)</f>
        <v>137</v>
      </c>
      <c r="BW78" s="42">
        <f>BW72+BW74+BW76</f>
        <v>32</v>
      </c>
      <c r="BX78" s="42">
        <f>BX72+BX74+BX76</f>
        <v>33</v>
      </c>
      <c r="BY78" s="42">
        <f>BY72+BY74+BY76</f>
        <v>35</v>
      </c>
      <c r="BZ78" s="42">
        <f>BZ72+BZ74+BZ76</f>
        <v>36</v>
      </c>
      <c r="CA78" s="43">
        <f>SUM(BW78:BZ78)</f>
        <v>136</v>
      </c>
      <c r="CB78" s="42">
        <f t="shared" ref="CB78:DI78" si="362">CB72+CB74+CB76</f>
        <v>34</v>
      </c>
      <c r="CC78" s="42">
        <f t="shared" si="362"/>
        <v>38</v>
      </c>
      <c r="CD78" s="42">
        <f t="shared" si="362"/>
        <v>34</v>
      </c>
      <c r="CE78" s="42">
        <f t="shared" si="362"/>
        <v>39</v>
      </c>
      <c r="CF78" s="43">
        <f>SUM(CB78:CE78)</f>
        <v>145</v>
      </c>
      <c r="CG78" s="42">
        <f t="shared" si="362"/>
        <v>36</v>
      </c>
      <c r="CH78" s="42">
        <f t="shared" si="362"/>
        <v>42</v>
      </c>
      <c r="CI78" s="42">
        <f t="shared" si="362"/>
        <v>35</v>
      </c>
      <c r="CJ78" s="42">
        <f t="shared" si="362"/>
        <v>45</v>
      </c>
      <c r="CK78" s="43">
        <f>SUM(CG78:CJ78)</f>
        <v>158</v>
      </c>
      <c r="CL78" s="42">
        <f t="shared" si="362"/>
        <v>29</v>
      </c>
      <c r="CM78" s="42">
        <f t="shared" si="362"/>
        <v>7</v>
      </c>
      <c r="CN78" s="42">
        <f t="shared" si="362"/>
        <v>13</v>
      </c>
      <c r="CO78" s="42">
        <f t="shared" si="362"/>
        <v>4</v>
      </c>
      <c r="CP78" s="43">
        <f>SUM(CL78:CO78)</f>
        <v>53</v>
      </c>
      <c r="CQ78" s="42">
        <f t="shared" ref="CQ78:CT78" si="363">CQ72+CQ74+CQ76</f>
        <v>2</v>
      </c>
      <c r="CR78" s="42">
        <f t="shared" si="363"/>
        <v>12</v>
      </c>
      <c r="CS78" s="42">
        <f t="shared" si="363"/>
        <v>0</v>
      </c>
      <c r="CT78" s="42">
        <f t="shared" si="363"/>
        <v>0</v>
      </c>
      <c r="CU78" s="43">
        <f>SUM(CQ78:CT78)</f>
        <v>14</v>
      </c>
      <c r="CV78" s="42">
        <f t="shared" ref="CV78" si="364">CV72+CV74+CV76</f>
        <v>0</v>
      </c>
      <c r="CW78" s="42">
        <f t="shared" ref="CW78:CY78" si="365">CW72+CW74+CW76</f>
        <v>0</v>
      </c>
      <c r="CX78" s="42">
        <f t="shared" si="365"/>
        <v>9</v>
      </c>
      <c r="CY78" s="42">
        <f t="shared" si="365"/>
        <v>22</v>
      </c>
      <c r="CZ78" s="43">
        <f>SUM(CV78:CY78)</f>
        <v>31</v>
      </c>
      <c r="DA78" s="42">
        <f t="shared" ref="DA78:DD78" si="366">DA72+DA74+DA76</f>
        <v>11</v>
      </c>
      <c r="DB78" s="42">
        <f t="shared" si="366"/>
        <v>20</v>
      </c>
      <c r="DC78" s="42">
        <f t="shared" si="366"/>
        <v>19</v>
      </c>
      <c r="DD78" s="42">
        <f t="shared" si="366"/>
        <v>23</v>
      </c>
      <c r="DE78" s="43">
        <f>SUM(DA78:DD78)</f>
        <v>73</v>
      </c>
      <c r="DF78" s="42">
        <f t="shared" si="362"/>
        <v>13</v>
      </c>
      <c r="DG78" s="42">
        <f t="shared" si="362"/>
        <v>9</v>
      </c>
      <c r="DH78" s="42">
        <f t="shared" si="362"/>
        <v>14</v>
      </c>
      <c r="DI78" s="42">
        <f t="shared" si="362"/>
        <v>15</v>
      </c>
      <c r="DJ78" s="43">
        <f>SUM(DF78:DI78)</f>
        <v>51</v>
      </c>
      <c r="DK78" s="42">
        <f t="shared" ref="DK78" si="367">DK72+DK74+DK76</f>
        <v>13</v>
      </c>
      <c r="DL78" s="42">
        <f t="shared" ref="DL78:DN78" si="368">DL72+DL74+DL76</f>
        <v>24</v>
      </c>
      <c r="DM78" s="42">
        <f t="shared" si="368"/>
        <v>24</v>
      </c>
      <c r="DN78" s="42">
        <f t="shared" si="368"/>
        <v>27</v>
      </c>
      <c r="DO78" s="43">
        <f>SUM(DK78:DN78)</f>
        <v>88</v>
      </c>
      <c r="DP78" s="42">
        <f t="shared" ref="DP78:DS78" si="369">DP72+DP74+DP76</f>
        <v>15</v>
      </c>
      <c r="DQ78" s="42">
        <f t="shared" si="369"/>
        <v>25</v>
      </c>
      <c r="DR78" s="42">
        <f t="shared" si="369"/>
        <v>26</v>
      </c>
      <c r="DS78" s="42">
        <f t="shared" si="369"/>
        <v>32</v>
      </c>
      <c r="DT78" s="43">
        <f>SUM(DP78:DS78)</f>
        <v>98</v>
      </c>
      <c r="DU78" s="42">
        <f t="shared" ref="DU78:DX78" si="370">DU72+DU74+DU76</f>
        <v>24</v>
      </c>
      <c r="DV78" s="42">
        <f t="shared" si="370"/>
        <v>30</v>
      </c>
      <c r="DW78" s="42">
        <f t="shared" si="370"/>
        <v>34</v>
      </c>
      <c r="DX78" s="42">
        <f t="shared" si="370"/>
        <v>39</v>
      </c>
      <c r="DY78" s="43">
        <f>SUM(DU78:DX78)</f>
        <v>127</v>
      </c>
      <c r="DZ78" s="43">
        <f t="shared" ref="DZ78:EB78" si="371">DZ72+DZ74+DZ76</f>
        <v>142</v>
      </c>
      <c r="EA78" s="43">
        <f t="shared" si="371"/>
        <v>165</v>
      </c>
      <c r="EB78" s="43">
        <f t="shared" si="371"/>
        <v>175</v>
      </c>
    </row>
    <row r="79" spans="1:132" s="743" customFormat="1">
      <c r="A79" s="813"/>
      <c r="B79" s="929" t="s">
        <v>620</v>
      </c>
      <c r="C79" s="952">
        <f>C78/11.5</f>
        <v>0</v>
      </c>
      <c r="D79" s="952">
        <f t="shared" ref="D79" si="372">D78/11.5</f>
        <v>0</v>
      </c>
      <c r="E79" s="952">
        <f t="shared" ref="E79" si="373">E78/11.5</f>
        <v>0</v>
      </c>
      <c r="F79" s="952">
        <f t="shared" ref="F79" si="374">F78/11.5</f>
        <v>0</v>
      </c>
      <c r="G79" s="952">
        <f t="shared" ref="G79" si="375">G78/11.5</f>
        <v>0</v>
      </c>
      <c r="H79" s="952">
        <f t="shared" ref="H79" si="376">H78/11.5</f>
        <v>0</v>
      </c>
      <c r="I79" s="952">
        <f t="shared" ref="I79" si="377">I78/11.5</f>
        <v>0</v>
      </c>
      <c r="J79" s="813"/>
      <c r="K79" s="813"/>
      <c r="L79" s="813"/>
      <c r="M79" s="813"/>
      <c r="N79" s="952">
        <f t="shared" ref="N79" si="378">N78/11.5</f>
        <v>0</v>
      </c>
      <c r="O79" s="813"/>
      <c r="P79" s="813"/>
      <c r="Q79" s="813"/>
      <c r="R79" s="813"/>
      <c r="S79" s="952">
        <f t="shared" ref="S79" si="379">S78/11.5</f>
        <v>0</v>
      </c>
      <c r="T79" s="813"/>
      <c r="U79" s="813"/>
      <c r="V79" s="813"/>
      <c r="W79" s="813"/>
      <c r="X79" s="952">
        <f t="shared" ref="X79" si="380">X78/11.5</f>
        <v>0</v>
      </c>
      <c r="Y79" s="813"/>
      <c r="Z79" s="813"/>
      <c r="AA79" s="813"/>
      <c r="AB79" s="813"/>
      <c r="AC79" s="952">
        <f t="shared" ref="AC79" si="381">AC78/11.5</f>
        <v>0</v>
      </c>
      <c r="AD79" s="813"/>
      <c r="AE79" s="813"/>
      <c r="AF79" s="813"/>
      <c r="AG79" s="813"/>
      <c r="AH79" s="952">
        <f t="shared" ref="AH79" si="382">AH78/11.5</f>
        <v>0</v>
      </c>
      <c r="AI79" s="813"/>
      <c r="AJ79" s="813"/>
      <c r="AK79" s="813"/>
      <c r="AL79" s="813"/>
      <c r="AM79" s="952">
        <f t="shared" ref="AM79" si="383">AM78/11.5</f>
        <v>0</v>
      </c>
      <c r="AN79" s="813"/>
      <c r="AO79" s="953"/>
      <c r="AP79" s="953"/>
      <c r="AQ79" s="929"/>
      <c r="AR79" s="952">
        <f t="shared" ref="AR79" si="384">AR78/11.5</f>
        <v>0</v>
      </c>
      <c r="AS79" s="813"/>
      <c r="AT79" s="953"/>
      <c r="AU79" s="953"/>
      <c r="AV79" s="929"/>
      <c r="AW79" s="952">
        <f t="shared" ref="AW79" si="385">AW78/11.5</f>
        <v>0.2608695652173913</v>
      </c>
      <c r="AX79" s="813"/>
      <c r="AY79" s="953"/>
      <c r="AZ79" s="953"/>
      <c r="BA79" s="929"/>
      <c r="BB79" s="952">
        <f t="shared" ref="BB79" si="386">BB78/11.5</f>
        <v>4</v>
      </c>
      <c r="BC79" s="813"/>
      <c r="BD79" s="953"/>
      <c r="BE79" s="953"/>
      <c r="BF79" s="813"/>
      <c r="BG79" s="952">
        <f t="shared" ref="BG79" si="387">BG78/11.5</f>
        <v>5.6521739130434785</v>
      </c>
      <c r="BH79" s="813"/>
      <c r="BI79" s="813"/>
      <c r="BJ79" s="813"/>
      <c r="BK79" s="813"/>
      <c r="BL79" s="952">
        <f t="shared" ref="BL79" si="388">BL78/11.5</f>
        <v>9.9130434782608692</v>
      </c>
      <c r="BM79" s="813"/>
      <c r="BN79" s="813"/>
      <c r="BO79" s="813"/>
      <c r="BP79" s="813"/>
      <c r="BQ79" s="952">
        <f t="shared" ref="BQ79" si="389">BQ78/11.5</f>
        <v>11.739130434782609</v>
      </c>
      <c r="BR79" s="813"/>
      <c r="BS79" s="813"/>
      <c r="BT79" s="813"/>
      <c r="BU79" s="813"/>
      <c r="BV79" s="952">
        <f t="shared" ref="BV79" si="390">BV78/11.5</f>
        <v>11.913043478260869</v>
      </c>
      <c r="BW79" s="813"/>
      <c r="BX79" s="813"/>
      <c r="BY79" s="813"/>
      <c r="BZ79" s="813"/>
      <c r="CA79" s="952">
        <f t="shared" ref="CA79" si="391">CA78/11.5</f>
        <v>11.826086956521738</v>
      </c>
      <c r="CB79" s="813"/>
      <c r="CC79" s="813"/>
      <c r="CD79" s="813"/>
      <c r="CE79" s="929"/>
      <c r="CF79" s="952">
        <f t="shared" ref="CF79" si="392">CF78/11.5</f>
        <v>12.608695652173912</v>
      </c>
      <c r="CG79" s="813"/>
      <c r="CH79" s="813"/>
      <c r="CI79" s="813"/>
      <c r="CJ79" s="929"/>
      <c r="CK79" s="952">
        <f t="shared" ref="CK79" si="393">CK78/11.5</f>
        <v>13.739130434782609</v>
      </c>
      <c r="CL79" s="929">
        <f>CL78/2.9</f>
        <v>10</v>
      </c>
      <c r="CM79" s="929">
        <f>CM78/2.9</f>
        <v>2.4137931034482758</v>
      </c>
      <c r="CN79" s="929">
        <f>CN78/2.9</f>
        <v>4.4827586206896557</v>
      </c>
      <c r="CO79" s="813">
        <f>CO78/2.9</f>
        <v>1.3793103448275863</v>
      </c>
      <c r="CP79" s="952">
        <f t="shared" ref="CP79" si="394">CP78/11.5</f>
        <v>4.6086956521739131</v>
      </c>
      <c r="CQ79" s="929">
        <f t="shared" ref="CQ79:CT79" si="395">CQ78/2.9</f>
        <v>0.68965517241379315</v>
      </c>
      <c r="CR79" s="929">
        <f t="shared" si="395"/>
        <v>4.1379310344827589</v>
      </c>
      <c r="CS79" s="929">
        <f t="shared" si="395"/>
        <v>0</v>
      </c>
      <c r="CT79" s="929">
        <f t="shared" si="395"/>
        <v>0</v>
      </c>
      <c r="CU79" s="952">
        <f t="shared" ref="CU79" si="396">CU78/11.5</f>
        <v>1.2173913043478262</v>
      </c>
      <c r="CV79" s="929">
        <f t="shared" ref="CV79" si="397">CV78/2.9</f>
        <v>0</v>
      </c>
      <c r="CW79" s="929">
        <f t="shared" ref="CW79:CY79" si="398">CW78/2.9</f>
        <v>0</v>
      </c>
      <c r="CX79" s="929">
        <f t="shared" si="398"/>
        <v>3.103448275862069</v>
      </c>
      <c r="CY79" s="929">
        <f t="shared" si="398"/>
        <v>7.5862068965517242</v>
      </c>
      <c r="CZ79" s="952">
        <f t="shared" ref="CZ79" si="399">CZ78/11.5</f>
        <v>2.6956521739130435</v>
      </c>
      <c r="DA79" s="813">
        <f t="shared" ref="DA79:DD79" si="400">DA78/2.9</f>
        <v>3.7931034482758621</v>
      </c>
      <c r="DB79" s="813">
        <f t="shared" si="400"/>
        <v>6.8965517241379315</v>
      </c>
      <c r="DC79" s="929">
        <f t="shared" si="400"/>
        <v>6.5517241379310347</v>
      </c>
      <c r="DD79" s="813">
        <f t="shared" si="400"/>
        <v>7.931034482758621</v>
      </c>
      <c r="DE79" s="952">
        <f t="shared" ref="DE79" si="401">DE78/11.5</f>
        <v>6.3478260869565215</v>
      </c>
      <c r="DF79" s="929">
        <f>DF78/11.5*4</f>
        <v>4.5217391304347823</v>
      </c>
      <c r="DG79" s="929">
        <f t="shared" ref="DG79:DI79" si="402">DG78/11.5*4</f>
        <v>3.1304347826086958</v>
      </c>
      <c r="DH79" s="929">
        <f t="shared" si="402"/>
        <v>4.8695652173913047</v>
      </c>
      <c r="DI79" s="929">
        <f t="shared" si="402"/>
        <v>5.2173913043478262</v>
      </c>
      <c r="DJ79" s="1023">
        <f t="shared" ref="DJ79" si="403">DJ78/11.5</f>
        <v>4.4347826086956523</v>
      </c>
      <c r="DK79" s="929">
        <f>DK78/11.5*4</f>
        <v>4.5217391304347823</v>
      </c>
      <c r="DL79" s="929">
        <f>DL78/11.5*4</f>
        <v>8.3478260869565215</v>
      </c>
      <c r="DM79" s="929">
        <f>DM78/11.5*4</f>
        <v>8.3478260869565215</v>
      </c>
      <c r="DN79" s="929">
        <f>DN78/11.5*4</f>
        <v>9.3913043478260878</v>
      </c>
      <c r="DO79" s="1023">
        <f t="shared" ref="DO79" si="404">DO78/11.5</f>
        <v>7.6521739130434785</v>
      </c>
      <c r="DP79" s="929">
        <f>DP78/11.5*4</f>
        <v>5.2173913043478262</v>
      </c>
      <c r="DQ79" s="813">
        <f>DQ78/11.5*4</f>
        <v>8.695652173913043</v>
      </c>
      <c r="DR79" s="813">
        <f>DR78/11.5*4</f>
        <v>9.0434782608695645</v>
      </c>
      <c r="DS79" s="813">
        <f>DS78/11.5*4</f>
        <v>11.130434782608695</v>
      </c>
      <c r="DT79" s="1023">
        <f t="shared" ref="DT79" si="405">DT78/11.5</f>
        <v>8.5217391304347831</v>
      </c>
      <c r="DU79" s="813">
        <f>DU78/11.5*4</f>
        <v>8.3478260869565215</v>
      </c>
      <c r="DV79" s="813">
        <f>DV78/11.5*4</f>
        <v>10.434782608695652</v>
      </c>
      <c r="DW79" s="813">
        <f>DW78/11.5*4</f>
        <v>11.826086956521738</v>
      </c>
      <c r="DX79" s="813">
        <f>DX78/11.5*4</f>
        <v>13.565217391304348</v>
      </c>
      <c r="DY79" s="1023">
        <f t="shared" ref="DY79" si="406">DY78/11.5</f>
        <v>11.043478260869565</v>
      </c>
      <c r="DZ79" s="952">
        <f t="shared" ref="DZ79:EB79" si="407">DZ78/11.5</f>
        <v>12.347826086956522</v>
      </c>
      <c r="EA79" s="952">
        <f t="shared" si="407"/>
        <v>14.347826086956522</v>
      </c>
      <c r="EB79" s="952">
        <f t="shared" si="407"/>
        <v>15.217391304347826</v>
      </c>
    </row>
    <row r="80" spans="1:132" s="298" customFormat="1">
      <c r="A80" s="241"/>
      <c r="B80" s="241" t="s">
        <v>190</v>
      </c>
      <c r="C80" s="411"/>
      <c r="D80" s="411"/>
      <c r="E80" s="411"/>
      <c r="F80" s="411"/>
      <c r="G80" s="411"/>
      <c r="H80" s="411"/>
      <c r="I80" s="411"/>
      <c r="J80" s="304"/>
      <c r="K80" s="304"/>
      <c r="L80" s="304"/>
      <c r="M80" s="304"/>
      <c r="N80" s="411"/>
      <c r="O80" s="304"/>
      <c r="P80" s="304"/>
      <c r="Q80" s="304"/>
      <c r="R80" s="304"/>
      <c r="S80" s="411"/>
      <c r="T80" s="304"/>
      <c r="U80" s="304"/>
      <c r="V80" s="304"/>
      <c r="W80" s="304"/>
      <c r="X80" s="411"/>
      <c r="Y80" s="304"/>
      <c r="Z80" s="304"/>
      <c r="AA80" s="304"/>
      <c r="AB80" s="304"/>
      <c r="AC80" s="411"/>
      <c r="AD80" s="304"/>
      <c r="AE80" s="304"/>
      <c r="AF80" s="304"/>
      <c r="AG80" s="304"/>
      <c r="AH80" s="411"/>
      <c r="AI80" s="304"/>
      <c r="AJ80" s="304"/>
      <c r="AK80" s="304"/>
      <c r="AL80" s="304"/>
      <c r="AM80" s="411"/>
      <c r="AN80" s="304"/>
      <c r="AO80" s="470"/>
      <c r="AP80" s="470"/>
      <c r="AQ80" s="537"/>
      <c r="AR80" s="411"/>
      <c r="AS80" s="304">
        <v>100</v>
      </c>
      <c r="AT80" s="470">
        <v>100</v>
      </c>
      <c r="AU80" s="470">
        <v>100</v>
      </c>
      <c r="AV80" s="537">
        <v>100</v>
      </c>
      <c r="AW80" s="411">
        <f>AW81/AW78</f>
        <v>100</v>
      </c>
      <c r="AX80" s="304">
        <v>101</v>
      </c>
      <c r="AY80" s="470">
        <v>101</v>
      </c>
      <c r="AZ80" s="470">
        <v>101</v>
      </c>
      <c r="BA80" s="537">
        <v>101</v>
      </c>
      <c r="BB80" s="411">
        <f>BB81/BB78</f>
        <v>101</v>
      </c>
      <c r="BC80" s="304">
        <v>101</v>
      </c>
      <c r="BD80" s="470">
        <v>101</v>
      </c>
      <c r="BE80" s="470">
        <v>101</v>
      </c>
      <c r="BF80" s="537">
        <v>101</v>
      </c>
      <c r="BG80" s="411">
        <v>102</v>
      </c>
      <c r="BH80" s="304">
        <f t="shared" ref="BH80:CF80" si="408">BH81/BH78</f>
        <v>98.235000000000014</v>
      </c>
      <c r="BI80" s="304">
        <f t="shared" si="408"/>
        <v>99.245500000000021</v>
      </c>
      <c r="BJ80" s="304">
        <f t="shared" si="408"/>
        <v>102.14661290322582</v>
      </c>
      <c r="BK80" s="304">
        <f t="shared" si="408"/>
        <v>102.56571428571429</v>
      </c>
      <c r="BL80" s="566">
        <f t="shared" si="408"/>
        <v>100.89421052631582</v>
      </c>
      <c r="BM80" s="304">
        <f t="shared" si="408"/>
        <v>111.47999999999999</v>
      </c>
      <c r="BN80" s="304">
        <f t="shared" si="408"/>
        <v>113.92941176470589</v>
      </c>
      <c r="BO80" s="304">
        <f t="shared" si="408"/>
        <v>117.95108108108107</v>
      </c>
      <c r="BP80" s="304">
        <f t="shared" si="408"/>
        <v>119.44058823529411</v>
      </c>
      <c r="BQ80" s="566">
        <f t="shared" si="408"/>
        <v>115.87533333333332</v>
      </c>
      <c r="BR80" s="304">
        <f t="shared" si="408"/>
        <v>124.93100000000001</v>
      </c>
      <c r="BS80" s="304">
        <f t="shared" si="408"/>
        <v>121.63434210526317</v>
      </c>
      <c r="BT80" s="304">
        <f t="shared" si="408"/>
        <v>123.08875000000002</v>
      </c>
      <c r="BU80" s="304">
        <f t="shared" si="408"/>
        <v>122.25136363636364</v>
      </c>
      <c r="BV80" s="566">
        <f t="shared" si="408"/>
        <v>122.88704379562044</v>
      </c>
      <c r="BW80" s="304">
        <f t="shared" si="408"/>
        <v>125.78437499999998</v>
      </c>
      <c r="BX80" s="304">
        <f t="shared" si="408"/>
        <v>126.06969696969695</v>
      </c>
      <c r="BY80" s="304">
        <f t="shared" si="408"/>
        <v>128.74357142857141</v>
      </c>
      <c r="BZ80" s="304">
        <f t="shared" si="408"/>
        <v>131.01527777777775</v>
      </c>
      <c r="CA80" s="566">
        <f t="shared" si="408"/>
        <v>127.99981617647057</v>
      </c>
      <c r="CB80" s="304">
        <f t="shared" si="408"/>
        <v>141.2104411764706</v>
      </c>
      <c r="CC80" s="304">
        <f t="shared" si="408"/>
        <v>139.06776315789475</v>
      </c>
      <c r="CD80" s="304">
        <f t="shared" si="408"/>
        <v>135.48235294117646</v>
      </c>
      <c r="CE80" s="537">
        <f t="shared" si="408"/>
        <v>140.54346153846154</v>
      </c>
      <c r="CF80" s="566">
        <f t="shared" si="408"/>
        <v>139.12637931034484</v>
      </c>
      <c r="CG80" s="537">
        <f t="shared" ref="CG80:CJ80" si="409">CG81/CG78</f>
        <v>141.96775833333334</v>
      </c>
      <c r="CH80" s="537">
        <f t="shared" si="409"/>
        <v>144.11854642857145</v>
      </c>
      <c r="CI80" s="537">
        <f t="shared" si="409"/>
        <v>141.03193857142858</v>
      </c>
      <c r="CJ80" s="537">
        <f t="shared" si="409"/>
        <v>139.43893444444447</v>
      </c>
      <c r="CK80" s="566">
        <f>CK81/CK78</f>
        <v>141.6119503164557</v>
      </c>
      <c r="CL80" s="537">
        <f t="shared" ref="CL80:CO80" si="410">CL81/CL78</f>
        <v>142.09760512068968</v>
      </c>
      <c r="CM80" s="537">
        <f t="shared" si="410"/>
        <v>142.86956664285717</v>
      </c>
      <c r="CN80" s="537">
        <f t="shared" si="410"/>
        <v>144.72511811538465</v>
      </c>
      <c r="CO80" s="537">
        <f t="shared" si="410"/>
        <v>138.74030775</v>
      </c>
      <c r="CP80" s="566">
        <f>CP81/CP78</f>
        <v>142.59066568867928</v>
      </c>
      <c r="CQ80" s="537">
        <f t="shared" ref="CQ80:CR80" si="411">CQ81/CQ78</f>
        <v>145.06638080000002</v>
      </c>
      <c r="CR80" s="537">
        <f t="shared" si="411"/>
        <v>136.82198400000001</v>
      </c>
      <c r="CS80" s="936">
        <f>CP80</f>
        <v>142.59066568867928</v>
      </c>
      <c r="CT80" s="936">
        <f>CS80</f>
        <v>142.59066568867928</v>
      </c>
      <c r="CU80" s="566">
        <f>CU81/CU78</f>
        <v>137.99975497142859</v>
      </c>
      <c r="CV80" s="537">
        <v>147.23399173102001</v>
      </c>
      <c r="CW80" s="537">
        <v>147.23399173102001</v>
      </c>
      <c r="CX80" s="537">
        <f t="shared" ref="CX80:CY80" si="412">CX81/CX78</f>
        <v>144.08662386478892</v>
      </c>
      <c r="CY80" s="537">
        <f t="shared" si="412"/>
        <v>138.57124428927045</v>
      </c>
      <c r="CZ80" s="566">
        <f>CZ81/CZ78</f>
        <v>140.17248352087259</v>
      </c>
      <c r="DA80" s="537">
        <f t="shared" ref="DA80:DD80" si="413">DA81/DA78</f>
        <v>142.45822465765062</v>
      </c>
      <c r="DB80" s="537">
        <f t="shared" si="413"/>
        <v>143.37251014292221</v>
      </c>
      <c r="DC80" s="537">
        <f t="shared" si="413"/>
        <v>152.61385039591542</v>
      </c>
      <c r="DD80" s="537">
        <f t="shared" si="413"/>
        <v>151.80834859733537</v>
      </c>
      <c r="DE80" s="566">
        <f>DE81/DE78</f>
        <v>148.29788834731107</v>
      </c>
      <c r="DF80" s="537">
        <f t="shared" ref="DF80:DI80" si="414">DF81/DF78</f>
        <v>149.1104339193989</v>
      </c>
      <c r="DG80" s="537">
        <f t="shared" si="414"/>
        <v>154.50081294258911</v>
      </c>
      <c r="DH80" s="537">
        <f t="shared" si="414"/>
        <v>153.6693144960964</v>
      </c>
      <c r="DI80" s="537">
        <f t="shared" si="414"/>
        <v>153.84895315373822</v>
      </c>
      <c r="DJ80" s="566">
        <f>DJ81/DJ78</f>
        <v>152.70681681739043</v>
      </c>
      <c r="DK80" s="537">
        <f t="shared" ref="DK80" si="415">DK81/DK78</f>
        <v>146.20925162671162</v>
      </c>
      <c r="DL80" s="537">
        <f t="shared" ref="DL80:DN80" si="416">DL81/DL78</f>
        <v>151.03780781431865</v>
      </c>
      <c r="DM80" s="537">
        <f t="shared" si="416"/>
        <v>148.24409696835093</v>
      </c>
      <c r="DN80" s="537">
        <f t="shared" si="416"/>
        <v>152.32794697975277</v>
      </c>
      <c r="DO80" s="566">
        <f>DO81/DO78</f>
        <v>149.95841539073461</v>
      </c>
      <c r="DP80" s="537">
        <f t="shared" ref="DP80:DS80" si="417">DP81/DP78</f>
        <v>153</v>
      </c>
      <c r="DQ80" s="537">
        <f t="shared" si="417"/>
        <v>149.6</v>
      </c>
      <c r="DR80" s="537">
        <f t="shared" si="417"/>
        <v>152.46153846153845</v>
      </c>
      <c r="DS80" s="537">
        <f t="shared" si="417"/>
        <v>151.08125000000001</v>
      </c>
      <c r="DT80" s="566">
        <f>DT81/DT78</f>
        <v>151.36326530612246</v>
      </c>
      <c r="DU80" s="537">
        <f t="shared" ref="DU80:DX80" si="418">DU81/DU78</f>
        <v>154.69166666666666</v>
      </c>
      <c r="DV80" s="537">
        <f t="shared" si="418"/>
        <v>156.73333333333332</v>
      </c>
      <c r="DW80" s="537">
        <f t="shared" si="418"/>
        <v>157.11764705882354</v>
      </c>
      <c r="DX80" s="537">
        <f t="shared" si="418"/>
        <v>155.83589743589744</v>
      </c>
      <c r="DY80" s="566">
        <f>DY81/DY78</f>
        <v>156.1748031496063</v>
      </c>
      <c r="DZ80" s="566">
        <f t="shared" ref="DZ80" si="419">DZ81/DZ78</f>
        <v>159.43661971830986</v>
      </c>
      <c r="EA80" s="566">
        <f>EA81/EA78</f>
        <v>161.15151515151516</v>
      </c>
      <c r="EB80" s="566">
        <f t="shared" ref="EB80" si="420">EB81/EB78</f>
        <v>163.34285714285716</v>
      </c>
    </row>
    <row r="81" spans="1:132" s="298" customFormat="1">
      <c r="A81" s="241"/>
      <c r="B81" s="241" t="s">
        <v>191</v>
      </c>
      <c r="C81" s="285"/>
      <c r="D81" s="285"/>
      <c r="E81" s="285"/>
      <c r="F81" s="285"/>
      <c r="G81" s="285"/>
      <c r="H81" s="285"/>
      <c r="I81" s="285"/>
      <c r="J81" s="241"/>
      <c r="K81" s="241"/>
      <c r="L81" s="241"/>
      <c r="M81" s="241"/>
      <c r="N81" s="285"/>
      <c r="O81" s="241"/>
      <c r="P81" s="241"/>
      <c r="Q81" s="241"/>
      <c r="R81" s="241"/>
      <c r="S81" s="285"/>
      <c r="T81" s="241"/>
      <c r="U81" s="241"/>
      <c r="V81" s="241"/>
      <c r="W81" s="241"/>
      <c r="X81" s="285"/>
      <c r="Y81" s="241"/>
      <c r="Z81" s="241"/>
      <c r="AA81" s="241"/>
      <c r="AB81" s="241"/>
      <c r="AC81" s="285"/>
      <c r="AD81" s="241"/>
      <c r="AE81" s="241"/>
      <c r="AF81" s="241"/>
      <c r="AG81" s="241"/>
      <c r="AH81" s="285"/>
      <c r="AI81" s="241"/>
      <c r="AJ81" s="241"/>
      <c r="AK81" s="241"/>
      <c r="AL81" s="241"/>
      <c r="AM81" s="285"/>
      <c r="AN81" s="241"/>
      <c r="AO81" s="437"/>
      <c r="AP81" s="437"/>
      <c r="AQ81" s="121"/>
      <c r="AR81" s="285"/>
      <c r="AS81" s="241">
        <f>AS80*AS78</f>
        <v>0</v>
      </c>
      <c r="AT81" s="437">
        <f>AT80*AT78</f>
        <v>0</v>
      </c>
      <c r="AU81" s="437">
        <f>AU80*AU78</f>
        <v>100</v>
      </c>
      <c r="AV81" s="121">
        <f>AV80*AV78</f>
        <v>200</v>
      </c>
      <c r="AW81" s="285">
        <f>SUM(AS81:AV81)</f>
        <v>300</v>
      </c>
      <c r="AX81" s="241">
        <f>AX80*AX78</f>
        <v>505</v>
      </c>
      <c r="AY81" s="437">
        <f>AY80*AY78</f>
        <v>606</v>
      </c>
      <c r="AZ81" s="437">
        <f>AZ80*AZ78</f>
        <v>1212</v>
      </c>
      <c r="BA81" s="121">
        <f>BA80*BA78</f>
        <v>2323</v>
      </c>
      <c r="BB81" s="285">
        <f>SUM(AX81:BA81)</f>
        <v>4646</v>
      </c>
      <c r="BC81" s="241">
        <f t="shared" ref="BC81:BG81" si="421">BC80*BC78</f>
        <v>101</v>
      </c>
      <c r="BD81" s="437">
        <f t="shared" si="421"/>
        <v>1616</v>
      </c>
      <c r="BE81" s="437">
        <f t="shared" si="421"/>
        <v>2323</v>
      </c>
      <c r="BF81" s="121">
        <f t="shared" si="421"/>
        <v>2525</v>
      </c>
      <c r="BG81" s="285">
        <f t="shared" si="421"/>
        <v>6630</v>
      </c>
      <c r="BH81" s="241">
        <f>BH72*BH73+BH74*BH75+BH76*BH77</f>
        <v>1768.2300000000002</v>
      </c>
      <c r="BI81" s="241">
        <f t="shared" ref="BI81:BK81" si="422">BI72*BI73+BI74*BI75+BI76*BI77</f>
        <v>2977.3650000000007</v>
      </c>
      <c r="BJ81" s="241">
        <f t="shared" si="422"/>
        <v>3166.5450000000001</v>
      </c>
      <c r="BK81" s="241">
        <f t="shared" si="422"/>
        <v>3589.8</v>
      </c>
      <c r="BL81" s="120">
        <f>SUM(BH81:BK81)</f>
        <v>11501.940000000002</v>
      </c>
      <c r="BM81" s="241">
        <f>BM72*BM73+BM74*BM75+BM76*BM77</f>
        <v>3344.3999999999996</v>
      </c>
      <c r="BN81" s="241">
        <f t="shared" ref="BN81:BP81" si="423">BN72*BN73+BN74*BN75+BN76*BN77</f>
        <v>3873.6000000000004</v>
      </c>
      <c r="BO81" s="241">
        <f t="shared" si="423"/>
        <v>4364.1899999999996</v>
      </c>
      <c r="BP81" s="241">
        <f t="shared" si="423"/>
        <v>4060.98</v>
      </c>
      <c r="BQ81" s="120">
        <f>SUM(BM81:BP81)</f>
        <v>15643.169999999998</v>
      </c>
      <c r="BR81" s="241">
        <f>BR72*BR73+BR74*BR75+BR76*BR77</f>
        <v>3747.9300000000003</v>
      </c>
      <c r="BS81" s="241">
        <f t="shared" ref="BS81:BU81" si="424">BS72*BS73+BS74*BS75+BS76*BS77</f>
        <v>4622.1050000000005</v>
      </c>
      <c r="BT81" s="241">
        <f t="shared" si="424"/>
        <v>4431.1950000000006</v>
      </c>
      <c r="BU81" s="241">
        <f t="shared" si="424"/>
        <v>4034.2950000000001</v>
      </c>
      <c r="BV81" s="120">
        <f>SUM(BR81:BU81)</f>
        <v>16835.525000000001</v>
      </c>
      <c r="BW81" s="241">
        <f>BW72*BW73+BW74*BW75+BW76*BW77</f>
        <v>4025.0999999999995</v>
      </c>
      <c r="BX81" s="241">
        <f t="shared" ref="BX81:BZ81" si="425">BX72*BX73+BX74*BX75+BX76*BX77</f>
        <v>4160.2999999999993</v>
      </c>
      <c r="BY81" s="241">
        <f t="shared" si="425"/>
        <v>4506.0249999999996</v>
      </c>
      <c r="BZ81" s="241">
        <f t="shared" si="425"/>
        <v>4716.5499999999993</v>
      </c>
      <c r="CA81" s="120">
        <f>SUM(BW81:BZ81)</f>
        <v>17407.974999999999</v>
      </c>
      <c r="CB81" s="241">
        <f>CB72*CB73+CB74*CB75+CB76*CB77</f>
        <v>4801.1550000000007</v>
      </c>
      <c r="CC81" s="241">
        <f t="shared" ref="CC81:CO81" si="426">CC72*CC73+CC74*CC75+CC76*CC77</f>
        <v>5284.5749999999998</v>
      </c>
      <c r="CD81" s="241">
        <f t="shared" si="426"/>
        <v>4606.3999999999996</v>
      </c>
      <c r="CE81" s="121">
        <f t="shared" si="426"/>
        <v>5481.1950000000006</v>
      </c>
      <c r="CF81" s="120">
        <f>SUM(CB81:CE81)</f>
        <v>20173.325000000001</v>
      </c>
      <c r="CG81" s="241">
        <f t="shared" si="426"/>
        <v>5110.8393000000005</v>
      </c>
      <c r="CH81" s="241">
        <f t="shared" si="426"/>
        <v>6052.9789500000006</v>
      </c>
      <c r="CI81" s="241">
        <f t="shared" si="426"/>
        <v>4936.1178500000005</v>
      </c>
      <c r="CJ81" s="121">
        <f t="shared" si="426"/>
        <v>6274.752050000001</v>
      </c>
      <c r="CK81" s="120">
        <f>SUM(CG81:CJ81)</f>
        <v>22374.688150000002</v>
      </c>
      <c r="CL81" s="121">
        <f t="shared" si="426"/>
        <v>4120.830548500001</v>
      </c>
      <c r="CM81" s="241">
        <f t="shared" si="426"/>
        <v>1000.0869665000001</v>
      </c>
      <c r="CN81" s="121">
        <f t="shared" si="426"/>
        <v>1881.4265355000002</v>
      </c>
      <c r="CO81" s="241">
        <f t="shared" si="426"/>
        <v>554.961231</v>
      </c>
      <c r="CP81" s="120">
        <f>SUM(CL81:CO81)</f>
        <v>7557.3052815000019</v>
      </c>
      <c r="CQ81" s="241">
        <f t="shared" ref="CQ81:CT81" si="427">CQ72*CQ73+CQ74*CQ75+CQ76*CQ77</f>
        <v>290.13276160000004</v>
      </c>
      <c r="CR81" s="121">
        <f t="shared" si="427"/>
        <v>1641.8638080000003</v>
      </c>
      <c r="CS81" s="121">
        <f t="shared" si="427"/>
        <v>0</v>
      </c>
      <c r="CT81" s="121">
        <f t="shared" si="427"/>
        <v>0</v>
      </c>
      <c r="CU81" s="120">
        <f>SUM(CQ81:CT81)</f>
        <v>1931.9965696000004</v>
      </c>
      <c r="CV81" s="121">
        <f t="shared" ref="CV81" si="428">CV72*CV73+CV74*CV75+CV76*CV77</f>
        <v>0</v>
      </c>
      <c r="CW81" s="121">
        <f t="shared" ref="CW81:CY81" si="429">CW72*CW73+CW74*CW75+CW76*CW77</f>
        <v>0</v>
      </c>
      <c r="CX81" s="121">
        <f t="shared" si="429"/>
        <v>1296.7796147831002</v>
      </c>
      <c r="CY81" s="121">
        <f t="shared" si="429"/>
        <v>3048.56737436395</v>
      </c>
      <c r="CZ81" s="120">
        <f>SUM(CV81:CY81)</f>
        <v>4345.3469891470504</v>
      </c>
      <c r="DA81" s="241">
        <f t="shared" ref="DA81:DD81" si="430">DA72*DA73+DA74*DA75+DA76*DA77</f>
        <v>1567.0404712341567</v>
      </c>
      <c r="DB81" s="241">
        <f t="shared" si="430"/>
        <v>2867.4502028584443</v>
      </c>
      <c r="DC81" s="121">
        <f t="shared" si="430"/>
        <v>2899.6631575223932</v>
      </c>
      <c r="DD81" s="241">
        <f t="shared" si="430"/>
        <v>3491.5920177387134</v>
      </c>
      <c r="DE81" s="120">
        <f>SUM(DA81:DD81)</f>
        <v>10825.745849353709</v>
      </c>
      <c r="DF81" s="121">
        <f t="shared" ref="DF81:DI81" si="431">DF72*DF73+DF74*DF75+DF76*DF77</f>
        <v>1938.4356409521858</v>
      </c>
      <c r="DG81" s="121">
        <f t="shared" si="431"/>
        <v>1390.507316483302</v>
      </c>
      <c r="DH81" s="121">
        <f t="shared" si="431"/>
        <v>2151.3704029453497</v>
      </c>
      <c r="DI81" s="121">
        <f t="shared" si="431"/>
        <v>2307.7342973060731</v>
      </c>
      <c r="DJ81" s="120">
        <f>SUM(DF81:DI81)</f>
        <v>7788.0476576869114</v>
      </c>
      <c r="DK81" s="121">
        <f t="shared" ref="DK81" si="432">DK72*DK73+DK74*DK75+DK76*DK77</f>
        <v>1900.7202711472512</v>
      </c>
      <c r="DL81" s="121">
        <f t="shared" ref="DL81:DN81" si="433">DL72*DL73+DL74*DL75+DL76*DL77</f>
        <v>3624.9073875436479</v>
      </c>
      <c r="DM81" s="121">
        <f t="shared" si="433"/>
        <v>3557.8583272404226</v>
      </c>
      <c r="DN81" s="121">
        <f t="shared" si="433"/>
        <v>4112.8545684533246</v>
      </c>
      <c r="DO81" s="120">
        <f>SUM(DK81:DN81)</f>
        <v>13196.340554384646</v>
      </c>
      <c r="DP81" s="121">
        <f t="shared" ref="DP81:DS81" si="434">DP72*DP73+DP74*DP75+DP76*DP77</f>
        <v>2295</v>
      </c>
      <c r="DQ81" s="241">
        <f t="shared" si="434"/>
        <v>3740</v>
      </c>
      <c r="DR81" s="241">
        <f t="shared" si="434"/>
        <v>3964</v>
      </c>
      <c r="DS81" s="241">
        <f t="shared" si="434"/>
        <v>4834.6000000000004</v>
      </c>
      <c r="DT81" s="120">
        <f>SUM(DP81:DS81)</f>
        <v>14833.6</v>
      </c>
      <c r="DU81" s="241">
        <f t="shared" ref="DU81:DX81" si="435">DU72*DU73+DU74*DU75+DU76*DU77</f>
        <v>3712.6</v>
      </c>
      <c r="DV81" s="241">
        <f t="shared" si="435"/>
        <v>4702</v>
      </c>
      <c r="DW81" s="241">
        <f t="shared" si="435"/>
        <v>5342</v>
      </c>
      <c r="DX81" s="241">
        <f t="shared" si="435"/>
        <v>6077.6</v>
      </c>
      <c r="DY81" s="120">
        <f>SUM(DU81:DX81)</f>
        <v>19834.2</v>
      </c>
      <c r="DZ81" s="285">
        <f t="shared" ref="DZ81:EA81" si="436">DZ72*DZ73+DZ74*DZ75+DZ76*DZ77</f>
        <v>22640</v>
      </c>
      <c r="EA81" s="285">
        <f t="shared" si="436"/>
        <v>26590</v>
      </c>
      <c r="EB81" s="285">
        <f t="shared" ref="EB81" si="437">EB72*EB73+EB74*EB75+EB76*EB77</f>
        <v>28585</v>
      </c>
    </row>
    <row r="82" spans="1:132" s="298" customFormat="1">
      <c r="A82" s="241"/>
      <c r="B82" s="241"/>
      <c r="C82" s="299"/>
      <c r="D82" s="299"/>
      <c r="E82" s="299"/>
      <c r="F82" s="299"/>
      <c r="G82" s="299"/>
      <c r="H82" s="299"/>
      <c r="I82" s="299"/>
      <c r="J82" s="243"/>
      <c r="K82" s="243"/>
      <c r="L82" s="243"/>
      <c r="M82" s="243"/>
      <c r="N82" s="299"/>
      <c r="O82" s="243"/>
      <c r="P82" s="243"/>
      <c r="Q82" s="243"/>
      <c r="R82" s="243"/>
      <c r="S82" s="299"/>
      <c r="T82" s="243"/>
      <c r="U82" s="243"/>
      <c r="V82" s="243"/>
      <c r="W82" s="243"/>
      <c r="X82" s="299"/>
      <c r="Y82" s="243"/>
      <c r="Z82" s="243"/>
      <c r="AA82" s="243"/>
      <c r="AB82" s="243"/>
      <c r="AC82" s="299"/>
      <c r="AD82" s="243"/>
      <c r="AE82" s="243"/>
      <c r="AF82" s="243"/>
      <c r="AG82" s="243"/>
      <c r="AH82" s="299"/>
      <c r="AI82" s="243"/>
      <c r="AJ82" s="243"/>
      <c r="AK82" s="243"/>
      <c r="AL82" s="243"/>
      <c r="AM82" s="299"/>
      <c r="AN82" s="243"/>
      <c r="AO82" s="439"/>
      <c r="AP82" s="439"/>
      <c r="AQ82" s="538"/>
      <c r="AR82" s="299"/>
      <c r="AS82" s="934" t="b">
        <f>(AS72+AS74+AS76)=AS78</f>
        <v>1</v>
      </c>
      <c r="AT82" s="935" t="b">
        <f t="shared" ref="AT82:AV82" si="438">(AT72+AT74+AT76)=AT78</f>
        <v>1</v>
      </c>
      <c r="AU82" s="935" t="b">
        <f t="shared" si="438"/>
        <v>1</v>
      </c>
      <c r="AV82" s="934" t="b">
        <f t="shared" si="438"/>
        <v>1</v>
      </c>
      <c r="AW82" s="933"/>
      <c r="AX82" s="934"/>
      <c r="AY82" s="935"/>
      <c r="AZ82" s="935"/>
      <c r="BA82" s="934"/>
      <c r="BB82" s="933"/>
      <c r="BC82" s="934"/>
      <c r="BD82" s="935"/>
      <c r="BE82" s="935"/>
      <c r="BF82" s="934"/>
      <c r="BG82" s="933"/>
      <c r="BH82" s="946"/>
      <c r="BI82" s="946"/>
      <c r="BJ82" s="946"/>
      <c r="BK82" s="946"/>
      <c r="BL82" s="947"/>
      <c r="BM82" s="946"/>
      <c r="BN82" s="948"/>
      <c r="BO82" s="948"/>
      <c r="BP82" s="946"/>
      <c r="BQ82" s="947"/>
      <c r="BR82" s="948"/>
      <c r="BS82" s="946"/>
      <c r="BT82" s="948"/>
      <c r="BU82" s="946"/>
      <c r="BV82" s="947"/>
      <c r="BW82" s="948"/>
      <c r="BX82" s="946"/>
      <c r="BY82" s="948"/>
      <c r="BZ82" s="946"/>
      <c r="CA82" s="947"/>
      <c r="CB82" s="948"/>
      <c r="CC82" s="946"/>
      <c r="CD82" s="948"/>
      <c r="CE82" s="860"/>
      <c r="CF82" s="947"/>
      <c r="CG82" s="944"/>
      <c r="CH82" s="944"/>
      <c r="CI82" s="944"/>
      <c r="CJ82" s="539"/>
      <c r="CK82" s="945"/>
      <c r="CL82" s="539"/>
      <c r="CM82" s="944"/>
      <c r="CN82" s="944"/>
      <c r="CO82" s="944"/>
      <c r="CP82" s="945"/>
      <c r="CQ82" s="944"/>
      <c r="CR82" s="539"/>
      <c r="CS82" s="539"/>
      <c r="CT82" s="539"/>
      <c r="CU82" s="945"/>
      <c r="CV82" s="539"/>
      <c r="CW82" s="539"/>
      <c r="CX82" s="539"/>
      <c r="CY82" s="539"/>
      <c r="CZ82" s="945"/>
      <c r="DA82" s="944"/>
      <c r="DB82" s="944"/>
      <c r="DC82" s="539"/>
      <c r="DD82" s="944"/>
      <c r="DE82" s="945"/>
      <c r="DF82" s="539"/>
      <c r="DG82" s="539"/>
      <c r="DH82" s="539"/>
      <c r="DI82" s="539"/>
      <c r="DJ82" s="1024"/>
      <c r="DK82" s="539"/>
      <c r="DL82" s="539"/>
      <c r="DM82" s="539"/>
      <c r="DN82" s="539"/>
      <c r="DO82" s="1024"/>
      <c r="DP82" s="539"/>
      <c r="DQ82" s="944"/>
      <c r="DR82" s="944"/>
      <c r="DS82" s="944"/>
      <c r="DT82" s="945"/>
      <c r="DU82" s="944"/>
      <c r="DV82" s="944"/>
      <c r="DW82" s="944"/>
      <c r="DX82" s="944"/>
      <c r="DY82" s="945"/>
      <c r="DZ82" s="945"/>
      <c r="EA82" s="945"/>
      <c r="EB82" s="945"/>
    </row>
    <row r="83" spans="1:132" s="298" customFormat="1" ht="12" hidden="1" customHeight="1" outlineLevel="1">
      <c r="A83" s="241"/>
      <c r="B83" s="42" t="s">
        <v>615</v>
      </c>
      <c r="C83" s="43">
        <v>0</v>
      </c>
      <c r="D83" s="43">
        <v>0</v>
      </c>
      <c r="E83" s="43">
        <v>12</v>
      </c>
      <c r="F83" s="43">
        <v>32</v>
      </c>
      <c r="G83" s="43">
        <v>49</v>
      </c>
      <c r="H83" s="43">
        <v>20</v>
      </c>
      <c r="I83" s="43">
        <v>12</v>
      </c>
      <c r="J83" s="42">
        <v>3</v>
      </c>
      <c r="K83" s="42">
        <v>3</v>
      </c>
      <c r="L83" s="42">
        <v>3</v>
      </c>
      <c r="M83" s="42">
        <v>3</v>
      </c>
      <c r="N83" s="43">
        <f>+M83+L83+K83+J83</f>
        <v>12</v>
      </c>
      <c r="O83" s="42">
        <v>3</v>
      </c>
      <c r="P83" s="42">
        <v>3</v>
      </c>
      <c r="Q83" s="42">
        <v>3</v>
      </c>
      <c r="R83" s="42">
        <v>4</v>
      </c>
      <c r="S83" s="43">
        <f>+R83+Q83+P83+O83</f>
        <v>13</v>
      </c>
      <c r="T83" s="42">
        <v>2</v>
      </c>
      <c r="U83" s="42">
        <v>3</v>
      </c>
      <c r="V83" s="42">
        <v>0</v>
      </c>
      <c r="W83" s="42">
        <f>+X83-V83-U83-T83</f>
        <v>0</v>
      </c>
      <c r="X83" s="43">
        <v>5</v>
      </c>
      <c r="Y83" s="42">
        <v>0</v>
      </c>
      <c r="Z83" s="42">
        <v>0</v>
      </c>
      <c r="AA83" s="42">
        <v>0</v>
      </c>
      <c r="AB83" s="42">
        <v>0</v>
      </c>
      <c r="AC83" s="43">
        <v>0</v>
      </c>
      <c r="AD83" s="42">
        <v>0</v>
      </c>
      <c r="AE83" s="42">
        <v>0</v>
      </c>
      <c r="AF83" s="42">
        <v>0</v>
      </c>
      <c r="AG83" s="42">
        <v>0</v>
      </c>
      <c r="AH83" s="43">
        <v>0</v>
      </c>
      <c r="AI83" s="35"/>
      <c r="AJ83" s="35"/>
      <c r="AK83" s="35"/>
      <c r="AL83" s="35"/>
      <c r="AM83" s="34"/>
      <c r="AN83" s="35"/>
      <c r="AO83" s="436"/>
      <c r="AP83" s="436"/>
      <c r="AQ83" s="35"/>
      <c r="AR83" s="34"/>
      <c r="AS83" s="35"/>
      <c r="AT83" s="436"/>
      <c r="AU83" s="436"/>
      <c r="AV83" s="35"/>
      <c r="AW83" s="34"/>
      <c r="AX83" s="35"/>
      <c r="AY83" s="436"/>
      <c r="AZ83" s="436"/>
      <c r="BA83" s="35"/>
      <c r="BB83" s="34"/>
      <c r="BC83" s="35"/>
      <c r="BD83" s="436"/>
      <c r="BE83" s="436"/>
      <c r="BF83" s="35"/>
      <c r="BG83" s="34"/>
      <c r="BH83" s="35"/>
      <c r="BI83" s="35"/>
      <c r="BJ83" s="35"/>
      <c r="BK83" s="35"/>
      <c r="BL83" s="34"/>
      <c r="BM83" s="35"/>
      <c r="BN83" s="436"/>
      <c r="BO83" s="436"/>
      <c r="BP83" s="35"/>
      <c r="BQ83" s="34"/>
      <c r="BR83" s="436"/>
      <c r="BS83" s="35"/>
      <c r="BT83" s="436"/>
      <c r="BU83" s="35"/>
      <c r="BV83" s="34"/>
      <c r="BW83" s="436"/>
      <c r="BX83" s="35"/>
      <c r="BY83" s="436"/>
      <c r="BZ83" s="35"/>
      <c r="CA83" s="34"/>
      <c r="CB83" s="436"/>
      <c r="CC83" s="35"/>
      <c r="CD83" s="436"/>
      <c r="CE83" s="35"/>
      <c r="CF83" s="34"/>
      <c r="CG83" s="35"/>
      <c r="CH83" s="35"/>
      <c r="CI83" s="35"/>
      <c r="CJ83" s="35"/>
      <c r="CK83" s="34"/>
      <c r="CL83" s="35"/>
      <c r="CM83" s="35"/>
      <c r="CN83" s="35"/>
      <c r="CO83" s="35"/>
      <c r="CP83" s="34"/>
      <c r="CQ83" s="35"/>
      <c r="CR83" s="35"/>
      <c r="CS83" s="35"/>
      <c r="CT83" s="35"/>
      <c r="CU83" s="34"/>
      <c r="CV83" s="35"/>
      <c r="CW83" s="35"/>
      <c r="CX83" s="35"/>
      <c r="CY83" s="35"/>
      <c r="CZ83" s="34"/>
      <c r="DA83" s="35"/>
      <c r="DB83" s="35"/>
      <c r="DC83" s="35"/>
      <c r="DD83" s="35"/>
      <c r="DE83" s="34"/>
      <c r="DF83" s="35"/>
      <c r="DG83" s="35"/>
      <c r="DH83" s="35"/>
      <c r="DI83" s="35"/>
      <c r="DJ83" s="34"/>
      <c r="DK83" s="35"/>
      <c r="DL83" s="35"/>
      <c r="DM83" s="35"/>
      <c r="DN83" s="35"/>
      <c r="DO83" s="34"/>
      <c r="DP83" s="35"/>
      <c r="DQ83" s="35"/>
      <c r="DR83" s="35"/>
      <c r="DS83" s="35"/>
      <c r="DT83" s="34"/>
      <c r="DU83" s="35"/>
      <c r="DV83" s="35"/>
      <c r="DW83" s="35"/>
      <c r="DX83" s="35"/>
      <c r="DY83" s="34"/>
      <c r="DZ83" s="34"/>
      <c r="EA83" s="34"/>
      <c r="EB83" s="34"/>
    </row>
    <row r="84" spans="1:132" s="298" customFormat="1" ht="12" hidden="1" customHeight="1" outlineLevel="1">
      <c r="A84" s="241"/>
      <c r="B84" s="241" t="s">
        <v>193</v>
      </c>
      <c r="C84" s="41">
        <v>0</v>
      </c>
      <c r="D84" s="41">
        <v>0</v>
      </c>
      <c r="E84" s="41">
        <v>22</v>
      </c>
      <c r="F84" s="41">
        <v>22</v>
      </c>
      <c r="G84" s="41">
        <v>23</v>
      </c>
      <c r="H84" s="41">
        <v>24</v>
      </c>
      <c r="I84" s="41">
        <v>25</v>
      </c>
      <c r="J84" s="40">
        <v>26</v>
      </c>
      <c r="K84" s="40">
        <v>26</v>
      </c>
      <c r="L84" s="40">
        <v>26</v>
      </c>
      <c r="M84" s="40">
        <v>26</v>
      </c>
      <c r="N84" s="41">
        <v>26</v>
      </c>
      <c r="O84" s="40">
        <v>27</v>
      </c>
      <c r="P84" s="40">
        <v>27</v>
      </c>
      <c r="Q84" s="40">
        <v>27</v>
      </c>
      <c r="R84" s="40">
        <v>27</v>
      </c>
      <c r="S84" s="41">
        <v>27</v>
      </c>
      <c r="T84" s="40">
        <v>27</v>
      </c>
      <c r="U84" s="40">
        <v>27.4</v>
      </c>
      <c r="V84" s="40">
        <v>27</v>
      </c>
      <c r="W84" s="40">
        <v>27</v>
      </c>
      <c r="X84" s="41">
        <v>27</v>
      </c>
      <c r="Y84" s="40">
        <v>28</v>
      </c>
      <c r="Z84" s="40">
        <v>28</v>
      </c>
      <c r="AA84" s="40">
        <v>28</v>
      </c>
      <c r="AB84" s="40">
        <v>28</v>
      </c>
      <c r="AC84" s="41">
        <v>0</v>
      </c>
      <c r="AD84" s="40">
        <v>29</v>
      </c>
      <c r="AE84" s="40">
        <v>30</v>
      </c>
      <c r="AF84" s="40">
        <v>31</v>
      </c>
      <c r="AG84" s="40">
        <v>32</v>
      </c>
      <c r="AH84" s="41">
        <v>0</v>
      </c>
      <c r="AI84" s="40"/>
      <c r="AJ84" s="40"/>
      <c r="AK84" s="40"/>
      <c r="AL84" s="39"/>
      <c r="AM84" s="41"/>
      <c r="AN84" s="40"/>
      <c r="AO84" s="468"/>
      <c r="AP84" s="468"/>
      <c r="AQ84" s="39"/>
      <c r="AR84" s="41"/>
      <c r="AS84" s="40"/>
      <c r="AT84" s="468"/>
      <c r="AU84" s="468"/>
      <c r="AV84" s="39"/>
      <c r="AW84" s="41"/>
      <c r="AX84" s="40"/>
      <c r="AY84" s="468"/>
      <c r="AZ84" s="468"/>
      <c r="BA84" s="39"/>
      <c r="BB84" s="38"/>
      <c r="BC84" s="40"/>
      <c r="BD84" s="468"/>
      <c r="BE84" s="468"/>
      <c r="BF84" s="39"/>
      <c r="BG84" s="38"/>
      <c r="BH84" s="40"/>
      <c r="BI84" s="40"/>
      <c r="BJ84" s="40"/>
      <c r="BK84" s="39"/>
      <c r="BL84" s="41"/>
      <c r="BM84" s="40"/>
      <c r="BN84" s="468"/>
      <c r="BO84" s="468"/>
      <c r="BP84" s="39"/>
      <c r="BQ84" s="38"/>
      <c r="BR84" s="433"/>
      <c r="BS84" s="39"/>
      <c r="BT84" s="433"/>
      <c r="BU84" s="40"/>
      <c r="BV84" s="38"/>
      <c r="BW84" s="468"/>
      <c r="BX84" s="40"/>
      <c r="BY84" s="468"/>
      <c r="BZ84" s="40"/>
      <c r="CA84" s="38"/>
      <c r="CB84" s="468"/>
      <c r="CC84" s="39"/>
      <c r="CD84" s="468"/>
      <c r="CE84" s="40"/>
      <c r="CF84" s="38"/>
      <c r="CG84" s="39"/>
      <c r="CH84" s="39"/>
      <c r="CI84" s="39"/>
      <c r="CJ84" s="40"/>
      <c r="CK84" s="41"/>
      <c r="CL84" s="40"/>
      <c r="CM84" s="39"/>
      <c r="CN84" s="39"/>
      <c r="CO84" s="39"/>
      <c r="CP84" s="41"/>
      <c r="CQ84" s="39"/>
      <c r="CR84" s="40"/>
      <c r="CS84" s="40"/>
      <c r="CT84" s="40"/>
      <c r="CU84" s="41"/>
      <c r="CV84" s="40"/>
      <c r="CW84" s="40"/>
      <c r="CX84" s="40"/>
      <c r="CY84" s="40"/>
      <c r="CZ84" s="41"/>
      <c r="DA84" s="39"/>
      <c r="DB84" s="39"/>
      <c r="DC84" s="40"/>
      <c r="DD84" s="39"/>
      <c r="DE84" s="41"/>
      <c r="DF84" s="40"/>
      <c r="DG84" s="40"/>
      <c r="DH84" s="40"/>
      <c r="DI84" s="40"/>
      <c r="DJ84" s="41"/>
      <c r="DK84" s="40"/>
      <c r="DL84" s="40"/>
      <c r="DM84" s="40"/>
      <c r="DN84" s="40"/>
      <c r="DO84" s="41"/>
      <c r="DP84" s="40"/>
      <c r="DQ84" s="39"/>
      <c r="DR84" s="39"/>
      <c r="DS84" s="39"/>
      <c r="DT84" s="38"/>
      <c r="DU84" s="39"/>
      <c r="DV84" s="39"/>
      <c r="DW84" s="39"/>
      <c r="DX84" s="39"/>
      <c r="DY84" s="38"/>
      <c r="DZ84" s="38"/>
      <c r="EA84" s="38"/>
      <c r="EB84" s="38"/>
    </row>
    <row r="85" spans="1:132" s="298" customFormat="1" ht="12" hidden="1" customHeight="1" outlineLevel="1">
      <c r="A85" s="241"/>
      <c r="B85" s="241" t="s">
        <v>194</v>
      </c>
      <c r="C85" s="69">
        <v>0</v>
      </c>
      <c r="D85" s="69">
        <v>0</v>
      </c>
      <c r="E85" s="69">
        <v>264</v>
      </c>
      <c r="F85" s="69">
        <v>704</v>
      </c>
      <c r="G85" s="69">
        <v>1127</v>
      </c>
      <c r="H85" s="69">
        <v>480</v>
      </c>
      <c r="I85" s="69">
        <v>300</v>
      </c>
      <c r="J85" s="70">
        <f>J83*J84</f>
        <v>78</v>
      </c>
      <c r="K85" s="70">
        <f>K83*K84</f>
        <v>78</v>
      </c>
      <c r="L85" s="70">
        <f>L83*L84</f>
        <v>78</v>
      </c>
      <c r="M85" s="70">
        <f>M83*M84</f>
        <v>78</v>
      </c>
      <c r="N85" s="69">
        <f>SUM(J85:M85)</f>
        <v>312</v>
      </c>
      <c r="O85" s="70">
        <f>O83*O84</f>
        <v>81</v>
      </c>
      <c r="P85" s="70">
        <f>P83*P84</f>
        <v>81</v>
      </c>
      <c r="Q85" s="70">
        <f>Q83*Q84</f>
        <v>81</v>
      </c>
      <c r="R85" s="70">
        <f>R83*R84</f>
        <v>108</v>
      </c>
      <c r="S85" s="69">
        <f>SUM(O85:R85)</f>
        <v>351</v>
      </c>
      <c r="T85" s="70">
        <f>T83*T84</f>
        <v>54</v>
      </c>
      <c r="U85" s="70">
        <f>U83*U84</f>
        <v>82.199999999999989</v>
      </c>
      <c r="V85" s="70">
        <f>V83*V84</f>
        <v>0</v>
      </c>
      <c r="W85" s="70">
        <f>W83*W84</f>
        <v>0</v>
      </c>
      <c r="X85" s="69">
        <f>SUM(T85:W85)</f>
        <v>136.19999999999999</v>
      </c>
      <c r="Y85" s="70">
        <f>Y83*Y84</f>
        <v>0</v>
      </c>
      <c r="Z85" s="70">
        <f>Z83*Z84</f>
        <v>0</v>
      </c>
      <c r="AA85" s="70">
        <f>AA83*AA84</f>
        <v>0</v>
      </c>
      <c r="AB85" s="70">
        <f>AB83*AB84</f>
        <v>0</v>
      </c>
      <c r="AC85" s="69">
        <f>SUM(Y85:AB85)</f>
        <v>0</v>
      </c>
      <c r="AD85" s="70">
        <f>AD83*AD84</f>
        <v>0</v>
      </c>
      <c r="AE85" s="70">
        <f>AE83*AE84</f>
        <v>0</v>
      </c>
      <c r="AF85" s="70">
        <f>AF83*AF84</f>
        <v>0</v>
      </c>
      <c r="AG85" s="70">
        <f>AG83*AG84</f>
        <v>0</v>
      </c>
      <c r="AH85" s="69">
        <f>SUM(AD85:AG85)</f>
        <v>0</v>
      </c>
      <c r="AI85" s="70"/>
      <c r="AJ85" s="70"/>
      <c r="AK85" s="70"/>
      <c r="AL85" s="70"/>
      <c r="AM85" s="69"/>
      <c r="AN85" s="70"/>
      <c r="AO85" s="271"/>
      <c r="AP85" s="271"/>
      <c r="AQ85" s="70"/>
      <c r="AR85" s="69"/>
      <c r="AS85" s="70"/>
      <c r="AT85" s="271"/>
      <c r="AU85" s="271"/>
      <c r="AV85" s="70"/>
      <c r="AW85" s="69"/>
      <c r="AX85" s="70"/>
      <c r="AY85" s="271"/>
      <c r="AZ85" s="271"/>
      <c r="BA85" s="70"/>
      <c r="BB85" s="69"/>
      <c r="BC85" s="70"/>
      <c r="BD85" s="271"/>
      <c r="BE85" s="271"/>
      <c r="BF85" s="70"/>
      <c r="BG85" s="69"/>
      <c r="BH85" s="70"/>
      <c r="BI85" s="70"/>
      <c r="BJ85" s="70"/>
      <c r="BK85" s="70"/>
      <c r="BL85" s="69"/>
      <c r="BM85" s="70"/>
      <c r="BN85" s="271"/>
      <c r="BO85" s="271"/>
      <c r="BP85" s="70"/>
      <c r="BQ85" s="69"/>
      <c r="BR85" s="271"/>
      <c r="BS85" s="70"/>
      <c r="BT85" s="271"/>
      <c r="BU85" s="70"/>
      <c r="BV85" s="69"/>
      <c r="BW85" s="271"/>
      <c r="BX85" s="70"/>
      <c r="BY85" s="271"/>
      <c r="BZ85" s="70"/>
      <c r="CA85" s="69"/>
      <c r="CB85" s="271"/>
      <c r="CC85" s="70"/>
      <c r="CD85" s="271"/>
      <c r="CE85" s="70"/>
      <c r="CF85" s="69"/>
      <c r="CG85" s="70"/>
      <c r="CH85" s="70"/>
      <c r="CI85" s="70"/>
      <c r="CJ85" s="70"/>
      <c r="CK85" s="69"/>
      <c r="CL85" s="70"/>
      <c r="CM85" s="70"/>
      <c r="CN85" s="70"/>
      <c r="CO85" s="70"/>
      <c r="CP85" s="69"/>
      <c r="CQ85" s="70"/>
      <c r="CR85" s="70"/>
      <c r="CS85" s="70"/>
      <c r="CT85" s="70"/>
      <c r="CU85" s="69"/>
      <c r="CV85" s="70"/>
      <c r="CW85" s="70"/>
      <c r="CX85" s="70"/>
      <c r="CY85" s="70"/>
      <c r="CZ85" s="69"/>
      <c r="DA85" s="70"/>
      <c r="DB85" s="70"/>
      <c r="DC85" s="70"/>
      <c r="DD85" s="70"/>
      <c r="DE85" s="69"/>
      <c r="DF85" s="70"/>
      <c r="DG85" s="70"/>
      <c r="DH85" s="70"/>
      <c r="DI85" s="70"/>
      <c r="DJ85" s="69"/>
      <c r="DK85" s="70"/>
      <c r="DL85" s="70"/>
      <c r="DM85" s="70"/>
      <c r="DN85" s="70"/>
      <c r="DO85" s="69"/>
      <c r="DP85" s="70"/>
      <c r="DQ85" s="70"/>
      <c r="DR85" s="70"/>
      <c r="DS85" s="70"/>
      <c r="DT85" s="69"/>
      <c r="DU85" s="70"/>
      <c r="DV85" s="70"/>
      <c r="DW85" s="70"/>
      <c r="DX85" s="70"/>
      <c r="DY85" s="69"/>
      <c r="DZ85" s="69"/>
      <c r="EA85" s="69"/>
      <c r="EB85" s="69"/>
    </row>
    <row r="86" spans="1:132" s="298" customFormat="1" ht="12" hidden="1" customHeight="1" outlineLevel="1">
      <c r="A86" s="241"/>
      <c r="B86" s="241" t="s">
        <v>192</v>
      </c>
      <c r="C86" s="285">
        <f t="shared" ref="C86:AH86" si="439">C85*C87</f>
        <v>0</v>
      </c>
      <c r="D86" s="285">
        <f t="shared" si="439"/>
        <v>0</v>
      </c>
      <c r="E86" s="285">
        <f t="shared" si="439"/>
        <v>-13.200000000000001</v>
      </c>
      <c r="F86" s="285">
        <f t="shared" si="439"/>
        <v>0</v>
      </c>
      <c r="G86" s="285">
        <f t="shared" si="439"/>
        <v>0</v>
      </c>
      <c r="H86" s="285">
        <f t="shared" si="439"/>
        <v>0</v>
      </c>
      <c r="I86" s="285">
        <f t="shared" si="439"/>
        <v>0</v>
      </c>
      <c r="J86" s="241">
        <f t="shared" si="439"/>
        <v>0</v>
      </c>
      <c r="K86" s="241">
        <f t="shared" si="439"/>
        <v>0</v>
      </c>
      <c r="L86" s="241">
        <f t="shared" si="439"/>
        <v>0</v>
      </c>
      <c r="M86" s="241">
        <f t="shared" si="439"/>
        <v>0</v>
      </c>
      <c r="N86" s="285">
        <f t="shared" si="439"/>
        <v>0</v>
      </c>
      <c r="O86" s="241">
        <f t="shared" si="439"/>
        <v>0</v>
      </c>
      <c r="P86" s="241">
        <f t="shared" si="439"/>
        <v>0</v>
      </c>
      <c r="Q86" s="241">
        <f t="shared" si="439"/>
        <v>0</v>
      </c>
      <c r="R86" s="241">
        <f t="shared" si="439"/>
        <v>0</v>
      </c>
      <c r="S86" s="285">
        <f t="shared" si="439"/>
        <v>0</v>
      </c>
      <c r="T86" s="241">
        <f t="shared" si="439"/>
        <v>0</v>
      </c>
      <c r="U86" s="241">
        <f t="shared" si="439"/>
        <v>0</v>
      </c>
      <c r="V86" s="241">
        <f t="shared" si="439"/>
        <v>0</v>
      </c>
      <c r="W86" s="241">
        <f t="shared" si="439"/>
        <v>0</v>
      </c>
      <c r="X86" s="285">
        <f t="shared" si="439"/>
        <v>0</v>
      </c>
      <c r="Y86" s="241">
        <f t="shared" si="439"/>
        <v>0</v>
      </c>
      <c r="Z86" s="241">
        <f t="shared" si="439"/>
        <v>0</v>
      </c>
      <c r="AA86" s="241">
        <f t="shared" si="439"/>
        <v>0</v>
      </c>
      <c r="AB86" s="241">
        <f t="shared" si="439"/>
        <v>0</v>
      </c>
      <c r="AC86" s="285">
        <f t="shared" si="439"/>
        <v>0</v>
      </c>
      <c r="AD86" s="241">
        <f t="shared" si="439"/>
        <v>0</v>
      </c>
      <c r="AE86" s="241">
        <f t="shared" si="439"/>
        <v>0</v>
      </c>
      <c r="AF86" s="241">
        <f t="shared" si="439"/>
        <v>0</v>
      </c>
      <c r="AG86" s="241">
        <f t="shared" si="439"/>
        <v>0</v>
      </c>
      <c r="AH86" s="285">
        <f t="shared" si="439"/>
        <v>0</v>
      </c>
      <c r="AI86" s="307"/>
      <c r="AJ86" s="307"/>
      <c r="AK86" s="307"/>
      <c r="AL86" s="307"/>
      <c r="AM86" s="308"/>
      <c r="AN86" s="307"/>
      <c r="AO86" s="471"/>
      <c r="AP86" s="471"/>
      <c r="AQ86" s="307"/>
      <c r="AR86" s="308"/>
      <c r="AS86" s="307"/>
      <c r="AT86" s="471"/>
      <c r="AU86" s="471"/>
      <c r="AV86" s="307"/>
      <c r="AW86" s="308"/>
      <c r="AX86" s="307"/>
      <c r="AY86" s="471"/>
      <c r="AZ86" s="471"/>
      <c r="BA86" s="307"/>
      <c r="BB86" s="308"/>
      <c r="BC86" s="307"/>
      <c r="BD86" s="471"/>
      <c r="BE86" s="471"/>
      <c r="BF86" s="307"/>
      <c r="BG86" s="308"/>
      <c r="BH86" s="307"/>
      <c r="BI86" s="307"/>
      <c r="BJ86" s="307"/>
      <c r="BK86" s="307"/>
      <c r="BL86" s="128"/>
      <c r="BM86" s="129"/>
      <c r="BN86" s="471"/>
      <c r="BO86" s="471"/>
      <c r="BP86" s="307"/>
      <c r="BQ86" s="308"/>
      <c r="BR86" s="313"/>
      <c r="BS86" s="307"/>
      <c r="BT86" s="313"/>
      <c r="BU86" s="129"/>
      <c r="BV86" s="308"/>
      <c r="BW86" s="471"/>
      <c r="BX86" s="129"/>
      <c r="BY86" s="471"/>
      <c r="BZ86" s="129"/>
      <c r="CA86" s="308"/>
      <c r="CB86" s="471"/>
      <c r="CC86" s="307"/>
      <c r="CD86" s="471"/>
      <c r="CE86" s="129"/>
      <c r="CF86" s="308"/>
      <c r="CG86" s="307"/>
      <c r="CH86" s="307"/>
      <c r="CI86" s="307"/>
      <c r="CJ86" s="129"/>
      <c r="CK86" s="128"/>
      <c r="CL86" s="129"/>
      <c r="CM86" s="307"/>
      <c r="CN86" s="307"/>
      <c r="CO86" s="307"/>
      <c r="CP86" s="128"/>
      <c r="CQ86" s="307"/>
      <c r="CR86" s="129"/>
      <c r="CS86" s="129"/>
      <c r="CT86" s="129"/>
      <c r="CU86" s="128"/>
      <c r="CV86" s="129"/>
      <c r="CW86" s="129"/>
      <c r="CX86" s="129"/>
      <c r="CY86" s="129"/>
      <c r="CZ86" s="128"/>
      <c r="DA86" s="307"/>
      <c r="DB86" s="307"/>
      <c r="DC86" s="129"/>
      <c r="DD86" s="307"/>
      <c r="DE86" s="128"/>
      <c r="DF86" s="129"/>
      <c r="DG86" s="129"/>
      <c r="DH86" s="129"/>
      <c r="DI86" s="129"/>
      <c r="DJ86" s="128"/>
      <c r="DK86" s="129"/>
      <c r="DL86" s="129"/>
      <c r="DM86" s="129"/>
      <c r="DN86" s="129"/>
      <c r="DO86" s="128"/>
      <c r="DP86" s="129"/>
      <c r="DQ86" s="307"/>
      <c r="DR86" s="307"/>
      <c r="DS86" s="307"/>
      <c r="DT86" s="308"/>
      <c r="DU86" s="307"/>
      <c r="DV86" s="307"/>
      <c r="DW86" s="307"/>
      <c r="DX86" s="307"/>
      <c r="DY86" s="308"/>
      <c r="DZ86" s="308"/>
      <c r="EA86" s="308"/>
      <c r="EB86" s="308"/>
    </row>
    <row r="87" spans="1:132" s="306" customFormat="1" ht="12" hidden="1" customHeight="1" outlineLevel="1">
      <c r="A87" s="305"/>
      <c r="B87" s="305" t="s">
        <v>202</v>
      </c>
      <c r="C87" s="301"/>
      <c r="D87" s="301"/>
      <c r="E87" s="301">
        <v>-0.05</v>
      </c>
      <c r="F87" s="301">
        <v>0</v>
      </c>
      <c r="G87" s="301">
        <v>0</v>
      </c>
      <c r="H87" s="301">
        <v>0</v>
      </c>
      <c r="I87" s="301">
        <v>0</v>
      </c>
      <c r="J87" s="242">
        <v>0</v>
      </c>
      <c r="K87" s="242">
        <v>0</v>
      </c>
      <c r="L87" s="242">
        <v>0</v>
      </c>
      <c r="M87" s="242">
        <v>0</v>
      </c>
      <c r="N87" s="301">
        <v>0</v>
      </c>
      <c r="O87" s="242">
        <v>0</v>
      </c>
      <c r="P87" s="242">
        <v>0</v>
      </c>
      <c r="Q87" s="242">
        <v>0</v>
      </c>
      <c r="R87" s="242">
        <v>0</v>
      </c>
      <c r="S87" s="301">
        <v>0</v>
      </c>
      <c r="T87" s="242">
        <v>0</v>
      </c>
      <c r="U87" s="242">
        <v>0</v>
      </c>
      <c r="V87" s="242">
        <v>0</v>
      </c>
      <c r="W87" s="242">
        <v>0</v>
      </c>
      <c r="X87" s="301">
        <v>0</v>
      </c>
      <c r="Y87" s="242">
        <v>0</v>
      </c>
      <c r="Z87" s="242">
        <v>0</v>
      </c>
      <c r="AA87" s="242">
        <v>0</v>
      </c>
      <c r="AB87" s="242">
        <v>0</v>
      </c>
      <c r="AC87" s="301">
        <v>0</v>
      </c>
      <c r="AD87" s="242">
        <v>0</v>
      </c>
      <c r="AE87" s="242">
        <v>0</v>
      </c>
      <c r="AF87" s="242">
        <v>0</v>
      </c>
      <c r="AG87" s="242">
        <v>0</v>
      </c>
      <c r="AH87" s="301">
        <v>0</v>
      </c>
      <c r="AI87" s="242"/>
      <c r="AJ87" s="242"/>
      <c r="AK87" s="242"/>
      <c r="AL87" s="242"/>
      <c r="AM87" s="301"/>
      <c r="AN87" s="242"/>
      <c r="AO87" s="469"/>
      <c r="AP87" s="469"/>
      <c r="AQ87" s="242"/>
      <c r="AR87" s="301"/>
      <c r="AS87" s="242"/>
      <c r="AT87" s="469"/>
      <c r="AU87" s="469"/>
      <c r="AV87" s="242"/>
      <c r="AW87" s="301"/>
      <c r="AX87" s="242"/>
      <c r="AY87" s="469"/>
      <c r="AZ87" s="469"/>
      <c r="BA87" s="242"/>
      <c r="BB87" s="301"/>
      <c r="BC87" s="242"/>
      <c r="BD87" s="469"/>
      <c r="BE87" s="469"/>
      <c r="BF87" s="242"/>
      <c r="BG87" s="301"/>
      <c r="BH87" s="242"/>
      <c r="BI87" s="242"/>
      <c r="BJ87" s="242"/>
      <c r="BK87" s="242"/>
      <c r="BL87" s="144"/>
      <c r="BM87" s="145"/>
      <c r="BN87" s="469"/>
      <c r="BO87" s="469"/>
      <c r="BP87" s="242"/>
      <c r="BQ87" s="301"/>
      <c r="BR87" s="302"/>
      <c r="BS87" s="242"/>
      <c r="BT87" s="302"/>
      <c r="BU87" s="145"/>
      <c r="BV87" s="301"/>
      <c r="BW87" s="469"/>
      <c r="BX87" s="145"/>
      <c r="BY87" s="469"/>
      <c r="BZ87" s="145"/>
      <c r="CA87" s="301"/>
      <c r="CB87" s="469"/>
      <c r="CC87" s="242"/>
      <c r="CD87" s="469"/>
      <c r="CE87" s="145"/>
      <c r="CF87" s="301"/>
      <c r="CG87" s="242"/>
      <c r="CH87" s="242"/>
      <c r="CI87" s="242"/>
      <c r="CJ87" s="145"/>
      <c r="CK87" s="144"/>
      <c r="CL87" s="145"/>
      <c r="CM87" s="242"/>
      <c r="CN87" s="242"/>
      <c r="CO87" s="242"/>
      <c r="CP87" s="144"/>
      <c r="CQ87" s="242"/>
      <c r="CR87" s="145"/>
      <c r="CS87" s="145"/>
      <c r="CT87" s="145"/>
      <c r="CU87" s="144"/>
      <c r="CV87" s="145"/>
      <c r="CW87" s="145"/>
      <c r="CX87" s="145"/>
      <c r="CY87" s="145"/>
      <c r="CZ87" s="144"/>
      <c r="DA87" s="242"/>
      <c r="DB87" s="242"/>
      <c r="DC87" s="145"/>
      <c r="DD87" s="242"/>
      <c r="DE87" s="144"/>
      <c r="DF87" s="145"/>
      <c r="DG87" s="145"/>
      <c r="DH87" s="145"/>
      <c r="DI87" s="145"/>
      <c r="DJ87" s="144"/>
      <c r="DK87" s="145"/>
      <c r="DL87" s="145"/>
      <c r="DM87" s="145"/>
      <c r="DN87" s="145"/>
      <c r="DO87" s="144"/>
      <c r="DP87" s="145"/>
      <c r="DQ87" s="242"/>
      <c r="DR87" s="242"/>
      <c r="DS87" s="242"/>
      <c r="DT87" s="301"/>
      <c r="DU87" s="242"/>
      <c r="DV87" s="242"/>
      <c r="DW87" s="242"/>
      <c r="DX87" s="242"/>
      <c r="DY87" s="301"/>
      <c r="DZ87" s="301"/>
      <c r="EA87" s="301"/>
      <c r="EB87" s="301"/>
    </row>
    <row r="88" spans="1:132" s="298" customFormat="1" ht="12" hidden="1" customHeight="1" outlineLevel="1">
      <c r="A88" s="241"/>
      <c r="B88" s="241"/>
      <c r="C88" s="299"/>
      <c r="D88" s="299"/>
      <c r="E88" s="299"/>
      <c r="F88" s="299"/>
      <c r="G88" s="299"/>
      <c r="H88" s="299"/>
      <c r="I88" s="299"/>
      <c r="J88" s="243"/>
      <c r="K88" s="243"/>
      <c r="L88" s="243"/>
      <c r="M88" s="243"/>
      <c r="N88" s="299"/>
      <c r="O88" s="243"/>
      <c r="P88" s="243"/>
      <c r="Q88" s="243"/>
      <c r="R88" s="243"/>
      <c r="S88" s="299"/>
      <c r="T88" s="243"/>
      <c r="U88" s="243"/>
      <c r="V88" s="243"/>
      <c r="W88" s="243"/>
      <c r="X88" s="299"/>
      <c r="Y88" s="243"/>
      <c r="Z88" s="243"/>
      <c r="AA88" s="243"/>
      <c r="AB88" s="243"/>
      <c r="AC88" s="299"/>
      <c r="AD88" s="243"/>
      <c r="AE88" s="243"/>
      <c r="AF88" s="243"/>
      <c r="AG88" s="243"/>
      <c r="AH88" s="299"/>
      <c r="AI88" s="243"/>
      <c r="AJ88" s="243"/>
      <c r="AK88" s="243"/>
      <c r="AL88" s="243"/>
      <c r="AM88" s="299"/>
      <c r="AN88" s="243"/>
      <c r="AO88" s="439"/>
      <c r="AP88" s="439"/>
      <c r="AQ88" s="243"/>
      <c r="AR88" s="299"/>
      <c r="AS88" s="243"/>
      <c r="AT88" s="439"/>
      <c r="AU88" s="439"/>
      <c r="AV88" s="243"/>
      <c r="AW88" s="299"/>
      <c r="AX88" s="243"/>
      <c r="AY88" s="439"/>
      <c r="AZ88" s="439"/>
      <c r="BA88" s="243"/>
      <c r="BB88" s="299"/>
      <c r="BC88" s="243"/>
      <c r="BD88" s="439"/>
      <c r="BE88" s="439"/>
      <c r="BF88" s="243"/>
      <c r="BG88" s="299"/>
      <c r="BH88" s="243"/>
      <c r="BI88" s="243"/>
      <c r="BJ88" s="243"/>
      <c r="BK88" s="243"/>
      <c r="BL88" s="585"/>
      <c r="BM88" s="538"/>
      <c r="BN88" s="439"/>
      <c r="BO88" s="439"/>
      <c r="BP88" s="243"/>
      <c r="BQ88" s="299"/>
      <c r="BS88" s="243"/>
      <c r="BU88" s="538"/>
      <c r="BV88" s="299"/>
      <c r="BW88" s="439"/>
      <c r="BX88" s="538"/>
      <c r="BY88" s="439"/>
      <c r="BZ88" s="538"/>
      <c r="CA88" s="299"/>
      <c r="CB88" s="439"/>
      <c r="CC88" s="243"/>
      <c r="CD88" s="439"/>
      <c r="CE88" s="538"/>
      <c r="CF88" s="299"/>
      <c r="CG88" s="243"/>
      <c r="CH88" s="243"/>
      <c r="CI88" s="243"/>
      <c r="CJ88" s="538"/>
      <c r="CK88" s="585"/>
      <c r="CL88" s="538"/>
      <c r="CM88" s="243"/>
      <c r="CN88" s="243"/>
      <c r="CO88" s="243"/>
      <c r="CP88" s="585"/>
      <c r="CQ88" s="243"/>
      <c r="CR88" s="538"/>
      <c r="CS88" s="538"/>
      <c r="CT88" s="538"/>
      <c r="CU88" s="585"/>
      <c r="CV88" s="538"/>
      <c r="CW88" s="538"/>
      <c r="CX88" s="538"/>
      <c r="CY88" s="538"/>
      <c r="CZ88" s="585"/>
      <c r="DA88" s="243"/>
      <c r="DB88" s="243"/>
      <c r="DC88" s="538"/>
      <c r="DD88" s="243"/>
      <c r="DE88" s="585"/>
      <c r="DF88" s="538"/>
      <c r="DG88" s="538"/>
      <c r="DH88" s="538"/>
      <c r="DI88" s="538"/>
      <c r="DJ88" s="585"/>
      <c r="DK88" s="538"/>
      <c r="DL88" s="538"/>
      <c r="DM88" s="538"/>
      <c r="DN88" s="538"/>
      <c r="DO88" s="585"/>
      <c r="DP88" s="538"/>
      <c r="DQ88" s="243"/>
      <c r="DR88" s="243"/>
      <c r="DS88" s="243"/>
      <c r="DT88" s="299"/>
      <c r="DU88" s="243"/>
      <c r="DV88" s="243"/>
      <c r="DW88" s="243"/>
      <c r="DX88" s="243"/>
      <c r="DY88" s="299"/>
      <c r="DZ88" s="299"/>
      <c r="EA88" s="299"/>
      <c r="EB88" s="299"/>
    </row>
    <row r="89" spans="1:132" s="298" customFormat="1" ht="12" hidden="1" customHeight="1" outlineLevel="1">
      <c r="A89" s="241"/>
      <c r="B89" s="74" t="s">
        <v>213</v>
      </c>
      <c r="C89" s="299"/>
      <c r="D89" s="299"/>
      <c r="E89" s="299"/>
      <c r="F89" s="299"/>
      <c r="G89" s="299"/>
      <c r="H89" s="299"/>
      <c r="I89" s="299"/>
      <c r="J89" s="243"/>
      <c r="K89" s="243"/>
      <c r="L89" s="243"/>
      <c r="M89" s="243"/>
      <c r="N89" s="299"/>
      <c r="O89" s="243"/>
      <c r="P89" s="243"/>
      <c r="Q89" s="243"/>
      <c r="R89" s="243"/>
      <c r="S89" s="299"/>
      <c r="T89" s="243"/>
      <c r="U89" s="243"/>
      <c r="V89" s="243"/>
      <c r="W89" s="243"/>
      <c r="X89" s="299"/>
      <c r="Y89" s="243"/>
      <c r="Z89" s="243"/>
      <c r="AA89" s="243"/>
      <c r="AB89" s="243"/>
      <c r="AC89" s="299"/>
      <c r="AD89" s="243"/>
      <c r="AE89" s="243"/>
      <c r="AF89" s="243"/>
      <c r="AG89" s="243"/>
      <c r="AH89" s="299"/>
      <c r="AI89" s="243"/>
      <c r="AJ89" s="243"/>
      <c r="AK89" s="243"/>
      <c r="AL89" s="243"/>
      <c r="AM89" s="299"/>
      <c r="AN89" s="243"/>
      <c r="AO89" s="439"/>
      <c r="AP89" s="439"/>
      <c r="AQ89" s="243"/>
      <c r="AR89" s="299"/>
      <c r="AS89" s="243"/>
      <c r="AT89" s="439"/>
      <c r="AU89" s="439"/>
      <c r="AV89" s="243"/>
      <c r="AW89" s="299"/>
      <c r="AX89" s="243"/>
      <c r="AY89" s="439"/>
      <c r="AZ89" s="439"/>
      <c r="BA89" s="243"/>
      <c r="BB89" s="299"/>
      <c r="BC89" s="243"/>
      <c r="BD89" s="439"/>
      <c r="BE89" s="439"/>
      <c r="BF89" s="243"/>
      <c r="BG89" s="299"/>
      <c r="BH89" s="243"/>
      <c r="BI89" s="243"/>
      <c r="BJ89" s="243"/>
      <c r="BK89" s="243"/>
      <c r="BL89" s="585"/>
      <c r="BM89" s="538"/>
      <c r="BN89" s="439"/>
      <c r="BO89" s="439"/>
      <c r="BP89" s="243"/>
      <c r="BQ89" s="299"/>
      <c r="BS89" s="243"/>
      <c r="BU89" s="538"/>
      <c r="BV89" s="299"/>
      <c r="BW89" s="439"/>
      <c r="BX89" s="538"/>
      <c r="BY89" s="439"/>
      <c r="BZ89" s="538"/>
      <c r="CA89" s="299"/>
      <c r="CB89" s="439"/>
      <c r="CC89" s="243"/>
      <c r="CD89" s="439"/>
      <c r="CE89" s="538"/>
      <c r="CF89" s="299"/>
      <c r="CG89" s="243"/>
      <c r="CH89" s="243"/>
      <c r="CI89" s="243"/>
      <c r="CJ89" s="538"/>
      <c r="CK89" s="585"/>
      <c r="CL89" s="538"/>
      <c r="CM89" s="243"/>
      <c r="CN89" s="243"/>
      <c r="CO89" s="243"/>
      <c r="CP89" s="585"/>
      <c r="CQ89" s="243"/>
      <c r="CR89" s="538"/>
      <c r="CS89" s="538"/>
      <c r="CT89" s="538"/>
      <c r="CU89" s="585"/>
      <c r="CV89" s="538"/>
      <c r="CW89" s="538"/>
      <c r="CX89" s="538"/>
      <c r="CY89" s="538"/>
      <c r="CZ89" s="585"/>
      <c r="DA89" s="243"/>
      <c r="DB89" s="243"/>
      <c r="DC89" s="538"/>
      <c r="DD89" s="243"/>
      <c r="DE89" s="585"/>
      <c r="DF89" s="538"/>
      <c r="DG89" s="538"/>
      <c r="DH89" s="538"/>
      <c r="DI89" s="538"/>
      <c r="DJ89" s="585"/>
      <c r="DK89" s="538"/>
      <c r="DL89" s="538"/>
      <c r="DM89" s="538"/>
      <c r="DN89" s="538"/>
      <c r="DO89" s="585"/>
      <c r="DP89" s="538"/>
      <c r="DQ89" s="243"/>
      <c r="DR89" s="243"/>
      <c r="DS89" s="243"/>
      <c r="DT89" s="299"/>
      <c r="DU89" s="243"/>
      <c r="DV89" s="243"/>
      <c r="DW89" s="243"/>
      <c r="DX89" s="243"/>
      <c r="DY89" s="299"/>
      <c r="DZ89" s="299"/>
      <c r="EA89" s="299"/>
      <c r="EB89" s="299"/>
    </row>
    <row r="90" spans="1:132" s="300" customFormat="1" ht="12" hidden="1" customHeight="1" outlineLevel="1">
      <c r="A90" s="241"/>
      <c r="B90" s="42" t="s">
        <v>210</v>
      </c>
      <c r="C90" s="43">
        <v>16</v>
      </c>
      <c r="D90" s="43">
        <v>8</v>
      </c>
      <c r="E90" s="43">
        <v>26</v>
      </c>
      <c r="F90" s="43"/>
      <c r="G90" s="43"/>
      <c r="H90" s="43"/>
      <c r="I90" s="43"/>
      <c r="J90" s="42"/>
      <c r="K90" s="42"/>
      <c r="L90" s="42"/>
      <c r="M90" s="42"/>
      <c r="N90" s="43"/>
      <c r="O90" s="42"/>
      <c r="P90" s="42"/>
      <c r="Q90" s="42"/>
      <c r="R90" s="42"/>
      <c r="S90" s="43"/>
      <c r="T90" s="42"/>
      <c r="U90" s="42"/>
      <c r="V90" s="42"/>
      <c r="W90" s="42"/>
      <c r="X90" s="43"/>
      <c r="Y90" s="42"/>
      <c r="Z90" s="42"/>
      <c r="AA90" s="42"/>
      <c r="AB90" s="42"/>
      <c r="AC90" s="43"/>
      <c r="AD90" s="42"/>
      <c r="AE90" s="42"/>
      <c r="AF90" s="42"/>
      <c r="AG90" s="42"/>
      <c r="AH90" s="43"/>
      <c r="AI90" s="42"/>
      <c r="AJ90" s="42"/>
      <c r="AK90" s="42"/>
      <c r="AL90" s="42"/>
      <c r="AM90" s="43"/>
      <c r="AN90" s="42"/>
      <c r="AO90" s="432"/>
      <c r="AP90" s="432"/>
      <c r="AQ90" s="42"/>
      <c r="AR90" s="43"/>
      <c r="AS90" s="42"/>
      <c r="AT90" s="432"/>
      <c r="AU90" s="432"/>
      <c r="AV90" s="42"/>
      <c r="AW90" s="43"/>
      <c r="AX90" s="42"/>
      <c r="AY90" s="432"/>
      <c r="AZ90" s="432"/>
      <c r="BA90" s="42"/>
      <c r="BB90" s="43"/>
      <c r="BC90" s="42"/>
      <c r="BD90" s="432"/>
      <c r="BE90" s="432"/>
      <c r="BF90" s="42"/>
      <c r="BG90" s="43"/>
      <c r="BH90" s="42"/>
      <c r="BI90" s="42"/>
      <c r="BJ90" s="42"/>
      <c r="BK90" s="42"/>
      <c r="BL90" s="43"/>
      <c r="BM90" s="42"/>
      <c r="BN90" s="432"/>
      <c r="BO90" s="432"/>
      <c r="BP90" s="42"/>
      <c r="BQ90" s="43"/>
      <c r="BR90" s="432"/>
      <c r="BS90" s="42"/>
      <c r="BT90" s="432"/>
      <c r="BU90" s="42"/>
      <c r="BV90" s="43"/>
      <c r="BW90" s="432"/>
      <c r="BX90" s="42"/>
      <c r="BY90" s="432"/>
      <c r="BZ90" s="42"/>
      <c r="CA90" s="43"/>
      <c r="CB90" s="432"/>
      <c r="CC90" s="42"/>
      <c r="CD90" s="432"/>
      <c r="CE90" s="42"/>
      <c r="CF90" s="43"/>
      <c r="CG90" s="42"/>
      <c r="CH90" s="42"/>
      <c r="CI90" s="42"/>
      <c r="CJ90" s="42"/>
      <c r="CK90" s="43"/>
      <c r="CL90" s="42"/>
      <c r="CM90" s="42"/>
      <c r="CN90" s="42"/>
      <c r="CO90" s="42"/>
      <c r="CP90" s="43"/>
      <c r="CQ90" s="42"/>
      <c r="CR90" s="42"/>
      <c r="CS90" s="42"/>
      <c r="CT90" s="42"/>
      <c r="CU90" s="43"/>
      <c r="CV90" s="42"/>
      <c r="CW90" s="42"/>
      <c r="CX90" s="42"/>
      <c r="CY90" s="42"/>
      <c r="CZ90" s="43"/>
      <c r="DA90" s="42"/>
      <c r="DB90" s="42"/>
      <c r="DC90" s="42"/>
      <c r="DD90" s="42"/>
      <c r="DE90" s="43"/>
      <c r="DF90" s="42"/>
      <c r="DG90" s="42"/>
      <c r="DH90" s="42"/>
      <c r="DI90" s="42"/>
      <c r="DJ90" s="43"/>
      <c r="DK90" s="42"/>
      <c r="DL90" s="42"/>
      <c r="DM90" s="42"/>
      <c r="DN90" s="42"/>
      <c r="DO90" s="43"/>
      <c r="DP90" s="42"/>
      <c r="DQ90" s="42"/>
      <c r="DR90" s="42"/>
      <c r="DS90" s="42"/>
      <c r="DT90" s="43"/>
      <c r="DU90" s="42"/>
      <c r="DV90" s="42"/>
      <c r="DW90" s="42"/>
      <c r="DX90" s="42"/>
      <c r="DY90" s="43"/>
      <c r="DZ90" s="43"/>
      <c r="EA90" s="43"/>
      <c r="EB90" s="43"/>
    </row>
    <row r="91" spans="1:132" s="300" customFormat="1" ht="12" hidden="1" customHeight="1" outlineLevel="1">
      <c r="A91" s="241"/>
      <c r="B91" s="241" t="s">
        <v>193</v>
      </c>
      <c r="C91" s="41">
        <v>28</v>
      </c>
      <c r="D91" s="41">
        <v>30</v>
      </c>
      <c r="E91" s="41">
        <v>30</v>
      </c>
      <c r="F91" s="41"/>
      <c r="G91" s="41"/>
      <c r="H91" s="41"/>
      <c r="I91" s="41"/>
      <c r="J91" s="40"/>
      <c r="K91" s="40"/>
      <c r="L91" s="40"/>
      <c r="M91" s="40"/>
      <c r="N91" s="41"/>
      <c r="O91" s="40"/>
      <c r="P91" s="40"/>
      <c r="Q91" s="40"/>
      <c r="R91" s="40"/>
      <c r="S91" s="41"/>
      <c r="T91" s="40"/>
      <c r="U91" s="40"/>
      <c r="V91" s="40"/>
      <c r="W91" s="40"/>
      <c r="X91" s="41"/>
      <c r="Y91" s="40"/>
      <c r="Z91" s="40"/>
      <c r="AA91" s="40"/>
      <c r="AB91" s="40"/>
      <c r="AC91" s="41"/>
      <c r="AD91" s="40"/>
      <c r="AE91" s="40"/>
      <c r="AF91" s="40"/>
      <c r="AG91" s="40"/>
      <c r="AH91" s="41"/>
      <c r="AI91" s="40"/>
      <c r="AJ91" s="40"/>
      <c r="AK91" s="40"/>
      <c r="AL91" s="39"/>
      <c r="AM91" s="41"/>
      <c r="AN91" s="40"/>
      <c r="AO91" s="468"/>
      <c r="AP91" s="468"/>
      <c r="AQ91" s="39"/>
      <c r="AR91" s="41"/>
      <c r="AS91" s="40"/>
      <c r="AT91" s="468"/>
      <c r="AU91" s="468"/>
      <c r="AV91" s="39"/>
      <c r="AW91" s="41"/>
      <c r="AX91" s="40"/>
      <c r="AY91" s="468"/>
      <c r="AZ91" s="468"/>
      <c r="BA91" s="39"/>
      <c r="BB91" s="38"/>
      <c r="BC91" s="40"/>
      <c r="BD91" s="468"/>
      <c r="BE91" s="468"/>
      <c r="BF91" s="39"/>
      <c r="BG91" s="38"/>
      <c r="BH91" s="40"/>
      <c r="BI91" s="40"/>
      <c r="BJ91" s="40"/>
      <c r="BK91" s="39"/>
      <c r="BL91" s="41"/>
      <c r="BM91" s="40"/>
      <c r="BN91" s="468"/>
      <c r="BO91" s="468"/>
      <c r="BP91" s="39"/>
      <c r="BQ91" s="38"/>
      <c r="BR91" s="433"/>
      <c r="BS91" s="39"/>
      <c r="BT91" s="433"/>
      <c r="BU91" s="40"/>
      <c r="BV91" s="38"/>
      <c r="BW91" s="468"/>
      <c r="BX91" s="40"/>
      <c r="BY91" s="468"/>
      <c r="BZ91" s="40"/>
      <c r="CA91" s="38"/>
      <c r="CB91" s="468"/>
      <c r="CC91" s="39"/>
      <c r="CD91" s="468"/>
      <c r="CE91" s="40"/>
      <c r="CF91" s="38"/>
      <c r="CG91" s="39"/>
      <c r="CH91" s="39"/>
      <c r="CI91" s="39"/>
      <c r="CJ91" s="40"/>
      <c r="CK91" s="41"/>
      <c r="CL91" s="40"/>
      <c r="CM91" s="39"/>
      <c r="CN91" s="39"/>
      <c r="CO91" s="39"/>
      <c r="CP91" s="41"/>
      <c r="CQ91" s="39"/>
      <c r="CR91" s="40"/>
      <c r="CS91" s="40"/>
      <c r="CT91" s="40"/>
      <c r="CU91" s="41"/>
      <c r="CV91" s="40"/>
      <c r="CW91" s="40"/>
      <c r="CX91" s="40"/>
      <c r="CY91" s="40"/>
      <c r="CZ91" s="41"/>
      <c r="DA91" s="39"/>
      <c r="DB91" s="39"/>
      <c r="DC91" s="40"/>
      <c r="DD91" s="39"/>
      <c r="DE91" s="41"/>
      <c r="DF91" s="40"/>
      <c r="DG91" s="40"/>
      <c r="DH91" s="40"/>
      <c r="DI91" s="40"/>
      <c r="DJ91" s="41"/>
      <c r="DK91" s="40"/>
      <c r="DL91" s="40"/>
      <c r="DM91" s="40"/>
      <c r="DN91" s="40"/>
      <c r="DO91" s="41"/>
      <c r="DP91" s="40"/>
      <c r="DQ91" s="39"/>
      <c r="DR91" s="39"/>
      <c r="DS91" s="39"/>
      <c r="DT91" s="38"/>
      <c r="DU91" s="39"/>
      <c r="DV91" s="39"/>
      <c r="DW91" s="39"/>
      <c r="DX91" s="39"/>
      <c r="DY91" s="38"/>
      <c r="DZ91" s="38"/>
      <c r="EA91" s="38"/>
      <c r="EB91" s="38"/>
    </row>
    <row r="92" spans="1:132" s="300" customFormat="1" ht="12" hidden="1" customHeight="1" outlineLevel="1">
      <c r="A92" s="241"/>
      <c r="B92" s="241" t="s">
        <v>194</v>
      </c>
      <c r="C92" s="69">
        <f>C91*C90</f>
        <v>448</v>
      </c>
      <c r="D92" s="69">
        <f>D91*D90</f>
        <v>240</v>
      </c>
      <c r="E92" s="69">
        <f>E91*E90</f>
        <v>780</v>
      </c>
      <c r="F92" s="69"/>
      <c r="G92" s="69"/>
      <c r="H92" s="69"/>
      <c r="I92" s="69"/>
      <c r="J92" s="70"/>
      <c r="K92" s="70"/>
      <c r="L92" s="70"/>
      <c r="M92" s="70"/>
      <c r="N92" s="69"/>
      <c r="O92" s="70"/>
      <c r="P92" s="70"/>
      <c r="Q92" s="70"/>
      <c r="R92" s="70"/>
      <c r="S92" s="69"/>
      <c r="T92" s="70"/>
      <c r="U92" s="70"/>
      <c r="V92" s="70"/>
      <c r="W92" s="70"/>
      <c r="X92" s="69"/>
      <c r="Y92" s="70"/>
      <c r="Z92" s="70"/>
      <c r="AA92" s="70"/>
      <c r="AB92" s="70"/>
      <c r="AC92" s="69"/>
      <c r="AD92" s="70"/>
      <c r="AE92" s="70"/>
      <c r="AF92" s="70"/>
      <c r="AG92" s="70"/>
      <c r="AH92" s="69"/>
      <c r="AI92" s="70"/>
      <c r="AJ92" s="70"/>
      <c r="AK92" s="70"/>
      <c r="AL92" s="70"/>
      <c r="AM92" s="69"/>
      <c r="AN92" s="70"/>
      <c r="AO92" s="271"/>
      <c r="AP92" s="271"/>
      <c r="AQ92" s="70"/>
      <c r="AR92" s="69"/>
      <c r="AS92" s="70"/>
      <c r="AT92" s="271"/>
      <c r="AU92" s="271"/>
      <c r="AV92" s="70"/>
      <c r="AW92" s="69"/>
      <c r="AX92" s="70"/>
      <c r="AY92" s="271"/>
      <c r="AZ92" s="271"/>
      <c r="BA92" s="70"/>
      <c r="BB92" s="69"/>
      <c r="BC92" s="70"/>
      <c r="BD92" s="271"/>
      <c r="BE92" s="271"/>
      <c r="BF92" s="70"/>
      <c r="BG92" s="69"/>
      <c r="BH92" s="70"/>
      <c r="BI92" s="70"/>
      <c r="BJ92" s="70"/>
      <c r="BK92" s="70"/>
      <c r="BL92" s="69"/>
      <c r="BM92" s="70"/>
      <c r="BN92" s="271"/>
      <c r="BO92" s="271"/>
      <c r="BP92" s="70"/>
      <c r="BQ92" s="69"/>
      <c r="BR92" s="271"/>
      <c r="BS92" s="70"/>
      <c r="BT92" s="271"/>
      <c r="BU92" s="70"/>
      <c r="BV92" s="69"/>
      <c r="BW92" s="271"/>
      <c r="BX92" s="70"/>
      <c r="BY92" s="271"/>
      <c r="BZ92" s="70"/>
      <c r="CA92" s="69"/>
      <c r="CB92" s="271"/>
      <c r="CC92" s="70"/>
      <c r="CD92" s="271"/>
      <c r="CE92" s="70"/>
      <c r="CF92" s="69"/>
      <c r="CG92" s="70"/>
      <c r="CH92" s="70"/>
      <c r="CI92" s="70"/>
      <c r="CJ92" s="70"/>
      <c r="CK92" s="69"/>
      <c r="CL92" s="70"/>
      <c r="CM92" s="70"/>
      <c r="CN92" s="70"/>
      <c r="CO92" s="70"/>
      <c r="CP92" s="69"/>
      <c r="CQ92" s="70"/>
      <c r="CR92" s="70"/>
      <c r="CS92" s="70"/>
      <c r="CT92" s="70"/>
      <c r="CU92" s="69"/>
      <c r="CV92" s="70"/>
      <c r="CW92" s="70"/>
      <c r="CX92" s="70"/>
      <c r="CY92" s="70"/>
      <c r="CZ92" s="69"/>
      <c r="DA92" s="70"/>
      <c r="DB92" s="70"/>
      <c r="DC92" s="70"/>
      <c r="DD92" s="70"/>
      <c r="DE92" s="69"/>
      <c r="DF92" s="70"/>
      <c r="DG92" s="70"/>
      <c r="DH92" s="70"/>
      <c r="DI92" s="70"/>
      <c r="DJ92" s="69"/>
      <c r="DK92" s="70"/>
      <c r="DL92" s="70"/>
      <c r="DM92" s="70"/>
      <c r="DN92" s="70"/>
      <c r="DO92" s="69"/>
      <c r="DP92" s="70"/>
      <c r="DQ92" s="70"/>
      <c r="DR92" s="70"/>
      <c r="DS92" s="70"/>
      <c r="DT92" s="69"/>
      <c r="DU92" s="70"/>
      <c r="DV92" s="70"/>
      <c r="DW92" s="70"/>
      <c r="DX92" s="70"/>
      <c r="DY92" s="69"/>
      <c r="DZ92" s="69"/>
      <c r="EA92" s="69"/>
      <c r="EB92" s="69"/>
    </row>
    <row r="93" spans="1:132" s="300" customFormat="1" ht="12" hidden="1" customHeight="1" outlineLevel="1">
      <c r="A93" s="241"/>
      <c r="B93" s="241" t="s">
        <v>192</v>
      </c>
      <c r="C93" s="285">
        <f>C92*C94</f>
        <v>0</v>
      </c>
      <c r="D93" s="285">
        <f>D92*D94</f>
        <v>0</v>
      </c>
      <c r="E93" s="285">
        <f>E92*E94</f>
        <v>0</v>
      </c>
      <c r="F93" s="285"/>
      <c r="G93" s="285"/>
      <c r="H93" s="285"/>
      <c r="I93" s="285"/>
      <c r="J93" s="241"/>
      <c r="K93" s="241"/>
      <c r="L93" s="241"/>
      <c r="M93" s="241"/>
      <c r="N93" s="285"/>
      <c r="O93" s="241"/>
      <c r="P93" s="241"/>
      <c r="Q93" s="241"/>
      <c r="R93" s="241"/>
      <c r="S93" s="285"/>
      <c r="T93" s="241"/>
      <c r="U93" s="241"/>
      <c r="V93" s="241"/>
      <c r="W93" s="241"/>
      <c r="X93" s="285"/>
      <c r="Y93" s="241"/>
      <c r="Z93" s="241"/>
      <c r="AA93" s="241"/>
      <c r="AB93" s="241"/>
      <c r="AC93" s="285"/>
      <c r="AD93" s="241"/>
      <c r="AE93" s="241"/>
      <c r="AF93" s="241"/>
      <c r="AG93" s="241"/>
      <c r="AH93" s="285"/>
      <c r="AI93" s="241"/>
      <c r="AJ93" s="241"/>
      <c r="AK93" s="241"/>
      <c r="AL93" s="241"/>
      <c r="AM93" s="285"/>
      <c r="AN93" s="241"/>
      <c r="AO93" s="437"/>
      <c r="AP93" s="437"/>
      <c r="AQ93" s="241"/>
      <c r="AR93" s="285"/>
      <c r="AS93" s="241"/>
      <c r="AT93" s="437"/>
      <c r="AU93" s="437"/>
      <c r="AV93" s="241"/>
      <c r="AW93" s="285"/>
      <c r="AX93" s="241"/>
      <c r="AY93" s="437"/>
      <c r="AZ93" s="437"/>
      <c r="BA93" s="241"/>
      <c r="BB93" s="285"/>
      <c r="BC93" s="241"/>
      <c r="BD93" s="437"/>
      <c r="BE93" s="437"/>
      <c r="BF93" s="241"/>
      <c r="BG93" s="285"/>
      <c r="BH93" s="241"/>
      <c r="BI93" s="241"/>
      <c r="BJ93" s="241"/>
      <c r="BK93" s="241"/>
      <c r="BL93" s="120"/>
      <c r="BM93" s="121"/>
      <c r="BN93" s="437"/>
      <c r="BO93" s="437"/>
      <c r="BP93" s="241"/>
      <c r="BQ93" s="285"/>
      <c r="BS93" s="241"/>
      <c r="BU93" s="121"/>
      <c r="BV93" s="285"/>
      <c r="BW93" s="437"/>
      <c r="BX93" s="121"/>
      <c r="BY93" s="437"/>
      <c r="BZ93" s="121"/>
      <c r="CA93" s="285"/>
      <c r="CB93" s="437"/>
      <c r="CC93" s="241"/>
      <c r="CD93" s="437"/>
      <c r="CE93" s="121"/>
      <c r="CF93" s="285"/>
      <c r="CG93" s="241"/>
      <c r="CH93" s="241"/>
      <c r="CI93" s="241"/>
      <c r="CJ93" s="121"/>
      <c r="CK93" s="120"/>
      <c r="CL93" s="121"/>
      <c r="CM93" s="241"/>
      <c r="CN93" s="241"/>
      <c r="CO93" s="241"/>
      <c r="CP93" s="120"/>
      <c r="CQ93" s="241"/>
      <c r="CR93" s="121"/>
      <c r="CS93" s="121"/>
      <c r="CT93" s="121"/>
      <c r="CU93" s="120"/>
      <c r="CV93" s="121"/>
      <c r="CW93" s="121"/>
      <c r="CX93" s="121"/>
      <c r="CY93" s="121"/>
      <c r="CZ93" s="120"/>
      <c r="DA93" s="241"/>
      <c r="DB93" s="241"/>
      <c r="DC93" s="121"/>
      <c r="DD93" s="241"/>
      <c r="DE93" s="120"/>
      <c r="DF93" s="121"/>
      <c r="DG93" s="121"/>
      <c r="DH93" s="121"/>
      <c r="DI93" s="121"/>
      <c r="DJ93" s="120"/>
      <c r="DK93" s="121"/>
      <c r="DL93" s="121"/>
      <c r="DM93" s="121"/>
      <c r="DN93" s="121"/>
      <c r="DO93" s="120"/>
      <c r="DP93" s="121"/>
      <c r="DQ93" s="241"/>
      <c r="DR93" s="241"/>
      <c r="DS93" s="241"/>
      <c r="DT93" s="285"/>
      <c r="DU93" s="241"/>
      <c r="DV93" s="241"/>
      <c r="DW93" s="241"/>
      <c r="DX93" s="241"/>
      <c r="DY93" s="285"/>
      <c r="DZ93" s="285"/>
      <c r="EA93" s="285"/>
      <c r="EB93" s="285"/>
    </row>
    <row r="94" spans="1:132" s="298" customFormat="1" ht="12" hidden="1" customHeight="1" outlineLevel="1">
      <c r="A94" s="241"/>
      <c r="B94" s="241" t="s">
        <v>202</v>
      </c>
      <c r="C94" s="301"/>
      <c r="D94" s="301"/>
      <c r="E94" s="301"/>
      <c r="F94" s="301"/>
      <c r="G94" s="301"/>
      <c r="H94" s="301"/>
      <c r="I94" s="301"/>
      <c r="J94" s="242"/>
      <c r="K94" s="242"/>
      <c r="L94" s="242"/>
      <c r="M94" s="242"/>
      <c r="N94" s="301"/>
      <c r="O94" s="242"/>
      <c r="P94" s="242"/>
      <c r="Q94" s="242"/>
      <c r="R94" s="242"/>
      <c r="S94" s="301"/>
      <c r="T94" s="242"/>
      <c r="U94" s="242"/>
      <c r="V94" s="242"/>
      <c r="W94" s="242"/>
      <c r="X94" s="301"/>
      <c r="Y94" s="242"/>
      <c r="Z94" s="242"/>
      <c r="AA94" s="242"/>
      <c r="AB94" s="242"/>
      <c r="AC94" s="301"/>
      <c r="AD94" s="242"/>
      <c r="AE94" s="242"/>
      <c r="AF94" s="242"/>
      <c r="AG94" s="242"/>
      <c r="AH94" s="301"/>
      <c r="AI94" s="242"/>
      <c r="AJ94" s="242"/>
      <c r="AK94" s="242"/>
      <c r="AL94" s="242"/>
      <c r="AM94" s="301"/>
      <c r="AN94" s="242"/>
      <c r="AO94" s="469"/>
      <c r="AP94" s="469"/>
      <c r="AQ94" s="242"/>
      <c r="AR94" s="301"/>
      <c r="AS94" s="242"/>
      <c r="AT94" s="469"/>
      <c r="AU94" s="469"/>
      <c r="AV94" s="242"/>
      <c r="AW94" s="301"/>
      <c r="AX94" s="242"/>
      <c r="AY94" s="469"/>
      <c r="AZ94" s="469"/>
      <c r="BA94" s="242"/>
      <c r="BB94" s="301"/>
      <c r="BC94" s="242"/>
      <c r="BD94" s="469"/>
      <c r="BE94" s="469"/>
      <c r="BF94" s="242"/>
      <c r="BG94" s="301"/>
      <c r="BH94" s="242"/>
      <c r="BI94" s="242"/>
      <c r="BJ94" s="242"/>
      <c r="BK94" s="242"/>
      <c r="BL94" s="144"/>
      <c r="BM94" s="145"/>
      <c r="BN94" s="469"/>
      <c r="BO94" s="469"/>
      <c r="BP94" s="242"/>
      <c r="BQ94" s="301"/>
      <c r="BR94" s="302"/>
      <c r="BS94" s="242"/>
      <c r="BT94" s="302"/>
      <c r="BU94" s="145"/>
      <c r="BV94" s="301"/>
      <c r="BW94" s="469"/>
      <c r="BX94" s="145"/>
      <c r="BY94" s="469"/>
      <c r="BZ94" s="145"/>
      <c r="CA94" s="301"/>
      <c r="CB94" s="469"/>
      <c r="CC94" s="242"/>
      <c r="CD94" s="469"/>
      <c r="CE94" s="145"/>
      <c r="CF94" s="301"/>
      <c r="CG94" s="242"/>
      <c r="CH94" s="242"/>
      <c r="CI94" s="242"/>
      <c r="CJ94" s="145"/>
      <c r="CK94" s="144"/>
      <c r="CL94" s="145"/>
      <c r="CM94" s="242"/>
      <c r="CN94" s="242"/>
      <c r="CO94" s="242"/>
      <c r="CP94" s="144"/>
      <c r="CQ94" s="242"/>
      <c r="CR94" s="145"/>
      <c r="CS94" s="145"/>
      <c r="CT94" s="145"/>
      <c r="CU94" s="144"/>
      <c r="CV94" s="145"/>
      <c r="CW94" s="145"/>
      <c r="CX94" s="145"/>
      <c r="CY94" s="145"/>
      <c r="CZ94" s="144"/>
      <c r="DA94" s="242"/>
      <c r="DB94" s="242"/>
      <c r="DC94" s="145"/>
      <c r="DD94" s="242"/>
      <c r="DE94" s="144"/>
      <c r="DF94" s="145"/>
      <c r="DG94" s="145"/>
      <c r="DH94" s="145"/>
      <c r="DI94" s="145"/>
      <c r="DJ94" s="144"/>
      <c r="DK94" s="145"/>
      <c r="DL94" s="145"/>
      <c r="DM94" s="145"/>
      <c r="DN94" s="145"/>
      <c r="DO94" s="144"/>
      <c r="DP94" s="145"/>
      <c r="DQ94" s="242"/>
      <c r="DR94" s="242"/>
      <c r="DS94" s="242"/>
      <c r="DT94" s="301"/>
      <c r="DU94" s="242"/>
      <c r="DV94" s="242"/>
      <c r="DW94" s="242"/>
      <c r="DX94" s="242"/>
      <c r="DY94" s="301"/>
      <c r="DZ94" s="301"/>
      <c r="EA94" s="301"/>
      <c r="EB94" s="301"/>
    </row>
    <row r="95" spans="1:132" s="298" customFormat="1" ht="12" hidden="1" customHeight="1" outlineLevel="1">
      <c r="A95" s="241"/>
      <c r="B95" s="241"/>
      <c r="C95" s="299"/>
      <c r="D95" s="299"/>
      <c r="E95" s="299"/>
      <c r="F95" s="299"/>
      <c r="G95" s="299"/>
      <c r="H95" s="299"/>
      <c r="I95" s="299"/>
      <c r="J95" s="243"/>
      <c r="K95" s="243"/>
      <c r="L95" s="243"/>
      <c r="M95" s="243"/>
      <c r="N95" s="299"/>
      <c r="O95" s="243"/>
      <c r="P95" s="243"/>
      <c r="Q95" s="243"/>
      <c r="R95" s="243"/>
      <c r="S95" s="299"/>
      <c r="T95" s="243"/>
      <c r="U95" s="243"/>
      <c r="V95" s="243"/>
      <c r="W95" s="243"/>
      <c r="X95" s="299"/>
      <c r="Y95" s="243"/>
      <c r="Z95" s="243"/>
      <c r="AA95" s="243"/>
      <c r="AB95" s="243"/>
      <c r="AC95" s="299"/>
      <c r="AD95" s="243"/>
      <c r="AE95" s="243"/>
      <c r="AF95" s="243"/>
      <c r="AG95" s="243"/>
      <c r="AH95" s="299"/>
      <c r="AI95" s="243"/>
      <c r="AJ95" s="243"/>
      <c r="AK95" s="243"/>
      <c r="AL95" s="243"/>
      <c r="AM95" s="299"/>
      <c r="AN95" s="243"/>
      <c r="AO95" s="439"/>
      <c r="AP95" s="439"/>
      <c r="AQ95" s="243"/>
      <c r="AR95" s="299"/>
      <c r="AS95" s="243"/>
      <c r="AT95" s="439"/>
      <c r="AU95" s="439"/>
      <c r="AV95" s="243"/>
      <c r="AW95" s="299"/>
      <c r="AX95" s="243"/>
      <c r="AY95" s="439"/>
      <c r="AZ95" s="439"/>
      <c r="BA95" s="243"/>
      <c r="BB95" s="299"/>
      <c r="BC95" s="243"/>
      <c r="BD95" s="439"/>
      <c r="BE95" s="439"/>
      <c r="BF95" s="243"/>
      <c r="BG95" s="299"/>
      <c r="BH95" s="243"/>
      <c r="BI95" s="243"/>
      <c r="BJ95" s="243"/>
      <c r="BK95" s="243"/>
      <c r="BL95" s="585"/>
      <c r="BM95" s="538"/>
      <c r="BN95" s="439"/>
      <c r="BO95" s="439"/>
      <c r="BP95" s="243"/>
      <c r="BQ95" s="299"/>
      <c r="BS95" s="243"/>
      <c r="BU95" s="538"/>
      <c r="BV95" s="299"/>
      <c r="BW95" s="439"/>
      <c r="BX95" s="538"/>
      <c r="BY95" s="439"/>
      <c r="BZ95" s="538"/>
      <c r="CA95" s="299"/>
      <c r="CB95" s="439"/>
      <c r="CC95" s="243"/>
      <c r="CD95" s="439"/>
      <c r="CE95" s="538"/>
      <c r="CF95" s="299"/>
      <c r="CG95" s="243"/>
      <c r="CH95" s="243"/>
      <c r="CI95" s="243"/>
      <c r="CJ95" s="538"/>
      <c r="CK95" s="585"/>
      <c r="CL95" s="538"/>
      <c r="CM95" s="243"/>
      <c r="CN95" s="243"/>
      <c r="CO95" s="243"/>
      <c r="CP95" s="585"/>
      <c r="CQ95" s="243"/>
      <c r="CR95" s="538"/>
      <c r="CS95" s="538"/>
      <c r="CT95" s="538"/>
      <c r="CU95" s="585"/>
      <c r="CV95" s="538"/>
      <c r="CW95" s="538"/>
      <c r="CX95" s="538"/>
      <c r="CY95" s="538"/>
      <c r="CZ95" s="585"/>
      <c r="DA95" s="243"/>
      <c r="DB95" s="243"/>
      <c r="DC95" s="538"/>
      <c r="DD95" s="243"/>
      <c r="DE95" s="585"/>
      <c r="DF95" s="538"/>
      <c r="DG95" s="538"/>
      <c r="DH95" s="538"/>
      <c r="DI95" s="538"/>
      <c r="DJ95" s="585"/>
      <c r="DK95" s="538"/>
      <c r="DL95" s="538"/>
      <c r="DM95" s="538"/>
      <c r="DN95" s="538"/>
      <c r="DO95" s="585"/>
      <c r="DP95" s="538"/>
      <c r="DQ95" s="243"/>
      <c r="DR95" s="243"/>
      <c r="DS95" s="243"/>
      <c r="DT95" s="299"/>
      <c r="DU95" s="243"/>
      <c r="DV95" s="243"/>
      <c r="DW95" s="243"/>
      <c r="DX95" s="243"/>
      <c r="DY95" s="299"/>
      <c r="DZ95" s="299"/>
      <c r="EA95" s="299"/>
      <c r="EB95" s="299"/>
    </row>
    <row r="96" spans="1:132" s="300" customFormat="1" ht="12" hidden="1" customHeight="1" outlineLevel="1">
      <c r="A96" s="241"/>
      <c r="B96" s="42" t="s">
        <v>211</v>
      </c>
      <c r="C96" s="43">
        <v>26</v>
      </c>
      <c r="D96" s="43">
        <v>34</v>
      </c>
      <c r="E96" s="43">
        <v>13</v>
      </c>
      <c r="F96" s="43">
        <v>3</v>
      </c>
      <c r="G96" s="43"/>
      <c r="H96" s="43"/>
      <c r="I96" s="43"/>
      <c r="J96" s="42"/>
      <c r="K96" s="42"/>
      <c r="L96" s="42"/>
      <c r="M96" s="42"/>
      <c r="N96" s="43"/>
      <c r="O96" s="42"/>
      <c r="P96" s="42"/>
      <c r="Q96" s="42"/>
      <c r="R96" s="42"/>
      <c r="S96" s="43"/>
      <c r="T96" s="42"/>
      <c r="U96" s="42"/>
      <c r="V96" s="42"/>
      <c r="W96" s="42"/>
      <c r="X96" s="43"/>
      <c r="Y96" s="42"/>
      <c r="Z96" s="42"/>
      <c r="AA96" s="42"/>
      <c r="AB96" s="42"/>
      <c r="AC96" s="43"/>
      <c r="AD96" s="42"/>
      <c r="AE96" s="42"/>
      <c r="AF96" s="42"/>
      <c r="AG96" s="42"/>
      <c r="AH96" s="43"/>
      <c r="AI96" s="42"/>
      <c r="AJ96" s="42"/>
      <c r="AK96" s="42"/>
      <c r="AL96" s="42"/>
      <c r="AM96" s="43"/>
      <c r="AN96" s="42"/>
      <c r="AO96" s="432"/>
      <c r="AP96" s="432"/>
      <c r="AQ96" s="42"/>
      <c r="AR96" s="43"/>
      <c r="AS96" s="42"/>
      <c r="AT96" s="432"/>
      <c r="AU96" s="432"/>
      <c r="AV96" s="42"/>
      <c r="AW96" s="43"/>
      <c r="AX96" s="42"/>
      <c r="AY96" s="432"/>
      <c r="AZ96" s="432"/>
      <c r="BA96" s="42"/>
      <c r="BB96" s="43"/>
      <c r="BC96" s="42"/>
      <c r="BD96" s="432"/>
      <c r="BE96" s="432"/>
      <c r="BF96" s="42"/>
      <c r="BG96" s="43"/>
      <c r="BH96" s="42"/>
      <c r="BI96" s="42"/>
      <c r="BJ96" s="42"/>
      <c r="BK96" s="42"/>
      <c r="BL96" s="43"/>
      <c r="BM96" s="42"/>
      <c r="BN96" s="432"/>
      <c r="BO96" s="432"/>
      <c r="BP96" s="42"/>
      <c r="BQ96" s="43"/>
      <c r="BR96" s="432"/>
      <c r="BS96" s="42"/>
      <c r="BT96" s="432"/>
      <c r="BU96" s="42"/>
      <c r="BV96" s="43"/>
      <c r="BW96" s="432"/>
      <c r="BX96" s="42"/>
      <c r="BY96" s="432"/>
      <c r="BZ96" s="42"/>
      <c r="CA96" s="43"/>
      <c r="CB96" s="432"/>
      <c r="CC96" s="42"/>
      <c r="CD96" s="432"/>
      <c r="CE96" s="42"/>
      <c r="CF96" s="43"/>
      <c r="CG96" s="42"/>
      <c r="CH96" s="42"/>
      <c r="CI96" s="42"/>
      <c r="CJ96" s="42"/>
      <c r="CK96" s="43"/>
      <c r="CL96" s="42"/>
      <c r="CM96" s="42"/>
      <c r="CN96" s="42"/>
      <c r="CO96" s="42"/>
      <c r="CP96" s="43"/>
      <c r="CQ96" s="42"/>
      <c r="CR96" s="42"/>
      <c r="CS96" s="42"/>
      <c r="CT96" s="42"/>
      <c r="CU96" s="43"/>
      <c r="CV96" s="42"/>
      <c r="CW96" s="42"/>
      <c r="CX96" s="42"/>
      <c r="CY96" s="42"/>
      <c r="CZ96" s="43"/>
      <c r="DA96" s="42"/>
      <c r="DB96" s="42"/>
      <c r="DC96" s="42"/>
      <c r="DD96" s="42"/>
      <c r="DE96" s="43"/>
      <c r="DF96" s="42"/>
      <c r="DG96" s="42"/>
      <c r="DH96" s="42"/>
      <c r="DI96" s="42"/>
      <c r="DJ96" s="43"/>
      <c r="DK96" s="42"/>
      <c r="DL96" s="42"/>
      <c r="DM96" s="42"/>
      <c r="DN96" s="42"/>
      <c r="DO96" s="43"/>
      <c r="DP96" s="42"/>
      <c r="DQ96" s="42"/>
      <c r="DR96" s="42"/>
      <c r="DS96" s="42"/>
      <c r="DT96" s="43"/>
      <c r="DU96" s="42"/>
      <c r="DV96" s="42"/>
      <c r="DW96" s="42"/>
      <c r="DX96" s="42"/>
      <c r="DY96" s="43"/>
      <c r="DZ96" s="43"/>
      <c r="EA96" s="43"/>
      <c r="EB96" s="43"/>
    </row>
    <row r="97" spans="1:132" s="300" customFormat="1" ht="12" hidden="1" customHeight="1" outlineLevel="1">
      <c r="A97" s="241"/>
      <c r="B97" s="241" t="s">
        <v>193</v>
      </c>
      <c r="C97" s="41">
        <v>36</v>
      </c>
      <c r="D97" s="41">
        <v>35</v>
      </c>
      <c r="E97" s="41">
        <v>40</v>
      </c>
      <c r="F97" s="41">
        <v>40</v>
      </c>
      <c r="G97" s="41"/>
      <c r="H97" s="41"/>
      <c r="I97" s="41"/>
      <c r="J97" s="40"/>
      <c r="K97" s="40"/>
      <c r="L97" s="40"/>
      <c r="M97" s="40"/>
      <c r="N97" s="41"/>
      <c r="O97" s="40"/>
      <c r="P97" s="40"/>
      <c r="Q97" s="40"/>
      <c r="R97" s="40"/>
      <c r="S97" s="41"/>
      <c r="T97" s="40"/>
      <c r="U97" s="40"/>
      <c r="V97" s="40"/>
      <c r="W97" s="40"/>
      <c r="X97" s="41"/>
      <c r="Y97" s="40"/>
      <c r="Z97" s="40"/>
      <c r="AA97" s="40"/>
      <c r="AB97" s="40"/>
      <c r="AC97" s="41"/>
      <c r="AD97" s="40"/>
      <c r="AE97" s="40"/>
      <c r="AF97" s="40"/>
      <c r="AG97" s="40"/>
      <c r="AH97" s="41"/>
      <c r="AI97" s="40"/>
      <c r="AJ97" s="40"/>
      <c r="AK97" s="40"/>
      <c r="AL97" s="39"/>
      <c r="AM97" s="41"/>
      <c r="AN97" s="40"/>
      <c r="AO97" s="468"/>
      <c r="AP97" s="468"/>
      <c r="AQ97" s="39"/>
      <c r="AR97" s="41"/>
      <c r="AS97" s="40"/>
      <c r="AT97" s="468"/>
      <c r="AU97" s="468"/>
      <c r="AV97" s="39"/>
      <c r="AW97" s="41"/>
      <c r="AX97" s="40"/>
      <c r="AY97" s="468"/>
      <c r="AZ97" s="468"/>
      <c r="BA97" s="39"/>
      <c r="BB97" s="38"/>
      <c r="BC97" s="40"/>
      <c r="BD97" s="468"/>
      <c r="BE97" s="468"/>
      <c r="BF97" s="39"/>
      <c r="BG97" s="38"/>
      <c r="BH97" s="40"/>
      <c r="BI97" s="40"/>
      <c r="BJ97" s="40"/>
      <c r="BK97" s="39"/>
      <c r="BL97" s="41"/>
      <c r="BM97" s="40"/>
      <c r="BN97" s="468"/>
      <c r="BO97" s="468"/>
      <c r="BP97" s="39"/>
      <c r="BQ97" s="38"/>
      <c r="BR97" s="433"/>
      <c r="BS97" s="39"/>
      <c r="BT97" s="433"/>
      <c r="BU97" s="40"/>
      <c r="BV97" s="38"/>
      <c r="BW97" s="468"/>
      <c r="BX97" s="40"/>
      <c r="BY97" s="468"/>
      <c r="BZ97" s="40"/>
      <c r="CA97" s="38"/>
      <c r="CB97" s="468"/>
      <c r="CC97" s="39"/>
      <c r="CD97" s="468"/>
      <c r="CE97" s="40"/>
      <c r="CF97" s="38"/>
      <c r="CG97" s="39"/>
      <c r="CH97" s="39"/>
      <c r="CI97" s="39"/>
      <c r="CJ97" s="40"/>
      <c r="CK97" s="41"/>
      <c r="CL97" s="40"/>
      <c r="CM97" s="39"/>
      <c r="CN97" s="39"/>
      <c r="CO97" s="39"/>
      <c r="CP97" s="41"/>
      <c r="CQ97" s="39"/>
      <c r="CR97" s="40"/>
      <c r="CS97" s="40"/>
      <c r="CT97" s="40"/>
      <c r="CU97" s="41"/>
      <c r="CV97" s="40"/>
      <c r="CW97" s="40"/>
      <c r="CX97" s="40"/>
      <c r="CY97" s="40"/>
      <c r="CZ97" s="41"/>
      <c r="DA97" s="39"/>
      <c r="DB97" s="39"/>
      <c r="DC97" s="40"/>
      <c r="DD97" s="39"/>
      <c r="DE97" s="41"/>
      <c r="DF97" s="40"/>
      <c r="DG97" s="40"/>
      <c r="DH97" s="40"/>
      <c r="DI97" s="40"/>
      <c r="DJ97" s="41"/>
      <c r="DK97" s="40"/>
      <c r="DL97" s="40"/>
      <c r="DM97" s="40"/>
      <c r="DN97" s="40"/>
      <c r="DO97" s="41"/>
      <c r="DP97" s="40"/>
      <c r="DQ97" s="39"/>
      <c r="DR97" s="39"/>
      <c r="DS97" s="39"/>
      <c r="DT97" s="38"/>
      <c r="DU97" s="39"/>
      <c r="DV97" s="39"/>
      <c r="DW97" s="39"/>
      <c r="DX97" s="39"/>
      <c r="DY97" s="38"/>
      <c r="DZ97" s="38"/>
      <c r="EA97" s="38"/>
      <c r="EB97" s="38"/>
    </row>
    <row r="98" spans="1:132" s="300" customFormat="1" ht="12" hidden="1" customHeight="1" outlineLevel="1">
      <c r="A98" s="241"/>
      <c r="B98" s="241" t="s">
        <v>194</v>
      </c>
      <c r="C98" s="69">
        <f>C97*C96</f>
        <v>936</v>
      </c>
      <c r="D98" s="69">
        <f>D97*D96</f>
        <v>1190</v>
      </c>
      <c r="E98" s="69">
        <f>E97*E96</f>
        <v>520</v>
      </c>
      <c r="F98" s="69">
        <f>F97*F96</f>
        <v>120</v>
      </c>
      <c r="G98" s="69"/>
      <c r="H98" s="69"/>
      <c r="I98" s="69"/>
      <c r="J98" s="70"/>
      <c r="K98" s="70"/>
      <c r="L98" s="70"/>
      <c r="M98" s="70"/>
      <c r="N98" s="69"/>
      <c r="O98" s="70"/>
      <c r="P98" s="70"/>
      <c r="Q98" s="70"/>
      <c r="R98" s="70"/>
      <c r="S98" s="69"/>
      <c r="T98" s="70"/>
      <c r="U98" s="70"/>
      <c r="V98" s="70"/>
      <c r="W98" s="70"/>
      <c r="X98" s="69"/>
      <c r="Y98" s="70"/>
      <c r="Z98" s="70"/>
      <c r="AA98" s="70"/>
      <c r="AB98" s="70"/>
      <c r="AC98" s="69"/>
      <c r="AD98" s="70"/>
      <c r="AE98" s="70"/>
      <c r="AF98" s="70"/>
      <c r="AG98" s="70"/>
      <c r="AH98" s="69"/>
      <c r="AI98" s="70"/>
      <c r="AJ98" s="70"/>
      <c r="AK98" s="70"/>
      <c r="AL98" s="70"/>
      <c r="AM98" s="69"/>
      <c r="AN98" s="70"/>
      <c r="AO98" s="271"/>
      <c r="AP98" s="271"/>
      <c r="AQ98" s="70"/>
      <c r="AR98" s="69"/>
      <c r="AS98" s="70"/>
      <c r="AT98" s="271"/>
      <c r="AU98" s="271"/>
      <c r="AV98" s="70"/>
      <c r="AW98" s="69"/>
      <c r="AX98" s="70"/>
      <c r="AY98" s="271"/>
      <c r="AZ98" s="271"/>
      <c r="BA98" s="70"/>
      <c r="BB98" s="69"/>
      <c r="BC98" s="70"/>
      <c r="BD98" s="271"/>
      <c r="BE98" s="271"/>
      <c r="BF98" s="70"/>
      <c r="BG98" s="69"/>
      <c r="BH98" s="70"/>
      <c r="BI98" s="70"/>
      <c r="BJ98" s="70"/>
      <c r="BK98" s="70"/>
      <c r="BL98" s="69"/>
      <c r="BM98" s="70"/>
      <c r="BN98" s="271"/>
      <c r="BO98" s="271"/>
      <c r="BP98" s="70"/>
      <c r="BQ98" s="69"/>
      <c r="BR98" s="271"/>
      <c r="BS98" s="70"/>
      <c r="BT98" s="271"/>
      <c r="BU98" s="70"/>
      <c r="BV98" s="69"/>
      <c r="BW98" s="271"/>
      <c r="BX98" s="70"/>
      <c r="BY98" s="271"/>
      <c r="BZ98" s="70"/>
      <c r="CA98" s="69"/>
      <c r="CB98" s="271"/>
      <c r="CC98" s="70"/>
      <c r="CD98" s="271"/>
      <c r="CE98" s="70"/>
      <c r="CF98" s="69"/>
      <c r="CG98" s="70"/>
      <c r="CH98" s="70"/>
      <c r="CI98" s="70"/>
      <c r="CJ98" s="70"/>
      <c r="CK98" s="69"/>
      <c r="CL98" s="70"/>
      <c r="CM98" s="70"/>
      <c r="CN98" s="70"/>
      <c r="CO98" s="70"/>
      <c r="CP98" s="69"/>
      <c r="CQ98" s="70"/>
      <c r="CR98" s="70"/>
      <c r="CS98" s="70"/>
      <c r="CT98" s="70"/>
      <c r="CU98" s="69"/>
      <c r="CV98" s="70"/>
      <c r="CW98" s="70"/>
      <c r="CX98" s="70"/>
      <c r="CY98" s="70"/>
      <c r="CZ98" s="69"/>
      <c r="DA98" s="70"/>
      <c r="DB98" s="70"/>
      <c r="DC98" s="70"/>
      <c r="DD98" s="70"/>
      <c r="DE98" s="69"/>
      <c r="DF98" s="70"/>
      <c r="DG98" s="70"/>
      <c r="DH98" s="70"/>
      <c r="DI98" s="70"/>
      <c r="DJ98" s="69"/>
      <c r="DK98" s="70"/>
      <c r="DL98" s="70"/>
      <c r="DM98" s="70"/>
      <c r="DN98" s="70"/>
      <c r="DO98" s="69"/>
      <c r="DP98" s="70"/>
      <c r="DQ98" s="70"/>
      <c r="DR98" s="70"/>
      <c r="DS98" s="70"/>
      <c r="DT98" s="69"/>
      <c r="DU98" s="70"/>
      <c r="DV98" s="70"/>
      <c r="DW98" s="70"/>
      <c r="DX98" s="70"/>
      <c r="DY98" s="69"/>
      <c r="DZ98" s="69"/>
      <c r="EA98" s="69"/>
      <c r="EB98" s="69"/>
    </row>
    <row r="99" spans="1:132" s="298" customFormat="1" ht="12" hidden="1" customHeight="1" outlineLevel="1">
      <c r="A99" s="241"/>
      <c r="B99" s="241" t="s">
        <v>192</v>
      </c>
      <c r="C99" s="308">
        <f>C98*C100</f>
        <v>0</v>
      </c>
      <c r="D99" s="308">
        <f>D98*D100</f>
        <v>0</v>
      </c>
      <c r="E99" s="308">
        <f>E98*E100</f>
        <v>0</v>
      </c>
      <c r="F99" s="308">
        <f>F98*F100</f>
        <v>0</v>
      </c>
      <c r="G99" s="308"/>
      <c r="H99" s="308"/>
      <c r="I99" s="308"/>
      <c r="J99" s="307"/>
      <c r="K99" s="307"/>
      <c r="L99" s="307"/>
      <c r="M99" s="307"/>
      <c r="N99" s="308"/>
      <c r="O99" s="307"/>
      <c r="P99" s="307"/>
      <c r="Q99" s="307"/>
      <c r="R99" s="307"/>
      <c r="S99" s="308"/>
      <c r="T99" s="307"/>
      <c r="U99" s="307"/>
      <c r="V99" s="307"/>
      <c r="W99" s="307"/>
      <c r="X99" s="308"/>
      <c r="Y99" s="307"/>
      <c r="Z99" s="307"/>
      <c r="AA99" s="307"/>
      <c r="AB99" s="307"/>
      <c r="AC99" s="308"/>
      <c r="AD99" s="307"/>
      <c r="AE99" s="307"/>
      <c r="AF99" s="307"/>
      <c r="AG99" s="307"/>
      <c r="AH99" s="308"/>
      <c r="AI99" s="307"/>
      <c r="AJ99" s="307"/>
      <c r="AK99" s="307"/>
      <c r="AL99" s="307"/>
      <c r="AM99" s="308"/>
      <c r="AN99" s="307"/>
      <c r="AO99" s="471"/>
      <c r="AP99" s="471"/>
      <c r="AQ99" s="307"/>
      <c r="AR99" s="308"/>
      <c r="AS99" s="307"/>
      <c r="AT99" s="471"/>
      <c r="AU99" s="471"/>
      <c r="AV99" s="307"/>
      <c r="AW99" s="308"/>
      <c r="AX99" s="307"/>
      <c r="AY99" s="471"/>
      <c r="AZ99" s="471"/>
      <c r="BA99" s="307"/>
      <c r="BB99" s="308"/>
      <c r="BC99" s="307"/>
      <c r="BD99" s="471"/>
      <c r="BE99" s="471"/>
      <c r="BF99" s="307"/>
      <c r="BG99" s="308"/>
      <c r="BH99" s="307"/>
      <c r="BI99" s="307"/>
      <c r="BJ99" s="307"/>
      <c r="BK99" s="307"/>
      <c r="BL99" s="128"/>
      <c r="BM99" s="129"/>
      <c r="BN99" s="471"/>
      <c r="BO99" s="471"/>
      <c r="BP99" s="307"/>
      <c r="BQ99" s="308"/>
      <c r="BR99" s="313"/>
      <c r="BS99" s="307"/>
      <c r="BT99" s="313"/>
      <c r="BU99" s="129"/>
      <c r="BV99" s="308"/>
      <c r="BW99" s="471"/>
      <c r="BX99" s="129"/>
      <c r="BY99" s="471"/>
      <c r="BZ99" s="129"/>
      <c r="CA99" s="308"/>
      <c r="CB99" s="471"/>
      <c r="CC99" s="307"/>
      <c r="CD99" s="471"/>
      <c r="CE99" s="129"/>
      <c r="CF99" s="308"/>
      <c r="CG99" s="307"/>
      <c r="CH99" s="307"/>
      <c r="CI99" s="307"/>
      <c r="CJ99" s="129"/>
      <c r="CK99" s="128"/>
      <c r="CL99" s="129"/>
      <c r="CM99" s="307"/>
      <c r="CN99" s="307"/>
      <c r="CO99" s="307"/>
      <c r="CP99" s="128"/>
      <c r="CQ99" s="307"/>
      <c r="CR99" s="129"/>
      <c r="CS99" s="129"/>
      <c r="CT99" s="129"/>
      <c r="CU99" s="128"/>
      <c r="CV99" s="129"/>
      <c r="CW99" s="129"/>
      <c r="CX99" s="129"/>
      <c r="CY99" s="129"/>
      <c r="CZ99" s="128"/>
      <c r="DA99" s="307"/>
      <c r="DB99" s="307"/>
      <c r="DC99" s="129"/>
      <c r="DD99" s="307"/>
      <c r="DE99" s="128"/>
      <c r="DF99" s="129"/>
      <c r="DG99" s="129"/>
      <c r="DH99" s="129"/>
      <c r="DI99" s="129"/>
      <c r="DJ99" s="128"/>
      <c r="DK99" s="129"/>
      <c r="DL99" s="129"/>
      <c r="DM99" s="129"/>
      <c r="DN99" s="129"/>
      <c r="DO99" s="128"/>
      <c r="DP99" s="129"/>
      <c r="DQ99" s="307"/>
      <c r="DR99" s="307"/>
      <c r="DS99" s="307"/>
      <c r="DT99" s="308"/>
      <c r="DU99" s="307"/>
      <c r="DV99" s="307"/>
      <c r="DW99" s="307"/>
      <c r="DX99" s="307"/>
      <c r="DY99" s="308"/>
      <c r="DZ99" s="308"/>
      <c r="EA99" s="308"/>
      <c r="EB99" s="308"/>
    </row>
    <row r="100" spans="1:132" s="298" customFormat="1" ht="12" hidden="1" customHeight="1" outlineLevel="1">
      <c r="A100" s="241"/>
      <c r="B100" s="241" t="s">
        <v>202</v>
      </c>
      <c r="C100" s="301"/>
      <c r="D100" s="301"/>
      <c r="E100" s="301"/>
      <c r="F100" s="301"/>
      <c r="G100" s="301"/>
      <c r="H100" s="301"/>
      <c r="I100" s="301"/>
      <c r="J100" s="242"/>
      <c r="K100" s="242"/>
      <c r="L100" s="242"/>
      <c r="M100" s="242"/>
      <c r="N100" s="301"/>
      <c r="O100" s="242"/>
      <c r="P100" s="242"/>
      <c r="Q100" s="242"/>
      <c r="R100" s="242"/>
      <c r="S100" s="301"/>
      <c r="T100" s="242"/>
      <c r="U100" s="242"/>
      <c r="V100" s="242"/>
      <c r="W100" s="242"/>
      <c r="X100" s="301"/>
      <c r="Y100" s="242"/>
      <c r="Z100" s="242"/>
      <c r="AA100" s="242"/>
      <c r="AB100" s="242"/>
      <c r="AC100" s="301"/>
      <c r="AD100" s="242"/>
      <c r="AE100" s="242"/>
      <c r="AF100" s="242"/>
      <c r="AG100" s="242"/>
      <c r="AH100" s="301"/>
      <c r="AI100" s="242"/>
      <c r="AJ100" s="242"/>
      <c r="AK100" s="242"/>
      <c r="AL100" s="242"/>
      <c r="AM100" s="301"/>
      <c r="AN100" s="242"/>
      <c r="AO100" s="469"/>
      <c r="AP100" s="469"/>
      <c r="AQ100" s="242"/>
      <c r="AR100" s="301"/>
      <c r="AS100" s="242"/>
      <c r="AT100" s="469"/>
      <c r="AU100" s="469"/>
      <c r="AV100" s="242"/>
      <c r="AW100" s="301"/>
      <c r="AX100" s="242"/>
      <c r="AY100" s="469"/>
      <c r="AZ100" s="469"/>
      <c r="BA100" s="242"/>
      <c r="BB100" s="301"/>
      <c r="BC100" s="242"/>
      <c r="BD100" s="469"/>
      <c r="BE100" s="469"/>
      <c r="BF100" s="242"/>
      <c r="BG100" s="301"/>
      <c r="BH100" s="242"/>
      <c r="BI100" s="242"/>
      <c r="BJ100" s="242"/>
      <c r="BK100" s="242"/>
      <c r="BL100" s="144"/>
      <c r="BM100" s="145"/>
      <c r="BN100" s="469"/>
      <c r="BO100" s="469"/>
      <c r="BP100" s="242"/>
      <c r="BQ100" s="301"/>
      <c r="BR100" s="302"/>
      <c r="BS100" s="242"/>
      <c r="BT100" s="302"/>
      <c r="BU100" s="145"/>
      <c r="BV100" s="301"/>
      <c r="BW100" s="469"/>
      <c r="BX100" s="145"/>
      <c r="BY100" s="469"/>
      <c r="BZ100" s="145"/>
      <c r="CA100" s="301"/>
      <c r="CB100" s="469"/>
      <c r="CC100" s="242"/>
      <c r="CD100" s="469"/>
      <c r="CE100" s="145"/>
      <c r="CF100" s="301"/>
      <c r="CG100" s="242"/>
      <c r="CH100" s="242"/>
      <c r="CI100" s="242"/>
      <c r="CJ100" s="145"/>
      <c r="CK100" s="144"/>
      <c r="CL100" s="145"/>
      <c r="CM100" s="242"/>
      <c r="CN100" s="242"/>
      <c r="CO100" s="242"/>
      <c r="CP100" s="144"/>
      <c r="CQ100" s="242"/>
      <c r="CR100" s="145"/>
      <c r="CS100" s="145"/>
      <c r="CT100" s="145"/>
      <c r="CU100" s="144"/>
      <c r="CV100" s="145"/>
      <c r="CW100" s="145"/>
      <c r="CX100" s="145"/>
      <c r="CY100" s="145"/>
      <c r="CZ100" s="144"/>
      <c r="DA100" s="242"/>
      <c r="DB100" s="242"/>
      <c r="DC100" s="145"/>
      <c r="DD100" s="242"/>
      <c r="DE100" s="144"/>
      <c r="DF100" s="145"/>
      <c r="DG100" s="145"/>
      <c r="DH100" s="145"/>
      <c r="DI100" s="145"/>
      <c r="DJ100" s="144"/>
      <c r="DK100" s="145"/>
      <c r="DL100" s="145"/>
      <c r="DM100" s="145"/>
      <c r="DN100" s="145"/>
      <c r="DO100" s="144"/>
      <c r="DP100" s="145"/>
      <c r="DQ100" s="242"/>
      <c r="DR100" s="242"/>
      <c r="DS100" s="242"/>
      <c r="DT100" s="301"/>
      <c r="DU100" s="242"/>
      <c r="DV100" s="242"/>
      <c r="DW100" s="242"/>
      <c r="DX100" s="242"/>
      <c r="DY100" s="301"/>
      <c r="DZ100" s="301"/>
      <c r="EA100" s="301"/>
      <c r="EB100" s="301"/>
    </row>
    <row r="101" spans="1:132" s="298" customFormat="1" ht="12" hidden="1" customHeight="1" outlineLevel="1">
      <c r="A101" s="241"/>
      <c r="B101" s="241"/>
      <c r="C101" s="299"/>
      <c r="D101" s="299"/>
      <c r="E101" s="299"/>
      <c r="F101" s="299"/>
      <c r="G101" s="299"/>
      <c r="H101" s="299"/>
      <c r="I101" s="299"/>
      <c r="J101" s="243"/>
      <c r="K101" s="243"/>
      <c r="L101" s="243"/>
      <c r="M101" s="243"/>
      <c r="N101" s="299"/>
      <c r="O101" s="243"/>
      <c r="P101" s="243"/>
      <c r="Q101" s="243"/>
      <c r="R101" s="243"/>
      <c r="S101" s="299"/>
      <c r="T101" s="243"/>
      <c r="U101" s="243"/>
      <c r="V101" s="243"/>
      <c r="W101" s="243"/>
      <c r="X101" s="299"/>
      <c r="Y101" s="243"/>
      <c r="Z101" s="243"/>
      <c r="AA101" s="243"/>
      <c r="AB101" s="243"/>
      <c r="AC101" s="299"/>
      <c r="AD101" s="243"/>
      <c r="AE101" s="243"/>
      <c r="AF101" s="243"/>
      <c r="AG101" s="243"/>
      <c r="AH101" s="299"/>
      <c r="AI101" s="243"/>
      <c r="AJ101" s="243"/>
      <c r="AK101" s="243"/>
      <c r="AL101" s="243"/>
      <c r="AM101" s="299"/>
      <c r="AN101" s="243"/>
      <c r="AO101" s="439"/>
      <c r="AP101" s="439"/>
      <c r="AQ101" s="243"/>
      <c r="AR101" s="299"/>
      <c r="AS101" s="243"/>
      <c r="AT101" s="439"/>
      <c r="AU101" s="439"/>
      <c r="AV101" s="243"/>
      <c r="AW101" s="299"/>
      <c r="AX101" s="243"/>
      <c r="AY101" s="439"/>
      <c r="AZ101" s="439"/>
      <c r="BA101" s="243"/>
      <c r="BB101" s="299"/>
      <c r="BC101" s="243"/>
      <c r="BD101" s="439"/>
      <c r="BE101" s="439"/>
      <c r="BF101" s="243"/>
      <c r="BG101" s="299"/>
      <c r="BH101" s="243"/>
      <c r="BI101" s="243"/>
      <c r="BJ101" s="243"/>
      <c r="BK101" s="243"/>
      <c r="BL101" s="585"/>
      <c r="BM101" s="538"/>
      <c r="BN101" s="439"/>
      <c r="BO101" s="439"/>
      <c r="BP101" s="243"/>
      <c r="BQ101" s="299"/>
      <c r="BS101" s="243"/>
      <c r="BU101" s="538"/>
      <c r="BV101" s="299"/>
      <c r="BW101" s="439"/>
      <c r="BX101" s="538"/>
      <c r="BY101" s="439"/>
      <c r="BZ101" s="538"/>
      <c r="CA101" s="299"/>
      <c r="CB101" s="439"/>
      <c r="CC101" s="243"/>
      <c r="CD101" s="439"/>
      <c r="CE101" s="538"/>
      <c r="CF101" s="299"/>
      <c r="CG101" s="243"/>
      <c r="CH101" s="243"/>
      <c r="CI101" s="243"/>
      <c r="CJ101" s="538"/>
      <c r="CK101" s="585"/>
      <c r="CL101" s="538"/>
      <c r="CM101" s="243"/>
      <c r="CN101" s="243"/>
      <c r="CO101" s="243"/>
      <c r="CP101" s="585"/>
      <c r="CQ101" s="243"/>
      <c r="CR101" s="538"/>
      <c r="CS101" s="538"/>
      <c r="CT101" s="538"/>
      <c r="CU101" s="585"/>
      <c r="CV101" s="538"/>
      <c r="CW101" s="538"/>
      <c r="CX101" s="538"/>
      <c r="CY101" s="538"/>
      <c r="CZ101" s="585"/>
      <c r="DA101" s="243"/>
      <c r="DB101" s="243"/>
      <c r="DC101" s="538"/>
      <c r="DD101" s="243"/>
      <c r="DE101" s="585"/>
      <c r="DF101" s="538"/>
      <c r="DG101" s="538"/>
      <c r="DH101" s="538"/>
      <c r="DI101" s="538"/>
      <c r="DJ101" s="585"/>
      <c r="DK101" s="538"/>
      <c r="DL101" s="538"/>
      <c r="DM101" s="538"/>
      <c r="DN101" s="538"/>
      <c r="DO101" s="585"/>
      <c r="DP101" s="538"/>
      <c r="DQ101" s="243"/>
      <c r="DR101" s="243"/>
      <c r="DS101" s="243"/>
      <c r="DT101" s="299"/>
      <c r="DU101" s="243"/>
      <c r="DV101" s="243"/>
      <c r="DW101" s="243"/>
      <c r="DX101" s="243"/>
      <c r="DY101" s="299"/>
      <c r="DZ101" s="299"/>
      <c r="EA101" s="299"/>
      <c r="EB101" s="299"/>
    </row>
    <row r="102" spans="1:132" s="300" customFormat="1" ht="12" hidden="1" customHeight="1" outlineLevel="1">
      <c r="A102" s="241"/>
      <c r="B102" s="42" t="s">
        <v>212</v>
      </c>
      <c r="C102" s="43">
        <v>12</v>
      </c>
      <c r="D102" s="43">
        <v>12</v>
      </c>
      <c r="E102" s="43">
        <v>8</v>
      </c>
      <c r="F102" s="43">
        <v>4</v>
      </c>
      <c r="G102" s="43">
        <v>2</v>
      </c>
      <c r="H102" s="43"/>
      <c r="I102" s="43"/>
      <c r="J102" s="42"/>
      <c r="K102" s="42"/>
      <c r="L102" s="42"/>
      <c r="M102" s="42"/>
      <c r="N102" s="43"/>
      <c r="O102" s="42"/>
      <c r="P102" s="42"/>
      <c r="Q102" s="42"/>
      <c r="R102" s="42"/>
      <c r="S102" s="43"/>
      <c r="T102" s="42"/>
      <c r="U102" s="42"/>
      <c r="V102" s="42"/>
      <c r="W102" s="42"/>
      <c r="X102" s="43"/>
      <c r="Y102" s="42"/>
      <c r="Z102" s="42"/>
      <c r="AA102" s="42"/>
      <c r="AB102" s="42"/>
      <c r="AC102" s="43"/>
      <c r="AD102" s="42"/>
      <c r="AE102" s="42"/>
      <c r="AF102" s="42"/>
      <c r="AG102" s="42"/>
      <c r="AH102" s="43"/>
      <c r="AI102" s="42"/>
      <c r="AJ102" s="42"/>
      <c r="AK102" s="42"/>
      <c r="AL102" s="42"/>
      <c r="AM102" s="43"/>
      <c r="AN102" s="42"/>
      <c r="AO102" s="432"/>
      <c r="AP102" s="432"/>
      <c r="AQ102" s="42"/>
      <c r="AR102" s="43"/>
      <c r="AS102" s="42"/>
      <c r="AT102" s="432"/>
      <c r="AU102" s="432"/>
      <c r="AV102" s="42"/>
      <c r="AW102" s="43"/>
      <c r="AX102" s="42"/>
      <c r="AY102" s="432"/>
      <c r="AZ102" s="432"/>
      <c r="BA102" s="42"/>
      <c r="BB102" s="43"/>
      <c r="BC102" s="42"/>
      <c r="BD102" s="432"/>
      <c r="BE102" s="432"/>
      <c r="BF102" s="42"/>
      <c r="BG102" s="43"/>
      <c r="BH102" s="42"/>
      <c r="BI102" s="42"/>
      <c r="BJ102" s="42"/>
      <c r="BK102" s="42"/>
      <c r="BL102" s="43"/>
      <c r="BM102" s="42"/>
      <c r="BN102" s="432"/>
      <c r="BO102" s="432"/>
      <c r="BP102" s="42"/>
      <c r="BQ102" s="43"/>
      <c r="BR102" s="432"/>
      <c r="BS102" s="42"/>
      <c r="BT102" s="432"/>
      <c r="BU102" s="42"/>
      <c r="BV102" s="43"/>
      <c r="BW102" s="432"/>
      <c r="BX102" s="42"/>
      <c r="BY102" s="432"/>
      <c r="BZ102" s="42"/>
      <c r="CA102" s="43"/>
      <c r="CB102" s="432"/>
      <c r="CC102" s="42"/>
      <c r="CD102" s="432"/>
      <c r="CE102" s="42"/>
      <c r="CF102" s="43"/>
      <c r="CG102" s="42"/>
      <c r="CH102" s="42"/>
      <c r="CI102" s="42"/>
      <c r="CJ102" s="42"/>
      <c r="CK102" s="43"/>
      <c r="CL102" s="42"/>
      <c r="CM102" s="42"/>
      <c r="CN102" s="42"/>
      <c r="CO102" s="42"/>
      <c r="CP102" s="43"/>
      <c r="CQ102" s="42"/>
      <c r="CR102" s="42"/>
      <c r="CS102" s="42"/>
      <c r="CT102" s="42"/>
      <c r="CU102" s="43"/>
      <c r="CV102" s="42"/>
      <c r="CW102" s="42"/>
      <c r="CX102" s="42"/>
      <c r="CY102" s="42"/>
      <c r="CZ102" s="43"/>
      <c r="DA102" s="42"/>
      <c r="DB102" s="42"/>
      <c r="DC102" s="42"/>
      <c r="DD102" s="42"/>
      <c r="DE102" s="43"/>
      <c r="DF102" s="42"/>
      <c r="DG102" s="42"/>
      <c r="DH102" s="42"/>
      <c r="DI102" s="42"/>
      <c r="DJ102" s="43"/>
      <c r="DK102" s="42"/>
      <c r="DL102" s="42"/>
      <c r="DM102" s="42"/>
      <c r="DN102" s="42"/>
      <c r="DO102" s="43"/>
      <c r="DP102" s="42"/>
      <c r="DQ102" s="42"/>
      <c r="DR102" s="42"/>
      <c r="DS102" s="42"/>
      <c r="DT102" s="43"/>
      <c r="DU102" s="42"/>
      <c r="DV102" s="42"/>
      <c r="DW102" s="42"/>
      <c r="DX102" s="42"/>
      <c r="DY102" s="43"/>
      <c r="DZ102" s="43"/>
      <c r="EA102" s="43"/>
      <c r="EB102" s="43"/>
    </row>
    <row r="103" spans="1:132" s="300" customFormat="1" ht="12" hidden="1" customHeight="1" outlineLevel="1">
      <c r="A103" s="241"/>
      <c r="B103" s="241" t="s">
        <v>193</v>
      </c>
      <c r="C103" s="41">
        <v>105</v>
      </c>
      <c r="D103" s="41">
        <v>110</v>
      </c>
      <c r="E103" s="41">
        <v>112</v>
      </c>
      <c r="F103" s="41">
        <v>115</v>
      </c>
      <c r="G103" s="41">
        <v>115</v>
      </c>
      <c r="H103" s="41"/>
      <c r="I103" s="41"/>
      <c r="J103" s="40"/>
      <c r="K103" s="40"/>
      <c r="L103" s="40"/>
      <c r="M103" s="40"/>
      <c r="N103" s="41"/>
      <c r="O103" s="40"/>
      <c r="P103" s="40"/>
      <c r="Q103" s="40"/>
      <c r="R103" s="40"/>
      <c r="S103" s="41"/>
      <c r="T103" s="40"/>
      <c r="U103" s="40"/>
      <c r="V103" s="40"/>
      <c r="W103" s="40"/>
      <c r="X103" s="41"/>
      <c r="Y103" s="40"/>
      <c r="Z103" s="40"/>
      <c r="AA103" s="40"/>
      <c r="AB103" s="40"/>
      <c r="AC103" s="41"/>
      <c r="AD103" s="40"/>
      <c r="AE103" s="40"/>
      <c r="AF103" s="40"/>
      <c r="AG103" s="40"/>
      <c r="AH103" s="41"/>
      <c r="AI103" s="40"/>
      <c r="AJ103" s="40"/>
      <c r="AK103" s="40"/>
      <c r="AL103" s="39"/>
      <c r="AM103" s="41"/>
      <c r="AN103" s="40"/>
      <c r="AO103" s="468"/>
      <c r="AP103" s="468"/>
      <c r="AQ103" s="39"/>
      <c r="AR103" s="41"/>
      <c r="AS103" s="40"/>
      <c r="AT103" s="468"/>
      <c r="AU103" s="468"/>
      <c r="AV103" s="39"/>
      <c r="AW103" s="41"/>
      <c r="AX103" s="40"/>
      <c r="AY103" s="468"/>
      <c r="AZ103" s="468"/>
      <c r="BA103" s="39"/>
      <c r="BB103" s="38"/>
      <c r="BC103" s="40"/>
      <c r="BD103" s="468"/>
      <c r="BE103" s="468"/>
      <c r="BF103" s="39"/>
      <c r="BG103" s="38"/>
      <c r="BH103" s="40"/>
      <c r="BI103" s="40"/>
      <c r="BJ103" s="40"/>
      <c r="BK103" s="39"/>
      <c r="BL103" s="41"/>
      <c r="BM103" s="40"/>
      <c r="BN103" s="468"/>
      <c r="BO103" s="468"/>
      <c r="BP103" s="39"/>
      <c r="BQ103" s="38"/>
      <c r="BR103" s="433"/>
      <c r="BS103" s="39"/>
      <c r="BT103" s="433"/>
      <c r="BU103" s="40"/>
      <c r="BV103" s="38"/>
      <c r="BW103" s="468"/>
      <c r="BX103" s="40"/>
      <c r="BY103" s="468"/>
      <c r="BZ103" s="40"/>
      <c r="CA103" s="38"/>
      <c r="CB103" s="468"/>
      <c r="CC103" s="39"/>
      <c r="CD103" s="468"/>
      <c r="CE103" s="40"/>
      <c r="CF103" s="38"/>
      <c r="CG103" s="39"/>
      <c r="CH103" s="39"/>
      <c r="CI103" s="39"/>
      <c r="CJ103" s="40"/>
      <c r="CK103" s="41"/>
      <c r="CL103" s="40"/>
      <c r="CM103" s="39"/>
      <c r="CN103" s="39"/>
      <c r="CO103" s="39"/>
      <c r="CP103" s="41"/>
      <c r="CQ103" s="39"/>
      <c r="CR103" s="40"/>
      <c r="CS103" s="40"/>
      <c r="CT103" s="40"/>
      <c r="CU103" s="41"/>
      <c r="CV103" s="40"/>
      <c r="CW103" s="40"/>
      <c r="CX103" s="40"/>
      <c r="CY103" s="40"/>
      <c r="CZ103" s="41"/>
      <c r="DA103" s="39"/>
      <c r="DB103" s="39"/>
      <c r="DC103" s="40"/>
      <c r="DD103" s="39"/>
      <c r="DE103" s="41"/>
      <c r="DF103" s="40"/>
      <c r="DG103" s="40"/>
      <c r="DH103" s="40"/>
      <c r="DI103" s="40"/>
      <c r="DJ103" s="41"/>
      <c r="DK103" s="40"/>
      <c r="DL103" s="40"/>
      <c r="DM103" s="40"/>
      <c r="DN103" s="40"/>
      <c r="DO103" s="41"/>
      <c r="DP103" s="40"/>
      <c r="DQ103" s="39"/>
      <c r="DR103" s="39"/>
      <c r="DS103" s="39"/>
      <c r="DT103" s="38"/>
      <c r="DU103" s="39"/>
      <c r="DV103" s="39"/>
      <c r="DW103" s="39"/>
      <c r="DX103" s="39"/>
      <c r="DY103" s="38"/>
      <c r="DZ103" s="38"/>
      <c r="EA103" s="38"/>
      <c r="EB103" s="38"/>
    </row>
    <row r="104" spans="1:132" s="300" customFormat="1" ht="12" hidden="1" customHeight="1" outlineLevel="1">
      <c r="A104" s="241"/>
      <c r="B104" s="241" t="s">
        <v>194</v>
      </c>
      <c r="C104" s="69">
        <f>C103*C102</f>
        <v>1260</v>
      </c>
      <c r="D104" s="69">
        <f>D103*D102</f>
        <v>1320</v>
      </c>
      <c r="E104" s="69">
        <f>E103*E102</f>
        <v>896</v>
      </c>
      <c r="F104" s="69">
        <f>F103*F102</f>
        <v>460</v>
      </c>
      <c r="G104" s="69">
        <f>G103*G102</f>
        <v>230</v>
      </c>
      <c r="H104" s="69"/>
      <c r="I104" s="69"/>
      <c r="J104" s="70"/>
      <c r="K104" s="70"/>
      <c r="L104" s="70"/>
      <c r="M104" s="70"/>
      <c r="N104" s="69"/>
      <c r="O104" s="70"/>
      <c r="P104" s="70"/>
      <c r="Q104" s="70"/>
      <c r="R104" s="70"/>
      <c r="S104" s="69"/>
      <c r="T104" s="70"/>
      <c r="U104" s="70"/>
      <c r="V104" s="70"/>
      <c r="W104" s="70"/>
      <c r="X104" s="69"/>
      <c r="Y104" s="70"/>
      <c r="Z104" s="70"/>
      <c r="AA104" s="70"/>
      <c r="AB104" s="70"/>
      <c r="AC104" s="69"/>
      <c r="AD104" s="70"/>
      <c r="AE104" s="70"/>
      <c r="AF104" s="70"/>
      <c r="AG104" s="70"/>
      <c r="AH104" s="69"/>
      <c r="AI104" s="70"/>
      <c r="AJ104" s="70"/>
      <c r="AK104" s="70"/>
      <c r="AL104" s="70"/>
      <c r="AM104" s="69"/>
      <c r="AN104" s="70"/>
      <c r="AO104" s="271"/>
      <c r="AP104" s="271"/>
      <c r="AQ104" s="70"/>
      <c r="AR104" s="69"/>
      <c r="AS104" s="70"/>
      <c r="AT104" s="271"/>
      <c r="AU104" s="271"/>
      <c r="AV104" s="70"/>
      <c r="AW104" s="69"/>
      <c r="AX104" s="70"/>
      <c r="AY104" s="271"/>
      <c r="AZ104" s="271"/>
      <c r="BA104" s="70"/>
      <c r="BB104" s="69"/>
      <c r="BC104" s="70"/>
      <c r="BD104" s="271"/>
      <c r="BE104" s="271"/>
      <c r="BF104" s="70"/>
      <c r="BG104" s="69"/>
      <c r="BH104" s="70"/>
      <c r="BI104" s="70"/>
      <c r="BJ104" s="70"/>
      <c r="BK104" s="70"/>
      <c r="BL104" s="69"/>
      <c r="BM104" s="70"/>
      <c r="BN104" s="271"/>
      <c r="BO104" s="271"/>
      <c r="BP104" s="70"/>
      <c r="BQ104" s="69"/>
      <c r="BR104" s="271"/>
      <c r="BS104" s="70"/>
      <c r="BT104" s="271"/>
      <c r="BU104" s="70"/>
      <c r="BV104" s="69"/>
      <c r="BW104" s="271"/>
      <c r="BX104" s="70"/>
      <c r="BY104" s="271"/>
      <c r="BZ104" s="70"/>
      <c r="CA104" s="69"/>
      <c r="CB104" s="271"/>
      <c r="CC104" s="70"/>
      <c r="CD104" s="271"/>
      <c r="CE104" s="70"/>
      <c r="CF104" s="69"/>
      <c r="CG104" s="70"/>
      <c r="CH104" s="70"/>
      <c r="CI104" s="70"/>
      <c r="CJ104" s="70"/>
      <c r="CK104" s="69"/>
      <c r="CL104" s="70"/>
      <c r="CM104" s="70"/>
      <c r="CN104" s="70"/>
      <c r="CO104" s="70"/>
      <c r="CP104" s="69"/>
      <c r="CQ104" s="70"/>
      <c r="CR104" s="70"/>
      <c r="CS104" s="70"/>
      <c r="CT104" s="70"/>
      <c r="CU104" s="69"/>
      <c r="CV104" s="70"/>
      <c r="CW104" s="70"/>
      <c r="CX104" s="70"/>
      <c r="CY104" s="70"/>
      <c r="CZ104" s="69"/>
      <c r="DA104" s="70"/>
      <c r="DB104" s="70"/>
      <c r="DC104" s="70"/>
      <c r="DD104" s="70"/>
      <c r="DE104" s="69"/>
      <c r="DF104" s="70"/>
      <c r="DG104" s="70"/>
      <c r="DH104" s="70"/>
      <c r="DI104" s="70"/>
      <c r="DJ104" s="69"/>
      <c r="DK104" s="70"/>
      <c r="DL104" s="70"/>
      <c r="DM104" s="70"/>
      <c r="DN104" s="70"/>
      <c r="DO104" s="69"/>
      <c r="DP104" s="70"/>
      <c r="DQ104" s="70"/>
      <c r="DR104" s="70"/>
      <c r="DS104" s="70"/>
      <c r="DT104" s="69"/>
      <c r="DU104" s="70"/>
      <c r="DV104" s="70"/>
      <c r="DW104" s="70"/>
      <c r="DX104" s="70"/>
      <c r="DY104" s="69"/>
      <c r="DZ104" s="69"/>
      <c r="EA104" s="69"/>
      <c r="EB104" s="69"/>
    </row>
    <row r="105" spans="1:132" s="300" customFormat="1" ht="12" hidden="1" customHeight="1" outlineLevel="1">
      <c r="A105" s="241"/>
      <c r="B105" s="241" t="s">
        <v>192</v>
      </c>
      <c r="C105" s="285">
        <f t="shared" ref="C105:AL105" si="440">C104*C106</f>
        <v>0</v>
      </c>
      <c r="D105" s="285">
        <f t="shared" si="440"/>
        <v>0</v>
      </c>
      <c r="E105" s="285">
        <f t="shared" si="440"/>
        <v>53.76</v>
      </c>
      <c r="F105" s="285">
        <f t="shared" si="440"/>
        <v>23</v>
      </c>
      <c r="G105" s="285">
        <f t="shared" si="440"/>
        <v>11.5</v>
      </c>
      <c r="H105" s="285">
        <f t="shared" si="440"/>
        <v>0</v>
      </c>
      <c r="I105" s="285">
        <f t="shared" si="440"/>
        <v>0</v>
      </c>
      <c r="J105" s="241">
        <f t="shared" si="440"/>
        <v>0</v>
      </c>
      <c r="K105" s="241">
        <f t="shared" si="440"/>
        <v>0</v>
      </c>
      <c r="L105" s="241">
        <f t="shared" si="440"/>
        <v>0</v>
      </c>
      <c r="M105" s="241">
        <f t="shared" si="440"/>
        <v>0</v>
      </c>
      <c r="N105" s="285">
        <f t="shared" si="440"/>
        <v>0</v>
      </c>
      <c r="O105" s="241">
        <f t="shared" si="440"/>
        <v>0</v>
      </c>
      <c r="P105" s="241">
        <f t="shared" si="440"/>
        <v>0</v>
      </c>
      <c r="Q105" s="241">
        <f t="shared" si="440"/>
        <v>0</v>
      </c>
      <c r="R105" s="241">
        <f t="shared" si="440"/>
        <v>0</v>
      </c>
      <c r="S105" s="285">
        <f t="shared" si="440"/>
        <v>0</v>
      </c>
      <c r="T105" s="241">
        <f t="shared" si="440"/>
        <v>0</v>
      </c>
      <c r="U105" s="241">
        <f t="shared" si="440"/>
        <v>0</v>
      </c>
      <c r="V105" s="241">
        <f t="shared" si="440"/>
        <v>0</v>
      </c>
      <c r="W105" s="241">
        <f t="shared" si="440"/>
        <v>0</v>
      </c>
      <c r="X105" s="285">
        <f t="shared" si="440"/>
        <v>0</v>
      </c>
      <c r="Y105" s="241">
        <f t="shared" si="440"/>
        <v>0</v>
      </c>
      <c r="Z105" s="241">
        <f t="shared" si="440"/>
        <v>0</v>
      </c>
      <c r="AA105" s="241">
        <f t="shared" si="440"/>
        <v>0</v>
      </c>
      <c r="AB105" s="241">
        <f t="shared" si="440"/>
        <v>0</v>
      </c>
      <c r="AC105" s="285">
        <f t="shared" si="440"/>
        <v>0</v>
      </c>
      <c r="AD105" s="241">
        <f t="shared" si="440"/>
        <v>0</v>
      </c>
      <c r="AE105" s="241">
        <f t="shared" si="440"/>
        <v>0</v>
      </c>
      <c r="AF105" s="241">
        <f t="shared" si="440"/>
        <v>0</v>
      </c>
      <c r="AG105" s="241">
        <f t="shared" si="440"/>
        <v>0</v>
      </c>
      <c r="AH105" s="285">
        <f t="shared" si="440"/>
        <v>0</v>
      </c>
      <c r="AI105" s="241">
        <f t="shared" si="440"/>
        <v>0</v>
      </c>
      <c r="AJ105" s="241">
        <f t="shared" si="440"/>
        <v>0</v>
      </c>
      <c r="AK105" s="241">
        <f t="shared" si="440"/>
        <v>0</v>
      </c>
      <c r="AL105" s="241">
        <f t="shared" si="440"/>
        <v>0</v>
      </c>
      <c r="AM105" s="285"/>
      <c r="AN105" s="241"/>
      <c r="AO105" s="437"/>
      <c r="AP105" s="437"/>
      <c r="AQ105" s="241"/>
      <c r="AR105" s="285"/>
      <c r="AS105" s="241"/>
      <c r="AT105" s="437"/>
      <c r="AU105" s="437"/>
      <c r="AV105" s="241"/>
      <c r="AW105" s="285"/>
      <c r="AX105" s="241"/>
      <c r="AY105" s="437"/>
      <c r="AZ105" s="437"/>
      <c r="BA105" s="241"/>
      <c r="BB105" s="285"/>
      <c r="BC105" s="241"/>
      <c r="BD105" s="437"/>
      <c r="BE105" s="437"/>
      <c r="BF105" s="241"/>
      <c r="BG105" s="285"/>
      <c r="BH105" s="241"/>
      <c r="BI105" s="241"/>
      <c r="BJ105" s="241"/>
      <c r="BK105" s="241"/>
      <c r="BL105" s="120"/>
      <c r="BM105" s="121"/>
      <c r="BN105" s="437"/>
      <c r="BO105" s="437"/>
      <c r="BP105" s="241"/>
      <c r="BQ105" s="285"/>
      <c r="BS105" s="241"/>
      <c r="BU105" s="121"/>
      <c r="BV105" s="285"/>
      <c r="BW105" s="437"/>
      <c r="BX105" s="121"/>
      <c r="BY105" s="437"/>
      <c r="BZ105" s="121"/>
      <c r="CA105" s="285"/>
      <c r="CB105" s="437"/>
      <c r="CC105" s="241"/>
      <c r="CD105" s="437"/>
      <c r="CE105" s="121"/>
      <c r="CF105" s="285"/>
      <c r="CG105" s="241"/>
      <c r="CH105" s="241"/>
      <c r="CI105" s="241"/>
      <c r="CJ105" s="121"/>
      <c r="CK105" s="120"/>
      <c r="CL105" s="121"/>
      <c r="CM105" s="241"/>
      <c r="CN105" s="241"/>
      <c r="CO105" s="241"/>
      <c r="CP105" s="120"/>
      <c r="CQ105" s="241"/>
      <c r="CR105" s="121"/>
      <c r="CS105" s="121"/>
      <c r="CT105" s="121"/>
      <c r="CU105" s="120"/>
      <c r="CV105" s="121"/>
      <c r="CW105" s="121"/>
      <c r="CX105" s="121"/>
      <c r="CY105" s="121"/>
      <c r="CZ105" s="120"/>
      <c r="DA105" s="241"/>
      <c r="DB105" s="241"/>
      <c r="DC105" s="121"/>
      <c r="DD105" s="241"/>
      <c r="DE105" s="120"/>
      <c r="DF105" s="121"/>
      <c r="DG105" s="121"/>
      <c r="DH105" s="121"/>
      <c r="DI105" s="121"/>
      <c r="DJ105" s="120"/>
      <c r="DK105" s="121"/>
      <c r="DL105" s="121"/>
      <c r="DM105" s="121"/>
      <c r="DN105" s="121"/>
      <c r="DO105" s="120"/>
      <c r="DP105" s="121"/>
      <c r="DQ105" s="241"/>
      <c r="DR105" s="241"/>
      <c r="DS105" s="241"/>
      <c r="DT105" s="285"/>
      <c r="DU105" s="241"/>
      <c r="DV105" s="241"/>
      <c r="DW105" s="241"/>
      <c r="DX105" s="241"/>
      <c r="DY105" s="285"/>
      <c r="DZ105" s="285"/>
      <c r="EA105" s="285"/>
      <c r="EB105" s="285"/>
    </row>
    <row r="106" spans="1:132" s="298" customFormat="1" ht="12" hidden="1" customHeight="1" outlineLevel="1">
      <c r="A106" s="241"/>
      <c r="B106" s="241" t="s">
        <v>202</v>
      </c>
      <c r="C106" s="301"/>
      <c r="D106" s="301"/>
      <c r="E106" s="301">
        <v>0.06</v>
      </c>
      <c r="F106" s="301">
        <v>0.05</v>
      </c>
      <c r="G106" s="301">
        <v>0.05</v>
      </c>
      <c r="H106" s="301">
        <v>0.05</v>
      </c>
      <c r="I106" s="301">
        <v>0.05</v>
      </c>
      <c r="J106" s="242">
        <v>0.05</v>
      </c>
      <c r="K106" s="242">
        <v>0</v>
      </c>
      <c r="L106" s="242">
        <v>0</v>
      </c>
      <c r="M106" s="242">
        <v>0</v>
      </c>
      <c r="N106" s="301">
        <v>0</v>
      </c>
      <c r="O106" s="242">
        <v>0</v>
      </c>
      <c r="P106" s="242">
        <v>0</v>
      </c>
      <c r="Q106" s="242">
        <v>0</v>
      </c>
      <c r="R106" s="242">
        <v>0</v>
      </c>
      <c r="S106" s="301">
        <v>0</v>
      </c>
      <c r="T106" s="242">
        <v>0</v>
      </c>
      <c r="U106" s="242">
        <v>0</v>
      </c>
      <c r="V106" s="242">
        <v>0</v>
      </c>
      <c r="W106" s="242">
        <v>0</v>
      </c>
      <c r="X106" s="301">
        <v>0</v>
      </c>
      <c r="Y106" s="242">
        <v>0</v>
      </c>
      <c r="Z106" s="242">
        <v>0</v>
      </c>
      <c r="AA106" s="242">
        <v>0</v>
      </c>
      <c r="AB106" s="242">
        <v>0</v>
      </c>
      <c r="AC106" s="301">
        <v>0</v>
      </c>
      <c r="AD106" s="242">
        <v>0</v>
      </c>
      <c r="AE106" s="242">
        <v>0</v>
      </c>
      <c r="AF106" s="242">
        <v>0</v>
      </c>
      <c r="AG106" s="242">
        <v>0</v>
      </c>
      <c r="AH106" s="301">
        <v>0</v>
      </c>
      <c r="AI106" s="242">
        <v>0</v>
      </c>
      <c r="AJ106" s="242">
        <v>0</v>
      </c>
      <c r="AK106" s="242">
        <v>0</v>
      </c>
      <c r="AL106" s="242">
        <v>0</v>
      </c>
      <c r="AM106" s="301">
        <v>0</v>
      </c>
      <c r="AN106" s="242">
        <v>0</v>
      </c>
      <c r="AO106" s="469">
        <v>0</v>
      </c>
      <c r="AP106" s="469">
        <v>0</v>
      </c>
      <c r="AQ106" s="242">
        <v>0</v>
      </c>
      <c r="AR106" s="301">
        <v>0</v>
      </c>
      <c r="AS106" s="242">
        <v>0</v>
      </c>
      <c r="AT106" s="469">
        <v>0</v>
      </c>
      <c r="AU106" s="469">
        <v>0</v>
      </c>
      <c r="AV106" s="242">
        <v>0</v>
      </c>
      <c r="AW106" s="301">
        <v>0</v>
      </c>
      <c r="AX106" s="242">
        <v>0</v>
      </c>
      <c r="AY106" s="469">
        <v>0</v>
      </c>
      <c r="AZ106" s="469">
        <v>0</v>
      </c>
      <c r="BA106" s="242">
        <v>0</v>
      </c>
      <c r="BB106" s="301"/>
      <c r="BC106" s="242"/>
      <c r="BD106" s="469"/>
      <c r="BE106" s="469"/>
      <c r="BF106" s="242"/>
      <c r="BG106" s="301"/>
      <c r="BH106" s="242"/>
      <c r="BI106" s="242"/>
      <c r="BJ106" s="242"/>
      <c r="BK106" s="242"/>
      <c r="BL106" s="144"/>
      <c r="BM106" s="145"/>
      <c r="BN106" s="469"/>
      <c r="BO106" s="469"/>
      <c r="BP106" s="242"/>
      <c r="BQ106" s="301"/>
      <c r="BR106" s="302"/>
      <c r="BS106" s="242"/>
      <c r="BT106" s="302"/>
      <c r="BU106" s="145"/>
      <c r="BV106" s="301"/>
      <c r="BW106" s="469"/>
      <c r="BX106" s="145"/>
      <c r="BY106" s="469"/>
      <c r="BZ106" s="145"/>
      <c r="CA106" s="301"/>
      <c r="CB106" s="469"/>
      <c r="CC106" s="242"/>
      <c r="CD106" s="469"/>
      <c r="CE106" s="145"/>
      <c r="CF106" s="301"/>
      <c r="CG106" s="242"/>
      <c r="CH106" s="242"/>
      <c r="CI106" s="242"/>
      <c r="CJ106" s="145"/>
      <c r="CK106" s="144"/>
      <c r="CL106" s="145"/>
      <c r="CM106" s="242"/>
      <c r="CN106" s="242"/>
      <c r="CO106" s="242"/>
      <c r="CP106" s="144"/>
      <c r="CQ106" s="242"/>
      <c r="CR106" s="145"/>
      <c r="CS106" s="145"/>
      <c r="CT106" s="145"/>
      <c r="CU106" s="144"/>
      <c r="CV106" s="145"/>
      <c r="CW106" s="145"/>
      <c r="CX106" s="145"/>
      <c r="CY106" s="145"/>
      <c r="CZ106" s="144"/>
      <c r="DA106" s="242"/>
      <c r="DB106" s="242"/>
      <c r="DC106" s="145"/>
      <c r="DD106" s="242"/>
      <c r="DE106" s="144"/>
      <c r="DF106" s="145"/>
      <c r="DG106" s="145"/>
      <c r="DH106" s="145"/>
      <c r="DI106" s="145"/>
      <c r="DJ106" s="144"/>
      <c r="DK106" s="145"/>
      <c r="DL106" s="145"/>
      <c r="DM106" s="145"/>
      <c r="DN106" s="145"/>
      <c r="DO106" s="144"/>
      <c r="DP106" s="145"/>
      <c r="DQ106" s="242"/>
      <c r="DR106" s="242"/>
      <c r="DS106" s="242"/>
      <c r="DT106" s="301"/>
      <c r="DU106" s="242"/>
      <c r="DV106" s="242"/>
      <c r="DW106" s="242"/>
      <c r="DX106" s="242"/>
      <c r="DY106" s="301"/>
      <c r="DZ106" s="301"/>
      <c r="EA106" s="301"/>
      <c r="EB106" s="301"/>
    </row>
    <row r="107" spans="1:132" s="298" customFormat="1" ht="12" customHeight="1" collapsed="1">
      <c r="A107" s="241"/>
      <c r="B107" s="241"/>
      <c r="C107" s="299"/>
      <c r="D107" s="299"/>
      <c r="E107" s="299"/>
      <c r="F107" s="299"/>
      <c r="G107" s="299"/>
      <c r="H107" s="299"/>
      <c r="I107" s="299"/>
      <c r="J107" s="243"/>
      <c r="K107" s="243"/>
      <c r="L107" s="243"/>
      <c r="M107" s="243"/>
      <c r="N107" s="299"/>
      <c r="O107" s="243"/>
      <c r="P107" s="243"/>
      <c r="Q107" s="243"/>
      <c r="R107" s="243"/>
      <c r="S107" s="299"/>
      <c r="T107" s="243"/>
      <c r="U107" s="243"/>
      <c r="V107" s="243"/>
      <c r="W107" s="243"/>
      <c r="X107" s="299"/>
      <c r="Y107" s="243"/>
      <c r="Z107" s="243"/>
      <c r="AA107" s="243"/>
      <c r="AB107" s="243"/>
      <c r="AC107" s="299"/>
      <c r="AD107" s="243"/>
      <c r="AE107" s="243"/>
      <c r="AF107" s="243"/>
      <c r="AG107" s="243"/>
      <c r="AH107" s="299"/>
      <c r="AI107" s="243"/>
      <c r="AJ107" s="243"/>
      <c r="AK107" s="243"/>
      <c r="AL107" s="243"/>
      <c r="AM107" s="299"/>
      <c r="AN107" s="243"/>
      <c r="AO107" s="439"/>
      <c r="AP107" s="439"/>
      <c r="AQ107" s="243"/>
      <c r="AR107" s="299"/>
      <c r="AS107" s="243"/>
      <c r="AT107" s="439"/>
      <c r="AU107" s="439"/>
      <c r="AV107" s="243"/>
      <c r="AW107" s="299"/>
      <c r="AX107" s="243"/>
      <c r="AY107" s="439"/>
      <c r="AZ107" s="439"/>
      <c r="BA107" s="243"/>
      <c r="BB107" s="299"/>
      <c r="BC107" s="243"/>
      <c r="BD107" s="439"/>
      <c r="BE107" s="439"/>
      <c r="BF107" s="243"/>
      <c r="BG107" s="299"/>
      <c r="BH107" s="243"/>
      <c r="BI107" s="243"/>
      <c r="BJ107" s="243"/>
      <c r="BK107" s="243"/>
      <c r="BL107" s="585"/>
      <c r="BM107" s="538"/>
      <c r="BN107" s="439"/>
      <c r="BO107" s="439"/>
      <c r="BP107" s="243"/>
      <c r="BQ107" s="299"/>
      <c r="BS107" s="243"/>
      <c r="BU107" s="538"/>
      <c r="BV107" s="299"/>
      <c r="BW107" s="439"/>
      <c r="BX107" s="538"/>
      <c r="BY107" s="439"/>
      <c r="BZ107" s="538"/>
      <c r="CA107" s="299"/>
      <c r="CB107" s="439"/>
      <c r="CC107" s="243"/>
      <c r="CD107" s="439"/>
      <c r="CE107" s="538"/>
      <c r="CF107" s="299"/>
      <c r="CG107" s="243"/>
      <c r="CH107" s="243"/>
      <c r="CI107" s="243"/>
      <c r="CJ107" s="538"/>
      <c r="CK107" s="585"/>
      <c r="CL107" s="538"/>
      <c r="CM107" s="243"/>
      <c r="CN107" s="243"/>
      <c r="CO107" s="243"/>
      <c r="CP107" s="585"/>
      <c r="CQ107" s="243"/>
      <c r="CR107" s="538"/>
      <c r="CS107" s="538"/>
      <c r="CT107" s="538"/>
      <c r="CU107" s="585"/>
      <c r="CV107" s="538"/>
      <c r="CW107" s="538"/>
      <c r="CX107" s="538"/>
      <c r="CY107" s="538"/>
      <c r="CZ107" s="585"/>
      <c r="DA107" s="243"/>
      <c r="DB107" s="243"/>
      <c r="DC107" s="538"/>
      <c r="DD107" s="243"/>
      <c r="DE107" s="585"/>
      <c r="DF107" s="538"/>
      <c r="DG107" s="538"/>
      <c r="DH107" s="538"/>
      <c r="DI107" s="538"/>
      <c r="DJ107" s="585"/>
      <c r="DK107" s="538"/>
      <c r="DL107" s="538"/>
      <c r="DM107" s="538"/>
      <c r="DN107" s="538"/>
      <c r="DO107" s="585"/>
      <c r="DP107" s="538"/>
      <c r="DQ107" s="243"/>
      <c r="DR107" s="243"/>
      <c r="DS107" s="243"/>
      <c r="DT107" s="299"/>
      <c r="DU107" s="243"/>
      <c r="DV107" s="243"/>
      <c r="DW107" s="243"/>
      <c r="DX107" s="243"/>
      <c r="DY107" s="299"/>
      <c r="DZ107" s="299"/>
      <c r="EA107" s="299"/>
      <c r="EB107" s="299"/>
    </row>
    <row r="108" spans="1:132" s="31" customFormat="1">
      <c r="A108" s="74"/>
      <c r="B108" s="32" t="s">
        <v>195</v>
      </c>
      <c r="C108" s="33">
        <f t="shared" ref="C108:AH108" si="441">+C32+C37+C42+C47+C78+C52+C67+C83+C90+C96+C102</f>
        <v>374</v>
      </c>
      <c r="D108" s="33">
        <f t="shared" si="441"/>
        <v>564</v>
      </c>
      <c r="E108" s="33">
        <f t="shared" si="441"/>
        <v>620</v>
      </c>
      <c r="F108" s="33">
        <f t="shared" si="441"/>
        <v>490</v>
      </c>
      <c r="G108" s="33">
        <f t="shared" si="441"/>
        <v>527</v>
      </c>
      <c r="H108" s="33">
        <f t="shared" si="441"/>
        <v>381</v>
      </c>
      <c r="I108" s="33">
        <f t="shared" si="441"/>
        <v>281</v>
      </c>
      <c r="J108" s="32">
        <f t="shared" si="441"/>
        <v>76</v>
      </c>
      <c r="K108" s="32">
        <f t="shared" si="441"/>
        <v>75</v>
      </c>
      <c r="L108" s="32">
        <f t="shared" si="441"/>
        <v>67</v>
      </c>
      <c r="M108" s="32">
        <f t="shared" si="441"/>
        <v>67</v>
      </c>
      <c r="N108" s="33">
        <f t="shared" si="441"/>
        <v>285</v>
      </c>
      <c r="O108" s="32">
        <f t="shared" si="441"/>
        <v>70</v>
      </c>
      <c r="P108" s="32">
        <f t="shared" si="441"/>
        <v>85</v>
      </c>
      <c r="Q108" s="32">
        <f t="shared" si="441"/>
        <v>62</v>
      </c>
      <c r="R108" s="32">
        <f t="shared" si="441"/>
        <v>73</v>
      </c>
      <c r="S108" s="33">
        <f t="shared" si="441"/>
        <v>290</v>
      </c>
      <c r="T108" s="32">
        <f t="shared" si="441"/>
        <v>98</v>
      </c>
      <c r="U108" s="32">
        <f t="shared" si="441"/>
        <v>97</v>
      </c>
      <c r="V108" s="32">
        <f t="shared" si="441"/>
        <v>100</v>
      </c>
      <c r="W108" s="32">
        <f t="shared" si="441"/>
        <v>103</v>
      </c>
      <c r="X108" s="33">
        <f t="shared" si="441"/>
        <v>398</v>
      </c>
      <c r="Y108" s="32">
        <f t="shared" si="441"/>
        <v>106</v>
      </c>
      <c r="Z108" s="32">
        <f t="shared" si="441"/>
        <v>114</v>
      </c>
      <c r="AA108" s="32">
        <f t="shared" si="441"/>
        <v>109</v>
      </c>
      <c r="AB108" s="32">
        <f t="shared" si="441"/>
        <v>112</v>
      </c>
      <c r="AC108" s="33">
        <f t="shared" si="441"/>
        <v>441</v>
      </c>
      <c r="AD108" s="32">
        <f t="shared" si="441"/>
        <v>115</v>
      </c>
      <c r="AE108" s="32">
        <f t="shared" si="441"/>
        <v>126</v>
      </c>
      <c r="AF108" s="32">
        <f t="shared" si="441"/>
        <v>84</v>
      </c>
      <c r="AG108" s="32">
        <f t="shared" si="441"/>
        <v>50</v>
      </c>
      <c r="AH108" s="33">
        <f t="shared" si="441"/>
        <v>375</v>
      </c>
      <c r="AI108" s="32">
        <f t="shared" ref="AI108:BN108" si="442">+AI32+AI37+AI42+AI47+AI78+AI52+AI67+AI83+AI90+AI96+AI102</f>
        <v>121</v>
      </c>
      <c r="AJ108" s="32">
        <f t="shared" si="442"/>
        <v>125</v>
      </c>
      <c r="AK108" s="32">
        <f t="shared" si="442"/>
        <v>113</v>
      </c>
      <c r="AL108" s="32">
        <f t="shared" si="442"/>
        <v>122</v>
      </c>
      <c r="AM108" s="33">
        <f t="shared" si="442"/>
        <v>481</v>
      </c>
      <c r="AN108" s="32">
        <f t="shared" si="442"/>
        <v>108</v>
      </c>
      <c r="AO108" s="32">
        <f t="shared" si="442"/>
        <v>114</v>
      </c>
      <c r="AP108" s="32">
        <f t="shared" si="442"/>
        <v>124</v>
      </c>
      <c r="AQ108" s="32">
        <f t="shared" si="442"/>
        <v>116</v>
      </c>
      <c r="AR108" s="33">
        <f t="shared" si="442"/>
        <v>462</v>
      </c>
      <c r="AS108" s="32">
        <f t="shared" si="442"/>
        <v>104</v>
      </c>
      <c r="AT108" s="32">
        <f t="shared" si="442"/>
        <v>118</v>
      </c>
      <c r="AU108" s="32">
        <f t="shared" si="442"/>
        <v>127</v>
      </c>
      <c r="AV108" s="32">
        <f t="shared" si="442"/>
        <v>128</v>
      </c>
      <c r="AW108" s="33">
        <f t="shared" si="442"/>
        <v>477</v>
      </c>
      <c r="AX108" s="32">
        <f t="shared" si="442"/>
        <v>137</v>
      </c>
      <c r="AY108" s="32">
        <f t="shared" si="442"/>
        <v>150</v>
      </c>
      <c r="AZ108" s="32">
        <f t="shared" si="442"/>
        <v>149</v>
      </c>
      <c r="BA108" s="32">
        <f t="shared" si="442"/>
        <v>165</v>
      </c>
      <c r="BB108" s="33">
        <f t="shared" si="442"/>
        <v>601</v>
      </c>
      <c r="BC108" s="32">
        <f t="shared" si="442"/>
        <v>137</v>
      </c>
      <c r="BD108" s="32">
        <f t="shared" si="442"/>
        <v>169</v>
      </c>
      <c r="BE108" s="32">
        <f t="shared" si="442"/>
        <v>170</v>
      </c>
      <c r="BF108" s="32">
        <f t="shared" si="442"/>
        <v>172</v>
      </c>
      <c r="BG108" s="33">
        <f t="shared" si="442"/>
        <v>648</v>
      </c>
      <c r="BH108" s="32">
        <f t="shared" si="442"/>
        <v>161</v>
      </c>
      <c r="BI108" s="32">
        <f t="shared" si="442"/>
        <v>181</v>
      </c>
      <c r="BJ108" s="32">
        <f t="shared" si="442"/>
        <v>186</v>
      </c>
      <c r="BK108" s="32">
        <f t="shared" si="442"/>
        <v>195</v>
      </c>
      <c r="BL108" s="33">
        <f t="shared" si="442"/>
        <v>723</v>
      </c>
      <c r="BM108" s="32">
        <f t="shared" si="442"/>
        <v>184</v>
      </c>
      <c r="BN108" s="32">
        <f t="shared" si="442"/>
        <v>197</v>
      </c>
      <c r="BO108" s="32">
        <f t="shared" ref="BO108:CP108" si="443">+BO32+BO37+BO42+BO47+BO78+BO52+BO67+BO83+BO90+BO96+BO102</f>
        <v>199</v>
      </c>
      <c r="BP108" s="32">
        <f t="shared" si="443"/>
        <v>182</v>
      </c>
      <c r="BQ108" s="33">
        <f t="shared" si="443"/>
        <v>762</v>
      </c>
      <c r="BR108" s="32">
        <f t="shared" si="443"/>
        <v>176</v>
      </c>
      <c r="BS108" s="32">
        <f t="shared" si="443"/>
        <v>199</v>
      </c>
      <c r="BT108" s="32">
        <f t="shared" si="443"/>
        <v>188</v>
      </c>
      <c r="BU108" s="32">
        <f t="shared" si="443"/>
        <v>185</v>
      </c>
      <c r="BV108" s="33">
        <f t="shared" si="443"/>
        <v>748</v>
      </c>
      <c r="BW108" s="32">
        <f t="shared" si="443"/>
        <v>169</v>
      </c>
      <c r="BX108" s="32">
        <f t="shared" si="443"/>
        <v>183</v>
      </c>
      <c r="BY108" s="32">
        <f t="shared" si="443"/>
        <v>202</v>
      </c>
      <c r="BZ108" s="32">
        <f t="shared" si="443"/>
        <v>209</v>
      </c>
      <c r="CA108" s="33">
        <f t="shared" si="443"/>
        <v>763</v>
      </c>
      <c r="CB108" s="32">
        <f t="shared" si="443"/>
        <v>184</v>
      </c>
      <c r="CC108" s="32">
        <f t="shared" si="443"/>
        <v>194</v>
      </c>
      <c r="CD108" s="32">
        <f t="shared" si="443"/>
        <v>190</v>
      </c>
      <c r="CE108" s="32">
        <f t="shared" si="443"/>
        <v>238</v>
      </c>
      <c r="CF108" s="33">
        <f t="shared" si="443"/>
        <v>806</v>
      </c>
      <c r="CG108" s="32">
        <f t="shared" si="443"/>
        <v>149</v>
      </c>
      <c r="CH108" s="32">
        <f t="shared" si="443"/>
        <v>90</v>
      </c>
      <c r="CI108" s="32">
        <f t="shared" si="443"/>
        <v>62</v>
      </c>
      <c r="CJ108" s="32">
        <f t="shared" si="443"/>
        <v>79</v>
      </c>
      <c r="CK108" s="33">
        <f t="shared" si="443"/>
        <v>380</v>
      </c>
      <c r="CL108" s="32">
        <f t="shared" si="443"/>
        <v>50</v>
      </c>
      <c r="CM108" s="32">
        <f t="shared" si="443"/>
        <v>20</v>
      </c>
      <c r="CN108" s="32">
        <f t="shared" si="443"/>
        <v>28</v>
      </c>
      <c r="CO108" s="32">
        <f t="shared" si="443"/>
        <v>59</v>
      </c>
      <c r="CP108" s="33">
        <f t="shared" si="443"/>
        <v>157</v>
      </c>
      <c r="CQ108" s="32">
        <f t="shared" ref="CQ108:CV108" si="444">+CQ32+CQ37+CQ42+CQ47+CQ78+CQ52+CQ67+CQ83+CQ90+CQ96+CQ102</f>
        <v>77</v>
      </c>
      <c r="CR108" s="32">
        <f t="shared" si="444"/>
        <v>79</v>
      </c>
      <c r="CS108" s="32">
        <f t="shared" si="444"/>
        <v>85</v>
      </c>
      <c r="CT108" s="32">
        <f t="shared" si="444"/>
        <v>99</v>
      </c>
      <c r="CU108" s="33">
        <f t="shared" si="444"/>
        <v>340</v>
      </c>
      <c r="CV108" s="32">
        <f t="shared" si="444"/>
        <v>95</v>
      </c>
      <c r="CW108" s="32">
        <f t="shared" ref="CW108:CZ108" si="445">+CW32+CW37+CW42+CW47+CW78+CW52+CW67+CW83+CW90+CW96+CW102</f>
        <v>121</v>
      </c>
      <c r="CX108" s="32">
        <f t="shared" si="445"/>
        <v>112</v>
      </c>
      <c r="CY108" s="32">
        <f t="shared" si="445"/>
        <v>152</v>
      </c>
      <c r="CZ108" s="33">
        <f t="shared" si="445"/>
        <v>480</v>
      </c>
      <c r="DA108" s="32">
        <f t="shared" ref="DA108:DI108" si="446">+DA32+DA37+DA42+DA47+DA78+DA52+DA67+DA83+DA90+DA96+DA102</f>
        <v>130</v>
      </c>
      <c r="DB108" s="32">
        <f t="shared" si="446"/>
        <v>136</v>
      </c>
      <c r="DC108" s="32">
        <f t="shared" si="446"/>
        <v>105</v>
      </c>
      <c r="DD108" s="32">
        <f t="shared" si="446"/>
        <v>157</v>
      </c>
      <c r="DE108" s="33">
        <f t="shared" si="446"/>
        <v>528</v>
      </c>
      <c r="DF108" s="32">
        <f t="shared" si="446"/>
        <v>83</v>
      </c>
      <c r="DG108" s="32">
        <f t="shared" si="446"/>
        <v>92</v>
      </c>
      <c r="DH108" s="32">
        <f t="shared" si="446"/>
        <v>116</v>
      </c>
      <c r="DI108" s="32">
        <f t="shared" si="446"/>
        <v>57</v>
      </c>
      <c r="DJ108" s="33">
        <f t="shared" ref="DJ108:DN108" si="447">+DJ32+DJ37+DJ42+DJ47+DJ78+DJ52+DJ67+DJ83+DJ90+DJ96+DJ102</f>
        <v>348</v>
      </c>
      <c r="DK108" s="32">
        <f t="shared" si="447"/>
        <v>130</v>
      </c>
      <c r="DL108" s="32">
        <f t="shared" si="447"/>
        <v>150</v>
      </c>
      <c r="DM108" s="32">
        <f t="shared" si="447"/>
        <v>160</v>
      </c>
      <c r="DN108" s="32">
        <f t="shared" si="447"/>
        <v>160</v>
      </c>
      <c r="DO108" s="33">
        <f t="shared" ref="DO108:DS108" si="448">+DO32+DO37+DO42+DO47+DO78+DO52+DO67+DO83+DO90+DO96+DO102</f>
        <v>600</v>
      </c>
      <c r="DP108" s="32">
        <f t="shared" si="448"/>
        <v>143</v>
      </c>
      <c r="DQ108" s="32">
        <f t="shared" si="448"/>
        <v>171</v>
      </c>
      <c r="DR108" s="32">
        <f t="shared" si="448"/>
        <v>169</v>
      </c>
      <c r="DS108" s="32">
        <f t="shared" si="448"/>
        <v>182</v>
      </c>
      <c r="DT108" s="33">
        <f t="shared" ref="DT108:DX108" si="449">+DT32+DT37+DT42+DT47+DT78+DT52+DT67+DT83+DT90+DT96+DT102</f>
        <v>665</v>
      </c>
      <c r="DU108" s="32">
        <f t="shared" si="449"/>
        <v>177</v>
      </c>
      <c r="DV108" s="32">
        <f t="shared" si="449"/>
        <v>194</v>
      </c>
      <c r="DW108" s="32">
        <f t="shared" si="449"/>
        <v>204</v>
      </c>
      <c r="DX108" s="32">
        <f t="shared" si="449"/>
        <v>224</v>
      </c>
      <c r="DY108" s="33">
        <f t="shared" ref="DY108" si="450">+DY32+DY37+DY42+DY47+DY78+DY52+DY67+DY83+DY90+DY96+DY102</f>
        <v>799</v>
      </c>
      <c r="DZ108" s="33">
        <f t="shared" ref="DZ108:EB108" si="451">+DZ32+DZ37+DZ42+DZ47+DZ78+DZ52+DZ67+DZ83+DZ90+DZ96+DZ102</f>
        <v>872</v>
      </c>
      <c r="EA108" s="33">
        <f t="shared" si="451"/>
        <v>955</v>
      </c>
      <c r="EB108" s="33">
        <f t="shared" si="451"/>
        <v>1010</v>
      </c>
    </row>
    <row r="109" spans="1:132" s="306" customFormat="1">
      <c r="A109" s="241"/>
      <c r="B109" s="241" t="s">
        <v>196</v>
      </c>
      <c r="C109" s="299"/>
      <c r="D109" s="296">
        <f t="shared" ref="D109:I109" si="452">D108/C108-1</f>
        <v>0.50802139037433158</v>
      </c>
      <c r="E109" s="296">
        <f t="shared" si="452"/>
        <v>9.9290780141843893E-2</v>
      </c>
      <c r="F109" s="296">
        <f t="shared" si="452"/>
        <v>-0.20967741935483875</v>
      </c>
      <c r="G109" s="296">
        <f t="shared" si="452"/>
        <v>7.551020408163267E-2</v>
      </c>
      <c r="H109" s="296">
        <f t="shared" si="452"/>
        <v>-0.27703984819734351</v>
      </c>
      <c r="I109" s="296">
        <f t="shared" si="452"/>
        <v>-0.26246719160104992</v>
      </c>
      <c r="J109" s="303"/>
      <c r="K109" s="303"/>
      <c r="L109" s="303"/>
      <c r="M109" s="303"/>
      <c r="N109" s="296">
        <f t="shared" ref="N109:AW109" si="453">N108/I108-1</f>
        <v>1.4234875444839812E-2</v>
      </c>
      <c r="O109" s="303">
        <f t="shared" si="453"/>
        <v>-7.8947368421052655E-2</v>
      </c>
      <c r="P109" s="303">
        <f t="shared" si="453"/>
        <v>0.1333333333333333</v>
      </c>
      <c r="Q109" s="303">
        <f t="shared" si="453"/>
        <v>-7.4626865671641784E-2</v>
      </c>
      <c r="R109" s="303">
        <f t="shared" si="453"/>
        <v>8.9552238805970186E-2</v>
      </c>
      <c r="S109" s="296">
        <f t="shared" si="453"/>
        <v>1.7543859649122862E-2</v>
      </c>
      <c r="T109" s="303">
        <f t="shared" si="453"/>
        <v>0.39999999999999991</v>
      </c>
      <c r="U109" s="303">
        <f t="shared" si="453"/>
        <v>0.14117647058823524</v>
      </c>
      <c r="V109" s="303">
        <f t="shared" si="453"/>
        <v>0.61290322580645151</v>
      </c>
      <c r="W109" s="303">
        <f t="shared" si="453"/>
        <v>0.41095890410958913</v>
      </c>
      <c r="X109" s="296">
        <f t="shared" si="453"/>
        <v>0.37241379310344835</v>
      </c>
      <c r="Y109" s="303">
        <f t="shared" si="453"/>
        <v>8.163265306122458E-2</v>
      </c>
      <c r="Z109" s="303">
        <f t="shared" si="453"/>
        <v>0.17525773195876293</v>
      </c>
      <c r="AA109" s="303">
        <f t="shared" si="453"/>
        <v>9.000000000000008E-2</v>
      </c>
      <c r="AB109" s="303">
        <f t="shared" si="453"/>
        <v>8.737864077669899E-2</v>
      </c>
      <c r="AC109" s="296">
        <f t="shared" si="453"/>
        <v>0.1080402010050252</v>
      </c>
      <c r="AD109" s="303">
        <f t="shared" si="453"/>
        <v>8.4905660377358583E-2</v>
      </c>
      <c r="AE109" s="303">
        <f t="shared" si="453"/>
        <v>0.10526315789473695</v>
      </c>
      <c r="AF109" s="303">
        <f t="shared" si="453"/>
        <v>-0.22935779816513757</v>
      </c>
      <c r="AG109" s="303">
        <f t="shared" si="453"/>
        <v>-0.5535714285714286</v>
      </c>
      <c r="AH109" s="296">
        <f t="shared" si="453"/>
        <v>-0.14965986394557829</v>
      </c>
      <c r="AI109" s="303">
        <f t="shared" si="453"/>
        <v>5.2173913043478182E-2</v>
      </c>
      <c r="AJ109" s="303">
        <f t="shared" si="453"/>
        <v>-7.9365079365079083E-3</v>
      </c>
      <c r="AK109" s="303">
        <f t="shared" si="453"/>
        <v>0.34523809523809534</v>
      </c>
      <c r="AL109" s="303">
        <f t="shared" si="453"/>
        <v>1.44</v>
      </c>
      <c r="AM109" s="296">
        <f t="shared" si="453"/>
        <v>0.28266666666666662</v>
      </c>
      <c r="AN109" s="303">
        <f t="shared" si="453"/>
        <v>-0.1074380165289256</v>
      </c>
      <c r="AO109" s="450">
        <f t="shared" si="453"/>
        <v>-8.7999999999999967E-2</v>
      </c>
      <c r="AP109" s="450">
        <f t="shared" si="453"/>
        <v>9.7345132743362761E-2</v>
      </c>
      <c r="AQ109" s="303">
        <f t="shared" si="453"/>
        <v>-4.9180327868852514E-2</v>
      </c>
      <c r="AR109" s="296">
        <f t="shared" si="453"/>
        <v>-3.9501039501039448E-2</v>
      </c>
      <c r="AS109" s="303">
        <f t="shared" si="453"/>
        <v>-3.703703703703709E-2</v>
      </c>
      <c r="AT109" s="450">
        <f t="shared" si="453"/>
        <v>3.5087719298245723E-2</v>
      </c>
      <c r="AU109" s="450">
        <f t="shared" si="453"/>
        <v>2.4193548387096753E-2</v>
      </c>
      <c r="AV109" s="303">
        <f t="shared" si="453"/>
        <v>0.10344827586206895</v>
      </c>
      <c r="AW109" s="296">
        <f t="shared" si="453"/>
        <v>3.2467532467532534E-2</v>
      </c>
      <c r="AX109" s="303">
        <f t="shared" ref="AX109:BG109" si="454">AX108/AS108-1</f>
        <v>0.31730769230769229</v>
      </c>
      <c r="AY109" s="450">
        <f t="shared" si="454"/>
        <v>0.27118644067796605</v>
      </c>
      <c r="AZ109" s="450">
        <f t="shared" si="454"/>
        <v>0.17322834645669283</v>
      </c>
      <c r="BA109" s="303">
        <f t="shared" si="454"/>
        <v>0.2890625</v>
      </c>
      <c r="BB109" s="296">
        <f t="shared" si="454"/>
        <v>0.25995807127882609</v>
      </c>
      <c r="BC109" s="303">
        <f t="shared" si="454"/>
        <v>0</v>
      </c>
      <c r="BD109" s="450">
        <f t="shared" si="454"/>
        <v>0.12666666666666671</v>
      </c>
      <c r="BE109" s="450">
        <f t="shared" si="454"/>
        <v>0.14093959731543615</v>
      </c>
      <c r="BF109" s="303">
        <f t="shared" si="454"/>
        <v>4.2424242424242475E-2</v>
      </c>
      <c r="BG109" s="296">
        <f t="shared" si="454"/>
        <v>7.8202995008319398E-2</v>
      </c>
      <c r="BH109" s="303">
        <f t="shared" ref="BH109:BQ109" si="455">BH108/BC108-1</f>
        <v>0.17518248175182483</v>
      </c>
      <c r="BI109" s="303">
        <f t="shared" si="455"/>
        <v>7.1005917159763232E-2</v>
      </c>
      <c r="BJ109" s="303">
        <f t="shared" si="455"/>
        <v>9.4117647058823639E-2</v>
      </c>
      <c r="BK109" s="303">
        <f t="shared" si="455"/>
        <v>0.13372093023255816</v>
      </c>
      <c r="BL109" s="296">
        <f t="shared" si="455"/>
        <v>0.1157407407407407</v>
      </c>
      <c r="BM109" s="450">
        <f t="shared" si="455"/>
        <v>0.14285714285714279</v>
      </c>
      <c r="BN109" s="450">
        <f t="shared" si="455"/>
        <v>8.8397790055248615E-2</v>
      </c>
      <c r="BO109" s="303">
        <f t="shared" si="455"/>
        <v>6.9892473118279508E-2</v>
      </c>
      <c r="BP109" s="303">
        <f t="shared" si="455"/>
        <v>-6.6666666666666652E-2</v>
      </c>
      <c r="BQ109" s="296">
        <f t="shared" si="455"/>
        <v>5.3941908713692976E-2</v>
      </c>
      <c r="BR109" s="303">
        <f t="shared" ref="BR109" si="456">BR108/BM108-1</f>
        <v>-4.3478260869565188E-2</v>
      </c>
      <c r="BS109" s="303">
        <f t="shared" ref="BS109" si="457">BS108/BN108-1</f>
        <v>1.0152284263959421E-2</v>
      </c>
      <c r="BT109" s="303">
        <f t="shared" ref="BT109" si="458">BT108/BO108-1</f>
        <v>-5.5276381909547756E-2</v>
      </c>
      <c r="BU109" s="303">
        <f t="shared" ref="BU109:BV109" si="459">BU108/BP108-1</f>
        <v>1.6483516483516425E-2</v>
      </c>
      <c r="BV109" s="296">
        <f t="shared" si="459"/>
        <v>-1.8372703412073532E-2</v>
      </c>
      <c r="BW109" s="450">
        <f t="shared" ref="BW109" si="460">BW108/BR108-1</f>
        <v>-3.9772727272727293E-2</v>
      </c>
      <c r="BX109" s="450">
        <f t="shared" ref="BX109" si="461">BX108/BS108-1</f>
        <v>-8.0402010050251271E-2</v>
      </c>
      <c r="BY109" s="303">
        <f t="shared" ref="BY109" si="462">BY108/BT108-1</f>
        <v>7.4468085106383031E-2</v>
      </c>
      <c r="BZ109" s="450">
        <f t="shared" ref="BZ109" si="463">BZ108/BU108-1</f>
        <v>0.12972972972972974</v>
      </c>
      <c r="CA109" s="296">
        <f t="shared" ref="CA109" si="464">CA108/BV108-1</f>
        <v>2.0053475935828846E-2</v>
      </c>
      <c r="CB109" s="450">
        <f t="shared" ref="CB109" si="465">CB108/BW108-1</f>
        <v>8.8757396449704151E-2</v>
      </c>
      <c r="CC109" s="303">
        <f t="shared" ref="CC109" si="466">CC108/BX108-1</f>
        <v>6.0109289617486406E-2</v>
      </c>
      <c r="CD109" s="303">
        <f t="shared" ref="CD109" si="467">CD108/BY108-1</f>
        <v>-5.9405940594059459E-2</v>
      </c>
      <c r="CE109" s="450">
        <f t="shared" ref="CE109" si="468">CE108/BZ108-1</f>
        <v>0.13875598086124397</v>
      </c>
      <c r="CF109" s="296">
        <f>CF108/CA108-1</f>
        <v>5.6356487549148016E-2</v>
      </c>
      <c r="CG109" s="303">
        <f t="shared" ref="CG109" si="469">CG108/CB108-1</f>
        <v>-0.19021739130434778</v>
      </c>
      <c r="CH109" s="303">
        <f t="shared" ref="CH109" si="470">CH108/CC108-1</f>
        <v>-0.53608247422680411</v>
      </c>
      <c r="CI109" s="303">
        <f t="shared" ref="CI109" si="471">CI108/CD108-1</f>
        <v>-0.67368421052631577</v>
      </c>
      <c r="CJ109" s="450">
        <f t="shared" ref="CJ109" si="472">CJ108/CE108-1</f>
        <v>-0.66806722689075637</v>
      </c>
      <c r="CK109" s="466">
        <f>CK108/CF108-1</f>
        <v>-0.52853598014888337</v>
      </c>
      <c r="CL109" s="450">
        <f t="shared" ref="CL109" si="473">CL108/CG108-1</f>
        <v>-0.66442953020134232</v>
      </c>
      <c r="CM109" s="303">
        <f t="shared" ref="CM109" si="474">CM108/CH108-1</f>
        <v>-0.77777777777777779</v>
      </c>
      <c r="CN109" s="303">
        <f t="shared" ref="CN109" si="475">CN108/CI108-1</f>
        <v>-0.54838709677419351</v>
      </c>
      <c r="CO109" s="303">
        <f t="shared" ref="CO109" si="476">CO108/CJ108-1</f>
        <v>-0.25316455696202533</v>
      </c>
      <c r="CP109" s="466">
        <f>CP108/CK108-1</f>
        <v>-0.58684210526315783</v>
      </c>
      <c r="CQ109" s="303">
        <f t="shared" ref="CQ109" si="477">CQ108/CL108-1</f>
        <v>0.54</v>
      </c>
      <c r="CR109" s="303">
        <f t="shared" ref="CR109" si="478">CR108/CM108-1</f>
        <v>2.95</v>
      </c>
      <c r="CS109" s="450">
        <f t="shared" ref="CS109" si="479">CS108/CN108-1</f>
        <v>2.0357142857142856</v>
      </c>
      <c r="CT109" s="450">
        <f t="shared" ref="CT109" si="480">CT108/CO108-1</f>
        <v>0.67796610169491522</v>
      </c>
      <c r="CU109" s="466">
        <f>CU108/CP108-1</f>
        <v>1.1656050955414012</v>
      </c>
      <c r="CV109" s="303">
        <f t="shared" ref="CV109:CW109" si="481">CV108/CQ108-1</f>
        <v>0.23376623376623384</v>
      </c>
      <c r="CW109" s="303">
        <f t="shared" si="481"/>
        <v>0.53164556962025311</v>
      </c>
      <c r="CX109" s="450">
        <f t="shared" ref="CX109" si="482">CX108/CS108-1</f>
        <v>0.31764705882352939</v>
      </c>
      <c r="CY109" s="303">
        <f t="shared" ref="CY109" si="483">CY108/CT108-1</f>
        <v>0.53535353535353525</v>
      </c>
      <c r="CZ109" s="466">
        <f>CZ108/CU108-1</f>
        <v>0.41176470588235303</v>
      </c>
      <c r="DA109" s="303">
        <f t="shared" ref="DA109" si="484">DA108/CV108-1</f>
        <v>0.36842105263157898</v>
      </c>
      <c r="DB109" s="303">
        <f t="shared" ref="DB109" si="485">DB108/CW108-1</f>
        <v>0.12396694214876036</v>
      </c>
      <c r="DC109" s="450">
        <f t="shared" ref="DC109" si="486">DC108/CX108-1</f>
        <v>-6.25E-2</v>
      </c>
      <c r="DD109" s="303">
        <f t="shared" ref="DD109" si="487">DD108/CY108-1</f>
        <v>3.289473684210531E-2</v>
      </c>
      <c r="DE109" s="466">
        <f>DE108/CZ108-1</f>
        <v>0.10000000000000009</v>
      </c>
      <c r="DF109" s="450">
        <f t="shared" ref="DF109:DN109" si="488">DF108/DA108-1</f>
        <v>-0.36153846153846159</v>
      </c>
      <c r="DG109" s="450">
        <f t="shared" si="488"/>
        <v>-0.32352941176470584</v>
      </c>
      <c r="DH109" s="450">
        <f t="shared" si="488"/>
        <v>0.10476190476190483</v>
      </c>
      <c r="DI109" s="450">
        <f t="shared" si="488"/>
        <v>-0.63694267515923575</v>
      </c>
      <c r="DJ109" s="466">
        <f>DJ108/DE108-1</f>
        <v>-0.34090909090909094</v>
      </c>
      <c r="DK109" s="450">
        <f t="shared" si="488"/>
        <v>0.56626506024096379</v>
      </c>
      <c r="DL109" s="450">
        <f t="shared" si="488"/>
        <v>0.63043478260869557</v>
      </c>
      <c r="DM109" s="450">
        <f t="shared" si="488"/>
        <v>0.3793103448275863</v>
      </c>
      <c r="DN109" s="450">
        <f t="shared" si="488"/>
        <v>1.807017543859649</v>
      </c>
      <c r="DO109" s="466">
        <f>DO108/DJ108-1</f>
        <v>0.72413793103448265</v>
      </c>
      <c r="DP109" s="450">
        <f t="shared" ref="DP109" si="489">DP108/DK108-1</f>
        <v>0.10000000000000009</v>
      </c>
      <c r="DQ109" s="303">
        <f t="shared" ref="DQ109" si="490">DQ108/DL108-1</f>
        <v>0.1399999999999999</v>
      </c>
      <c r="DR109" s="303">
        <f t="shared" ref="DR109" si="491">DR108/DM108-1</f>
        <v>5.6249999999999911E-2</v>
      </c>
      <c r="DS109" s="303">
        <f t="shared" ref="DS109" si="492">DS108/DN108-1</f>
        <v>0.13749999999999996</v>
      </c>
      <c r="DT109" s="466">
        <f>DT108/DO108-1</f>
        <v>0.10833333333333339</v>
      </c>
      <c r="DU109" s="303">
        <f t="shared" ref="DU109" si="493">DU108/DP108-1</f>
        <v>0.2377622377622377</v>
      </c>
      <c r="DV109" s="303">
        <f t="shared" ref="DV109" si="494">DV108/DQ108-1</f>
        <v>0.13450292397660824</v>
      </c>
      <c r="DW109" s="303">
        <f t="shared" ref="DW109" si="495">DW108/DR108-1</f>
        <v>0.20710059171597628</v>
      </c>
      <c r="DX109" s="303">
        <f t="shared" ref="DX109" si="496">DX108/DS108-1</f>
        <v>0.23076923076923084</v>
      </c>
      <c r="DY109" s="466">
        <f>DY108/DT108-1</f>
        <v>0.2015037593984963</v>
      </c>
      <c r="DZ109" s="296">
        <f t="shared" ref="DZ109:EB109" si="497">DZ108/DY108-1</f>
        <v>9.136420525657063E-2</v>
      </c>
      <c r="EA109" s="296">
        <f t="shared" si="497"/>
        <v>9.5183486238532122E-2</v>
      </c>
      <c r="EB109" s="296">
        <f t="shared" si="497"/>
        <v>5.7591623036649109E-2</v>
      </c>
    </row>
    <row r="110" spans="1:132" s="298" customFormat="1">
      <c r="A110" s="241"/>
      <c r="B110" s="241"/>
      <c r="C110" s="299"/>
      <c r="D110" s="299"/>
      <c r="E110" s="299"/>
      <c r="F110" s="299"/>
      <c r="G110" s="299"/>
      <c r="H110" s="299"/>
      <c r="I110" s="299"/>
      <c r="J110" s="243"/>
      <c r="K110" s="243"/>
      <c r="L110" s="243"/>
      <c r="M110" s="243"/>
      <c r="N110" s="299"/>
      <c r="O110" s="243"/>
      <c r="P110" s="243"/>
      <c r="Q110" s="243"/>
      <c r="R110" s="243"/>
      <c r="S110" s="299"/>
      <c r="T110" s="243"/>
      <c r="U110" s="243"/>
      <c r="V110" s="243"/>
      <c r="W110" s="243"/>
      <c r="X110" s="299"/>
      <c r="Y110" s="243"/>
      <c r="Z110" s="243"/>
      <c r="AA110" s="243"/>
      <c r="AB110" s="243"/>
      <c r="AC110" s="299"/>
      <c r="AD110" s="243"/>
      <c r="AE110" s="243"/>
      <c r="AF110" s="243"/>
      <c r="AG110" s="243"/>
      <c r="AH110" s="299"/>
      <c r="AI110" s="243"/>
      <c r="AJ110" s="243"/>
      <c r="AK110" s="243"/>
      <c r="AL110" s="243"/>
      <c r="AM110" s="299"/>
      <c r="AN110" s="243"/>
      <c r="AO110" s="439"/>
      <c r="AP110" s="439"/>
      <c r="AQ110" s="538"/>
      <c r="AR110" s="299"/>
      <c r="AS110" s="243"/>
      <c r="AT110" s="439"/>
      <c r="AU110" s="439"/>
      <c r="AV110" s="538"/>
      <c r="AW110" s="299"/>
      <c r="AX110" s="243"/>
      <c r="AY110" s="439"/>
      <c r="AZ110" s="439"/>
      <c r="BA110" s="538"/>
      <c r="BB110" s="299"/>
      <c r="BC110" s="243"/>
      <c r="BD110" s="439"/>
      <c r="BE110" s="439"/>
      <c r="BF110" s="243"/>
      <c r="BG110" s="299"/>
      <c r="BH110" s="243"/>
      <c r="BI110" s="243"/>
      <c r="BK110" s="243"/>
      <c r="BL110" s="13"/>
      <c r="BM110" s="243"/>
      <c r="BN110" s="439"/>
      <c r="BP110" s="243"/>
      <c r="BQ110" s="13"/>
      <c r="BS110" s="243"/>
      <c r="BU110" s="243"/>
      <c r="BV110" s="13"/>
      <c r="BW110" s="439"/>
      <c r="BX110" s="538"/>
      <c r="BZ110" s="538"/>
      <c r="CA110" s="13"/>
      <c r="CC110" s="243"/>
      <c r="CE110" s="243"/>
      <c r="CF110" s="13"/>
      <c r="CG110" s="243"/>
      <c r="CH110" s="243"/>
      <c r="CI110" s="243"/>
      <c r="CJ110" s="538"/>
      <c r="CK110" s="466"/>
      <c r="CL110" s="538"/>
      <c r="CM110" s="243"/>
      <c r="CN110" s="243"/>
      <c r="CO110" s="243"/>
      <c r="CP110" s="466"/>
      <c r="CQ110" s="243"/>
      <c r="CR110" s="243"/>
      <c r="CS110" s="538"/>
      <c r="CT110" s="538"/>
      <c r="CU110" s="466"/>
      <c r="CV110" s="243"/>
      <c r="CW110" s="538"/>
      <c r="CX110" s="538"/>
      <c r="CY110" s="243"/>
      <c r="CZ110" s="466"/>
      <c r="DA110" s="243"/>
      <c r="DB110" s="243"/>
      <c r="DC110" s="243"/>
      <c r="DD110" s="243"/>
      <c r="DE110" s="466"/>
      <c r="DF110" s="538"/>
      <c r="DG110" s="538"/>
      <c r="DH110" s="538"/>
      <c r="DI110" s="538"/>
      <c r="DJ110" s="466"/>
      <c r="DK110" s="538"/>
      <c r="DL110" s="538"/>
      <c r="DM110" s="538"/>
      <c r="DN110" s="538"/>
      <c r="DO110" s="466"/>
      <c r="DP110" s="538"/>
      <c r="DQ110" s="243"/>
      <c r="DR110" s="243"/>
      <c r="DS110" s="243"/>
      <c r="DT110" s="466"/>
      <c r="DU110" s="243"/>
      <c r="DV110" s="243"/>
      <c r="DW110" s="243"/>
      <c r="DX110" s="243"/>
      <c r="DY110" s="466"/>
      <c r="DZ110" s="13"/>
      <c r="EA110" s="13"/>
      <c r="EB110" s="13"/>
    </row>
    <row r="111" spans="1:132" s="298" customFormat="1">
      <c r="A111" s="241"/>
      <c r="B111" s="121" t="s">
        <v>628</v>
      </c>
      <c r="C111" s="299"/>
      <c r="D111" s="299"/>
      <c r="E111" s="299"/>
      <c r="F111" s="299"/>
      <c r="G111" s="299"/>
      <c r="H111" s="299"/>
      <c r="I111" s="299"/>
      <c r="J111" s="243"/>
      <c r="K111" s="243"/>
      <c r="L111" s="243"/>
      <c r="M111" s="243"/>
      <c r="N111" s="299"/>
      <c r="O111" s="243"/>
      <c r="P111" s="243"/>
      <c r="Q111" s="243"/>
      <c r="R111" s="243"/>
      <c r="S111" s="299"/>
      <c r="T111" s="243"/>
      <c r="U111" s="243"/>
      <c r="V111" s="243"/>
      <c r="W111" s="243"/>
      <c r="X111" s="299"/>
      <c r="Y111" s="243"/>
      <c r="Z111" s="243"/>
      <c r="AA111" s="243"/>
      <c r="AB111" s="243"/>
      <c r="AC111" s="299"/>
      <c r="AD111" s="243"/>
      <c r="AE111" s="243"/>
      <c r="AF111" s="243"/>
      <c r="AG111" s="243"/>
      <c r="AH111" s="299"/>
      <c r="AI111" s="243"/>
      <c r="AJ111" s="243"/>
      <c r="AK111" s="243"/>
      <c r="AL111" s="243"/>
      <c r="AM111" s="299"/>
      <c r="AN111" s="243"/>
      <c r="AO111" s="439"/>
      <c r="AP111" s="439"/>
      <c r="AQ111" s="538"/>
      <c r="AR111" s="299"/>
      <c r="AS111" s="243"/>
      <c r="AT111" s="439"/>
      <c r="AU111" s="439"/>
      <c r="AV111" s="538"/>
      <c r="AW111" s="299"/>
      <c r="AX111" s="243"/>
      <c r="AY111" s="439"/>
      <c r="AZ111" s="439"/>
      <c r="BA111" s="538"/>
      <c r="BB111" s="299"/>
      <c r="BC111" s="243"/>
      <c r="BD111" s="439"/>
      <c r="BE111" s="439"/>
      <c r="BF111" s="243"/>
      <c r="BG111" s="299"/>
      <c r="BH111" s="243"/>
      <c r="BI111" s="243"/>
      <c r="BK111" s="243"/>
      <c r="BL111" s="13"/>
      <c r="BM111" s="243"/>
      <c r="BN111" s="439"/>
      <c r="BP111" s="243"/>
      <c r="BQ111" s="13"/>
      <c r="BS111" s="243"/>
      <c r="BU111" s="243"/>
      <c r="BV111" s="13"/>
      <c r="BW111" s="439"/>
      <c r="BX111" s="538"/>
      <c r="BZ111" s="538"/>
      <c r="CA111" s="13"/>
      <c r="CB111" s="547">
        <f>-707-0.5</f>
        <v>-707.5</v>
      </c>
      <c r="CC111" s="547">
        <v>-529.5</v>
      </c>
      <c r="CD111" s="547">
        <v>-1205</v>
      </c>
      <c r="CE111" s="547">
        <v>-775</v>
      </c>
      <c r="CF111" s="858">
        <f>SUM(CB111:CE111)</f>
        <v>-3217</v>
      </c>
      <c r="CG111" s="547">
        <v>-800</v>
      </c>
      <c r="CH111" s="547">
        <v>-700</v>
      </c>
      <c r="CI111" s="547">
        <v>-800</v>
      </c>
      <c r="CJ111" s="547">
        <v>-800</v>
      </c>
      <c r="CK111" s="858">
        <f>SUM(CG111:CJ111)</f>
        <v>-3100</v>
      </c>
      <c r="CL111" s="547">
        <v>-800</v>
      </c>
      <c r="CM111" s="547">
        <v>-400</v>
      </c>
      <c r="CN111" s="547">
        <v>-400</v>
      </c>
      <c r="CO111" s="547">
        <v>-400</v>
      </c>
      <c r="CP111" s="858">
        <f>SUM(CL111:CO111)</f>
        <v>-2000</v>
      </c>
      <c r="CQ111" s="547">
        <v>-600</v>
      </c>
      <c r="CR111" s="547">
        <v>-600</v>
      </c>
      <c r="CS111" s="547">
        <v>-600</v>
      </c>
      <c r="CT111" s="547">
        <v>-600</v>
      </c>
      <c r="CU111" s="858">
        <f>SUM(CQ111:CT111)</f>
        <v>-2400</v>
      </c>
      <c r="CV111" s="547">
        <v>-600</v>
      </c>
      <c r="CW111" s="547">
        <v>-600</v>
      </c>
      <c r="CX111" s="547">
        <v>-600</v>
      </c>
      <c r="CY111" s="547">
        <v>-600</v>
      </c>
      <c r="CZ111" s="858">
        <f>SUM(CV111:CY111)</f>
        <v>-2400</v>
      </c>
      <c r="DA111" s="547">
        <v>-600</v>
      </c>
      <c r="DB111" s="547">
        <v>-600</v>
      </c>
      <c r="DC111" s="547">
        <v>-600</v>
      </c>
      <c r="DD111" s="547">
        <v>-600</v>
      </c>
      <c r="DE111" s="858">
        <f>SUM(DA111:DD111)</f>
        <v>-2400</v>
      </c>
      <c r="DF111" s="547">
        <v>-600</v>
      </c>
      <c r="DG111" s="547">
        <v>-600</v>
      </c>
      <c r="DH111" s="547">
        <v>-600</v>
      </c>
      <c r="DI111" s="547">
        <v>-155</v>
      </c>
      <c r="DJ111" s="1027">
        <f>SUM(DF111:DI111)</f>
        <v>-1955</v>
      </c>
      <c r="DK111" s="547">
        <v>-625</v>
      </c>
      <c r="DL111" s="547">
        <v>-625</v>
      </c>
      <c r="DM111" s="547">
        <v>-600</v>
      </c>
      <c r="DN111" s="547">
        <v>-650</v>
      </c>
      <c r="DO111" s="1027">
        <f>SUM(DK111:DN111)</f>
        <v>-2500</v>
      </c>
      <c r="DP111" s="547">
        <v>-625</v>
      </c>
      <c r="DQ111" s="861">
        <v>-665</v>
      </c>
      <c r="DR111" s="861">
        <v>-645</v>
      </c>
      <c r="DS111" s="861">
        <v>-655</v>
      </c>
      <c r="DT111" s="120">
        <f>SUM(DP111:DS111)</f>
        <v>-2590</v>
      </c>
      <c r="DU111" s="861">
        <v>-630</v>
      </c>
      <c r="DV111" s="861">
        <v>-630</v>
      </c>
      <c r="DW111" s="861">
        <v>-645</v>
      </c>
      <c r="DX111" s="861">
        <v>-655</v>
      </c>
      <c r="DY111" s="120">
        <f>SUM(DU111:DX111)</f>
        <v>-2560</v>
      </c>
      <c r="DZ111" s="180">
        <v>-2570</v>
      </c>
      <c r="EA111" s="180">
        <v>-2580</v>
      </c>
      <c r="EB111" s="180">
        <v>-2590</v>
      </c>
    </row>
    <row r="112" spans="1:132" s="298" customFormat="1">
      <c r="A112" s="241"/>
      <c r="B112" s="121" t="s">
        <v>582</v>
      </c>
      <c r="C112" s="299"/>
      <c r="D112" s="299"/>
      <c r="E112" s="299"/>
      <c r="F112" s="299"/>
      <c r="G112" s="299"/>
      <c r="H112" s="299"/>
      <c r="I112" s="299"/>
      <c r="J112" s="243"/>
      <c r="K112" s="243"/>
      <c r="L112" s="243"/>
      <c r="M112" s="243"/>
      <c r="N112" s="299"/>
      <c r="O112" s="243"/>
      <c r="P112" s="243"/>
      <c r="Q112" s="243"/>
      <c r="R112" s="243"/>
      <c r="S112" s="299"/>
      <c r="T112" s="243"/>
      <c r="U112" s="243"/>
      <c r="V112" s="243"/>
      <c r="W112" s="243"/>
      <c r="X112" s="299"/>
      <c r="Y112" s="243"/>
      <c r="Z112" s="243"/>
      <c r="AA112" s="243"/>
      <c r="AB112" s="243"/>
      <c r="AC112" s="299"/>
      <c r="AD112" s="243"/>
      <c r="AE112" s="243"/>
      <c r="AF112" s="243"/>
      <c r="AG112" s="243"/>
      <c r="AH112" s="299"/>
      <c r="AI112" s="243"/>
      <c r="AJ112" s="243"/>
      <c r="AK112" s="243"/>
      <c r="AL112" s="243"/>
      <c r="AM112" s="299"/>
      <c r="AN112" s="243"/>
      <c r="AO112" s="439"/>
      <c r="AP112" s="439"/>
      <c r="AQ112" s="538"/>
      <c r="AR112" s="299"/>
      <c r="AS112" s="243"/>
      <c r="AT112" s="439"/>
      <c r="AU112" s="439"/>
      <c r="AV112" s="538"/>
      <c r="AW112" s="299"/>
      <c r="AX112" s="243"/>
      <c r="AY112" s="439"/>
      <c r="AZ112" s="439"/>
      <c r="BA112" s="538"/>
      <c r="BB112" s="299"/>
      <c r="BC112" s="243"/>
      <c r="BD112" s="439"/>
      <c r="BE112" s="439"/>
      <c r="BF112" s="243"/>
      <c r="BG112" s="299"/>
      <c r="BH112" s="856">
        <v>-279</v>
      </c>
      <c r="BI112" s="856">
        <v>-73</v>
      </c>
      <c r="BJ112" s="856">
        <v>55</v>
      </c>
      <c r="BK112" s="856">
        <v>103.5</v>
      </c>
      <c r="BL112" s="858">
        <f>SUM(BH112:BK112)</f>
        <v>-193.5</v>
      </c>
      <c r="BM112" s="856">
        <v>-18</v>
      </c>
      <c r="BN112" s="856">
        <v>-121</v>
      </c>
      <c r="BO112" s="856">
        <v>140</v>
      </c>
      <c r="BP112" s="856">
        <v>90</v>
      </c>
      <c r="BQ112" s="858">
        <f>SUM(BM112:BP112)</f>
        <v>91</v>
      </c>
      <c r="BR112" s="856">
        <v>-518</v>
      </c>
      <c r="BS112" s="856">
        <v>13</v>
      </c>
      <c r="BT112" s="856">
        <v>386</v>
      </c>
      <c r="BU112" s="856">
        <v>141</v>
      </c>
      <c r="BV112" s="858">
        <f>SUM(BR112:BU112)</f>
        <v>22</v>
      </c>
      <c r="BW112" s="856">
        <v>-68</v>
      </c>
      <c r="BX112" s="856">
        <v>127</v>
      </c>
      <c r="BY112" s="547">
        <v>360</v>
      </c>
      <c r="BZ112" s="547">
        <v>-514</v>
      </c>
      <c r="CA112" s="858">
        <f>SUM(BW112:BZ112)</f>
        <v>-95</v>
      </c>
      <c r="CB112" s="547">
        <v>-307</v>
      </c>
      <c r="CC112" s="547">
        <v>-475</v>
      </c>
      <c r="CD112" s="547">
        <v>1104</v>
      </c>
      <c r="CE112" s="547">
        <v>-561</v>
      </c>
      <c r="CF112" s="858">
        <f>SUM(CB112:CE112)</f>
        <v>-239</v>
      </c>
      <c r="CG112" s="547">
        <v>-299</v>
      </c>
      <c r="CH112" s="547">
        <v>-4625</v>
      </c>
      <c r="CI112" s="547">
        <v>1436</v>
      </c>
      <c r="CJ112" s="547">
        <v>-1377</v>
      </c>
      <c r="CK112" s="120">
        <f>SUM(CG112:CJ112)</f>
        <v>-4865</v>
      </c>
      <c r="CL112" s="547">
        <v>995</v>
      </c>
      <c r="CM112" s="547">
        <v>-156</v>
      </c>
      <c r="CN112" s="547">
        <v>628</v>
      </c>
      <c r="CO112" s="547">
        <v>-3</v>
      </c>
      <c r="CP112" s="120">
        <f>SUM(CL112:CO112)</f>
        <v>1464</v>
      </c>
      <c r="CQ112" s="547">
        <v>-492</v>
      </c>
      <c r="CR112" s="547">
        <v>261</v>
      </c>
      <c r="CS112" s="547">
        <v>-794</v>
      </c>
      <c r="CT112" s="547">
        <v>-1285</v>
      </c>
      <c r="CU112" s="120">
        <f>SUM(CQ112:CT112)</f>
        <v>-2310</v>
      </c>
      <c r="CV112" s="547">
        <v>-1070</v>
      </c>
      <c r="CW112" s="547">
        <v>-1141</v>
      </c>
      <c r="CX112" s="547">
        <v>-1042</v>
      </c>
      <c r="CY112" s="547">
        <v>-1756</v>
      </c>
      <c r="CZ112" s="120">
        <f>SUM(CV112:CY112)</f>
        <v>-5009</v>
      </c>
      <c r="DA112" s="547">
        <f>-1400-81</f>
        <v>-1481</v>
      </c>
      <c r="DB112" s="547">
        <v>-577</v>
      </c>
      <c r="DC112" s="547">
        <v>-33</v>
      </c>
      <c r="DD112" s="547">
        <v>-1072.3</v>
      </c>
      <c r="DE112" s="120">
        <f>SUM(DA112:DD112)</f>
        <v>-3163.3</v>
      </c>
      <c r="DF112" s="547">
        <f>-753-0.44</f>
        <v>-753.44</v>
      </c>
      <c r="DG112" s="547">
        <v>-45</v>
      </c>
      <c r="DH112" s="547">
        <v>-249</v>
      </c>
      <c r="DI112" s="547">
        <v>-49.5</v>
      </c>
      <c r="DJ112" s="120">
        <f>SUM(DF112:DI112)</f>
        <v>-1096.94</v>
      </c>
      <c r="DK112" s="547">
        <v>-410</v>
      </c>
      <c r="DL112" s="547">
        <v>-316</v>
      </c>
      <c r="DM112" s="547">
        <v>-285</v>
      </c>
      <c r="DN112" s="547">
        <v>-393</v>
      </c>
      <c r="DO112" s="120">
        <f>SUM(DK112:DN112)</f>
        <v>-1404</v>
      </c>
      <c r="DP112" s="547">
        <v>-490</v>
      </c>
      <c r="DQ112" s="861">
        <v>-474</v>
      </c>
      <c r="DR112" s="861">
        <v>-425</v>
      </c>
      <c r="DS112" s="861">
        <v>-425</v>
      </c>
      <c r="DT112" s="120">
        <f>SUM(DP112:DS112)</f>
        <v>-1814</v>
      </c>
      <c r="DU112" s="861">
        <v>-415</v>
      </c>
      <c r="DV112" s="861">
        <v>-420</v>
      </c>
      <c r="DW112" s="861">
        <v>-430</v>
      </c>
      <c r="DX112" s="861">
        <v>-435</v>
      </c>
      <c r="DY112" s="120">
        <f>SUM(DU112:DX112)</f>
        <v>-1700</v>
      </c>
      <c r="DZ112" s="180">
        <v>-1720</v>
      </c>
      <c r="EA112" s="180">
        <v>-1740</v>
      </c>
      <c r="EB112" s="180">
        <v>-1760</v>
      </c>
    </row>
    <row r="113" spans="1:132" s="298" customFormat="1">
      <c r="A113" s="241"/>
      <c r="B113" s="241"/>
      <c r="C113" s="299"/>
      <c r="D113" s="299"/>
      <c r="E113" s="299"/>
      <c r="F113" s="299"/>
      <c r="G113" s="299"/>
      <c r="H113" s="299"/>
      <c r="I113" s="299"/>
      <c r="J113" s="243"/>
      <c r="K113" s="243"/>
      <c r="L113" s="243"/>
      <c r="M113" s="243"/>
      <c r="N113" s="299"/>
      <c r="O113" s="243"/>
      <c r="P113" s="243"/>
      <c r="Q113" s="243"/>
      <c r="R113" s="243"/>
      <c r="S113" s="299"/>
      <c r="T113" s="243"/>
      <c r="U113" s="243"/>
      <c r="V113" s="243"/>
      <c r="W113" s="243"/>
      <c r="X113" s="299"/>
      <c r="Y113" s="243"/>
      <c r="Z113" s="243"/>
      <c r="AA113" s="243"/>
      <c r="AB113" s="243"/>
      <c r="AC113" s="299"/>
      <c r="AD113" s="243"/>
      <c r="AE113" s="243"/>
      <c r="AF113" s="243"/>
      <c r="AG113" s="243"/>
      <c r="AH113" s="299"/>
      <c r="AI113" s="243"/>
      <c r="AJ113" s="243"/>
      <c r="AK113" s="243"/>
      <c r="AL113" s="243"/>
      <c r="AM113" s="299"/>
      <c r="AN113" s="243"/>
      <c r="AO113" s="439"/>
      <c r="AP113" s="439"/>
      <c r="AQ113" s="538"/>
      <c r="AR113" s="299"/>
      <c r="AS113" s="243"/>
      <c r="AT113" s="439"/>
      <c r="AU113" s="439"/>
      <c r="AV113" s="538"/>
      <c r="AW113" s="299"/>
      <c r="AX113" s="243"/>
      <c r="AY113" s="439"/>
      <c r="AZ113" s="439"/>
      <c r="BA113" s="538"/>
      <c r="BB113" s="299"/>
      <c r="BC113" s="243"/>
      <c r="BD113" s="439"/>
      <c r="BE113" s="439"/>
      <c r="BF113" s="243"/>
      <c r="BG113" s="299"/>
      <c r="BH113" s="243"/>
      <c r="BI113" s="243"/>
      <c r="BK113" s="243"/>
      <c r="BL113" s="299"/>
      <c r="BM113" s="243"/>
      <c r="BN113" s="439"/>
      <c r="BP113" s="243"/>
      <c r="BQ113" s="299"/>
      <c r="BR113" s="856"/>
      <c r="BS113" s="857"/>
      <c r="BT113" s="856"/>
      <c r="BU113" s="857"/>
      <c r="BV113" s="858"/>
      <c r="BW113" s="859"/>
      <c r="BX113" s="860"/>
      <c r="BZ113" s="538"/>
      <c r="CA113" s="299"/>
      <c r="CC113" s="243"/>
      <c r="CE113" s="243"/>
      <c r="CF113" s="299"/>
      <c r="CG113" s="243"/>
      <c r="CH113" s="243"/>
      <c r="CI113" s="243"/>
      <c r="CJ113" s="538"/>
      <c r="CK113" s="585"/>
      <c r="CL113" s="538"/>
      <c r="CM113" s="243"/>
      <c r="CN113" s="243"/>
      <c r="CO113" s="243"/>
      <c r="CP113" s="585"/>
      <c r="CQ113" s="243"/>
      <c r="CR113" s="243"/>
      <c r="CS113" s="538"/>
      <c r="CT113" s="538"/>
      <c r="CU113" s="585"/>
      <c r="CV113" s="243"/>
      <c r="CW113" s="538"/>
      <c r="CX113" s="538"/>
      <c r="CY113" s="243"/>
      <c r="CZ113" s="585"/>
      <c r="DA113" s="538"/>
      <c r="DB113" s="538"/>
      <c r="DC113" s="538"/>
      <c r="DD113" s="538"/>
      <c r="DE113" s="585"/>
      <c r="DF113" s="538"/>
      <c r="DG113" s="538"/>
      <c r="DH113" s="538"/>
      <c r="DI113" s="538"/>
      <c r="DJ113" s="585"/>
      <c r="DK113" s="538"/>
      <c r="DL113" s="538"/>
      <c r="DM113" s="538"/>
      <c r="DN113" s="538"/>
      <c r="DO113" s="585"/>
      <c r="DP113" s="538"/>
      <c r="DQ113" s="243"/>
      <c r="DR113" s="243"/>
      <c r="DS113" s="243"/>
      <c r="DT113" s="585"/>
      <c r="DU113" s="243"/>
      <c r="DV113" s="243"/>
      <c r="DW113" s="243"/>
      <c r="DX113" s="243"/>
      <c r="DY113" s="585"/>
      <c r="DZ113" s="299"/>
      <c r="EA113" s="299"/>
      <c r="EB113" s="299"/>
    </row>
    <row r="114" spans="1:132" s="298" customFormat="1">
      <c r="A114" s="241"/>
      <c r="B114" s="863" t="s">
        <v>364</v>
      </c>
      <c r="C114" s="864">
        <f t="shared" ref="C114:AH114" si="498">+C35+C40+C45+C50+C81+C55+C70+C85+C92+C98+C104</f>
        <v>25042</v>
      </c>
      <c r="D114" s="864">
        <f t="shared" si="498"/>
        <v>34049</v>
      </c>
      <c r="E114" s="864">
        <f t="shared" si="498"/>
        <v>35939.5</v>
      </c>
      <c r="F114" s="864">
        <f t="shared" si="498"/>
        <v>26596</v>
      </c>
      <c r="G114" s="864">
        <f t="shared" si="498"/>
        <v>29904.5</v>
      </c>
      <c r="H114" s="864">
        <f t="shared" si="498"/>
        <v>24491</v>
      </c>
      <c r="I114" s="864">
        <f t="shared" si="498"/>
        <v>18563</v>
      </c>
      <c r="J114" s="863">
        <f t="shared" si="498"/>
        <v>4589</v>
      </c>
      <c r="K114" s="863">
        <f t="shared" si="498"/>
        <v>4818</v>
      </c>
      <c r="L114" s="863">
        <f t="shared" si="498"/>
        <v>3883</v>
      </c>
      <c r="M114" s="863">
        <f t="shared" si="498"/>
        <v>4220</v>
      </c>
      <c r="N114" s="864">
        <f t="shared" si="498"/>
        <v>17510</v>
      </c>
      <c r="O114" s="863">
        <f t="shared" si="498"/>
        <v>4129</v>
      </c>
      <c r="P114" s="863">
        <f t="shared" si="498"/>
        <v>5633</v>
      </c>
      <c r="Q114" s="863">
        <f t="shared" si="498"/>
        <v>3703</v>
      </c>
      <c r="R114" s="863">
        <f t="shared" si="498"/>
        <v>4648</v>
      </c>
      <c r="S114" s="864">
        <f t="shared" si="498"/>
        <v>18113</v>
      </c>
      <c r="T114" s="863">
        <f t="shared" si="498"/>
        <v>6337</v>
      </c>
      <c r="U114" s="863">
        <f t="shared" si="498"/>
        <v>6319.5999999999995</v>
      </c>
      <c r="V114" s="863">
        <f t="shared" si="498"/>
        <v>5841</v>
      </c>
      <c r="W114" s="863">
        <f t="shared" si="498"/>
        <v>6466</v>
      </c>
      <c r="X114" s="864">
        <f t="shared" si="498"/>
        <v>24963.600000000002</v>
      </c>
      <c r="Y114" s="863">
        <f t="shared" si="498"/>
        <v>6470</v>
      </c>
      <c r="Z114" s="863">
        <f t="shared" si="498"/>
        <v>7320</v>
      </c>
      <c r="AA114" s="863">
        <f t="shared" si="498"/>
        <v>7145</v>
      </c>
      <c r="AB114" s="863">
        <f t="shared" si="498"/>
        <v>7644</v>
      </c>
      <c r="AC114" s="864">
        <f t="shared" si="498"/>
        <v>28579</v>
      </c>
      <c r="AD114" s="863">
        <f t="shared" si="498"/>
        <v>7488</v>
      </c>
      <c r="AE114" s="863">
        <f t="shared" si="498"/>
        <v>7760</v>
      </c>
      <c r="AF114" s="863">
        <f t="shared" si="498"/>
        <v>5154</v>
      </c>
      <c r="AG114" s="863">
        <f t="shared" si="498"/>
        <v>3398.8</v>
      </c>
      <c r="AH114" s="864">
        <f t="shared" si="498"/>
        <v>23800.799999999999</v>
      </c>
      <c r="AI114" s="863">
        <f t="shared" ref="AI114:BG114" si="499">+AI35+AI40+AI45+AI50+AI81+AI55+AI70+AI85+AI92+AI98+AI104</f>
        <v>7941</v>
      </c>
      <c r="AJ114" s="863">
        <f t="shared" si="499"/>
        <v>7653</v>
      </c>
      <c r="AK114" s="863">
        <f t="shared" si="499"/>
        <v>6755</v>
      </c>
      <c r="AL114" s="863">
        <f t="shared" si="499"/>
        <v>7938</v>
      </c>
      <c r="AM114" s="864">
        <f t="shared" si="499"/>
        <v>30287</v>
      </c>
      <c r="AN114" s="863">
        <f t="shared" si="499"/>
        <v>6377</v>
      </c>
      <c r="AO114" s="863">
        <f t="shared" si="499"/>
        <v>6314</v>
      </c>
      <c r="AP114" s="863">
        <f t="shared" si="499"/>
        <v>7343</v>
      </c>
      <c r="AQ114" s="863">
        <f t="shared" si="499"/>
        <v>6712</v>
      </c>
      <c r="AR114" s="864">
        <f t="shared" si="499"/>
        <v>26746</v>
      </c>
      <c r="AS114" s="863">
        <f t="shared" si="499"/>
        <v>5878</v>
      </c>
      <c r="AT114" s="863">
        <f t="shared" si="499"/>
        <v>7218</v>
      </c>
      <c r="AU114" s="863">
        <f t="shared" si="499"/>
        <v>7869</v>
      </c>
      <c r="AV114" s="863">
        <f t="shared" si="499"/>
        <v>9192</v>
      </c>
      <c r="AW114" s="864">
        <f t="shared" si="499"/>
        <v>30157</v>
      </c>
      <c r="AX114" s="863">
        <f t="shared" si="499"/>
        <v>9487</v>
      </c>
      <c r="AY114" s="863">
        <f t="shared" si="499"/>
        <v>10434</v>
      </c>
      <c r="AZ114" s="863">
        <f t="shared" si="499"/>
        <v>10718</v>
      </c>
      <c r="BA114" s="863">
        <f t="shared" si="499"/>
        <v>12388</v>
      </c>
      <c r="BB114" s="864">
        <f t="shared" si="499"/>
        <v>43027</v>
      </c>
      <c r="BC114" s="863">
        <f t="shared" si="499"/>
        <v>9545</v>
      </c>
      <c r="BD114" s="863">
        <f t="shared" si="499"/>
        <v>11891</v>
      </c>
      <c r="BE114" s="863">
        <f t="shared" si="499"/>
        <v>12215</v>
      </c>
      <c r="BF114" s="863">
        <f t="shared" si="499"/>
        <v>12838</v>
      </c>
      <c r="BG114" s="864">
        <f t="shared" si="499"/>
        <v>47137</v>
      </c>
      <c r="BH114" s="863">
        <f t="shared" ref="BH114:BQ114" si="500">+BH35+BH40+BH45+BH50+BH81+BH55+BH70+BH85+BH92+BH98+BH104+BH112</f>
        <v>11443.135</v>
      </c>
      <c r="BI114" s="863">
        <f t="shared" si="500"/>
        <v>12872.295000000002</v>
      </c>
      <c r="BJ114" s="863">
        <f t="shared" si="500"/>
        <v>14467.01</v>
      </c>
      <c r="BK114" s="863">
        <f t="shared" si="500"/>
        <v>14943.344999999999</v>
      </c>
      <c r="BL114" s="864">
        <f t="shared" si="500"/>
        <v>53725.785000000003</v>
      </c>
      <c r="BM114" s="863">
        <f t="shared" si="500"/>
        <v>14039.349999999999</v>
      </c>
      <c r="BN114" s="863">
        <f t="shared" si="500"/>
        <v>15354.660000000002</v>
      </c>
      <c r="BO114" s="863">
        <f t="shared" si="500"/>
        <v>15845.24</v>
      </c>
      <c r="BP114" s="863">
        <f t="shared" si="500"/>
        <v>14189.77</v>
      </c>
      <c r="BQ114" s="864">
        <f t="shared" si="500"/>
        <v>59429.020000000004</v>
      </c>
      <c r="BR114" s="863">
        <f t="shared" ref="BR114:CA114" si="501">BR35+BR45+BR81+BR55+BR70+BR112</f>
        <v>12786.952499999999</v>
      </c>
      <c r="BS114" s="863">
        <f t="shared" si="501"/>
        <v>15642.880000000001</v>
      </c>
      <c r="BT114" s="863">
        <f t="shared" si="501"/>
        <v>15199.797500000001</v>
      </c>
      <c r="BU114" s="863">
        <f t="shared" si="501"/>
        <v>14381.695000000002</v>
      </c>
      <c r="BV114" s="864">
        <f t="shared" si="501"/>
        <v>58011.325000000004</v>
      </c>
      <c r="BW114" s="863">
        <f t="shared" si="501"/>
        <v>12952.752499999999</v>
      </c>
      <c r="BX114" s="863">
        <f t="shared" si="501"/>
        <v>14280.427499999998</v>
      </c>
      <c r="BY114" s="863">
        <f t="shared" si="501"/>
        <v>15392.555</v>
      </c>
      <c r="BZ114" s="863">
        <f t="shared" si="501"/>
        <v>15387.775</v>
      </c>
      <c r="CA114" s="864">
        <f t="shared" si="501"/>
        <v>58013.509999999995</v>
      </c>
      <c r="CB114" s="863">
        <f t="shared" ref="CB114:DJ114" si="502">CB35+CB45+CB81+CB55+CB70+CB112+CB111</f>
        <v>12944.785</v>
      </c>
      <c r="CC114" s="863">
        <f t="shared" si="502"/>
        <v>13952.165000000001</v>
      </c>
      <c r="CD114" s="863">
        <f t="shared" si="502"/>
        <v>14070.705</v>
      </c>
      <c r="CE114" s="863">
        <f t="shared" si="502"/>
        <v>16530.915000000001</v>
      </c>
      <c r="CF114" s="864">
        <f t="shared" si="502"/>
        <v>57498.570000000007</v>
      </c>
      <c r="CG114" s="863">
        <f t="shared" si="502"/>
        <v>11821.702299999999</v>
      </c>
      <c r="CH114" s="863">
        <f t="shared" si="502"/>
        <v>4722.1709500000015</v>
      </c>
      <c r="CI114" s="863">
        <f t="shared" si="502"/>
        <v>8248.5808500000003</v>
      </c>
      <c r="CJ114" s="863">
        <f t="shared" si="502"/>
        <v>7462.3120500000005</v>
      </c>
      <c r="CK114" s="864">
        <f t="shared" si="502"/>
        <v>32254.766150000003</v>
      </c>
      <c r="CL114" s="863">
        <f t="shared" si="502"/>
        <v>6204.9090985000012</v>
      </c>
      <c r="CM114" s="863">
        <f t="shared" si="502"/>
        <v>1632.6997664999999</v>
      </c>
      <c r="CN114" s="863">
        <f t="shared" si="502"/>
        <v>3595.5568855000001</v>
      </c>
      <c r="CO114" s="863">
        <f t="shared" si="502"/>
        <v>4728.0231610000001</v>
      </c>
      <c r="CP114" s="864">
        <f t="shared" si="502"/>
        <v>16161.188911500001</v>
      </c>
      <c r="CQ114" s="863">
        <f t="shared" si="502"/>
        <v>4268.589999285</v>
      </c>
      <c r="CR114" s="863">
        <f t="shared" si="502"/>
        <v>6014.8665121600006</v>
      </c>
      <c r="CS114" s="863">
        <f t="shared" si="502"/>
        <v>4458.5533641300008</v>
      </c>
      <c r="CT114" s="863">
        <f t="shared" si="502"/>
        <v>4749.7840093449995</v>
      </c>
      <c r="CU114" s="864">
        <f t="shared" si="502"/>
        <v>19491.79388492</v>
      </c>
      <c r="CV114" s="863">
        <f t="shared" si="502"/>
        <v>4160.5922951410002</v>
      </c>
      <c r="CW114" s="863">
        <f t="shared" si="502"/>
        <v>6219.1345653891749</v>
      </c>
      <c r="CX114" s="863">
        <f t="shared" si="502"/>
        <v>6262.5439418480755</v>
      </c>
      <c r="CY114" s="863">
        <f t="shared" si="502"/>
        <v>9224.0342588195508</v>
      </c>
      <c r="CZ114" s="864">
        <f t="shared" si="502"/>
        <v>25866.305061197796</v>
      </c>
      <c r="DA114" s="863">
        <f t="shared" si="502"/>
        <v>6704.4382286024702</v>
      </c>
      <c r="DB114" s="863">
        <f t="shared" si="502"/>
        <v>8839.7888707996626</v>
      </c>
      <c r="DC114" s="863">
        <f t="shared" si="502"/>
        <v>7876.0938196930292</v>
      </c>
      <c r="DD114" s="863">
        <f t="shared" si="502"/>
        <v>10481.046327345739</v>
      </c>
      <c r="DE114" s="864">
        <f t="shared" si="502"/>
        <v>33901.367246440903</v>
      </c>
      <c r="DF114" s="863">
        <f t="shared" si="502"/>
        <v>4652.9965258754983</v>
      </c>
      <c r="DG114" s="863">
        <f t="shared" si="502"/>
        <v>6002.8687253501321</v>
      </c>
      <c r="DH114" s="863">
        <f t="shared" si="502"/>
        <v>7442.8332867312783</v>
      </c>
      <c r="DI114" s="863">
        <f t="shared" si="502"/>
        <v>4762.0768891096923</v>
      </c>
      <c r="DJ114" s="864">
        <f t="shared" si="502"/>
        <v>22860.775427066601</v>
      </c>
      <c r="DK114" s="863">
        <f t="shared" ref="DK114:DO114" si="503">DK35+DK45+DK81+DK55+DK70+DK112+DK111</f>
        <v>8147.0041168052721</v>
      </c>
      <c r="DL114" s="863">
        <f t="shared" si="503"/>
        <v>10873.599294704403</v>
      </c>
      <c r="DM114" s="863">
        <f t="shared" si="503"/>
        <v>11093.958867626641</v>
      </c>
      <c r="DN114" s="863">
        <f t="shared" si="503"/>
        <v>11379.39288279129</v>
      </c>
      <c r="DO114" s="864">
        <f t="shared" si="503"/>
        <v>41493.955161927603</v>
      </c>
      <c r="DP114" s="863">
        <f t="shared" ref="DP114:DT114" si="504">DP35+DP45+DP81+DP55+DP70+DP112+DP111</f>
        <v>9202.561940186888</v>
      </c>
      <c r="DQ114" s="863">
        <f t="shared" si="504"/>
        <v>11751.153592822791</v>
      </c>
      <c r="DR114" s="863">
        <f t="shared" si="504"/>
        <v>11291.396795496217</v>
      </c>
      <c r="DS114" s="863">
        <f t="shared" si="504"/>
        <v>12572.529358705026</v>
      </c>
      <c r="DT114" s="864">
        <f t="shared" si="504"/>
        <v>44817.641687210926</v>
      </c>
      <c r="DU114" s="863">
        <f t="shared" ref="DU114:DY114" si="505">DU35+DU45+DU81+DU55+DU70+DU112+DU111</f>
        <v>12039.5367612225</v>
      </c>
      <c r="DV114" s="863">
        <f t="shared" si="505"/>
        <v>14228.745443111249</v>
      </c>
      <c r="DW114" s="863">
        <f t="shared" si="505"/>
        <v>15280.745443111249</v>
      </c>
      <c r="DX114" s="863">
        <f t="shared" si="505"/>
        <v>17502.36709311125</v>
      </c>
      <c r="DY114" s="864">
        <f t="shared" si="505"/>
        <v>59051.39474055625</v>
      </c>
      <c r="DZ114" s="864">
        <f t="shared" ref="DZ114:EB114" si="506">DZ35+DZ45+DZ81+DZ55+DZ70+DZ112+DZ111</f>
        <v>68286.425936222498</v>
      </c>
      <c r="EA114" s="864">
        <f t="shared" si="506"/>
        <v>78761</v>
      </c>
      <c r="EB114" s="864">
        <f t="shared" si="506"/>
        <v>84921</v>
      </c>
    </row>
    <row r="115" spans="1:132" s="306" customFormat="1">
      <c r="A115" s="305"/>
      <c r="B115" s="137" t="s">
        <v>365</v>
      </c>
      <c r="C115" s="301"/>
      <c r="D115" s="301">
        <f t="shared" ref="D115:I115" si="507">D114/C114-1</f>
        <v>0.35967574474882191</v>
      </c>
      <c r="E115" s="301">
        <f t="shared" si="507"/>
        <v>5.5522922846485967E-2</v>
      </c>
      <c r="F115" s="301">
        <f t="shared" si="507"/>
        <v>-0.25997857510538547</v>
      </c>
      <c r="G115" s="301">
        <f t="shared" si="507"/>
        <v>0.12439840577530448</v>
      </c>
      <c r="H115" s="301">
        <f t="shared" si="507"/>
        <v>-0.18102626694979018</v>
      </c>
      <c r="I115" s="301">
        <f t="shared" si="507"/>
        <v>-0.24204809930178428</v>
      </c>
      <c r="J115" s="242"/>
      <c r="K115" s="242"/>
      <c r="L115" s="242"/>
      <c r="M115" s="242"/>
      <c r="N115" s="301">
        <f t="shared" ref="N115:AW115" si="508">N114/I114-1</f>
        <v>-5.6725744761083829E-2</v>
      </c>
      <c r="O115" s="242">
        <f t="shared" si="508"/>
        <v>-0.10023970363913703</v>
      </c>
      <c r="P115" s="242">
        <f t="shared" si="508"/>
        <v>0.16915732669157335</v>
      </c>
      <c r="Q115" s="242">
        <f t="shared" si="508"/>
        <v>-4.6355910378573228E-2</v>
      </c>
      <c r="R115" s="242">
        <f t="shared" si="508"/>
        <v>0.10142180094786735</v>
      </c>
      <c r="S115" s="301">
        <f t="shared" si="508"/>
        <v>3.4437464306110721E-2</v>
      </c>
      <c r="T115" s="242">
        <f t="shared" si="508"/>
        <v>0.53475417776701373</v>
      </c>
      <c r="U115" s="242">
        <f t="shared" si="508"/>
        <v>0.12188886916385577</v>
      </c>
      <c r="V115" s="242">
        <f t="shared" si="508"/>
        <v>0.57736970024304624</v>
      </c>
      <c r="W115" s="242">
        <f t="shared" si="508"/>
        <v>0.39113597246127374</v>
      </c>
      <c r="X115" s="301">
        <f t="shared" si="508"/>
        <v>0.37821454204162763</v>
      </c>
      <c r="Y115" s="242">
        <f t="shared" si="508"/>
        <v>2.0987849139971537E-2</v>
      </c>
      <c r="Z115" s="242">
        <f t="shared" si="508"/>
        <v>0.15830115830115843</v>
      </c>
      <c r="AA115" s="242">
        <f t="shared" si="508"/>
        <v>0.22324944358842669</v>
      </c>
      <c r="AB115" s="242">
        <f t="shared" si="508"/>
        <v>0.18218373028147239</v>
      </c>
      <c r="AC115" s="301">
        <f t="shared" si="508"/>
        <v>0.1448268679196909</v>
      </c>
      <c r="AD115" s="242">
        <f t="shared" si="508"/>
        <v>0.15734157650695524</v>
      </c>
      <c r="AE115" s="242">
        <f t="shared" si="508"/>
        <v>6.0109289617486406E-2</v>
      </c>
      <c r="AF115" s="242">
        <f t="shared" si="508"/>
        <v>-0.27865640307907624</v>
      </c>
      <c r="AG115" s="242">
        <f t="shared" si="508"/>
        <v>-0.55536368393511248</v>
      </c>
      <c r="AH115" s="301">
        <f t="shared" si="508"/>
        <v>-0.16719269393610692</v>
      </c>
      <c r="AI115" s="242">
        <f t="shared" si="508"/>
        <v>6.0496794871794934E-2</v>
      </c>
      <c r="AJ115" s="242">
        <f t="shared" si="508"/>
        <v>-1.3788659793814384E-2</v>
      </c>
      <c r="AK115" s="242">
        <f t="shared" si="508"/>
        <v>0.31063251843228556</v>
      </c>
      <c r="AL115" s="242">
        <f t="shared" si="508"/>
        <v>1.3355301871248675</v>
      </c>
      <c r="AM115" s="301">
        <f t="shared" si="508"/>
        <v>0.27252025142012037</v>
      </c>
      <c r="AN115" s="242">
        <f t="shared" si="508"/>
        <v>-0.19695252487092307</v>
      </c>
      <c r="AO115" s="469">
        <f t="shared" si="508"/>
        <v>-0.1749640663791977</v>
      </c>
      <c r="AP115" s="469">
        <f t="shared" si="508"/>
        <v>8.7046632124352374E-2</v>
      </c>
      <c r="AQ115" s="145">
        <f t="shared" si="508"/>
        <v>-0.15444696397077351</v>
      </c>
      <c r="AR115" s="301">
        <f t="shared" si="508"/>
        <v>-0.11691484795456797</v>
      </c>
      <c r="AS115" s="242">
        <f t="shared" si="508"/>
        <v>-7.8249960796612839E-2</v>
      </c>
      <c r="AT115" s="469">
        <f t="shared" si="508"/>
        <v>0.14317389927146018</v>
      </c>
      <c r="AU115" s="469">
        <f t="shared" si="508"/>
        <v>7.1632847609968575E-2</v>
      </c>
      <c r="AV115" s="145">
        <f t="shared" si="508"/>
        <v>0.36948748510131102</v>
      </c>
      <c r="AW115" s="301">
        <f t="shared" si="508"/>
        <v>0.12753308906004635</v>
      </c>
      <c r="AX115" s="242">
        <f t="shared" ref="AX115:BG115" si="509">AX114/AS114-1</f>
        <v>0.61398434841782912</v>
      </c>
      <c r="AY115" s="469">
        <f t="shared" si="509"/>
        <v>0.44555278470490434</v>
      </c>
      <c r="AZ115" s="469">
        <f t="shared" si="509"/>
        <v>0.36205362816113862</v>
      </c>
      <c r="BA115" s="145">
        <f t="shared" si="509"/>
        <v>0.34769364664926017</v>
      </c>
      <c r="BB115" s="301">
        <f t="shared" si="509"/>
        <v>0.42676658818848034</v>
      </c>
      <c r="BC115" s="242">
        <f t="shared" si="509"/>
        <v>6.113629176768276E-3</v>
      </c>
      <c r="BD115" s="469">
        <f t="shared" si="509"/>
        <v>0.13963963963963955</v>
      </c>
      <c r="BE115" s="302">
        <f t="shared" si="509"/>
        <v>0.13967158051875339</v>
      </c>
      <c r="BF115" s="242">
        <f t="shared" si="509"/>
        <v>3.6325476267355494E-2</v>
      </c>
      <c r="BG115" s="301">
        <f t="shared" si="509"/>
        <v>9.5521416784809521E-2</v>
      </c>
      <c r="BH115" s="242">
        <f t="shared" ref="BH115:BQ115" si="510">BH114/BC114-1</f>
        <v>0.19886170770036671</v>
      </c>
      <c r="BI115" s="242">
        <f t="shared" si="510"/>
        <v>8.252417794971012E-2</v>
      </c>
      <c r="BJ115" s="302">
        <f t="shared" si="510"/>
        <v>0.18436430618092503</v>
      </c>
      <c r="BK115" s="242">
        <f t="shared" si="510"/>
        <v>0.16399322324349574</v>
      </c>
      <c r="BL115" s="301">
        <f t="shared" si="510"/>
        <v>0.13977947260114143</v>
      </c>
      <c r="BM115" s="242">
        <f t="shared" si="510"/>
        <v>0.22687969686628695</v>
      </c>
      <c r="BN115" s="469">
        <f t="shared" si="510"/>
        <v>0.19284556483517501</v>
      </c>
      <c r="BO115" s="302">
        <f t="shared" si="510"/>
        <v>9.5267093891550525E-2</v>
      </c>
      <c r="BP115" s="242">
        <f t="shared" si="510"/>
        <v>-5.0428802921969496E-2</v>
      </c>
      <c r="BQ115" s="301">
        <f t="shared" si="510"/>
        <v>0.10615452152071869</v>
      </c>
      <c r="BR115" s="302">
        <f t="shared" ref="BR115" si="511">BR114/BM114-1</f>
        <v>-8.9206231057705643E-2</v>
      </c>
      <c r="BS115" s="242">
        <f t="shared" ref="BS115" si="512">BS114/BN114-1</f>
        <v>1.8770848719541711E-2</v>
      </c>
      <c r="BT115" s="302">
        <f t="shared" ref="BT115" si="513">BT114/BO114-1</f>
        <v>-4.0734157387328884E-2</v>
      </c>
      <c r="BU115" s="242">
        <f t="shared" ref="BU115:BV115" si="514">BU114/BP114-1</f>
        <v>1.3525589209691269E-2</v>
      </c>
      <c r="BV115" s="301">
        <f t="shared" si="514"/>
        <v>-2.3855264650165853E-2</v>
      </c>
      <c r="BW115" s="469">
        <f t="shared" ref="BW115" si="515">BW114/BR114-1</f>
        <v>1.2966342058438052E-2</v>
      </c>
      <c r="BX115" s="242">
        <f t="shared" ref="BX115" si="516">BX114/BS114-1</f>
        <v>-8.709729282587364E-2</v>
      </c>
      <c r="BY115" s="302">
        <f t="shared" ref="BY115" si="517">BY114/BT114-1</f>
        <v>1.2681583422410769E-2</v>
      </c>
      <c r="BZ115" s="145">
        <f t="shared" ref="BZ115" si="518">BZ114/BU114-1</f>
        <v>6.9955592856057569E-2</v>
      </c>
      <c r="CA115" s="301">
        <f t="shared" ref="CA115" si="519">CA114/BV114-1</f>
        <v>3.7665059365421527E-5</v>
      </c>
      <c r="CB115" s="302">
        <f t="shared" ref="CB115" si="520">CB114/BW114-1</f>
        <v>-6.1512022251630771E-4</v>
      </c>
      <c r="CC115" s="242">
        <f t="shared" ref="CC115" si="521">CC114/BX114-1</f>
        <v>-2.2986881870307951E-2</v>
      </c>
      <c r="CD115" s="302">
        <f t="shared" ref="CD115" si="522">CD114/BY114-1</f>
        <v>-8.587593157861062E-2</v>
      </c>
      <c r="CE115" s="242">
        <f t="shared" ref="CE115" si="523">CE114/BZ114-1</f>
        <v>7.4288842928883492E-2</v>
      </c>
      <c r="CF115" s="301">
        <f>CF114/CA114-1</f>
        <v>-8.8762083176829876E-3</v>
      </c>
      <c r="CG115" s="242">
        <f t="shared" ref="CG115" si="524">CG114/CB114-1</f>
        <v>-8.6759471092026752E-2</v>
      </c>
      <c r="CH115" s="242">
        <f t="shared" ref="CH115" si="525">CH114/CC114-1</f>
        <v>-0.66154564900859469</v>
      </c>
      <c r="CI115" s="242">
        <f t="shared" ref="CI115" si="526">CI114/CD114-1</f>
        <v>-0.41377629265910976</v>
      </c>
      <c r="CJ115" s="145">
        <f t="shared" ref="CJ115" si="527">CJ114/CE114-1</f>
        <v>-0.54858445222179175</v>
      </c>
      <c r="CK115" s="144">
        <f>CK114/CF114-1</f>
        <v>-0.43903359422677812</v>
      </c>
      <c r="CL115" s="145">
        <f t="shared" ref="CL115" si="528">CL114/CG114-1</f>
        <v>-0.47512558335190003</v>
      </c>
      <c r="CM115" s="242">
        <f t="shared" ref="CM115" si="529">CM114/CH114-1</f>
        <v>-0.65424806010040792</v>
      </c>
      <c r="CN115" s="242">
        <f t="shared" ref="CN115" si="530">CN114/CI114-1</f>
        <v>-0.56409994023396159</v>
      </c>
      <c r="CO115" s="242">
        <f t="shared" ref="CO115" si="531">CO114/CJ114-1</f>
        <v>-0.36641309967733127</v>
      </c>
      <c r="CP115" s="144">
        <f>CP114/CK114-1</f>
        <v>-0.49895191190217325</v>
      </c>
      <c r="CQ115" s="242">
        <f t="shared" ref="CQ115" si="532">CQ114/CL114-1</f>
        <v>-0.31206244418360529</v>
      </c>
      <c r="CR115" s="242">
        <f t="shared" ref="CR115" si="533">CR114/CM114-1</f>
        <v>2.6840003505690468</v>
      </c>
      <c r="CS115" s="242">
        <f t="shared" ref="CS115" si="534">CS114/CN114-1</f>
        <v>0.24001747326269651</v>
      </c>
      <c r="CT115" s="242">
        <f t="shared" ref="CT115" si="535">CT114/CO114-1</f>
        <v>4.6025257499788808E-3</v>
      </c>
      <c r="CU115" s="144">
        <f>CU114/CP114-1</f>
        <v>0.20608663085733769</v>
      </c>
      <c r="CV115" s="242">
        <f t="shared" ref="CV115:CW115" si="536">CV114/CQ114-1</f>
        <v>-2.5300556896326376E-2</v>
      </c>
      <c r="CW115" s="145">
        <f t="shared" si="536"/>
        <v>3.3960529766739578E-2</v>
      </c>
      <c r="CX115" s="242">
        <f t="shared" ref="CX115" si="537">CX114/CS114-1</f>
        <v>0.40461343184351195</v>
      </c>
      <c r="CY115" s="242">
        <f t="shared" ref="CY115" si="538">CY114/CT114-1</f>
        <v>0.94199025485614785</v>
      </c>
      <c r="CZ115" s="144">
        <f>CZ114/CU114-1</f>
        <v>0.32703563427322568</v>
      </c>
      <c r="DA115" s="145">
        <f t="shared" ref="DA115" si="539">DA114/CV114-1</f>
        <v>0.61141437396601739</v>
      </c>
      <c r="DB115" s="145">
        <f t="shared" ref="DB115" si="540">DB114/CW114-1</f>
        <v>0.42138568925570352</v>
      </c>
      <c r="DC115" s="145">
        <f t="shared" ref="DC115" si="541">DC114/CX114-1</f>
        <v>0.25765086725583841</v>
      </c>
      <c r="DD115" s="145">
        <f t="shared" ref="DD115" si="542">DD114/CY114-1</f>
        <v>0.13627573719430819</v>
      </c>
      <c r="DE115" s="144">
        <f>DE114/CZ114-1</f>
        <v>0.31063818996307102</v>
      </c>
      <c r="DF115" s="145">
        <f t="shared" ref="DF115" si="543">DF114/DA114-1</f>
        <v>-0.30598263907856027</v>
      </c>
      <c r="DG115" s="145">
        <f t="shared" ref="DG115" si="544">DG114/DB114-1</f>
        <v>-0.32092623329734549</v>
      </c>
      <c r="DH115" s="145">
        <f t="shared" ref="DH115" si="545">DH114/DC114-1</f>
        <v>-5.5009569829963856E-2</v>
      </c>
      <c r="DI115" s="145">
        <f t="shared" ref="DI115" si="546">DI114/DD114-1</f>
        <v>-0.54564871288803296</v>
      </c>
      <c r="DJ115" s="144">
        <f>DJ114/DE114-1</f>
        <v>-0.32566803984973158</v>
      </c>
      <c r="DK115" s="145">
        <f t="shared" ref="DK115:DN115" si="547">DK114/DF114-1</f>
        <v>0.75091558128175229</v>
      </c>
      <c r="DL115" s="145">
        <f t="shared" si="547"/>
        <v>0.81140048070436088</v>
      </c>
      <c r="DM115" s="145">
        <f t="shared" si="547"/>
        <v>0.49055587304426296</v>
      </c>
      <c r="DN115" s="145">
        <f t="shared" si="547"/>
        <v>1.3895861297020673</v>
      </c>
      <c r="DO115" s="144">
        <f>DO114/DJ114-1</f>
        <v>0.81507207812381433</v>
      </c>
      <c r="DP115" s="145">
        <f t="shared" ref="DP115" si="548">DP114/DK114-1</f>
        <v>0.12956392414289564</v>
      </c>
      <c r="DQ115" s="242">
        <f t="shared" ref="DQ115" si="549">DQ114/DL114-1</f>
        <v>8.0705042951671802E-2</v>
      </c>
      <c r="DR115" s="242">
        <f t="shared" ref="DR115" si="550">DR114/DM114-1</f>
        <v>1.7796886596156414E-2</v>
      </c>
      <c r="DS115" s="242">
        <f t="shared" ref="DS115" si="551">DS114/DN114-1</f>
        <v>0.10485062676042056</v>
      </c>
      <c r="DT115" s="144">
        <f>DT114/DO114-1</f>
        <v>8.0100499273034753E-2</v>
      </c>
      <c r="DU115" s="242">
        <f t="shared" ref="DU115" si="552">DU114/DP114-1</f>
        <v>0.30828098082630206</v>
      </c>
      <c r="DV115" s="242">
        <f t="shared" ref="DV115" si="553">DV114/DQ114-1</f>
        <v>0.21083818118092568</v>
      </c>
      <c r="DW115" s="242">
        <f t="shared" ref="DW115" si="554">DW114/DR114-1</f>
        <v>0.35330869332359804</v>
      </c>
      <c r="DX115" s="242">
        <f t="shared" ref="DX115" si="555">DX114/DS114-1</f>
        <v>0.39211184907616703</v>
      </c>
      <c r="DY115" s="144">
        <f>DY114/DT114-1</f>
        <v>0.31759263802153703</v>
      </c>
      <c r="DZ115" s="301">
        <f>DZ114/DY114-1</f>
        <v>0.15638972180488842</v>
      </c>
      <c r="EA115" s="301">
        <f t="shared" ref="EA115:EB115" si="556">EA114/DZ114-1</f>
        <v>0.15339174543357181</v>
      </c>
      <c r="EB115" s="301">
        <f t="shared" si="556"/>
        <v>7.8211297469559904E-2</v>
      </c>
    </row>
    <row r="116" spans="1:132" s="298" customFormat="1">
      <c r="A116" s="241"/>
      <c r="B116" s="241"/>
      <c r="C116" s="309"/>
      <c r="D116" s="309"/>
      <c r="E116" s="309"/>
      <c r="F116" s="309"/>
      <c r="G116" s="309"/>
      <c r="H116" s="309"/>
      <c r="I116" s="309"/>
      <c r="J116" s="243"/>
      <c r="K116" s="243"/>
      <c r="L116" s="243"/>
      <c r="M116" s="243"/>
      <c r="N116" s="309"/>
      <c r="O116" s="305"/>
      <c r="P116" s="305"/>
      <c r="Q116" s="305"/>
      <c r="R116" s="305"/>
      <c r="S116" s="309"/>
      <c r="T116" s="305"/>
      <c r="U116" s="305"/>
      <c r="V116" s="305"/>
      <c r="W116" s="305"/>
      <c r="X116" s="309"/>
      <c r="Y116" s="305"/>
      <c r="Z116" s="305"/>
      <c r="AA116" s="305"/>
      <c r="AB116" s="305"/>
      <c r="AC116" s="309"/>
      <c r="AD116" s="305"/>
      <c r="AE116" s="305"/>
      <c r="AF116" s="305"/>
      <c r="AG116" s="305"/>
      <c r="AH116" s="309"/>
      <c r="AI116" s="305"/>
      <c r="AJ116" s="305"/>
      <c r="AK116" s="305"/>
      <c r="AL116" s="305"/>
      <c r="AM116" s="309"/>
      <c r="AN116" s="305"/>
      <c r="AO116" s="295"/>
      <c r="AP116" s="295"/>
      <c r="AQ116" s="137"/>
      <c r="AR116" s="309"/>
      <c r="AS116" s="305"/>
      <c r="AT116" s="295"/>
      <c r="AU116" s="295"/>
      <c r="AV116" s="137"/>
      <c r="AW116" s="309"/>
      <c r="AX116" s="305"/>
      <c r="AY116" s="295"/>
      <c r="AZ116" s="295"/>
      <c r="BA116" s="137"/>
      <c r="BB116" s="309"/>
      <c r="BC116" s="305"/>
      <c r="BD116" s="295"/>
      <c r="BE116" s="306"/>
      <c r="BF116" s="305"/>
      <c r="BG116" s="309"/>
      <c r="BH116" s="305"/>
      <c r="BI116" s="305"/>
      <c r="BJ116" s="306"/>
      <c r="BK116" s="305"/>
      <c r="BL116" s="858"/>
      <c r="BM116" s="305"/>
      <c r="BN116" s="295"/>
      <c r="BO116" s="306"/>
      <c r="BP116" s="305"/>
      <c r="BQ116" s="858"/>
      <c r="BR116" s="306"/>
      <c r="BS116" s="305"/>
      <c r="BT116" s="306"/>
      <c r="BU116" s="305"/>
      <c r="BV116" s="858"/>
      <c r="BW116" s="295"/>
      <c r="BX116" s="305"/>
      <c r="BY116" s="306"/>
      <c r="BZ116" s="137"/>
      <c r="CA116" s="858"/>
      <c r="CB116" s="306"/>
      <c r="CC116" s="305"/>
      <c r="CD116" s="306"/>
      <c r="CE116" s="305"/>
      <c r="CF116" s="858"/>
      <c r="CG116" s="305"/>
      <c r="CH116" s="305"/>
      <c r="CI116" s="305"/>
      <c r="CJ116" s="137"/>
      <c r="CK116" s="136"/>
      <c r="CL116" s="137"/>
      <c r="CM116" s="305"/>
      <c r="CN116" s="305"/>
      <c r="CO116" s="305"/>
      <c r="CP116" s="136"/>
      <c r="CQ116" s="305"/>
      <c r="CR116" s="305"/>
      <c r="CS116" s="305"/>
      <c r="CT116" s="305"/>
      <c r="CU116" s="136"/>
      <c r="CV116" s="305"/>
      <c r="CW116" s="137"/>
      <c r="CX116" s="305"/>
      <c r="CY116" s="305"/>
      <c r="CZ116" s="136"/>
      <c r="DA116" s="137"/>
      <c r="DB116" s="137"/>
      <c r="DC116" s="137"/>
      <c r="DD116" s="137"/>
      <c r="DE116" s="136"/>
      <c r="DF116" s="137"/>
      <c r="DG116" s="137"/>
      <c r="DH116" s="137"/>
      <c r="DI116" s="137"/>
      <c r="DJ116" s="136"/>
      <c r="DK116" s="137"/>
      <c r="DL116" s="137"/>
      <c r="DM116" s="137"/>
      <c r="DN116" s="137"/>
      <c r="DO116" s="136"/>
      <c r="DP116" s="137"/>
      <c r="DQ116" s="305"/>
      <c r="DR116" s="305"/>
      <c r="DS116" s="305"/>
      <c r="DT116" s="136"/>
      <c r="DU116" s="305"/>
      <c r="DV116" s="305"/>
      <c r="DW116" s="305"/>
      <c r="DX116" s="305"/>
      <c r="DY116" s="136"/>
      <c r="DZ116" s="309"/>
      <c r="EA116" s="309"/>
      <c r="EB116" s="309"/>
    </row>
    <row r="117" spans="1:132" s="298" customFormat="1">
      <c r="A117" s="241"/>
      <c r="B117" s="241" t="s">
        <v>198</v>
      </c>
      <c r="C117" s="285"/>
      <c r="D117" s="285"/>
      <c r="E117" s="285"/>
      <c r="F117" s="285"/>
      <c r="G117" s="285"/>
      <c r="H117" s="285"/>
      <c r="I117" s="285"/>
      <c r="J117" s="241"/>
      <c r="K117" s="241"/>
      <c r="L117" s="241"/>
      <c r="M117" s="241"/>
      <c r="N117" s="285"/>
      <c r="O117" s="241"/>
      <c r="P117" s="241"/>
      <c r="Q117" s="241"/>
      <c r="R117" s="241"/>
      <c r="S117" s="285"/>
      <c r="T117" s="241"/>
      <c r="U117" s="241"/>
      <c r="V117" s="241"/>
      <c r="W117" s="241">
        <v>350</v>
      </c>
      <c r="X117" s="285">
        <v>350</v>
      </c>
      <c r="Y117" s="241">
        <v>405</v>
      </c>
      <c r="Z117" s="241">
        <v>405</v>
      </c>
      <c r="AA117" s="241">
        <v>405</v>
      </c>
      <c r="AB117" s="241">
        <v>405</v>
      </c>
      <c r="AC117" s="285">
        <v>1620</v>
      </c>
      <c r="AD117" s="241">
        <v>400</v>
      </c>
      <c r="AE117" s="241">
        <v>400</v>
      </c>
      <c r="AF117" s="241">
        <v>400</v>
      </c>
      <c r="AG117" s="241">
        <v>400</v>
      </c>
      <c r="AH117" s="285">
        <v>1600</v>
      </c>
      <c r="AI117" s="241">
        <v>380</v>
      </c>
      <c r="AJ117" s="241">
        <v>380</v>
      </c>
      <c r="AK117" s="241">
        <v>380</v>
      </c>
      <c r="AL117" s="68">
        <v>400</v>
      </c>
      <c r="AM117" s="285">
        <f>SUM(AI117:AL117)</f>
        <v>1540</v>
      </c>
      <c r="AN117" s="408">
        <v>360</v>
      </c>
      <c r="AO117" s="472">
        <v>370</v>
      </c>
      <c r="AP117" s="472">
        <v>430</v>
      </c>
      <c r="AQ117" s="539">
        <v>500</v>
      </c>
      <c r="AR117" s="285">
        <f>SUM(AN117:AQ117)</f>
        <v>1660</v>
      </c>
      <c r="AS117" s="408">
        <v>400</v>
      </c>
      <c r="AT117" s="472">
        <v>420</v>
      </c>
      <c r="AU117" s="472">
        <v>480</v>
      </c>
      <c r="AV117" s="539">
        <v>550</v>
      </c>
      <c r="AW117" s="285">
        <f>SUM(AS117:AV117)</f>
        <v>1850</v>
      </c>
      <c r="AX117" s="408">
        <v>410</v>
      </c>
      <c r="AY117" s="472">
        <v>440</v>
      </c>
      <c r="AZ117" s="472">
        <v>500</v>
      </c>
      <c r="BA117" s="539">
        <v>570</v>
      </c>
      <c r="BB117" s="285">
        <f>SUM(AX117:BA117)</f>
        <v>1920</v>
      </c>
      <c r="BC117" s="586">
        <f>+AX117*(1+BC118)</f>
        <v>414.1</v>
      </c>
      <c r="BD117" s="472">
        <f>+AY117*(1+BD118)</f>
        <v>448.8</v>
      </c>
      <c r="BE117" s="408">
        <f>+AZ117*(1+BE118)</f>
        <v>525</v>
      </c>
      <c r="BF117" s="539">
        <f>+BA117*(1+BF118)</f>
        <v>609.90000000000009</v>
      </c>
      <c r="BG117" s="285">
        <f>SUM(BC117:BF117)</f>
        <v>1997.8000000000002</v>
      </c>
      <c r="BH117" s="586">
        <f>+BC117*(1+BH118)</f>
        <v>430.66400000000004</v>
      </c>
      <c r="BI117" s="586">
        <f>+BD117*(1+BI118)</f>
        <v>475.72800000000001</v>
      </c>
      <c r="BJ117" s="408">
        <f>+BE117*(1+BJ118)</f>
        <v>556.5</v>
      </c>
      <c r="BK117" s="408">
        <f>+BF117*(1+BK118)</f>
        <v>670.8900000000001</v>
      </c>
      <c r="BL117" s="285">
        <f>SUM(BH117:BK117)</f>
        <v>2133.7820000000002</v>
      </c>
      <c r="BM117" s="408">
        <f>+BH117*(1+BM118)</f>
        <v>447.89056000000005</v>
      </c>
      <c r="BN117" s="408">
        <f>+BI117*(1+BN118)</f>
        <v>504.27168000000006</v>
      </c>
      <c r="BO117" s="408">
        <f>+BJ117*(1+BO118)</f>
        <v>625.50600000000009</v>
      </c>
      <c r="BP117" s="408">
        <f>+BK117*(1+BP118)</f>
        <v>670.8900000000001</v>
      </c>
      <c r="BQ117" s="285">
        <f>SUM(BM117:BP117)</f>
        <v>2248.5582400000003</v>
      </c>
      <c r="BR117" s="408">
        <f>+BM117*(1+BR118)</f>
        <v>546.42648320000001</v>
      </c>
      <c r="BS117" s="539">
        <f>+BN117*(1+BS118)</f>
        <v>592.01495232000002</v>
      </c>
      <c r="BT117" s="539">
        <f>+BO117*(1+BT118)</f>
        <v>601.11126600000011</v>
      </c>
      <c r="BU117" s="408">
        <f>+BP117*(1+BU118)</f>
        <v>657.47220000000004</v>
      </c>
      <c r="BV117" s="285">
        <f>SUM(BR117:BU117)</f>
        <v>2397.0249015200002</v>
      </c>
      <c r="BW117" s="539">
        <f>+BR117*(1+BW118)</f>
        <v>627.29760271359999</v>
      </c>
      <c r="BX117" s="408">
        <f>+BS117*(1+BX118)</f>
        <v>620.13566255520004</v>
      </c>
      <c r="BY117" s="408">
        <f>+BT117*(1+BY118)</f>
        <v>643.18905462000021</v>
      </c>
      <c r="BZ117" s="539">
        <f>+BU117*(1+BZ118)</f>
        <v>736.36886400000014</v>
      </c>
      <c r="CA117" s="285">
        <f>SUM(BW117:BZ117)</f>
        <v>2626.9911838888002</v>
      </c>
      <c r="CB117" s="539">
        <f>+BW117*(1+CB118)</f>
        <v>677.48141093068807</v>
      </c>
      <c r="CC117" s="408">
        <f>+BX117*(1+CC118)</f>
        <v>700.75329868737595</v>
      </c>
      <c r="CD117" s="539">
        <f>+BY117*(1+CD118)</f>
        <v>735.16508943066026</v>
      </c>
      <c r="CE117" s="408">
        <f>+BZ117*(1+CE118)</f>
        <v>876.27894816000014</v>
      </c>
      <c r="CF117" s="120">
        <f>SUM(CB117:CE117)</f>
        <v>2989.6787472087244</v>
      </c>
      <c r="CG117" s="408">
        <f t="shared" ref="CG117:CJ117" si="557">+CB117*(1+CG118)</f>
        <v>724.22762828490556</v>
      </c>
      <c r="CH117" s="539">
        <f t="shared" si="557"/>
        <v>700.75329868737595</v>
      </c>
      <c r="CI117" s="539">
        <f t="shared" si="557"/>
        <v>757.22004211358012</v>
      </c>
      <c r="CJ117" s="539">
        <f t="shared" si="557"/>
        <v>806.17663230720018</v>
      </c>
      <c r="CK117" s="120">
        <f>SUM(CG117:CJ117)</f>
        <v>2988.3776013930615</v>
      </c>
      <c r="CL117" s="539">
        <f t="shared" ref="CL117" si="558">+CG117*(1+CL118)</f>
        <v>688.01624687066021</v>
      </c>
      <c r="CM117" s="539">
        <f t="shared" ref="CM117" si="559">+CH117*(1+CM118)</f>
        <v>336.36158336994043</v>
      </c>
      <c r="CN117" s="408">
        <f t="shared" ref="CN117" si="560">+CI117*(1+CN118)</f>
        <v>408.89882274133328</v>
      </c>
      <c r="CO117" s="539">
        <f t="shared" ref="CO117" si="561">+CJ117*(1+CO118)</f>
        <v>459.52068041510415</v>
      </c>
      <c r="CP117" s="120">
        <f>SUM(CL117:CO117)</f>
        <v>1892.7973333970381</v>
      </c>
      <c r="CQ117" s="539">
        <f t="shared" ref="CQ117" si="562">+CL117*(1+CQ118)</f>
        <v>412.80974812239612</v>
      </c>
      <c r="CR117" s="539">
        <f t="shared" ref="CR117" si="563">+CM117*(1+CR118)</f>
        <v>454.08813754941963</v>
      </c>
      <c r="CS117" s="539">
        <f t="shared" ref="CS117" si="564">+CN117*(1+CS118)</f>
        <v>543.83543424597326</v>
      </c>
      <c r="CT117" s="539">
        <f t="shared" ref="CT117" si="565">+CO117*(1+CT118)</f>
        <v>574.40085051888013</v>
      </c>
      <c r="CU117" s="120">
        <f>SUM(CQ117:CT117)</f>
        <v>1985.1341704366691</v>
      </c>
      <c r="CV117" s="539">
        <f t="shared" ref="CV117:CW117" si="566">+CQ117*(1+CV118)</f>
        <v>569.67745240890656</v>
      </c>
      <c r="CW117" s="539">
        <f t="shared" si="566"/>
        <v>522.20135818183257</v>
      </c>
      <c r="CX117" s="408">
        <f t="shared" ref="CX117" si="567">+CS117*(1+CX118)</f>
        <v>598.21897767057067</v>
      </c>
      <c r="CY117" s="539">
        <f t="shared" ref="CY117" si="568">+CT117*(1+CY118)</f>
        <v>631.84093557076824</v>
      </c>
      <c r="CZ117" s="120">
        <f>SUM(CV117:CY117)</f>
        <v>2321.9387238320783</v>
      </c>
      <c r="DA117" s="539">
        <f t="shared" ref="DA117" si="569">+CV117*(1+DA118)</f>
        <v>626.6451976497973</v>
      </c>
      <c r="DB117" s="539">
        <f t="shared" ref="DB117" si="570">+CW117*(1+DB118)</f>
        <v>610.97558907274413</v>
      </c>
      <c r="DC117" s="539">
        <f t="shared" ref="DC117" si="571">+CX117*(1+DC118)</f>
        <v>622.14773677739356</v>
      </c>
      <c r="DD117" s="539">
        <f t="shared" ref="DD117" si="572">+CY117*(1+DD118)</f>
        <v>650.79616363789125</v>
      </c>
      <c r="DE117" s="120">
        <f>SUM(DA117:DD117)</f>
        <v>2510.5646871378262</v>
      </c>
      <c r="DF117" s="539">
        <f t="shared" ref="DF117:DN117" si="573">+DA117*(1+DF118)</f>
        <v>664.24390950878512</v>
      </c>
      <c r="DG117" s="539">
        <f t="shared" si="573"/>
        <v>633.88717366297203</v>
      </c>
      <c r="DH117" s="539">
        <f t="shared" si="573"/>
        <v>634.59069151294148</v>
      </c>
      <c r="DI117" s="539">
        <f t="shared" si="573"/>
        <v>676.82801018340695</v>
      </c>
      <c r="DJ117" s="120">
        <f>SUM(DF117:DI117)</f>
        <v>2609.5497848681057</v>
      </c>
      <c r="DK117" s="539">
        <f t="shared" si="573"/>
        <v>672.87908033239921</v>
      </c>
      <c r="DL117" s="539">
        <f t="shared" si="573"/>
        <v>698.54366537659519</v>
      </c>
      <c r="DM117" s="539">
        <f t="shared" si="573"/>
        <v>696.78057928120984</v>
      </c>
      <c r="DN117" s="539">
        <f t="shared" si="573"/>
        <v>703.90113059074326</v>
      </c>
      <c r="DO117" s="120">
        <f>SUM(DK117:DN117)</f>
        <v>2772.1044555809476</v>
      </c>
      <c r="DP117" s="539">
        <f t="shared" ref="DP117" si="574">+DK117*(1+DP118)</f>
        <v>706.52303434901921</v>
      </c>
      <c r="DQ117" s="408">
        <f t="shared" ref="DQ117" si="575">+DL117*(1+DQ118)</f>
        <v>707.27546119380258</v>
      </c>
      <c r="DR117" s="408">
        <f t="shared" ref="DR117" si="576">+DM117*(1+DR118)</f>
        <v>738.58741403808244</v>
      </c>
      <c r="DS117" s="408">
        <f t="shared" ref="DS117" si="577">+DN117*(1+DS118)</f>
        <v>739.09618712028043</v>
      </c>
      <c r="DT117" s="120">
        <f>SUM(DP117:DS117)</f>
        <v>2891.4820967011847</v>
      </c>
      <c r="DU117" s="408">
        <f t="shared" ref="DU117" si="578">+DP117*(1+DU118)</f>
        <v>727.7187253794898</v>
      </c>
      <c r="DV117" s="408">
        <f t="shared" ref="DV117" si="579">+DQ117*(1+DV118)</f>
        <v>728.49372502961671</v>
      </c>
      <c r="DW117" s="408">
        <f t="shared" ref="DW117" si="580">+DR117*(1+DW118)</f>
        <v>760.74503645922493</v>
      </c>
      <c r="DX117" s="408">
        <f t="shared" ref="DX117" si="581">+DS117*(1+DX118)</f>
        <v>761.26907273388883</v>
      </c>
      <c r="DY117" s="120">
        <f>SUM(DU117:DX117)</f>
        <v>2978.2265596022207</v>
      </c>
      <c r="DZ117" s="120">
        <f>DY117*(1+DZ118)</f>
        <v>3067.5733563902872</v>
      </c>
      <c r="EA117" s="120">
        <f t="shared" ref="EA117:EB117" si="582">DZ117*(1+EA118)</f>
        <v>3159.6005570819962</v>
      </c>
      <c r="EB117" s="120">
        <f t="shared" si="582"/>
        <v>3254.3885737944561</v>
      </c>
    </row>
    <row r="118" spans="1:132" s="306" customFormat="1">
      <c r="A118" s="305"/>
      <c r="B118" s="305" t="s">
        <v>196</v>
      </c>
      <c r="C118" s="309"/>
      <c r="D118" s="309"/>
      <c r="E118" s="309"/>
      <c r="F118" s="309"/>
      <c r="G118" s="309"/>
      <c r="H118" s="309"/>
      <c r="I118" s="309"/>
      <c r="J118" s="305"/>
      <c r="K118" s="305"/>
      <c r="L118" s="305"/>
      <c r="M118" s="305"/>
      <c r="N118" s="309"/>
      <c r="O118" s="305"/>
      <c r="P118" s="305"/>
      <c r="Q118" s="305"/>
      <c r="R118" s="305"/>
      <c r="S118" s="309"/>
      <c r="T118" s="305"/>
      <c r="U118" s="305"/>
      <c r="V118" s="305"/>
      <c r="W118" s="305"/>
      <c r="X118" s="309"/>
      <c r="Y118" s="305"/>
      <c r="Z118" s="305"/>
      <c r="AA118" s="305"/>
      <c r="AB118" s="242"/>
      <c r="AC118" s="301"/>
      <c r="AD118" s="242">
        <f t="shared" ref="AD118:AW118" si="583">AD117/Y117-1</f>
        <v>-1.2345679012345734E-2</v>
      </c>
      <c r="AE118" s="242">
        <f t="shared" si="583"/>
        <v>-1.2345679012345734E-2</v>
      </c>
      <c r="AF118" s="242">
        <f t="shared" si="583"/>
        <v>-1.2345679012345734E-2</v>
      </c>
      <c r="AG118" s="242">
        <f t="shared" si="583"/>
        <v>-1.2345679012345734E-2</v>
      </c>
      <c r="AH118" s="301">
        <f t="shared" si="583"/>
        <v>-1.2345679012345734E-2</v>
      </c>
      <c r="AI118" s="242">
        <f t="shared" si="583"/>
        <v>-5.0000000000000044E-2</v>
      </c>
      <c r="AJ118" s="242">
        <f t="shared" si="583"/>
        <v>-5.0000000000000044E-2</v>
      </c>
      <c r="AK118" s="242">
        <f t="shared" si="583"/>
        <v>-5.0000000000000044E-2</v>
      </c>
      <c r="AL118" s="188">
        <f t="shared" si="583"/>
        <v>0</v>
      </c>
      <c r="AM118" s="301">
        <f t="shared" si="583"/>
        <v>-3.7499999999999978E-2</v>
      </c>
      <c r="AN118" s="188">
        <f t="shared" si="583"/>
        <v>-5.2631578947368474E-2</v>
      </c>
      <c r="AO118" s="469">
        <f t="shared" si="583"/>
        <v>-2.6315789473684181E-2</v>
      </c>
      <c r="AP118" s="469">
        <f t="shared" si="583"/>
        <v>0.13157894736842102</v>
      </c>
      <c r="AQ118" s="145">
        <f t="shared" si="583"/>
        <v>0.25</v>
      </c>
      <c r="AR118" s="301">
        <f t="shared" si="583"/>
        <v>7.7922077922077948E-2</v>
      </c>
      <c r="AS118" s="188">
        <f t="shared" si="583"/>
        <v>0.11111111111111116</v>
      </c>
      <c r="AT118" s="469">
        <f t="shared" si="583"/>
        <v>0.13513513513513509</v>
      </c>
      <c r="AU118" s="469">
        <f t="shared" si="583"/>
        <v>0.11627906976744184</v>
      </c>
      <c r="AV118" s="145">
        <f t="shared" si="583"/>
        <v>0.10000000000000009</v>
      </c>
      <c r="AW118" s="301">
        <f t="shared" si="583"/>
        <v>0.1144578313253013</v>
      </c>
      <c r="AX118" s="188">
        <f>AX117/AS117-1</f>
        <v>2.4999999999999911E-2</v>
      </c>
      <c r="AY118" s="469">
        <f>AY117/AT117-1</f>
        <v>4.7619047619047672E-2</v>
      </c>
      <c r="AZ118" s="469">
        <f>AZ117/AU117-1</f>
        <v>4.1666666666666741E-2</v>
      </c>
      <c r="BA118" s="145">
        <f>BA117/AV117-1</f>
        <v>3.6363636363636376E-2</v>
      </c>
      <c r="BB118" s="301">
        <f>BB117/AW117-1</f>
        <v>3.7837837837837895E-2</v>
      </c>
      <c r="BC118" s="587">
        <v>0.01</v>
      </c>
      <c r="BD118" s="469">
        <v>0.02</v>
      </c>
      <c r="BE118" s="469">
        <v>0.05</v>
      </c>
      <c r="BF118" s="145">
        <v>7.0000000000000007E-2</v>
      </c>
      <c r="BG118" s="301">
        <f>BG117/BB117-1</f>
        <v>4.0520833333333339E-2</v>
      </c>
      <c r="BH118" s="587">
        <v>0.04</v>
      </c>
      <c r="BI118" s="587">
        <v>0.06</v>
      </c>
      <c r="BJ118" s="469">
        <v>0.06</v>
      </c>
      <c r="BK118" s="469">
        <v>0.1</v>
      </c>
      <c r="BL118" s="144">
        <f>BL117/BG117-1</f>
        <v>6.8065872459705634E-2</v>
      </c>
      <c r="BM118" s="469">
        <v>0.04</v>
      </c>
      <c r="BN118" s="735">
        <v>0.06</v>
      </c>
      <c r="BO118" s="469">
        <v>0.124</v>
      </c>
      <c r="BP118" s="469">
        <v>0</v>
      </c>
      <c r="BQ118" s="301">
        <f>BQ117/BL117-1</f>
        <v>5.379004978015578E-2</v>
      </c>
      <c r="BR118" s="469">
        <v>0.22</v>
      </c>
      <c r="BS118" s="469">
        <v>0.17399999999999999</v>
      </c>
      <c r="BT118" s="469">
        <v>-3.9E-2</v>
      </c>
      <c r="BU118" s="469">
        <v>-0.02</v>
      </c>
      <c r="BV118" s="301">
        <f>BV117/BQ117-1</f>
        <v>6.602749214091963E-2</v>
      </c>
      <c r="BW118" s="469">
        <v>0.14799999999999999</v>
      </c>
      <c r="BX118" s="469">
        <v>4.7500000000000001E-2</v>
      </c>
      <c r="BY118" s="469">
        <v>7.0000000000000007E-2</v>
      </c>
      <c r="BZ118" s="469">
        <v>0.12</v>
      </c>
      <c r="CA118" s="301">
        <f>CA117/BV117-1</f>
        <v>9.5938211665207884E-2</v>
      </c>
      <c r="CB118" s="469">
        <v>0.08</v>
      </c>
      <c r="CC118" s="469">
        <v>0.13</v>
      </c>
      <c r="CD118" s="469">
        <v>0.14299999999999999</v>
      </c>
      <c r="CE118" s="469">
        <v>0.19</v>
      </c>
      <c r="CF118" s="301">
        <f>+CF117/CA117-1</f>
        <v>0.13806196440409391</v>
      </c>
      <c r="CG118" s="469">
        <v>6.9000000000000006E-2</v>
      </c>
      <c r="CH118" s="469">
        <v>0</v>
      </c>
      <c r="CI118" s="469">
        <v>0.03</v>
      </c>
      <c r="CJ118" s="469">
        <v>-0.08</v>
      </c>
      <c r="CK118" s="144">
        <f>+CK117/CF117-1</f>
        <v>-4.3521258492329462E-4</v>
      </c>
      <c r="CL118" s="469">
        <v>-0.05</v>
      </c>
      <c r="CM118" s="469">
        <v>-0.52</v>
      </c>
      <c r="CN118" s="469">
        <v>-0.46</v>
      </c>
      <c r="CO118" s="469">
        <v>-0.43</v>
      </c>
      <c r="CP118" s="144">
        <f>+CP117/CK117-1</f>
        <v>-0.36661373297849242</v>
      </c>
      <c r="CQ118" s="469">
        <v>-0.4</v>
      </c>
      <c r="CR118" s="469">
        <v>0.35</v>
      </c>
      <c r="CS118" s="469">
        <v>0.33</v>
      </c>
      <c r="CT118" s="469">
        <v>0.25</v>
      </c>
      <c r="CU118" s="144">
        <f>+CU117/CP117-1</f>
        <v>4.8783266655343605E-2</v>
      </c>
      <c r="CV118" s="469">
        <v>0.38</v>
      </c>
      <c r="CW118" s="469">
        <v>0.15</v>
      </c>
      <c r="CX118" s="469">
        <v>0.1</v>
      </c>
      <c r="CY118" s="469">
        <v>0.1</v>
      </c>
      <c r="CZ118" s="144">
        <f>+CZ117/CU117-1</f>
        <v>0.16966337006899757</v>
      </c>
      <c r="DA118" s="469">
        <v>0.1</v>
      </c>
      <c r="DB118" s="469">
        <v>0.17</v>
      </c>
      <c r="DC118" s="469">
        <v>0.04</v>
      </c>
      <c r="DD118" s="469">
        <v>0.03</v>
      </c>
      <c r="DE118" s="144">
        <f>+DE117/CZ117-1</f>
        <v>8.123640876898075E-2</v>
      </c>
      <c r="DF118" s="469">
        <v>0.06</v>
      </c>
      <c r="DG118" s="469">
        <v>3.7499999999999999E-2</v>
      </c>
      <c r="DH118" s="469">
        <v>0.02</v>
      </c>
      <c r="DI118" s="469">
        <v>0.04</v>
      </c>
      <c r="DJ118" s="144">
        <f>+DJ117/DE117-1</f>
        <v>3.9427423733553679E-2</v>
      </c>
      <c r="DK118" s="469">
        <v>1.2999999999999999E-2</v>
      </c>
      <c r="DL118" s="469">
        <v>0.10199999999999999</v>
      </c>
      <c r="DM118" s="469">
        <v>9.8000000000000004E-2</v>
      </c>
      <c r="DN118" s="469">
        <v>0.04</v>
      </c>
      <c r="DO118" s="144">
        <f>+DO117/DJ117-1</f>
        <v>6.2292228205585998E-2</v>
      </c>
      <c r="DP118" s="469">
        <v>0.05</v>
      </c>
      <c r="DQ118" s="571">
        <v>1.2500000000000001E-2</v>
      </c>
      <c r="DR118" s="571">
        <v>0.06</v>
      </c>
      <c r="DS118" s="571">
        <v>0.05</v>
      </c>
      <c r="DT118" s="144">
        <f>+DT117/DO117-1</f>
        <v>4.3063904348878301E-2</v>
      </c>
      <c r="DU118" s="571">
        <v>0.03</v>
      </c>
      <c r="DV118" s="571">
        <v>0.03</v>
      </c>
      <c r="DW118" s="571">
        <v>0.03</v>
      </c>
      <c r="DX118" s="571">
        <v>0.03</v>
      </c>
      <c r="DY118" s="144">
        <f>+DY117/DT117-1</f>
        <v>3.0000000000000249E-2</v>
      </c>
      <c r="DZ118" s="862">
        <v>0.03</v>
      </c>
      <c r="EA118" s="862">
        <v>0.03</v>
      </c>
      <c r="EB118" s="862">
        <v>0.03</v>
      </c>
    </row>
    <row r="119" spans="1:132" s="298" customFormat="1">
      <c r="A119" s="241"/>
      <c r="B119" s="241"/>
      <c r="C119" s="299"/>
      <c r="D119" s="299"/>
      <c r="E119" s="299"/>
      <c r="F119" s="299"/>
      <c r="G119" s="299"/>
      <c r="H119" s="299"/>
      <c r="I119" s="299"/>
      <c r="J119" s="243"/>
      <c r="K119" s="243"/>
      <c r="L119" s="243"/>
      <c r="M119" s="243"/>
      <c r="N119" s="299"/>
      <c r="O119" s="243"/>
      <c r="P119" s="243"/>
      <c r="Q119" s="243"/>
      <c r="R119" s="243"/>
      <c r="S119" s="299"/>
      <c r="T119" s="243"/>
      <c r="U119" s="243"/>
      <c r="V119" s="243"/>
      <c r="W119" s="243"/>
      <c r="X119" s="299"/>
      <c r="Y119" s="243"/>
      <c r="Z119" s="243"/>
      <c r="AA119" s="243"/>
      <c r="AB119" s="243"/>
      <c r="AC119" s="299"/>
      <c r="AD119" s="243"/>
      <c r="AE119" s="243"/>
      <c r="AF119" s="243"/>
      <c r="AG119" s="243"/>
      <c r="AH119" s="299"/>
      <c r="AI119" s="243"/>
      <c r="AJ119" s="243"/>
      <c r="AK119" s="243"/>
      <c r="AL119" s="205"/>
      <c r="AM119" s="299"/>
      <c r="AN119" s="409"/>
      <c r="AO119" s="439"/>
      <c r="AP119" s="439"/>
      <c r="AQ119" s="538"/>
      <c r="AR119" s="299"/>
      <c r="AS119" s="409"/>
      <c r="AT119" s="439"/>
      <c r="AU119" s="439"/>
      <c r="AV119" s="538"/>
      <c r="AW119" s="299"/>
      <c r="AX119" s="409"/>
      <c r="AY119" s="439"/>
      <c r="AZ119" s="439"/>
      <c r="BA119" s="538"/>
      <c r="BB119" s="299"/>
      <c r="BC119" s="588"/>
      <c r="BD119" s="439"/>
      <c r="BE119" s="439"/>
      <c r="BF119" s="538"/>
      <c r="BG119" s="299"/>
      <c r="BH119" s="588"/>
      <c r="BI119" s="588"/>
      <c r="BJ119" s="439"/>
      <c r="BK119" s="538"/>
      <c r="BL119" s="585"/>
      <c r="BM119" s="732"/>
      <c r="BN119" s="736"/>
      <c r="BP119" s="538"/>
      <c r="BQ119" s="299"/>
      <c r="BS119" s="538"/>
      <c r="BT119" s="439"/>
      <c r="BU119" s="538"/>
      <c r="BV119" s="299"/>
      <c r="BW119" s="439"/>
      <c r="BX119" s="538"/>
      <c r="BY119" s="439"/>
      <c r="BZ119" s="538"/>
      <c r="CA119" s="299"/>
      <c r="CB119" s="439"/>
      <c r="CC119" s="538"/>
      <c r="CD119" s="439"/>
      <c r="CE119" s="538"/>
      <c r="CF119" s="299"/>
      <c r="CG119" s="538"/>
      <c r="CH119" s="538"/>
      <c r="CI119" s="243"/>
      <c r="CJ119" s="538"/>
      <c r="CK119" s="585"/>
      <c r="CL119" s="538"/>
      <c r="CM119" s="538"/>
      <c r="CN119" s="538"/>
      <c r="CO119" s="538"/>
      <c r="CP119" s="585"/>
      <c r="CQ119" s="538"/>
      <c r="CR119" s="538"/>
      <c r="CS119" s="538"/>
      <c r="CT119" s="538"/>
      <c r="CU119" s="585"/>
      <c r="CV119" s="538"/>
      <c r="CW119" s="538"/>
      <c r="CX119" s="538"/>
      <c r="CY119" s="538"/>
      <c r="CZ119" s="585"/>
      <c r="DA119" s="538"/>
      <c r="DB119" s="538"/>
      <c r="DC119" s="538"/>
      <c r="DD119" s="538"/>
      <c r="DE119" s="585"/>
      <c r="DF119" s="538"/>
      <c r="DG119" s="538"/>
      <c r="DH119" s="538"/>
      <c r="DI119" s="538"/>
      <c r="DJ119" s="585"/>
      <c r="DK119" s="538"/>
      <c r="DL119" s="538"/>
      <c r="DM119" s="538"/>
      <c r="DN119" s="538"/>
      <c r="DO119" s="585"/>
      <c r="DP119" s="538"/>
      <c r="DQ119" s="243"/>
      <c r="DR119" s="243"/>
      <c r="DS119" s="243"/>
      <c r="DT119" s="585"/>
      <c r="DU119" s="243"/>
      <c r="DV119" s="243"/>
      <c r="DW119" s="243"/>
      <c r="DX119" s="243"/>
      <c r="DY119" s="585"/>
      <c r="DZ119" s="299"/>
      <c r="EA119" s="299"/>
      <c r="EB119" s="299"/>
    </row>
    <row r="120" spans="1:132" s="298" customFormat="1">
      <c r="A120" s="241"/>
      <c r="B120" s="121" t="s">
        <v>601</v>
      </c>
      <c r="C120" s="299"/>
      <c r="D120" s="299"/>
      <c r="E120" s="299"/>
      <c r="F120" s="299"/>
      <c r="G120" s="299"/>
      <c r="H120" s="299"/>
      <c r="I120" s="299"/>
      <c r="J120" s="243"/>
      <c r="K120" s="243"/>
      <c r="L120" s="243"/>
      <c r="M120" s="243"/>
      <c r="N120" s="299"/>
      <c r="O120" s="243"/>
      <c r="P120" s="243"/>
      <c r="Q120" s="243"/>
      <c r="R120" s="243"/>
      <c r="S120" s="299"/>
      <c r="T120" s="243"/>
      <c r="U120" s="243"/>
      <c r="V120" s="243"/>
      <c r="W120" s="243"/>
      <c r="X120" s="299"/>
      <c r="Y120" s="243"/>
      <c r="Z120" s="243"/>
      <c r="AA120" s="243"/>
      <c r="AB120" s="243"/>
      <c r="AC120" s="299"/>
      <c r="AD120" s="243"/>
      <c r="AE120" s="243"/>
      <c r="AF120" s="243"/>
      <c r="AG120" s="243"/>
      <c r="AH120" s="299"/>
      <c r="AI120" s="243"/>
      <c r="AJ120" s="243"/>
      <c r="AK120" s="243"/>
      <c r="AL120" s="205"/>
      <c r="AM120" s="299"/>
      <c r="AN120" s="409"/>
      <c r="AO120" s="439"/>
      <c r="AP120" s="439"/>
      <c r="AQ120" s="538"/>
      <c r="AR120" s="299"/>
      <c r="AS120" s="409"/>
      <c r="AT120" s="439"/>
      <c r="AU120" s="439"/>
      <c r="AV120" s="538"/>
      <c r="AW120" s="299"/>
      <c r="AX120" s="409"/>
      <c r="AY120" s="439"/>
      <c r="AZ120" s="439"/>
      <c r="BA120" s="538"/>
      <c r="BB120" s="299"/>
      <c r="BC120" s="588"/>
      <c r="BD120" s="439"/>
      <c r="BE120" s="439"/>
      <c r="BF120" s="538"/>
      <c r="BG120" s="299"/>
      <c r="BH120" s="588"/>
      <c r="BI120" s="588"/>
      <c r="BJ120" s="439"/>
      <c r="BK120" s="538"/>
      <c r="BL120" s="585"/>
      <c r="BM120" s="732"/>
      <c r="BN120" s="736"/>
      <c r="BP120" s="538"/>
      <c r="BQ120" s="299"/>
      <c r="BS120" s="538"/>
      <c r="BT120" s="439"/>
      <c r="BU120" s="538"/>
      <c r="BV120" s="299"/>
      <c r="BW120" s="439"/>
      <c r="BX120" s="538"/>
      <c r="BY120" s="439"/>
      <c r="BZ120" s="538"/>
      <c r="CA120" s="299"/>
      <c r="CB120" s="439"/>
      <c r="CC120" s="538"/>
      <c r="CD120" s="539"/>
      <c r="CE120" s="539">
        <v>397</v>
      </c>
      <c r="CF120" s="120">
        <f>SUM(CB120:CE120)</f>
        <v>397</v>
      </c>
      <c r="CG120" s="539">
        <v>400</v>
      </c>
      <c r="CH120" s="539">
        <v>405</v>
      </c>
      <c r="CI120" s="408">
        <v>402</v>
      </c>
      <c r="CJ120" s="539">
        <f t="shared" ref="CJ120:CO120" si="584">+CE120*(1+CJ121)</f>
        <v>371.98900000000003</v>
      </c>
      <c r="CK120" s="120">
        <f>SUM(CG120:CJ120)</f>
        <v>1578.989</v>
      </c>
      <c r="CL120" s="539">
        <f t="shared" si="584"/>
        <v>384</v>
      </c>
      <c r="CM120" s="539">
        <f t="shared" si="584"/>
        <v>202.5</v>
      </c>
      <c r="CN120" s="539">
        <f t="shared" si="584"/>
        <v>225.12000000000003</v>
      </c>
      <c r="CO120" s="539">
        <f t="shared" si="584"/>
        <v>212.03373000000005</v>
      </c>
      <c r="CP120" s="120">
        <f>SUM(CL120:CO120)</f>
        <v>1023.65373</v>
      </c>
      <c r="CQ120" s="539">
        <f t="shared" ref="CQ120" si="585">+CL120*(1+CQ121)</f>
        <v>211.20000000000002</v>
      </c>
      <c r="CR120" s="539">
        <f t="shared" ref="CR120" si="586">+CM120*(1+CR121)</f>
        <v>258.1875</v>
      </c>
      <c r="CS120" s="539">
        <f t="shared" ref="CS120" si="587">+CN120*(1+CS121)</f>
        <v>281.40000000000003</v>
      </c>
      <c r="CT120" s="539">
        <f t="shared" ref="CT120" si="588">+CO120*(1+CT121)</f>
        <v>278.82435495000004</v>
      </c>
      <c r="CU120" s="120">
        <f>SUM(CQ120:CT120)</f>
        <v>1029.6118549500002</v>
      </c>
      <c r="CV120" s="539">
        <f t="shared" ref="CV120:CW120" si="589">+CQ120*(1+CV121)</f>
        <v>270.33600000000001</v>
      </c>
      <c r="CW120" s="539">
        <f t="shared" si="589"/>
        <v>288.65362499999998</v>
      </c>
      <c r="CX120" s="539">
        <f t="shared" ref="CX120" si="590">+CS120*(1+CX121)</f>
        <v>315.16800000000006</v>
      </c>
      <c r="CY120" s="539">
        <f t="shared" ref="CY120" si="591">+CT120*(1+CY121)</f>
        <v>305.87031738015003</v>
      </c>
      <c r="CZ120" s="120">
        <f>SUM(CV120:CY120)</f>
        <v>1180.0279423801501</v>
      </c>
      <c r="DA120" s="539">
        <f t="shared" ref="DA120" si="592">+CV120*(1+DA121)</f>
        <v>302.77632000000006</v>
      </c>
      <c r="DB120" s="539">
        <f t="shared" ref="DB120" si="593">+CW120*(1+DB121)</f>
        <v>317.51898749999998</v>
      </c>
      <c r="DC120" s="539">
        <f t="shared" ref="DC120" si="594">+CX120*(1+DC121)</f>
        <v>327.77472000000006</v>
      </c>
      <c r="DD120" s="539">
        <f t="shared" ref="DD120" si="595">+CY120*(1+DD121)</f>
        <v>333.39864594436358</v>
      </c>
      <c r="DE120" s="120">
        <f>SUM(DA120:DD120)</f>
        <v>1281.4686734443637</v>
      </c>
      <c r="DF120" s="539">
        <f t="shared" ref="DF120:DN120" si="596">+DA120*(1+DF121)</f>
        <v>330.02618880000006</v>
      </c>
      <c r="DG120" s="539">
        <f t="shared" si="596"/>
        <v>330.21974699999998</v>
      </c>
      <c r="DH120" s="539">
        <f t="shared" si="596"/>
        <v>335.96908800000006</v>
      </c>
      <c r="DI120" s="539">
        <f t="shared" si="596"/>
        <v>346.73459178213812</v>
      </c>
      <c r="DJ120" s="120">
        <f>SUM(DF120:DI120)</f>
        <v>1342.9496155821382</v>
      </c>
      <c r="DK120" s="539">
        <f t="shared" si="596"/>
        <v>336.62671257600005</v>
      </c>
      <c r="DL120" s="539">
        <f t="shared" si="596"/>
        <v>356.63732676000001</v>
      </c>
      <c r="DM120" s="539">
        <f t="shared" si="596"/>
        <v>369.56599680000011</v>
      </c>
      <c r="DN120" s="539">
        <f t="shared" si="596"/>
        <v>364.07132137124506</v>
      </c>
      <c r="DO120" s="120">
        <f>SUM(DK120:DN120)</f>
        <v>1426.9013575072454</v>
      </c>
      <c r="DP120" s="539">
        <f t="shared" ref="DP120" si="597">+DK120*(1+DP121)</f>
        <v>353.45804820480004</v>
      </c>
      <c r="DQ120" s="408">
        <f t="shared" ref="DQ120" si="598">+DL120*(1+DQ121)</f>
        <v>365.55325992899998</v>
      </c>
      <c r="DR120" s="408">
        <f t="shared" ref="DR120" si="599">+DM120*(1+DR121)</f>
        <v>388.04429664000014</v>
      </c>
      <c r="DS120" s="408">
        <f t="shared" ref="DS120" si="600">+DN120*(1+DS121)</f>
        <v>385.91560065351979</v>
      </c>
      <c r="DT120" s="120">
        <f>SUM(DP120:DS120)</f>
        <v>1492.9712054273198</v>
      </c>
      <c r="DU120" s="408">
        <f t="shared" ref="DU120" si="601">+DP120*(1+DU121)</f>
        <v>371.13095061504004</v>
      </c>
      <c r="DV120" s="408">
        <f t="shared" ref="DV120" si="602">+DQ120*(1+DV121)</f>
        <v>383.83092292545001</v>
      </c>
      <c r="DW120" s="408">
        <f t="shared" ref="DW120" si="603">+DR120*(1+DW121)</f>
        <v>407.44651147200017</v>
      </c>
      <c r="DX120" s="408">
        <f t="shared" ref="DX120" si="604">+DS120*(1+DX121)</f>
        <v>405.21138068619581</v>
      </c>
      <c r="DY120" s="120">
        <f>SUM(DU120:DX120)</f>
        <v>1567.619765698686</v>
      </c>
      <c r="DZ120" s="120">
        <f t="shared" ref="DZ120" si="605">DY120*(1+DZ121)</f>
        <v>1630.3245563266335</v>
      </c>
      <c r="EA120" s="120">
        <f t="shared" ref="EA120" si="606">DZ120*(1+EA121)</f>
        <v>1695.5375385796988</v>
      </c>
      <c r="EB120" s="120">
        <f t="shared" ref="EB120" si="607">EA120*(1+EB121)</f>
        <v>1763.3590401228869</v>
      </c>
    </row>
    <row r="121" spans="1:132" s="298" customFormat="1">
      <c r="A121" s="241"/>
      <c r="B121" s="241"/>
      <c r="C121" s="299"/>
      <c r="D121" s="299"/>
      <c r="E121" s="299"/>
      <c r="F121" s="299"/>
      <c r="G121" s="299"/>
      <c r="H121" s="299"/>
      <c r="I121" s="299"/>
      <c r="J121" s="243"/>
      <c r="K121" s="243"/>
      <c r="L121" s="243"/>
      <c r="M121" s="243"/>
      <c r="N121" s="299"/>
      <c r="O121" s="243"/>
      <c r="P121" s="243"/>
      <c r="Q121" s="243"/>
      <c r="R121" s="243"/>
      <c r="S121" s="299"/>
      <c r="T121" s="243"/>
      <c r="U121" s="243"/>
      <c r="V121" s="243"/>
      <c r="W121" s="243"/>
      <c r="X121" s="299"/>
      <c r="Y121" s="243"/>
      <c r="Z121" s="243"/>
      <c r="AA121" s="243"/>
      <c r="AB121" s="243"/>
      <c r="AC121" s="299"/>
      <c r="AD121" s="243"/>
      <c r="AE121" s="243"/>
      <c r="AF121" s="243"/>
      <c r="AG121" s="243"/>
      <c r="AH121" s="299"/>
      <c r="AI121" s="243"/>
      <c r="AJ121" s="243"/>
      <c r="AK121" s="243"/>
      <c r="AL121" s="205"/>
      <c r="AM121" s="299"/>
      <c r="AN121" s="409"/>
      <c r="AO121" s="439"/>
      <c r="AP121" s="439"/>
      <c r="AQ121" s="538"/>
      <c r="AR121" s="299"/>
      <c r="AS121" s="409"/>
      <c r="AT121" s="439"/>
      <c r="AU121" s="439"/>
      <c r="AV121" s="538"/>
      <c r="AW121" s="299"/>
      <c r="AX121" s="409"/>
      <c r="AY121" s="439"/>
      <c r="AZ121" s="439"/>
      <c r="BA121" s="538"/>
      <c r="BB121" s="299"/>
      <c r="BC121" s="588"/>
      <c r="BD121" s="439"/>
      <c r="BE121" s="439"/>
      <c r="BF121" s="538"/>
      <c r="BG121" s="299"/>
      <c r="BH121" s="588"/>
      <c r="BI121" s="588"/>
      <c r="BJ121" s="439"/>
      <c r="BK121" s="538"/>
      <c r="BL121" s="585"/>
      <c r="BM121" s="732"/>
      <c r="BN121" s="736"/>
      <c r="BP121" s="538"/>
      <c r="BQ121" s="299"/>
      <c r="BS121" s="538"/>
      <c r="BT121" s="439"/>
      <c r="BU121" s="538"/>
      <c r="BV121" s="299"/>
      <c r="BW121" s="439"/>
      <c r="BX121" s="538"/>
      <c r="BY121" s="439"/>
      <c r="BZ121" s="538"/>
      <c r="CA121" s="299"/>
      <c r="CB121" s="439"/>
      <c r="CC121" s="538"/>
      <c r="CD121" s="469"/>
      <c r="CE121" s="469"/>
      <c r="CF121" s="301"/>
      <c r="CG121" s="469"/>
      <c r="CH121" s="469"/>
      <c r="CI121" s="571"/>
      <c r="CJ121" s="469">
        <v>-6.3E-2</v>
      </c>
      <c r="CK121" s="144"/>
      <c r="CL121" s="469">
        <v>-0.04</v>
      </c>
      <c r="CM121" s="469">
        <v>-0.5</v>
      </c>
      <c r="CN121" s="469">
        <v>-0.44</v>
      </c>
      <c r="CO121" s="469">
        <v>-0.43</v>
      </c>
      <c r="CP121" s="144">
        <f>+CP120/CK120-1</f>
        <v>-0.35170306442920118</v>
      </c>
      <c r="CQ121" s="469">
        <v>-0.45</v>
      </c>
      <c r="CR121" s="469">
        <v>0.27500000000000002</v>
      </c>
      <c r="CS121" s="469">
        <v>0.25</v>
      </c>
      <c r="CT121" s="469">
        <v>0.315</v>
      </c>
      <c r="CU121" s="144">
        <f>+CU120/CP120-1</f>
        <v>5.8204496065288325E-3</v>
      </c>
      <c r="CV121" s="469">
        <v>0.28000000000000003</v>
      </c>
      <c r="CW121" s="469">
        <v>0.11799999999999999</v>
      </c>
      <c r="CX121" s="469">
        <v>0.12</v>
      </c>
      <c r="CY121" s="469">
        <v>9.7000000000000003E-2</v>
      </c>
      <c r="CZ121" s="144">
        <f>+CZ120/CU120-1</f>
        <v>0.14609008890778008</v>
      </c>
      <c r="DA121" s="469">
        <v>0.12</v>
      </c>
      <c r="DB121" s="469">
        <v>0.1</v>
      </c>
      <c r="DC121" s="469">
        <v>0.04</v>
      </c>
      <c r="DD121" s="469">
        <v>0.09</v>
      </c>
      <c r="DE121" s="144">
        <f>+DE120/CZ120-1</f>
        <v>8.5964685598550084E-2</v>
      </c>
      <c r="DF121" s="469">
        <v>0.09</v>
      </c>
      <c r="DG121" s="469">
        <v>0.04</v>
      </c>
      <c r="DH121" s="469">
        <v>2.5000000000000001E-2</v>
      </c>
      <c r="DI121" s="469">
        <v>0.04</v>
      </c>
      <c r="DJ121" s="144">
        <f>+DJ120/DE120-1</f>
        <v>4.7976937253194407E-2</v>
      </c>
      <c r="DK121" s="469">
        <v>0.02</v>
      </c>
      <c r="DL121" s="469">
        <v>0.08</v>
      </c>
      <c r="DM121" s="469">
        <v>0.1</v>
      </c>
      <c r="DN121" s="469">
        <v>0.05</v>
      </c>
      <c r="DO121" s="144">
        <f>+DO120/DJ120-1</f>
        <v>6.251294981659905E-2</v>
      </c>
      <c r="DP121" s="469">
        <v>0.05</v>
      </c>
      <c r="DQ121" s="571">
        <v>2.5000000000000001E-2</v>
      </c>
      <c r="DR121" s="571">
        <v>0.05</v>
      </c>
      <c r="DS121" s="571">
        <v>0.06</v>
      </c>
      <c r="DT121" s="144">
        <f>+DT120/DO120-1</f>
        <v>4.6303024082545274E-2</v>
      </c>
      <c r="DU121" s="571">
        <v>0.05</v>
      </c>
      <c r="DV121" s="571">
        <v>0.05</v>
      </c>
      <c r="DW121" s="571">
        <v>0.05</v>
      </c>
      <c r="DX121" s="571">
        <v>0.05</v>
      </c>
      <c r="DY121" s="144">
        <f>+DY120/DT120-1</f>
        <v>5.0000000000000266E-2</v>
      </c>
      <c r="DZ121" s="862">
        <v>0.04</v>
      </c>
      <c r="EA121" s="862">
        <v>0.04</v>
      </c>
      <c r="EB121" s="862">
        <v>0.04</v>
      </c>
    </row>
    <row r="122" spans="1:132" s="298" customFormat="1">
      <c r="A122" s="241"/>
      <c r="B122" s="241"/>
      <c r="C122" s="299"/>
      <c r="D122" s="299"/>
      <c r="E122" s="299"/>
      <c r="F122" s="299"/>
      <c r="G122" s="299"/>
      <c r="H122" s="299"/>
      <c r="I122" s="299"/>
      <c r="J122" s="243"/>
      <c r="K122" s="243"/>
      <c r="L122" s="243"/>
      <c r="M122" s="243"/>
      <c r="N122" s="299"/>
      <c r="O122" s="243"/>
      <c r="P122" s="243"/>
      <c r="Q122" s="243"/>
      <c r="R122" s="243"/>
      <c r="S122" s="299"/>
      <c r="T122" s="243"/>
      <c r="U122" s="243"/>
      <c r="V122" s="243"/>
      <c r="W122" s="243"/>
      <c r="X122" s="299"/>
      <c r="Y122" s="243"/>
      <c r="Z122" s="243"/>
      <c r="AA122" s="243"/>
      <c r="AB122" s="243"/>
      <c r="AC122" s="299"/>
      <c r="AD122" s="243"/>
      <c r="AE122" s="243"/>
      <c r="AF122" s="243"/>
      <c r="AG122" s="243"/>
      <c r="AH122" s="299"/>
      <c r="AI122" s="243"/>
      <c r="AJ122" s="243"/>
      <c r="AK122" s="243"/>
      <c r="AL122" s="205"/>
      <c r="AM122" s="299"/>
      <c r="AN122" s="409"/>
      <c r="AO122" s="439"/>
      <c r="AP122" s="439"/>
      <c r="AQ122" s="538"/>
      <c r="AR122" s="299"/>
      <c r="AS122" s="409"/>
      <c r="AT122" s="439"/>
      <c r="AU122" s="439"/>
      <c r="AV122" s="538"/>
      <c r="AW122" s="299"/>
      <c r="AX122" s="409"/>
      <c r="AY122" s="439"/>
      <c r="AZ122" s="439"/>
      <c r="BA122" s="538"/>
      <c r="BB122" s="299"/>
      <c r="BC122" s="588"/>
      <c r="BD122" s="439"/>
      <c r="BE122" s="439"/>
      <c r="BF122" s="538"/>
      <c r="BG122" s="299"/>
      <c r="BH122" s="588"/>
      <c r="BI122" s="588"/>
      <c r="BJ122" s="439"/>
      <c r="BK122" s="538"/>
      <c r="BL122" s="585"/>
      <c r="BM122" s="732"/>
      <c r="BN122" s="736"/>
      <c r="BP122" s="538"/>
      <c r="BQ122" s="299"/>
      <c r="BS122" s="538"/>
      <c r="BT122" s="439"/>
      <c r="BU122" s="538"/>
      <c r="BV122" s="299"/>
      <c r="BW122" s="439"/>
      <c r="BX122" s="538"/>
      <c r="BY122" s="439"/>
      <c r="BZ122" s="538"/>
      <c r="CA122" s="299"/>
      <c r="CB122" s="439"/>
      <c r="CC122" s="538"/>
      <c r="CD122" s="439"/>
      <c r="CE122" s="538"/>
      <c r="CF122" s="299"/>
      <c r="CG122" s="538"/>
      <c r="CH122" s="538"/>
      <c r="CI122" s="243"/>
      <c r="CJ122" s="538"/>
      <c r="CK122" s="585"/>
      <c r="CL122" s="538"/>
      <c r="CM122" s="538"/>
      <c r="CN122" s="538"/>
      <c r="CO122" s="538"/>
      <c r="CP122" s="585"/>
      <c r="CQ122" s="538"/>
      <c r="CR122" s="538"/>
      <c r="CS122" s="538"/>
      <c r="CT122" s="538"/>
      <c r="CU122" s="585"/>
      <c r="CV122" s="538"/>
      <c r="CW122" s="538"/>
      <c r="CX122" s="538"/>
      <c r="CY122" s="538"/>
      <c r="CZ122" s="585"/>
      <c r="DA122" s="538"/>
      <c r="DB122" s="538"/>
      <c r="DC122" s="538"/>
      <c r="DD122" s="538"/>
      <c r="DE122" s="585"/>
      <c r="DF122" s="538"/>
      <c r="DG122" s="538"/>
      <c r="DH122" s="538"/>
      <c r="DI122" s="538"/>
      <c r="DJ122" s="585"/>
      <c r="DK122" s="538"/>
      <c r="DL122" s="538"/>
      <c r="DM122" s="538"/>
      <c r="DN122" s="538"/>
      <c r="DO122" s="585"/>
      <c r="DP122" s="538"/>
      <c r="DQ122" s="243"/>
      <c r="DR122" s="243"/>
      <c r="DS122" s="243"/>
      <c r="DT122" s="585"/>
      <c r="DU122" s="243"/>
      <c r="DV122" s="243"/>
      <c r="DW122" s="243"/>
      <c r="DX122" s="243"/>
      <c r="DY122" s="585"/>
      <c r="DZ122" s="299"/>
      <c r="EA122" s="299"/>
      <c r="EB122" s="299"/>
    </row>
    <row r="123" spans="1:132" s="298" customFormat="1">
      <c r="A123" s="241"/>
      <c r="B123" s="241" t="s">
        <v>199</v>
      </c>
      <c r="C123" s="285">
        <v>1399</v>
      </c>
      <c r="D123" s="285">
        <v>1650</v>
      </c>
      <c r="E123" s="285">
        <v>1190</v>
      </c>
      <c r="F123" s="285">
        <v>2055</v>
      </c>
      <c r="G123" s="285">
        <v>2451</v>
      </c>
      <c r="H123" s="285">
        <v>2100</v>
      </c>
      <c r="I123" s="285">
        <v>2006</v>
      </c>
      <c r="J123" s="241">
        <v>371</v>
      </c>
      <c r="K123" s="241">
        <v>430</v>
      </c>
      <c r="L123" s="241">
        <v>380</v>
      </c>
      <c r="M123" s="241">
        <v>590</v>
      </c>
      <c r="N123" s="285">
        <v>1771</v>
      </c>
      <c r="O123" s="241">
        <v>452</v>
      </c>
      <c r="P123" s="241">
        <v>590</v>
      </c>
      <c r="Q123" s="241">
        <v>610</v>
      </c>
      <c r="R123" s="241">
        <v>605</v>
      </c>
      <c r="S123" s="285">
        <v>2257</v>
      </c>
      <c r="T123" s="241">
        <v>385</v>
      </c>
      <c r="U123" s="241">
        <v>438</v>
      </c>
      <c r="V123" s="241">
        <v>422</v>
      </c>
      <c r="W123" s="241">
        <v>430</v>
      </c>
      <c r="X123" s="285">
        <v>1675</v>
      </c>
      <c r="Y123" s="241">
        <v>405</v>
      </c>
      <c r="Z123" s="241">
        <v>420</v>
      </c>
      <c r="AA123" s="241">
        <v>415</v>
      </c>
      <c r="AB123" s="241">
        <v>415</v>
      </c>
      <c r="AC123" s="285">
        <v>1655</v>
      </c>
      <c r="AD123" s="241">
        <v>409.5</v>
      </c>
      <c r="AE123" s="241">
        <v>409.5</v>
      </c>
      <c r="AF123" s="241">
        <v>409.5</v>
      </c>
      <c r="AG123" s="241">
        <v>409.5</v>
      </c>
      <c r="AH123" s="285">
        <v>1638</v>
      </c>
      <c r="AI123" s="241">
        <v>370</v>
      </c>
      <c r="AJ123" s="241">
        <v>370</v>
      </c>
      <c r="AK123" s="241">
        <v>370</v>
      </c>
      <c r="AL123" s="68">
        <v>390</v>
      </c>
      <c r="AM123" s="285">
        <f>SUM(AI123:AL123)</f>
        <v>1500</v>
      </c>
      <c r="AN123" s="408">
        <v>370</v>
      </c>
      <c r="AO123" s="472">
        <v>380</v>
      </c>
      <c r="AP123" s="472">
        <v>440</v>
      </c>
      <c r="AQ123" s="539">
        <v>480</v>
      </c>
      <c r="AR123" s="285">
        <f>SUM(AN123:AQ123)</f>
        <v>1670</v>
      </c>
      <c r="AS123" s="408">
        <v>410</v>
      </c>
      <c r="AT123" s="472">
        <v>420</v>
      </c>
      <c r="AU123" s="472">
        <v>480</v>
      </c>
      <c r="AV123" s="539">
        <v>540</v>
      </c>
      <c r="AW123" s="285">
        <f>SUM(AS123:AV123)</f>
        <v>1850</v>
      </c>
      <c r="AX123" s="408">
        <v>420</v>
      </c>
      <c r="AY123" s="472">
        <v>440</v>
      </c>
      <c r="AZ123" s="472">
        <v>500</v>
      </c>
      <c r="BA123" s="539">
        <v>560</v>
      </c>
      <c r="BB123" s="285">
        <f>SUM(AX123:BA123)</f>
        <v>1920</v>
      </c>
      <c r="BC123" s="586">
        <f>+AX123*(1+BC124)</f>
        <v>424.2</v>
      </c>
      <c r="BD123" s="472">
        <f>+AY123*(1+BD124)</f>
        <v>448.8</v>
      </c>
      <c r="BE123" s="539">
        <f>+AZ123*(1+BE124)</f>
        <v>505</v>
      </c>
      <c r="BF123" s="539">
        <f>+BA123*(1+BF124)</f>
        <v>582.4</v>
      </c>
      <c r="BG123" s="285">
        <f>SUM(BC123:BF123)</f>
        <v>1960.4</v>
      </c>
      <c r="BH123" s="586">
        <f>+BC123*(1+BH124)</f>
        <v>436.92599999999999</v>
      </c>
      <c r="BI123" s="586">
        <f>+BD123*(1+BI124)</f>
        <v>484.70400000000006</v>
      </c>
      <c r="BJ123" s="539">
        <f>+BE123*(1+BJ124)</f>
        <v>545.40000000000009</v>
      </c>
      <c r="BK123" s="539">
        <f>+BF123*(1+BK124)</f>
        <v>640.64</v>
      </c>
      <c r="BL123" s="120">
        <f>SUM(BH123:BK123)</f>
        <v>2107.67</v>
      </c>
      <c r="BM123" s="539">
        <f>+BH123*(1+BM124)</f>
        <v>454.40303999999998</v>
      </c>
      <c r="BN123" s="737">
        <f>+BI123*(1+BN124)</f>
        <v>513.78624000000013</v>
      </c>
      <c r="BO123" s="408">
        <f>+BJ123*(1+BO124)</f>
        <v>613.02960000000019</v>
      </c>
      <c r="BP123" s="539">
        <f>+BK123*(1+BP124)</f>
        <v>640.64</v>
      </c>
      <c r="BQ123" s="285">
        <f>SUM(BM123:BP123)</f>
        <v>2221.8588800000002</v>
      </c>
      <c r="BR123" s="408">
        <f>+BM123*(1+BR124)</f>
        <v>522.56349599999999</v>
      </c>
      <c r="BS123" s="539">
        <f>+BN123*(1+BS124)</f>
        <v>590.85417600000005</v>
      </c>
      <c r="BT123" s="539">
        <f>+BO123*(1+BT124)</f>
        <v>588.50841600000012</v>
      </c>
      <c r="BU123" s="539">
        <f>+BP123*(1+BU124)</f>
        <v>622.70208000000002</v>
      </c>
      <c r="BV123" s="285">
        <f>SUM(BR123:BU123)</f>
        <v>2324.6281680000002</v>
      </c>
      <c r="BW123" s="539">
        <f>+BR123*(1+BW124)</f>
        <v>600.9480203999999</v>
      </c>
      <c r="BX123" s="539">
        <f>+BS123*(1+BX124)</f>
        <v>608.57980128000008</v>
      </c>
      <c r="BY123" s="539">
        <f>+BT123*(1+BY124)</f>
        <v>630.8810219520002</v>
      </c>
      <c r="BZ123" s="539">
        <f>+BU123*(1+BZ124)</f>
        <v>698.04903167999998</v>
      </c>
      <c r="CA123" s="285">
        <f>SUM(BW123:BZ123)</f>
        <v>2538.4578753120004</v>
      </c>
      <c r="CB123" s="539">
        <f>+BW123*(1+CB124)</f>
        <v>647.22101797079983</v>
      </c>
      <c r="CC123" s="539">
        <f>+BX123*(1+CC124)</f>
        <v>697.43245226688009</v>
      </c>
      <c r="CD123" s="539">
        <f>+BY123*(1+CD124)</f>
        <v>731.82198546432016</v>
      </c>
      <c r="CE123" s="539">
        <f>+BZ123*(1+CE124)</f>
        <v>823.69785738239989</v>
      </c>
      <c r="CF123" s="120">
        <f>SUM(CB123:CE123)</f>
        <v>2900.1733130844</v>
      </c>
      <c r="CG123" s="539">
        <f t="shared" ref="CG123:CJ123" si="608">+CB123*(1+CG124)</f>
        <v>686.05427904904786</v>
      </c>
      <c r="CH123" s="539">
        <f t="shared" si="608"/>
        <v>697.43245226688009</v>
      </c>
      <c r="CI123" s="539">
        <f t="shared" si="608"/>
        <v>753.77664502824985</v>
      </c>
      <c r="CJ123" s="539">
        <f t="shared" si="608"/>
        <v>700.14317877503993</v>
      </c>
      <c r="CK123" s="120">
        <f>SUM(CG123:CJ123)</f>
        <v>2837.4065551192175</v>
      </c>
      <c r="CL123" s="539">
        <f t="shared" ref="CL123" si="609">+CG123*(1+CL124)</f>
        <v>651.75156509659541</v>
      </c>
      <c r="CM123" s="539">
        <f t="shared" ref="CM123" si="610">+CH123*(1+CM124)</f>
        <v>488.20271658681605</v>
      </c>
      <c r="CN123" s="539">
        <f t="shared" ref="CN123" si="611">+CI123*(1+CN124)</f>
        <v>565.33248377118741</v>
      </c>
      <c r="CO123" s="539">
        <f t="shared" ref="CO123" si="612">+CJ123*(1+CO124)</f>
        <v>525.10738408127997</v>
      </c>
      <c r="CP123" s="120">
        <f>SUM(CL123:CO123)</f>
        <v>2230.394149535879</v>
      </c>
      <c r="CQ123" s="539">
        <f t="shared" ref="CQ123" si="613">+CL123*(1+CQ124)</f>
        <v>521.40125207727635</v>
      </c>
      <c r="CR123" s="539">
        <f t="shared" ref="CR123" si="614">+CM123*(1+CR124)</f>
        <v>624.89947723112459</v>
      </c>
      <c r="CS123" s="539">
        <f t="shared" ref="CS123" si="615">+CN123*(1+CS124)</f>
        <v>661.43900601228927</v>
      </c>
      <c r="CT123" s="539">
        <f t="shared" ref="CT123" si="616">+CO123*(1+CT124)</f>
        <v>661.63530394241275</v>
      </c>
      <c r="CU123" s="120">
        <f>SUM(CQ123:CT123)</f>
        <v>2469.3750392631027</v>
      </c>
      <c r="CV123" s="539">
        <f t="shared" ref="CV123:CW123" si="617">+CQ123*(1+CV124)</f>
        <v>656.96557761736824</v>
      </c>
      <c r="CW123" s="539">
        <f t="shared" si="617"/>
        <v>687.38942495423714</v>
      </c>
      <c r="CX123" s="539">
        <f t="shared" ref="CX123" si="618">+CS123*(1+CX124)</f>
        <v>714.35412649327247</v>
      </c>
      <c r="CY123" s="539">
        <f t="shared" ref="CY123" si="619">+CT123*(1+CY124)</f>
        <v>727.79883433665407</v>
      </c>
      <c r="CZ123" s="120">
        <f>SUM(CV123:CY123)</f>
        <v>2786.5079634015319</v>
      </c>
      <c r="DA123" s="539">
        <f t="shared" ref="DA123" si="620">+CV123*(1+DA124)</f>
        <v>755.51041425997346</v>
      </c>
      <c r="DB123" s="539">
        <f t="shared" ref="DB123" si="621">+CW123*(1+DB124)</f>
        <v>776.75005019828791</v>
      </c>
      <c r="DC123" s="539">
        <f t="shared" ref="DC123" si="622">+CX123*(1+DC124)</f>
        <v>790.07566390155944</v>
      </c>
      <c r="DD123" s="539">
        <f t="shared" ref="DD123" si="623">+CY123*(1+DD124)</f>
        <v>778.74475274021995</v>
      </c>
      <c r="DE123" s="120">
        <f>SUM(DA123:DD123)</f>
        <v>3101.0808811000406</v>
      </c>
      <c r="DF123" s="539">
        <f t="shared" ref="DF123:DN123" si="624">+DA123*(1+DF124)</f>
        <v>823.50635154337112</v>
      </c>
      <c r="DG123" s="539">
        <f t="shared" si="624"/>
        <v>792.28505120225373</v>
      </c>
      <c r="DH123" s="539">
        <f t="shared" si="624"/>
        <v>801.92679886008273</v>
      </c>
      <c r="DI123" s="539">
        <f t="shared" si="624"/>
        <v>825.4694379046332</v>
      </c>
      <c r="DJ123" s="120">
        <f>SUM(DF123:DI123)</f>
        <v>3243.1876395103409</v>
      </c>
      <c r="DK123" s="539">
        <f t="shared" si="624"/>
        <v>831.74141505880482</v>
      </c>
      <c r="DL123" s="539">
        <f t="shared" si="624"/>
        <v>871.51355632247919</v>
      </c>
      <c r="DM123" s="539">
        <f t="shared" si="624"/>
        <v>890.13874673469195</v>
      </c>
      <c r="DN123" s="539">
        <f t="shared" si="624"/>
        <v>866.74290979986495</v>
      </c>
      <c r="DO123" s="120">
        <f>SUM(DK123:DN123)</f>
        <v>3460.136627915841</v>
      </c>
      <c r="DP123" s="539">
        <f t="shared" ref="DP123" si="625">+DK123*(1+DP124)</f>
        <v>889.96331411292124</v>
      </c>
      <c r="DQ123" s="408">
        <f t="shared" ref="DQ123" si="626">+DL123*(1+DQ124)</f>
        <v>884.58625966731631</v>
      </c>
      <c r="DR123" s="408">
        <f t="shared" ref="DR123" si="627">+DM123*(1+DR124)</f>
        <v>934.64568407142656</v>
      </c>
      <c r="DS123" s="408">
        <f t="shared" ref="DS123" si="628">+DN123*(1+DS124)</f>
        <v>910.08005528985825</v>
      </c>
      <c r="DT123" s="120">
        <f>SUM(DP123:DS123)</f>
        <v>3619.275313141522</v>
      </c>
      <c r="DU123" s="408">
        <f t="shared" ref="DU123" si="629">+DP123*(1+DU124)</f>
        <v>925.5618466774381</v>
      </c>
      <c r="DV123" s="408">
        <f t="shared" ref="DV123" si="630">+DQ123*(1+DV124)</f>
        <v>919.96971005400894</v>
      </c>
      <c r="DW123" s="408">
        <f t="shared" ref="DW123" si="631">+DR123*(1+DW124)</f>
        <v>972.03151143428363</v>
      </c>
      <c r="DX123" s="408">
        <f t="shared" ref="DX123" si="632">+DS123*(1+DX124)</f>
        <v>946.48325750145261</v>
      </c>
      <c r="DY123" s="120">
        <f>SUM(DU123:DX123)</f>
        <v>3764.0463256671828</v>
      </c>
      <c r="DZ123" s="120">
        <f t="shared" ref="DZ123" si="633">DY123*(1+DZ124)</f>
        <v>3876.9677154371984</v>
      </c>
      <c r="EA123" s="120">
        <f t="shared" ref="EA123" si="634">DZ123*(1+EA124)</f>
        <v>3993.2767469003143</v>
      </c>
      <c r="EB123" s="120">
        <f t="shared" ref="EB123" si="635">EA123*(1+EB124)</f>
        <v>4113.0750493073238</v>
      </c>
    </row>
    <row r="124" spans="1:132" s="306" customFormat="1">
      <c r="A124" s="305"/>
      <c r="B124" s="305" t="s">
        <v>196</v>
      </c>
      <c r="C124" s="309"/>
      <c r="D124" s="309">
        <f t="shared" ref="D124:I124" si="636">D123/C123-1</f>
        <v>0.17941386704789131</v>
      </c>
      <c r="E124" s="309">
        <f t="shared" si="636"/>
        <v>-0.27878787878787881</v>
      </c>
      <c r="F124" s="309">
        <f t="shared" si="636"/>
        <v>0.72689075630252109</v>
      </c>
      <c r="G124" s="309">
        <f t="shared" si="636"/>
        <v>0.19270072992700737</v>
      </c>
      <c r="H124" s="309">
        <f t="shared" si="636"/>
        <v>-0.14320685434516522</v>
      </c>
      <c r="I124" s="309">
        <f t="shared" si="636"/>
        <v>-4.4761904761904781E-2</v>
      </c>
      <c r="J124" s="305"/>
      <c r="K124" s="305"/>
      <c r="L124" s="305"/>
      <c r="M124" s="305"/>
      <c r="N124" s="301">
        <f t="shared" ref="N124:AW124" si="637">N123/I123-1</f>
        <v>-0.11714855433698901</v>
      </c>
      <c r="O124" s="242">
        <f t="shared" si="637"/>
        <v>0.21832884097035032</v>
      </c>
      <c r="P124" s="242">
        <f t="shared" si="637"/>
        <v>0.37209302325581395</v>
      </c>
      <c r="Q124" s="242">
        <f t="shared" si="637"/>
        <v>0.60526315789473695</v>
      </c>
      <c r="R124" s="242">
        <f t="shared" si="637"/>
        <v>2.5423728813559254E-2</v>
      </c>
      <c r="S124" s="301">
        <f t="shared" si="637"/>
        <v>0.27442123094297011</v>
      </c>
      <c r="T124" s="242">
        <f t="shared" si="637"/>
        <v>-0.14823008849557517</v>
      </c>
      <c r="U124" s="242">
        <f t="shared" si="637"/>
        <v>-0.25762711864406784</v>
      </c>
      <c r="V124" s="242">
        <f t="shared" si="637"/>
        <v>-0.30819672131147546</v>
      </c>
      <c r="W124" s="242">
        <f t="shared" si="637"/>
        <v>-0.28925619834710747</v>
      </c>
      <c r="X124" s="301">
        <f t="shared" si="637"/>
        <v>-0.25786442179884805</v>
      </c>
      <c r="Y124" s="242">
        <f t="shared" si="637"/>
        <v>5.1948051948051965E-2</v>
      </c>
      <c r="Z124" s="242">
        <f t="shared" si="637"/>
        <v>-4.1095890410958957E-2</v>
      </c>
      <c r="AA124" s="242">
        <f t="shared" si="637"/>
        <v>-1.6587677725118488E-2</v>
      </c>
      <c r="AB124" s="242">
        <f t="shared" si="637"/>
        <v>-3.4883720930232509E-2</v>
      </c>
      <c r="AC124" s="301">
        <f t="shared" si="637"/>
        <v>-1.1940298507462699E-2</v>
      </c>
      <c r="AD124" s="242">
        <f t="shared" si="637"/>
        <v>1.1111111111111072E-2</v>
      </c>
      <c r="AE124" s="242">
        <f t="shared" si="637"/>
        <v>-2.5000000000000022E-2</v>
      </c>
      <c r="AF124" s="242">
        <f t="shared" si="637"/>
        <v>-1.3253012048192736E-2</v>
      </c>
      <c r="AG124" s="242">
        <f t="shared" si="637"/>
        <v>-1.3253012048192736E-2</v>
      </c>
      <c r="AH124" s="301">
        <f t="shared" si="637"/>
        <v>-1.0271903323262888E-2</v>
      </c>
      <c r="AI124" s="242">
        <f t="shared" si="637"/>
        <v>-9.6459096459096449E-2</v>
      </c>
      <c r="AJ124" s="242">
        <f t="shared" si="637"/>
        <v>-9.6459096459096449E-2</v>
      </c>
      <c r="AK124" s="242">
        <f t="shared" si="637"/>
        <v>-9.6459096459096449E-2</v>
      </c>
      <c r="AL124" s="188">
        <f t="shared" si="637"/>
        <v>-4.7619047619047672E-2</v>
      </c>
      <c r="AM124" s="301">
        <f t="shared" si="637"/>
        <v>-8.4249084249084283E-2</v>
      </c>
      <c r="AN124" s="188">
        <f t="shared" si="637"/>
        <v>0</v>
      </c>
      <c r="AO124" s="469">
        <f t="shared" si="637"/>
        <v>2.7027027027026973E-2</v>
      </c>
      <c r="AP124" s="469">
        <f t="shared" si="637"/>
        <v>0.18918918918918926</v>
      </c>
      <c r="AQ124" s="145">
        <f t="shared" si="637"/>
        <v>0.23076923076923084</v>
      </c>
      <c r="AR124" s="301">
        <f t="shared" si="637"/>
        <v>0.11333333333333329</v>
      </c>
      <c r="AS124" s="188">
        <f t="shared" si="637"/>
        <v>0.10810810810810811</v>
      </c>
      <c r="AT124" s="469">
        <f t="shared" si="637"/>
        <v>0.10526315789473695</v>
      </c>
      <c r="AU124" s="469">
        <f t="shared" si="637"/>
        <v>9.0909090909090828E-2</v>
      </c>
      <c r="AV124" s="145">
        <f t="shared" si="637"/>
        <v>0.125</v>
      </c>
      <c r="AW124" s="301">
        <f t="shared" si="637"/>
        <v>0.10778443113772451</v>
      </c>
      <c r="AX124" s="188">
        <f>AX123/AS123-1</f>
        <v>2.4390243902439046E-2</v>
      </c>
      <c r="AY124" s="469">
        <f>AY123/AT123-1</f>
        <v>4.7619047619047672E-2</v>
      </c>
      <c r="AZ124" s="469">
        <f>AZ123/AU123-1</f>
        <v>4.1666666666666741E-2</v>
      </c>
      <c r="BA124" s="145">
        <f>BA123/AV123-1</f>
        <v>3.7037037037036979E-2</v>
      </c>
      <c r="BB124" s="301">
        <f>BB123/AW123-1</f>
        <v>3.7837837837837895E-2</v>
      </c>
      <c r="BC124" s="587">
        <v>0.01</v>
      </c>
      <c r="BD124" s="469">
        <v>0.02</v>
      </c>
      <c r="BE124" s="469">
        <v>0.01</v>
      </c>
      <c r="BF124" s="145">
        <v>0.04</v>
      </c>
      <c r="BG124" s="301">
        <f>BG123/BB123-1</f>
        <v>2.1041666666666625E-2</v>
      </c>
      <c r="BH124" s="587">
        <v>0.03</v>
      </c>
      <c r="BI124" s="587">
        <v>0.08</v>
      </c>
      <c r="BJ124" s="469">
        <v>0.08</v>
      </c>
      <c r="BK124" s="469">
        <v>0.1</v>
      </c>
      <c r="BL124" s="144">
        <f>BL123/BG123-1</f>
        <v>7.5122423995102938E-2</v>
      </c>
      <c r="BM124" s="469">
        <v>0.04</v>
      </c>
      <c r="BN124" s="735">
        <v>0.06</v>
      </c>
      <c r="BO124" s="469">
        <v>0.124</v>
      </c>
      <c r="BP124" s="469">
        <v>0</v>
      </c>
      <c r="BQ124" s="301">
        <f>BQ123/BL123-1</f>
        <v>5.4177779253868019E-2</v>
      </c>
      <c r="BR124" s="469">
        <v>0.15</v>
      </c>
      <c r="BS124" s="469">
        <v>0.15</v>
      </c>
      <c r="BT124" s="469">
        <v>-0.04</v>
      </c>
      <c r="BU124" s="469">
        <v>-2.8000000000000001E-2</v>
      </c>
      <c r="BV124" s="301">
        <f>BV123/BQ123-1</f>
        <v>4.6253742271876508E-2</v>
      </c>
      <c r="BW124" s="469">
        <v>0.15</v>
      </c>
      <c r="BX124" s="469">
        <v>0.03</v>
      </c>
      <c r="BY124" s="469">
        <v>7.1999999999999995E-2</v>
      </c>
      <c r="BZ124" s="469">
        <v>0.121</v>
      </c>
      <c r="CA124" s="301">
        <f>CA123/BV123-1</f>
        <v>9.1984477455579139E-2</v>
      </c>
      <c r="CB124" s="469">
        <v>7.6999999999999999E-2</v>
      </c>
      <c r="CC124" s="469">
        <v>0.14599999999999999</v>
      </c>
      <c r="CD124" s="469">
        <v>0.16</v>
      </c>
      <c r="CE124" s="469">
        <v>0.18</v>
      </c>
      <c r="CF124" s="301">
        <f>+CF123/CA123-1</f>
        <v>0.14249416596205733</v>
      </c>
      <c r="CG124" s="469">
        <v>0.06</v>
      </c>
      <c r="CH124" s="469">
        <v>0</v>
      </c>
      <c r="CI124" s="469">
        <v>0.03</v>
      </c>
      <c r="CJ124" s="469">
        <v>-0.15</v>
      </c>
      <c r="CK124" s="144">
        <f>+CK123/CF123-1</f>
        <v>-2.1642416224576855E-2</v>
      </c>
      <c r="CL124" s="469">
        <v>-0.05</v>
      </c>
      <c r="CM124" s="469">
        <v>-0.3</v>
      </c>
      <c r="CN124" s="469">
        <v>-0.25</v>
      </c>
      <c r="CO124" s="469">
        <v>-0.25</v>
      </c>
      <c r="CP124" s="144">
        <f>+CP123/CK123-1</f>
        <v>-0.21393212209514822</v>
      </c>
      <c r="CQ124" s="469">
        <v>-0.2</v>
      </c>
      <c r="CR124" s="469">
        <v>0.28000000000000003</v>
      </c>
      <c r="CS124" s="469">
        <v>0.17</v>
      </c>
      <c r="CT124" s="469">
        <v>0.26</v>
      </c>
      <c r="CU124" s="144">
        <f>+CU123/CP123-1</f>
        <v>0.10714738010631586</v>
      </c>
      <c r="CV124" s="469">
        <v>0.26</v>
      </c>
      <c r="CW124" s="469">
        <v>0.1</v>
      </c>
      <c r="CX124" s="469">
        <v>0.08</v>
      </c>
      <c r="CY124" s="469">
        <v>0.1</v>
      </c>
      <c r="CZ124" s="144">
        <f>+CZ123/CU123-1</f>
        <v>0.12842639092726316</v>
      </c>
      <c r="DA124" s="469">
        <v>0.15</v>
      </c>
      <c r="DB124" s="469">
        <v>0.13</v>
      </c>
      <c r="DC124" s="469">
        <v>0.106</v>
      </c>
      <c r="DD124" s="469">
        <v>7.0000000000000007E-2</v>
      </c>
      <c r="DE124" s="144">
        <f>+DE123/CZ123-1</f>
        <v>0.11289144758606939</v>
      </c>
      <c r="DF124" s="469">
        <v>0.09</v>
      </c>
      <c r="DG124" s="469">
        <v>0.02</v>
      </c>
      <c r="DH124" s="469">
        <v>1.4999999999999999E-2</v>
      </c>
      <c r="DI124" s="469">
        <v>0.06</v>
      </c>
      <c r="DJ124" s="144">
        <f>+DJ123/DE123-1</f>
        <v>4.5824911977107474E-2</v>
      </c>
      <c r="DK124" s="469">
        <v>0.01</v>
      </c>
      <c r="DL124" s="469">
        <v>0.1</v>
      </c>
      <c r="DM124" s="469">
        <v>0.11</v>
      </c>
      <c r="DN124" s="469">
        <v>0.05</v>
      </c>
      <c r="DO124" s="144">
        <f>+DO123/DJ123-1</f>
        <v>6.6893751617237651E-2</v>
      </c>
      <c r="DP124" s="469">
        <v>7.0000000000000007E-2</v>
      </c>
      <c r="DQ124" s="571">
        <v>1.4999999999999999E-2</v>
      </c>
      <c r="DR124" s="571">
        <v>0.05</v>
      </c>
      <c r="DS124" s="571">
        <v>0.05</v>
      </c>
      <c r="DT124" s="144">
        <f>+DT123/DO123-1</f>
        <v>4.5992023535075255E-2</v>
      </c>
      <c r="DU124" s="571">
        <v>0.04</v>
      </c>
      <c r="DV124" s="571">
        <v>0.04</v>
      </c>
      <c r="DW124" s="571">
        <v>0.04</v>
      </c>
      <c r="DX124" s="571">
        <v>0.04</v>
      </c>
      <c r="DY124" s="144">
        <f>+DY123/DT123-1</f>
        <v>4.0000000000000036E-2</v>
      </c>
      <c r="DZ124" s="862">
        <v>0.03</v>
      </c>
      <c r="EA124" s="862">
        <v>0.03</v>
      </c>
      <c r="EB124" s="862">
        <v>0.03</v>
      </c>
    </row>
    <row r="125" spans="1:132" s="298" customFormat="1">
      <c r="A125" s="241"/>
      <c r="B125" s="241"/>
      <c r="C125" s="299"/>
      <c r="D125" s="299"/>
      <c r="E125" s="299"/>
      <c r="F125" s="299"/>
      <c r="G125" s="299"/>
      <c r="H125" s="299"/>
      <c r="I125" s="299"/>
      <c r="J125" s="243"/>
      <c r="K125" s="243"/>
      <c r="L125" s="243"/>
      <c r="M125" s="243"/>
      <c r="N125" s="299"/>
      <c r="O125" s="243"/>
      <c r="P125" s="243"/>
      <c r="Q125" s="243"/>
      <c r="R125" s="243"/>
      <c r="S125" s="299"/>
      <c r="T125" s="243"/>
      <c r="U125" s="243"/>
      <c r="V125" s="243"/>
      <c r="W125" s="243"/>
      <c r="X125" s="299"/>
      <c r="Y125" s="243"/>
      <c r="Z125" s="243"/>
      <c r="AA125" s="243"/>
      <c r="AB125" s="243"/>
      <c r="AC125" s="299"/>
      <c r="AD125" s="243"/>
      <c r="AE125" s="243"/>
      <c r="AF125" s="243"/>
      <c r="AG125" s="243"/>
      <c r="AH125" s="299"/>
      <c r="AI125" s="243"/>
      <c r="AJ125" s="243"/>
      <c r="AK125" s="243"/>
      <c r="AL125" s="205"/>
      <c r="AM125" s="299"/>
      <c r="AN125" s="205"/>
      <c r="AO125" s="439"/>
      <c r="AP125" s="439"/>
      <c r="AQ125" s="538"/>
      <c r="AR125" s="299"/>
      <c r="AS125" s="205"/>
      <c r="AT125" s="439"/>
      <c r="AU125" s="439"/>
      <c r="AV125" s="538"/>
      <c r="AW125" s="299"/>
      <c r="AX125" s="205"/>
      <c r="AY125" s="439"/>
      <c r="AZ125" s="439"/>
      <c r="BA125" s="538"/>
      <c r="BB125" s="299"/>
      <c r="BC125" s="589"/>
      <c r="BD125" s="439"/>
      <c r="BE125" s="439"/>
      <c r="BF125" s="538"/>
      <c r="BG125" s="299"/>
      <c r="BH125" s="589"/>
      <c r="BI125" s="589"/>
      <c r="BJ125" s="439"/>
      <c r="BK125" s="538"/>
      <c r="BL125" s="585"/>
      <c r="BM125" s="538"/>
      <c r="BN125" s="738"/>
      <c r="BP125" s="538"/>
      <c r="BQ125" s="299"/>
      <c r="BS125" s="538"/>
      <c r="BT125" s="439"/>
      <c r="BU125" s="538"/>
      <c r="BV125" s="299"/>
      <c r="BW125" s="439"/>
      <c r="BX125" s="538"/>
      <c r="BY125" s="439"/>
      <c r="BZ125" s="538"/>
      <c r="CA125" s="299"/>
      <c r="CB125" s="439"/>
      <c r="CC125" s="538"/>
      <c r="CD125" s="439"/>
      <c r="CE125" s="538"/>
      <c r="CF125" s="299"/>
      <c r="CG125" s="538"/>
      <c r="CH125" s="538"/>
      <c r="CI125" s="538"/>
      <c r="CJ125" s="538"/>
      <c r="CK125" s="585"/>
      <c r="CL125" s="538"/>
      <c r="CM125" s="538"/>
      <c r="CN125" s="538"/>
      <c r="CO125" s="538"/>
      <c r="CP125" s="585"/>
      <c r="CQ125" s="538"/>
      <c r="CR125" s="538"/>
      <c r="CS125" s="538"/>
      <c r="CT125" s="538"/>
      <c r="CU125" s="585"/>
      <c r="CV125" s="538"/>
      <c r="CW125" s="538"/>
      <c r="CX125" s="538"/>
      <c r="CY125" s="538"/>
      <c r="CZ125" s="585"/>
      <c r="DA125" s="538"/>
      <c r="DB125" s="538"/>
      <c r="DC125" s="538"/>
      <c r="DD125" s="538"/>
      <c r="DE125" s="585"/>
      <c r="DF125" s="538"/>
      <c r="DG125" s="538"/>
      <c r="DH125" s="538"/>
      <c r="DI125" s="538"/>
      <c r="DJ125" s="585"/>
      <c r="DK125" s="538"/>
      <c r="DL125" s="538"/>
      <c r="DM125" s="538"/>
      <c r="DN125" s="538"/>
      <c r="DO125" s="585"/>
      <c r="DP125" s="538"/>
      <c r="DQ125" s="243"/>
      <c r="DR125" s="243"/>
      <c r="DS125" s="243"/>
      <c r="DT125" s="585"/>
      <c r="DU125" s="243"/>
      <c r="DV125" s="243"/>
      <c r="DW125" s="243"/>
      <c r="DX125" s="243"/>
      <c r="DY125" s="585"/>
      <c r="DZ125" s="299"/>
      <c r="EA125" s="299"/>
      <c r="EB125" s="299"/>
    </row>
    <row r="126" spans="1:132" s="298" customFormat="1">
      <c r="A126" s="241"/>
      <c r="B126" s="241" t="s">
        <v>200</v>
      </c>
      <c r="C126" s="285">
        <v>1500</v>
      </c>
      <c r="D126" s="285">
        <v>1503</v>
      </c>
      <c r="E126" s="285">
        <v>1300</v>
      </c>
      <c r="F126" s="285">
        <v>2555</v>
      </c>
      <c r="G126" s="285">
        <v>2700</v>
      </c>
      <c r="H126" s="285">
        <v>1796</v>
      </c>
      <c r="I126" s="285">
        <v>1839</v>
      </c>
      <c r="J126" s="241">
        <v>370</v>
      </c>
      <c r="K126" s="241">
        <v>423</v>
      </c>
      <c r="L126" s="241">
        <v>375</v>
      </c>
      <c r="M126" s="241">
        <v>588</v>
      </c>
      <c r="N126" s="285">
        <v>1756</v>
      </c>
      <c r="O126" s="241">
        <v>445</v>
      </c>
      <c r="P126" s="241">
        <v>583</v>
      </c>
      <c r="Q126" s="241">
        <v>600</v>
      </c>
      <c r="R126" s="241">
        <v>603</v>
      </c>
      <c r="S126" s="285">
        <v>2281</v>
      </c>
      <c r="T126" s="241">
        <v>385</v>
      </c>
      <c r="U126" s="241">
        <v>438</v>
      </c>
      <c r="V126" s="241">
        <v>430</v>
      </c>
      <c r="W126" s="241">
        <v>422</v>
      </c>
      <c r="X126" s="285">
        <v>1476</v>
      </c>
      <c r="Y126" s="241">
        <v>420</v>
      </c>
      <c r="Z126" s="241">
        <v>420</v>
      </c>
      <c r="AA126" s="241">
        <v>426</v>
      </c>
      <c r="AB126" s="241">
        <v>424</v>
      </c>
      <c r="AC126" s="285">
        <v>1532</v>
      </c>
      <c r="AD126" s="241">
        <v>407.5</v>
      </c>
      <c r="AE126" s="241">
        <v>407.5</v>
      </c>
      <c r="AF126" s="241">
        <v>407.5</v>
      </c>
      <c r="AG126" s="241">
        <v>407.5</v>
      </c>
      <c r="AH126" s="285">
        <v>1224</v>
      </c>
      <c r="AI126" s="241">
        <v>370</v>
      </c>
      <c r="AJ126" s="241">
        <v>370</v>
      </c>
      <c r="AK126" s="241">
        <v>370</v>
      </c>
      <c r="AL126" s="68">
        <v>390</v>
      </c>
      <c r="AM126" s="285">
        <f>SUM(AI126:AL126)</f>
        <v>1500</v>
      </c>
      <c r="AN126" s="408">
        <v>361</v>
      </c>
      <c r="AO126" s="472">
        <v>369</v>
      </c>
      <c r="AP126" s="472">
        <v>460</v>
      </c>
      <c r="AQ126" s="539">
        <v>480</v>
      </c>
      <c r="AR126" s="285">
        <f>SUM(AN126:AQ126)</f>
        <v>1670</v>
      </c>
      <c r="AS126" s="408">
        <v>400</v>
      </c>
      <c r="AT126" s="472">
        <v>420</v>
      </c>
      <c r="AU126" s="472">
        <v>490</v>
      </c>
      <c r="AV126" s="539">
        <v>510</v>
      </c>
      <c r="AW126" s="285">
        <f>SUM(AS126:AV126)</f>
        <v>1820</v>
      </c>
      <c r="AX126" s="408">
        <v>410</v>
      </c>
      <c r="AY126" s="472">
        <v>440</v>
      </c>
      <c r="AZ126" s="472">
        <v>500</v>
      </c>
      <c r="BA126" s="539">
        <v>520</v>
      </c>
      <c r="BB126" s="285">
        <f>SUM(AX126:BA126)</f>
        <v>1870</v>
      </c>
      <c r="BC126" s="586">
        <f>+AX126*(1+BC127)</f>
        <v>414.1</v>
      </c>
      <c r="BD126" s="472">
        <f>+AY126*(1+BD127)</f>
        <v>448.8</v>
      </c>
      <c r="BE126" s="539">
        <f>+AZ126*(1+BE127)</f>
        <v>515</v>
      </c>
      <c r="BF126" s="539">
        <f>+BA126*(1+BF127)</f>
        <v>546</v>
      </c>
      <c r="BG126" s="285">
        <f>SUM(BC126:BF126)</f>
        <v>1923.9</v>
      </c>
      <c r="BH126" s="586">
        <f>+BC126*(1+BH127)</f>
        <v>426.52300000000002</v>
      </c>
      <c r="BI126" s="586">
        <f>+BD126*(1+BI127)</f>
        <v>471.24</v>
      </c>
      <c r="BJ126" s="539">
        <f>+BE126*(1+BJ127)</f>
        <v>540.75</v>
      </c>
      <c r="BK126" s="539">
        <f>+BF126*(1+BK127)</f>
        <v>584.22</v>
      </c>
      <c r="BL126" s="120">
        <f>SUM(BH126:BK126)</f>
        <v>2022.7329999999999</v>
      </c>
      <c r="BM126" s="539">
        <f>+BH126*(1+BM127)</f>
        <v>439.31869000000006</v>
      </c>
      <c r="BN126" s="737">
        <f>+BI126*(1+BN127)</f>
        <v>504.22680000000003</v>
      </c>
      <c r="BO126" s="408">
        <f>+BJ126*(1+BO127)</f>
        <v>607.80300000000011</v>
      </c>
      <c r="BP126" s="539">
        <f>+BK126*(1+BP127)</f>
        <v>597.07284000000004</v>
      </c>
      <c r="BQ126" s="285">
        <f>SUM(BM126:BP126)</f>
        <v>2148.4213300000001</v>
      </c>
      <c r="BR126" s="408">
        <f>+BM126*(1+BR127)</f>
        <v>543.43721953000011</v>
      </c>
      <c r="BS126" s="539">
        <f>+BN126*(1+BS127)</f>
        <v>630.2835</v>
      </c>
      <c r="BT126" s="539">
        <f>+BO126*(1+BT127)</f>
        <v>583.49088000000006</v>
      </c>
      <c r="BU126" s="539">
        <f>+BP126*(1+BU127)</f>
        <v>579.16065479999997</v>
      </c>
      <c r="BV126" s="285">
        <f>SUM(BR126:BU126)</f>
        <v>2336.37225433</v>
      </c>
      <c r="BW126" s="539">
        <f>+BR126*(1+BW127)</f>
        <v>624.95280245950005</v>
      </c>
      <c r="BX126" s="539">
        <f>+BS126*(1+BX127)</f>
        <v>655.49484000000007</v>
      </c>
      <c r="BY126" s="539">
        <f>+BT126*(1+BY127)</f>
        <v>624.33524160000013</v>
      </c>
      <c r="BZ126" s="539">
        <f>+BU126*(1+BZ127)</f>
        <v>648.65993337600003</v>
      </c>
      <c r="CA126" s="285">
        <f>SUM(BW126:BZ126)</f>
        <v>2553.4428174355003</v>
      </c>
      <c r="CB126" s="539">
        <f t="shared" ref="CB126:CE126" si="638">+BW126*(1+CB127)</f>
        <v>681.19855468085507</v>
      </c>
      <c r="CC126" s="539">
        <f t="shared" si="638"/>
        <v>747.26411760000019</v>
      </c>
      <c r="CD126" s="539">
        <f t="shared" si="638"/>
        <v>717.98552784000015</v>
      </c>
      <c r="CE126" s="539">
        <f t="shared" si="638"/>
        <v>771.90532071743996</v>
      </c>
      <c r="CF126" s="120">
        <f>SUM(CB126:CE126)</f>
        <v>2918.3535208382955</v>
      </c>
      <c r="CG126" s="539">
        <f t="shared" ref="CG126" si="639">+CB126*(1+CG127)</f>
        <v>728.88245350851491</v>
      </c>
      <c r="CH126" s="539">
        <f t="shared" ref="CH126" si="640">+CC126*(1+CH127)</f>
        <v>747.26411760000019</v>
      </c>
      <c r="CI126" s="539">
        <f t="shared" ref="CI126" si="641">+CD126*(1+CI127)</f>
        <v>732.34523839680014</v>
      </c>
      <c r="CJ126" s="539">
        <f t="shared" ref="CJ126" si="642">+CE126*(1+CJ127)</f>
        <v>710.15289506004478</v>
      </c>
      <c r="CK126" s="120">
        <f>SUM(CG126:CJ126)</f>
        <v>2918.6447045653604</v>
      </c>
      <c r="CL126" s="539">
        <f t="shared" ref="CL126" si="643">+CG126*(1+CL127)</f>
        <v>699.72715536817429</v>
      </c>
      <c r="CM126" s="539">
        <f t="shared" ref="CM126" si="644">+CH126*(1+CM127)</f>
        <v>373.6320588000001</v>
      </c>
      <c r="CN126" s="539">
        <f t="shared" ref="CN126" si="645">+CI126*(1+CN127)</f>
        <v>382.28421444312971</v>
      </c>
      <c r="CO126" s="539">
        <f t="shared" ref="CO126" si="646">+CJ126*(1+CO127)</f>
        <v>376.38103438182378</v>
      </c>
      <c r="CP126" s="120">
        <f>SUM(CL126:CO126)</f>
        <v>1832.0244629931278</v>
      </c>
      <c r="CQ126" s="539">
        <f t="shared" ref="CQ126" si="647">+CL126*(1+CQ127)</f>
        <v>377.85266389881417</v>
      </c>
      <c r="CR126" s="539">
        <f t="shared" ref="CR126" si="648">+CM126*(1+CR127)</f>
        <v>496.93063820400016</v>
      </c>
      <c r="CS126" s="539">
        <f t="shared" ref="CS126" si="649">+CN126*(1+CS127)</f>
        <v>516.08368949822511</v>
      </c>
      <c r="CT126" s="539">
        <f t="shared" ref="CT126" si="650">+CO126*(1+CT127)</f>
        <v>508.11439641546212</v>
      </c>
      <c r="CU126" s="120">
        <f>SUM(CQ126:CT126)</f>
        <v>1898.9813880165016</v>
      </c>
      <c r="CV126" s="539">
        <f t="shared" ref="CV126:CW126" si="651">+CQ126*(1+CV127)</f>
        <v>502.54404298542289</v>
      </c>
      <c r="CW126" s="539">
        <f t="shared" si="651"/>
        <v>566.50092755256026</v>
      </c>
      <c r="CX126" s="539">
        <f t="shared" ref="CX126" si="652">+CS126*(1+CX127)</f>
        <v>630.13818487733295</v>
      </c>
      <c r="CY126" s="539">
        <f t="shared" ref="CY126" si="653">+CT126*(1+CY127)</f>
        <v>599.57498777024523</v>
      </c>
      <c r="CZ126" s="120">
        <f>SUM(CV126:CY126)</f>
        <v>2298.758143185561</v>
      </c>
      <c r="DA126" s="539">
        <f t="shared" ref="DA126" si="654">+CV126*(1+DA127)</f>
        <v>604.0579396684783</v>
      </c>
      <c r="DB126" s="539">
        <f t="shared" ref="DB126" si="655">+CW126*(1+DB127)</f>
        <v>651.47606668544427</v>
      </c>
      <c r="DC126" s="539">
        <f t="shared" ref="DC126" si="656">+CX126*(1+DC127)</f>
        <v>680.5492396675196</v>
      </c>
      <c r="DD126" s="539">
        <f t="shared" ref="DD126" si="657">+CY126*(1+DD127)</f>
        <v>653.5367366695674</v>
      </c>
      <c r="DE126" s="120">
        <f>SUM(DA126:DD126)</f>
        <v>2589.6199826910092</v>
      </c>
      <c r="DF126" s="539">
        <f t="shared" ref="DF126:DN126" si="658">+DA126*(1+DF127)</f>
        <v>670.50431303201094</v>
      </c>
      <c r="DG126" s="539">
        <f t="shared" si="658"/>
        <v>671.02034868600765</v>
      </c>
      <c r="DH126" s="539">
        <f t="shared" si="658"/>
        <v>690.75747826253235</v>
      </c>
      <c r="DI126" s="539">
        <f t="shared" si="658"/>
        <v>705.81967560313285</v>
      </c>
      <c r="DJ126" s="120">
        <f>SUM(DF126:DI126)</f>
        <v>2738.1018155836841</v>
      </c>
      <c r="DK126" s="539">
        <f t="shared" si="658"/>
        <v>690.61944242297125</v>
      </c>
      <c r="DL126" s="539">
        <f t="shared" si="658"/>
        <v>744.83258704146851</v>
      </c>
      <c r="DM126" s="539">
        <f t="shared" si="658"/>
        <v>732.20292695828437</v>
      </c>
      <c r="DN126" s="539">
        <f t="shared" si="658"/>
        <v>748.16885613932084</v>
      </c>
      <c r="DO126" s="120">
        <f>SUM(DK126:DN126)</f>
        <v>2915.8238125620451</v>
      </c>
      <c r="DP126" s="539">
        <f t="shared" ref="DP126" si="659">+DK126*(1+DP127)</f>
        <v>738.9628033925793</v>
      </c>
      <c r="DQ126" s="408">
        <f t="shared" ref="DQ126" si="660">+DL126*(1+DQ127)</f>
        <v>759.7292387822979</v>
      </c>
      <c r="DR126" s="408">
        <f t="shared" ref="DR126" si="661">+DM126*(1+DR127)</f>
        <v>776.1351025757815</v>
      </c>
      <c r="DS126" s="408">
        <f t="shared" ref="DS126" si="662">+DN126*(1+DS127)</f>
        <v>793.05898750768017</v>
      </c>
      <c r="DT126" s="120">
        <f>SUM(DP126:DS126)</f>
        <v>3067.8861322583389</v>
      </c>
      <c r="DU126" s="408">
        <f t="shared" ref="DU126" si="663">+DP126*(1+DU127)</f>
        <v>775.91094356220833</v>
      </c>
      <c r="DV126" s="408">
        <f t="shared" ref="DV126" si="664">+DQ126*(1+DV127)</f>
        <v>797.71570072141287</v>
      </c>
      <c r="DW126" s="408">
        <f t="shared" ref="DW126" si="665">+DR126*(1+DW127)</f>
        <v>814.94185770457057</v>
      </c>
      <c r="DX126" s="408">
        <f t="shared" ref="DX126" si="666">+DS126*(1+DX127)</f>
        <v>832.71193688306425</v>
      </c>
      <c r="DY126" s="120">
        <f>SUM(DU126:DX126)</f>
        <v>3221.2804388712566</v>
      </c>
      <c r="DZ126" s="120">
        <f t="shared" ref="DZ126" si="667">DY126*(1+DZ127)</f>
        <v>3350.1316564261069</v>
      </c>
      <c r="EA126" s="120">
        <f t="shared" ref="EA126" si="668">DZ126*(1+EA127)</f>
        <v>3484.1369226831512</v>
      </c>
      <c r="EB126" s="120">
        <f t="shared" ref="EB126" si="669">EA126*(1+EB127)</f>
        <v>3623.5023995904771</v>
      </c>
    </row>
    <row r="127" spans="1:132" s="306" customFormat="1">
      <c r="A127" s="305"/>
      <c r="B127" s="305" t="s">
        <v>196</v>
      </c>
      <c r="C127" s="309"/>
      <c r="D127" s="301">
        <f t="shared" ref="D127:I127" si="670">D126/C126-1</f>
        <v>2.0000000000000018E-3</v>
      </c>
      <c r="E127" s="301">
        <f t="shared" si="670"/>
        <v>-0.13506320691949436</v>
      </c>
      <c r="F127" s="301">
        <f t="shared" si="670"/>
        <v>0.96538461538461529</v>
      </c>
      <c r="G127" s="301">
        <f t="shared" si="670"/>
        <v>5.6751467710371761E-2</v>
      </c>
      <c r="H127" s="301">
        <f t="shared" si="670"/>
        <v>-0.33481481481481479</v>
      </c>
      <c r="I127" s="301">
        <f t="shared" si="670"/>
        <v>2.3942093541202691E-2</v>
      </c>
      <c r="J127" s="242"/>
      <c r="K127" s="242"/>
      <c r="L127" s="242"/>
      <c r="M127" s="242"/>
      <c r="N127" s="301">
        <f t="shared" ref="N127:AW127" si="671">N126/I126-1</f>
        <v>-4.5133224578575271E-2</v>
      </c>
      <c r="O127" s="242">
        <f t="shared" si="671"/>
        <v>0.20270270270270263</v>
      </c>
      <c r="P127" s="242">
        <f t="shared" si="671"/>
        <v>0.37825059101654857</v>
      </c>
      <c r="Q127" s="242">
        <f t="shared" si="671"/>
        <v>0.60000000000000009</v>
      </c>
      <c r="R127" s="242">
        <f t="shared" si="671"/>
        <v>2.5510204081632626E-2</v>
      </c>
      <c r="S127" s="301">
        <f t="shared" si="671"/>
        <v>0.29897494305239181</v>
      </c>
      <c r="T127" s="242">
        <f t="shared" si="671"/>
        <v>-0.1348314606741573</v>
      </c>
      <c r="U127" s="242">
        <f t="shared" si="671"/>
        <v>-0.24871355060034306</v>
      </c>
      <c r="V127" s="242">
        <f t="shared" si="671"/>
        <v>-0.28333333333333333</v>
      </c>
      <c r="W127" s="242">
        <f t="shared" si="671"/>
        <v>-0.30016583747927028</v>
      </c>
      <c r="X127" s="301">
        <f t="shared" si="671"/>
        <v>-0.3529153879877247</v>
      </c>
      <c r="Y127" s="242">
        <f t="shared" si="671"/>
        <v>9.0909090909090828E-2</v>
      </c>
      <c r="Z127" s="242">
        <f t="shared" si="671"/>
        <v>-4.1095890410958957E-2</v>
      </c>
      <c r="AA127" s="242">
        <f t="shared" si="671"/>
        <v>-9.302325581395321E-3</v>
      </c>
      <c r="AB127" s="242">
        <f t="shared" si="671"/>
        <v>4.7393364928909332E-3</v>
      </c>
      <c r="AC127" s="301">
        <f t="shared" si="671"/>
        <v>3.7940379403794022E-2</v>
      </c>
      <c r="AD127" s="242">
        <f t="shared" si="671"/>
        <v>-2.9761904761904767E-2</v>
      </c>
      <c r="AE127" s="242">
        <f t="shared" si="671"/>
        <v>-2.9761904761904767E-2</v>
      </c>
      <c r="AF127" s="242">
        <f t="shared" si="671"/>
        <v>-4.3427230046948373E-2</v>
      </c>
      <c r="AG127" s="242">
        <f t="shared" si="671"/>
        <v>-3.8915094339622591E-2</v>
      </c>
      <c r="AH127" s="301">
        <f t="shared" si="671"/>
        <v>-0.20104438642297651</v>
      </c>
      <c r="AI127" s="242">
        <f t="shared" si="671"/>
        <v>-9.2024539877300637E-2</v>
      </c>
      <c r="AJ127" s="242">
        <f t="shared" si="671"/>
        <v>-9.2024539877300637E-2</v>
      </c>
      <c r="AK127" s="242">
        <f t="shared" si="671"/>
        <v>-9.2024539877300637E-2</v>
      </c>
      <c r="AL127" s="188">
        <f t="shared" si="671"/>
        <v>-4.2944785276073594E-2</v>
      </c>
      <c r="AM127" s="301">
        <f t="shared" si="671"/>
        <v>0.22549019607843146</v>
      </c>
      <c r="AN127" s="188">
        <f t="shared" si="671"/>
        <v>-2.4324324324324298E-2</v>
      </c>
      <c r="AO127" s="469">
        <f t="shared" si="671"/>
        <v>-2.7027027027026751E-3</v>
      </c>
      <c r="AP127" s="469">
        <f t="shared" si="671"/>
        <v>0.2432432432432432</v>
      </c>
      <c r="AQ127" s="145">
        <f t="shared" si="671"/>
        <v>0.23076923076923084</v>
      </c>
      <c r="AR127" s="301">
        <f t="shared" si="671"/>
        <v>0.11333333333333329</v>
      </c>
      <c r="AS127" s="188">
        <f t="shared" si="671"/>
        <v>0.10803324099723</v>
      </c>
      <c r="AT127" s="469">
        <f t="shared" si="671"/>
        <v>0.13821138211382111</v>
      </c>
      <c r="AU127" s="469">
        <f t="shared" si="671"/>
        <v>6.5217391304347894E-2</v>
      </c>
      <c r="AV127" s="145">
        <f t="shared" si="671"/>
        <v>6.25E-2</v>
      </c>
      <c r="AW127" s="301">
        <f t="shared" si="671"/>
        <v>8.9820359281437057E-2</v>
      </c>
      <c r="AX127" s="188">
        <f>AX126/AS126-1</f>
        <v>2.4999999999999911E-2</v>
      </c>
      <c r="AY127" s="469">
        <f>AY126/AT126-1</f>
        <v>4.7619047619047672E-2</v>
      </c>
      <c r="AZ127" s="469">
        <f>AZ126/AU126-1</f>
        <v>2.0408163265306145E-2</v>
      </c>
      <c r="BA127" s="145">
        <f>BA126/AV126-1</f>
        <v>1.9607843137254832E-2</v>
      </c>
      <c r="BB127" s="301">
        <f>BB126/AW126-1</f>
        <v>2.7472527472527375E-2</v>
      </c>
      <c r="BC127" s="587">
        <v>0.01</v>
      </c>
      <c r="BD127" s="469">
        <v>0.02</v>
      </c>
      <c r="BE127" s="469">
        <v>0.03</v>
      </c>
      <c r="BF127" s="145">
        <v>0.05</v>
      </c>
      <c r="BG127" s="301">
        <f>BG126/BB126-1</f>
        <v>2.8823529411764692E-2</v>
      </c>
      <c r="BH127" s="587">
        <v>0.03</v>
      </c>
      <c r="BI127" s="587">
        <v>0.05</v>
      </c>
      <c r="BJ127" s="469">
        <v>0.05</v>
      </c>
      <c r="BK127" s="469">
        <v>7.0000000000000007E-2</v>
      </c>
      <c r="BL127" s="144">
        <f>BL126/BG126-1</f>
        <v>5.1371173137896964E-2</v>
      </c>
      <c r="BM127" s="469">
        <v>0.03</v>
      </c>
      <c r="BN127" s="735">
        <v>7.0000000000000007E-2</v>
      </c>
      <c r="BO127" s="469">
        <v>0.124</v>
      </c>
      <c r="BP127" s="469">
        <v>2.1999999999999999E-2</v>
      </c>
      <c r="BQ127" s="301">
        <f>BQ126/BL126-1</f>
        <v>6.2137874845567875E-2</v>
      </c>
      <c r="BR127" s="469">
        <v>0.23699999999999999</v>
      </c>
      <c r="BS127" s="469">
        <v>0.25</v>
      </c>
      <c r="BT127" s="469">
        <v>-0.04</v>
      </c>
      <c r="BU127" s="469">
        <v>-0.03</v>
      </c>
      <c r="BV127" s="301">
        <f>BV126/BQ126-1</f>
        <v>8.7483270485868792E-2</v>
      </c>
      <c r="BW127" s="469">
        <v>0.15</v>
      </c>
      <c r="BX127" s="469">
        <v>0.04</v>
      </c>
      <c r="BY127" s="469">
        <v>7.0000000000000007E-2</v>
      </c>
      <c r="BZ127" s="469">
        <v>0.12</v>
      </c>
      <c r="CA127" s="301">
        <f>CA126/BV126-1</f>
        <v>9.2909236832102948E-2</v>
      </c>
      <c r="CB127" s="469">
        <v>0.09</v>
      </c>
      <c r="CC127" s="469">
        <v>0.14000000000000001</v>
      </c>
      <c r="CD127" s="469">
        <v>0.15</v>
      </c>
      <c r="CE127" s="469">
        <v>0.19</v>
      </c>
      <c r="CF127" s="301">
        <f>+CF126/CA126-1</f>
        <v>0.14290929129530539</v>
      </c>
      <c r="CG127" s="469">
        <v>7.0000000000000007E-2</v>
      </c>
      <c r="CH127" s="469">
        <v>0</v>
      </c>
      <c r="CI127" s="469">
        <v>0.02</v>
      </c>
      <c r="CJ127" s="469">
        <v>-0.08</v>
      </c>
      <c r="CK127" s="144">
        <f>+CK126/CF126-1</f>
        <v>9.9776714844734826E-5</v>
      </c>
      <c r="CL127" s="469">
        <v>-0.04</v>
      </c>
      <c r="CM127" s="469">
        <v>-0.5</v>
      </c>
      <c r="CN127" s="469">
        <v>-0.47799999999999998</v>
      </c>
      <c r="CO127" s="469">
        <v>-0.47</v>
      </c>
      <c r="CP127" s="144">
        <f>+CP126/CK126-1</f>
        <v>-0.37230302128674142</v>
      </c>
      <c r="CQ127" s="469">
        <v>-0.46</v>
      </c>
      <c r="CR127" s="469">
        <v>0.33</v>
      </c>
      <c r="CS127" s="469">
        <v>0.35</v>
      </c>
      <c r="CT127" s="469">
        <v>0.35</v>
      </c>
      <c r="CU127" s="144">
        <f>+CU126/CP126-1</f>
        <v>3.6548051827856476E-2</v>
      </c>
      <c r="CV127" s="469">
        <v>0.33</v>
      </c>
      <c r="CW127" s="469">
        <v>0.14000000000000001</v>
      </c>
      <c r="CX127" s="469">
        <v>0.221</v>
      </c>
      <c r="CY127" s="469">
        <v>0.18</v>
      </c>
      <c r="CZ127" s="144">
        <f>+CZ126/CU126-1</f>
        <v>0.21052168161933849</v>
      </c>
      <c r="DA127" s="469">
        <v>0.20200000000000001</v>
      </c>
      <c r="DB127" s="469">
        <v>0.15</v>
      </c>
      <c r="DC127" s="469">
        <v>0.08</v>
      </c>
      <c r="DD127" s="469">
        <v>0.09</v>
      </c>
      <c r="DE127" s="144">
        <f>+DE126/CZ126-1</f>
        <v>0.12652998766646206</v>
      </c>
      <c r="DF127" s="469">
        <v>0.11</v>
      </c>
      <c r="DG127" s="469">
        <v>0.03</v>
      </c>
      <c r="DH127" s="469">
        <v>1.4999999999999999E-2</v>
      </c>
      <c r="DI127" s="469">
        <v>0.08</v>
      </c>
      <c r="DJ127" s="144">
        <f>+DJ126/DE126-1</f>
        <v>5.7337305815187589E-2</v>
      </c>
      <c r="DK127" s="469">
        <v>0.03</v>
      </c>
      <c r="DL127" s="469">
        <v>0.11</v>
      </c>
      <c r="DM127" s="469">
        <v>0.06</v>
      </c>
      <c r="DN127" s="469">
        <v>0.06</v>
      </c>
      <c r="DO127" s="144">
        <f>+DO126/DJ126-1</f>
        <v>6.4907008193366256E-2</v>
      </c>
      <c r="DP127" s="469">
        <v>7.0000000000000007E-2</v>
      </c>
      <c r="DQ127" s="571">
        <v>0.02</v>
      </c>
      <c r="DR127" s="571">
        <v>0.06</v>
      </c>
      <c r="DS127" s="571">
        <v>0.06</v>
      </c>
      <c r="DT127" s="144">
        <f>+DT126/DO126-1</f>
        <v>5.2150722907596148E-2</v>
      </c>
      <c r="DU127" s="571">
        <v>0.05</v>
      </c>
      <c r="DV127" s="571">
        <v>0.05</v>
      </c>
      <c r="DW127" s="571">
        <v>0.05</v>
      </c>
      <c r="DX127" s="571">
        <v>0.05</v>
      </c>
      <c r="DY127" s="144">
        <f>+DY126/DT126-1</f>
        <v>5.0000000000000266E-2</v>
      </c>
      <c r="DZ127" s="862">
        <v>0.04</v>
      </c>
      <c r="EA127" s="862">
        <v>0.04</v>
      </c>
      <c r="EB127" s="862">
        <v>0.04</v>
      </c>
    </row>
    <row r="128" spans="1:132" s="306" customFormat="1">
      <c r="A128" s="305"/>
      <c r="B128" s="305"/>
      <c r="C128" s="309"/>
      <c r="D128" s="301"/>
      <c r="E128" s="301"/>
      <c r="F128" s="301"/>
      <c r="G128" s="301"/>
      <c r="H128" s="301"/>
      <c r="I128" s="301"/>
      <c r="J128" s="242"/>
      <c r="K128" s="242"/>
      <c r="L128" s="242"/>
      <c r="M128" s="242"/>
      <c r="N128" s="301"/>
      <c r="O128" s="242"/>
      <c r="P128" s="242"/>
      <c r="Q128" s="242"/>
      <c r="R128" s="242"/>
      <c r="S128" s="301"/>
      <c r="T128" s="242"/>
      <c r="U128" s="242"/>
      <c r="V128" s="242"/>
      <c r="W128" s="242"/>
      <c r="X128" s="301"/>
      <c r="Y128" s="242"/>
      <c r="Z128" s="242"/>
      <c r="AA128" s="242"/>
      <c r="AB128" s="242"/>
      <c r="AC128" s="301"/>
      <c r="AD128" s="242"/>
      <c r="AE128" s="242"/>
      <c r="AF128" s="242"/>
      <c r="AG128" s="242"/>
      <c r="AH128" s="301"/>
      <c r="AI128" s="242"/>
      <c r="AJ128" s="242"/>
      <c r="AK128" s="242"/>
      <c r="AL128" s="188"/>
      <c r="AM128" s="301"/>
      <c r="AN128" s="188"/>
      <c r="AO128" s="469"/>
      <c r="AP128" s="469"/>
      <c r="AQ128" s="145"/>
      <c r="AR128" s="301"/>
      <c r="AS128" s="188"/>
      <c r="AT128" s="469"/>
      <c r="AU128" s="469"/>
      <c r="AV128" s="145"/>
      <c r="AW128" s="301"/>
      <c r="AX128" s="188"/>
      <c r="AY128" s="469"/>
      <c r="AZ128" s="469"/>
      <c r="BA128" s="145"/>
      <c r="BB128" s="301"/>
      <c r="BC128" s="590"/>
      <c r="BD128" s="469"/>
      <c r="BE128" s="302"/>
      <c r="BF128" s="145"/>
      <c r="BG128" s="301"/>
      <c r="BH128" s="590"/>
      <c r="BI128" s="469"/>
      <c r="BJ128" s="302"/>
      <c r="BK128" s="242"/>
      <c r="BL128" s="301"/>
      <c r="BM128" s="188"/>
      <c r="BN128" s="469"/>
      <c r="BO128" s="302"/>
      <c r="BP128" s="242"/>
      <c r="BQ128" s="301"/>
      <c r="BR128" s="302"/>
      <c r="BS128" s="242"/>
      <c r="BT128" s="469"/>
      <c r="BU128" s="242"/>
      <c r="BV128" s="301"/>
      <c r="BW128" s="302"/>
      <c r="BX128" s="242"/>
      <c r="BY128" s="469"/>
      <c r="BZ128" s="145"/>
      <c r="CA128" s="301"/>
      <c r="CB128" s="469"/>
      <c r="CC128" s="145"/>
      <c r="CD128" s="469"/>
      <c r="CE128" s="145"/>
      <c r="CF128" s="301"/>
      <c r="CG128" s="145"/>
      <c r="CH128" s="145"/>
      <c r="CI128" s="145"/>
      <c r="CJ128" s="145"/>
      <c r="CK128" s="144"/>
      <c r="CL128" s="145"/>
      <c r="CM128" s="145"/>
      <c r="CN128" s="145"/>
      <c r="CO128" s="145"/>
      <c r="CP128" s="144"/>
      <c r="CQ128" s="145"/>
      <c r="CR128" s="145"/>
      <c r="CS128" s="145"/>
      <c r="CT128" s="145"/>
      <c r="CU128" s="144"/>
      <c r="CV128" s="145"/>
      <c r="CW128" s="145"/>
      <c r="CX128" s="145"/>
      <c r="CY128" s="145"/>
      <c r="CZ128" s="144"/>
      <c r="DA128" s="145"/>
      <c r="DB128" s="145"/>
      <c r="DC128" s="145"/>
      <c r="DD128" s="145"/>
      <c r="DE128" s="144"/>
      <c r="DF128" s="145"/>
      <c r="DG128" s="145"/>
      <c r="DH128" s="145"/>
      <c r="DI128" s="145"/>
      <c r="DJ128" s="144"/>
      <c r="DK128" s="145"/>
      <c r="DL128" s="145"/>
      <c r="DM128" s="145"/>
      <c r="DN128" s="145"/>
      <c r="DO128" s="144"/>
      <c r="DP128" s="145"/>
      <c r="DQ128" s="242"/>
      <c r="DR128" s="242"/>
      <c r="DS128" s="242"/>
      <c r="DT128" s="144"/>
      <c r="DU128" s="242"/>
      <c r="DV128" s="242"/>
      <c r="DW128" s="242"/>
      <c r="DX128" s="242"/>
      <c r="DY128" s="144"/>
      <c r="DZ128" s="301"/>
      <c r="EA128" s="301"/>
      <c r="EB128" s="301"/>
    </row>
    <row r="129" spans="1:132" s="306" customFormat="1">
      <c r="A129" s="305"/>
      <c r="B129" s="137" t="s">
        <v>580</v>
      </c>
      <c r="C129" s="309"/>
      <c r="D129" s="301"/>
      <c r="E129" s="301"/>
      <c r="F129" s="301"/>
      <c r="G129" s="301"/>
      <c r="H129" s="301"/>
      <c r="I129" s="301"/>
      <c r="J129" s="242"/>
      <c r="K129" s="242"/>
      <c r="L129" s="242"/>
      <c r="M129" s="242"/>
      <c r="N129" s="301"/>
      <c r="O129" s="242"/>
      <c r="P129" s="242"/>
      <c r="Q129" s="242"/>
      <c r="R129" s="242"/>
      <c r="S129" s="301"/>
      <c r="T129" s="242"/>
      <c r="U129" s="242"/>
      <c r="V129" s="242"/>
      <c r="W129" s="242"/>
      <c r="X129" s="301"/>
      <c r="Y129" s="242"/>
      <c r="Z129" s="242"/>
      <c r="AA129" s="242"/>
      <c r="AB129" s="242"/>
      <c r="AC129" s="301"/>
      <c r="AD129" s="242"/>
      <c r="AE129" s="242"/>
      <c r="AF129" s="242"/>
      <c r="AG129" s="242"/>
      <c r="AH129" s="301"/>
      <c r="AI129" s="242"/>
      <c r="AJ129" s="242"/>
      <c r="AK129" s="242"/>
      <c r="AL129" s="188"/>
      <c r="AM129" s="301"/>
      <c r="AN129" s="188"/>
      <c r="AO129" s="469"/>
      <c r="AP129" s="469"/>
      <c r="AQ129" s="145"/>
      <c r="AR129" s="301"/>
      <c r="AS129" s="188"/>
      <c r="AT129" s="469"/>
      <c r="AU129" s="469"/>
      <c r="AV129" s="145"/>
      <c r="AW129" s="301"/>
      <c r="AX129" s="188"/>
      <c r="AY129" s="469"/>
      <c r="AZ129" s="469"/>
      <c r="BA129" s="145"/>
      <c r="BB129" s="301"/>
      <c r="BC129" s="590"/>
      <c r="BD129" s="469"/>
      <c r="BE129" s="302"/>
      <c r="BF129" s="145"/>
      <c r="BG129" s="301"/>
      <c r="BH129" s="590"/>
      <c r="BI129" s="469"/>
      <c r="BJ129" s="302"/>
      <c r="BK129" s="242"/>
      <c r="BL129" s="301"/>
      <c r="BM129" s="188"/>
      <c r="BN129" s="469"/>
      <c r="BO129" s="302"/>
      <c r="BP129" s="242"/>
      <c r="BQ129" s="301"/>
      <c r="BR129" s="742">
        <v>1809</v>
      </c>
      <c r="BS129" s="860">
        <v>1768</v>
      </c>
      <c r="BT129" s="860">
        <v>1733</v>
      </c>
      <c r="BU129" s="860">
        <v>1558</v>
      </c>
      <c r="BV129" s="858">
        <f>SUM(BR129:BU129)</f>
        <v>6868</v>
      </c>
      <c r="BW129" s="860">
        <v>1800</v>
      </c>
      <c r="BX129" s="860">
        <v>1668</v>
      </c>
      <c r="BY129" s="860">
        <f>+BT129*(1+BY130)</f>
        <v>1681.01</v>
      </c>
      <c r="BZ129" s="860">
        <f>+BU129*(1+BZ130)</f>
        <v>1713.8000000000002</v>
      </c>
      <c r="CA129" s="858">
        <f>SUM(BW129:BZ129)</f>
        <v>6862.81</v>
      </c>
      <c r="CB129" s="860">
        <f t="shared" ref="CB129:CE129" si="672">+BW129*(1+CB130)</f>
        <v>1944.0000000000002</v>
      </c>
      <c r="CC129" s="860">
        <f t="shared" si="672"/>
        <v>1951.56</v>
      </c>
      <c r="CD129" s="860">
        <f t="shared" si="672"/>
        <v>1916.3514000000002</v>
      </c>
      <c r="CE129" s="860">
        <f t="shared" si="672"/>
        <v>2039.422</v>
      </c>
      <c r="CF129" s="858">
        <f>SUM(CB129:CE129)</f>
        <v>7851.3334000000013</v>
      </c>
      <c r="CG129" s="860">
        <f t="shared" ref="CG129" si="673">+CB129*(1+CG130)</f>
        <v>2080.0800000000004</v>
      </c>
      <c r="CH129" s="860">
        <f t="shared" ref="CH129" si="674">+CC129*(1+CH130)</f>
        <v>1992.5427599999998</v>
      </c>
      <c r="CI129" s="860">
        <f t="shared" ref="CI129" si="675">+CD129*(1+CI130)</f>
        <v>2012.1689700000004</v>
      </c>
      <c r="CJ129" s="860">
        <f t="shared" ref="CJ129" si="676">+CE129*(1+CJ130)</f>
        <v>2059.8162200000002</v>
      </c>
      <c r="CK129" s="120">
        <f>SUM(CG129:CJ129)</f>
        <v>8144.6079500000014</v>
      </c>
      <c r="CL129" s="860">
        <f t="shared" ref="CL129" si="677">+CG129*(1+CL130)</f>
        <v>2204.8848000000007</v>
      </c>
      <c r="CM129" s="860">
        <f t="shared" ref="CM129" si="678">+CH129*(1+CM130)</f>
        <v>2087.1885410999998</v>
      </c>
      <c r="CN129" s="860">
        <f t="shared" ref="CN129" si="679">+CI129*(1+CN130)</f>
        <v>2112.7774185000003</v>
      </c>
      <c r="CO129" s="860">
        <f t="shared" ref="CO129" si="680">+CJ129*(1+CO130)</f>
        <v>2159.7173066700002</v>
      </c>
      <c r="CP129" s="120">
        <f>SUM(CL129:CO129)</f>
        <v>8564.5680662699997</v>
      </c>
      <c r="CQ129" s="860">
        <f t="shared" ref="CQ129" si="681">+CL129*(1+CQ130)</f>
        <v>2225.8312056000009</v>
      </c>
      <c r="CR129" s="860">
        <f t="shared" ref="CR129" si="682">+CM129*(1+CR130)</f>
        <v>2233.291738977</v>
      </c>
      <c r="CS129" s="860">
        <f t="shared" ref="CS129" si="683">+CN129*(1+CS130)</f>
        <v>2218.4162894250003</v>
      </c>
      <c r="CT129" s="860">
        <f t="shared" ref="CT129" si="684">+CO129*(1+CT130)</f>
        <v>2267.7031720035002</v>
      </c>
      <c r="CU129" s="120">
        <f>SUM(CQ129:CT129)</f>
        <v>8945.2424060055018</v>
      </c>
      <c r="CV129" s="860">
        <f t="shared" ref="CV129:CW129" si="685">+CQ129*(1+CV130)</f>
        <v>2314.864453824001</v>
      </c>
      <c r="CW129" s="860">
        <f t="shared" si="685"/>
        <v>2233.291738977</v>
      </c>
      <c r="CX129" s="860">
        <f t="shared" ref="CX129" si="686">+CS129*(1+CX130)</f>
        <v>2174.0479636365003</v>
      </c>
      <c r="CY129" s="860">
        <f t="shared" ref="CY129" si="687">+CT129*(1+CY130)</f>
        <v>2301.7187195835527</v>
      </c>
      <c r="CZ129" s="120">
        <f>SUM(CV129:CY129)</f>
        <v>9023.9228760210535</v>
      </c>
      <c r="DA129" s="860">
        <f t="shared" ref="DA129" si="688">+CV129*(1+DA130)</f>
        <v>2430.6076765152011</v>
      </c>
      <c r="DB129" s="860">
        <f t="shared" ref="DB129" si="689">+CW129*(1+DB130)</f>
        <v>2389.6221607053903</v>
      </c>
      <c r="DC129" s="860">
        <f t="shared" ref="DC129" si="690">+CX129*(1+DC130)</f>
        <v>2391.4527600001506</v>
      </c>
      <c r="DD129" s="860">
        <f t="shared" ref="DD129" si="691">+CY129*(1+DD130)</f>
        <v>2432.3412569199195</v>
      </c>
      <c r="DE129" s="120">
        <f>SUM(DA129:DD129)</f>
        <v>9644.0238541406616</v>
      </c>
      <c r="DF129" s="860">
        <f t="shared" ref="DF129:DN129" si="692">+DA129*(1+DF130)</f>
        <v>2556.9992756939919</v>
      </c>
      <c r="DG129" s="860">
        <f t="shared" si="692"/>
        <v>2461.310825526552</v>
      </c>
      <c r="DH129" s="860">
        <f t="shared" si="692"/>
        <v>2437.4882256301535</v>
      </c>
      <c r="DI129" s="860">
        <f t="shared" si="692"/>
        <v>2564.174153044979</v>
      </c>
      <c r="DJ129" s="120">
        <f>SUM(DF129:DI129)</f>
        <v>10019.972479895678</v>
      </c>
      <c r="DK129" s="860">
        <f t="shared" si="692"/>
        <v>2531.429282937052</v>
      </c>
      <c r="DL129" s="860">
        <f t="shared" si="692"/>
        <v>2608.9894750581452</v>
      </c>
      <c r="DM129" s="860">
        <f t="shared" si="692"/>
        <v>2681.2370481931689</v>
      </c>
      <c r="DN129" s="860">
        <f t="shared" si="692"/>
        <v>2615.4576361058785</v>
      </c>
      <c r="DO129" s="120">
        <f>SUM(DK129:DN129)</f>
        <v>10437.113442294245</v>
      </c>
      <c r="DP129" s="860">
        <f t="shared" ref="DP129" si="693">+DK129*(1+DP130)</f>
        <v>2683.3150399132751</v>
      </c>
      <c r="DQ129" s="860">
        <f t="shared" ref="DQ129" si="694">+DL129*(1+DQ130)</f>
        <v>2627.2524013835518</v>
      </c>
      <c r="DR129" s="860">
        <f t="shared" ref="DR129" si="695">+DM129*(1+DR130)</f>
        <v>2788.4865301208956</v>
      </c>
      <c r="DS129" s="860">
        <f t="shared" ref="DS129" si="696">+DN129*(1+DS130)</f>
        <v>2720.0759415501138</v>
      </c>
      <c r="DT129" s="120">
        <f>SUM(DP129:DS129)</f>
        <v>10819.129912967837</v>
      </c>
      <c r="DU129" s="860">
        <f t="shared" ref="DU129" si="697">+DP129*(1+DU130)</f>
        <v>2763.8144911106733</v>
      </c>
      <c r="DV129" s="860">
        <f t="shared" ref="DV129" si="698">+DQ129*(1+DV130)</f>
        <v>2706.0699734250584</v>
      </c>
      <c r="DW129" s="860">
        <f t="shared" ref="DW129" si="699">+DR129*(1+DW130)</f>
        <v>2872.1411260245227</v>
      </c>
      <c r="DX129" s="860">
        <f t="shared" ref="DX129" si="700">+DS129*(1+DX130)</f>
        <v>2801.6782197966172</v>
      </c>
      <c r="DY129" s="120">
        <f>SUM(DU129:DX129)</f>
        <v>11143.70381035687</v>
      </c>
      <c r="DZ129" s="120">
        <f t="shared" ref="DZ129" si="701">DY129*(1+DZ130)</f>
        <v>11478.014924667577</v>
      </c>
      <c r="EA129" s="120">
        <f t="shared" ref="EA129" si="702">DZ129*(1+EA130)</f>
        <v>11822.355372407605</v>
      </c>
      <c r="EB129" s="120">
        <f t="shared" ref="EB129" si="703">EA129*(1+EB130)</f>
        <v>12177.026033579834</v>
      </c>
    </row>
    <row r="130" spans="1:132" s="306" customFormat="1">
      <c r="A130" s="305"/>
      <c r="B130" s="305"/>
      <c r="C130" s="309"/>
      <c r="D130" s="301"/>
      <c r="E130" s="301"/>
      <c r="F130" s="301"/>
      <c r="G130" s="301"/>
      <c r="H130" s="301"/>
      <c r="I130" s="301"/>
      <c r="J130" s="242"/>
      <c r="K130" s="242"/>
      <c r="L130" s="242"/>
      <c r="M130" s="242"/>
      <c r="N130" s="301"/>
      <c r="O130" s="242"/>
      <c r="P130" s="242"/>
      <c r="Q130" s="242"/>
      <c r="R130" s="242"/>
      <c r="S130" s="301"/>
      <c r="T130" s="242"/>
      <c r="U130" s="242"/>
      <c r="V130" s="242"/>
      <c r="W130" s="242"/>
      <c r="X130" s="301"/>
      <c r="Y130" s="242"/>
      <c r="Z130" s="242"/>
      <c r="AA130" s="242"/>
      <c r="AB130" s="242"/>
      <c r="AC130" s="301"/>
      <c r="AD130" s="242"/>
      <c r="AE130" s="242"/>
      <c r="AF130" s="242"/>
      <c r="AG130" s="242"/>
      <c r="AH130" s="301"/>
      <c r="AI130" s="242"/>
      <c r="AJ130" s="242"/>
      <c r="AK130" s="242"/>
      <c r="AL130" s="188"/>
      <c r="AM130" s="301"/>
      <c r="AN130" s="188"/>
      <c r="AO130" s="469"/>
      <c r="AP130" s="469"/>
      <c r="AQ130" s="145"/>
      <c r="AR130" s="301"/>
      <c r="AS130" s="188"/>
      <c r="AT130" s="469"/>
      <c r="AU130" s="469"/>
      <c r="AV130" s="145"/>
      <c r="AW130" s="301"/>
      <c r="AX130" s="188"/>
      <c r="AY130" s="469"/>
      <c r="AZ130" s="469"/>
      <c r="BA130" s="145"/>
      <c r="BB130" s="301"/>
      <c r="BC130" s="587"/>
      <c r="BD130" s="469"/>
      <c r="BE130" s="469"/>
      <c r="BF130" s="145"/>
      <c r="BG130" s="301"/>
      <c r="BH130" s="587"/>
      <c r="BI130" s="587"/>
      <c r="BJ130" s="469"/>
      <c r="BK130" s="469"/>
      <c r="BL130" s="144"/>
      <c r="BM130" s="469"/>
      <c r="BN130" s="735"/>
      <c r="BO130" s="469"/>
      <c r="BP130" s="469"/>
      <c r="BQ130" s="301"/>
      <c r="BR130" s="469"/>
      <c r="BS130" s="469"/>
      <c r="BT130" s="469"/>
      <c r="BU130" s="469"/>
      <c r="BV130" s="301"/>
      <c r="BW130" s="469">
        <f>BW129/BR129-1</f>
        <v>-4.9751243781094301E-3</v>
      </c>
      <c r="BX130" s="469">
        <f>BX129/BS129-1</f>
        <v>-5.65610859728507E-2</v>
      </c>
      <c r="BY130" s="469">
        <v>-0.03</v>
      </c>
      <c r="BZ130" s="469">
        <v>0.1</v>
      </c>
      <c r="CA130" s="301">
        <f>CA129/BV129-1</f>
        <v>-7.5567850902735767E-4</v>
      </c>
      <c r="CB130" s="469">
        <v>0.08</v>
      </c>
      <c r="CC130" s="469">
        <v>0.17</v>
      </c>
      <c r="CD130" s="469">
        <v>0.14000000000000001</v>
      </c>
      <c r="CE130" s="469">
        <v>0.19</v>
      </c>
      <c r="CF130" s="301">
        <f>+CF129/CA129-1</f>
        <v>0.14404061893014686</v>
      </c>
      <c r="CG130" s="469">
        <v>7.0000000000000007E-2</v>
      </c>
      <c r="CH130" s="469">
        <v>2.1000000000000001E-2</v>
      </c>
      <c r="CI130" s="469">
        <v>0.05</v>
      </c>
      <c r="CJ130" s="469">
        <v>0.01</v>
      </c>
      <c r="CK130" s="144">
        <f>+CK129/CF129-1</f>
        <v>3.7353470430895319E-2</v>
      </c>
      <c r="CL130" s="469">
        <v>0.06</v>
      </c>
      <c r="CM130" s="469">
        <v>4.7500000000000001E-2</v>
      </c>
      <c r="CN130" s="469">
        <v>0.05</v>
      </c>
      <c r="CO130" s="469">
        <v>4.8500000000000001E-2</v>
      </c>
      <c r="CP130" s="144">
        <f>+CP129/CK129-1</f>
        <v>5.1562962741502849E-2</v>
      </c>
      <c r="CQ130" s="469">
        <v>9.4999999999999998E-3</v>
      </c>
      <c r="CR130" s="469">
        <v>7.0000000000000007E-2</v>
      </c>
      <c r="CS130" s="469">
        <v>0.05</v>
      </c>
      <c r="CT130" s="469">
        <v>0.05</v>
      </c>
      <c r="CU130" s="144">
        <f>+CU129/CP129-1</f>
        <v>4.4447581803304104E-2</v>
      </c>
      <c r="CV130" s="469">
        <v>0.04</v>
      </c>
      <c r="CW130" s="469">
        <v>0</v>
      </c>
      <c r="CX130" s="469">
        <v>-0.02</v>
      </c>
      <c r="CY130" s="469">
        <v>1.4999999999999999E-2</v>
      </c>
      <c r="CZ130" s="144">
        <f>+CZ129/CU129-1</f>
        <v>8.7957895878516545E-3</v>
      </c>
      <c r="DA130" s="469">
        <v>0.05</v>
      </c>
      <c r="DB130" s="469">
        <v>7.0000000000000007E-2</v>
      </c>
      <c r="DC130" s="469">
        <v>0.1</v>
      </c>
      <c r="DD130" s="469">
        <v>5.6750000000000002E-2</v>
      </c>
      <c r="DE130" s="144">
        <f>+DE129/CZ129-1</f>
        <v>6.8717451006521824E-2</v>
      </c>
      <c r="DF130" s="469">
        <v>5.1999999999999998E-2</v>
      </c>
      <c r="DG130" s="469">
        <v>0.03</v>
      </c>
      <c r="DH130" s="469">
        <v>1.925E-2</v>
      </c>
      <c r="DI130" s="469">
        <v>5.4199999999999998E-2</v>
      </c>
      <c r="DJ130" s="144">
        <f>+DJ129/DE129-1</f>
        <v>3.8982548305664277E-2</v>
      </c>
      <c r="DK130" s="469">
        <v>-0.01</v>
      </c>
      <c r="DL130" s="469">
        <v>0.06</v>
      </c>
      <c r="DM130" s="469">
        <v>0.1</v>
      </c>
      <c r="DN130" s="469">
        <v>0.02</v>
      </c>
      <c r="DO130" s="144">
        <f>+DO129/DJ129-1</f>
        <v>4.1630948910840848E-2</v>
      </c>
      <c r="DP130" s="469">
        <v>0.06</v>
      </c>
      <c r="DQ130" s="571">
        <v>7.0000000000000001E-3</v>
      </c>
      <c r="DR130" s="571">
        <v>0.04</v>
      </c>
      <c r="DS130" s="571">
        <v>0.04</v>
      </c>
      <c r="DT130" s="144">
        <f>+DT129/DO129-1</f>
        <v>3.6601735986268924E-2</v>
      </c>
      <c r="DU130" s="571">
        <v>0.03</v>
      </c>
      <c r="DV130" s="571">
        <v>0.03</v>
      </c>
      <c r="DW130" s="571">
        <v>0.03</v>
      </c>
      <c r="DX130" s="571">
        <v>0.03</v>
      </c>
      <c r="DY130" s="144">
        <f>+DY129/DT129-1</f>
        <v>2.9999999999999805E-2</v>
      </c>
      <c r="DZ130" s="862">
        <v>0.03</v>
      </c>
      <c r="EA130" s="862">
        <v>0.03</v>
      </c>
      <c r="EB130" s="862">
        <v>0.03</v>
      </c>
    </row>
    <row r="131" spans="1:132" s="306" customFormat="1">
      <c r="A131" s="305"/>
      <c r="B131" s="305"/>
      <c r="C131" s="309"/>
      <c r="D131" s="301"/>
      <c r="E131" s="301"/>
      <c r="F131" s="301"/>
      <c r="G131" s="301"/>
      <c r="H131" s="301"/>
      <c r="I131" s="301"/>
      <c r="J131" s="242"/>
      <c r="K131" s="242"/>
      <c r="L131" s="242"/>
      <c r="M131" s="242"/>
      <c r="N131" s="301"/>
      <c r="O131" s="242"/>
      <c r="P131" s="242"/>
      <c r="Q131" s="242"/>
      <c r="R131" s="242"/>
      <c r="S131" s="301"/>
      <c r="T131" s="242"/>
      <c r="U131" s="242"/>
      <c r="V131" s="242"/>
      <c r="W131" s="242"/>
      <c r="X131" s="301"/>
      <c r="Y131" s="242"/>
      <c r="Z131" s="242"/>
      <c r="AA131" s="242"/>
      <c r="AB131" s="242"/>
      <c r="AC131" s="301"/>
      <c r="AD131" s="242"/>
      <c r="AE131" s="242"/>
      <c r="AF131" s="242"/>
      <c r="AG131" s="242"/>
      <c r="AH131" s="301"/>
      <c r="AI131" s="242"/>
      <c r="AJ131" s="242"/>
      <c r="AK131" s="242"/>
      <c r="AL131" s="188"/>
      <c r="AM131" s="301"/>
      <c r="AN131" s="188"/>
      <c r="AO131" s="469"/>
      <c r="AP131" s="469"/>
      <c r="AQ131" s="145"/>
      <c r="AR131" s="301"/>
      <c r="AS131" s="188"/>
      <c r="AT131" s="469"/>
      <c r="AU131" s="469"/>
      <c r="AV131" s="145"/>
      <c r="AW131" s="301"/>
      <c r="AX131" s="188"/>
      <c r="AY131" s="469"/>
      <c r="AZ131" s="469"/>
      <c r="BA131" s="145"/>
      <c r="BB131" s="301"/>
      <c r="BC131" s="590"/>
      <c r="BD131" s="469"/>
      <c r="BE131" s="302"/>
      <c r="BF131" s="145"/>
      <c r="BG131" s="301"/>
      <c r="BH131" s="590"/>
      <c r="BI131" s="469"/>
      <c r="BJ131" s="302"/>
      <c r="BK131" s="242"/>
      <c r="BL131" s="301"/>
      <c r="BM131" s="188"/>
      <c r="BN131" s="469"/>
      <c r="BO131" s="302"/>
      <c r="BP131" s="242"/>
      <c r="BQ131" s="301"/>
      <c r="BR131" s="302"/>
      <c r="BS131" s="242"/>
      <c r="BT131" s="469"/>
      <c r="BU131" s="242"/>
      <c r="BV131" s="301"/>
      <c r="BW131" s="302"/>
      <c r="BX131" s="242"/>
      <c r="BY131" s="302"/>
      <c r="BZ131" s="145"/>
      <c r="CA131" s="301"/>
      <c r="CB131" s="302"/>
      <c r="CC131" s="145"/>
      <c r="CD131" s="469"/>
      <c r="CE131" s="242"/>
      <c r="CF131" s="301"/>
      <c r="CG131" s="242"/>
      <c r="CH131" s="242"/>
      <c r="CI131" s="242"/>
      <c r="CJ131" s="145"/>
      <c r="CK131" s="144"/>
      <c r="CL131" s="145"/>
      <c r="CM131" s="145"/>
      <c r="CN131" s="145"/>
      <c r="CO131" s="242"/>
      <c r="CP131" s="144"/>
      <c r="CQ131" s="242"/>
      <c r="CR131" s="242"/>
      <c r="CS131" s="242"/>
      <c r="CT131" s="242"/>
      <c r="CU131" s="144"/>
      <c r="CV131" s="242"/>
      <c r="CW131" s="145"/>
      <c r="CX131" s="242"/>
      <c r="CY131" s="145"/>
      <c r="CZ131" s="144"/>
      <c r="DA131" s="145"/>
      <c r="DB131" s="145"/>
      <c r="DC131" s="145"/>
      <c r="DD131" s="145"/>
      <c r="DE131" s="144"/>
      <c r="DF131" s="145"/>
      <c r="DG131" s="145"/>
      <c r="DH131" s="145"/>
      <c r="DI131" s="145"/>
      <c r="DJ131" s="144"/>
      <c r="DK131" s="145"/>
      <c r="DL131" s="145"/>
      <c r="DM131" s="145"/>
      <c r="DN131" s="145"/>
      <c r="DO131" s="144"/>
      <c r="DP131" s="145"/>
      <c r="DQ131" s="242"/>
      <c r="DR131" s="242"/>
      <c r="DS131" s="242"/>
      <c r="DT131" s="144"/>
      <c r="DU131" s="242"/>
      <c r="DV131" s="242"/>
      <c r="DW131" s="242"/>
      <c r="DX131" s="242"/>
      <c r="DY131" s="144"/>
      <c r="DZ131" s="301"/>
      <c r="EA131" s="301"/>
      <c r="EB131" s="301"/>
    </row>
    <row r="132" spans="1:132" s="306" customFormat="1">
      <c r="A132" s="305"/>
      <c r="B132" s="863" t="s">
        <v>579</v>
      </c>
      <c r="C132" s="864">
        <f t="shared" ref="C132:AH132" si="704">C117+C123+C126</f>
        <v>2899</v>
      </c>
      <c r="D132" s="864">
        <f t="shared" si="704"/>
        <v>3153</v>
      </c>
      <c r="E132" s="864">
        <f t="shared" si="704"/>
        <v>2490</v>
      </c>
      <c r="F132" s="864">
        <f t="shared" si="704"/>
        <v>4610</v>
      </c>
      <c r="G132" s="864">
        <f t="shared" si="704"/>
        <v>5151</v>
      </c>
      <c r="H132" s="864">
        <f t="shared" si="704"/>
        <v>3896</v>
      </c>
      <c r="I132" s="864">
        <f t="shared" si="704"/>
        <v>3845</v>
      </c>
      <c r="J132" s="863">
        <f t="shared" si="704"/>
        <v>741</v>
      </c>
      <c r="K132" s="863">
        <f t="shared" si="704"/>
        <v>853</v>
      </c>
      <c r="L132" s="863">
        <f t="shared" si="704"/>
        <v>755</v>
      </c>
      <c r="M132" s="863">
        <f t="shared" si="704"/>
        <v>1178</v>
      </c>
      <c r="N132" s="864">
        <f t="shared" si="704"/>
        <v>3527</v>
      </c>
      <c r="O132" s="863">
        <f t="shared" si="704"/>
        <v>897</v>
      </c>
      <c r="P132" s="863">
        <f t="shared" si="704"/>
        <v>1173</v>
      </c>
      <c r="Q132" s="863">
        <f t="shared" si="704"/>
        <v>1210</v>
      </c>
      <c r="R132" s="863">
        <f t="shared" si="704"/>
        <v>1208</v>
      </c>
      <c r="S132" s="864">
        <f t="shared" si="704"/>
        <v>4538</v>
      </c>
      <c r="T132" s="863">
        <f t="shared" si="704"/>
        <v>770</v>
      </c>
      <c r="U132" s="863">
        <f t="shared" si="704"/>
        <v>876</v>
      </c>
      <c r="V132" s="863">
        <f t="shared" si="704"/>
        <v>852</v>
      </c>
      <c r="W132" s="863">
        <f t="shared" si="704"/>
        <v>1202</v>
      </c>
      <c r="X132" s="864">
        <f t="shared" si="704"/>
        <v>3501</v>
      </c>
      <c r="Y132" s="863">
        <f t="shared" si="704"/>
        <v>1230</v>
      </c>
      <c r="Z132" s="863">
        <f t="shared" si="704"/>
        <v>1245</v>
      </c>
      <c r="AA132" s="863">
        <f t="shared" si="704"/>
        <v>1246</v>
      </c>
      <c r="AB132" s="863">
        <f t="shared" si="704"/>
        <v>1244</v>
      </c>
      <c r="AC132" s="864">
        <f t="shared" si="704"/>
        <v>4807</v>
      </c>
      <c r="AD132" s="863">
        <f t="shared" si="704"/>
        <v>1217</v>
      </c>
      <c r="AE132" s="863">
        <f t="shared" si="704"/>
        <v>1217</v>
      </c>
      <c r="AF132" s="863">
        <f t="shared" si="704"/>
        <v>1217</v>
      </c>
      <c r="AG132" s="863">
        <f t="shared" si="704"/>
        <v>1217</v>
      </c>
      <c r="AH132" s="864">
        <f t="shared" si="704"/>
        <v>4462</v>
      </c>
      <c r="AI132" s="863">
        <f t="shared" ref="AI132:BQ132" si="705">AI117+AI123+AI126</f>
        <v>1120</v>
      </c>
      <c r="AJ132" s="863">
        <f t="shared" si="705"/>
        <v>1120</v>
      </c>
      <c r="AK132" s="863">
        <f t="shared" si="705"/>
        <v>1120</v>
      </c>
      <c r="AL132" s="863">
        <f t="shared" si="705"/>
        <v>1180</v>
      </c>
      <c r="AM132" s="864">
        <f t="shared" si="705"/>
        <v>4540</v>
      </c>
      <c r="AN132" s="863">
        <f t="shared" si="705"/>
        <v>1091</v>
      </c>
      <c r="AO132" s="863">
        <f t="shared" si="705"/>
        <v>1119</v>
      </c>
      <c r="AP132" s="863">
        <f t="shared" si="705"/>
        <v>1330</v>
      </c>
      <c r="AQ132" s="863">
        <f t="shared" si="705"/>
        <v>1460</v>
      </c>
      <c r="AR132" s="864">
        <f t="shared" si="705"/>
        <v>5000</v>
      </c>
      <c r="AS132" s="863">
        <f t="shared" si="705"/>
        <v>1210</v>
      </c>
      <c r="AT132" s="863">
        <f t="shared" si="705"/>
        <v>1260</v>
      </c>
      <c r="AU132" s="863">
        <f t="shared" si="705"/>
        <v>1450</v>
      </c>
      <c r="AV132" s="863">
        <f t="shared" si="705"/>
        <v>1600</v>
      </c>
      <c r="AW132" s="864">
        <f t="shared" si="705"/>
        <v>5520</v>
      </c>
      <c r="AX132" s="863">
        <f t="shared" si="705"/>
        <v>1240</v>
      </c>
      <c r="AY132" s="863">
        <f t="shared" si="705"/>
        <v>1320</v>
      </c>
      <c r="AZ132" s="863">
        <f t="shared" si="705"/>
        <v>1500</v>
      </c>
      <c r="BA132" s="863">
        <f t="shared" si="705"/>
        <v>1650</v>
      </c>
      <c r="BB132" s="864">
        <f t="shared" si="705"/>
        <v>5710</v>
      </c>
      <c r="BC132" s="863">
        <f t="shared" si="705"/>
        <v>1252.4000000000001</v>
      </c>
      <c r="BD132" s="863">
        <f t="shared" si="705"/>
        <v>1346.4</v>
      </c>
      <c r="BE132" s="863">
        <f t="shared" si="705"/>
        <v>1545</v>
      </c>
      <c r="BF132" s="863">
        <f t="shared" si="705"/>
        <v>1738.3000000000002</v>
      </c>
      <c r="BG132" s="864">
        <f t="shared" si="705"/>
        <v>5882.1</v>
      </c>
      <c r="BH132" s="863">
        <f t="shared" si="705"/>
        <v>1294.1130000000001</v>
      </c>
      <c r="BI132" s="863">
        <f t="shared" si="705"/>
        <v>1431.672</v>
      </c>
      <c r="BJ132" s="863">
        <f t="shared" si="705"/>
        <v>1642.65</v>
      </c>
      <c r="BK132" s="863">
        <f t="shared" si="705"/>
        <v>1895.7500000000002</v>
      </c>
      <c r="BL132" s="864">
        <f t="shared" si="705"/>
        <v>6264.1850000000004</v>
      </c>
      <c r="BM132" s="863">
        <f t="shared" si="705"/>
        <v>1341.61229</v>
      </c>
      <c r="BN132" s="863">
        <f t="shared" si="705"/>
        <v>1522.2847200000001</v>
      </c>
      <c r="BO132" s="863">
        <f t="shared" si="705"/>
        <v>1846.3386000000003</v>
      </c>
      <c r="BP132" s="863">
        <f t="shared" si="705"/>
        <v>1908.6028400000002</v>
      </c>
      <c r="BQ132" s="864">
        <f t="shared" si="705"/>
        <v>6618.8384500000002</v>
      </c>
      <c r="BR132" s="863">
        <f t="shared" ref="BR132:CD132" si="706">BR117+BR123+BR126+BR129</f>
        <v>3421.4271987300003</v>
      </c>
      <c r="BS132" s="863">
        <f t="shared" si="706"/>
        <v>3581.1526283200001</v>
      </c>
      <c r="BT132" s="863">
        <f t="shared" si="706"/>
        <v>3506.1105620000003</v>
      </c>
      <c r="BU132" s="863">
        <f t="shared" si="706"/>
        <v>3417.3349348000002</v>
      </c>
      <c r="BV132" s="864">
        <f t="shared" si="706"/>
        <v>13926.025323850001</v>
      </c>
      <c r="BW132" s="863">
        <f t="shared" si="706"/>
        <v>3653.1984255730999</v>
      </c>
      <c r="BX132" s="863">
        <f t="shared" si="706"/>
        <v>3552.2103038352002</v>
      </c>
      <c r="BY132" s="863">
        <f t="shared" si="706"/>
        <v>3579.4153181720003</v>
      </c>
      <c r="BZ132" s="863">
        <f t="shared" si="706"/>
        <v>3796.8778290560003</v>
      </c>
      <c r="CA132" s="864">
        <f t="shared" si="706"/>
        <v>14581.7018766363</v>
      </c>
      <c r="CB132" s="863">
        <f t="shared" si="706"/>
        <v>3949.9009835823435</v>
      </c>
      <c r="CC132" s="863">
        <f t="shared" si="706"/>
        <v>4097.0098685542562</v>
      </c>
      <c r="CD132" s="863">
        <f t="shared" si="706"/>
        <v>4101.3240027349811</v>
      </c>
      <c r="CE132" s="863">
        <f t="shared" ref="CE132:DZ132" si="707">CE117+CE120+CE123+CE126+CE129</f>
        <v>4908.3041262598399</v>
      </c>
      <c r="CF132" s="864">
        <f t="shared" si="707"/>
        <v>17056.538981131423</v>
      </c>
      <c r="CG132" s="863">
        <f t="shared" si="707"/>
        <v>4619.2443608424692</v>
      </c>
      <c r="CH132" s="863">
        <f t="shared" si="707"/>
        <v>4542.992628554256</v>
      </c>
      <c r="CI132" s="863">
        <f t="shared" si="707"/>
        <v>4657.5108955386304</v>
      </c>
      <c r="CJ132" s="863">
        <f t="shared" si="707"/>
        <v>4648.2779261422857</v>
      </c>
      <c r="CK132" s="864">
        <f t="shared" si="707"/>
        <v>18468.025811077641</v>
      </c>
      <c r="CL132" s="863">
        <f t="shared" si="707"/>
        <v>4628.3797673354311</v>
      </c>
      <c r="CM132" s="863">
        <f t="shared" si="707"/>
        <v>3487.8848998567564</v>
      </c>
      <c r="CN132" s="863">
        <f t="shared" si="707"/>
        <v>3694.4129394556508</v>
      </c>
      <c r="CO132" s="863">
        <f t="shared" si="707"/>
        <v>3732.7601355482084</v>
      </c>
      <c r="CP132" s="864">
        <f t="shared" si="707"/>
        <v>15543.437742196045</v>
      </c>
      <c r="CQ132" s="863">
        <f t="shared" si="707"/>
        <v>3749.0948696984874</v>
      </c>
      <c r="CR132" s="863">
        <f t="shared" si="707"/>
        <v>4067.3974919615443</v>
      </c>
      <c r="CS132" s="863">
        <f t="shared" si="707"/>
        <v>4221.1744191814878</v>
      </c>
      <c r="CT132" s="863">
        <f t="shared" si="707"/>
        <v>4290.6780778302555</v>
      </c>
      <c r="CU132" s="864">
        <f t="shared" si="707"/>
        <v>16328.344858671775</v>
      </c>
      <c r="CV132" s="863">
        <f t="shared" si="707"/>
        <v>4314.3875268356987</v>
      </c>
      <c r="CW132" s="863">
        <f t="shared" si="707"/>
        <v>4298.0370746656299</v>
      </c>
      <c r="CX132" s="863">
        <f t="shared" si="707"/>
        <v>4431.9272526776767</v>
      </c>
      <c r="CY132" s="863">
        <f t="shared" si="707"/>
        <v>4566.8037946413697</v>
      </c>
      <c r="CZ132" s="864">
        <f t="shared" si="707"/>
        <v>17611.155648820375</v>
      </c>
      <c r="DA132" s="863">
        <f t="shared" si="707"/>
        <v>4719.5975480934503</v>
      </c>
      <c r="DB132" s="863">
        <f t="shared" si="707"/>
        <v>4746.3428541618669</v>
      </c>
      <c r="DC132" s="863">
        <f t="shared" si="707"/>
        <v>4812.0001203466236</v>
      </c>
      <c r="DD132" s="863">
        <f t="shared" si="707"/>
        <v>4848.8175559119618</v>
      </c>
      <c r="DE132" s="864">
        <f t="shared" si="707"/>
        <v>19126.7580785139</v>
      </c>
      <c r="DF132" s="863">
        <f t="shared" si="707"/>
        <v>5045.2800385781593</v>
      </c>
      <c r="DG132" s="863">
        <f t="shared" si="707"/>
        <v>4888.7231460777857</v>
      </c>
      <c r="DH132" s="863">
        <f t="shared" si="707"/>
        <v>4900.7322822657097</v>
      </c>
      <c r="DI132" s="863">
        <f t="shared" si="707"/>
        <v>5119.0258685182907</v>
      </c>
      <c r="DJ132" s="864">
        <f t="shared" si="707"/>
        <v>19953.761335439947</v>
      </c>
      <c r="DK132" s="863">
        <f t="shared" si="707"/>
        <v>5063.2959333272274</v>
      </c>
      <c r="DL132" s="863">
        <f t="shared" si="707"/>
        <v>5280.5166105586886</v>
      </c>
      <c r="DM132" s="863">
        <f t="shared" si="707"/>
        <v>5369.9252979673547</v>
      </c>
      <c r="DN132" s="863">
        <f t="shared" si="707"/>
        <v>5298.3418540070525</v>
      </c>
      <c r="DO132" s="864">
        <f t="shared" si="707"/>
        <v>21012.079695860324</v>
      </c>
      <c r="DP132" s="863">
        <f t="shared" si="707"/>
        <v>5372.2222399725943</v>
      </c>
      <c r="DQ132" s="863">
        <f t="shared" si="707"/>
        <v>5344.3966209559685</v>
      </c>
      <c r="DR132" s="863">
        <f t="shared" si="707"/>
        <v>5625.8990274461858</v>
      </c>
      <c r="DS132" s="863">
        <f t="shared" si="707"/>
        <v>5548.2267721214521</v>
      </c>
      <c r="DT132" s="864">
        <f t="shared" si="707"/>
        <v>21890.744660496202</v>
      </c>
      <c r="DU132" s="863">
        <f t="shared" ref="DU132:DY132" si="708">DU117+DU120+DU123+DU126+DU129</f>
        <v>5564.1369573448501</v>
      </c>
      <c r="DV132" s="863">
        <f t="shared" si="708"/>
        <v>5536.0800321555471</v>
      </c>
      <c r="DW132" s="863">
        <f t="shared" si="708"/>
        <v>5827.3060430946025</v>
      </c>
      <c r="DX132" s="863">
        <f t="shared" si="708"/>
        <v>5747.3538676012195</v>
      </c>
      <c r="DY132" s="864">
        <f t="shared" si="708"/>
        <v>22674.876900196217</v>
      </c>
      <c r="DZ132" s="864">
        <f t="shared" si="707"/>
        <v>23403.012209247805</v>
      </c>
      <c r="EA132" s="864">
        <f t="shared" ref="EA132:EB132" si="709">EA117+EA120+EA123+EA126+EA129</f>
        <v>24154.907137652765</v>
      </c>
      <c r="EB132" s="864">
        <f t="shared" si="709"/>
        <v>24931.351096394978</v>
      </c>
    </row>
    <row r="133" spans="1:132" s="306" customFormat="1">
      <c r="A133" s="305"/>
      <c r="B133" s="137" t="s">
        <v>365</v>
      </c>
      <c r="C133" s="309"/>
      <c r="D133" s="301"/>
      <c r="E133" s="301"/>
      <c r="F133" s="301"/>
      <c r="G133" s="301"/>
      <c r="H133" s="301"/>
      <c r="I133" s="301"/>
      <c r="J133" s="242"/>
      <c r="K133" s="242"/>
      <c r="L133" s="242"/>
      <c r="M133" s="242"/>
      <c r="N133" s="301"/>
      <c r="O133" s="242"/>
      <c r="P133" s="242"/>
      <c r="Q133" s="242"/>
      <c r="R133" s="242"/>
      <c r="S133" s="301"/>
      <c r="T133" s="242"/>
      <c r="U133" s="242"/>
      <c r="V133" s="242"/>
      <c r="W133" s="242"/>
      <c r="X133" s="301"/>
      <c r="Y133" s="242"/>
      <c r="Z133" s="242"/>
      <c r="AA133" s="242"/>
      <c r="AB133" s="242"/>
      <c r="AC133" s="301"/>
      <c r="AD133" s="242"/>
      <c r="AE133" s="242"/>
      <c r="AF133" s="242"/>
      <c r="AG133" s="242"/>
      <c r="AH133" s="301"/>
      <c r="AI133" s="242"/>
      <c r="AJ133" s="242"/>
      <c r="AK133" s="242"/>
      <c r="AL133" s="188"/>
      <c r="AM133" s="301"/>
      <c r="AN133" s="188"/>
      <c r="AO133" s="469"/>
      <c r="AP133" s="469"/>
      <c r="AQ133" s="145"/>
      <c r="AR133" s="301"/>
      <c r="AS133" s="188"/>
      <c r="AT133" s="469"/>
      <c r="AU133" s="469"/>
      <c r="AV133" s="145"/>
      <c r="AW133" s="301"/>
      <c r="AX133" s="188"/>
      <c r="AY133" s="469"/>
      <c r="AZ133" s="469"/>
      <c r="BA133" s="145"/>
      <c r="BB133" s="301"/>
      <c r="BC133" s="590"/>
      <c r="BD133" s="469"/>
      <c r="BE133" s="302"/>
      <c r="BF133" s="145"/>
      <c r="BG133" s="301"/>
      <c r="BH133" s="590"/>
      <c r="BI133" s="469"/>
      <c r="BJ133" s="302"/>
      <c r="BK133" s="242"/>
      <c r="BL133" s="301"/>
      <c r="BM133" s="188"/>
      <c r="BN133" s="469"/>
      <c r="BO133" s="302"/>
      <c r="BP133" s="242"/>
      <c r="BQ133" s="301"/>
      <c r="BR133" s="302"/>
      <c r="BS133" s="242"/>
      <c r="BT133" s="469"/>
      <c r="BU133" s="242"/>
      <c r="BV133" s="301"/>
      <c r="BW133" s="242">
        <f t="shared" ref="BW133:CF133" si="710">BW132/BR132-1</f>
        <v>6.7741095566531628E-2</v>
      </c>
      <c r="BX133" s="242">
        <f t="shared" si="710"/>
        <v>-8.0818461229276162E-3</v>
      </c>
      <c r="BY133" s="242">
        <f t="shared" si="710"/>
        <v>2.0907713797303717E-2</v>
      </c>
      <c r="BZ133" s="145">
        <f t="shared" si="710"/>
        <v>0.11106400206516875</v>
      </c>
      <c r="CA133" s="301">
        <f t="shared" si="710"/>
        <v>4.7082820656901614E-2</v>
      </c>
      <c r="CB133" s="242">
        <f t="shared" si="710"/>
        <v>8.1217202967204916E-2</v>
      </c>
      <c r="CC133" s="242">
        <f t="shared" si="710"/>
        <v>0.15336917527964333</v>
      </c>
      <c r="CD133" s="145">
        <f t="shared" si="710"/>
        <v>0.14580836202866743</v>
      </c>
      <c r="CE133" s="242">
        <f t="shared" si="710"/>
        <v>0.29272111119787292</v>
      </c>
      <c r="CF133" s="301">
        <f t="shared" si="710"/>
        <v>0.16972210277186228</v>
      </c>
      <c r="CG133" s="242">
        <f t="shared" ref="CG133" si="711">CG132/CB132-1</f>
        <v>0.16945826744574943</v>
      </c>
      <c r="CH133" s="242">
        <f t="shared" ref="CH133" si="712">CH132/CC132-1</f>
        <v>0.10885567140637065</v>
      </c>
      <c r="CI133" s="242">
        <f t="shared" ref="CI133" si="713">CI132/CD132-1</f>
        <v>0.13561154701085654</v>
      </c>
      <c r="CJ133" s="145">
        <f t="shared" ref="CJ133:CK133" si="714">CJ132/CE132-1</f>
        <v>-5.2976790644734595E-2</v>
      </c>
      <c r="CK133" s="144">
        <f t="shared" si="714"/>
        <v>8.2753413896433425E-2</v>
      </c>
      <c r="CL133" s="145">
        <f t="shared" ref="CL133" si="715">CL132/CG132-1</f>
        <v>1.9776841793439637E-3</v>
      </c>
      <c r="CM133" s="145">
        <f t="shared" ref="CM133" si="716">CM132/CH132-1</f>
        <v>-0.23224949168215425</v>
      </c>
      <c r="CN133" s="145">
        <f t="shared" ref="CN133" si="717">CN132/CI132-1</f>
        <v>-0.20678383318555815</v>
      </c>
      <c r="CO133" s="242">
        <f t="shared" ref="CO133:CP133" si="718">CO132/CJ132-1</f>
        <v>-0.1969584876681173</v>
      </c>
      <c r="CP133" s="144">
        <f t="shared" si="718"/>
        <v>-0.15835953982300299</v>
      </c>
      <c r="CQ133" s="242">
        <f t="shared" ref="CQ133" si="719">CQ132/CL132-1</f>
        <v>-0.18997682598183818</v>
      </c>
      <c r="CR133" s="242">
        <f t="shared" ref="CR133" si="720">CR132/CM132-1</f>
        <v>0.16615014793882321</v>
      </c>
      <c r="CS133" s="242">
        <f t="shared" ref="CS133" si="721">CS132/CN132-1</f>
        <v>0.14258327056516107</v>
      </c>
      <c r="CT133" s="242">
        <f t="shared" ref="CT133:CU133" si="722">CT132/CO132-1</f>
        <v>0.14946525413428668</v>
      </c>
      <c r="CU133" s="144">
        <f t="shared" si="722"/>
        <v>5.0497652417323957E-2</v>
      </c>
      <c r="CV133" s="242">
        <f t="shared" ref="CV133:CW133" si="723">CV132/CQ132-1</f>
        <v>0.15078110231514996</v>
      </c>
      <c r="CW133" s="145">
        <f t="shared" si="723"/>
        <v>5.6704461061379385E-2</v>
      </c>
      <c r="CX133" s="242">
        <f t="shared" ref="CX133" si="724">CX132/CS132-1</f>
        <v>4.9927534986117683E-2</v>
      </c>
      <c r="CY133" s="145">
        <f t="shared" ref="CY133:CZ133" si="725">CY132/CT132-1</f>
        <v>6.4354797027967203E-2</v>
      </c>
      <c r="CZ133" s="144">
        <f t="shared" si="725"/>
        <v>7.8563430724413852E-2</v>
      </c>
      <c r="DA133" s="145">
        <f t="shared" ref="DA133" si="726">DA132/CV132-1</f>
        <v>9.392063618238411E-2</v>
      </c>
      <c r="DB133" s="145">
        <f t="shared" ref="DB133" si="727">DB132/CW132-1</f>
        <v>0.10430477255273862</v>
      </c>
      <c r="DC133" s="145">
        <f t="shared" ref="DC133" si="728">DC132/CX132-1</f>
        <v>8.5757921102904922E-2</v>
      </c>
      <c r="DD133" s="145">
        <f t="shared" ref="DD133:DO133" si="729">DD132/CY132-1</f>
        <v>6.1752983914374227E-2</v>
      </c>
      <c r="DE133" s="144">
        <f t="shared" si="729"/>
        <v>8.6059226317441784E-2</v>
      </c>
      <c r="DF133" s="145">
        <f t="shared" si="729"/>
        <v>6.9006411492919195E-2</v>
      </c>
      <c r="DG133" s="145">
        <f t="shared" si="729"/>
        <v>2.9997894440152217E-2</v>
      </c>
      <c r="DH133" s="145">
        <f t="shared" si="729"/>
        <v>1.8439767186185119E-2</v>
      </c>
      <c r="DI133" s="145">
        <f t="shared" si="729"/>
        <v>5.572664046245146E-2</v>
      </c>
      <c r="DJ133" s="144">
        <f t="shared" si="729"/>
        <v>4.3238025677496461E-2</v>
      </c>
      <c r="DK133" s="145">
        <f t="shared" si="729"/>
        <v>3.5708413827006957E-3</v>
      </c>
      <c r="DL133" s="145">
        <f t="shared" si="729"/>
        <v>8.0142289259157229E-2</v>
      </c>
      <c r="DM133" s="145">
        <f t="shared" si="729"/>
        <v>9.5739368869324881E-2</v>
      </c>
      <c r="DN133" s="145">
        <f t="shared" si="729"/>
        <v>3.502931809576193E-2</v>
      </c>
      <c r="DO133" s="144">
        <f t="shared" si="729"/>
        <v>5.3038539583045718E-2</v>
      </c>
      <c r="DP133" s="145">
        <f t="shared" ref="DP133" si="730">DP132/DK132-1</f>
        <v>6.1012887793497672E-2</v>
      </c>
      <c r="DQ133" s="242">
        <f t="shared" ref="DQ133" si="731">DQ132/DL132-1</f>
        <v>1.2097303182334151E-2</v>
      </c>
      <c r="DR133" s="242">
        <f t="shared" ref="DR133" si="732">DR132/DM132-1</f>
        <v>4.766802427879635E-2</v>
      </c>
      <c r="DS133" s="242">
        <f t="shared" ref="DS133" si="733">DS132/DN132-1</f>
        <v>4.7162853020783491E-2</v>
      </c>
      <c r="DT133" s="144">
        <f t="shared" ref="DT133" si="734">DT132/DO132-1</f>
        <v>4.1817134588966409E-2</v>
      </c>
      <c r="DU133" s="242">
        <f t="shared" ref="DU133" si="735">DU132/DP132-1</f>
        <v>3.5723525349397045E-2</v>
      </c>
      <c r="DV133" s="242">
        <f t="shared" ref="DV133" si="736">DV132/DQ132-1</f>
        <v>3.5866239875979034E-2</v>
      </c>
      <c r="DW133" s="242">
        <f t="shared" ref="DW133" si="737">DW132/DR132-1</f>
        <v>3.5799969865410786E-2</v>
      </c>
      <c r="DX133" s="242">
        <f t="shared" ref="DX133" si="738">DX132/DS132-1</f>
        <v>3.5890222887127621E-2</v>
      </c>
      <c r="DY133" s="144">
        <f t="shared" ref="DY133" si="739">DY132/DT132-1</f>
        <v>3.5820263397208674E-2</v>
      </c>
      <c r="DZ133" s="301">
        <f>DZ132/DY132-1</f>
        <v>3.2111985095067297E-2</v>
      </c>
      <c r="EA133" s="301">
        <f t="shared" ref="EA133:EB133" si="740">EA132/DZ132-1</f>
        <v>3.212812614385796E-2</v>
      </c>
      <c r="EB133" s="301">
        <f t="shared" si="740"/>
        <v>3.2144357016876679E-2</v>
      </c>
    </row>
    <row r="134" spans="1:132" s="306" customFormat="1">
      <c r="A134" s="305"/>
      <c r="B134" s="305"/>
      <c r="C134" s="309"/>
      <c r="D134" s="301"/>
      <c r="E134" s="301"/>
      <c r="F134" s="301"/>
      <c r="G134" s="301"/>
      <c r="H134" s="301"/>
      <c r="I134" s="301"/>
      <c r="J134" s="242"/>
      <c r="K134" s="242"/>
      <c r="L134" s="242"/>
      <c r="M134" s="242"/>
      <c r="N134" s="301"/>
      <c r="O134" s="242"/>
      <c r="P134" s="242"/>
      <c r="Q134" s="242"/>
      <c r="R134" s="242"/>
      <c r="S134" s="301"/>
      <c r="T134" s="242"/>
      <c r="U134" s="242"/>
      <c r="V134" s="242"/>
      <c r="W134" s="242"/>
      <c r="X134" s="301"/>
      <c r="Y134" s="242"/>
      <c r="Z134" s="242"/>
      <c r="AA134" s="242"/>
      <c r="AB134" s="242"/>
      <c r="AC134" s="301"/>
      <c r="AD134" s="242"/>
      <c r="AE134" s="242"/>
      <c r="AF134" s="242"/>
      <c r="AG134" s="242"/>
      <c r="AH134" s="301"/>
      <c r="AI134" s="242"/>
      <c r="AJ134" s="242"/>
      <c r="AK134" s="242"/>
      <c r="AL134" s="188"/>
      <c r="AM134" s="301"/>
      <c r="AN134" s="188"/>
      <c r="AO134" s="469"/>
      <c r="AP134" s="469"/>
      <c r="AQ134" s="145"/>
      <c r="AR134" s="301"/>
      <c r="AS134" s="188"/>
      <c r="AT134" s="469"/>
      <c r="AU134" s="469"/>
      <c r="AV134" s="145"/>
      <c r="AW134" s="301"/>
      <c r="AX134" s="188"/>
      <c r="AY134" s="469"/>
      <c r="AZ134" s="469"/>
      <c r="BA134" s="145"/>
      <c r="BB134" s="301"/>
      <c r="BC134" s="590"/>
      <c r="BD134" s="469"/>
      <c r="BE134" s="302"/>
      <c r="BF134" s="145"/>
      <c r="BG134" s="301"/>
      <c r="BH134" s="590"/>
      <c r="BI134" s="469"/>
      <c r="BJ134" s="302"/>
      <c r="BK134" s="242"/>
      <c r="BL134" s="301"/>
      <c r="BM134" s="188"/>
      <c r="BN134" s="469"/>
      <c r="BO134" s="302"/>
      <c r="BP134" s="242"/>
      <c r="BQ134" s="301"/>
      <c r="BR134" s="302"/>
      <c r="BS134" s="242"/>
      <c r="BT134" s="469"/>
      <c r="BU134" s="242"/>
      <c r="BV134" s="301"/>
      <c r="BW134" s="302"/>
      <c r="BX134" s="242"/>
      <c r="BY134" s="302"/>
      <c r="BZ134" s="145"/>
      <c r="CA134" s="301"/>
      <c r="CB134" s="302"/>
      <c r="CC134" s="242"/>
      <c r="CD134" s="302"/>
      <c r="CE134" s="242"/>
      <c r="CF134" s="301"/>
      <c r="CG134" s="242"/>
      <c r="CH134" s="242"/>
      <c r="CI134" s="242"/>
      <c r="CJ134" s="145"/>
      <c r="CK134" s="144"/>
      <c r="CL134" s="145"/>
      <c r="CM134" s="242"/>
      <c r="CN134" s="242"/>
      <c r="CO134" s="242"/>
      <c r="CP134" s="144"/>
      <c r="CQ134" s="242"/>
      <c r="CR134" s="242"/>
      <c r="CS134" s="242"/>
      <c r="CT134" s="242"/>
      <c r="CU134" s="144"/>
      <c r="CV134" s="242"/>
      <c r="CW134" s="145"/>
      <c r="CX134" s="242"/>
      <c r="CY134" s="242"/>
      <c r="CZ134" s="144"/>
      <c r="DA134" s="145"/>
      <c r="DB134" s="145"/>
      <c r="DC134" s="145"/>
      <c r="DD134" s="145"/>
      <c r="DE134" s="144"/>
      <c r="DF134" s="145"/>
      <c r="DG134" s="145"/>
      <c r="DH134" s="145"/>
      <c r="DI134" s="145"/>
      <c r="DJ134" s="144"/>
      <c r="DK134" s="145"/>
      <c r="DL134" s="145"/>
      <c r="DM134" s="145"/>
      <c r="DN134" s="145"/>
      <c r="DO134" s="144"/>
      <c r="DP134" s="145"/>
      <c r="DQ134" s="242"/>
      <c r="DR134" s="242"/>
      <c r="DS134" s="242"/>
      <c r="DT134" s="144"/>
      <c r="DU134" s="242"/>
      <c r="DV134" s="242"/>
      <c r="DW134" s="242"/>
      <c r="DX134" s="242"/>
      <c r="DY134" s="144"/>
      <c r="DZ134" s="301"/>
      <c r="EA134" s="301"/>
      <c r="EB134" s="301"/>
    </row>
    <row r="135" spans="1:132" s="298" customFormat="1">
      <c r="A135" s="241"/>
      <c r="B135" s="863" t="s">
        <v>578</v>
      </c>
      <c r="C135" s="186">
        <f t="shared" ref="C135:AH135" si="741">C114+C117+C123+C126</f>
        <v>27941</v>
      </c>
      <c r="D135" s="186">
        <f t="shared" si="741"/>
        <v>37202</v>
      </c>
      <c r="E135" s="186">
        <f t="shared" si="741"/>
        <v>38429.5</v>
      </c>
      <c r="F135" s="186">
        <f t="shared" si="741"/>
        <v>31206</v>
      </c>
      <c r="G135" s="186">
        <f t="shared" si="741"/>
        <v>35055.5</v>
      </c>
      <c r="H135" s="186">
        <f t="shared" si="741"/>
        <v>28387</v>
      </c>
      <c r="I135" s="186">
        <f t="shared" si="741"/>
        <v>22408</v>
      </c>
      <c r="J135" s="165">
        <f t="shared" si="741"/>
        <v>5330</v>
      </c>
      <c r="K135" s="165">
        <f t="shared" si="741"/>
        <v>5671</v>
      </c>
      <c r="L135" s="165">
        <f t="shared" si="741"/>
        <v>4638</v>
      </c>
      <c r="M135" s="165">
        <f t="shared" si="741"/>
        <v>5398</v>
      </c>
      <c r="N135" s="186">
        <f t="shared" si="741"/>
        <v>21037</v>
      </c>
      <c r="O135" s="165">
        <f t="shared" si="741"/>
        <v>5026</v>
      </c>
      <c r="P135" s="165">
        <f t="shared" si="741"/>
        <v>6806</v>
      </c>
      <c r="Q135" s="165">
        <f t="shared" si="741"/>
        <v>4913</v>
      </c>
      <c r="R135" s="165">
        <f t="shared" si="741"/>
        <v>5856</v>
      </c>
      <c r="S135" s="186">
        <f t="shared" si="741"/>
        <v>22651</v>
      </c>
      <c r="T135" s="165">
        <f t="shared" si="741"/>
        <v>7107</v>
      </c>
      <c r="U135" s="165">
        <f t="shared" si="741"/>
        <v>7195.5999999999995</v>
      </c>
      <c r="V135" s="165">
        <f t="shared" si="741"/>
        <v>6693</v>
      </c>
      <c r="W135" s="165">
        <f t="shared" si="741"/>
        <v>7668</v>
      </c>
      <c r="X135" s="186">
        <f t="shared" si="741"/>
        <v>28464.600000000002</v>
      </c>
      <c r="Y135" s="165">
        <f t="shared" si="741"/>
        <v>7700</v>
      </c>
      <c r="Z135" s="165">
        <f t="shared" si="741"/>
        <v>8565</v>
      </c>
      <c r="AA135" s="165">
        <f t="shared" si="741"/>
        <v>8391</v>
      </c>
      <c r="AB135" s="165">
        <f t="shared" si="741"/>
        <v>8888</v>
      </c>
      <c r="AC135" s="186">
        <f t="shared" si="741"/>
        <v>33386</v>
      </c>
      <c r="AD135" s="165">
        <f t="shared" si="741"/>
        <v>8705</v>
      </c>
      <c r="AE135" s="165">
        <f t="shared" si="741"/>
        <v>8977</v>
      </c>
      <c r="AF135" s="165">
        <f t="shared" si="741"/>
        <v>6371</v>
      </c>
      <c r="AG135" s="165">
        <f t="shared" si="741"/>
        <v>4615.8</v>
      </c>
      <c r="AH135" s="186">
        <f t="shared" si="741"/>
        <v>28262.799999999999</v>
      </c>
      <c r="AI135" s="165">
        <f t="shared" ref="AI135:BN135" si="742">AI114+AI117+AI123+AI126</f>
        <v>9061</v>
      </c>
      <c r="AJ135" s="165">
        <f t="shared" si="742"/>
        <v>8773</v>
      </c>
      <c r="AK135" s="165">
        <f t="shared" si="742"/>
        <v>7875</v>
      </c>
      <c r="AL135" s="165">
        <f t="shared" si="742"/>
        <v>9118</v>
      </c>
      <c r="AM135" s="186">
        <f t="shared" si="742"/>
        <v>34827</v>
      </c>
      <c r="AN135" s="165">
        <f t="shared" si="742"/>
        <v>7468</v>
      </c>
      <c r="AO135" s="165">
        <f t="shared" si="742"/>
        <v>7433</v>
      </c>
      <c r="AP135" s="165">
        <f t="shared" si="742"/>
        <v>8673</v>
      </c>
      <c r="AQ135" s="165">
        <f t="shared" si="742"/>
        <v>8172</v>
      </c>
      <c r="AR135" s="186">
        <f t="shared" si="742"/>
        <v>31746</v>
      </c>
      <c r="AS135" s="165">
        <f t="shared" si="742"/>
        <v>7088</v>
      </c>
      <c r="AT135" s="165">
        <f t="shared" si="742"/>
        <v>8478</v>
      </c>
      <c r="AU135" s="165">
        <f t="shared" si="742"/>
        <v>9319</v>
      </c>
      <c r="AV135" s="165">
        <f t="shared" si="742"/>
        <v>10792</v>
      </c>
      <c r="AW135" s="186">
        <f t="shared" si="742"/>
        <v>35677</v>
      </c>
      <c r="AX135" s="165">
        <f t="shared" si="742"/>
        <v>10727</v>
      </c>
      <c r="AY135" s="165">
        <f t="shared" si="742"/>
        <v>11754</v>
      </c>
      <c r="AZ135" s="165">
        <f t="shared" si="742"/>
        <v>12218</v>
      </c>
      <c r="BA135" s="165">
        <f t="shared" si="742"/>
        <v>14038</v>
      </c>
      <c r="BB135" s="864">
        <f t="shared" si="742"/>
        <v>48737</v>
      </c>
      <c r="BC135" s="165">
        <f t="shared" si="742"/>
        <v>10797.400000000001</v>
      </c>
      <c r="BD135" s="165">
        <f t="shared" si="742"/>
        <v>13237.399999999998</v>
      </c>
      <c r="BE135" s="165">
        <f t="shared" si="742"/>
        <v>13760</v>
      </c>
      <c r="BF135" s="165">
        <f t="shared" si="742"/>
        <v>14576.3</v>
      </c>
      <c r="BG135" s="186">
        <f t="shared" si="742"/>
        <v>53019.100000000006</v>
      </c>
      <c r="BH135" s="165">
        <f t="shared" si="742"/>
        <v>12737.248</v>
      </c>
      <c r="BI135" s="165">
        <f t="shared" si="742"/>
        <v>14303.967000000001</v>
      </c>
      <c r="BJ135" s="165">
        <f t="shared" si="742"/>
        <v>16109.66</v>
      </c>
      <c r="BK135" s="165">
        <f t="shared" si="742"/>
        <v>16839.094999999998</v>
      </c>
      <c r="BL135" s="186">
        <f t="shared" si="742"/>
        <v>59989.97</v>
      </c>
      <c r="BM135" s="165">
        <f t="shared" si="742"/>
        <v>15380.962289999998</v>
      </c>
      <c r="BN135" s="165">
        <f t="shared" si="742"/>
        <v>16876.94472</v>
      </c>
      <c r="BO135" s="165">
        <f t="shared" ref="BO135:CE135" si="743">BO114+BO117+BO123+BO126</f>
        <v>17691.578600000001</v>
      </c>
      <c r="BP135" s="165">
        <f t="shared" si="743"/>
        <v>16098.37284</v>
      </c>
      <c r="BQ135" s="186">
        <f t="shared" si="743"/>
        <v>66047.85845</v>
      </c>
      <c r="BR135" s="165">
        <f t="shared" si="743"/>
        <v>14399.379698730001</v>
      </c>
      <c r="BS135" s="165">
        <f t="shared" si="743"/>
        <v>17456.032628320001</v>
      </c>
      <c r="BT135" s="165">
        <f t="shared" si="743"/>
        <v>16972.908062000002</v>
      </c>
      <c r="BU135" s="165">
        <f t="shared" si="743"/>
        <v>16241.029934800003</v>
      </c>
      <c r="BV135" s="186">
        <f t="shared" si="743"/>
        <v>65069.350323850013</v>
      </c>
      <c r="BW135" s="165">
        <f t="shared" si="743"/>
        <v>14805.950925573097</v>
      </c>
      <c r="BX135" s="165">
        <f t="shared" si="743"/>
        <v>16164.637803835198</v>
      </c>
      <c r="BY135" s="165">
        <f t="shared" si="743"/>
        <v>17290.960318172005</v>
      </c>
      <c r="BZ135" s="165">
        <f t="shared" si="743"/>
        <v>17470.852829055999</v>
      </c>
      <c r="CA135" s="186">
        <f t="shared" si="743"/>
        <v>65732.401876636301</v>
      </c>
      <c r="CB135" s="165">
        <f t="shared" si="743"/>
        <v>14950.685983582343</v>
      </c>
      <c r="CC135" s="165">
        <f t="shared" si="743"/>
        <v>16097.614868554256</v>
      </c>
      <c r="CD135" s="165">
        <f t="shared" si="743"/>
        <v>16255.677602734981</v>
      </c>
      <c r="CE135" s="165">
        <f t="shared" si="743"/>
        <v>19002.79712625984</v>
      </c>
      <c r="CF135" s="186">
        <f t="shared" ref="CF135:DZ135" si="744">CF114+CF117+CF123+CF126+CF120</f>
        <v>66703.775581131427</v>
      </c>
      <c r="CG135" s="165">
        <f t="shared" si="744"/>
        <v>14360.866660842466</v>
      </c>
      <c r="CH135" s="165">
        <f t="shared" si="744"/>
        <v>7272.6208185542582</v>
      </c>
      <c r="CI135" s="165">
        <f t="shared" si="744"/>
        <v>10893.922775538631</v>
      </c>
      <c r="CJ135" s="165">
        <f t="shared" si="744"/>
        <v>10050.773756142285</v>
      </c>
      <c r="CK135" s="186">
        <f t="shared" si="744"/>
        <v>42578.184011077647</v>
      </c>
      <c r="CL135" s="165">
        <f t="shared" si="744"/>
        <v>8628.4040658354315</v>
      </c>
      <c r="CM135" s="165">
        <f t="shared" si="744"/>
        <v>3033.3961252567569</v>
      </c>
      <c r="CN135" s="165">
        <f t="shared" si="744"/>
        <v>5177.1924064556506</v>
      </c>
      <c r="CO135" s="165">
        <f t="shared" si="744"/>
        <v>6301.0659898782078</v>
      </c>
      <c r="CP135" s="186">
        <f t="shared" si="744"/>
        <v>23140.058587426043</v>
      </c>
      <c r="CQ135" s="165">
        <f t="shared" si="744"/>
        <v>5791.8536633834865</v>
      </c>
      <c r="CR135" s="165">
        <f t="shared" si="744"/>
        <v>7848.9722651445454</v>
      </c>
      <c r="CS135" s="165">
        <f t="shared" si="744"/>
        <v>6461.3114938864883</v>
      </c>
      <c r="CT135" s="165">
        <f t="shared" si="744"/>
        <v>6772.7589151717548</v>
      </c>
      <c r="CU135" s="186">
        <f t="shared" si="744"/>
        <v>26874.89633758627</v>
      </c>
      <c r="CV135" s="165">
        <f t="shared" si="744"/>
        <v>6160.1153681526985</v>
      </c>
      <c r="CW135" s="165">
        <f t="shared" si="744"/>
        <v>8283.8799010778057</v>
      </c>
      <c r="CX135" s="165">
        <f t="shared" si="744"/>
        <v>8520.4232308892515</v>
      </c>
      <c r="CY135" s="165">
        <f t="shared" si="744"/>
        <v>11489.119333877368</v>
      </c>
      <c r="CZ135" s="186">
        <f t="shared" si="744"/>
        <v>34453.537833997114</v>
      </c>
      <c r="DA135" s="165">
        <f t="shared" si="744"/>
        <v>8993.4281001807212</v>
      </c>
      <c r="DB135" s="165">
        <f t="shared" si="744"/>
        <v>11196.509564256139</v>
      </c>
      <c r="DC135" s="165">
        <f t="shared" si="744"/>
        <v>10296.641180039502</v>
      </c>
      <c r="DD135" s="165">
        <f t="shared" si="744"/>
        <v>12897.522626337783</v>
      </c>
      <c r="DE135" s="186">
        <f t="shared" si="744"/>
        <v>43384.101470814137</v>
      </c>
      <c r="DF135" s="165">
        <f t="shared" si="744"/>
        <v>7141.2772887596657</v>
      </c>
      <c r="DG135" s="165">
        <f t="shared" si="744"/>
        <v>8430.2810459013654</v>
      </c>
      <c r="DH135" s="165">
        <f t="shared" si="744"/>
        <v>9906.0773433668346</v>
      </c>
      <c r="DI135" s="165">
        <f t="shared" si="744"/>
        <v>7316.928604583004</v>
      </c>
      <c r="DJ135" s="186">
        <f t="shared" si="744"/>
        <v>32794.564282610867</v>
      </c>
      <c r="DK135" s="165">
        <f t="shared" si="744"/>
        <v>10678.870767195447</v>
      </c>
      <c r="DL135" s="165">
        <f t="shared" si="744"/>
        <v>13545.126430204946</v>
      </c>
      <c r="DM135" s="165">
        <f t="shared" si="744"/>
        <v>13782.647117400827</v>
      </c>
      <c r="DN135" s="165">
        <f t="shared" si="744"/>
        <v>14062.277100692461</v>
      </c>
      <c r="DO135" s="186">
        <f t="shared" si="744"/>
        <v>52068.921415493685</v>
      </c>
      <c r="DP135" s="165">
        <f t="shared" si="744"/>
        <v>11891.469140246209</v>
      </c>
      <c r="DQ135" s="165">
        <f t="shared" si="744"/>
        <v>14468.297812395207</v>
      </c>
      <c r="DR135" s="165">
        <f t="shared" si="744"/>
        <v>14128.809292821508</v>
      </c>
      <c r="DS135" s="165">
        <f t="shared" si="744"/>
        <v>15400.680189276363</v>
      </c>
      <c r="DT135" s="186">
        <f t="shared" si="744"/>
        <v>55889.256434739291</v>
      </c>
      <c r="DU135" s="165">
        <f t="shared" ref="DU135:DY135" si="745">DU114+DU117+DU123+DU126+DU120</f>
        <v>14839.859227456674</v>
      </c>
      <c r="DV135" s="165">
        <f t="shared" si="745"/>
        <v>17058.755501841737</v>
      </c>
      <c r="DW135" s="165">
        <f t="shared" si="745"/>
        <v>18235.910360181326</v>
      </c>
      <c r="DX135" s="165">
        <f t="shared" si="745"/>
        <v>20448.042740915851</v>
      </c>
      <c r="DY135" s="186">
        <f t="shared" si="745"/>
        <v>70582.567830395594</v>
      </c>
      <c r="DZ135" s="186">
        <f t="shared" si="744"/>
        <v>80211.423220802739</v>
      </c>
      <c r="EA135" s="186">
        <f t="shared" ref="EA135:EB135" si="746">EA114+EA117+EA123+EA126+EA120</f>
        <v>91093.551765245153</v>
      </c>
      <c r="EB135" s="186">
        <f t="shared" si="746"/>
        <v>97675.325062815144</v>
      </c>
    </row>
    <row r="136" spans="1:132" s="306" customFormat="1">
      <c r="A136" s="241"/>
      <c r="B136" s="528" t="s">
        <v>365</v>
      </c>
      <c r="C136" s="529"/>
      <c r="D136" s="530">
        <f t="shared" ref="D136:I136" si="747">D135/C135-1</f>
        <v>0.33144840914784734</v>
      </c>
      <c r="E136" s="530">
        <f t="shared" si="747"/>
        <v>3.2995537874307868E-2</v>
      </c>
      <c r="F136" s="530">
        <f t="shared" si="747"/>
        <v>-0.18796757699163402</v>
      </c>
      <c r="G136" s="530">
        <f t="shared" si="747"/>
        <v>0.12335768762417487</v>
      </c>
      <c r="H136" s="530">
        <f t="shared" si="747"/>
        <v>-0.19022692587468448</v>
      </c>
      <c r="I136" s="530">
        <f t="shared" si="747"/>
        <v>-0.21062458167471021</v>
      </c>
      <c r="J136" s="531"/>
      <c r="K136" s="531"/>
      <c r="L136" s="531"/>
      <c r="M136" s="531"/>
      <c r="N136" s="530">
        <f t="shared" ref="N136:AW136" si="748">N135/I135-1</f>
        <v>-6.1183505890753276E-2</v>
      </c>
      <c r="O136" s="531">
        <f t="shared" si="748"/>
        <v>-5.7035647279549684E-2</v>
      </c>
      <c r="P136" s="531">
        <f t="shared" si="748"/>
        <v>0.20014106859460412</v>
      </c>
      <c r="Q136" s="531">
        <f t="shared" si="748"/>
        <v>5.9292798620094844E-2</v>
      </c>
      <c r="R136" s="531">
        <f t="shared" si="748"/>
        <v>8.4846239347906582E-2</v>
      </c>
      <c r="S136" s="530">
        <f t="shared" si="748"/>
        <v>7.6721966059799307E-2</v>
      </c>
      <c r="T136" s="531">
        <f t="shared" si="748"/>
        <v>0.41404695582968554</v>
      </c>
      <c r="U136" s="531">
        <f t="shared" si="748"/>
        <v>5.7243608580664018E-2</v>
      </c>
      <c r="V136" s="531">
        <f t="shared" si="748"/>
        <v>0.36230409118664775</v>
      </c>
      <c r="W136" s="531">
        <f t="shared" si="748"/>
        <v>0.30942622950819665</v>
      </c>
      <c r="X136" s="530">
        <f t="shared" si="748"/>
        <v>0.25665975012140763</v>
      </c>
      <c r="Y136" s="531">
        <f t="shared" si="748"/>
        <v>8.3438863092725413E-2</v>
      </c>
      <c r="Z136" s="531">
        <f t="shared" si="748"/>
        <v>0.19031074545555637</v>
      </c>
      <c r="AA136" s="531">
        <f t="shared" si="748"/>
        <v>0.25369789332138049</v>
      </c>
      <c r="AB136" s="531">
        <f t="shared" si="748"/>
        <v>0.15910276473656748</v>
      </c>
      <c r="AC136" s="530">
        <f t="shared" si="748"/>
        <v>0.17289545611039658</v>
      </c>
      <c r="AD136" s="531">
        <f t="shared" si="748"/>
        <v>0.13051948051948048</v>
      </c>
      <c r="AE136" s="531">
        <f t="shared" si="748"/>
        <v>4.8102743724460106E-2</v>
      </c>
      <c r="AF136" s="531">
        <f t="shared" si="748"/>
        <v>-0.24073411989035876</v>
      </c>
      <c r="AG136" s="531">
        <f t="shared" si="748"/>
        <v>-0.48067056705670563</v>
      </c>
      <c r="AH136" s="530">
        <f t="shared" si="748"/>
        <v>-0.15345354340142581</v>
      </c>
      <c r="AI136" s="531">
        <f t="shared" si="748"/>
        <v>4.0896036760482479E-2</v>
      </c>
      <c r="AJ136" s="531">
        <f t="shared" si="748"/>
        <v>-2.272474100479005E-2</v>
      </c>
      <c r="AK136" s="531">
        <f t="shared" si="748"/>
        <v>0.23606969078637574</v>
      </c>
      <c r="AL136" s="531">
        <f t="shared" si="748"/>
        <v>0.97538888166731663</v>
      </c>
      <c r="AM136" s="530">
        <f t="shared" si="748"/>
        <v>0.23225582744809437</v>
      </c>
      <c r="AN136" s="531">
        <f t="shared" si="748"/>
        <v>-0.17580840966780709</v>
      </c>
      <c r="AO136" s="532">
        <f t="shared" si="748"/>
        <v>-0.15274136555340245</v>
      </c>
      <c r="AP136" s="532">
        <f t="shared" si="748"/>
        <v>0.10133333333333328</v>
      </c>
      <c r="AQ136" s="532">
        <f t="shared" si="748"/>
        <v>-0.10375082254880452</v>
      </c>
      <c r="AR136" s="530">
        <f t="shared" si="748"/>
        <v>-8.846584546472569E-2</v>
      </c>
      <c r="AS136" s="531">
        <f t="shared" si="748"/>
        <v>-5.0883770755222324E-2</v>
      </c>
      <c r="AT136" s="532">
        <f t="shared" si="748"/>
        <v>0.14058926409256012</v>
      </c>
      <c r="AU136" s="532">
        <f t="shared" si="748"/>
        <v>7.4484030900495712E-2</v>
      </c>
      <c r="AV136" s="532">
        <f t="shared" si="748"/>
        <v>0.32060695056289767</v>
      </c>
      <c r="AW136" s="530">
        <f t="shared" si="748"/>
        <v>0.1238266238266239</v>
      </c>
      <c r="AX136" s="531">
        <f t="shared" ref="AX136:BG136" si="749">AX135/AS135-1</f>
        <v>0.51340293453724595</v>
      </c>
      <c r="AY136" s="532">
        <f t="shared" si="749"/>
        <v>0.38641188959660289</v>
      </c>
      <c r="AZ136" s="532">
        <f t="shared" si="749"/>
        <v>0.31108488035196902</v>
      </c>
      <c r="BA136" s="532">
        <f t="shared" si="749"/>
        <v>0.30077835433654565</v>
      </c>
      <c r="BB136" s="530">
        <f t="shared" si="749"/>
        <v>0.36606216890433618</v>
      </c>
      <c r="BC136" s="531">
        <f t="shared" si="749"/>
        <v>6.5628787172555825E-3</v>
      </c>
      <c r="BD136" s="532">
        <f t="shared" si="749"/>
        <v>0.12620384549940433</v>
      </c>
      <c r="BE136" s="531">
        <f t="shared" si="749"/>
        <v>0.12620723522671473</v>
      </c>
      <c r="BF136" s="531">
        <f t="shared" si="749"/>
        <v>3.8345918221968978E-2</v>
      </c>
      <c r="BG136" s="530">
        <f t="shared" si="749"/>
        <v>8.7861378418860436E-2</v>
      </c>
      <c r="BH136" s="531">
        <f t="shared" ref="BH136:BQ136" si="750">BH135/BC135-1</f>
        <v>0.17965880674977286</v>
      </c>
      <c r="BI136" s="532">
        <f t="shared" si="750"/>
        <v>8.0572242283228013E-2</v>
      </c>
      <c r="BJ136" s="531">
        <f t="shared" si="750"/>
        <v>0.17076017441860469</v>
      </c>
      <c r="BK136" s="531">
        <f t="shared" si="750"/>
        <v>0.15523795476218227</v>
      </c>
      <c r="BL136" s="530">
        <f t="shared" si="750"/>
        <v>0.131478467193898</v>
      </c>
      <c r="BM136" s="531">
        <f t="shared" si="750"/>
        <v>0.2075577306809131</v>
      </c>
      <c r="BN136" s="532">
        <f t="shared" si="750"/>
        <v>0.17987861129713179</v>
      </c>
      <c r="BO136" s="531">
        <f t="shared" si="750"/>
        <v>9.8196895527280059E-2</v>
      </c>
      <c r="BP136" s="531">
        <f t="shared" si="750"/>
        <v>-4.3988240460665962E-2</v>
      </c>
      <c r="BQ136" s="530">
        <f t="shared" si="750"/>
        <v>0.10098168827222276</v>
      </c>
      <c r="BR136" s="531">
        <f t="shared" ref="BR136" si="751">BR135/BM135-1</f>
        <v>-6.3818022095287086E-2</v>
      </c>
      <c r="BS136" s="531">
        <f t="shared" ref="BS136" si="752">BS135/BN135-1</f>
        <v>3.4312366244451553E-2</v>
      </c>
      <c r="BT136" s="531">
        <f t="shared" ref="BT136" si="753">BT135/BO135-1</f>
        <v>-4.0622182692052089E-2</v>
      </c>
      <c r="BU136" s="531">
        <f t="shared" ref="BU136:BV136" si="754">BU135/BP135-1</f>
        <v>8.8615847215030019E-3</v>
      </c>
      <c r="BV136" s="530">
        <f t="shared" si="754"/>
        <v>-1.4815137827530633E-2</v>
      </c>
      <c r="BW136" s="531">
        <f t="shared" ref="BW136" si="755">BW135/BR135-1</f>
        <v>2.8235329253728514E-2</v>
      </c>
      <c r="BX136" s="531">
        <f t="shared" ref="BX136" si="756">BX135/BS135-1</f>
        <v>-7.3979858538399723E-2</v>
      </c>
      <c r="BY136" s="531">
        <f t="shared" ref="BY136" si="757">BY135/BT135-1</f>
        <v>1.8738819241239879E-2</v>
      </c>
      <c r="BZ136" s="532">
        <f t="shared" ref="BZ136" si="758">BZ135/BU135-1</f>
        <v>7.5723208392149299E-2</v>
      </c>
      <c r="CA136" s="530">
        <f t="shared" ref="CA136" si="759">CA135/BV135-1</f>
        <v>1.0189921206932073E-2</v>
      </c>
      <c r="CB136" s="531">
        <f t="shared" ref="CB136" si="760">CB135/BW135-1</f>
        <v>9.775465198878619E-3</v>
      </c>
      <c r="CC136" s="531">
        <f t="shared" ref="CC136" si="761">CC135/BX135-1</f>
        <v>-4.1462689170208566E-3</v>
      </c>
      <c r="CD136" s="531">
        <f t="shared" ref="CD136" si="762">CD135/BY135-1</f>
        <v>-5.9874217301221222E-2</v>
      </c>
      <c r="CE136" s="531">
        <f t="shared" ref="CE136" si="763">CE135/BZ135-1</f>
        <v>8.7685719305931276E-2</v>
      </c>
      <c r="CF136" s="530">
        <f>CF135/CA135-1</f>
        <v>1.4777699836956426E-2</v>
      </c>
      <c r="CG136" s="531">
        <f t="shared" ref="CG136" si="764">CG135/CB135-1</f>
        <v>-3.9450987291658079E-2</v>
      </c>
      <c r="CH136" s="531">
        <f t="shared" ref="CH136" si="765">CH135/CC135-1</f>
        <v>-0.54821749197386405</v>
      </c>
      <c r="CI136" s="531">
        <f t="shared" ref="CI136" si="766">CI135/CD135-1</f>
        <v>-0.32983890048940478</v>
      </c>
      <c r="CJ136" s="532">
        <f t="shared" ref="CJ136" si="767">CJ135/CE135-1</f>
        <v>-0.47108977223920434</v>
      </c>
      <c r="CK136" s="918">
        <f>CK135/CF135-1</f>
        <v>-0.36168254884927709</v>
      </c>
      <c r="CL136" s="532">
        <f t="shared" ref="CL136" si="768">CL135/CG135-1</f>
        <v>-0.39917246851387067</v>
      </c>
      <c r="CM136" s="531">
        <f t="shared" ref="CM136" si="769">CM135/CH135-1</f>
        <v>-0.58290192752551984</v>
      </c>
      <c r="CN136" s="531">
        <f t="shared" ref="CN136" si="770">CN135/CI135-1</f>
        <v>-0.52476325441918936</v>
      </c>
      <c r="CO136" s="531">
        <f t="shared" ref="CO136" si="771">CO135/CJ135-1</f>
        <v>-0.37307652696614879</v>
      </c>
      <c r="CP136" s="918">
        <f>CP135/CK135-1</f>
        <v>-0.45652781759302719</v>
      </c>
      <c r="CQ136" s="531">
        <f t="shared" ref="CQ136" si="772">CQ135/CL135-1</f>
        <v>-0.32874566151617757</v>
      </c>
      <c r="CR136" s="531">
        <f t="shared" ref="CR136" si="773">CR135/CM135-1</f>
        <v>1.5875197109247252</v>
      </c>
      <c r="CS136" s="531">
        <f t="shared" ref="CS136" si="774">CS135/CN135-1</f>
        <v>0.24803387369370666</v>
      </c>
      <c r="CT136" s="531">
        <f t="shared" ref="CT136" si="775">CT135/CO135-1</f>
        <v>7.4859226367610887E-2</v>
      </c>
      <c r="CU136" s="918">
        <f>CU135/CP135-1</f>
        <v>0.16140139559498268</v>
      </c>
      <c r="CV136" s="531">
        <f t="shared" ref="CV136:CW136" si="776">CV135/CQ135-1</f>
        <v>6.3582701872699099E-2</v>
      </c>
      <c r="CW136" s="532">
        <f t="shared" si="776"/>
        <v>5.5409500918302879E-2</v>
      </c>
      <c r="CX136" s="531">
        <f t="shared" ref="CX136" si="777">CX135/CS135-1</f>
        <v>0.318683248586767</v>
      </c>
      <c r="CY136" s="531">
        <f t="shared" ref="CY136" si="778">CY135/CT135-1</f>
        <v>0.69637211035822144</v>
      </c>
      <c r="CZ136" s="918">
        <f>CZ135/CU135-1</f>
        <v>0.28199705037788836</v>
      </c>
      <c r="DA136" s="532">
        <f t="shared" ref="DA136" si="779">DA135/CV135-1</f>
        <v>0.45994475146943214</v>
      </c>
      <c r="DB136" s="532">
        <f t="shared" ref="DB136" si="780">DB135/CW135-1</f>
        <v>0.35160211132459507</v>
      </c>
      <c r="DC136" s="532">
        <f t="shared" ref="DC136" si="781">DC135/CX135-1</f>
        <v>0.20846592956919019</v>
      </c>
      <c r="DD136" s="532">
        <f t="shared" ref="DD136" si="782">DD135/CY135-1</f>
        <v>0.12258583547892377</v>
      </c>
      <c r="DE136" s="918">
        <f>DE135/CZ135-1</f>
        <v>0.25920599735928329</v>
      </c>
      <c r="DF136" s="532">
        <f t="shared" ref="DF136:DN136" si="783">DF135/DA135-1</f>
        <v>-0.20594491786550639</v>
      </c>
      <c r="DG136" s="532">
        <f t="shared" si="783"/>
        <v>-0.2470616849366799</v>
      </c>
      <c r="DH136" s="532">
        <f t="shared" si="783"/>
        <v>-3.7931188418004913E-2</v>
      </c>
      <c r="DI136" s="532">
        <f t="shared" si="783"/>
        <v>-0.43268728293282888</v>
      </c>
      <c r="DJ136" s="918">
        <f>DJ135/DE135-1</f>
        <v>-0.24408796838462099</v>
      </c>
      <c r="DK136" s="532">
        <f t="shared" si="783"/>
        <v>0.49537265329326119</v>
      </c>
      <c r="DL136" s="532">
        <f t="shared" si="783"/>
        <v>0.60672299730627799</v>
      </c>
      <c r="DM136" s="532">
        <f t="shared" si="783"/>
        <v>0.39133247598049148</v>
      </c>
      <c r="DN136" s="532">
        <f t="shared" si="783"/>
        <v>0.92188250844547892</v>
      </c>
      <c r="DO136" s="918">
        <f>DO135/DJ135-1</f>
        <v>0.58773023988926543</v>
      </c>
      <c r="DP136" s="532">
        <f t="shared" ref="DP136" si="784">DP135/DK135-1</f>
        <v>0.11355117965990913</v>
      </c>
      <c r="DQ136" s="531">
        <f t="shared" ref="DQ136" si="785">DQ135/DL135-1</f>
        <v>6.8155242916864589E-2</v>
      </c>
      <c r="DR136" s="531">
        <f t="shared" ref="DR136" si="786">DR135/DM135-1</f>
        <v>2.511579760201843E-2</v>
      </c>
      <c r="DS136" s="531">
        <f t="shared" ref="DS136" si="787">DS135/DN135-1</f>
        <v>9.5176839355412435E-2</v>
      </c>
      <c r="DT136" s="918">
        <f>DT135/DO135-1</f>
        <v>7.3370734699121698E-2</v>
      </c>
      <c r="DU136" s="531">
        <f t="shared" ref="DU136" si="788">DU135/DP135-1</f>
        <v>0.24794161700607331</v>
      </c>
      <c r="DV136" s="531">
        <f t="shared" ref="DV136" si="789">DV135/DQ135-1</f>
        <v>0.17904370804610115</v>
      </c>
      <c r="DW136" s="531">
        <f t="shared" ref="DW136" si="790">DW135/DR135-1</f>
        <v>0.29068982263399445</v>
      </c>
      <c r="DX136" s="531">
        <f t="shared" ref="DX136" si="791">DX135/DS135-1</f>
        <v>0.32773633953869208</v>
      </c>
      <c r="DY136" s="918">
        <f>DY135/DT135-1</f>
        <v>0.26290046304003667</v>
      </c>
      <c r="DZ136" s="530">
        <f>DZ135/DY135-1</f>
        <v>0.13641973771122262</v>
      </c>
      <c r="EA136" s="530">
        <f t="shared" ref="EA136:EB136" si="792">EA135/DZ135-1</f>
        <v>0.13566806456589764</v>
      </c>
      <c r="EB136" s="530">
        <f t="shared" si="792"/>
        <v>7.2252900123289887E-2</v>
      </c>
    </row>
    <row r="137" spans="1:132" s="300" customFormat="1" ht="6.75" customHeight="1" thickBot="1">
      <c r="B137" s="241"/>
      <c r="C137" s="516"/>
      <c r="D137" s="516"/>
      <c r="E137" s="516"/>
      <c r="F137" s="516"/>
      <c r="G137" s="516"/>
      <c r="H137" s="516"/>
      <c r="I137" s="516"/>
      <c r="J137" s="241"/>
      <c r="K137" s="241"/>
      <c r="L137" s="241"/>
      <c r="M137" s="241"/>
      <c r="N137" s="516"/>
      <c r="O137" s="241"/>
      <c r="P137" s="241"/>
      <c r="Q137" s="241"/>
      <c r="R137" s="241"/>
      <c r="S137" s="516"/>
      <c r="T137" s="241"/>
      <c r="U137" s="241"/>
      <c r="V137" s="241"/>
      <c r="W137" s="241"/>
      <c r="X137" s="516"/>
      <c r="Y137" s="241"/>
      <c r="Z137" s="241"/>
      <c r="AA137" s="241"/>
      <c r="AB137" s="241"/>
      <c r="AC137" s="516"/>
      <c r="AD137" s="241"/>
      <c r="AE137" s="241"/>
      <c r="AF137" s="241"/>
      <c r="AG137" s="241"/>
      <c r="AH137" s="516"/>
      <c r="AI137" s="241"/>
      <c r="AJ137" s="241"/>
      <c r="AK137" s="241"/>
      <c r="AL137" s="241"/>
      <c r="AM137" s="516"/>
      <c r="AN137" s="241"/>
      <c r="AO137" s="437"/>
      <c r="AP137" s="437"/>
      <c r="AQ137" s="121"/>
      <c r="AR137" s="516"/>
      <c r="AS137" s="241"/>
      <c r="AT137" s="437"/>
      <c r="AU137" s="437"/>
      <c r="AV137" s="121"/>
      <c r="AW137" s="516"/>
      <c r="AX137" s="241"/>
      <c r="AY137" s="437"/>
      <c r="AZ137" s="437"/>
      <c r="BA137" s="121"/>
      <c r="BB137" s="516"/>
      <c r="BC137" s="241"/>
      <c r="BD137" s="437"/>
      <c r="BF137" s="241"/>
      <c r="BG137" s="516"/>
      <c r="BH137" s="241"/>
      <c r="BI137" s="437"/>
      <c r="BK137" s="241"/>
      <c r="BL137" s="516"/>
      <c r="BM137" s="241"/>
      <c r="BN137" s="437"/>
      <c r="BP137" s="241"/>
      <c r="BQ137" s="516"/>
      <c r="BS137" s="241"/>
      <c r="BU137" s="241"/>
      <c r="BV137" s="516"/>
      <c r="BX137" s="241"/>
      <c r="BZ137" s="121"/>
      <c r="CA137" s="516"/>
      <c r="CC137" s="241"/>
      <c r="CE137" s="241"/>
      <c r="CF137" s="516"/>
      <c r="CG137" s="241"/>
      <c r="CH137" s="241"/>
      <c r="CI137" s="241"/>
      <c r="CJ137" s="121"/>
      <c r="CK137" s="516"/>
      <c r="CL137" s="241"/>
      <c r="CM137" s="241"/>
      <c r="CN137" s="241"/>
      <c r="CO137" s="241"/>
      <c r="CP137" s="516"/>
      <c r="CQ137" s="241"/>
      <c r="CR137" s="241"/>
      <c r="CS137" s="241"/>
      <c r="CT137" s="241"/>
      <c r="CU137" s="516"/>
      <c r="CV137" s="241"/>
      <c r="CW137" s="241"/>
      <c r="CX137" s="241"/>
      <c r="CY137" s="241"/>
      <c r="CZ137" s="516"/>
      <c r="DA137" s="241"/>
      <c r="DB137" s="241"/>
      <c r="DC137" s="241"/>
      <c r="DD137" s="241"/>
      <c r="DE137" s="516"/>
      <c r="DF137" s="121"/>
      <c r="DG137" s="121"/>
      <c r="DH137" s="121"/>
      <c r="DI137" s="121"/>
      <c r="DJ137" s="516"/>
      <c r="DK137" s="121"/>
      <c r="DL137" s="121"/>
      <c r="DM137" s="121"/>
      <c r="DN137" s="121"/>
      <c r="DO137" s="516"/>
      <c r="DP137" s="241"/>
      <c r="DQ137" s="241"/>
      <c r="DR137" s="241"/>
      <c r="DS137" s="241"/>
      <c r="DT137" s="516"/>
      <c r="DU137" s="241"/>
      <c r="DV137" s="241"/>
      <c r="DW137" s="241"/>
      <c r="DX137" s="241"/>
      <c r="DY137" s="516"/>
      <c r="DZ137" s="516"/>
      <c r="EA137" s="516"/>
      <c r="EB137" s="516"/>
    </row>
  </sheetData>
  <phoneticPr fontId="6" type="noConversion"/>
  <pageMargins left="0.8" right="0.3" top="0.7" bottom="0.5" header="0.5" footer="0.5"/>
  <pageSetup scale="24" orientation="landscape" r:id="rId1"/>
  <headerFooter alignWithMargins="0"/>
  <customProperties>
    <customPr name="Qube.Worksheet.Visibility" r:id="rId2"/>
  </customProperties>
  <ignoredErrors>
    <ignoredError sqref="AC34 AQ34:AR34 AH34 AM34 AW35:BA35 BL44:BL45 O39:AB39 S40:AB41 N35:AR35 AW44:BB44 AW80:BB80 AX41:BA41 S42:AT42 AX83:BA94 N113:AB113 N123:AL123 AS119:BB119 AX95:BB105 AS118:BA118 AW123 AW45:BA45 AW81:BA81 AW78 AW34 BB34 AS39:BB40 AX113:BB113 AX110:AY110 BA110:BB110 AS37:AW37 BB37 BG35 BG44:BG45 BG80:BG81 BL49:BL50 AX107:BB107 AX106:BA106 BL107 BG107 BL83:BL105 N83:AB107 N118:AL119 AC39:AR41 BL39:BL41 BG39:BG41 AX109:BB109 BL109 N109:AB109 N115:AB117 AX115:BB116 N44:AR45 N80:AR82 BG83:BG105 BG49:BG50 N49:BB50 N40:R42 N78:AT78 N47:BB47 BG47 BL47 BG37 BL37 AC37:AR37 O37:AB37 N110:AB110" formula="1"/>
    <ignoredError sqref="AS35:AV35 AI34:AL34 AD34:AG34 AN34:AO34 BB83:BB94 BB41 AS41:AW41 AS80:AV81 AS44:AV45 AR123 AM123:AO123 AM118:AR119 AC115:AW116 AC113:AR113 AC117:AO117 AR117 AS83:AW107 AC83:AR107 AW117 AT113:AW113 AC109:AR109 AS109:AW109 AC110:AR110 AS110:AW110" formula="1" formulaRange="1"/>
    <ignoredError sqref="AM124:AR125 AN126:AO126 AR126 AM127:AR127 AM136:AR136 AM135:AO135 AQ135:AR135" formulaRange="1"/>
  </ignoredErrors>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autoPageBreaks="0" fitToPage="1"/>
  </sheetPr>
  <dimension ref="A1:EB407"/>
  <sheetViews>
    <sheetView showGridLines="0" zoomScaleNormal="100" workbookViewId="0">
      <pane xSplit="2" ySplit="4" topLeftCell="C5" activePane="bottomRight" state="frozen"/>
      <selection activeCell="BA4" sqref="BA4"/>
      <selection pane="topRight" activeCell="BA4" sqref="BA4"/>
      <selection pane="bottomLeft" activeCell="BA4" sqref="BA4"/>
      <selection pane="bottomRight"/>
    </sheetView>
  </sheetViews>
  <sheetFormatPr defaultColWidth="9.7109375" defaultRowHeight="12" outlineLevelRow="2" outlineLevelCol="1"/>
  <cols>
    <col min="1" max="1" width="1.7109375" customWidth="1"/>
    <col min="2" max="2" width="41.7109375" style="68" customWidth="1"/>
    <col min="3" max="9" width="9.7109375" style="68" hidden="1" customWidth="1"/>
    <col min="10" max="13" width="9.7109375" style="68" hidden="1" customWidth="1" outlineLevel="1"/>
    <col min="14" max="14" width="9.7109375" style="68" hidden="1" customWidth="1" collapsed="1"/>
    <col min="15" max="18" width="9.7109375" style="68" hidden="1" customWidth="1" outlineLevel="1"/>
    <col min="19" max="19" width="9.7109375" style="68" hidden="1" customWidth="1" collapsed="1"/>
    <col min="20" max="23" width="9.7109375" style="68" hidden="1" customWidth="1" outlineLevel="1"/>
    <col min="24" max="24" width="9.7109375" style="68" hidden="1" customWidth="1" collapsed="1"/>
    <col min="25" max="28" width="9.7109375" style="68" hidden="1" customWidth="1" outlineLevel="1"/>
    <col min="29" max="29" width="9.7109375" style="68" hidden="1" customWidth="1" collapsed="1"/>
    <col min="30" max="33" width="9.7109375" style="68" hidden="1" customWidth="1" outlineLevel="1"/>
    <col min="34" max="34" width="9.7109375" style="68" hidden="1" customWidth="1" collapsed="1"/>
    <col min="35" max="38" width="9.7109375" style="68" hidden="1" customWidth="1" outlineLevel="1"/>
    <col min="39" max="39" width="9.7109375" style="68" hidden="1" customWidth="1" collapsed="1"/>
    <col min="40" max="43" width="9.7109375" style="68" hidden="1" customWidth="1" outlineLevel="1"/>
    <col min="44" max="44" width="9.7109375" style="68" hidden="1" customWidth="1" collapsed="1"/>
    <col min="45" max="48" width="9.7109375" style="68" hidden="1" customWidth="1" outlineLevel="1"/>
    <col min="49" max="49" width="9.7109375" style="68" hidden="1" customWidth="1" collapsed="1"/>
    <col min="50" max="53" width="9.7109375" style="68" hidden="1" customWidth="1" outlineLevel="1"/>
    <col min="54" max="54" width="9.7109375" style="68" customWidth="1" collapsed="1"/>
    <col min="55" max="58" width="9.7109375" style="68" hidden="1" customWidth="1" outlineLevel="1"/>
    <col min="59" max="59" width="9.7109375" style="68" customWidth="1" collapsed="1"/>
    <col min="60" max="63" width="9.7109375" style="121" hidden="1" customWidth="1" outlineLevel="1"/>
    <col min="64" max="64" width="9.7109375" style="121" customWidth="1" collapsed="1"/>
    <col min="65" max="68" width="9.7109375" style="121" hidden="1" customWidth="1" outlineLevel="1"/>
    <col min="69" max="69" width="9.7109375" style="121" collapsed="1"/>
    <col min="70" max="73" width="9.7109375" style="121" hidden="1" customWidth="1" outlineLevel="1"/>
    <col min="74" max="74" width="9.7109375" style="121" collapsed="1"/>
    <col min="75" max="78" width="9.7109375" style="121" hidden="1" customWidth="1" outlineLevel="1"/>
    <col min="79" max="79" width="9.7109375" style="121" collapsed="1"/>
    <col min="80" max="83" width="9.7109375" style="121" hidden="1" customWidth="1" outlineLevel="1"/>
    <col min="84" max="84" width="9.7109375" style="121" collapsed="1"/>
    <col min="85" max="88" width="9.7109375" style="121" hidden="1" customWidth="1" outlineLevel="1"/>
    <col min="89" max="89" width="9.7109375" style="121" collapsed="1"/>
    <col min="90" max="93" width="9.7109375" style="121" hidden="1" customWidth="1" outlineLevel="1"/>
    <col min="94" max="94" width="9.7109375" style="121" collapsed="1"/>
    <col min="95" max="98" width="9.7109375" style="121" hidden="1" customWidth="1" outlineLevel="1"/>
    <col min="99" max="99" width="9.7109375" style="121" collapsed="1"/>
    <col min="100" max="103" width="9.7109375" style="121" hidden="1" customWidth="1" outlineLevel="1"/>
    <col min="104" max="104" width="9.7109375" style="121" collapsed="1"/>
    <col min="105" max="108" width="9.7109375" style="121" hidden="1" customWidth="1" outlineLevel="1"/>
    <col min="109" max="109" width="9.7109375" style="121" collapsed="1"/>
    <col min="110" max="113" width="9.7109375" style="121" hidden="1" customWidth="1" outlineLevel="1"/>
    <col min="114" max="114" width="9.7109375" style="121" collapsed="1"/>
    <col min="115" max="118" width="9.7109375" style="121" hidden="1" customWidth="1" outlineLevel="1"/>
    <col min="119" max="119" width="9.7109375" style="121" collapsed="1"/>
    <col min="120" max="123" width="9.7109375" style="121" customWidth="1" outlineLevel="1"/>
    <col min="124" max="124" width="9.7109375" style="121"/>
    <col min="125" max="128" width="0" style="121" hidden="1" customWidth="1" outlineLevel="1"/>
    <col min="129" max="129" width="9.7109375" style="121" collapsed="1"/>
    <col min="130" max="132" width="9.7109375" style="121"/>
    <col min="133" max="16384" width="9.7109375" style="68"/>
  </cols>
  <sheetData>
    <row r="1" spans="1:132" customFormat="1" ht="12" customHeight="1" thickBot="1">
      <c r="AM1" s="65"/>
      <c r="AR1" s="65"/>
      <c r="AW1" s="65"/>
    </row>
    <row r="2" spans="1:132" customFormat="1" ht="6" customHeight="1">
      <c r="C2" s="58"/>
      <c r="D2" s="58"/>
      <c r="E2" s="58"/>
      <c r="F2" s="58"/>
      <c r="G2" s="58"/>
      <c r="H2" s="58"/>
      <c r="I2" s="58"/>
      <c r="N2" s="58"/>
      <c r="S2" s="58"/>
      <c r="X2" s="58"/>
      <c r="AC2" s="58"/>
      <c r="AH2" s="58"/>
      <c r="AM2" s="226"/>
      <c r="AR2" s="226"/>
      <c r="AW2" s="226"/>
      <c r="BB2" s="58"/>
      <c r="BG2" s="58"/>
      <c r="BL2" s="58"/>
      <c r="BQ2" s="58"/>
      <c r="BV2" s="58"/>
      <c r="CA2" s="58"/>
      <c r="CF2" s="58"/>
      <c r="CK2" s="58"/>
      <c r="CP2" s="58"/>
      <c r="CU2" s="58"/>
      <c r="CZ2" s="58"/>
      <c r="DE2" s="58"/>
      <c r="DJ2" s="58"/>
      <c r="DO2" s="58"/>
      <c r="DT2" s="58"/>
      <c r="DY2" s="58"/>
      <c r="DZ2" s="58"/>
      <c r="EA2" s="58"/>
      <c r="EB2" s="58"/>
    </row>
    <row r="3" spans="1:132" customFormat="1" ht="15.75">
      <c r="B3" s="61" t="s">
        <v>352</v>
      </c>
      <c r="C3" s="603">
        <v>1997</v>
      </c>
      <c r="D3" s="603">
        <v>1998</v>
      </c>
      <c r="E3" s="603">
        <v>1999</v>
      </c>
      <c r="F3" s="603">
        <v>2000</v>
      </c>
      <c r="G3" s="603">
        <v>2001</v>
      </c>
      <c r="H3" s="603">
        <v>2002</v>
      </c>
      <c r="I3" s="603">
        <v>2003</v>
      </c>
      <c r="J3" s="62" t="s">
        <v>0</v>
      </c>
      <c r="K3" s="62" t="s">
        <v>1</v>
      </c>
      <c r="L3" s="62" t="s">
        <v>2</v>
      </c>
      <c r="M3" s="62" t="s">
        <v>3</v>
      </c>
      <c r="N3" s="603">
        <v>2004</v>
      </c>
      <c r="O3" s="62" t="s">
        <v>4</v>
      </c>
      <c r="P3" s="62" t="s">
        <v>5</v>
      </c>
      <c r="Q3" s="62" t="s">
        <v>6</v>
      </c>
      <c r="R3" s="62" t="s">
        <v>7</v>
      </c>
      <c r="S3" s="603">
        <v>2005</v>
      </c>
      <c r="T3" s="62" t="s">
        <v>8</v>
      </c>
      <c r="U3" s="62" t="s">
        <v>9</v>
      </c>
      <c r="V3" s="62" t="s">
        <v>10</v>
      </c>
      <c r="W3" s="62" t="s">
        <v>11</v>
      </c>
      <c r="X3" s="603">
        <v>2006</v>
      </c>
      <c r="Y3" s="62" t="s">
        <v>12</v>
      </c>
      <c r="Z3" s="62" t="s">
        <v>13</v>
      </c>
      <c r="AA3" s="62" t="s">
        <v>14</v>
      </c>
      <c r="AB3" s="62" t="s">
        <v>15</v>
      </c>
      <c r="AC3" s="603">
        <v>2007</v>
      </c>
      <c r="AD3" s="62" t="s">
        <v>16</v>
      </c>
      <c r="AE3" s="62" t="s">
        <v>17</v>
      </c>
      <c r="AF3" s="62" t="s">
        <v>18</v>
      </c>
      <c r="AG3" s="62" t="s">
        <v>19</v>
      </c>
      <c r="AH3" s="603">
        <v>2008</v>
      </c>
      <c r="AI3" s="62" t="s">
        <v>20</v>
      </c>
      <c r="AJ3" s="62" t="s">
        <v>21</v>
      </c>
      <c r="AK3" s="62" t="s">
        <v>22</v>
      </c>
      <c r="AL3" s="62" t="s">
        <v>23</v>
      </c>
      <c r="AM3" s="606">
        <v>2009</v>
      </c>
      <c r="AN3" s="62" t="s">
        <v>312</v>
      </c>
      <c r="AO3" s="62" t="s">
        <v>309</v>
      </c>
      <c r="AP3" s="62" t="s">
        <v>310</v>
      </c>
      <c r="AQ3" s="62" t="s">
        <v>311</v>
      </c>
      <c r="AR3" s="603">
        <v>2010</v>
      </c>
      <c r="AS3" s="62" t="s">
        <v>316</v>
      </c>
      <c r="AT3" s="62" t="s">
        <v>313</v>
      </c>
      <c r="AU3" s="62" t="s">
        <v>314</v>
      </c>
      <c r="AV3" s="62" t="s">
        <v>315</v>
      </c>
      <c r="AW3" s="603">
        <v>2011</v>
      </c>
      <c r="AX3" s="62" t="s">
        <v>395</v>
      </c>
      <c r="AY3" s="62" t="s">
        <v>396</v>
      </c>
      <c r="AZ3" s="62" t="s">
        <v>397</v>
      </c>
      <c r="BA3" s="62" t="s">
        <v>398</v>
      </c>
      <c r="BB3" s="603">
        <v>2012</v>
      </c>
      <c r="BC3" s="62" t="s">
        <v>411</v>
      </c>
      <c r="BD3" s="62" t="s">
        <v>412</v>
      </c>
      <c r="BE3" s="62" t="s">
        <v>413</v>
      </c>
      <c r="BF3" s="62" t="s">
        <v>414</v>
      </c>
      <c r="BG3" s="603">
        <v>2013</v>
      </c>
      <c r="BH3" s="62" t="s">
        <v>464</v>
      </c>
      <c r="BI3" s="62" t="s">
        <v>465</v>
      </c>
      <c r="BJ3" s="62" t="s">
        <v>466</v>
      </c>
      <c r="BK3" s="62" t="s">
        <v>467</v>
      </c>
      <c r="BL3" s="603">
        <v>2014</v>
      </c>
      <c r="BM3" s="62" t="s">
        <v>468</v>
      </c>
      <c r="BN3" s="62" t="s">
        <v>469</v>
      </c>
      <c r="BO3" s="62" t="s">
        <v>470</v>
      </c>
      <c r="BP3" s="62" t="s">
        <v>471</v>
      </c>
      <c r="BQ3" s="603">
        <v>2015</v>
      </c>
      <c r="BR3" s="55" t="s">
        <v>472</v>
      </c>
      <c r="BS3" s="55" t="s">
        <v>473</v>
      </c>
      <c r="BT3" s="55" t="s">
        <v>474</v>
      </c>
      <c r="BU3" s="55" t="s">
        <v>475</v>
      </c>
      <c r="BV3" s="603">
        <v>2016</v>
      </c>
      <c r="BW3" s="55" t="s">
        <v>476</v>
      </c>
      <c r="BX3" s="55" t="s">
        <v>477</v>
      </c>
      <c r="BY3" s="55" t="s">
        <v>478</v>
      </c>
      <c r="BZ3" s="55" t="s">
        <v>479</v>
      </c>
      <c r="CA3" s="603">
        <v>2017</v>
      </c>
      <c r="CB3" s="55" t="s">
        <v>549</v>
      </c>
      <c r="CC3" s="55" t="s">
        <v>550</v>
      </c>
      <c r="CD3" s="55" t="s">
        <v>551</v>
      </c>
      <c r="CE3" s="55" t="s">
        <v>552</v>
      </c>
      <c r="CF3" s="603">
        <v>2018</v>
      </c>
      <c r="CG3" s="55" t="s">
        <v>597</v>
      </c>
      <c r="CH3" s="55" t="s">
        <v>598</v>
      </c>
      <c r="CI3" s="55" t="s">
        <v>599</v>
      </c>
      <c r="CJ3" s="55" t="s">
        <v>600</v>
      </c>
      <c r="CK3" s="603">
        <v>2019</v>
      </c>
      <c r="CL3" s="55" t="s">
        <v>605</v>
      </c>
      <c r="CM3" s="55" t="s">
        <v>606</v>
      </c>
      <c r="CN3" s="55" t="s">
        <v>607</v>
      </c>
      <c r="CO3" s="55" t="s">
        <v>608</v>
      </c>
      <c r="CP3" s="603">
        <v>2020</v>
      </c>
      <c r="CQ3" s="55" t="s">
        <v>649</v>
      </c>
      <c r="CR3" s="55" t="s">
        <v>650</v>
      </c>
      <c r="CS3" s="55" t="s">
        <v>651</v>
      </c>
      <c r="CT3" s="55" t="s">
        <v>652</v>
      </c>
      <c r="CU3" s="603">
        <v>2021</v>
      </c>
      <c r="CV3" s="55" t="s">
        <v>667</v>
      </c>
      <c r="CW3" s="55" t="s">
        <v>668</v>
      </c>
      <c r="CX3" s="55" t="s">
        <v>669</v>
      </c>
      <c r="CY3" s="55" t="s">
        <v>670</v>
      </c>
      <c r="CZ3" s="603">
        <v>2022</v>
      </c>
      <c r="DA3" s="55" t="s">
        <v>674</v>
      </c>
      <c r="DB3" s="55" t="s">
        <v>675</v>
      </c>
      <c r="DC3" s="55" t="s">
        <v>676</v>
      </c>
      <c r="DD3" s="55" t="s">
        <v>677</v>
      </c>
      <c r="DE3" s="603">
        <v>2023</v>
      </c>
      <c r="DF3" s="55" t="s">
        <v>684</v>
      </c>
      <c r="DG3" s="55" t="s">
        <v>685</v>
      </c>
      <c r="DH3" s="55" t="s">
        <v>686</v>
      </c>
      <c r="DI3" s="55" t="s">
        <v>687</v>
      </c>
      <c r="DJ3" s="603">
        <v>2024</v>
      </c>
      <c r="DK3" s="55" t="s">
        <v>695</v>
      </c>
      <c r="DL3" s="55" t="s">
        <v>696</v>
      </c>
      <c r="DM3" s="55" t="s">
        <v>697</v>
      </c>
      <c r="DN3" s="55" t="s">
        <v>698</v>
      </c>
      <c r="DO3" s="603">
        <v>2025</v>
      </c>
      <c r="DP3" s="55" t="s">
        <v>715</v>
      </c>
      <c r="DQ3" s="55" t="s">
        <v>716</v>
      </c>
      <c r="DR3" s="55" t="s">
        <v>720</v>
      </c>
      <c r="DS3" s="55" t="s">
        <v>721</v>
      </c>
      <c r="DT3" s="603" t="s">
        <v>688</v>
      </c>
      <c r="DU3" s="55" t="s">
        <v>735</v>
      </c>
      <c r="DV3" s="55" t="s">
        <v>736</v>
      </c>
      <c r="DW3" s="55" t="s">
        <v>737</v>
      </c>
      <c r="DX3" s="55" t="s">
        <v>738</v>
      </c>
      <c r="DY3" s="603" t="s">
        <v>683</v>
      </c>
      <c r="DZ3" s="603" t="s">
        <v>691</v>
      </c>
      <c r="EA3" s="603" t="s">
        <v>692</v>
      </c>
      <c r="EB3" s="603" t="s">
        <v>693</v>
      </c>
    </row>
    <row r="4" spans="1:132" customFormat="1" ht="12.75">
      <c r="B4" s="63" t="s">
        <v>148</v>
      </c>
      <c r="C4" s="56">
        <v>35795</v>
      </c>
      <c r="D4" s="56">
        <v>36160</v>
      </c>
      <c r="E4" s="56">
        <v>36525</v>
      </c>
      <c r="F4" s="56">
        <v>36891</v>
      </c>
      <c r="G4" s="56">
        <v>37256</v>
      </c>
      <c r="H4" s="56">
        <v>37621</v>
      </c>
      <c r="I4" s="56">
        <v>37986</v>
      </c>
      <c r="J4" s="64">
        <v>38077</v>
      </c>
      <c r="K4" s="64">
        <v>38168</v>
      </c>
      <c r="L4" s="64">
        <v>38260</v>
      </c>
      <c r="M4" s="64">
        <v>38352</v>
      </c>
      <c r="N4" s="56">
        <v>38352</v>
      </c>
      <c r="O4" s="64">
        <v>38442</v>
      </c>
      <c r="P4" s="64">
        <v>38533</v>
      </c>
      <c r="Q4" s="64">
        <v>38625</v>
      </c>
      <c r="R4" s="64">
        <v>38717</v>
      </c>
      <c r="S4" s="56">
        <v>38717</v>
      </c>
      <c r="T4" s="64">
        <v>38807</v>
      </c>
      <c r="U4" s="64">
        <v>38898</v>
      </c>
      <c r="V4" s="64">
        <v>38990</v>
      </c>
      <c r="W4" s="64">
        <v>39082</v>
      </c>
      <c r="X4" s="56">
        <v>39082</v>
      </c>
      <c r="Y4" s="64">
        <v>39172</v>
      </c>
      <c r="Z4" s="64">
        <v>39263</v>
      </c>
      <c r="AA4" s="64">
        <v>39355</v>
      </c>
      <c r="AB4" s="64">
        <v>39447</v>
      </c>
      <c r="AC4" s="56">
        <v>39447</v>
      </c>
      <c r="AD4" s="64">
        <v>39538</v>
      </c>
      <c r="AE4" s="64">
        <v>39629</v>
      </c>
      <c r="AF4" s="64">
        <v>39721</v>
      </c>
      <c r="AG4" s="64">
        <v>39813</v>
      </c>
      <c r="AH4" s="56">
        <v>39813</v>
      </c>
      <c r="AI4" s="64">
        <v>39903</v>
      </c>
      <c r="AJ4" s="64">
        <v>39994</v>
      </c>
      <c r="AK4" s="64">
        <v>40086</v>
      </c>
      <c r="AL4" s="64">
        <v>40178</v>
      </c>
      <c r="AM4" s="227">
        <v>40178</v>
      </c>
      <c r="AN4" s="64">
        <v>40268</v>
      </c>
      <c r="AO4" s="64">
        <v>40359</v>
      </c>
      <c r="AP4" s="64">
        <v>40451</v>
      </c>
      <c r="AQ4" s="64">
        <v>40543</v>
      </c>
      <c r="AR4" s="227">
        <v>40543</v>
      </c>
      <c r="AS4" s="64">
        <v>40633</v>
      </c>
      <c r="AT4" s="64">
        <v>40724</v>
      </c>
      <c r="AU4" s="64">
        <v>40816</v>
      </c>
      <c r="AV4" s="64">
        <v>40908</v>
      </c>
      <c r="AW4" s="227">
        <v>40908</v>
      </c>
      <c r="AX4" s="64">
        <v>40999</v>
      </c>
      <c r="AY4" s="64">
        <v>41090</v>
      </c>
      <c r="AZ4" s="64">
        <v>41182</v>
      </c>
      <c r="BA4" s="64">
        <v>41274</v>
      </c>
      <c r="BB4" s="56">
        <v>41274</v>
      </c>
      <c r="BC4" s="64">
        <v>41364</v>
      </c>
      <c r="BD4" s="64">
        <v>41455</v>
      </c>
      <c r="BE4" s="64">
        <v>41547</v>
      </c>
      <c r="BF4" s="64">
        <v>41639</v>
      </c>
      <c r="BG4" s="56">
        <v>41639</v>
      </c>
      <c r="BH4" s="64">
        <v>41729</v>
      </c>
      <c r="BI4" s="64">
        <v>41820</v>
      </c>
      <c r="BJ4" s="64">
        <v>41912</v>
      </c>
      <c r="BK4" s="64">
        <v>42004</v>
      </c>
      <c r="BL4" s="56">
        <v>42004</v>
      </c>
      <c r="BM4" s="64">
        <v>42094</v>
      </c>
      <c r="BN4" s="64">
        <v>42185</v>
      </c>
      <c r="BO4" s="64">
        <v>42277</v>
      </c>
      <c r="BP4" s="64">
        <v>42369</v>
      </c>
      <c r="BQ4" s="56">
        <v>42369</v>
      </c>
      <c r="BR4" s="57">
        <v>42460</v>
      </c>
      <c r="BS4" s="57">
        <v>42551</v>
      </c>
      <c r="BT4" s="57">
        <v>42643</v>
      </c>
      <c r="BU4" s="219">
        <v>42735</v>
      </c>
      <c r="BV4" s="56">
        <v>42735</v>
      </c>
      <c r="BW4" s="57">
        <v>42825</v>
      </c>
      <c r="BX4" s="57">
        <v>42916</v>
      </c>
      <c r="BY4" s="57">
        <v>43008</v>
      </c>
      <c r="BZ4" s="219">
        <v>43100</v>
      </c>
      <c r="CA4" s="56">
        <v>43100</v>
      </c>
      <c r="CB4" s="57">
        <v>43190</v>
      </c>
      <c r="CC4" s="57">
        <v>43281</v>
      </c>
      <c r="CD4" s="57">
        <v>43373</v>
      </c>
      <c r="CE4" s="219">
        <v>43465</v>
      </c>
      <c r="CF4" s="56">
        <v>43465</v>
      </c>
      <c r="CG4" s="57">
        <v>43555</v>
      </c>
      <c r="CH4" s="57">
        <v>43646</v>
      </c>
      <c r="CI4" s="57">
        <v>43738</v>
      </c>
      <c r="CJ4" s="219">
        <v>43830</v>
      </c>
      <c r="CK4" s="56">
        <v>43830</v>
      </c>
      <c r="CL4" s="57">
        <v>43921</v>
      </c>
      <c r="CM4" s="57">
        <v>44012</v>
      </c>
      <c r="CN4" s="57">
        <v>44104</v>
      </c>
      <c r="CO4" s="219">
        <v>44196</v>
      </c>
      <c r="CP4" s="56">
        <v>44196</v>
      </c>
      <c r="CQ4" s="57">
        <v>44286</v>
      </c>
      <c r="CR4" s="57">
        <v>44377</v>
      </c>
      <c r="CS4" s="57">
        <v>44469</v>
      </c>
      <c r="CT4" s="219">
        <v>44561</v>
      </c>
      <c r="CU4" s="56">
        <v>44561</v>
      </c>
      <c r="CV4" s="57">
        <v>44651</v>
      </c>
      <c r="CW4" s="57">
        <v>44742</v>
      </c>
      <c r="CX4" s="57">
        <v>44834</v>
      </c>
      <c r="CY4" s="219">
        <v>44926</v>
      </c>
      <c r="CZ4" s="56">
        <v>44926</v>
      </c>
      <c r="DA4" s="57">
        <v>45016</v>
      </c>
      <c r="DB4" s="57">
        <v>45107</v>
      </c>
      <c r="DC4" s="57">
        <v>45199</v>
      </c>
      <c r="DD4" s="219">
        <v>45291</v>
      </c>
      <c r="DE4" s="443">
        <v>45291</v>
      </c>
      <c r="DF4" s="57">
        <v>45382</v>
      </c>
      <c r="DG4" s="57">
        <v>45473</v>
      </c>
      <c r="DH4" s="57">
        <v>45565</v>
      </c>
      <c r="DI4" s="219">
        <v>45657</v>
      </c>
      <c r="DJ4" s="56">
        <v>45657</v>
      </c>
      <c r="DK4" s="57">
        <v>45747</v>
      </c>
      <c r="DL4" s="57">
        <v>45838</v>
      </c>
      <c r="DM4" s="57">
        <v>45930</v>
      </c>
      <c r="DN4" s="219">
        <v>46022</v>
      </c>
      <c r="DO4" s="56">
        <v>46022</v>
      </c>
      <c r="DP4" s="57">
        <v>46112</v>
      </c>
      <c r="DQ4" s="57">
        <v>46203</v>
      </c>
      <c r="DR4" s="57">
        <v>46295</v>
      </c>
      <c r="DS4" s="219">
        <v>46387</v>
      </c>
      <c r="DT4" s="56">
        <v>46387</v>
      </c>
      <c r="DU4" s="57">
        <v>46477</v>
      </c>
      <c r="DV4" s="57">
        <v>46568</v>
      </c>
      <c r="DW4" s="57">
        <v>46660</v>
      </c>
      <c r="DX4" s="219">
        <v>46752</v>
      </c>
      <c r="DY4" s="443">
        <v>46752</v>
      </c>
      <c r="DZ4" s="443">
        <v>47118</v>
      </c>
      <c r="EA4" s="443">
        <v>47483</v>
      </c>
      <c r="EB4" s="443">
        <v>47848</v>
      </c>
    </row>
    <row r="5" spans="1:132" ht="12" customHeight="1">
      <c r="A5" s="68"/>
      <c r="C5" s="67"/>
      <c r="D5" s="67"/>
      <c r="E5" s="67"/>
      <c r="F5" s="67"/>
      <c r="G5" s="67"/>
      <c r="H5" s="67"/>
      <c r="I5" s="67"/>
      <c r="N5" s="67"/>
      <c r="S5" s="67"/>
      <c r="X5" s="67"/>
      <c r="AC5" s="67"/>
      <c r="AH5" s="67"/>
      <c r="AM5" s="67"/>
      <c r="AN5" s="310"/>
      <c r="AR5" s="67"/>
      <c r="AW5" s="67"/>
      <c r="BB5" s="67"/>
      <c r="BG5" s="67"/>
      <c r="BL5" s="120"/>
      <c r="BQ5" s="120"/>
      <c r="BV5" s="120"/>
      <c r="CA5" s="120"/>
      <c r="CF5" s="120"/>
      <c r="CK5" s="120"/>
      <c r="CP5" s="120"/>
      <c r="CU5" s="120"/>
      <c r="CZ5" s="120"/>
      <c r="DE5" s="120"/>
      <c r="DJ5" s="120"/>
      <c r="DO5" s="120"/>
      <c r="DT5" s="120"/>
      <c r="DY5" s="120"/>
      <c r="DZ5" s="120"/>
      <c r="EA5" s="120"/>
      <c r="EB5" s="120"/>
    </row>
    <row r="6" spans="1:132" s="241" customFormat="1" ht="12" hidden="1" customHeight="1" outlineLevel="1">
      <c r="A6" s="68"/>
      <c r="B6" s="156" t="s">
        <v>170</v>
      </c>
      <c r="C6" s="285"/>
      <c r="D6" s="285"/>
      <c r="E6" s="285"/>
      <c r="F6" s="285"/>
      <c r="G6" s="285"/>
      <c r="H6" s="285"/>
      <c r="I6" s="285"/>
      <c r="N6" s="285"/>
      <c r="S6" s="285"/>
      <c r="X6" s="285"/>
      <c r="AC6" s="285"/>
      <c r="AH6" s="285"/>
      <c r="AM6" s="285"/>
      <c r="AR6" s="285"/>
      <c r="AW6" s="285"/>
      <c r="BB6" s="285"/>
      <c r="BG6" s="285"/>
      <c r="BH6" s="121"/>
      <c r="BI6" s="121"/>
      <c r="BJ6" s="121"/>
      <c r="BK6" s="121"/>
      <c r="BL6" s="120"/>
      <c r="BM6" s="121"/>
      <c r="BN6" s="121"/>
      <c r="BO6" s="121"/>
      <c r="BP6" s="121"/>
      <c r="BQ6" s="120"/>
      <c r="BR6" s="121"/>
      <c r="BS6" s="121"/>
      <c r="BT6" s="121"/>
      <c r="BU6" s="121"/>
      <c r="BV6" s="120"/>
      <c r="BW6" s="121"/>
      <c r="BX6" s="121"/>
      <c r="BY6" s="121"/>
      <c r="BZ6" s="121"/>
      <c r="CA6" s="120"/>
      <c r="CB6" s="121"/>
      <c r="CC6" s="121"/>
      <c r="CD6" s="121"/>
      <c r="CE6" s="121"/>
      <c r="CF6" s="120"/>
      <c r="CG6" s="121"/>
      <c r="CH6" s="121"/>
      <c r="CI6" s="121"/>
      <c r="CJ6" s="121"/>
      <c r="CK6" s="120"/>
      <c r="CL6" s="121"/>
      <c r="CM6" s="121"/>
      <c r="CN6" s="121"/>
      <c r="CO6" s="121"/>
      <c r="CP6" s="120"/>
      <c r="CQ6" s="121"/>
      <c r="CR6" s="121"/>
      <c r="CS6" s="121"/>
      <c r="CT6" s="121"/>
      <c r="CU6" s="120"/>
      <c r="CV6" s="121"/>
      <c r="CW6" s="121"/>
      <c r="CX6" s="121"/>
      <c r="CY6" s="121"/>
      <c r="CZ6" s="120"/>
      <c r="DA6" s="121"/>
      <c r="DB6" s="121"/>
      <c r="DC6" s="121"/>
      <c r="DD6" s="121"/>
      <c r="DE6" s="120"/>
      <c r="DF6" s="121"/>
      <c r="DG6" s="121"/>
      <c r="DH6" s="121"/>
      <c r="DI6" s="121"/>
      <c r="DJ6" s="120"/>
      <c r="DK6" s="121"/>
      <c r="DL6" s="121"/>
      <c r="DM6" s="121"/>
      <c r="DN6" s="121"/>
      <c r="DO6" s="120"/>
      <c r="DP6" s="121"/>
      <c r="DQ6" s="121"/>
      <c r="DR6" s="121"/>
      <c r="DS6" s="121"/>
      <c r="DT6" s="120"/>
      <c r="DU6" s="121"/>
      <c r="DV6" s="121"/>
      <c r="DW6" s="121"/>
      <c r="DX6" s="121"/>
      <c r="DY6" s="120"/>
      <c r="DZ6" s="120"/>
      <c r="EA6" s="120"/>
      <c r="EB6" s="120"/>
    </row>
    <row r="7" spans="1:132" s="241" customFormat="1" ht="12" hidden="1" customHeight="1" outlineLevel="1">
      <c r="A7" s="68"/>
      <c r="B7" s="536" t="s">
        <v>724</v>
      </c>
      <c r="C7" s="285"/>
      <c r="D7" s="285"/>
      <c r="E7" s="285"/>
      <c r="F7" s="285"/>
      <c r="G7" s="285"/>
      <c r="H7" s="285"/>
      <c r="I7" s="285"/>
      <c r="N7" s="285"/>
      <c r="S7" s="285"/>
      <c r="X7" s="285"/>
      <c r="AC7" s="285"/>
      <c r="AH7" s="285"/>
      <c r="AM7" s="285"/>
      <c r="AR7" s="285"/>
      <c r="AW7" s="285"/>
      <c r="BB7" s="285"/>
      <c r="BG7" s="285"/>
      <c r="BH7" s="121"/>
      <c r="BI7" s="121"/>
      <c r="BJ7" s="121"/>
      <c r="BK7" s="121"/>
      <c r="BL7" s="120"/>
      <c r="BM7" s="121"/>
      <c r="BN7" s="121"/>
      <c r="BO7" s="121"/>
      <c r="BP7" s="121"/>
      <c r="BQ7" s="120"/>
      <c r="BR7" s="121"/>
      <c r="BS7" s="121"/>
      <c r="BT7" s="121"/>
      <c r="BU7" s="121"/>
      <c r="BV7" s="120"/>
      <c r="BW7" s="121"/>
      <c r="BX7" s="121"/>
      <c r="BY7" s="121"/>
      <c r="BZ7" s="121"/>
      <c r="CA7" s="120"/>
      <c r="CB7" s="121"/>
      <c r="CC7" s="121"/>
      <c r="CD7" s="121"/>
      <c r="CE7" s="121"/>
      <c r="CF7" s="120"/>
      <c r="CG7" s="121"/>
      <c r="CH7" s="121"/>
      <c r="CI7" s="121"/>
      <c r="CJ7" s="121"/>
      <c r="CK7" s="120"/>
      <c r="CL7" s="121"/>
      <c r="CM7" s="121"/>
      <c r="CN7" s="121"/>
      <c r="CO7" s="121"/>
      <c r="CP7" s="120"/>
      <c r="CQ7" s="121"/>
      <c r="CR7" s="121"/>
      <c r="CS7" s="121"/>
      <c r="CT7" s="121"/>
      <c r="CU7" s="120"/>
      <c r="CV7" s="121"/>
      <c r="CW7" s="121"/>
      <c r="CX7" s="121"/>
      <c r="CY7" s="121"/>
      <c r="CZ7" s="120"/>
      <c r="DA7" s="121"/>
      <c r="DB7" s="121"/>
      <c r="DC7" s="121"/>
      <c r="DD7" s="121"/>
      <c r="DE7" s="120"/>
      <c r="DF7" s="121"/>
      <c r="DG7" s="121"/>
      <c r="DH7" s="121"/>
      <c r="DI7" s="121"/>
      <c r="DJ7" s="120"/>
      <c r="DK7" s="121"/>
      <c r="DL7" s="121"/>
      <c r="DM7" s="121"/>
      <c r="DN7" s="867">
        <v>50</v>
      </c>
      <c r="DO7" s="120">
        <f>SUM(DK7:DN7)</f>
        <v>50</v>
      </c>
      <c r="DP7" s="867">
        <v>250</v>
      </c>
      <c r="DQ7" s="867">
        <v>240</v>
      </c>
      <c r="DR7" s="867">
        <v>270</v>
      </c>
      <c r="DS7" s="867">
        <v>175</v>
      </c>
      <c r="DT7" s="120">
        <f>SUM(DP7:DS7)</f>
        <v>935</v>
      </c>
      <c r="DU7" s="121"/>
      <c r="DV7" s="121"/>
      <c r="DW7" s="121"/>
      <c r="DX7" s="121"/>
      <c r="DY7" s="120"/>
      <c r="DZ7" s="120"/>
      <c r="EA7" s="120"/>
      <c r="EB7" s="120"/>
    </row>
    <row r="8" spans="1:132" s="241" customFormat="1" ht="12" hidden="1" customHeight="1" outlineLevel="1">
      <c r="A8" s="68"/>
      <c r="B8" s="536" t="s">
        <v>585</v>
      </c>
      <c r="C8" s="285"/>
      <c r="D8" s="285"/>
      <c r="E8" s="285"/>
      <c r="F8" s="285"/>
      <c r="G8" s="285"/>
      <c r="H8" s="285"/>
      <c r="I8" s="285"/>
      <c r="N8" s="285"/>
      <c r="S8" s="285"/>
      <c r="X8" s="285"/>
      <c r="AC8" s="285"/>
      <c r="AH8" s="285"/>
      <c r="AM8" s="285"/>
      <c r="AR8" s="285"/>
      <c r="AW8" s="285"/>
      <c r="BB8" s="285"/>
      <c r="BG8" s="285"/>
      <c r="BH8" s="121"/>
      <c r="BI8" s="121"/>
      <c r="BJ8" s="121"/>
      <c r="BK8" s="121"/>
      <c r="BL8" s="120"/>
      <c r="BM8" s="121"/>
      <c r="BN8" s="121"/>
      <c r="BO8" s="121"/>
      <c r="BP8" s="121"/>
      <c r="BQ8" s="120"/>
      <c r="BR8" s="121"/>
      <c r="BS8" s="121"/>
      <c r="BT8" s="121"/>
      <c r="BU8" s="121"/>
      <c r="BV8" s="120"/>
      <c r="BW8" s="121"/>
      <c r="BX8" s="121"/>
      <c r="BY8" s="121"/>
      <c r="BZ8" s="867">
        <f>260/4*2/3</f>
        <v>43.333333333333336</v>
      </c>
      <c r="CA8" s="120">
        <f>SUM(BW8:BZ8)</f>
        <v>43.333333333333336</v>
      </c>
      <c r="CB8" s="867">
        <f>260/4</f>
        <v>65</v>
      </c>
      <c r="CC8" s="867">
        <f>260/4</f>
        <v>65</v>
      </c>
      <c r="CD8" s="867">
        <f>260/4</f>
        <v>65</v>
      </c>
      <c r="CE8" s="867">
        <f>260/4*1/3</f>
        <v>21.666666666666668</v>
      </c>
      <c r="CF8" s="120">
        <f>SUM(CB8:CE8)</f>
        <v>216.66666666666666</v>
      </c>
      <c r="CG8" s="867"/>
      <c r="CH8" s="867"/>
      <c r="CI8" s="867"/>
      <c r="CJ8" s="867"/>
      <c r="CK8" s="120"/>
      <c r="CL8" s="867"/>
      <c r="CM8" s="867"/>
      <c r="CN8" s="867"/>
      <c r="CO8" s="867"/>
      <c r="CP8" s="120"/>
      <c r="CQ8" s="867"/>
      <c r="CR8" s="867"/>
      <c r="CS8" s="867"/>
      <c r="CT8" s="867"/>
      <c r="CU8" s="120"/>
      <c r="CV8" s="867"/>
      <c r="CW8" s="867"/>
      <c r="CX8" s="867"/>
      <c r="CY8" s="867"/>
      <c r="CZ8" s="120"/>
      <c r="DA8" s="867"/>
      <c r="DB8" s="867"/>
      <c r="DC8" s="867"/>
      <c r="DD8" s="867"/>
      <c r="DE8" s="120"/>
      <c r="DF8" s="867"/>
      <c r="DG8" s="867"/>
      <c r="DH8" s="867"/>
      <c r="DI8" s="867"/>
      <c r="DJ8" s="120"/>
      <c r="DK8" s="867"/>
      <c r="DL8" s="867"/>
      <c r="DM8" s="867"/>
      <c r="DN8" s="867"/>
      <c r="DO8" s="120"/>
      <c r="DP8" s="867"/>
      <c r="DQ8" s="867"/>
      <c r="DR8" s="867"/>
      <c r="DS8" s="867"/>
      <c r="DT8" s="120"/>
      <c r="DU8" s="867"/>
      <c r="DV8" s="867"/>
      <c r="DW8" s="867"/>
      <c r="DX8" s="867"/>
      <c r="DY8" s="120"/>
      <c r="DZ8" s="120"/>
      <c r="EA8" s="120"/>
      <c r="EB8" s="120"/>
    </row>
    <row r="9" spans="1:132" s="241" customFormat="1" ht="12" hidden="1" customHeight="1" outlineLevel="1">
      <c r="A9" s="68"/>
      <c r="B9" s="536" t="s">
        <v>394</v>
      </c>
      <c r="C9" s="285"/>
      <c r="D9" s="285"/>
      <c r="E9" s="285"/>
      <c r="F9" s="285"/>
      <c r="G9" s="285"/>
      <c r="H9" s="285"/>
      <c r="I9" s="285"/>
      <c r="N9" s="285"/>
      <c r="S9" s="285"/>
      <c r="X9" s="285"/>
      <c r="AC9" s="285"/>
      <c r="AH9" s="285"/>
      <c r="AM9" s="285"/>
      <c r="AR9" s="285"/>
      <c r="AW9" s="285"/>
      <c r="BB9" s="285"/>
      <c r="BG9" s="285"/>
      <c r="BH9" s="121"/>
      <c r="BI9" s="121"/>
      <c r="BJ9" s="121"/>
      <c r="BK9" s="121"/>
      <c r="BL9" s="120"/>
      <c r="BM9" s="121"/>
      <c r="BN9" s="121"/>
      <c r="BO9" s="121"/>
      <c r="BP9" s="121"/>
      <c r="BQ9" s="120"/>
      <c r="BR9" s="121"/>
      <c r="BS9" s="121"/>
      <c r="BT9" s="121"/>
      <c r="BU9" s="121"/>
      <c r="BV9" s="120"/>
      <c r="BW9" s="121"/>
      <c r="BX9" s="121"/>
      <c r="BY9" s="121"/>
      <c r="BZ9" s="121"/>
      <c r="CA9" s="120"/>
      <c r="CB9" s="121"/>
      <c r="CC9" s="121"/>
      <c r="CD9" s="121"/>
      <c r="CE9" s="121"/>
      <c r="CF9" s="120"/>
      <c r="CG9" s="121"/>
      <c r="CH9" s="121"/>
      <c r="CI9" s="121"/>
      <c r="CJ9" s="121"/>
      <c r="CK9" s="120"/>
      <c r="CL9" s="121"/>
      <c r="CM9" s="121"/>
      <c r="CN9" s="121"/>
      <c r="CO9" s="121"/>
      <c r="CP9" s="120"/>
      <c r="CQ9" s="121"/>
      <c r="CR9" s="121"/>
      <c r="CS9" s="121"/>
      <c r="CT9" s="121"/>
      <c r="CU9" s="120"/>
      <c r="CV9" s="121"/>
      <c r="CW9" s="121"/>
      <c r="CX9" s="121"/>
      <c r="CY9" s="121"/>
      <c r="CZ9" s="120"/>
      <c r="DA9" s="121"/>
      <c r="DB9" s="121"/>
      <c r="DC9" s="121"/>
      <c r="DD9" s="121"/>
      <c r="DE9" s="120"/>
      <c r="DF9" s="121"/>
      <c r="DG9" s="121"/>
      <c r="DH9" s="121"/>
      <c r="DI9" s="121"/>
      <c r="DJ9" s="120"/>
      <c r="DK9" s="121"/>
      <c r="DL9" s="121"/>
      <c r="DM9" s="121"/>
      <c r="DN9" s="121"/>
      <c r="DO9" s="120"/>
      <c r="DP9" s="121"/>
      <c r="DQ9" s="121"/>
      <c r="DR9" s="121"/>
      <c r="DS9" s="121"/>
      <c r="DT9" s="120"/>
      <c r="DU9" s="121"/>
      <c r="DV9" s="121"/>
      <c r="DW9" s="121"/>
      <c r="DX9" s="121"/>
      <c r="DY9" s="120"/>
      <c r="DZ9" s="120"/>
      <c r="EA9" s="120"/>
      <c r="EB9" s="120"/>
    </row>
    <row r="10" spans="1:132" s="241" customFormat="1" ht="12" hidden="1" customHeight="1" outlineLevel="1">
      <c r="B10" s="311" t="s">
        <v>332</v>
      </c>
      <c r="C10" s="285"/>
      <c r="D10" s="285"/>
      <c r="E10" s="285"/>
      <c r="F10" s="285"/>
      <c r="G10" s="285"/>
      <c r="H10" s="285"/>
      <c r="I10" s="285"/>
      <c r="N10" s="285"/>
      <c r="S10" s="285"/>
      <c r="X10" s="285"/>
      <c r="AC10" s="285"/>
      <c r="AH10" s="285"/>
      <c r="AM10" s="285"/>
      <c r="AN10" s="179">
        <f>45/4*0.5</f>
        <v>5.625</v>
      </c>
      <c r="AO10" s="179">
        <f>45/4*0.5</f>
        <v>5.625</v>
      </c>
      <c r="AP10" s="179">
        <f>45/4*0.5</f>
        <v>5.625</v>
      </c>
      <c r="AQ10" s="179">
        <f>45/4*0.5</f>
        <v>5.625</v>
      </c>
      <c r="AR10" s="285">
        <f>SUM(AN10:AQ10)</f>
        <v>22.5</v>
      </c>
      <c r="AW10" s="285"/>
      <c r="BB10" s="285"/>
      <c r="BG10" s="285"/>
      <c r="BH10" s="121"/>
      <c r="BI10" s="121"/>
      <c r="BJ10" s="121"/>
      <c r="BK10" s="121"/>
      <c r="BL10" s="120"/>
      <c r="BM10" s="121"/>
      <c r="BN10" s="121"/>
      <c r="BO10" s="121"/>
      <c r="BP10" s="121"/>
      <c r="BQ10" s="120"/>
      <c r="BR10" s="121"/>
      <c r="BS10" s="121"/>
      <c r="BT10" s="121"/>
      <c r="BU10" s="121"/>
      <c r="BV10" s="120"/>
      <c r="BW10" s="121"/>
      <c r="BX10" s="121"/>
      <c r="BY10" s="121"/>
      <c r="BZ10" s="121"/>
      <c r="CA10" s="120"/>
      <c r="CB10" s="121"/>
      <c r="CC10" s="121"/>
      <c r="CD10" s="121"/>
      <c r="CE10" s="121"/>
      <c r="CF10" s="120"/>
      <c r="CG10" s="121"/>
      <c r="CH10" s="121"/>
      <c r="CI10" s="121"/>
      <c r="CJ10" s="121"/>
      <c r="CK10" s="120"/>
      <c r="CL10" s="121"/>
      <c r="CM10" s="121"/>
      <c r="CN10" s="121"/>
      <c r="CO10" s="121"/>
      <c r="CP10" s="120"/>
      <c r="CQ10" s="121"/>
      <c r="CR10" s="121"/>
      <c r="CS10" s="121"/>
      <c r="CT10" s="121"/>
      <c r="CU10" s="120"/>
      <c r="CV10" s="121"/>
      <c r="CW10" s="121"/>
      <c r="CX10" s="121"/>
      <c r="CY10" s="121"/>
      <c r="CZ10" s="120"/>
      <c r="DA10" s="121"/>
      <c r="DB10" s="121"/>
      <c r="DC10" s="121"/>
      <c r="DD10" s="121"/>
      <c r="DE10" s="120"/>
      <c r="DF10" s="121"/>
      <c r="DG10" s="121"/>
      <c r="DH10" s="121"/>
      <c r="DI10" s="121"/>
      <c r="DJ10" s="120"/>
      <c r="DK10" s="121"/>
      <c r="DL10" s="121"/>
      <c r="DM10" s="121"/>
      <c r="DN10" s="121"/>
      <c r="DO10" s="120"/>
      <c r="DP10" s="121"/>
      <c r="DQ10" s="121"/>
      <c r="DR10" s="121"/>
      <c r="DS10" s="121"/>
      <c r="DT10" s="120"/>
      <c r="DU10" s="121"/>
      <c r="DV10" s="121"/>
      <c r="DW10" s="121"/>
      <c r="DX10" s="121"/>
      <c r="DY10" s="120"/>
      <c r="DZ10" s="120"/>
      <c r="EA10" s="120"/>
      <c r="EB10" s="120"/>
    </row>
    <row r="11" spans="1:132" s="241" customFormat="1" ht="12" hidden="1" customHeight="1" outlineLevel="1">
      <c r="B11" s="311" t="s">
        <v>334</v>
      </c>
      <c r="C11" s="285"/>
      <c r="D11" s="285"/>
      <c r="E11" s="285"/>
      <c r="F11" s="285"/>
      <c r="G11" s="285"/>
      <c r="H11" s="285"/>
      <c r="I11" s="285"/>
      <c r="N11" s="285"/>
      <c r="S11" s="285"/>
      <c r="X11" s="285"/>
      <c r="AC11" s="285"/>
      <c r="AH11" s="285"/>
      <c r="AK11" s="260">
        <f>(446.7+491.5+402.6)*(4/3)/6600*500/4</f>
        <v>33.858585858585869</v>
      </c>
      <c r="AL11" s="260">
        <f>AK11</f>
        <v>33.858585858585869</v>
      </c>
      <c r="AM11" s="285">
        <f>SUM(AI11:AL11)</f>
        <v>67.717171717171738</v>
      </c>
      <c r="AN11" s="179">
        <f>AL11</f>
        <v>33.858585858585869</v>
      </c>
      <c r="AO11" s="179">
        <f>AN11</f>
        <v>33.858585858585869</v>
      </c>
      <c r="AP11" s="179"/>
      <c r="AQ11" s="179"/>
      <c r="AR11" s="285">
        <f>SUM(AN11:AQ11)</f>
        <v>67.717171717171738</v>
      </c>
      <c r="AW11" s="285"/>
      <c r="BB11" s="285"/>
      <c r="BG11" s="285"/>
      <c r="BH11" s="121"/>
      <c r="BI11" s="121"/>
      <c r="BJ11" s="121"/>
      <c r="BK11" s="121"/>
      <c r="BL11" s="120"/>
      <c r="BM11" s="121"/>
      <c r="BN11" s="121"/>
      <c r="BO11" s="121"/>
      <c r="BP11" s="121"/>
      <c r="BQ11" s="120"/>
      <c r="BR11" s="121"/>
      <c r="BS11" s="121"/>
      <c r="BT11" s="121"/>
      <c r="BU11" s="121"/>
      <c r="BV11" s="120"/>
      <c r="BW11" s="121"/>
      <c r="BX11" s="121"/>
      <c r="BY11" s="121"/>
      <c r="BZ11" s="121"/>
      <c r="CA11" s="120"/>
      <c r="CB11" s="121"/>
      <c r="CC11" s="121"/>
      <c r="CD11" s="121"/>
      <c r="CE11" s="121"/>
      <c r="CF11" s="120"/>
      <c r="CG11" s="121"/>
      <c r="CH11" s="121"/>
      <c r="CI11" s="121"/>
      <c r="CJ11" s="121"/>
      <c r="CK11" s="120"/>
      <c r="CL11" s="121"/>
      <c r="CM11" s="121"/>
      <c r="CN11" s="121"/>
      <c r="CO11" s="121"/>
      <c r="CP11" s="120"/>
      <c r="CQ11" s="121"/>
      <c r="CR11" s="121"/>
      <c r="CS11" s="121"/>
      <c r="CT11" s="121"/>
      <c r="CU11" s="120"/>
      <c r="CV11" s="121"/>
      <c r="CW11" s="121"/>
      <c r="CX11" s="121"/>
      <c r="CY11" s="121"/>
      <c r="CZ11" s="120"/>
      <c r="DA11" s="121"/>
      <c r="DB11" s="121"/>
      <c r="DC11" s="121"/>
      <c r="DD11" s="121"/>
      <c r="DE11" s="120"/>
      <c r="DF11" s="121"/>
      <c r="DG11" s="121"/>
      <c r="DH11" s="121"/>
      <c r="DI11" s="121"/>
      <c r="DJ11" s="120"/>
      <c r="DK11" s="121"/>
      <c r="DL11" s="121"/>
      <c r="DM11" s="121"/>
      <c r="DN11" s="121"/>
      <c r="DO11" s="120"/>
      <c r="DP11" s="121"/>
      <c r="DQ11" s="121"/>
      <c r="DR11" s="121"/>
      <c r="DS11" s="121"/>
      <c r="DT11" s="120"/>
      <c r="DU11" s="121"/>
      <c r="DV11" s="121"/>
      <c r="DW11" s="121"/>
      <c r="DX11" s="121"/>
      <c r="DY11" s="120"/>
      <c r="DZ11" s="120"/>
      <c r="EA11" s="120"/>
      <c r="EB11" s="120"/>
    </row>
    <row r="12" spans="1:132" s="307" customFormat="1" ht="12" hidden="1" customHeight="1" outlineLevel="1">
      <c r="A12" s="241"/>
      <c r="B12" s="311" t="s">
        <v>152</v>
      </c>
      <c r="C12" s="180"/>
      <c r="D12" s="180"/>
      <c r="E12" s="180"/>
      <c r="F12" s="180"/>
      <c r="G12" s="180"/>
      <c r="H12" s="180"/>
      <c r="I12" s="180"/>
      <c r="J12" s="179"/>
      <c r="K12" s="179"/>
      <c r="L12" s="179"/>
      <c r="M12" s="179"/>
      <c r="N12" s="180"/>
      <c r="O12" s="179"/>
      <c r="P12" s="179"/>
      <c r="Q12" s="179"/>
      <c r="R12" s="179"/>
      <c r="S12" s="180"/>
      <c r="T12" s="179"/>
      <c r="U12" s="179"/>
      <c r="V12" s="179"/>
      <c r="W12" s="179"/>
      <c r="X12" s="180"/>
      <c r="Y12" s="179"/>
      <c r="Z12" s="179"/>
      <c r="AA12" s="179"/>
      <c r="AB12" s="179"/>
      <c r="AC12" s="180"/>
      <c r="AD12" s="179"/>
      <c r="AE12" s="179"/>
      <c r="AF12" s="179">
        <f>23.7/4*2/3</f>
        <v>3.9499999999999997</v>
      </c>
      <c r="AG12" s="179">
        <f>23.7/4</f>
        <v>5.9249999999999998</v>
      </c>
      <c r="AH12" s="175">
        <f>SUM(AD12:AG12)</f>
        <v>9.875</v>
      </c>
      <c r="AI12" s="179">
        <f>23.7/4</f>
        <v>5.9249999999999998</v>
      </c>
      <c r="AJ12" s="179">
        <f>23.7/4</f>
        <v>5.9249999999999998</v>
      </c>
      <c r="AK12" s="179">
        <f>23.7/4-AF12</f>
        <v>1.9750000000000001</v>
      </c>
      <c r="AL12" s="179"/>
      <c r="AM12" s="285">
        <f>SUM(AI12:AL12)</f>
        <v>13.824999999999999</v>
      </c>
      <c r="AN12" s="179"/>
      <c r="AO12" s="179"/>
      <c r="AP12" s="179"/>
      <c r="AQ12" s="179"/>
      <c r="AR12" s="285"/>
      <c r="AS12" s="179"/>
      <c r="AT12" s="179"/>
      <c r="AU12" s="179"/>
      <c r="AV12" s="179"/>
      <c r="AW12" s="285"/>
      <c r="AX12" s="179"/>
      <c r="AY12" s="179"/>
      <c r="AZ12" s="179"/>
      <c r="BA12" s="179"/>
      <c r="BB12" s="180"/>
      <c r="BC12" s="179"/>
      <c r="BD12" s="179"/>
      <c r="BE12" s="179"/>
      <c r="BF12" s="179"/>
      <c r="BG12" s="180"/>
      <c r="BH12" s="122"/>
      <c r="BI12" s="122"/>
      <c r="BJ12" s="122"/>
      <c r="BK12" s="122"/>
      <c r="BL12" s="123"/>
      <c r="BM12" s="122"/>
      <c r="BN12" s="122"/>
      <c r="BO12" s="122"/>
      <c r="BP12" s="122"/>
      <c r="BQ12" s="123"/>
      <c r="BR12" s="122"/>
      <c r="BS12" s="122"/>
      <c r="BT12" s="122"/>
      <c r="BU12" s="122"/>
      <c r="BV12" s="123"/>
      <c r="BW12" s="122"/>
      <c r="BX12" s="122"/>
      <c r="BY12" s="122"/>
      <c r="BZ12" s="122"/>
      <c r="CA12" s="123"/>
      <c r="CB12" s="122"/>
      <c r="CC12" s="122"/>
      <c r="CD12" s="122"/>
      <c r="CE12" s="122"/>
      <c r="CF12" s="123"/>
      <c r="CG12" s="122"/>
      <c r="CH12" s="122"/>
      <c r="CI12" s="122"/>
      <c r="CJ12" s="122"/>
      <c r="CK12" s="123"/>
      <c r="CL12" s="122"/>
      <c r="CM12" s="122"/>
      <c r="CN12" s="122"/>
      <c r="CO12" s="122"/>
      <c r="CP12" s="123"/>
      <c r="CQ12" s="122"/>
      <c r="CR12" s="122"/>
      <c r="CS12" s="122"/>
      <c r="CT12" s="122"/>
      <c r="CU12" s="123"/>
      <c r="CV12" s="122"/>
      <c r="CW12" s="122"/>
      <c r="CX12" s="122"/>
      <c r="CY12" s="122"/>
      <c r="CZ12" s="123"/>
      <c r="DA12" s="122"/>
      <c r="DB12" s="122"/>
      <c r="DC12" s="122"/>
      <c r="DD12" s="122"/>
      <c r="DE12" s="123"/>
      <c r="DF12" s="122"/>
      <c r="DG12" s="122"/>
      <c r="DH12" s="122"/>
      <c r="DI12" s="122"/>
      <c r="DJ12" s="123"/>
      <c r="DK12" s="122"/>
      <c r="DL12" s="122"/>
      <c r="DM12" s="122"/>
      <c r="DN12" s="122"/>
      <c r="DO12" s="123"/>
      <c r="DP12" s="122"/>
      <c r="DQ12" s="122"/>
      <c r="DR12" s="122"/>
      <c r="DS12" s="122"/>
      <c r="DT12" s="123"/>
      <c r="DU12" s="122"/>
      <c r="DV12" s="122"/>
      <c r="DW12" s="122"/>
      <c r="DX12" s="122"/>
      <c r="DY12" s="123"/>
      <c r="DZ12" s="123"/>
      <c r="EA12" s="123"/>
      <c r="EB12" s="123"/>
    </row>
    <row r="13" spans="1:132" s="307" customFormat="1" ht="12" hidden="1" customHeight="1" outlineLevel="1">
      <c r="A13" s="241"/>
      <c r="B13" s="311" t="s">
        <v>333</v>
      </c>
      <c r="C13" s="180"/>
      <c r="D13" s="180"/>
      <c r="E13" s="180"/>
      <c r="F13" s="180"/>
      <c r="G13" s="180"/>
      <c r="H13" s="180"/>
      <c r="I13" s="180"/>
      <c r="J13" s="179"/>
      <c r="K13" s="179"/>
      <c r="L13" s="179"/>
      <c r="M13" s="179"/>
      <c r="N13" s="180"/>
      <c r="O13" s="179"/>
      <c r="P13" s="179"/>
      <c r="Q13" s="179"/>
      <c r="R13" s="179"/>
      <c r="S13" s="180"/>
      <c r="T13" s="179"/>
      <c r="U13" s="179"/>
      <c r="V13" s="179"/>
      <c r="W13" s="179"/>
      <c r="X13" s="180"/>
      <c r="Y13" s="179"/>
      <c r="Z13" s="179"/>
      <c r="AA13" s="179"/>
      <c r="AB13" s="179"/>
      <c r="AC13" s="180"/>
      <c r="AD13" s="179"/>
      <c r="AE13" s="179"/>
      <c r="AF13" s="179">
        <f>45/4*0.5</f>
        <v>5.625</v>
      </c>
      <c r="AG13" s="179">
        <f>45/4*0.5</f>
        <v>5.625</v>
      </c>
      <c r="AH13" s="175">
        <f>SUM(AD13:AG13)</f>
        <v>11.25</v>
      </c>
      <c r="AI13" s="179">
        <f>45/4*0.5</f>
        <v>5.625</v>
      </c>
      <c r="AJ13" s="179">
        <f>45/4*0.5</f>
        <v>5.625</v>
      </c>
      <c r="AK13" s="179"/>
      <c r="AL13" s="179"/>
      <c r="AM13" s="285">
        <f>SUM(AI13:AL13)</f>
        <v>11.25</v>
      </c>
      <c r="AN13" s="179"/>
      <c r="AO13" s="179"/>
      <c r="AP13" s="179"/>
      <c r="AQ13" s="179"/>
      <c r="AR13" s="285"/>
      <c r="AS13" s="179"/>
      <c r="AT13" s="179"/>
      <c r="AU13" s="179"/>
      <c r="AV13" s="179"/>
      <c r="AW13" s="285"/>
      <c r="AX13" s="179"/>
      <c r="AY13" s="179"/>
      <c r="AZ13" s="179"/>
      <c r="BA13" s="179"/>
      <c r="BB13" s="180"/>
      <c r="BC13" s="179"/>
      <c r="BD13" s="179"/>
      <c r="BE13" s="179"/>
      <c r="BF13" s="179"/>
      <c r="BG13" s="180"/>
      <c r="BH13" s="122"/>
      <c r="BI13" s="122"/>
      <c r="BJ13" s="122"/>
      <c r="BK13" s="122"/>
      <c r="BL13" s="123"/>
      <c r="BM13" s="122"/>
      <c r="BN13" s="122"/>
      <c r="BO13" s="122"/>
      <c r="BP13" s="122"/>
      <c r="BQ13" s="123"/>
      <c r="BR13" s="122"/>
      <c r="BS13" s="122"/>
      <c r="BT13" s="122"/>
      <c r="BU13" s="122"/>
      <c r="BV13" s="123"/>
      <c r="BW13" s="122"/>
      <c r="BX13" s="122"/>
      <c r="BY13" s="122"/>
      <c r="BZ13" s="122"/>
      <c r="CA13" s="123"/>
      <c r="CB13" s="122"/>
      <c r="CC13" s="122"/>
      <c r="CD13" s="122"/>
      <c r="CE13" s="122"/>
      <c r="CF13" s="123"/>
      <c r="CG13" s="122"/>
      <c r="CH13" s="122"/>
      <c r="CI13" s="122"/>
      <c r="CJ13" s="122"/>
      <c r="CK13" s="123"/>
      <c r="CL13" s="122"/>
      <c r="CM13" s="122"/>
      <c r="CN13" s="122"/>
      <c r="CO13" s="122"/>
      <c r="CP13" s="123"/>
      <c r="CQ13" s="122"/>
      <c r="CR13" s="122"/>
      <c r="CS13" s="122"/>
      <c r="CT13" s="122"/>
      <c r="CU13" s="123"/>
      <c r="CV13" s="122"/>
      <c r="CW13" s="122"/>
      <c r="CX13" s="122"/>
      <c r="CY13" s="122"/>
      <c r="CZ13" s="123"/>
      <c r="DA13" s="122"/>
      <c r="DB13" s="122"/>
      <c r="DC13" s="122"/>
      <c r="DD13" s="122"/>
      <c r="DE13" s="123"/>
      <c r="DF13" s="122"/>
      <c r="DG13" s="122"/>
      <c r="DH13" s="122"/>
      <c r="DI13" s="122"/>
      <c r="DJ13" s="123"/>
      <c r="DK13" s="122"/>
      <c r="DL13" s="122"/>
      <c r="DM13" s="122"/>
      <c r="DN13" s="122"/>
      <c r="DO13" s="123"/>
      <c r="DP13" s="122"/>
      <c r="DQ13" s="122"/>
      <c r="DR13" s="122"/>
      <c r="DS13" s="122"/>
      <c r="DT13" s="123"/>
      <c r="DU13" s="122"/>
      <c r="DV13" s="122"/>
      <c r="DW13" s="122"/>
      <c r="DX13" s="122"/>
      <c r="DY13" s="123"/>
      <c r="DZ13" s="123"/>
      <c r="EA13" s="123"/>
      <c r="EB13" s="123"/>
    </row>
    <row r="14" spans="1:132" s="307" customFormat="1" ht="12" hidden="1" customHeight="1" outlineLevel="1">
      <c r="A14" s="241"/>
      <c r="B14" s="311" t="s">
        <v>154</v>
      </c>
      <c r="C14" s="180"/>
      <c r="D14" s="180"/>
      <c r="E14" s="180"/>
      <c r="F14" s="180"/>
      <c r="G14" s="180"/>
      <c r="H14" s="180"/>
      <c r="I14" s="180"/>
      <c r="J14" s="179"/>
      <c r="K14" s="179"/>
      <c r="L14" s="179"/>
      <c r="M14" s="179"/>
      <c r="N14" s="180"/>
      <c r="O14" s="179"/>
      <c r="P14" s="179"/>
      <c r="Q14" s="179"/>
      <c r="R14" s="179"/>
      <c r="S14" s="180"/>
      <c r="T14" s="179"/>
      <c r="U14" s="179"/>
      <c r="V14" s="179"/>
      <c r="W14" s="179"/>
      <c r="X14" s="180"/>
      <c r="Y14" s="179"/>
      <c r="Z14" s="179"/>
      <c r="AA14" s="179"/>
      <c r="AB14" s="179"/>
      <c r="AC14" s="180"/>
      <c r="AD14" s="179"/>
      <c r="AE14" s="179">
        <f>10/4</f>
        <v>2.5</v>
      </c>
      <c r="AF14" s="179">
        <f>AE14</f>
        <v>2.5</v>
      </c>
      <c r="AG14" s="179">
        <f>AF14</f>
        <v>2.5</v>
      </c>
      <c r="AH14" s="175">
        <f>SUM(AD14:AG14)</f>
        <v>7.5</v>
      </c>
      <c r="AI14" s="179">
        <f>AG14</f>
        <v>2.5</v>
      </c>
      <c r="AJ14" s="179"/>
      <c r="AK14" s="179"/>
      <c r="AL14" s="179"/>
      <c r="AM14" s="285">
        <f>SUM(AI14:AL14)</f>
        <v>2.5</v>
      </c>
      <c r="AN14" s="179"/>
      <c r="AO14" s="179"/>
      <c r="AP14" s="179"/>
      <c r="AQ14" s="179"/>
      <c r="AR14" s="285"/>
      <c r="AS14" s="179"/>
      <c r="AT14" s="179"/>
      <c r="AU14" s="179"/>
      <c r="AV14" s="179"/>
      <c r="AW14" s="285"/>
      <c r="AX14" s="179"/>
      <c r="AY14" s="179"/>
      <c r="AZ14" s="179"/>
      <c r="BA14" s="179"/>
      <c r="BB14" s="180"/>
      <c r="BC14" s="179"/>
      <c r="BD14" s="179"/>
      <c r="BE14" s="179"/>
      <c r="BF14" s="179"/>
      <c r="BG14" s="180"/>
      <c r="BH14" s="122"/>
      <c r="BI14" s="122"/>
      <c r="BJ14" s="122"/>
      <c r="BK14" s="122"/>
      <c r="BL14" s="123"/>
      <c r="BM14" s="122"/>
      <c r="BN14" s="122"/>
      <c r="BO14" s="122"/>
      <c r="BP14" s="122"/>
      <c r="BQ14" s="123"/>
      <c r="BR14" s="122"/>
      <c r="BS14" s="122"/>
      <c r="BT14" s="122"/>
      <c r="BU14" s="122"/>
      <c r="BV14" s="123"/>
      <c r="BW14" s="122"/>
      <c r="BX14" s="122"/>
      <c r="BY14" s="122"/>
      <c r="BZ14" s="122"/>
      <c r="CA14" s="123"/>
      <c r="CB14" s="122"/>
      <c r="CC14" s="122"/>
      <c r="CD14" s="122"/>
      <c r="CE14" s="122"/>
      <c r="CF14" s="123"/>
      <c r="CG14" s="122"/>
      <c r="CH14" s="122"/>
      <c r="CI14" s="122"/>
      <c r="CJ14" s="122"/>
      <c r="CK14" s="123"/>
      <c r="CL14" s="122"/>
      <c r="CM14" s="122"/>
      <c r="CN14" s="122"/>
      <c r="CO14" s="122"/>
      <c r="CP14" s="123"/>
      <c r="CQ14" s="122"/>
      <c r="CR14" s="122"/>
      <c r="CS14" s="122"/>
      <c r="CT14" s="122"/>
      <c r="CU14" s="123"/>
      <c r="CV14" s="122"/>
      <c r="CW14" s="122"/>
      <c r="CX14" s="122"/>
      <c r="CY14" s="122"/>
      <c r="CZ14" s="123"/>
      <c r="DA14" s="122"/>
      <c r="DB14" s="122"/>
      <c r="DC14" s="122"/>
      <c r="DD14" s="122"/>
      <c r="DE14" s="123"/>
      <c r="DF14" s="122"/>
      <c r="DG14" s="122"/>
      <c r="DH14" s="122"/>
      <c r="DI14" s="122"/>
      <c r="DJ14" s="123"/>
      <c r="DK14" s="122"/>
      <c r="DL14" s="122"/>
      <c r="DM14" s="122"/>
      <c r="DN14" s="122"/>
      <c r="DO14" s="123"/>
      <c r="DP14" s="122"/>
      <c r="DQ14" s="122"/>
      <c r="DR14" s="122"/>
      <c r="DS14" s="122"/>
      <c r="DT14" s="123"/>
      <c r="DU14" s="122"/>
      <c r="DV14" s="122"/>
      <c r="DW14" s="122"/>
      <c r="DX14" s="122"/>
      <c r="DY14" s="123"/>
      <c r="DZ14" s="123"/>
      <c r="EA14" s="123"/>
      <c r="EB14" s="123"/>
    </row>
    <row r="15" spans="1:132" s="307" customFormat="1" ht="12" hidden="1" customHeight="1" outlineLevel="1">
      <c r="A15" s="241"/>
      <c r="B15" s="311" t="s">
        <v>155</v>
      </c>
      <c r="C15" s="180"/>
      <c r="D15" s="180"/>
      <c r="E15" s="180"/>
      <c r="F15" s="180"/>
      <c r="G15" s="180"/>
      <c r="H15" s="180"/>
      <c r="I15" s="180"/>
      <c r="J15" s="179"/>
      <c r="K15" s="179"/>
      <c r="L15" s="179"/>
      <c r="M15" s="179"/>
      <c r="N15" s="180"/>
      <c r="O15" s="179"/>
      <c r="P15" s="179"/>
      <c r="Q15" s="179"/>
      <c r="R15" s="179"/>
      <c r="S15" s="180"/>
      <c r="T15" s="179"/>
      <c r="U15" s="179"/>
      <c r="V15" s="179"/>
      <c r="W15" s="179"/>
      <c r="X15" s="180"/>
      <c r="Y15" s="179"/>
      <c r="Z15" s="179">
        <f>(32/4*2/3)/10</f>
        <v>0.53333333333333333</v>
      </c>
      <c r="AA15" s="179">
        <f>(32/4)/10</f>
        <v>0.8</v>
      </c>
      <c r="AB15" s="179">
        <v>0.8</v>
      </c>
      <c r="AC15" s="175">
        <f>SUM(Y15:AB15)</f>
        <v>2.1333333333333337</v>
      </c>
      <c r="AD15" s="179">
        <v>0.8</v>
      </c>
      <c r="AE15" s="179">
        <f>(8*1/3)/10</f>
        <v>0.26666666666666666</v>
      </c>
      <c r="AF15" s="179"/>
      <c r="AG15" s="179"/>
      <c r="AH15" s="175">
        <f>SUM(AD15:AG15)</f>
        <v>1.0666666666666667</v>
      </c>
      <c r="AI15" s="179"/>
      <c r="AJ15" s="179"/>
      <c r="AK15" s="179"/>
      <c r="AL15" s="179"/>
      <c r="AM15" s="285"/>
      <c r="AN15" s="179"/>
      <c r="AO15" s="179"/>
      <c r="AP15" s="179"/>
      <c r="AQ15" s="179"/>
      <c r="AR15" s="285"/>
      <c r="AS15" s="179"/>
      <c r="AT15" s="179"/>
      <c r="AU15" s="179"/>
      <c r="AV15" s="179"/>
      <c r="AW15" s="285"/>
      <c r="AX15" s="179"/>
      <c r="AY15" s="179"/>
      <c r="AZ15" s="179"/>
      <c r="BA15" s="179"/>
      <c r="BB15" s="180"/>
      <c r="BC15" s="179"/>
      <c r="BD15" s="179"/>
      <c r="BE15" s="179"/>
      <c r="BF15" s="179"/>
      <c r="BG15" s="180"/>
      <c r="BH15" s="122"/>
      <c r="BI15" s="122"/>
      <c r="BJ15" s="122"/>
      <c r="BK15" s="122"/>
      <c r="BL15" s="123"/>
      <c r="BM15" s="122"/>
      <c r="BN15" s="122"/>
      <c r="BO15" s="122"/>
      <c r="BP15" s="122"/>
      <c r="BQ15" s="123"/>
      <c r="BR15" s="122"/>
      <c r="BS15" s="122"/>
      <c r="BT15" s="122"/>
      <c r="BU15" s="122"/>
      <c r="BV15" s="123"/>
      <c r="BW15" s="122"/>
      <c r="BX15" s="122"/>
      <c r="BY15" s="122"/>
      <c r="BZ15" s="122"/>
      <c r="CA15" s="123"/>
      <c r="CB15" s="122"/>
      <c r="CC15" s="122"/>
      <c r="CD15" s="122"/>
      <c r="CE15" s="122"/>
      <c r="CF15" s="123"/>
      <c r="CG15" s="122"/>
      <c r="CH15" s="122"/>
      <c r="CI15" s="122"/>
      <c r="CJ15" s="122"/>
      <c r="CK15" s="123"/>
      <c r="CL15" s="122"/>
      <c r="CM15" s="122"/>
      <c r="CN15" s="122"/>
      <c r="CO15" s="122"/>
      <c r="CP15" s="123"/>
      <c r="CQ15" s="122"/>
      <c r="CR15" s="122"/>
      <c r="CS15" s="122"/>
      <c r="CT15" s="122"/>
      <c r="CU15" s="123"/>
      <c r="CV15" s="122"/>
      <c r="CW15" s="122"/>
      <c r="CX15" s="122"/>
      <c r="CY15" s="122"/>
      <c r="CZ15" s="123"/>
      <c r="DA15" s="122"/>
      <c r="DB15" s="122"/>
      <c r="DC15" s="122"/>
      <c r="DD15" s="122"/>
      <c r="DE15" s="123"/>
      <c r="DF15" s="122"/>
      <c r="DG15" s="122"/>
      <c r="DH15" s="122"/>
      <c r="DI15" s="122"/>
      <c r="DJ15" s="123"/>
      <c r="DK15" s="122"/>
      <c r="DL15" s="122"/>
      <c r="DM15" s="122"/>
      <c r="DN15" s="122"/>
      <c r="DO15" s="123"/>
      <c r="DP15" s="122"/>
      <c r="DQ15" s="122"/>
      <c r="DR15" s="122"/>
      <c r="DS15" s="122"/>
      <c r="DT15" s="123"/>
      <c r="DU15" s="122"/>
      <c r="DV15" s="122"/>
      <c r="DW15" s="122"/>
      <c r="DX15" s="122"/>
      <c r="DY15" s="123"/>
      <c r="DZ15" s="123"/>
      <c r="EA15" s="123"/>
      <c r="EB15" s="123"/>
    </row>
    <row r="16" spans="1:132" s="307" customFormat="1" ht="12" hidden="1" customHeight="1" outlineLevel="1">
      <c r="A16" s="241"/>
      <c r="B16" s="311" t="s">
        <v>156</v>
      </c>
      <c r="C16" s="180"/>
      <c r="D16" s="180"/>
      <c r="E16" s="180"/>
      <c r="F16" s="180"/>
      <c r="G16" s="180"/>
      <c r="H16" s="180"/>
      <c r="I16" s="180"/>
      <c r="J16" s="179"/>
      <c r="K16" s="179"/>
      <c r="L16" s="179"/>
      <c r="M16" s="179"/>
      <c r="N16" s="180"/>
      <c r="O16" s="179"/>
      <c r="P16" s="179"/>
      <c r="Q16" s="179"/>
      <c r="R16" s="179"/>
      <c r="S16" s="175"/>
      <c r="T16" s="179"/>
      <c r="U16" s="179"/>
      <c r="V16" s="179"/>
      <c r="W16" s="179"/>
      <c r="X16" s="180"/>
      <c r="Y16" s="179"/>
      <c r="Z16" s="179">
        <f>567/1755*74/4</f>
        <v>5.976923076923077</v>
      </c>
      <c r="AA16" s="179">
        <f>Z16</f>
        <v>5.976923076923077</v>
      </c>
      <c r="AB16" s="179">
        <f>AA16</f>
        <v>5.976923076923077</v>
      </c>
      <c r="AC16" s="175">
        <f>SUM(Y16:AB16)</f>
        <v>17.930769230769229</v>
      </c>
      <c r="AD16" s="179">
        <f>AB16</f>
        <v>5.976923076923077</v>
      </c>
      <c r="AE16" s="179"/>
      <c r="AF16" s="179"/>
      <c r="AG16" s="179"/>
      <c r="AH16" s="175">
        <f>SUM(AD16:AG16)</f>
        <v>5.976923076923077</v>
      </c>
      <c r="AI16" s="179"/>
      <c r="AJ16" s="179"/>
      <c r="AK16" s="179"/>
      <c r="AL16" s="179"/>
      <c r="AM16" s="285"/>
      <c r="AN16" s="179"/>
      <c r="AO16" s="179"/>
      <c r="AP16" s="179"/>
      <c r="AQ16" s="179"/>
      <c r="AR16" s="285"/>
      <c r="AS16" s="179"/>
      <c r="AT16" s="179"/>
      <c r="AU16" s="179"/>
      <c r="AV16" s="179"/>
      <c r="AW16" s="285"/>
      <c r="AX16" s="179"/>
      <c r="AY16" s="179"/>
      <c r="AZ16" s="179"/>
      <c r="BA16" s="179"/>
      <c r="BB16" s="180"/>
      <c r="BC16" s="179"/>
      <c r="BD16" s="179"/>
      <c r="BE16" s="179"/>
      <c r="BF16" s="179"/>
      <c r="BG16" s="180"/>
      <c r="BH16" s="122"/>
      <c r="BI16" s="122"/>
      <c r="BJ16" s="122"/>
      <c r="BK16" s="122"/>
      <c r="BL16" s="123"/>
      <c r="BM16" s="122"/>
      <c r="BN16" s="122"/>
      <c r="BO16" s="122"/>
      <c r="BP16" s="122"/>
      <c r="BQ16" s="123"/>
      <c r="BR16" s="122"/>
      <c r="BS16" s="122"/>
      <c r="BT16" s="122"/>
      <c r="BU16" s="122"/>
      <c r="BV16" s="123"/>
      <c r="BW16" s="122"/>
      <c r="BX16" s="122"/>
      <c r="BY16" s="122"/>
      <c r="BZ16" s="122"/>
      <c r="CA16" s="123"/>
      <c r="CB16" s="122"/>
      <c r="CC16" s="122"/>
      <c r="CD16" s="122"/>
      <c r="CE16" s="122"/>
      <c r="CF16" s="123"/>
      <c r="CG16" s="122"/>
      <c r="CH16" s="122"/>
      <c r="CI16" s="122"/>
      <c r="CJ16" s="122"/>
      <c r="CK16" s="123"/>
      <c r="CL16" s="122"/>
      <c r="CM16" s="122"/>
      <c r="CN16" s="122"/>
      <c r="CO16" s="122"/>
      <c r="CP16" s="123"/>
      <c r="CQ16" s="122"/>
      <c r="CR16" s="122"/>
      <c r="CS16" s="122"/>
      <c r="CT16" s="122"/>
      <c r="CU16" s="123"/>
      <c r="CV16" s="122"/>
      <c r="CW16" s="122"/>
      <c r="CX16" s="122"/>
      <c r="CY16" s="122"/>
      <c r="CZ16" s="123"/>
      <c r="DA16" s="122"/>
      <c r="DB16" s="122"/>
      <c r="DC16" s="122"/>
      <c r="DD16" s="122"/>
      <c r="DE16" s="123"/>
      <c r="DF16" s="122"/>
      <c r="DG16" s="122"/>
      <c r="DH16" s="122"/>
      <c r="DI16" s="122"/>
      <c r="DJ16" s="123"/>
      <c r="DK16" s="122"/>
      <c r="DL16" s="122"/>
      <c r="DM16" s="122"/>
      <c r="DN16" s="122"/>
      <c r="DO16" s="123"/>
      <c r="DP16" s="122"/>
      <c r="DQ16" s="122"/>
      <c r="DR16" s="122"/>
      <c r="DS16" s="122"/>
      <c r="DT16" s="123"/>
      <c r="DU16" s="122"/>
      <c r="DV16" s="122"/>
      <c r="DW16" s="122"/>
      <c r="DX16" s="122"/>
      <c r="DY16" s="123"/>
      <c r="DZ16" s="123"/>
      <c r="EA16" s="123"/>
      <c r="EB16" s="123"/>
    </row>
    <row r="17" spans="1:132" s="307" customFormat="1" ht="12" hidden="1" customHeight="1" outlineLevel="1">
      <c r="A17" s="241"/>
      <c r="B17" s="311" t="s">
        <v>157</v>
      </c>
      <c r="C17" s="180"/>
      <c r="D17" s="180"/>
      <c r="E17" s="180"/>
      <c r="F17" s="180"/>
      <c r="G17" s="180"/>
      <c r="H17" s="180"/>
      <c r="I17" s="180"/>
      <c r="J17" s="179"/>
      <c r="K17" s="179"/>
      <c r="L17" s="179"/>
      <c r="M17" s="179"/>
      <c r="N17" s="180"/>
      <c r="O17" s="179"/>
      <c r="P17" s="179"/>
      <c r="Q17" s="179"/>
      <c r="R17" s="179"/>
      <c r="S17" s="175"/>
      <c r="T17" s="179"/>
      <c r="U17" s="179"/>
      <c r="V17" s="179"/>
      <c r="W17" s="179">
        <f>1370/4</f>
        <v>342.5</v>
      </c>
      <c r="X17" s="175">
        <f>SUM(T17:W17)</f>
        <v>342.5</v>
      </c>
      <c r="Y17" s="179">
        <f>1370/4</f>
        <v>342.5</v>
      </c>
      <c r="Z17" s="179">
        <f>1370/4</f>
        <v>342.5</v>
      </c>
      <c r="AA17" s="179">
        <f>1370/4</f>
        <v>342.5</v>
      </c>
      <c r="AB17" s="179"/>
      <c r="AC17" s="175">
        <f>SUM(Y17:AB17)</f>
        <v>1027.5</v>
      </c>
      <c r="AD17" s="179"/>
      <c r="AE17" s="179"/>
      <c r="AF17" s="179"/>
      <c r="AG17" s="179"/>
      <c r="AH17" s="180"/>
      <c r="AI17" s="179"/>
      <c r="AJ17" s="179"/>
      <c r="AK17" s="179"/>
      <c r="AL17" s="179"/>
      <c r="AM17" s="285"/>
      <c r="AN17" s="179"/>
      <c r="AO17" s="179"/>
      <c r="AP17" s="179"/>
      <c r="AQ17" s="179"/>
      <c r="AR17" s="285"/>
      <c r="AS17" s="179"/>
      <c r="AT17" s="179"/>
      <c r="AU17" s="179"/>
      <c r="AV17" s="179"/>
      <c r="AW17" s="285"/>
      <c r="AX17" s="179"/>
      <c r="AY17" s="179"/>
      <c r="AZ17" s="179"/>
      <c r="BA17" s="179"/>
      <c r="BB17" s="180"/>
      <c r="BC17" s="179"/>
      <c r="BD17" s="179"/>
      <c r="BE17" s="179"/>
      <c r="BF17" s="179"/>
      <c r="BG17" s="180"/>
      <c r="BH17" s="122"/>
      <c r="BI17" s="122"/>
      <c r="BJ17" s="122"/>
      <c r="BK17" s="122"/>
      <c r="BL17" s="123"/>
      <c r="BM17" s="122"/>
      <c r="BN17" s="122"/>
      <c r="BO17" s="122"/>
      <c r="BP17" s="122"/>
      <c r="BQ17" s="123"/>
      <c r="BR17" s="122"/>
      <c r="BS17" s="122"/>
      <c r="BT17" s="122"/>
      <c r="BU17" s="122"/>
      <c r="BV17" s="123"/>
      <c r="BW17" s="122"/>
      <c r="BX17" s="122"/>
      <c r="BY17" s="122"/>
      <c r="BZ17" s="122"/>
      <c r="CA17" s="123"/>
      <c r="CB17" s="122"/>
      <c r="CC17" s="122"/>
      <c r="CD17" s="122"/>
      <c r="CE17" s="122"/>
      <c r="CF17" s="123"/>
      <c r="CG17" s="122"/>
      <c r="CH17" s="122"/>
      <c r="CI17" s="122"/>
      <c r="CJ17" s="122"/>
      <c r="CK17" s="123"/>
      <c r="CL17" s="122"/>
      <c r="CM17" s="122"/>
      <c r="CN17" s="122"/>
      <c r="CO17" s="122"/>
      <c r="CP17" s="123"/>
      <c r="CQ17" s="122"/>
      <c r="CR17" s="122"/>
      <c r="CS17" s="122"/>
      <c r="CT17" s="122"/>
      <c r="CU17" s="123"/>
      <c r="CV17" s="122"/>
      <c r="CW17" s="122"/>
      <c r="CX17" s="122"/>
      <c r="CY17" s="122"/>
      <c r="CZ17" s="123"/>
      <c r="DA17" s="122"/>
      <c r="DB17" s="122"/>
      <c r="DC17" s="122"/>
      <c r="DD17" s="122"/>
      <c r="DE17" s="123"/>
      <c r="DF17" s="122"/>
      <c r="DG17" s="122"/>
      <c r="DH17" s="122"/>
      <c r="DI17" s="122"/>
      <c r="DJ17" s="123"/>
      <c r="DK17" s="122"/>
      <c r="DL17" s="122"/>
      <c r="DM17" s="122"/>
      <c r="DN17" s="122"/>
      <c r="DO17" s="123"/>
      <c r="DP17" s="122"/>
      <c r="DQ17" s="122"/>
      <c r="DR17" s="122"/>
      <c r="DS17" s="122"/>
      <c r="DT17" s="123"/>
      <c r="DU17" s="122"/>
      <c r="DV17" s="122"/>
      <c r="DW17" s="122"/>
      <c r="DX17" s="122"/>
      <c r="DY17" s="123"/>
      <c r="DZ17" s="123"/>
      <c r="EA17" s="123"/>
      <c r="EB17" s="123"/>
    </row>
    <row r="18" spans="1:132" s="307" customFormat="1" ht="12" hidden="1" customHeight="1" outlineLevel="1">
      <c r="A18" s="241"/>
      <c r="B18" s="311" t="s">
        <v>158</v>
      </c>
      <c r="C18" s="180"/>
      <c r="D18" s="180"/>
      <c r="E18" s="180"/>
      <c r="F18" s="180"/>
      <c r="G18" s="180"/>
      <c r="H18" s="180"/>
      <c r="I18" s="180"/>
      <c r="J18" s="179"/>
      <c r="K18" s="179"/>
      <c r="L18" s="179"/>
      <c r="M18" s="179"/>
      <c r="N18" s="175"/>
      <c r="O18" s="179"/>
      <c r="P18" s="179"/>
      <c r="Q18" s="179"/>
      <c r="R18" s="179"/>
      <c r="S18" s="175"/>
      <c r="T18" s="179"/>
      <c r="U18" s="179"/>
      <c r="V18" s="179">
        <f>33.2/4</f>
        <v>8.3000000000000007</v>
      </c>
      <c r="W18" s="179">
        <f>33.2/4</f>
        <v>8.3000000000000007</v>
      </c>
      <c r="X18" s="175">
        <f>SUM(T18:W18)</f>
        <v>16.600000000000001</v>
      </c>
      <c r="Y18" s="179">
        <f>33.2/4</f>
        <v>8.3000000000000007</v>
      </c>
      <c r="Z18" s="179">
        <f>33.2/4</f>
        <v>8.3000000000000007</v>
      </c>
      <c r="AA18" s="179"/>
      <c r="AB18" s="179"/>
      <c r="AC18" s="175">
        <f>SUM(Y18:AB18)</f>
        <v>16.600000000000001</v>
      </c>
      <c r="AD18" s="179"/>
      <c r="AE18" s="179"/>
      <c r="AF18" s="179"/>
      <c r="AG18" s="179"/>
      <c r="AH18" s="180"/>
      <c r="AI18" s="179"/>
      <c r="AJ18" s="179"/>
      <c r="AK18" s="179"/>
      <c r="AL18" s="179"/>
      <c r="AM18" s="285"/>
      <c r="AN18" s="179"/>
      <c r="AO18" s="179"/>
      <c r="AP18" s="179"/>
      <c r="AQ18" s="179"/>
      <c r="AR18" s="285"/>
      <c r="AS18" s="179"/>
      <c r="AT18" s="179"/>
      <c r="AU18" s="179"/>
      <c r="AV18" s="179"/>
      <c r="AW18" s="285"/>
      <c r="AX18" s="179"/>
      <c r="AY18" s="179"/>
      <c r="AZ18" s="179"/>
      <c r="BA18" s="179"/>
      <c r="BB18" s="180"/>
      <c r="BC18" s="179"/>
      <c r="BD18" s="179"/>
      <c r="BE18" s="179"/>
      <c r="BF18" s="179"/>
      <c r="BG18" s="180"/>
      <c r="BH18" s="122"/>
      <c r="BI18" s="122"/>
      <c r="BJ18" s="122"/>
      <c r="BK18" s="122"/>
      <c r="BL18" s="123"/>
      <c r="BM18" s="122"/>
      <c r="BN18" s="122"/>
      <c r="BO18" s="122"/>
      <c r="BP18" s="122"/>
      <c r="BQ18" s="123"/>
      <c r="BR18" s="122"/>
      <c r="BS18" s="122"/>
      <c r="BT18" s="122"/>
      <c r="BU18" s="122"/>
      <c r="BV18" s="123"/>
      <c r="BW18" s="122"/>
      <c r="BX18" s="122"/>
      <c r="BY18" s="122"/>
      <c r="BZ18" s="122"/>
      <c r="CA18" s="123"/>
      <c r="CB18" s="122"/>
      <c r="CC18" s="122"/>
      <c r="CD18" s="122"/>
      <c r="CE18" s="122"/>
      <c r="CF18" s="123"/>
      <c r="CG18" s="122"/>
      <c r="CH18" s="122"/>
      <c r="CI18" s="122"/>
      <c r="CJ18" s="122"/>
      <c r="CK18" s="123"/>
      <c r="CL18" s="122"/>
      <c r="CM18" s="122"/>
      <c r="CN18" s="122"/>
      <c r="CO18" s="122"/>
      <c r="CP18" s="123"/>
      <c r="CQ18" s="122"/>
      <c r="CR18" s="122"/>
      <c r="CS18" s="122"/>
      <c r="CT18" s="122"/>
      <c r="CU18" s="123"/>
      <c r="CV18" s="122"/>
      <c r="CW18" s="122"/>
      <c r="CX18" s="122"/>
      <c r="CY18" s="122"/>
      <c r="CZ18" s="123"/>
      <c r="DA18" s="122"/>
      <c r="DB18" s="122"/>
      <c r="DC18" s="122"/>
      <c r="DD18" s="122"/>
      <c r="DE18" s="123"/>
      <c r="DF18" s="122"/>
      <c r="DG18" s="122"/>
      <c r="DH18" s="122"/>
      <c r="DI18" s="122"/>
      <c r="DJ18" s="123"/>
      <c r="DK18" s="122"/>
      <c r="DL18" s="122"/>
      <c r="DM18" s="122"/>
      <c r="DN18" s="122"/>
      <c r="DO18" s="123"/>
      <c r="DP18" s="122"/>
      <c r="DQ18" s="122"/>
      <c r="DR18" s="122"/>
      <c r="DS18" s="122"/>
      <c r="DT18" s="123"/>
      <c r="DU18" s="122"/>
      <c r="DV18" s="122"/>
      <c r="DW18" s="122"/>
      <c r="DX18" s="122"/>
      <c r="DY18" s="123"/>
      <c r="DZ18" s="123"/>
      <c r="EA18" s="123"/>
      <c r="EB18" s="123"/>
    </row>
    <row r="19" spans="1:132" s="307" customFormat="1" ht="12" hidden="1" customHeight="1" outlineLevel="1">
      <c r="A19" s="241"/>
      <c r="B19" s="311" t="s">
        <v>162</v>
      </c>
      <c r="C19" s="180"/>
      <c r="D19" s="180"/>
      <c r="E19" s="180"/>
      <c r="F19" s="180"/>
      <c r="G19" s="180"/>
      <c r="H19" s="180">
        <f>2/12*80</f>
        <v>13.333333333333332</v>
      </c>
      <c r="I19" s="180">
        <f>80*10/12</f>
        <v>66.666666666666671</v>
      </c>
      <c r="J19" s="179"/>
      <c r="K19" s="179"/>
      <c r="L19" s="179"/>
      <c r="M19" s="179"/>
      <c r="N19" s="175"/>
      <c r="O19" s="179"/>
      <c r="P19" s="179"/>
      <c r="Q19" s="179"/>
      <c r="R19" s="179"/>
      <c r="S19" s="175"/>
      <c r="T19" s="179"/>
      <c r="U19" s="179"/>
      <c r="V19" s="179"/>
      <c r="W19" s="179"/>
      <c r="X19" s="180"/>
      <c r="Y19" s="179"/>
      <c r="Z19" s="179"/>
      <c r="AA19" s="179"/>
      <c r="AB19" s="179"/>
      <c r="AC19" s="180"/>
      <c r="AD19" s="179"/>
      <c r="AE19" s="179"/>
      <c r="AF19" s="179"/>
      <c r="AG19" s="179"/>
      <c r="AH19" s="180"/>
      <c r="AI19" s="179"/>
      <c r="AJ19" s="179"/>
      <c r="AK19" s="179"/>
      <c r="AL19" s="179"/>
      <c r="AM19" s="285"/>
      <c r="AN19" s="179"/>
      <c r="AO19" s="179"/>
      <c r="AP19" s="179"/>
      <c r="AQ19" s="179"/>
      <c r="AR19" s="285"/>
      <c r="AS19" s="179"/>
      <c r="AT19" s="179"/>
      <c r="AU19" s="179"/>
      <c r="AV19" s="179"/>
      <c r="AW19" s="285"/>
      <c r="AX19" s="179"/>
      <c r="AY19" s="179"/>
      <c r="AZ19" s="179"/>
      <c r="BA19" s="179"/>
      <c r="BB19" s="180"/>
      <c r="BC19" s="179"/>
      <c r="BD19" s="179"/>
      <c r="BE19" s="179"/>
      <c r="BF19" s="179"/>
      <c r="BG19" s="180"/>
      <c r="BH19" s="122"/>
      <c r="BI19" s="122"/>
      <c r="BJ19" s="122"/>
      <c r="BK19" s="122"/>
      <c r="BL19" s="123"/>
      <c r="BM19" s="122"/>
      <c r="BN19" s="122"/>
      <c r="BO19" s="122"/>
      <c r="BP19" s="122"/>
      <c r="BQ19" s="123"/>
      <c r="BR19" s="122"/>
      <c r="BS19" s="122"/>
      <c r="BT19" s="122"/>
      <c r="BU19" s="122"/>
      <c r="BV19" s="123"/>
      <c r="BW19" s="122"/>
      <c r="BX19" s="122"/>
      <c r="BY19" s="122"/>
      <c r="BZ19" s="122"/>
      <c r="CA19" s="123"/>
      <c r="CB19" s="122"/>
      <c r="CC19" s="122"/>
      <c r="CD19" s="122"/>
      <c r="CE19" s="122"/>
      <c r="CF19" s="123"/>
      <c r="CG19" s="122"/>
      <c r="CH19" s="122"/>
      <c r="CI19" s="122"/>
      <c r="CJ19" s="122"/>
      <c r="CK19" s="123"/>
      <c r="CL19" s="122"/>
      <c r="CM19" s="122"/>
      <c r="CN19" s="122"/>
      <c r="CO19" s="122"/>
      <c r="CP19" s="123"/>
      <c r="CQ19" s="122"/>
      <c r="CR19" s="122"/>
      <c r="CS19" s="122"/>
      <c r="CT19" s="122"/>
      <c r="CU19" s="123"/>
      <c r="CV19" s="122"/>
      <c r="CW19" s="122"/>
      <c r="CX19" s="122"/>
      <c r="CY19" s="122"/>
      <c r="CZ19" s="123"/>
      <c r="DA19" s="122"/>
      <c r="DB19" s="122"/>
      <c r="DC19" s="122"/>
      <c r="DD19" s="122"/>
      <c r="DE19" s="123"/>
      <c r="DF19" s="122"/>
      <c r="DG19" s="122"/>
      <c r="DH19" s="122"/>
      <c r="DI19" s="122"/>
      <c r="DJ19" s="123"/>
      <c r="DK19" s="122"/>
      <c r="DL19" s="122"/>
      <c r="DM19" s="122"/>
      <c r="DN19" s="122"/>
      <c r="DO19" s="123"/>
      <c r="DP19" s="122"/>
      <c r="DQ19" s="122"/>
      <c r="DR19" s="122"/>
      <c r="DS19" s="122"/>
      <c r="DT19" s="123"/>
      <c r="DU19" s="122"/>
      <c r="DV19" s="122"/>
      <c r="DW19" s="122"/>
      <c r="DX19" s="122"/>
      <c r="DY19" s="123"/>
      <c r="DZ19" s="123"/>
      <c r="EA19" s="123"/>
      <c r="EB19" s="123"/>
    </row>
    <row r="20" spans="1:132" s="307" customFormat="1" ht="12" hidden="1" customHeight="1" outlineLevel="1">
      <c r="A20" s="241"/>
      <c r="B20" s="311" t="s">
        <v>161</v>
      </c>
      <c r="C20" s="180"/>
      <c r="D20" s="180"/>
      <c r="E20" s="180"/>
      <c r="F20" s="180"/>
      <c r="G20" s="180">
        <f>14*5/12</f>
        <v>5.833333333333333</v>
      </c>
      <c r="H20" s="180">
        <f>14*7/12</f>
        <v>8.1666666666666661</v>
      </c>
      <c r="I20" s="180"/>
      <c r="J20" s="179"/>
      <c r="K20" s="179"/>
      <c r="L20" s="179"/>
      <c r="M20" s="179"/>
      <c r="N20" s="175"/>
      <c r="O20" s="179"/>
      <c r="P20" s="179"/>
      <c r="Q20" s="179"/>
      <c r="R20" s="179"/>
      <c r="S20" s="175"/>
      <c r="T20" s="179"/>
      <c r="U20" s="179"/>
      <c r="V20" s="179"/>
      <c r="W20" s="179"/>
      <c r="X20" s="180"/>
      <c r="Y20" s="179"/>
      <c r="Z20" s="179"/>
      <c r="AA20" s="179"/>
      <c r="AB20" s="179"/>
      <c r="AC20" s="180"/>
      <c r="AD20" s="179"/>
      <c r="AE20" s="179"/>
      <c r="AF20" s="179"/>
      <c r="AG20" s="179"/>
      <c r="AH20" s="180"/>
      <c r="AI20" s="179"/>
      <c r="AJ20" s="179"/>
      <c r="AK20" s="179"/>
      <c r="AL20" s="179"/>
      <c r="AM20" s="285"/>
      <c r="AN20" s="179"/>
      <c r="AO20" s="179"/>
      <c r="AP20" s="179"/>
      <c r="AQ20" s="179"/>
      <c r="AR20" s="285"/>
      <c r="AS20" s="179"/>
      <c r="AT20" s="179"/>
      <c r="AU20" s="179"/>
      <c r="AV20" s="179"/>
      <c r="AW20" s="285"/>
      <c r="AX20" s="179"/>
      <c r="AY20" s="179"/>
      <c r="AZ20" s="179"/>
      <c r="BA20" s="179"/>
      <c r="BB20" s="180"/>
      <c r="BC20" s="179"/>
      <c r="BD20" s="179"/>
      <c r="BE20" s="179"/>
      <c r="BF20" s="179"/>
      <c r="BG20" s="180"/>
      <c r="BH20" s="122"/>
      <c r="BI20" s="122"/>
      <c r="BJ20" s="122"/>
      <c r="BK20" s="122"/>
      <c r="BL20" s="123"/>
      <c r="BM20" s="122"/>
      <c r="BN20" s="122"/>
      <c r="BO20" s="122"/>
      <c r="BP20" s="122"/>
      <c r="BQ20" s="123"/>
      <c r="BR20" s="122"/>
      <c r="BS20" s="122"/>
      <c r="BT20" s="122"/>
      <c r="BU20" s="122"/>
      <c r="BV20" s="123"/>
      <c r="BW20" s="122"/>
      <c r="BX20" s="122"/>
      <c r="BY20" s="122"/>
      <c r="BZ20" s="122"/>
      <c r="CA20" s="123"/>
      <c r="CB20" s="122"/>
      <c r="CC20" s="122"/>
      <c r="CD20" s="122"/>
      <c r="CE20" s="122"/>
      <c r="CF20" s="123"/>
      <c r="CG20" s="122"/>
      <c r="CH20" s="122"/>
      <c r="CI20" s="122"/>
      <c r="CJ20" s="122"/>
      <c r="CK20" s="123"/>
      <c r="CL20" s="122"/>
      <c r="CM20" s="122"/>
      <c r="CN20" s="122"/>
      <c r="CO20" s="122"/>
      <c r="CP20" s="123"/>
      <c r="CQ20" s="122"/>
      <c r="CR20" s="122"/>
      <c r="CS20" s="122"/>
      <c r="CT20" s="122"/>
      <c r="CU20" s="123"/>
      <c r="CV20" s="122"/>
      <c r="CW20" s="122"/>
      <c r="CX20" s="122"/>
      <c r="CY20" s="122"/>
      <c r="CZ20" s="123"/>
      <c r="DA20" s="122"/>
      <c r="DB20" s="122"/>
      <c r="DC20" s="122"/>
      <c r="DD20" s="122"/>
      <c r="DE20" s="123"/>
      <c r="DF20" s="122"/>
      <c r="DG20" s="122"/>
      <c r="DH20" s="122"/>
      <c r="DI20" s="122"/>
      <c r="DJ20" s="123"/>
      <c r="DK20" s="122"/>
      <c r="DL20" s="122"/>
      <c r="DM20" s="122"/>
      <c r="DN20" s="122"/>
      <c r="DO20" s="123"/>
      <c r="DP20" s="122"/>
      <c r="DQ20" s="122"/>
      <c r="DR20" s="122"/>
      <c r="DS20" s="122"/>
      <c r="DT20" s="123"/>
      <c r="DU20" s="122"/>
      <c r="DV20" s="122"/>
      <c r="DW20" s="122"/>
      <c r="DX20" s="122"/>
      <c r="DY20" s="123"/>
      <c r="DZ20" s="123"/>
      <c r="EA20" s="123"/>
      <c r="EB20" s="123"/>
    </row>
    <row r="21" spans="1:132" s="307" customFormat="1" ht="12" hidden="1" customHeight="1" outlineLevel="1">
      <c r="A21" s="241"/>
      <c r="B21" s="311" t="s">
        <v>325</v>
      </c>
      <c r="C21" s="180"/>
      <c r="D21" s="180"/>
      <c r="E21" s="180"/>
      <c r="F21" s="180">
        <f>92*2/12</f>
        <v>15.333333333333334</v>
      </c>
      <c r="G21" s="180">
        <f>92*10/12</f>
        <v>76.666666666666671</v>
      </c>
      <c r="H21" s="180"/>
      <c r="I21" s="180"/>
      <c r="J21" s="179"/>
      <c r="K21" s="179"/>
      <c r="L21" s="179"/>
      <c r="M21" s="179"/>
      <c r="N21" s="175"/>
      <c r="O21" s="179"/>
      <c r="P21" s="179"/>
      <c r="Q21" s="179"/>
      <c r="R21" s="179"/>
      <c r="S21" s="175"/>
      <c r="T21" s="179"/>
      <c r="U21" s="179"/>
      <c r="V21" s="179"/>
      <c r="W21" s="179"/>
      <c r="X21" s="180"/>
      <c r="Y21" s="179"/>
      <c r="Z21" s="179"/>
      <c r="AA21" s="179"/>
      <c r="AB21" s="179"/>
      <c r="AC21" s="180"/>
      <c r="AD21" s="179"/>
      <c r="AE21" s="179"/>
      <c r="AF21" s="179"/>
      <c r="AG21" s="179"/>
      <c r="AH21" s="180"/>
      <c r="AI21" s="179"/>
      <c r="AJ21" s="179"/>
      <c r="AK21" s="179"/>
      <c r="AL21" s="179"/>
      <c r="AM21" s="285"/>
      <c r="AN21" s="179"/>
      <c r="AO21" s="179"/>
      <c r="AP21" s="179"/>
      <c r="AQ21" s="179"/>
      <c r="AR21" s="285"/>
      <c r="AS21" s="179"/>
      <c r="AT21" s="179"/>
      <c r="AU21" s="179"/>
      <c r="AV21" s="179"/>
      <c r="AW21" s="285"/>
      <c r="AX21" s="179"/>
      <c r="AY21" s="179"/>
      <c r="AZ21" s="179"/>
      <c r="BA21" s="179"/>
      <c r="BB21" s="180"/>
      <c r="BC21" s="179"/>
      <c r="BD21" s="179"/>
      <c r="BE21" s="179"/>
      <c r="BF21" s="179"/>
      <c r="BG21" s="180"/>
      <c r="BH21" s="122"/>
      <c r="BI21" s="122"/>
      <c r="BJ21" s="122"/>
      <c r="BK21" s="122"/>
      <c r="BL21" s="123"/>
      <c r="BM21" s="122"/>
      <c r="BN21" s="122"/>
      <c r="BO21" s="122"/>
      <c r="BP21" s="122"/>
      <c r="BQ21" s="123"/>
      <c r="BR21" s="122"/>
      <c r="BS21" s="122"/>
      <c r="BT21" s="122"/>
      <c r="BU21" s="122"/>
      <c r="BV21" s="123"/>
      <c r="BW21" s="122"/>
      <c r="BX21" s="122"/>
      <c r="BY21" s="122"/>
      <c r="BZ21" s="122"/>
      <c r="CA21" s="123"/>
      <c r="CB21" s="122"/>
      <c r="CC21" s="122"/>
      <c r="CD21" s="122"/>
      <c r="CE21" s="122"/>
      <c r="CF21" s="123"/>
      <c r="CG21" s="122"/>
      <c r="CH21" s="122"/>
      <c r="CI21" s="122"/>
      <c r="CJ21" s="122"/>
      <c r="CK21" s="123"/>
      <c r="CL21" s="122"/>
      <c r="CM21" s="122"/>
      <c r="CN21" s="122"/>
      <c r="CO21" s="122"/>
      <c r="CP21" s="123"/>
      <c r="CQ21" s="122"/>
      <c r="CR21" s="122"/>
      <c r="CS21" s="122"/>
      <c r="CT21" s="122"/>
      <c r="CU21" s="123"/>
      <c r="CV21" s="122"/>
      <c r="CW21" s="122"/>
      <c r="CX21" s="122"/>
      <c r="CY21" s="122"/>
      <c r="CZ21" s="123"/>
      <c r="DA21" s="122"/>
      <c r="DB21" s="122"/>
      <c r="DC21" s="122"/>
      <c r="DD21" s="122"/>
      <c r="DE21" s="123"/>
      <c r="DF21" s="122"/>
      <c r="DG21" s="122"/>
      <c r="DH21" s="122"/>
      <c r="DI21" s="122"/>
      <c r="DJ21" s="123"/>
      <c r="DK21" s="122"/>
      <c r="DL21" s="122"/>
      <c r="DM21" s="122"/>
      <c r="DN21" s="122"/>
      <c r="DO21" s="123"/>
      <c r="DP21" s="122"/>
      <c r="DQ21" s="122"/>
      <c r="DR21" s="122"/>
      <c r="DS21" s="122"/>
      <c r="DT21" s="123"/>
      <c r="DU21" s="122"/>
      <c r="DV21" s="122"/>
      <c r="DW21" s="122"/>
      <c r="DX21" s="122"/>
      <c r="DY21" s="123"/>
      <c r="DZ21" s="123"/>
      <c r="EA21" s="123"/>
      <c r="EB21" s="123"/>
    </row>
    <row r="22" spans="1:132" s="307" customFormat="1" ht="12" hidden="1" customHeight="1" outlineLevel="1">
      <c r="A22" s="241"/>
      <c r="B22" s="311" t="s">
        <v>163</v>
      </c>
      <c r="C22" s="180"/>
      <c r="D22" s="180"/>
      <c r="E22" s="180"/>
      <c r="F22" s="180">
        <f>2.8/4</f>
        <v>0.7</v>
      </c>
      <c r="G22" s="180">
        <f>2.8*3/4</f>
        <v>2.0999999999999996</v>
      </c>
      <c r="H22" s="180"/>
      <c r="I22" s="180"/>
      <c r="J22" s="179"/>
      <c r="K22" s="179"/>
      <c r="L22" s="179"/>
      <c r="M22" s="179"/>
      <c r="N22" s="180"/>
      <c r="O22" s="179"/>
      <c r="P22" s="179"/>
      <c r="Q22" s="179"/>
      <c r="R22" s="179"/>
      <c r="S22" s="180"/>
      <c r="T22" s="179"/>
      <c r="U22" s="179"/>
      <c r="V22" s="179"/>
      <c r="W22" s="179"/>
      <c r="X22" s="180"/>
      <c r="Y22" s="179"/>
      <c r="Z22" s="179"/>
      <c r="AA22" s="179"/>
      <c r="AB22" s="179"/>
      <c r="AC22" s="180"/>
      <c r="AD22" s="179"/>
      <c r="AE22" s="179"/>
      <c r="AF22" s="179"/>
      <c r="AG22" s="179"/>
      <c r="AH22" s="180"/>
      <c r="AI22" s="179"/>
      <c r="AJ22" s="179"/>
      <c r="AK22" s="179"/>
      <c r="AL22" s="179"/>
      <c r="AM22" s="285"/>
      <c r="AN22" s="179"/>
      <c r="AO22" s="179"/>
      <c r="AP22" s="179"/>
      <c r="AQ22" s="179"/>
      <c r="AR22" s="285"/>
      <c r="AS22" s="179"/>
      <c r="AT22" s="179"/>
      <c r="AU22" s="179"/>
      <c r="AV22" s="179"/>
      <c r="AW22" s="285"/>
      <c r="AX22" s="179"/>
      <c r="AY22" s="179"/>
      <c r="AZ22" s="179"/>
      <c r="BA22" s="179"/>
      <c r="BB22" s="180"/>
      <c r="BC22" s="179"/>
      <c r="BD22" s="179"/>
      <c r="BE22" s="179"/>
      <c r="BF22" s="179"/>
      <c r="BG22" s="180"/>
      <c r="BH22" s="122"/>
      <c r="BI22" s="122"/>
      <c r="BJ22" s="122"/>
      <c r="BK22" s="122"/>
      <c r="BL22" s="123"/>
      <c r="BM22" s="122"/>
      <c r="BN22" s="122"/>
      <c r="BO22" s="122"/>
      <c r="BP22" s="122"/>
      <c r="BQ22" s="123"/>
      <c r="BR22" s="122"/>
      <c r="BS22" s="122"/>
      <c r="BT22" s="122"/>
      <c r="BU22" s="122"/>
      <c r="BV22" s="123"/>
      <c r="BW22" s="122"/>
      <c r="BX22" s="122"/>
      <c r="BY22" s="122"/>
      <c r="BZ22" s="122"/>
      <c r="CA22" s="123"/>
      <c r="CB22" s="122"/>
      <c r="CC22" s="122"/>
      <c r="CD22" s="122"/>
      <c r="CE22" s="122"/>
      <c r="CF22" s="123"/>
      <c r="CG22" s="122"/>
      <c r="CH22" s="122"/>
      <c r="CI22" s="122"/>
      <c r="CJ22" s="122"/>
      <c r="CK22" s="123"/>
      <c r="CL22" s="122"/>
      <c r="CM22" s="122"/>
      <c r="CN22" s="122"/>
      <c r="CO22" s="122"/>
      <c r="CP22" s="123"/>
      <c r="CQ22" s="122"/>
      <c r="CR22" s="122"/>
      <c r="CS22" s="122"/>
      <c r="CT22" s="122"/>
      <c r="CU22" s="123"/>
      <c r="CV22" s="122"/>
      <c r="CW22" s="122"/>
      <c r="CX22" s="122"/>
      <c r="CY22" s="122"/>
      <c r="CZ22" s="123"/>
      <c r="DA22" s="122"/>
      <c r="DB22" s="122"/>
      <c r="DC22" s="122"/>
      <c r="DD22" s="122"/>
      <c r="DE22" s="123"/>
      <c r="DF22" s="122"/>
      <c r="DG22" s="122"/>
      <c r="DH22" s="122"/>
      <c r="DI22" s="122"/>
      <c r="DJ22" s="123"/>
      <c r="DK22" s="122"/>
      <c r="DL22" s="122"/>
      <c r="DM22" s="122"/>
      <c r="DN22" s="122"/>
      <c r="DO22" s="123"/>
      <c r="DP22" s="122"/>
      <c r="DQ22" s="122"/>
      <c r="DR22" s="122"/>
      <c r="DS22" s="122"/>
      <c r="DT22" s="123"/>
      <c r="DU22" s="122"/>
      <c r="DV22" s="122"/>
      <c r="DW22" s="122"/>
      <c r="DX22" s="122"/>
      <c r="DY22" s="123"/>
      <c r="DZ22" s="123"/>
      <c r="EA22" s="123"/>
      <c r="EB22" s="123"/>
    </row>
    <row r="23" spans="1:132" s="307" customFormat="1" ht="12" hidden="1" customHeight="1" outlineLevel="1">
      <c r="A23" s="241"/>
      <c r="B23" s="311" t="s">
        <v>164</v>
      </c>
      <c r="C23" s="180"/>
      <c r="D23" s="180"/>
      <c r="E23" s="180"/>
      <c r="F23" s="180">
        <f>235*2/12</f>
        <v>39.166666666666664</v>
      </c>
      <c r="G23" s="180">
        <f>235*10/12</f>
        <v>195.83333333333334</v>
      </c>
      <c r="H23" s="180"/>
      <c r="I23" s="180"/>
      <c r="J23" s="179"/>
      <c r="K23" s="179"/>
      <c r="L23" s="179"/>
      <c r="M23" s="179"/>
      <c r="N23" s="180"/>
      <c r="O23" s="179"/>
      <c r="P23" s="179"/>
      <c r="Q23" s="179"/>
      <c r="R23" s="179"/>
      <c r="S23" s="180"/>
      <c r="T23" s="179"/>
      <c r="U23" s="179"/>
      <c r="V23" s="179"/>
      <c r="W23" s="179"/>
      <c r="X23" s="180"/>
      <c r="Y23" s="179"/>
      <c r="Z23" s="179"/>
      <c r="AA23" s="179"/>
      <c r="AB23" s="179"/>
      <c r="AC23" s="180"/>
      <c r="AD23" s="179"/>
      <c r="AE23" s="179"/>
      <c r="AF23" s="179"/>
      <c r="AG23" s="179"/>
      <c r="AH23" s="180"/>
      <c r="AI23" s="179"/>
      <c r="AJ23" s="179"/>
      <c r="AK23" s="179"/>
      <c r="AL23" s="179"/>
      <c r="AM23" s="285"/>
      <c r="AN23" s="179"/>
      <c r="AO23" s="179"/>
      <c r="AP23" s="179"/>
      <c r="AQ23" s="179"/>
      <c r="AR23" s="285"/>
      <c r="AS23" s="179"/>
      <c r="AT23" s="179"/>
      <c r="AU23" s="179"/>
      <c r="AV23" s="179"/>
      <c r="AW23" s="285"/>
      <c r="AX23" s="179"/>
      <c r="AY23" s="179"/>
      <c r="AZ23" s="179"/>
      <c r="BA23" s="179"/>
      <c r="BB23" s="180"/>
      <c r="BC23" s="179"/>
      <c r="BD23" s="179"/>
      <c r="BE23" s="179"/>
      <c r="BF23" s="179"/>
      <c r="BG23" s="180"/>
      <c r="BH23" s="122"/>
      <c r="BI23" s="122"/>
      <c r="BJ23" s="122"/>
      <c r="BK23" s="122"/>
      <c r="BL23" s="123"/>
      <c r="BM23" s="122"/>
      <c r="BN23" s="122"/>
      <c r="BO23" s="122"/>
      <c r="BP23" s="122"/>
      <c r="BQ23" s="123"/>
      <c r="BR23" s="122"/>
      <c r="BS23" s="122"/>
      <c r="BT23" s="122"/>
      <c r="BU23" s="122"/>
      <c r="BV23" s="123"/>
      <c r="BW23" s="122"/>
      <c r="BX23" s="122"/>
      <c r="BY23" s="122"/>
      <c r="BZ23" s="122"/>
      <c r="CA23" s="123"/>
      <c r="CB23" s="122"/>
      <c r="CC23" s="122"/>
      <c r="CD23" s="122"/>
      <c r="CE23" s="122"/>
      <c r="CF23" s="123"/>
      <c r="CG23" s="122"/>
      <c r="CH23" s="122"/>
      <c r="CI23" s="122"/>
      <c r="CJ23" s="122"/>
      <c r="CK23" s="123"/>
      <c r="CL23" s="122"/>
      <c r="CM23" s="122"/>
      <c r="CN23" s="122"/>
      <c r="CO23" s="122"/>
      <c r="CP23" s="123"/>
      <c r="CQ23" s="122"/>
      <c r="CR23" s="122"/>
      <c r="CS23" s="122"/>
      <c r="CT23" s="122"/>
      <c r="CU23" s="123"/>
      <c r="CV23" s="122"/>
      <c r="CW23" s="122"/>
      <c r="CX23" s="122"/>
      <c r="CY23" s="122"/>
      <c r="CZ23" s="123"/>
      <c r="DA23" s="122"/>
      <c r="DB23" s="122"/>
      <c r="DC23" s="122"/>
      <c r="DD23" s="122"/>
      <c r="DE23" s="123"/>
      <c r="DF23" s="122"/>
      <c r="DG23" s="122"/>
      <c r="DH23" s="122"/>
      <c r="DI23" s="122"/>
      <c r="DJ23" s="123"/>
      <c r="DK23" s="122"/>
      <c r="DL23" s="122"/>
      <c r="DM23" s="122"/>
      <c r="DN23" s="122"/>
      <c r="DO23" s="123"/>
      <c r="DP23" s="122"/>
      <c r="DQ23" s="122"/>
      <c r="DR23" s="122"/>
      <c r="DS23" s="122"/>
      <c r="DT23" s="123"/>
      <c r="DU23" s="122"/>
      <c r="DV23" s="122"/>
      <c r="DW23" s="122"/>
      <c r="DX23" s="122"/>
      <c r="DY23" s="123"/>
      <c r="DZ23" s="123"/>
      <c r="EA23" s="123"/>
      <c r="EB23" s="123"/>
    </row>
    <row r="24" spans="1:132" s="307" customFormat="1" ht="12" hidden="1" customHeight="1" outlineLevel="1">
      <c r="A24" s="241"/>
      <c r="B24" s="311" t="s">
        <v>189</v>
      </c>
      <c r="C24" s="180"/>
      <c r="D24" s="180"/>
      <c r="E24" s="180"/>
      <c r="F24" s="180">
        <f>135/4</f>
        <v>33.75</v>
      </c>
      <c r="G24" s="180">
        <f>135/4*3</f>
        <v>101.25</v>
      </c>
      <c r="H24" s="180"/>
      <c r="I24" s="180"/>
      <c r="J24" s="179"/>
      <c r="K24" s="179"/>
      <c r="L24" s="179"/>
      <c r="M24" s="179"/>
      <c r="N24" s="180"/>
      <c r="O24" s="179"/>
      <c r="P24" s="179"/>
      <c r="Q24" s="179"/>
      <c r="R24" s="179"/>
      <c r="S24" s="180"/>
      <c r="T24" s="179"/>
      <c r="U24" s="179"/>
      <c r="V24" s="179"/>
      <c r="W24" s="179"/>
      <c r="X24" s="180"/>
      <c r="Y24" s="179"/>
      <c r="Z24" s="179"/>
      <c r="AA24" s="179"/>
      <c r="AB24" s="179"/>
      <c r="AC24" s="180"/>
      <c r="AD24" s="179"/>
      <c r="AE24" s="179"/>
      <c r="AF24" s="179"/>
      <c r="AG24" s="179"/>
      <c r="AH24" s="180"/>
      <c r="AI24" s="179"/>
      <c r="AJ24" s="179"/>
      <c r="AK24" s="179"/>
      <c r="AL24" s="179"/>
      <c r="AM24" s="285"/>
      <c r="AN24" s="179"/>
      <c r="AO24" s="179"/>
      <c r="AP24" s="179"/>
      <c r="AQ24" s="179"/>
      <c r="AR24" s="285"/>
      <c r="AS24" s="179"/>
      <c r="AT24" s="179"/>
      <c r="AU24" s="179"/>
      <c r="AV24" s="179"/>
      <c r="AW24" s="285"/>
      <c r="AX24" s="179"/>
      <c r="AY24" s="179"/>
      <c r="AZ24" s="179"/>
      <c r="BA24" s="179"/>
      <c r="BB24" s="180"/>
      <c r="BC24" s="179"/>
      <c r="BD24" s="179"/>
      <c r="BE24" s="179"/>
      <c r="BF24" s="179"/>
      <c r="BG24" s="180"/>
      <c r="BH24" s="122"/>
      <c r="BI24" s="122"/>
      <c r="BJ24" s="122"/>
      <c r="BK24" s="122"/>
      <c r="BL24" s="123"/>
      <c r="BM24" s="122"/>
      <c r="BN24" s="122"/>
      <c r="BO24" s="122"/>
      <c r="BP24" s="122"/>
      <c r="BQ24" s="123"/>
      <c r="BR24" s="122"/>
      <c r="BS24" s="122"/>
      <c r="BT24" s="122"/>
      <c r="BU24" s="122"/>
      <c r="BV24" s="123"/>
      <c r="BW24" s="122"/>
      <c r="BX24" s="122"/>
      <c r="BY24" s="122"/>
      <c r="BZ24" s="122"/>
      <c r="CA24" s="123"/>
      <c r="CB24" s="122"/>
      <c r="CC24" s="122"/>
      <c r="CD24" s="122"/>
      <c r="CE24" s="122"/>
      <c r="CF24" s="123"/>
      <c r="CG24" s="122"/>
      <c r="CH24" s="122"/>
      <c r="CI24" s="122"/>
      <c r="CJ24" s="122"/>
      <c r="CK24" s="123"/>
      <c r="CL24" s="122"/>
      <c r="CM24" s="122"/>
      <c r="CN24" s="122"/>
      <c r="CO24" s="122"/>
      <c r="CP24" s="123"/>
      <c r="CQ24" s="122"/>
      <c r="CR24" s="122"/>
      <c r="CS24" s="122"/>
      <c r="CT24" s="122"/>
      <c r="CU24" s="123"/>
      <c r="CV24" s="122"/>
      <c r="CW24" s="122"/>
      <c r="CX24" s="122"/>
      <c r="CY24" s="122"/>
      <c r="CZ24" s="123"/>
      <c r="DA24" s="122"/>
      <c r="DB24" s="122"/>
      <c r="DC24" s="122"/>
      <c r="DD24" s="122"/>
      <c r="DE24" s="123"/>
      <c r="DF24" s="122"/>
      <c r="DG24" s="122"/>
      <c r="DH24" s="122"/>
      <c r="DI24" s="122"/>
      <c r="DJ24" s="123"/>
      <c r="DK24" s="122"/>
      <c r="DL24" s="122"/>
      <c r="DM24" s="122"/>
      <c r="DN24" s="122"/>
      <c r="DO24" s="123"/>
      <c r="DP24" s="122"/>
      <c r="DQ24" s="122"/>
      <c r="DR24" s="122"/>
      <c r="DS24" s="122"/>
      <c r="DT24" s="123"/>
      <c r="DU24" s="122"/>
      <c r="DV24" s="122"/>
      <c r="DW24" s="122"/>
      <c r="DX24" s="122"/>
      <c r="DY24" s="123"/>
      <c r="DZ24" s="123"/>
      <c r="EA24" s="123"/>
      <c r="EB24" s="123"/>
    </row>
    <row r="25" spans="1:132" s="307" customFormat="1" ht="12" hidden="1" customHeight="1" outlineLevel="1">
      <c r="A25" s="241"/>
      <c r="B25" s="311" t="s">
        <v>167</v>
      </c>
      <c r="C25" s="180"/>
      <c r="D25" s="180"/>
      <c r="E25" s="180">
        <f>3/12*5</f>
        <v>1.25</v>
      </c>
      <c r="F25" s="180">
        <f>5-E25</f>
        <v>3.75</v>
      </c>
      <c r="G25" s="180"/>
      <c r="H25" s="180"/>
      <c r="I25" s="180"/>
      <c r="J25" s="179"/>
      <c r="K25" s="179"/>
      <c r="L25" s="179"/>
      <c r="M25" s="179"/>
      <c r="N25" s="180"/>
      <c r="O25" s="179"/>
      <c r="P25" s="179"/>
      <c r="Q25" s="179"/>
      <c r="R25" s="179"/>
      <c r="S25" s="180"/>
      <c r="T25" s="179"/>
      <c r="U25" s="179"/>
      <c r="V25" s="179"/>
      <c r="W25" s="179"/>
      <c r="X25" s="180"/>
      <c r="Y25" s="179"/>
      <c r="Z25" s="179"/>
      <c r="AA25" s="179"/>
      <c r="AB25" s="179"/>
      <c r="AC25" s="180"/>
      <c r="AD25" s="179"/>
      <c r="AE25" s="179"/>
      <c r="AF25" s="179"/>
      <c r="AG25" s="179"/>
      <c r="AH25" s="180"/>
      <c r="AI25" s="179"/>
      <c r="AJ25" s="179"/>
      <c r="AK25" s="179"/>
      <c r="AL25" s="179"/>
      <c r="AM25" s="285"/>
      <c r="AN25" s="179"/>
      <c r="AO25" s="179"/>
      <c r="AP25" s="179"/>
      <c r="AQ25" s="179"/>
      <c r="AR25" s="285"/>
      <c r="AS25" s="179"/>
      <c r="AT25" s="179"/>
      <c r="AU25" s="179"/>
      <c r="AV25" s="179"/>
      <c r="AW25" s="285"/>
      <c r="AX25" s="179"/>
      <c r="AY25" s="179"/>
      <c r="AZ25" s="179"/>
      <c r="BA25" s="179"/>
      <c r="BB25" s="180"/>
      <c r="BC25" s="179"/>
      <c r="BD25" s="179"/>
      <c r="BE25" s="179"/>
      <c r="BF25" s="179"/>
      <c r="BG25" s="180"/>
      <c r="BH25" s="122"/>
      <c r="BI25" s="122"/>
      <c r="BJ25" s="122"/>
      <c r="BK25" s="122"/>
      <c r="BL25" s="123"/>
      <c r="BM25" s="122"/>
      <c r="BN25" s="122"/>
      <c r="BO25" s="122"/>
      <c r="BP25" s="122"/>
      <c r="BQ25" s="123"/>
      <c r="BR25" s="122"/>
      <c r="BS25" s="122"/>
      <c r="BT25" s="122"/>
      <c r="BU25" s="122"/>
      <c r="BV25" s="123"/>
      <c r="BW25" s="122"/>
      <c r="BX25" s="122"/>
      <c r="BY25" s="122"/>
      <c r="BZ25" s="122"/>
      <c r="CA25" s="123"/>
      <c r="CB25" s="122"/>
      <c r="CC25" s="122"/>
      <c r="CD25" s="122"/>
      <c r="CE25" s="122"/>
      <c r="CF25" s="123"/>
      <c r="CG25" s="122"/>
      <c r="CH25" s="122"/>
      <c r="CI25" s="122"/>
      <c r="CJ25" s="122"/>
      <c r="CK25" s="123"/>
      <c r="CL25" s="122"/>
      <c r="CM25" s="122"/>
      <c r="CN25" s="122"/>
      <c r="CO25" s="122"/>
      <c r="CP25" s="123"/>
      <c r="CQ25" s="122"/>
      <c r="CR25" s="122"/>
      <c r="CS25" s="122"/>
      <c r="CT25" s="122"/>
      <c r="CU25" s="123"/>
      <c r="CV25" s="122"/>
      <c r="CW25" s="122"/>
      <c r="CX25" s="122"/>
      <c r="CY25" s="122"/>
      <c r="CZ25" s="123"/>
      <c r="DA25" s="122"/>
      <c r="DB25" s="122"/>
      <c r="DC25" s="122"/>
      <c r="DD25" s="122"/>
      <c r="DE25" s="123"/>
      <c r="DF25" s="122"/>
      <c r="DG25" s="122"/>
      <c r="DH25" s="122"/>
      <c r="DI25" s="122"/>
      <c r="DJ25" s="123"/>
      <c r="DK25" s="122"/>
      <c r="DL25" s="122"/>
      <c r="DM25" s="122"/>
      <c r="DN25" s="122"/>
      <c r="DO25" s="123"/>
      <c r="DP25" s="122"/>
      <c r="DQ25" s="122"/>
      <c r="DR25" s="122"/>
      <c r="DS25" s="122"/>
      <c r="DT25" s="123"/>
      <c r="DU25" s="122"/>
      <c r="DV25" s="122"/>
      <c r="DW25" s="122"/>
      <c r="DX25" s="122"/>
      <c r="DY25" s="123"/>
      <c r="DZ25" s="123"/>
      <c r="EA25" s="123"/>
      <c r="EB25" s="123"/>
    </row>
    <row r="26" spans="1:132" s="307" customFormat="1" ht="12" hidden="1" customHeight="1" outlineLevel="1">
      <c r="A26" s="241"/>
      <c r="B26" s="311" t="s">
        <v>169</v>
      </c>
      <c r="C26" s="180"/>
      <c r="D26" s="180">
        <f>15*11/12</f>
        <v>13.75</v>
      </c>
      <c r="E26" s="180">
        <f>15-D26</f>
        <v>1.25</v>
      </c>
      <c r="F26" s="180"/>
      <c r="G26" s="180"/>
      <c r="H26" s="180"/>
      <c r="I26" s="180"/>
      <c r="J26" s="179"/>
      <c r="K26" s="179"/>
      <c r="L26" s="179"/>
      <c r="M26" s="179"/>
      <c r="N26" s="180"/>
      <c r="O26" s="179"/>
      <c r="P26" s="179"/>
      <c r="Q26" s="179"/>
      <c r="R26" s="179"/>
      <c r="S26" s="180"/>
      <c r="T26" s="179"/>
      <c r="U26" s="179"/>
      <c r="V26" s="179"/>
      <c r="W26" s="179"/>
      <c r="X26" s="180"/>
      <c r="Y26" s="179"/>
      <c r="Z26" s="179"/>
      <c r="AA26" s="179"/>
      <c r="AB26" s="179"/>
      <c r="AC26" s="180"/>
      <c r="AD26" s="179"/>
      <c r="AE26" s="179"/>
      <c r="AF26" s="179"/>
      <c r="AG26" s="179"/>
      <c r="AH26" s="180"/>
      <c r="AI26" s="179"/>
      <c r="AJ26" s="179"/>
      <c r="AK26" s="179"/>
      <c r="AL26" s="179"/>
      <c r="AM26" s="285"/>
      <c r="AN26" s="179"/>
      <c r="AO26" s="179"/>
      <c r="AP26" s="179"/>
      <c r="AQ26" s="179"/>
      <c r="AR26" s="285"/>
      <c r="AS26" s="179"/>
      <c r="AT26" s="179"/>
      <c r="AU26" s="179"/>
      <c r="AV26" s="179"/>
      <c r="AW26" s="285"/>
      <c r="AX26" s="179"/>
      <c r="AY26" s="179"/>
      <c r="AZ26" s="179"/>
      <c r="BA26" s="179"/>
      <c r="BB26" s="180"/>
      <c r="BC26" s="179"/>
      <c r="BD26" s="179"/>
      <c r="BE26" s="179"/>
      <c r="BF26" s="179"/>
      <c r="BG26" s="180"/>
      <c r="BH26" s="122"/>
      <c r="BI26" s="122"/>
      <c r="BJ26" s="122"/>
      <c r="BK26" s="122"/>
      <c r="BL26" s="123"/>
      <c r="BM26" s="122"/>
      <c r="BN26" s="122"/>
      <c r="BO26" s="122"/>
      <c r="BP26" s="122"/>
      <c r="BQ26" s="123"/>
      <c r="BR26" s="122"/>
      <c r="BS26" s="122"/>
      <c r="BT26" s="122"/>
      <c r="BU26" s="122"/>
      <c r="BV26" s="123"/>
      <c r="BW26" s="122"/>
      <c r="BX26" s="122"/>
      <c r="BY26" s="122"/>
      <c r="BZ26" s="122"/>
      <c r="CA26" s="123"/>
      <c r="CB26" s="122"/>
      <c r="CC26" s="122"/>
      <c r="CD26" s="122"/>
      <c r="CE26" s="122"/>
      <c r="CF26" s="123"/>
      <c r="CG26" s="122"/>
      <c r="CH26" s="122"/>
      <c r="CI26" s="122"/>
      <c r="CJ26" s="122"/>
      <c r="CK26" s="123"/>
      <c r="CL26" s="122"/>
      <c r="CM26" s="122"/>
      <c r="CN26" s="122"/>
      <c r="CO26" s="122"/>
      <c r="CP26" s="123"/>
      <c r="CQ26" s="122"/>
      <c r="CR26" s="122"/>
      <c r="CS26" s="122"/>
      <c r="CT26" s="122"/>
      <c r="CU26" s="123"/>
      <c r="CV26" s="122"/>
      <c r="CW26" s="122"/>
      <c r="CX26" s="122"/>
      <c r="CY26" s="122"/>
      <c r="CZ26" s="123"/>
      <c r="DA26" s="122"/>
      <c r="DB26" s="122"/>
      <c r="DC26" s="122"/>
      <c r="DD26" s="122"/>
      <c r="DE26" s="123"/>
      <c r="DF26" s="122"/>
      <c r="DG26" s="122"/>
      <c r="DH26" s="122"/>
      <c r="DI26" s="122"/>
      <c r="DJ26" s="123"/>
      <c r="DK26" s="122"/>
      <c r="DL26" s="122"/>
      <c r="DM26" s="122"/>
      <c r="DN26" s="122"/>
      <c r="DO26" s="123"/>
      <c r="DP26" s="122"/>
      <c r="DQ26" s="122"/>
      <c r="DR26" s="122"/>
      <c r="DS26" s="122"/>
      <c r="DT26" s="123"/>
      <c r="DU26" s="122"/>
      <c r="DV26" s="122"/>
      <c r="DW26" s="122"/>
      <c r="DX26" s="122"/>
      <c r="DY26" s="123"/>
      <c r="DZ26" s="123"/>
      <c r="EA26" s="123"/>
      <c r="EB26" s="123"/>
    </row>
    <row r="27" spans="1:132" s="307" customFormat="1" ht="12" hidden="1" customHeight="1" outlineLevel="1">
      <c r="A27" s="241"/>
      <c r="B27" s="311" t="s">
        <v>168</v>
      </c>
      <c r="C27" s="180">
        <f>13500*5/12</f>
        <v>5625</v>
      </c>
      <c r="D27" s="180">
        <f>13500*7/12</f>
        <v>7875</v>
      </c>
      <c r="E27" s="180"/>
      <c r="F27" s="180"/>
      <c r="G27" s="180"/>
      <c r="H27" s="180"/>
      <c r="I27" s="180"/>
      <c r="J27" s="179"/>
      <c r="K27" s="179"/>
      <c r="L27" s="179"/>
      <c r="M27" s="179"/>
      <c r="N27" s="180"/>
      <c r="O27" s="179"/>
      <c r="P27" s="179"/>
      <c r="Q27" s="179"/>
      <c r="R27" s="179"/>
      <c r="S27" s="180"/>
      <c r="T27" s="179"/>
      <c r="U27" s="179"/>
      <c r="V27" s="179"/>
      <c r="W27" s="179"/>
      <c r="X27" s="180"/>
      <c r="Y27" s="179"/>
      <c r="Z27" s="179"/>
      <c r="AA27" s="179"/>
      <c r="AB27" s="179"/>
      <c r="AC27" s="180"/>
      <c r="AD27" s="179"/>
      <c r="AE27" s="179"/>
      <c r="AF27" s="179"/>
      <c r="AG27" s="179"/>
      <c r="AH27" s="180"/>
      <c r="AI27" s="179"/>
      <c r="AJ27" s="179"/>
      <c r="AK27" s="179"/>
      <c r="AL27" s="179"/>
      <c r="AM27" s="285"/>
      <c r="AN27" s="179"/>
      <c r="AO27" s="179"/>
      <c r="AP27" s="179"/>
      <c r="AQ27" s="179"/>
      <c r="AR27" s="285"/>
      <c r="AS27" s="179"/>
      <c r="AT27" s="179"/>
      <c r="AU27" s="179"/>
      <c r="AV27" s="179"/>
      <c r="AW27" s="285"/>
      <c r="AX27" s="179"/>
      <c r="AY27" s="179"/>
      <c r="AZ27" s="179"/>
      <c r="BA27" s="179"/>
      <c r="BB27" s="180"/>
      <c r="BC27" s="179"/>
      <c r="BD27" s="179"/>
      <c r="BE27" s="179"/>
      <c r="BF27" s="179"/>
      <c r="BG27" s="180"/>
      <c r="BH27" s="122"/>
      <c r="BI27" s="122"/>
      <c r="BJ27" s="122"/>
      <c r="BK27" s="122"/>
      <c r="BL27" s="123"/>
      <c r="BM27" s="122"/>
      <c r="BN27" s="122"/>
      <c r="BO27" s="122"/>
      <c r="BP27" s="122"/>
      <c r="BQ27" s="123"/>
      <c r="BR27" s="122"/>
      <c r="BS27" s="122"/>
      <c r="BT27" s="122"/>
      <c r="BU27" s="122"/>
      <c r="BV27" s="123"/>
      <c r="BW27" s="122"/>
      <c r="BX27" s="122"/>
      <c r="BY27" s="122"/>
      <c r="BZ27" s="122"/>
      <c r="CA27" s="123"/>
      <c r="CB27" s="122"/>
      <c r="CC27" s="122"/>
      <c r="CD27" s="122"/>
      <c r="CE27" s="122"/>
      <c r="CF27" s="123"/>
      <c r="CG27" s="122"/>
      <c r="CH27" s="122"/>
      <c r="CI27" s="122"/>
      <c r="CJ27" s="122"/>
      <c r="CK27" s="123"/>
      <c r="CL27" s="122"/>
      <c r="CM27" s="122"/>
      <c r="CN27" s="122"/>
      <c r="CO27" s="122"/>
      <c r="CP27" s="123"/>
      <c r="CQ27" s="122"/>
      <c r="CR27" s="122"/>
      <c r="CS27" s="122"/>
      <c r="CT27" s="122"/>
      <c r="CU27" s="123"/>
      <c r="CV27" s="122"/>
      <c r="CW27" s="122"/>
      <c r="CX27" s="122"/>
      <c r="CY27" s="122"/>
      <c r="CZ27" s="123"/>
      <c r="DA27" s="122"/>
      <c r="DB27" s="122"/>
      <c r="DC27" s="122"/>
      <c r="DD27" s="122"/>
      <c r="DE27" s="123"/>
      <c r="DF27" s="122"/>
      <c r="DG27" s="122"/>
      <c r="DH27" s="122"/>
      <c r="DI27" s="122"/>
      <c r="DJ27" s="123"/>
      <c r="DK27" s="122"/>
      <c r="DL27" s="122"/>
      <c r="DM27" s="122"/>
      <c r="DN27" s="122"/>
      <c r="DO27" s="123"/>
      <c r="DP27" s="122"/>
      <c r="DQ27" s="122"/>
      <c r="DR27" s="122"/>
      <c r="DS27" s="122"/>
      <c r="DT27" s="123"/>
      <c r="DU27" s="122"/>
      <c r="DV27" s="122"/>
      <c r="DW27" s="122"/>
      <c r="DX27" s="122"/>
      <c r="DY27" s="123"/>
      <c r="DZ27" s="123"/>
      <c r="EA27" s="123"/>
      <c r="EB27" s="123"/>
    </row>
    <row r="28" spans="1:132" s="307" customFormat="1" ht="12" hidden="1" customHeight="1" outlineLevel="1">
      <c r="A28" s="241"/>
      <c r="B28" s="156" t="s">
        <v>171</v>
      </c>
      <c r="C28" s="180"/>
      <c r="D28" s="180"/>
      <c r="E28" s="180"/>
      <c r="F28" s="180"/>
      <c r="G28" s="180"/>
      <c r="H28" s="180"/>
      <c r="I28" s="180"/>
      <c r="J28" s="179"/>
      <c r="K28" s="179"/>
      <c r="L28" s="179"/>
      <c r="M28" s="179"/>
      <c r="N28" s="180"/>
      <c r="O28" s="179"/>
      <c r="P28" s="179"/>
      <c r="Q28" s="179"/>
      <c r="R28" s="179"/>
      <c r="S28" s="180"/>
      <c r="T28" s="179"/>
      <c r="U28" s="179"/>
      <c r="V28" s="179"/>
      <c r="W28" s="179"/>
      <c r="X28" s="180"/>
      <c r="Y28" s="179"/>
      <c r="Z28" s="179"/>
      <c r="AA28" s="179"/>
      <c r="AB28" s="179"/>
      <c r="AC28" s="180"/>
      <c r="AD28" s="179"/>
      <c r="AE28" s="179"/>
      <c r="AF28" s="179"/>
      <c r="AG28" s="179"/>
      <c r="AH28" s="180"/>
      <c r="AI28" s="179"/>
      <c r="AJ28" s="179"/>
      <c r="AK28" s="179"/>
      <c r="AL28" s="179"/>
      <c r="AM28" s="285"/>
      <c r="AN28" s="179"/>
      <c r="AO28" s="179"/>
      <c r="AP28" s="179"/>
      <c r="AQ28" s="179"/>
      <c r="AR28" s="285"/>
      <c r="AS28" s="179"/>
      <c r="AT28" s="179"/>
      <c r="AU28" s="179"/>
      <c r="AV28" s="179"/>
      <c r="AW28" s="285"/>
      <c r="AX28" s="179"/>
      <c r="AY28" s="179"/>
      <c r="AZ28" s="179"/>
      <c r="BA28" s="179"/>
      <c r="BB28" s="180"/>
      <c r="BC28" s="179"/>
      <c r="BD28" s="179"/>
      <c r="BE28" s="179"/>
      <c r="BF28" s="179"/>
      <c r="BG28" s="180"/>
      <c r="BH28" s="122"/>
      <c r="BI28" s="122"/>
      <c r="BJ28" s="122"/>
      <c r="BK28" s="122"/>
      <c r="BL28" s="123"/>
      <c r="BM28" s="122"/>
      <c r="BN28" s="122"/>
      <c r="BO28" s="122"/>
      <c r="BP28" s="122"/>
      <c r="BQ28" s="123"/>
      <c r="BR28" s="122"/>
      <c r="BS28" s="122"/>
      <c r="BT28" s="122"/>
      <c r="BU28" s="122"/>
      <c r="BV28" s="123"/>
      <c r="BW28" s="122"/>
      <c r="BX28" s="122"/>
      <c r="BY28" s="122"/>
      <c r="BZ28" s="122"/>
      <c r="CA28" s="123"/>
      <c r="CB28" s="122"/>
      <c r="CC28" s="122"/>
      <c r="CD28" s="122"/>
      <c r="CE28" s="122"/>
      <c r="CF28" s="123"/>
      <c r="CG28" s="122"/>
      <c r="CH28" s="122"/>
      <c r="CI28" s="122"/>
      <c r="CJ28" s="122"/>
      <c r="CK28" s="123"/>
      <c r="CL28" s="122"/>
      <c r="CM28" s="122"/>
      <c r="CN28" s="122"/>
      <c r="CO28" s="122"/>
      <c r="CP28" s="123"/>
      <c r="CQ28" s="122"/>
      <c r="CR28" s="122"/>
      <c r="CS28" s="122"/>
      <c r="CT28" s="122"/>
      <c r="CU28" s="123"/>
      <c r="CV28" s="122"/>
      <c r="CW28" s="122"/>
      <c r="CX28" s="122"/>
      <c r="CY28" s="122"/>
      <c r="CZ28" s="123"/>
      <c r="DA28" s="122"/>
      <c r="DB28" s="122"/>
      <c r="DC28" s="122"/>
      <c r="DD28" s="122"/>
      <c r="DE28" s="123"/>
      <c r="DF28" s="122"/>
      <c r="DG28" s="122"/>
      <c r="DH28" s="122"/>
      <c r="DI28" s="122"/>
      <c r="DJ28" s="123"/>
      <c r="DK28" s="122"/>
      <c r="DL28" s="122"/>
      <c r="DM28" s="122"/>
      <c r="DN28" s="122"/>
      <c r="DO28" s="123"/>
      <c r="DP28" s="122"/>
      <c r="DQ28" s="122"/>
      <c r="DR28" s="122"/>
      <c r="DS28" s="122"/>
      <c r="DT28" s="123"/>
      <c r="DU28" s="122"/>
      <c r="DV28" s="122"/>
      <c r="DW28" s="122"/>
      <c r="DX28" s="122"/>
      <c r="DY28" s="123"/>
      <c r="DZ28" s="123"/>
      <c r="EA28" s="123"/>
      <c r="EB28" s="123"/>
    </row>
    <row r="29" spans="1:132" s="307" customFormat="1" ht="12" hidden="1" customHeight="1" outlineLevel="1">
      <c r="A29" s="241"/>
      <c r="B29" s="311" t="s">
        <v>328</v>
      </c>
      <c r="C29" s="180"/>
      <c r="D29" s="180"/>
      <c r="E29" s="180"/>
      <c r="F29" s="180"/>
      <c r="G29" s="180"/>
      <c r="H29" s="180"/>
      <c r="I29" s="180"/>
      <c r="J29" s="179"/>
      <c r="K29" s="179"/>
      <c r="L29" s="179"/>
      <c r="M29" s="179"/>
      <c r="N29" s="175"/>
      <c r="O29" s="179"/>
      <c r="P29" s="179"/>
      <c r="Q29" s="179">
        <f>(74/4*2/3)*-1</f>
        <v>-12.333333333333334</v>
      </c>
      <c r="R29" s="179">
        <f>(74/4)*-1</f>
        <v>-18.5</v>
      </c>
      <c r="S29" s="175">
        <f>SUM(O29:R29)</f>
        <v>-30.833333333333336</v>
      </c>
      <c r="T29" s="179">
        <f>(74/4)*-1</f>
        <v>-18.5</v>
      </c>
      <c r="U29" s="179">
        <f>(74/4)*-1</f>
        <v>-18.5</v>
      </c>
      <c r="V29" s="179">
        <f>(74/4*1/3)*-1</f>
        <v>-6.166666666666667</v>
      </c>
      <c r="W29" s="179"/>
      <c r="X29" s="175">
        <f>SUM(T29:W29)</f>
        <v>-43.166666666666664</v>
      </c>
      <c r="Y29" s="179"/>
      <c r="Z29" s="179"/>
      <c r="AA29" s="179"/>
      <c r="AB29" s="179"/>
      <c r="AC29" s="180"/>
      <c r="AD29" s="179"/>
      <c r="AE29" s="179"/>
      <c r="AF29" s="179"/>
      <c r="AG29" s="179"/>
      <c r="AH29" s="180"/>
      <c r="AI29" s="179"/>
      <c r="AJ29" s="179"/>
      <c r="AK29" s="179"/>
      <c r="AL29" s="179"/>
      <c r="AM29" s="285"/>
      <c r="AN29" s="179"/>
      <c r="AO29" s="179"/>
      <c r="AP29" s="179"/>
      <c r="AQ29" s="179"/>
      <c r="AR29" s="285"/>
      <c r="AS29" s="179"/>
      <c r="AT29" s="179"/>
      <c r="AU29" s="179"/>
      <c r="AV29" s="179"/>
      <c r="AW29" s="285"/>
      <c r="AX29" s="179"/>
      <c r="AY29" s="179"/>
      <c r="AZ29" s="179"/>
      <c r="BA29" s="179"/>
      <c r="BB29" s="180"/>
      <c r="BC29" s="179"/>
      <c r="BD29" s="179"/>
      <c r="BE29" s="179"/>
      <c r="BF29" s="179"/>
      <c r="BG29" s="180"/>
      <c r="BH29" s="122"/>
      <c r="BI29" s="122"/>
      <c r="BJ29" s="122"/>
      <c r="BK29" s="122"/>
      <c r="BL29" s="123"/>
      <c r="BM29" s="122"/>
      <c r="BN29" s="122"/>
      <c r="BO29" s="122"/>
      <c r="BP29" s="122"/>
      <c r="BQ29" s="123"/>
      <c r="BR29" s="122"/>
      <c r="BS29" s="122"/>
      <c r="BT29" s="122"/>
      <c r="BU29" s="122"/>
      <c r="BV29" s="123"/>
      <c r="BW29" s="122"/>
      <c r="BX29" s="122"/>
      <c r="BY29" s="122"/>
      <c r="BZ29" s="122"/>
      <c r="CA29" s="123"/>
      <c r="CB29" s="122"/>
      <c r="CC29" s="122"/>
      <c r="CD29" s="122"/>
      <c r="CE29" s="122"/>
      <c r="CF29" s="123"/>
      <c r="CG29" s="122"/>
      <c r="CH29" s="122"/>
      <c r="CI29" s="122"/>
      <c r="CJ29" s="122"/>
      <c r="CK29" s="123"/>
      <c r="CL29" s="122"/>
      <c r="CM29" s="122"/>
      <c r="CN29" s="122"/>
      <c r="CO29" s="122"/>
      <c r="CP29" s="123"/>
      <c r="CQ29" s="122"/>
      <c r="CR29" s="122"/>
      <c r="CS29" s="122"/>
      <c r="CT29" s="122"/>
      <c r="CU29" s="123"/>
      <c r="CV29" s="122"/>
      <c r="CW29" s="122"/>
      <c r="CX29" s="122"/>
      <c r="CY29" s="122"/>
      <c r="CZ29" s="123"/>
      <c r="DA29" s="122"/>
      <c r="DB29" s="122"/>
      <c r="DC29" s="122"/>
      <c r="DD29" s="122"/>
      <c r="DE29" s="123"/>
      <c r="DF29" s="122"/>
      <c r="DG29" s="122"/>
      <c r="DH29" s="122"/>
      <c r="DI29" s="122"/>
      <c r="DJ29" s="123"/>
      <c r="DK29" s="122"/>
      <c r="DL29" s="122"/>
      <c r="DM29" s="122"/>
      <c r="DN29" s="122"/>
      <c r="DO29" s="123"/>
      <c r="DP29" s="122"/>
      <c r="DQ29" s="122"/>
      <c r="DR29" s="122"/>
      <c r="DS29" s="122"/>
      <c r="DT29" s="123"/>
      <c r="DU29" s="122"/>
      <c r="DV29" s="122"/>
      <c r="DW29" s="122"/>
      <c r="DX29" s="122"/>
      <c r="DY29" s="123"/>
      <c r="DZ29" s="123"/>
      <c r="EA29" s="123"/>
      <c r="EB29" s="123"/>
    </row>
    <row r="30" spans="1:132" s="307" customFormat="1" ht="12" hidden="1" customHeight="1" outlineLevel="1">
      <c r="A30" s="241"/>
      <c r="B30" s="311" t="s">
        <v>329</v>
      </c>
      <c r="C30" s="180"/>
      <c r="D30" s="180"/>
      <c r="E30" s="180"/>
      <c r="F30" s="180"/>
      <c r="G30" s="180"/>
      <c r="H30" s="180"/>
      <c r="I30" s="180"/>
      <c r="J30" s="179"/>
      <c r="K30" s="179"/>
      <c r="L30" s="179"/>
      <c r="M30" s="179"/>
      <c r="N30" s="175"/>
      <c r="O30" s="179"/>
      <c r="P30" s="179"/>
      <c r="Q30" s="179">
        <f>(2500/4)*-1</f>
        <v>-625</v>
      </c>
      <c r="R30" s="179">
        <f>(2500/4)*-1</f>
        <v>-625</v>
      </c>
      <c r="S30" s="175">
        <f>SUM(O30:R30)</f>
        <v>-1250</v>
      </c>
      <c r="T30" s="179">
        <f>(2500/4)*-1</f>
        <v>-625</v>
      </c>
      <c r="U30" s="179">
        <f>(2500/4)*-1</f>
        <v>-625</v>
      </c>
      <c r="V30" s="179"/>
      <c r="W30" s="179"/>
      <c r="X30" s="175">
        <f>SUM(T30:W30)</f>
        <v>-1250</v>
      </c>
      <c r="Y30" s="179"/>
      <c r="Z30" s="179"/>
      <c r="AA30" s="179"/>
      <c r="AB30" s="179"/>
      <c r="AC30" s="180"/>
      <c r="AD30" s="179"/>
      <c r="AE30" s="179"/>
      <c r="AF30" s="179"/>
      <c r="AG30" s="179"/>
      <c r="AH30" s="180"/>
      <c r="AI30" s="179"/>
      <c r="AJ30" s="179"/>
      <c r="AK30" s="179"/>
      <c r="AL30" s="179"/>
      <c r="AM30" s="285"/>
      <c r="AN30" s="179"/>
      <c r="AO30" s="179"/>
      <c r="AP30" s="179"/>
      <c r="AQ30" s="179"/>
      <c r="AR30" s="285"/>
      <c r="AS30" s="179"/>
      <c r="AT30" s="179"/>
      <c r="AU30" s="179"/>
      <c r="AV30" s="179"/>
      <c r="AW30" s="285"/>
      <c r="AX30" s="179"/>
      <c r="AY30" s="179"/>
      <c r="AZ30" s="179"/>
      <c r="BA30" s="179"/>
      <c r="BB30" s="180"/>
      <c r="BC30" s="179"/>
      <c r="BD30" s="179"/>
      <c r="BE30" s="179"/>
      <c r="BF30" s="179"/>
      <c r="BG30" s="180"/>
      <c r="BH30" s="122"/>
      <c r="BI30" s="122"/>
      <c r="BJ30" s="122"/>
      <c r="BK30" s="122"/>
      <c r="BL30" s="123"/>
      <c r="BM30" s="122"/>
      <c r="BN30" s="122"/>
      <c r="BO30" s="122"/>
      <c r="BP30" s="122"/>
      <c r="BQ30" s="123"/>
      <c r="BR30" s="122"/>
      <c r="BS30" s="122"/>
      <c r="BT30" s="122"/>
      <c r="BU30" s="122"/>
      <c r="BV30" s="123"/>
      <c r="BW30" s="122"/>
      <c r="BX30" s="122"/>
      <c r="BY30" s="122"/>
      <c r="BZ30" s="122"/>
      <c r="CA30" s="123"/>
      <c r="CB30" s="122"/>
      <c r="CC30" s="122"/>
      <c r="CD30" s="122"/>
      <c r="CE30" s="122"/>
      <c r="CF30" s="123"/>
      <c r="CG30" s="122"/>
      <c r="CH30" s="122"/>
      <c r="CI30" s="122"/>
      <c r="CJ30" s="122"/>
      <c r="CK30" s="123"/>
      <c r="CL30" s="122"/>
      <c r="CM30" s="122"/>
      <c r="CN30" s="122"/>
      <c r="CO30" s="122"/>
      <c r="CP30" s="123"/>
      <c r="CQ30" s="122"/>
      <c r="CR30" s="122"/>
      <c r="CS30" s="122"/>
      <c r="CT30" s="122"/>
      <c r="CU30" s="123"/>
      <c r="CV30" s="122"/>
      <c r="CW30" s="122"/>
      <c r="CX30" s="122"/>
      <c r="CY30" s="122"/>
      <c r="CZ30" s="123"/>
      <c r="DA30" s="122"/>
      <c r="DB30" s="122"/>
      <c r="DC30" s="122"/>
      <c r="DD30" s="122"/>
      <c r="DE30" s="123"/>
      <c r="DF30" s="122"/>
      <c r="DG30" s="122"/>
      <c r="DH30" s="122"/>
      <c r="DI30" s="122"/>
      <c r="DJ30" s="123"/>
      <c r="DK30" s="122"/>
      <c r="DL30" s="122"/>
      <c r="DM30" s="122"/>
      <c r="DN30" s="122"/>
      <c r="DO30" s="123"/>
      <c r="DP30" s="122"/>
      <c r="DQ30" s="122"/>
      <c r="DR30" s="122"/>
      <c r="DS30" s="122"/>
      <c r="DT30" s="123"/>
      <c r="DU30" s="122"/>
      <c r="DV30" s="122"/>
      <c r="DW30" s="122"/>
      <c r="DX30" s="122"/>
      <c r="DY30" s="123"/>
      <c r="DZ30" s="123"/>
      <c r="EA30" s="123"/>
      <c r="EB30" s="123"/>
    </row>
    <row r="31" spans="1:132" s="307" customFormat="1" ht="12" hidden="1" customHeight="1" outlineLevel="1">
      <c r="A31" s="241"/>
      <c r="B31" s="311" t="s">
        <v>174</v>
      </c>
      <c r="C31" s="180"/>
      <c r="D31" s="180"/>
      <c r="E31" s="180"/>
      <c r="F31" s="180"/>
      <c r="G31" s="180"/>
      <c r="H31" s="180"/>
      <c r="I31" s="180"/>
      <c r="J31" s="179"/>
      <c r="K31" s="179"/>
      <c r="L31" s="179"/>
      <c r="M31" s="179">
        <f>(225/4*2/3)*-1</f>
        <v>-37.5</v>
      </c>
      <c r="N31" s="175">
        <f t="shared" ref="N31:N36" si="0">SUM(J31:M31)</f>
        <v>-37.5</v>
      </c>
      <c r="O31" s="179">
        <f>(225/4)*-1</f>
        <v>-56.25</v>
      </c>
      <c r="P31" s="179">
        <f>(225/4)*-1</f>
        <v>-56.25</v>
      </c>
      <c r="Q31" s="179">
        <f>(225/4)*-1</f>
        <v>-56.25</v>
      </c>
      <c r="R31" s="179">
        <f>(225/4*1/3)*-1</f>
        <v>-18.75</v>
      </c>
      <c r="S31" s="175">
        <f>SUM(O31:R31)</f>
        <v>-187.5</v>
      </c>
      <c r="T31" s="179"/>
      <c r="U31" s="179"/>
      <c r="V31" s="179"/>
      <c r="W31" s="179"/>
      <c r="X31" s="180"/>
      <c r="Y31" s="179"/>
      <c r="Z31" s="179"/>
      <c r="AA31" s="179"/>
      <c r="AB31" s="179"/>
      <c r="AC31" s="180"/>
      <c r="AD31" s="179"/>
      <c r="AE31" s="179"/>
      <c r="AF31" s="179"/>
      <c r="AG31" s="179"/>
      <c r="AH31" s="180"/>
      <c r="AI31" s="179"/>
      <c r="AJ31" s="179"/>
      <c r="AK31" s="179"/>
      <c r="AL31" s="179"/>
      <c r="AM31" s="285"/>
      <c r="AN31" s="179"/>
      <c r="AO31" s="179"/>
      <c r="AP31" s="179"/>
      <c r="AQ31" s="179"/>
      <c r="AR31" s="285"/>
      <c r="AS31" s="179"/>
      <c r="AT31" s="179"/>
      <c r="AU31" s="179"/>
      <c r="AV31" s="179"/>
      <c r="AW31" s="285"/>
      <c r="AX31" s="179"/>
      <c r="AY31" s="179"/>
      <c r="AZ31" s="179"/>
      <c r="BA31" s="179"/>
      <c r="BB31" s="180"/>
      <c r="BC31" s="179"/>
      <c r="BD31" s="179"/>
      <c r="BE31" s="179"/>
      <c r="BF31" s="179"/>
      <c r="BG31" s="180"/>
      <c r="BH31" s="122"/>
      <c r="BI31" s="122"/>
      <c r="BJ31" s="122"/>
      <c r="BK31" s="122"/>
      <c r="BL31" s="123"/>
      <c r="BM31" s="122"/>
      <c r="BN31" s="122"/>
      <c r="BO31" s="122"/>
      <c r="BP31" s="122"/>
      <c r="BQ31" s="123"/>
      <c r="BR31" s="122"/>
      <c r="BS31" s="122"/>
      <c r="BT31" s="122"/>
      <c r="BU31" s="122"/>
      <c r="BV31" s="123"/>
      <c r="BW31" s="122"/>
      <c r="BX31" s="122"/>
      <c r="BY31" s="122"/>
      <c r="BZ31" s="122"/>
      <c r="CA31" s="123"/>
      <c r="CB31" s="122"/>
      <c r="CC31" s="122"/>
      <c r="CD31" s="122"/>
      <c r="CE31" s="122"/>
      <c r="CF31" s="123"/>
      <c r="CG31" s="122"/>
      <c r="CH31" s="122"/>
      <c r="CI31" s="122"/>
      <c r="CJ31" s="122"/>
      <c r="CK31" s="123"/>
      <c r="CL31" s="122"/>
      <c r="CM31" s="122"/>
      <c r="CN31" s="122"/>
      <c r="CO31" s="122"/>
      <c r="CP31" s="123"/>
      <c r="CQ31" s="122"/>
      <c r="CR31" s="122"/>
      <c r="CS31" s="122"/>
      <c r="CT31" s="122"/>
      <c r="CU31" s="123"/>
      <c r="CV31" s="122"/>
      <c r="CW31" s="122"/>
      <c r="CX31" s="122"/>
      <c r="CY31" s="122"/>
      <c r="CZ31" s="123"/>
      <c r="DA31" s="122"/>
      <c r="DB31" s="122"/>
      <c r="DC31" s="122"/>
      <c r="DD31" s="122"/>
      <c r="DE31" s="123"/>
      <c r="DF31" s="122"/>
      <c r="DG31" s="122"/>
      <c r="DH31" s="122"/>
      <c r="DI31" s="122"/>
      <c r="DJ31" s="123"/>
      <c r="DK31" s="122"/>
      <c r="DL31" s="122"/>
      <c r="DM31" s="122"/>
      <c r="DN31" s="122"/>
      <c r="DO31" s="123"/>
      <c r="DP31" s="122"/>
      <c r="DQ31" s="122"/>
      <c r="DR31" s="122"/>
      <c r="DS31" s="122"/>
      <c r="DT31" s="123"/>
      <c r="DU31" s="122"/>
      <c r="DV31" s="122"/>
      <c r="DW31" s="122"/>
      <c r="DX31" s="122"/>
      <c r="DY31" s="123"/>
      <c r="DZ31" s="123"/>
      <c r="EA31" s="123"/>
      <c r="EB31" s="123"/>
    </row>
    <row r="32" spans="1:132" s="307" customFormat="1" ht="12" hidden="1" customHeight="1" outlineLevel="1">
      <c r="A32" s="241"/>
      <c r="B32" s="311" t="s">
        <v>175</v>
      </c>
      <c r="C32" s="180"/>
      <c r="D32" s="180"/>
      <c r="E32" s="180"/>
      <c r="F32" s="180"/>
      <c r="G32" s="180"/>
      <c r="H32" s="180"/>
      <c r="I32" s="180"/>
      <c r="J32" s="179"/>
      <c r="K32" s="179"/>
      <c r="L32" s="179">
        <f>(170/4*2/3)*-1</f>
        <v>-28.333333333333332</v>
      </c>
      <c r="M32" s="179">
        <f>(170/4)*-1</f>
        <v>-42.5</v>
      </c>
      <c r="N32" s="175">
        <f t="shared" si="0"/>
        <v>-70.833333333333329</v>
      </c>
      <c r="O32" s="179">
        <f>(170/4)*-1</f>
        <v>-42.5</v>
      </c>
      <c r="P32" s="179">
        <f>(170/4)*-1</f>
        <v>-42.5</v>
      </c>
      <c r="Q32" s="179">
        <f>(170/4*1/3)*-1</f>
        <v>-14.166666666666666</v>
      </c>
      <c r="R32" s="179"/>
      <c r="S32" s="175">
        <f>SUM(O32:R32)</f>
        <v>-99.166666666666671</v>
      </c>
      <c r="T32" s="179"/>
      <c r="U32" s="179"/>
      <c r="V32" s="179"/>
      <c r="W32" s="179"/>
      <c r="X32" s="180"/>
      <c r="Y32" s="179"/>
      <c r="Z32" s="179"/>
      <c r="AA32" s="179"/>
      <c r="AB32" s="179"/>
      <c r="AC32" s="180"/>
      <c r="AD32" s="179"/>
      <c r="AE32" s="179"/>
      <c r="AF32" s="179"/>
      <c r="AG32" s="179"/>
      <c r="AH32" s="180"/>
      <c r="AI32" s="179"/>
      <c r="AJ32" s="179"/>
      <c r="AK32" s="179"/>
      <c r="AL32" s="179"/>
      <c r="AM32" s="285"/>
      <c r="AN32" s="179"/>
      <c r="AO32" s="179"/>
      <c r="AP32" s="179"/>
      <c r="AQ32" s="179"/>
      <c r="AR32" s="285"/>
      <c r="AS32" s="179"/>
      <c r="AT32" s="179"/>
      <c r="AU32" s="179"/>
      <c r="AV32" s="179"/>
      <c r="AW32" s="285"/>
      <c r="AX32" s="179"/>
      <c r="AY32" s="179"/>
      <c r="AZ32" s="179"/>
      <c r="BA32" s="179"/>
      <c r="BB32" s="180"/>
      <c r="BC32" s="179"/>
      <c r="BD32" s="179"/>
      <c r="BE32" s="179"/>
      <c r="BF32" s="179"/>
      <c r="BG32" s="180"/>
      <c r="BH32" s="122"/>
      <c r="BI32" s="122"/>
      <c r="BJ32" s="122"/>
      <c r="BK32" s="122"/>
      <c r="BL32" s="123"/>
      <c r="BM32" s="122"/>
      <c r="BN32" s="122"/>
      <c r="BO32" s="122"/>
      <c r="BP32" s="122"/>
      <c r="BQ32" s="123"/>
      <c r="BR32" s="122"/>
      <c r="BS32" s="122"/>
      <c r="BT32" s="122"/>
      <c r="BU32" s="122"/>
      <c r="BV32" s="123"/>
      <c r="BW32" s="122"/>
      <c r="BX32" s="122"/>
      <c r="BY32" s="122"/>
      <c r="BZ32" s="122"/>
      <c r="CA32" s="123"/>
      <c r="CB32" s="122"/>
      <c r="CC32" s="122"/>
      <c r="CD32" s="122"/>
      <c r="CE32" s="122"/>
      <c r="CF32" s="123"/>
      <c r="CG32" s="122"/>
      <c r="CH32" s="122"/>
      <c r="CI32" s="122"/>
      <c r="CJ32" s="122"/>
      <c r="CK32" s="123"/>
      <c r="CL32" s="122"/>
      <c r="CM32" s="122"/>
      <c r="CN32" s="122"/>
      <c r="CO32" s="122"/>
      <c r="CP32" s="123"/>
      <c r="CQ32" s="122"/>
      <c r="CR32" s="122"/>
      <c r="CS32" s="122"/>
      <c r="CT32" s="122"/>
      <c r="CU32" s="123"/>
      <c r="CV32" s="122"/>
      <c r="CW32" s="122"/>
      <c r="CX32" s="122"/>
      <c r="CY32" s="122"/>
      <c r="CZ32" s="123"/>
      <c r="DA32" s="122"/>
      <c r="DB32" s="122"/>
      <c r="DC32" s="122"/>
      <c r="DD32" s="122"/>
      <c r="DE32" s="123"/>
      <c r="DF32" s="122"/>
      <c r="DG32" s="122"/>
      <c r="DH32" s="122"/>
      <c r="DI32" s="122"/>
      <c r="DJ32" s="123"/>
      <c r="DK32" s="122"/>
      <c r="DL32" s="122"/>
      <c r="DM32" s="122"/>
      <c r="DN32" s="122"/>
      <c r="DO32" s="123"/>
      <c r="DP32" s="122"/>
      <c r="DQ32" s="122"/>
      <c r="DR32" s="122"/>
      <c r="DS32" s="122"/>
      <c r="DT32" s="123"/>
      <c r="DU32" s="122"/>
      <c r="DV32" s="122"/>
      <c r="DW32" s="122"/>
      <c r="DX32" s="122"/>
      <c r="DY32" s="123"/>
      <c r="DZ32" s="123"/>
      <c r="EA32" s="123"/>
      <c r="EB32" s="123"/>
    </row>
    <row r="33" spans="1:132" s="307" customFormat="1" ht="12" hidden="1" customHeight="1" outlineLevel="1">
      <c r="A33" s="241"/>
      <c r="B33" s="311" t="s">
        <v>326</v>
      </c>
      <c r="C33" s="180"/>
      <c r="D33" s="180"/>
      <c r="E33" s="180"/>
      <c r="F33" s="180"/>
      <c r="G33" s="180"/>
      <c r="H33" s="180"/>
      <c r="I33" s="180">
        <f>(8/12*180)*-1</f>
        <v>-120</v>
      </c>
      <c r="J33" s="179">
        <f>(180/4)*-1</f>
        <v>-45</v>
      </c>
      <c r="K33" s="179">
        <v>-15</v>
      </c>
      <c r="L33" s="179"/>
      <c r="M33" s="179"/>
      <c r="N33" s="175">
        <f t="shared" si="0"/>
        <v>-60</v>
      </c>
      <c r="O33" s="179"/>
      <c r="P33" s="179"/>
      <c r="Q33" s="179"/>
      <c r="R33" s="179"/>
      <c r="S33" s="175"/>
      <c r="T33" s="179"/>
      <c r="U33" s="179"/>
      <c r="V33" s="179"/>
      <c r="W33" s="179"/>
      <c r="X33" s="180"/>
      <c r="Y33" s="179"/>
      <c r="Z33" s="179"/>
      <c r="AA33" s="179"/>
      <c r="AB33" s="179"/>
      <c r="AC33" s="180"/>
      <c r="AD33" s="179"/>
      <c r="AE33" s="179"/>
      <c r="AF33" s="179"/>
      <c r="AG33" s="179"/>
      <c r="AH33" s="180"/>
      <c r="AI33" s="179"/>
      <c r="AJ33" s="179"/>
      <c r="AK33" s="179"/>
      <c r="AL33" s="179"/>
      <c r="AM33" s="285"/>
      <c r="AN33" s="179"/>
      <c r="AO33" s="179"/>
      <c r="AP33" s="179"/>
      <c r="AQ33" s="179"/>
      <c r="AR33" s="285"/>
      <c r="AS33" s="179"/>
      <c r="AT33" s="179"/>
      <c r="AU33" s="179"/>
      <c r="AV33" s="179"/>
      <c r="AW33" s="285"/>
      <c r="AX33" s="179"/>
      <c r="AY33" s="179"/>
      <c r="AZ33" s="179"/>
      <c r="BA33" s="179"/>
      <c r="BB33" s="180"/>
      <c r="BC33" s="179"/>
      <c r="BD33" s="179"/>
      <c r="BE33" s="179"/>
      <c r="BF33" s="179"/>
      <c r="BG33" s="180"/>
      <c r="BH33" s="122"/>
      <c r="BI33" s="122"/>
      <c r="BJ33" s="122"/>
      <c r="BK33" s="122"/>
      <c r="BL33" s="123"/>
      <c r="BM33" s="122"/>
      <c r="BN33" s="122"/>
      <c r="BO33" s="122"/>
      <c r="BP33" s="122"/>
      <c r="BQ33" s="123"/>
      <c r="BR33" s="122"/>
      <c r="BS33" s="122"/>
      <c r="BT33" s="122"/>
      <c r="BU33" s="122"/>
      <c r="BV33" s="123"/>
      <c r="BW33" s="122"/>
      <c r="BX33" s="122"/>
      <c r="BY33" s="122"/>
      <c r="BZ33" s="122"/>
      <c r="CA33" s="123"/>
      <c r="CB33" s="122"/>
      <c r="CC33" s="122"/>
      <c r="CD33" s="122"/>
      <c r="CE33" s="122"/>
      <c r="CF33" s="123"/>
      <c r="CG33" s="122"/>
      <c r="CH33" s="122"/>
      <c r="CI33" s="122"/>
      <c r="CJ33" s="122"/>
      <c r="CK33" s="123"/>
      <c r="CL33" s="122"/>
      <c r="CM33" s="122"/>
      <c r="CN33" s="122"/>
      <c r="CO33" s="122"/>
      <c r="CP33" s="123"/>
      <c r="CQ33" s="122"/>
      <c r="CR33" s="122"/>
      <c r="CS33" s="122"/>
      <c r="CT33" s="122"/>
      <c r="CU33" s="123"/>
      <c r="CV33" s="122"/>
      <c r="CW33" s="122"/>
      <c r="CX33" s="122"/>
      <c r="CY33" s="122"/>
      <c r="CZ33" s="123"/>
      <c r="DA33" s="122"/>
      <c r="DB33" s="122"/>
      <c r="DC33" s="122"/>
      <c r="DD33" s="122"/>
      <c r="DE33" s="123"/>
      <c r="DF33" s="122"/>
      <c r="DG33" s="122"/>
      <c r="DH33" s="122"/>
      <c r="DI33" s="122"/>
      <c r="DJ33" s="123"/>
      <c r="DK33" s="122"/>
      <c r="DL33" s="122"/>
      <c r="DM33" s="122"/>
      <c r="DN33" s="122"/>
      <c r="DO33" s="123"/>
      <c r="DP33" s="122"/>
      <c r="DQ33" s="122"/>
      <c r="DR33" s="122"/>
      <c r="DS33" s="122"/>
      <c r="DT33" s="123"/>
      <c r="DU33" s="122"/>
      <c r="DV33" s="122"/>
      <c r="DW33" s="122"/>
      <c r="DX33" s="122"/>
      <c r="DY33" s="123"/>
      <c r="DZ33" s="123"/>
      <c r="EA33" s="123"/>
      <c r="EB33" s="123"/>
    </row>
    <row r="34" spans="1:132" s="307" customFormat="1" ht="12" hidden="1" customHeight="1" outlineLevel="1">
      <c r="A34" s="241"/>
      <c r="B34" s="311" t="s">
        <v>327</v>
      </c>
      <c r="C34" s="180"/>
      <c r="D34" s="180"/>
      <c r="E34" s="180"/>
      <c r="F34" s="180"/>
      <c r="G34" s="180"/>
      <c r="H34" s="180"/>
      <c r="I34" s="180">
        <f>(80*11/12)*-1</f>
        <v>-73.333333333333329</v>
      </c>
      <c r="J34" s="179">
        <f>(80/12)*-1</f>
        <v>-6.666666666666667</v>
      </c>
      <c r="K34" s="179"/>
      <c r="L34" s="179"/>
      <c r="M34" s="179"/>
      <c r="N34" s="175">
        <f t="shared" si="0"/>
        <v>-6.666666666666667</v>
      </c>
      <c r="O34" s="179"/>
      <c r="P34" s="179"/>
      <c r="Q34" s="179"/>
      <c r="R34" s="179"/>
      <c r="S34" s="175"/>
      <c r="T34" s="179"/>
      <c r="U34" s="179"/>
      <c r="V34" s="179"/>
      <c r="W34" s="179"/>
      <c r="X34" s="180"/>
      <c r="Y34" s="179"/>
      <c r="Z34" s="179"/>
      <c r="AA34" s="179"/>
      <c r="AB34" s="179"/>
      <c r="AC34" s="180"/>
      <c r="AD34" s="179"/>
      <c r="AE34" s="179"/>
      <c r="AF34" s="179"/>
      <c r="AG34" s="179"/>
      <c r="AH34" s="180"/>
      <c r="AI34" s="179"/>
      <c r="AJ34" s="179"/>
      <c r="AK34" s="179"/>
      <c r="AL34" s="179"/>
      <c r="AM34" s="285"/>
      <c r="AN34" s="179"/>
      <c r="AO34" s="179"/>
      <c r="AP34" s="179"/>
      <c r="AQ34" s="179"/>
      <c r="AR34" s="285"/>
      <c r="AS34" s="179"/>
      <c r="AT34" s="179"/>
      <c r="AU34" s="179"/>
      <c r="AV34" s="179"/>
      <c r="AW34" s="285"/>
      <c r="AX34" s="179"/>
      <c r="AY34" s="179"/>
      <c r="AZ34" s="179"/>
      <c r="BA34" s="179"/>
      <c r="BB34" s="180"/>
      <c r="BC34" s="179"/>
      <c r="BD34" s="179"/>
      <c r="BE34" s="179"/>
      <c r="BF34" s="179"/>
      <c r="BG34" s="180"/>
      <c r="BH34" s="122"/>
      <c r="BI34" s="122"/>
      <c r="BJ34" s="122"/>
      <c r="BK34" s="122"/>
      <c r="BL34" s="123"/>
      <c r="BM34" s="122"/>
      <c r="BN34" s="122"/>
      <c r="BO34" s="122"/>
      <c r="BP34" s="122"/>
      <c r="BQ34" s="123"/>
      <c r="BR34" s="122"/>
      <c r="BS34" s="122"/>
      <c r="BT34" s="122"/>
      <c r="BU34" s="122"/>
      <c r="BV34" s="123"/>
      <c r="BW34" s="122"/>
      <c r="BX34" s="122"/>
      <c r="BY34" s="122"/>
      <c r="BZ34" s="122"/>
      <c r="CA34" s="123"/>
      <c r="CB34" s="122"/>
      <c r="CC34" s="122"/>
      <c r="CD34" s="122"/>
      <c r="CE34" s="122"/>
      <c r="CF34" s="123"/>
      <c r="CG34" s="122"/>
      <c r="CH34" s="122"/>
      <c r="CI34" s="122"/>
      <c r="CJ34" s="122"/>
      <c r="CK34" s="123"/>
      <c r="CL34" s="122"/>
      <c r="CM34" s="122"/>
      <c r="CN34" s="122"/>
      <c r="CO34" s="122"/>
      <c r="CP34" s="123"/>
      <c r="CQ34" s="122"/>
      <c r="CR34" s="122"/>
      <c r="CS34" s="122"/>
      <c r="CT34" s="122"/>
      <c r="CU34" s="123"/>
      <c r="CV34" s="122"/>
      <c r="CW34" s="122"/>
      <c r="CX34" s="122"/>
      <c r="CY34" s="122"/>
      <c r="CZ34" s="123"/>
      <c r="DA34" s="122"/>
      <c r="DB34" s="122"/>
      <c r="DC34" s="122"/>
      <c r="DD34" s="122"/>
      <c r="DE34" s="123"/>
      <c r="DF34" s="122"/>
      <c r="DG34" s="122"/>
      <c r="DH34" s="122"/>
      <c r="DI34" s="122"/>
      <c r="DJ34" s="123"/>
      <c r="DK34" s="122"/>
      <c r="DL34" s="122"/>
      <c r="DM34" s="122"/>
      <c r="DN34" s="122"/>
      <c r="DO34" s="123"/>
      <c r="DP34" s="122"/>
      <c r="DQ34" s="122"/>
      <c r="DR34" s="122"/>
      <c r="DS34" s="122"/>
      <c r="DT34" s="123"/>
      <c r="DU34" s="122"/>
      <c r="DV34" s="122"/>
      <c r="DW34" s="122"/>
      <c r="DX34" s="122"/>
      <c r="DY34" s="123"/>
      <c r="DZ34" s="123"/>
      <c r="EA34" s="123"/>
      <c r="EB34" s="123"/>
    </row>
    <row r="35" spans="1:132" s="313" customFormat="1" ht="12" hidden="1" customHeight="1" outlineLevel="1">
      <c r="A35" s="300"/>
      <c r="B35" s="312" t="s">
        <v>177</v>
      </c>
      <c r="C35" s="180"/>
      <c r="D35" s="180"/>
      <c r="E35" s="180"/>
      <c r="F35" s="180"/>
      <c r="G35" s="180"/>
      <c r="H35" s="180"/>
      <c r="I35" s="180">
        <f>(100*10/12)*-1</f>
        <v>-83.333333333333329</v>
      </c>
      <c r="J35" s="176">
        <f>(100*2/12)*-1</f>
        <v>-16.666666666666668</v>
      </c>
      <c r="K35" s="176"/>
      <c r="L35" s="176"/>
      <c r="M35" s="176"/>
      <c r="N35" s="175">
        <f t="shared" si="0"/>
        <v>-16.666666666666668</v>
      </c>
      <c r="O35" s="176"/>
      <c r="P35" s="176"/>
      <c r="Q35" s="176"/>
      <c r="R35" s="176"/>
      <c r="S35" s="180"/>
      <c r="T35" s="176"/>
      <c r="U35" s="176"/>
      <c r="V35" s="176"/>
      <c r="W35" s="176"/>
      <c r="X35" s="180"/>
      <c r="Y35" s="176"/>
      <c r="Z35" s="176"/>
      <c r="AA35" s="176"/>
      <c r="AB35" s="176"/>
      <c r="AC35" s="180"/>
      <c r="AD35" s="176"/>
      <c r="AE35" s="176"/>
      <c r="AF35" s="176"/>
      <c r="AG35" s="176"/>
      <c r="AH35" s="180"/>
      <c r="AI35" s="176"/>
      <c r="AJ35" s="176"/>
      <c r="AK35" s="176"/>
      <c r="AL35" s="176"/>
      <c r="AM35" s="285"/>
      <c r="AN35" s="176"/>
      <c r="AO35" s="176"/>
      <c r="AP35" s="176"/>
      <c r="AQ35" s="176"/>
      <c r="AR35" s="285"/>
      <c r="AS35" s="176"/>
      <c r="AT35" s="176"/>
      <c r="AU35" s="176"/>
      <c r="AV35" s="176"/>
      <c r="AW35" s="285"/>
      <c r="AX35" s="176"/>
      <c r="AY35" s="176"/>
      <c r="AZ35" s="176"/>
      <c r="BA35" s="176"/>
      <c r="BB35" s="180"/>
      <c r="BC35" s="176"/>
      <c r="BD35" s="176"/>
      <c r="BE35" s="176"/>
      <c r="BF35" s="176"/>
      <c r="BG35" s="180"/>
      <c r="BH35" s="640"/>
      <c r="BI35" s="640"/>
      <c r="BJ35" s="640"/>
      <c r="BK35" s="640"/>
      <c r="BL35" s="123"/>
      <c r="BM35" s="640"/>
      <c r="BN35" s="640"/>
      <c r="BO35" s="640"/>
      <c r="BP35" s="640"/>
      <c r="BQ35" s="123"/>
      <c r="BR35" s="640"/>
      <c r="BS35" s="640"/>
      <c r="BT35" s="640"/>
      <c r="BU35" s="640"/>
      <c r="BV35" s="123"/>
      <c r="BW35" s="640"/>
      <c r="BX35" s="640"/>
      <c r="BY35" s="640"/>
      <c r="BZ35" s="640"/>
      <c r="CA35" s="123"/>
      <c r="CB35" s="640"/>
      <c r="CC35" s="640"/>
      <c r="CD35" s="640"/>
      <c r="CE35" s="640"/>
      <c r="CF35" s="123"/>
      <c r="CG35" s="640"/>
      <c r="CH35" s="640"/>
      <c r="CI35" s="640"/>
      <c r="CJ35" s="640"/>
      <c r="CK35" s="123"/>
      <c r="CL35" s="640"/>
      <c r="CM35" s="640"/>
      <c r="CN35" s="640"/>
      <c r="CO35" s="640"/>
      <c r="CP35" s="123"/>
      <c r="CQ35" s="640"/>
      <c r="CR35" s="640"/>
      <c r="CS35" s="640"/>
      <c r="CT35" s="640"/>
      <c r="CU35" s="123"/>
      <c r="CV35" s="640"/>
      <c r="CW35" s="640"/>
      <c r="CX35" s="640"/>
      <c r="CY35" s="640"/>
      <c r="CZ35" s="123"/>
      <c r="DA35" s="640"/>
      <c r="DB35" s="640"/>
      <c r="DC35" s="640"/>
      <c r="DD35" s="640"/>
      <c r="DE35" s="123"/>
      <c r="DF35" s="640"/>
      <c r="DG35" s="640"/>
      <c r="DH35" s="640"/>
      <c r="DI35" s="640"/>
      <c r="DJ35" s="123"/>
      <c r="DK35" s="640"/>
      <c r="DL35" s="640"/>
      <c r="DM35" s="640"/>
      <c r="DN35" s="640"/>
      <c r="DO35" s="123"/>
      <c r="DP35" s="640"/>
      <c r="DQ35" s="640"/>
      <c r="DR35" s="640"/>
      <c r="DS35" s="640"/>
      <c r="DT35" s="123"/>
      <c r="DU35" s="640"/>
      <c r="DV35" s="640"/>
      <c r="DW35" s="640"/>
      <c r="DX35" s="640"/>
      <c r="DY35" s="123"/>
      <c r="DZ35" s="123"/>
      <c r="EA35" s="123"/>
      <c r="EB35" s="123"/>
    </row>
    <row r="36" spans="1:132" s="241" customFormat="1" ht="12" customHeight="1" collapsed="1">
      <c r="B36" s="241" t="s">
        <v>105</v>
      </c>
      <c r="C36" s="314">
        <f>Data!C150</f>
        <v>26929</v>
      </c>
      <c r="D36" s="314">
        <f>Data!D150</f>
        <v>35545</v>
      </c>
      <c r="E36" s="314">
        <f>Data!E150</f>
        <v>38409</v>
      </c>
      <c r="F36" s="314">
        <f>Data!F150</f>
        <v>31171</v>
      </c>
      <c r="G36" s="314">
        <f>Data!G150</f>
        <v>35056</v>
      </c>
      <c r="H36" s="314">
        <f>Data!H150</f>
        <v>28387</v>
      </c>
      <c r="I36" s="314">
        <f>Data!I150</f>
        <v>22408</v>
      </c>
      <c r="J36" s="315">
        <f>Data!J150</f>
        <v>5330</v>
      </c>
      <c r="K36" s="315">
        <f>Data!K150</f>
        <v>5671</v>
      </c>
      <c r="L36" s="315">
        <f>Data!L150</f>
        <v>4638</v>
      </c>
      <c r="M36" s="315">
        <f>Data!M150</f>
        <v>5398</v>
      </c>
      <c r="N36" s="314">
        <f t="shared" si="0"/>
        <v>21037</v>
      </c>
      <c r="O36" s="315">
        <f>Data!O150</f>
        <v>5076</v>
      </c>
      <c r="P36" s="315">
        <f>Data!P150</f>
        <v>6806</v>
      </c>
      <c r="Q36" s="315">
        <f>Data!Q150</f>
        <v>4913</v>
      </c>
      <c r="R36" s="315">
        <f>Data!R150</f>
        <v>5856</v>
      </c>
      <c r="S36" s="314">
        <f>SUM(O36:R36)</f>
        <v>22651</v>
      </c>
      <c r="T36" s="315">
        <f>Data!T150</f>
        <v>7053</v>
      </c>
      <c r="U36" s="315">
        <f>Data!U150</f>
        <v>7113</v>
      </c>
      <c r="V36" s="315">
        <f>Data!V150</f>
        <v>6693</v>
      </c>
      <c r="W36" s="315">
        <f>Data!W150</f>
        <v>7606</v>
      </c>
      <c r="X36" s="314">
        <f>SUM(T36:W36)</f>
        <v>28465</v>
      </c>
      <c r="Y36" s="315">
        <f>Data!Y150</f>
        <v>7555</v>
      </c>
      <c r="Z36" s="315">
        <f>Data!Z150</f>
        <v>8707</v>
      </c>
      <c r="AA36" s="315">
        <f>Data!AA150</f>
        <v>8258</v>
      </c>
      <c r="AB36" s="315">
        <f>Data!AB150</f>
        <v>8866</v>
      </c>
      <c r="AC36" s="314">
        <f>SUM(Y36:AB36)</f>
        <v>33386</v>
      </c>
      <c r="AD36" s="315">
        <f>Data!AD150</f>
        <v>8161</v>
      </c>
      <c r="AE36" s="315">
        <f>Data!AE150</f>
        <v>8567</v>
      </c>
      <c r="AF36" s="315">
        <f>Data!AF150</f>
        <v>6946</v>
      </c>
      <c r="AG36" s="315">
        <f>Data!AG150</f>
        <v>4589</v>
      </c>
      <c r="AH36" s="314">
        <f>SUM(AD36:AG36)</f>
        <v>28263</v>
      </c>
      <c r="AI36" s="315">
        <f>Data!AI150</f>
        <v>8554</v>
      </c>
      <c r="AJ36" s="315">
        <f>Data!AJ150</f>
        <v>8431</v>
      </c>
      <c r="AK36" s="315">
        <f>Data!AK150</f>
        <v>7883</v>
      </c>
      <c r="AL36" s="315">
        <f>Data!AL150</f>
        <v>9183</v>
      </c>
      <c r="AM36" s="285">
        <f>SUM(AI36:AL36)</f>
        <v>34051</v>
      </c>
      <c r="AN36" s="68">
        <f>Data!AN150</f>
        <v>7468</v>
      </c>
      <c r="AO36" s="68">
        <f>Data!AO150</f>
        <v>7433</v>
      </c>
      <c r="AP36" s="68">
        <f>Data!AP150</f>
        <v>8749</v>
      </c>
      <c r="AQ36" s="68">
        <f>Data!AQ150</f>
        <v>8184</v>
      </c>
      <c r="AR36" s="285">
        <f>SUM(AN36:AQ36)</f>
        <v>31834</v>
      </c>
      <c r="AS36" s="68">
        <f>Data!AS150</f>
        <v>7118</v>
      </c>
      <c r="AT36" s="68">
        <f>Data!AT150</f>
        <v>8843</v>
      </c>
      <c r="AU36" s="121">
        <f>Data!AU150</f>
        <v>9515</v>
      </c>
      <c r="AV36" s="121">
        <f>Data!AV150</f>
        <v>10695</v>
      </c>
      <c r="AW36" s="285">
        <f>SUM(AS36:AV36)</f>
        <v>36171</v>
      </c>
      <c r="AX36" s="121">
        <f>Data!AX150</f>
        <v>10937</v>
      </c>
      <c r="AY36" s="121">
        <f>Data!AY150</f>
        <v>11843</v>
      </c>
      <c r="AZ36" s="121">
        <f>Data!AZ150</f>
        <v>12186</v>
      </c>
      <c r="BA36" s="121">
        <f>Data!BA150</f>
        <v>14161</v>
      </c>
      <c r="BB36" s="285">
        <f>SUM(AX36:BA36)</f>
        <v>49127</v>
      </c>
      <c r="BC36" s="121">
        <f>Data!BC150</f>
        <v>10690</v>
      </c>
      <c r="BD36" s="121">
        <f>Data!BD150</f>
        <v>13624</v>
      </c>
      <c r="BE36" s="121">
        <f>Data!BE150</f>
        <v>13987</v>
      </c>
      <c r="BF36" s="121">
        <f>Data!BF150</f>
        <v>14680.3</v>
      </c>
      <c r="BG36" s="120">
        <f>SUM(BC36:BF36)</f>
        <v>52981.3</v>
      </c>
      <c r="BH36" s="121">
        <f>Data!BH150</f>
        <v>12737</v>
      </c>
      <c r="BI36" s="121">
        <f>Data!BI150</f>
        <v>14304</v>
      </c>
      <c r="BJ36" s="121">
        <f>Data!BJ150</f>
        <v>16110</v>
      </c>
      <c r="BK36" s="121">
        <f>Data!BK150</f>
        <v>16839</v>
      </c>
      <c r="BL36" s="120">
        <f>SUM(BH36:BK36)</f>
        <v>59990</v>
      </c>
      <c r="BM36" s="121">
        <f>Data!BM150</f>
        <v>15381</v>
      </c>
      <c r="BN36" s="121">
        <f>Data!BN150</f>
        <v>16877</v>
      </c>
      <c r="BO36" s="121">
        <f>Data!BO150</f>
        <v>17692</v>
      </c>
      <c r="BP36" s="121">
        <f>Data!BP150</f>
        <v>16098</v>
      </c>
      <c r="BQ36" s="120">
        <f>SUM(BM36:BP36)</f>
        <v>66048</v>
      </c>
      <c r="BR36" s="121">
        <f>Data!BR148</f>
        <v>12787</v>
      </c>
      <c r="BS36" s="121">
        <f>Data!BS148</f>
        <v>15643</v>
      </c>
      <c r="BT36" s="121">
        <f>Data!BT148</f>
        <v>15200</v>
      </c>
      <c r="BU36" s="121">
        <f>Data!BU148</f>
        <v>14382</v>
      </c>
      <c r="BV36" s="120">
        <f>SUM(BR36:BU36)</f>
        <v>58012</v>
      </c>
      <c r="BW36" s="121">
        <f>Data!BW148</f>
        <v>12953</v>
      </c>
      <c r="BX36" s="121">
        <f>Data!BX148</f>
        <v>14280</v>
      </c>
      <c r="BY36" s="121">
        <f>Data!BY148</f>
        <v>15393</v>
      </c>
      <c r="BZ36" s="121">
        <f>Data!BZ148</f>
        <v>15388</v>
      </c>
      <c r="CA36" s="120">
        <f>SUM(BW36:BZ36)</f>
        <v>58014</v>
      </c>
      <c r="CB36" s="121">
        <f>Data!CB148</f>
        <v>12945</v>
      </c>
      <c r="CC36" s="121">
        <f>Data!CC148</f>
        <v>13952</v>
      </c>
      <c r="CD36" s="121">
        <f>Data!CD148</f>
        <v>14071</v>
      </c>
      <c r="CE36" s="121">
        <f>Data!CE148</f>
        <v>16531</v>
      </c>
      <c r="CF36" s="120">
        <f>SUM(CB36:CE36)</f>
        <v>57499</v>
      </c>
      <c r="CG36" s="121">
        <f>Data!CG148</f>
        <v>11822</v>
      </c>
      <c r="CH36" s="121">
        <f>Data!CH148</f>
        <v>4722</v>
      </c>
      <c r="CI36" s="121">
        <f>Data!CI148</f>
        <v>8249</v>
      </c>
      <c r="CJ36" s="121">
        <f>Data!CJ148</f>
        <v>7462</v>
      </c>
      <c r="CK36" s="120">
        <f>SUM(CG36:CJ36)</f>
        <v>32255</v>
      </c>
      <c r="CL36" s="121">
        <f>Data!CL148</f>
        <v>6205</v>
      </c>
      <c r="CM36" s="121">
        <f>Data!CM148</f>
        <v>1633</v>
      </c>
      <c r="CN36" s="121">
        <f>Data!CN148</f>
        <v>3596</v>
      </c>
      <c r="CO36" s="121">
        <f>Data!CO148</f>
        <v>4728</v>
      </c>
      <c r="CP36" s="120">
        <f>SUM(CL36:CO36)</f>
        <v>16162</v>
      </c>
      <c r="CQ36" s="121">
        <f>Data!CQ148</f>
        <v>4269</v>
      </c>
      <c r="CR36" s="121">
        <f>Data!CR148</f>
        <v>6015</v>
      </c>
      <c r="CS36" s="121">
        <f>Data!CS148</f>
        <v>4459</v>
      </c>
      <c r="CT36" s="121">
        <f>Data!CT148</f>
        <v>4750</v>
      </c>
      <c r="CU36" s="120">
        <f>SUM(CQ36:CT36)</f>
        <v>19493</v>
      </c>
      <c r="CV36" s="121">
        <f>Data!CV148</f>
        <v>4161</v>
      </c>
      <c r="CW36" s="121">
        <f>Data!CW148</f>
        <v>6219</v>
      </c>
      <c r="CX36" s="121">
        <f>Data!CX148</f>
        <v>6263</v>
      </c>
      <c r="CY36" s="121">
        <f>Data!CY148</f>
        <v>9224</v>
      </c>
      <c r="CZ36" s="120">
        <f>SUM(CV36:CY36)</f>
        <v>25867</v>
      </c>
      <c r="DA36" s="121">
        <f>Data!DA148</f>
        <v>6704</v>
      </c>
      <c r="DB36" s="121">
        <f>Data!DB148</f>
        <v>8840</v>
      </c>
      <c r="DC36" s="121">
        <f>Data!DC148</f>
        <v>7876</v>
      </c>
      <c r="DD36" s="121">
        <f>Data!DD148</f>
        <v>10481</v>
      </c>
      <c r="DE36" s="120">
        <f>SUM(DA36:DD36)</f>
        <v>33901</v>
      </c>
      <c r="DF36" s="121">
        <f>Data!DF148</f>
        <v>4653</v>
      </c>
      <c r="DG36" s="121">
        <f>Data!DG148</f>
        <v>6003</v>
      </c>
      <c r="DH36" s="121">
        <f>Data!DH148</f>
        <v>7443</v>
      </c>
      <c r="DI36" s="121">
        <f>Data!DI148</f>
        <v>4762</v>
      </c>
      <c r="DJ36" s="120">
        <f>SUM(DF36:DI36)</f>
        <v>22861</v>
      </c>
      <c r="DK36" s="121">
        <f>Data!DK148</f>
        <v>8147</v>
      </c>
      <c r="DL36" s="121">
        <f>Data!DL148</f>
        <v>10874</v>
      </c>
      <c r="DM36" s="121">
        <f>Data!DM148</f>
        <v>11094</v>
      </c>
      <c r="DN36" s="121">
        <f>Data!DN148</f>
        <v>11379</v>
      </c>
      <c r="DO36" s="120">
        <f>SUM(DK36:DN36)</f>
        <v>41494</v>
      </c>
      <c r="DP36" s="121">
        <f>Data!DP148</f>
        <v>9203</v>
      </c>
      <c r="DQ36" s="121">
        <f>Data!DQ148</f>
        <v>11751</v>
      </c>
      <c r="DR36" s="124">
        <f>Commercial!DR114+SEG!DR87+SEG!DR97</f>
        <v>11561.396795496217</v>
      </c>
      <c r="DS36" s="124">
        <f>Commercial!DS114+SEG!DS87+SEG!DS97</f>
        <v>12747.529358705026</v>
      </c>
      <c r="DT36" s="120">
        <f>SUM(DP36:DS36)</f>
        <v>45262.926154201239</v>
      </c>
      <c r="DU36" s="124">
        <f>Commercial!DU114+SEG!DU87+SEG!DU97</f>
        <v>12039.5367612225</v>
      </c>
      <c r="DV36" s="124">
        <f>Commercial!DV114+SEG!DV87+SEG!DV97</f>
        <v>14228.745443111249</v>
      </c>
      <c r="DW36" s="124">
        <f>Commercial!DW114+SEG!DW87+SEG!DW97</f>
        <v>15280.745443111249</v>
      </c>
      <c r="DX36" s="124">
        <f>Commercial!DX114+SEG!DX87+SEG!DX97</f>
        <v>17502.36709311125</v>
      </c>
      <c r="DY36" s="120">
        <f>SUM(DU36:DX36)</f>
        <v>59051.39474055625</v>
      </c>
      <c r="DZ36" s="125">
        <f>Commercial!DZ114+SEG!DZ87+SEG!DZ97</f>
        <v>68286.425936222498</v>
      </c>
      <c r="EA36" s="125">
        <f>Commercial!EA114+SEG!EA87+SEG!EA97</f>
        <v>78761</v>
      </c>
      <c r="EB36" s="125">
        <f>Commercial!EB114+SEG!EB87+SEG!EB97</f>
        <v>84921</v>
      </c>
    </row>
    <row r="37" spans="1:132" s="168" customFormat="1" ht="12" hidden="1" customHeight="1">
      <c r="A37" s="147"/>
      <c r="B37" s="160" t="s">
        <v>292</v>
      </c>
      <c r="C37" s="175"/>
      <c r="D37" s="175"/>
      <c r="E37" s="175"/>
      <c r="F37" s="175"/>
      <c r="G37" s="175"/>
      <c r="H37" s="175"/>
      <c r="I37" s="175"/>
      <c r="J37" s="147"/>
      <c r="K37" s="147"/>
      <c r="L37" s="147"/>
      <c r="M37" s="147"/>
      <c r="N37" s="175"/>
      <c r="O37" s="147"/>
      <c r="P37" s="147"/>
      <c r="Q37" s="147"/>
      <c r="R37" s="147"/>
      <c r="S37" s="175"/>
      <c r="T37" s="147"/>
      <c r="U37" s="147"/>
      <c r="V37" s="147"/>
      <c r="W37" s="147"/>
      <c r="X37" s="175"/>
      <c r="Y37" s="147"/>
      <c r="Z37" s="147"/>
      <c r="AA37" s="147"/>
      <c r="AB37" s="147"/>
      <c r="AC37" s="175"/>
      <c r="AD37" s="147"/>
      <c r="AE37" s="147"/>
      <c r="AF37" s="147"/>
      <c r="AG37" s="147"/>
      <c r="AH37" s="285"/>
      <c r="AI37" s="147"/>
      <c r="AJ37" s="147"/>
      <c r="AK37" s="147"/>
      <c r="AL37" s="147"/>
      <c r="AM37" s="285"/>
      <c r="AN37" s="241"/>
      <c r="AO37" s="147"/>
      <c r="AP37" s="147"/>
      <c r="AQ37" s="147"/>
      <c r="AR37" s="285"/>
      <c r="AS37" s="147"/>
      <c r="AT37" s="147"/>
      <c r="AU37" s="147"/>
      <c r="AV37" s="147"/>
      <c r="AW37" s="285"/>
      <c r="AX37" s="147"/>
      <c r="AY37" s="147"/>
      <c r="AZ37" s="147"/>
      <c r="BA37" s="147"/>
      <c r="BB37" s="175"/>
      <c r="BC37" s="147"/>
      <c r="BD37" s="147"/>
      <c r="BE37" s="147"/>
      <c r="BF37" s="147"/>
      <c r="BG37" s="175"/>
      <c r="BH37" s="584"/>
      <c r="BI37" s="584"/>
      <c r="BJ37" s="584"/>
      <c r="BK37" s="584"/>
      <c r="BL37" s="641"/>
      <c r="BM37" s="584"/>
      <c r="BN37" s="584"/>
      <c r="BO37" s="584"/>
      <c r="BP37" s="584"/>
      <c r="BQ37" s="641"/>
      <c r="BR37" s="584"/>
      <c r="BS37" s="584"/>
      <c r="BT37" s="584"/>
      <c r="BU37" s="584"/>
      <c r="BV37" s="641"/>
      <c r="BW37" s="584"/>
      <c r="BX37" s="584"/>
      <c r="BY37" s="584"/>
      <c r="BZ37" s="584"/>
      <c r="CA37" s="641"/>
      <c r="CB37" s="584"/>
      <c r="CC37" s="584"/>
      <c r="CD37" s="584"/>
      <c r="CE37" s="584"/>
      <c r="CF37" s="641"/>
      <c r="CG37" s="584"/>
      <c r="CH37" s="584"/>
      <c r="CI37" s="584"/>
      <c r="CJ37" s="584"/>
      <c r="CK37" s="120"/>
      <c r="CL37" s="584"/>
      <c r="CM37" s="584"/>
      <c r="CN37" s="584"/>
      <c r="CO37" s="584"/>
      <c r="CP37" s="120"/>
      <c r="CQ37" s="584"/>
      <c r="CR37" s="584"/>
      <c r="CS37" s="584"/>
      <c r="CT37" s="584"/>
      <c r="CU37" s="120"/>
      <c r="CV37" s="584"/>
      <c r="CW37" s="584"/>
      <c r="CX37" s="584"/>
      <c r="CY37" s="584"/>
      <c r="CZ37" s="120"/>
      <c r="DA37" s="584"/>
      <c r="DB37" s="121"/>
      <c r="DC37" s="584"/>
      <c r="DD37" s="584"/>
      <c r="DE37" s="120"/>
      <c r="DF37" s="584"/>
      <c r="DG37" s="584"/>
      <c r="DH37" s="584"/>
      <c r="DI37" s="584"/>
      <c r="DJ37" s="120"/>
      <c r="DK37" s="584"/>
      <c r="DL37" s="584"/>
      <c r="DM37" s="584"/>
      <c r="DN37" s="584"/>
      <c r="DO37" s="120"/>
      <c r="DP37" s="584"/>
      <c r="DQ37" s="584"/>
      <c r="DR37" s="584"/>
      <c r="DS37" s="584"/>
      <c r="DT37" s="120"/>
      <c r="DU37" s="584"/>
      <c r="DV37" s="584"/>
      <c r="DW37" s="584"/>
      <c r="DX37" s="584"/>
      <c r="DY37" s="120"/>
      <c r="DZ37" s="641"/>
      <c r="EA37" s="641"/>
      <c r="EB37" s="641"/>
    </row>
    <row r="38" spans="1:132" s="168" customFormat="1" ht="12" hidden="1" customHeight="1">
      <c r="A38" s="147"/>
      <c r="B38" s="158" t="s">
        <v>106</v>
      </c>
      <c r="C38" s="314">
        <f>Data!C151</f>
        <v>0</v>
      </c>
      <c r="D38" s="314">
        <f>Data!D151</f>
        <v>0</v>
      </c>
      <c r="E38" s="314">
        <f>Data!E151</f>
        <v>0</v>
      </c>
      <c r="F38" s="314">
        <f>Data!F151</f>
        <v>0</v>
      </c>
      <c r="G38" s="314">
        <f>Data!G151</f>
        <v>0</v>
      </c>
      <c r="H38" s="314">
        <f>Data!H151</f>
        <v>0</v>
      </c>
      <c r="I38" s="314">
        <f>Data!I151</f>
        <v>0</v>
      </c>
      <c r="J38" s="315">
        <f>Data!J151</f>
        <v>0</v>
      </c>
      <c r="K38" s="315">
        <f>Data!K151</f>
        <v>0</v>
      </c>
      <c r="L38" s="315">
        <f>Data!L151</f>
        <v>0</v>
      </c>
      <c r="M38" s="315">
        <f>Data!M151</f>
        <v>0</v>
      </c>
      <c r="N38" s="314">
        <f>Data!N151</f>
        <v>12835</v>
      </c>
      <c r="O38" s="315">
        <f>Data!O151</f>
        <v>3214</v>
      </c>
      <c r="P38" s="315">
        <f>Data!P151</f>
        <v>3511</v>
      </c>
      <c r="Q38" s="315">
        <f>Data!Q151</f>
        <v>3031</v>
      </c>
      <c r="R38" s="315">
        <f>Data!R151</f>
        <v>3754</v>
      </c>
      <c r="S38" s="314">
        <f t="shared" ref="S38:S44" si="1">SUM(O38:R38)</f>
        <v>13510</v>
      </c>
      <c r="T38" s="315">
        <f>Data!T151</f>
        <v>3147</v>
      </c>
      <c r="U38" s="315">
        <f>Data!U151</f>
        <v>3411</v>
      </c>
      <c r="V38" s="315">
        <f>Data!V151</f>
        <v>3474</v>
      </c>
      <c r="W38" s="315">
        <f>Data!W151</f>
        <v>4318</v>
      </c>
      <c r="X38" s="314">
        <f>SUM(T38:W38)</f>
        <v>14350</v>
      </c>
      <c r="Y38" s="315">
        <f>Data!Y151</f>
        <v>3281</v>
      </c>
      <c r="Z38" s="315">
        <f>Data!Z151</f>
        <v>3422</v>
      </c>
      <c r="AA38" s="315">
        <f>Data!AA151</f>
        <v>3360</v>
      </c>
      <c r="AB38" s="315">
        <f>Data!AB151</f>
        <v>3622</v>
      </c>
      <c r="AC38" s="314">
        <f>SUM(Y38:AB38)</f>
        <v>13685</v>
      </c>
      <c r="AD38" s="315">
        <f>Data!AD151</f>
        <v>3202</v>
      </c>
      <c r="AE38" s="315">
        <f>Data!AE151</f>
        <v>3265</v>
      </c>
      <c r="AF38" s="315">
        <f>Data!AF151</f>
        <v>3777</v>
      </c>
      <c r="AG38" s="315">
        <f>Data!AG151</f>
        <v>3166</v>
      </c>
      <c r="AH38" s="314">
        <f>SUM(AD38:AG38)</f>
        <v>13410</v>
      </c>
      <c r="AI38" s="315">
        <f>Data!AI151</f>
        <v>3010</v>
      </c>
      <c r="AJ38" s="315">
        <f>Data!AJ151</f>
        <v>3363</v>
      </c>
      <c r="AK38" s="315">
        <f>Data!AK151</f>
        <v>3951</v>
      </c>
      <c r="AL38" s="315">
        <f>Data!AL151</f>
        <v>3733</v>
      </c>
      <c r="AM38" s="285">
        <f>SUM(AI38:AL38)</f>
        <v>14057</v>
      </c>
      <c r="AN38" s="68">
        <f>Data!AN151</f>
        <v>3241</v>
      </c>
      <c r="AO38" s="68">
        <f>Data!AO151</f>
        <v>3580</v>
      </c>
      <c r="AP38" s="68">
        <f>Data!AP151</f>
        <v>3790</v>
      </c>
      <c r="AQ38" s="68">
        <f>Data!AQ151</f>
        <v>3627</v>
      </c>
      <c r="AR38" s="285">
        <f>SUM(AN38:AQ38)</f>
        <v>14238</v>
      </c>
      <c r="AS38" s="68">
        <f>Data!AS151</f>
        <v>3392</v>
      </c>
      <c r="AT38" s="68">
        <f>Data!AT151</f>
        <v>3642</v>
      </c>
      <c r="AU38" s="121">
        <f>Data!AU151</f>
        <v>3964</v>
      </c>
      <c r="AV38" s="121">
        <f>Data!AV151</f>
        <v>3949</v>
      </c>
      <c r="AW38" s="285">
        <f>SUM(AS38:AV38)</f>
        <v>14947</v>
      </c>
      <c r="AX38" s="121">
        <f>Data!AX151</f>
        <v>4308</v>
      </c>
      <c r="AY38" s="121">
        <f>Data!AY151</f>
        <v>4130</v>
      </c>
      <c r="AZ38" s="121">
        <f>Data!AZ151</f>
        <v>3789</v>
      </c>
      <c r="BA38" s="121">
        <f>Data!BA151</f>
        <v>4157</v>
      </c>
      <c r="BB38" s="285">
        <f>SUM(AX38:BA38)</f>
        <v>16384</v>
      </c>
      <c r="BC38" s="121">
        <f>Data!BC151</f>
        <v>4109</v>
      </c>
      <c r="BD38" s="121">
        <f>Data!BD151</f>
        <v>3889</v>
      </c>
      <c r="BE38" s="121">
        <f>Data!BE151</f>
        <v>3543</v>
      </c>
      <c r="BF38" s="121">
        <f>Data!BF151</f>
        <v>4395</v>
      </c>
      <c r="BG38" s="120">
        <f>SUM(BC38:BF38)</f>
        <v>15936</v>
      </c>
      <c r="BH38" s="121">
        <f>Data!BH151</f>
        <v>3458</v>
      </c>
      <c r="BI38" s="121">
        <f>Data!BI151</f>
        <v>3523</v>
      </c>
      <c r="BJ38" s="121">
        <f>Data!BJ151</f>
        <v>3537</v>
      </c>
      <c r="BK38" s="121">
        <f>Data!BK151</f>
        <v>2993</v>
      </c>
      <c r="BL38" s="120">
        <f>SUM(BH38:BK38)</f>
        <v>13511</v>
      </c>
      <c r="BM38" s="121">
        <f>Data!BM151</f>
        <v>2744</v>
      </c>
      <c r="BN38" s="121">
        <f>Data!BN151</f>
        <v>3488</v>
      </c>
      <c r="BO38" s="121">
        <f>Data!BO151</f>
        <v>4051</v>
      </c>
      <c r="BP38" s="121">
        <f>Data!BP151</f>
        <v>3199</v>
      </c>
      <c r="BQ38" s="120">
        <f>SUM(BM38:BP38)</f>
        <v>13482</v>
      </c>
      <c r="BR38" s="121">
        <f>Data!BR151</f>
        <v>3659</v>
      </c>
      <c r="BS38" s="121">
        <f>Data!BS151</f>
        <v>2979</v>
      </c>
      <c r="BT38" s="121">
        <f>Data!BT151</f>
        <v>3260</v>
      </c>
      <c r="BU38" s="121">
        <f>Data!BU151</f>
        <v>2617</v>
      </c>
      <c r="BV38" s="120">
        <f>SUM(BR38:BU38)</f>
        <v>12515</v>
      </c>
      <c r="BW38" s="121">
        <f>Data!BW151</f>
        <v>2636</v>
      </c>
      <c r="BX38" s="121">
        <f>Data!BX151</f>
        <v>2904</v>
      </c>
      <c r="BY38" s="124"/>
      <c r="BZ38" s="124"/>
      <c r="CA38" s="120">
        <f>SUM(BW38:BZ38)</f>
        <v>5540</v>
      </c>
      <c r="CB38" s="124"/>
      <c r="CC38" s="124"/>
      <c r="CD38" s="124"/>
      <c r="CE38" s="124"/>
      <c r="CF38" s="120"/>
      <c r="CG38" s="124"/>
      <c r="CH38" s="124"/>
      <c r="CI38" s="124"/>
      <c r="CJ38" s="124"/>
      <c r="CK38" s="120"/>
      <c r="CL38" s="124"/>
      <c r="CM38" s="124"/>
      <c r="CN38" s="124"/>
      <c r="CO38" s="124"/>
      <c r="CP38" s="120"/>
      <c r="CQ38" s="124"/>
      <c r="CR38" s="124"/>
      <c r="CS38" s="124"/>
      <c r="CT38" s="124"/>
      <c r="CU38" s="120"/>
      <c r="CV38" s="124"/>
      <c r="CW38" s="124"/>
      <c r="CX38" s="124"/>
      <c r="CY38" s="124"/>
      <c r="CZ38" s="120"/>
      <c r="DA38" s="124"/>
      <c r="DB38" s="121"/>
      <c r="DC38" s="124"/>
      <c r="DD38" s="124"/>
      <c r="DE38" s="120"/>
      <c r="DF38" s="124"/>
      <c r="DG38" s="124"/>
      <c r="DH38" s="124"/>
      <c r="DI38" s="124"/>
      <c r="DJ38" s="120"/>
      <c r="DK38" s="124"/>
      <c r="DL38" s="124"/>
      <c r="DM38" s="124"/>
      <c r="DN38" s="124"/>
      <c r="DO38" s="120"/>
      <c r="DP38" s="124"/>
      <c r="DQ38" s="124"/>
      <c r="DR38" s="124"/>
      <c r="DS38" s="124"/>
      <c r="DT38" s="120"/>
      <c r="DU38" s="124"/>
      <c r="DV38" s="124"/>
      <c r="DW38" s="124"/>
      <c r="DX38" s="124"/>
      <c r="DY38" s="120"/>
      <c r="DZ38" s="125"/>
      <c r="EA38" s="125"/>
      <c r="EB38" s="125"/>
    </row>
    <row r="39" spans="1:132" s="168" customFormat="1" ht="12" hidden="1" customHeight="1">
      <c r="A39" s="147"/>
      <c r="B39" s="158" t="s">
        <v>107</v>
      </c>
      <c r="C39" s="314">
        <f>Data!C152</f>
        <v>0</v>
      </c>
      <c r="D39" s="314">
        <f>Data!D152</f>
        <v>0</v>
      </c>
      <c r="E39" s="314">
        <f>Data!E152</f>
        <v>0</v>
      </c>
      <c r="F39" s="314">
        <f>Data!F152</f>
        <v>0</v>
      </c>
      <c r="G39" s="314">
        <f>Data!G152</f>
        <v>0</v>
      </c>
      <c r="H39" s="314">
        <f>Data!H152</f>
        <v>0</v>
      </c>
      <c r="I39" s="314">
        <f>Data!I152</f>
        <v>0</v>
      </c>
      <c r="J39" s="315">
        <f>Data!J152</f>
        <v>0</v>
      </c>
      <c r="K39" s="315">
        <f>Data!K152</f>
        <v>0</v>
      </c>
      <c r="L39" s="315">
        <f>Data!L152</f>
        <v>0</v>
      </c>
      <c r="M39" s="315">
        <f>Data!M152</f>
        <v>0</v>
      </c>
      <c r="N39" s="314">
        <f>Data!N152</f>
        <v>13023</v>
      </c>
      <c r="O39" s="315">
        <f>Data!O152</f>
        <v>3222</v>
      </c>
      <c r="P39" s="315">
        <f>Data!P152</f>
        <v>3110</v>
      </c>
      <c r="Q39" s="315">
        <f>Data!Q152</f>
        <v>3036</v>
      </c>
      <c r="R39" s="315">
        <f>Data!R152</f>
        <v>2886</v>
      </c>
      <c r="S39" s="314">
        <f t="shared" si="1"/>
        <v>12254</v>
      </c>
      <c r="T39" s="315">
        <f>Data!T152</f>
        <v>2752</v>
      </c>
      <c r="U39" s="315">
        <f>Data!U152</f>
        <v>2947</v>
      </c>
      <c r="V39" s="315">
        <f>Data!V152</f>
        <v>2856</v>
      </c>
      <c r="W39" s="315">
        <f>Data!W152</f>
        <v>3425</v>
      </c>
      <c r="X39" s="314">
        <f>SUM(T39:W39)</f>
        <v>11980</v>
      </c>
      <c r="Y39" s="315">
        <f>Data!Y152</f>
        <v>2856</v>
      </c>
      <c r="Z39" s="315">
        <f>Data!Z152</f>
        <v>2943</v>
      </c>
      <c r="AA39" s="315">
        <f>Data!AA152</f>
        <v>3006</v>
      </c>
      <c r="AB39" s="315">
        <f>Data!AB152</f>
        <v>2891</v>
      </c>
      <c r="AC39" s="314">
        <f>SUM(Y39:AB39)</f>
        <v>11696</v>
      </c>
      <c r="AD39" s="315">
        <f>Data!AD152</f>
        <v>2694</v>
      </c>
      <c r="AE39" s="315">
        <f>Data!AE152</f>
        <v>2804</v>
      </c>
      <c r="AF39" s="315">
        <f>Data!AF152</f>
        <v>2984</v>
      </c>
      <c r="AG39" s="315">
        <f>Data!AG152</f>
        <v>2869</v>
      </c>
      <c r="AH39" s="314">
        <f>SUM(AD39:AG39)</f>
        <v>11351</v>
      </c>
      <c r="AI39" s="315">
        <f>Data!AI152</f>
        <v>2678</v>
      </c>
      <c r="AJ39" s="315">
        <f>Data!AJ152</f>
        <v>3103</v>
      </c>
      <c r="AK39" s="315">
        <f>Data!AK152</f>
        <v>2711</v>
      </c>
      <c r="AL39" s="315">
        <f>Data!AL152</f>
        <v>2385</v>
      </c>
      <c r="AM39" s="285">
        <f>SUM(AI39:AL39)</f>
        <v>10877</v>
      </c>
      <c r="AN39" s="68">
        <f>Data!AN152</f>
        <v>2323</v>
      </c>
      <c r="AO39" s="68">
        <f>Data!AO152</f>
        <v>2354</v>
      </c>
      <c r="AP39" s="68">
        <f>Data!AP152</f>
        <v>2344</v>
      </c>
      <c r="AQ39" s="68">
        <f>Data!AQ152</f>
        <v>2434</v>
      </c>
      <c r="AR39" s="285">
        <f>SUM(AN39:AQ39)</f>
        <v>9455</v>
      </c>
      <c r="AS39" s="68">
        <f>Data!AS152</f>
        <v>2349</v>
      </c>
      <c r="AT39" s="68">
        <f>Data!AT152</f>
        <v>2081</v>
      </c>
      <c r="AU39" s="121">
        <f>Data!AU152</f>
        <v>2276</v>
      </c>
      <c r="AV39" s="121">
        <f>Data!AV152</f>
        <v>1967</v>
      </c>
      <c r="AW39" s="285">
        <f>SUM(AS39:AV39)</f>
        <v>8673</v>
      </c>
      <c r="AX39" s="121">
        <f>Data!AX152</f>
        <v>1795</v>
      </c>
      <c r="AY39" s="121">
        <f>Data!AY152</f>
        <v>1887</v>
      </c>
      <c r="AZ39" s="121">
        <f>Data!AZ152</f>
        <v>1990</v>
      </c>
      <c r="BA39" s="121">
        <f>Data!BA152</f>
        <v>1912</v>
      </c>
      <c r="BB39" s="285">
        <f>SUM(AX39:BA39)</f>
        <v>7584</v>
      </c>
      <c r="BC39" s="121">
        <f>Data!BC152</f>
        <v>1960</v>
      </c>
      <c r="BD39" s="121">
        <f>Data!BD152</f>
        <v>2049</v>
      </c>
      <c r="BE39" s="121">
        <f>Data!BE152</f>
        <v>2231</v>
      </c>
      <c r="BF39" s="121">
        <f>Data!BF152</f>
        <v>2272</v>
      </c>
      <c r="BG39" s="120">
        <f>SUM(BC39:BF39)</f>
        <v>8512</v>
      </c>
      <c r="BH39" s="121">
        <f>Data!BH152</f>
        <v>1876</v>
      </c>
      <c r="BI39" s="121">
        <f>Data!BI152</f>
        <v>1920</v>
      </c>
      <c r="BJ39" s="121">
        <f>Data!BJ152</f>
        <v>2027</v>
      </c>
      <c r="BK39" s="121">
        <f>Data!BK152</f>
        <v>2180</v>
      </c>
      <c r="BL39" s="120">
        <f>SUM(BH39:BK39)</f>
        <v>8003</v>
      </c>
      <c r="BM39" s="121">
        <f>Data!BM152</f>
        <v>1732</v>
      </c>
      <c r="BN39" s="121">
        <f>Data!BN152</f>
        <v>1938</v>
      </c>
      <c r="BO39" s="121">
        <f>Data!BO152</f>
        <v>2127</v>
      </c>
      <c r="BP39" s="121">
        <f>Data!BP152</f>
        <v>1954</v>
      </c>
      <c r="BQ39" s="120">
        <f>SUM(BM39:BP39)</f>
        <v>7751</v>
      </c>
      <c r="BR39" s="121">
        <f>Data!BR152</f>
        <v>1735</v>
      </c>
      <c r="BS39" s="121">
        <f>Data!BS152</f>
        <v>1810</v>
      </c>
      <c r="BT39" s="121">
        <f>Data!BT152</f>
        <v>1701</v>
      </c>
      <c r="BU39" s="121">
        <f>Data!BU152</f>
        <v>1800</v>
      </c>
      <c r="BV39" s="120">
        <f>SUM(BR39:BU39)</f>
        <v>7046</v>
      </c>
      <c r="BW39" s="121">
        <f>Data!BW152</f>
        <v>1564</v>
      </c>
      <c r="BX39" s="121">
        <f>Data!BX152</f>
        <v>1674</v>
      </c>
      <c r="BY39" s="124"/>
      <c r="BZ39" s="124"/>
      <c r="CA39" s="120">
        <f>SUM(BW39:BZ39)</f>
        <v>3238</v>
      </c>
      <c r="CB39" s="124"/>
      <c r="CC39" s="124"/>
      <c r="CD39" s="124"/>
      <c r="CE39" s="124"/>
      <c r="CF39" s="120"/>
      <c r="CG39" s="124"/>
      <c r="CH39" s="124"/>
      <c r="CI39" s="124"/>
      <c r="CJ39" s="124"/>
      <c r="CK39" s="120"/>
      <c r="CL39" s="124"/>
      <c r="CM39" s="124"/>
      <c r="CN39" s="124"/>
      <c r="CO39" s="124"/>
      <c r="CP39" s="120"/>
      <c r="CQ39" s="124"/>
      <c r="CR39" s="124"/>
      <c r="CS39" s="124"/>
      <c r="CT39" s="124"/>
      <c r="CU39" s="120"/>
      <c r="CV39" s="124"/>
      <c r="CW39" s="124"/>
      <c r="CX39" s="124"/>
      <c r="CY39" s="124"/>
      <c r="CZ39" s="120"/>
      <c r="DA39" s="124"/>
      <c r="DB39" s="121"/>
      <c r="DC39" s="124"/>
      <c r="DD39" s="124"/>
      <c r="DE39" s="120"/>
      <c r="DF39" s="124"/>
      <c r="DG39" s="124"/>
      <c r="DH39" s="124"/>
      <c r="DI39" s="124"/>
      <c r="DJ39" s="120"/>
      <c r="DK39" s="124"/>
      <c r="DL39" s="124"/>
      <c r="DM39" s="124"/>
      <c r="DN39" s="124"/>
      <c r="DO39" s="120"/>
      <c r="DP39" s="124"/>
      <c r="DQ39" s="124"/>
      <c r="DR39" s="124"/>
      <c r="DS39" s="124"/>
      <c r="DT39" s="120"/>
      <c r="DU39" s="124"/>
      <c r="DV39" s="124"/>
      <c r="DW39" s="124"/>
      <c r="DX39" s="124"/>
      <c r="DY39" s="120"/>
      <c r="DZ39" s="125"/>
      <c r="EA39" s="125"/>
      <c r="EB39" s="125"/>
    </row>
    <row r="40" spans="1:132" s="168" customFormat="1" ht="12" hidden="1" customHeight="1">
      <c r="A40" s="147"/>
      <c r="B40" s="841" t="s">
        <v>108</v>
      </c>
      <c r="C40" s="321">
        <f>Data!C153</f>
        <v>0</v>
      </c>
      <c r="D40" s="321">
        <f>Data!D153</f>
        <v>0</v>
      </c>
      <c r="E40" s="321">
        <f>Data!E153</f>
        <v>0</v>
      </c>
      <c r="F40" s="321">
        <f>Data!F153</f>
        <v>0</v>
      </c>
      <c r="G40" s="321">
        <f>Data!G153</f>
        <v>0</v>
      </c>
      <c r="H40" s="321">
        <f>Data!H153</f>
        <v>0</v>
      </c>
      <c r="I40" s="321">
        <f>Data!I153</f>
        <v>0</v>
      </c>
      <c r="J40" s="322">
        <f>Data!J153</f>
        <v>0</v>
      </c>
      <c r="K40" s="322">
        <f>Data!K153</f>
        <v>0</v>
      </c>
      <c r="L40" s="322">
        <f>Data!L153</f>
        <v>0</v>
      </c>
      <c r="M40" s="322">
        <f>Data!M153</f>
        <v>0</v>
      </c>
      <c r="N40" s="321">
        <f>Data!N153</f>
        <v>4881</v>
      </c>
      <c r="O40" s="322">
        <f>Data!O153</f>
        <v>1170</v>
      </c>
      <c r="P40" s="322">
        <f>Data!P153</f>
        <v>1183</v>
      </c>
      <c r="Q40" s="322">
        <f>Data!Q153</f>
        <v>1401</v>
      </c>
      <c r="R40" s="322">
        <f>Data!R153</f>
        <v>1588</v>
      </c>
      <c r="S40" s="321">
        <f t="shared" si="1"/>
        <v>5342</v>
      </c>
      <c r="T40" s="322">
        <f>Data!T153</f>
        <v>1287</v>
      </c>
      <c r="U40" s="322">
        <f>Data!U153</f>
        <v>1416</v>
      </c>
      <c r="V40" s="322">
        <f>Data!V153</f>
        <v>1462</v>
      </c>
      <c r="W40" s="322">
        <f>Data!W153</f>
        <v>1944</v>
      </c>
      <c r="X40" s="321">
        <f>SUM(T40:W40)</f>
        <v>6109</v>
      </c>
      <c r="Y40" s="322">
        <f>Data!Y153</f>
        <v>1584</v>
      </c>
      <c r="Z40" s="322">
        <f>Data!Z153</f>
        <v>1616</v>
      </c>
      <c r="AA40" s="322">
        <f>Data!AA153</f>
        <v>1642</v>
      </c>
      <c r="AB40" s="322">
        <f>Data!AB153</f>
        <v>1857</v>
      </c>
      <c r="AC40" s="842">
        <f>SUM(Y40:AB40)</f>
        <v>6699</v>
      </c>
      <c r="AD40" s="843">
        <f>Data!AD153</f>
        <v>1679</v>
      </c>
      <c r="AE40" s="843">
        <f>Data!AE153</f>
        <v>1865</v>
      </c>
      <c r="AF40" s="843">
        <f>Data!AF153</f>
        <v>1736</v>
      </c>
      <c r="AG40" s="843">
        <f>Data!AG153</f>
        <v>2016</v>
      </c>
      <c r="AH40" s="842">
        <f>SUM(AD40:AG40)</f>
        <v>7296</v>
      </c>
      <c r="AI40" s="322">
        <f>Data!AI153</f>
        <v>2032</v>
      </c>
      <c r="AJ40" s="322">
        <f>Data!AJ153</f>
        <v>2184</v>
      </c>
      <c r="AK40" s="322">
        <f>Data!AK153</f>
        <v>2082</v>
      </c>
      <c r="AL40" s="322">
        <f>Data!AL153</f>
        <v>2429</v>
      </c>
      <c r="AM40" s="844">
        <f>SUM(AI40:AL40)</f>
        <v>8727</v>
      </c>
      <c r="AN40" s="845">
        <f>Data!AN153</f>
        <v>2049</v>
      </c>
      <c r="AO40" s="845">
        <f>Data!AO153</f>
        <v>2049</v>
      </c>
      <c r="AP40" s="845">
        <f>Data!AP153</f>
        <v>2048</v>
      </c>
      <c r="AQ40" s="845">
        <f>Data!AQ153</f>
        <v>2104</v>
      </c>
      <c r="AR40" s="844">
        <f>SUM(AN40:AQ40)</f>
        <v>8250</v>
      </c>
      <c r="AS40" s="845">
        <f>Data!AS153</f>
        <v>1876</v>
      </c>
      <c r="AT40" s="845">
        <f>Data!AT153</f>
        <v>1965</v>
      </c>
      <c r="AU40" s="845">
        <f>Data!AU153</f>
        <v>1960</v>
      </c>
      <c r="AV40" s="845">
        <f>Data!AV153</f>
        <v>2555</v>
      </c>
      <c r="AW40" s="844">
        <f>SUM(AS40:AV40)</f>
        <v>8356</v>
      </c>
      <c r="AX40" s="845">
        <f>Data!AX153</f>
        <v>2130</v>
      </c>
      <c r="AY40" s="845">
        <f>Data!AY153</f>
        <v>2175</v>
      </c>
      <c r="AZ40" s="845">
        <f>Data!AZ153</f>
        <v>2060</v>
      </c>
      <c r="BA40" s="845">
        <f>Data!BA153</f>
        <v>2274</v>
      </c>
      <c r="BB40" s="844">
        <f>SUM(AX40:BA40)</f>
        <v>8639</v>
      </c>
      <c r="BC40" s="845">
        <f>Data!BC153</f>
        <v>2041</v>
      </c>
      <c r="BD40" s="845">
        <f>Data!BD153</f>
        <v>2248</v>
      </c>
      <c r="BE40" s="845">
        <f>Data!BE153</f>
        <v>2272</v>
      </c>
      <c r="BF40" s="845">
        <f>Data!BF153</f>
        <v>2188</v>
      </c>
      <c r="BG40" s="844">
        <f>SUM(BC40:BF40)</f>
        <v>8749</v>
      </c>
      <c r="BH40" s="845">
        <f>Data!BH153</f>
        <v>2299</v>
      </c>
      <c r="BI40" s="845">
        <f>Data!BI153</f>
        <v>2304</v>
      </c>
      <c r="BJ40" s="845">
        <f>Data!BJ153</f>
        <v>2349</v>
      </c>
      <c r="BK40" s="845">
        <f>Data!BK153</f>
        <v>2415</v>
      </c>
      <c r="BL40" s="844">
        <f>SUM(BH40:BK40)</f>
        <v>9367</v>
      </c>
      <c r="BM40" s="845">
        <f>Data!BM153</f>
        <v>2233</v>
      </c>
      <c r="BN40" s="845">
        <f>Data!BN153</f>
        <v>2118</v>
      </c>
      <c r="BO40" s="845">
        <f>Data!BO153</f>
        <v>2172</v>
      </c>
      <c r="BP40" s="845">
        <f>Data!BP153</f>
        <v>2632</v>
      </c>
      <c r="BQ40" s="844">
        <f>SUM(BM40:BP40)</f>
        <v>9155</v>
      </c>
      <c r="BR40" s="845">
        <f>Data!BR153</f>
        <v>2562</v>
      </c>
      <c r="BS40" s="845">
        <f>Data!BS153</f>
        <v>2385</v>
      </c>
      <c r="BT40" s="845">
        <f>Data!BT153</f>
        <v>2547</v>
      </c>
      <c r="BU40" s="845">
        <f>Data!BU153</f>
        <v>2443</v>
      </c>
      <c r="BV40" s="844">
        <f>SUM(BR40:BU40)</f>
        <v>9937</v>
      </c>
      <c r="BW40" s="845">
        <f>Data!BW153</f>
        <v>2332</v>
      </c>
      <c r="BX40" s="845">
        <f>Data!BX153</f>
        <v>2308</v>
      </c>
      <c r="BY40" s="846"/>
      <c r="BZ40" s="846"/>
      <c r="CA40" s="844">
        <f>SUM(BW40:BZ40)</f>
        <v>4640</v>
      </c>
      <c r="CB40" s="846"/>
      <c r="CC40" s="846"/>
      <c r="CD40" s="846"/>
      <c r="CE40" s="846"/>
      <c r="CF40" s="844"/>
      <c r="CG40" s="846"/>
      <c r="CH40" s="846"/>
      <c r="CI40" s="846"/>
      <c r="CJ40" s="846"/>
      <c r="CK40" s="844"/>
      <c r="CL40" s="846"/>
      <c r="CM40" s="846"/>
      <c r="CN40" s="846"/>
      <c r="CO40" s="846"/>
      <c r="CP40" s="844"/>
      <c r="CQ40" s="846"/>
      <c r="CR40" s="846"/>
      <c r="CS40" s="846"/>
      <c r="CT40" s="846"/>
      <c r="CU40" s="844"/>
      <c r="CV40" s="846"/>
      <c r="CW40" s="846"/>
      <c r="CX40" s="846"/>
      <c r="CY40" s="846"/>
      <c r="CZ40" s="844"/>
      <c r="DA40" s="846"/>
      <c r="DB40" s="845"/>
      <c r="DC40" s="846"/>
      <c r="DD40" s="846"/>
      <c r="DE40" s="844"/>
      <c r="DF40" s="846"/>
      <c r="DG40" s="846"/>
      <c r="DH40" s="846"/>
      <c r="DI40" s="846"/>
      <c r="DJ40" s="844"/>
      <c r="DK40" s="846"/>
      <c r="DL40" s="846"/>
      <c r="DM40" s="846"/>
      <c r="DN40" s="846"/>
      <c r="DO40" s="844"/>
      <c r="DP40" s="846"/>
      <c r="DQ40" s="846"/>
      <c r="DR40" s="846"/>
      <c r="DS40" s="846"/>
      <c r="DT40" s="844"/>
      <c r="DU40" s="846"/>
      <c r="DV40" s="846"/>
      <c r="DW40" s="846"/>
      <c r="DX40" s="846"/>
      <c r="DY40" s="844"/>
      <c r="DZ40" s="847"/>
      <c r="EA40" s="847"/>
      <c r="EB40" s="847"/>
    </row>
    <row r="41" spans="1:132" s="241" customFormat="1" ht="12" hidden="1" customHeight="1">
      <c r="B41" s="317" t="s">
        <v>130</v>
      </c>
      <c r="C41" s="285"/>
      <c r="D41" s="285"/>
      <c r="E41" s="285"/>
      <c r="F41" s="285"/>
      <c r="G41" s="285">
        <f>Data!G154</f>
        <v>9575</v>
      </c>
      <c r="H41" s="285">
        <f>Data!H154</f>
        <v>10569</v>
      </c>
      <c r="I41" s="285">
        <f>Data!I154</f>
        <v>10766</v>
      </c>
      <c r="J41" s="241">
        <f>Data!J154</f>
        <v>3021</v>
      </c>
      <c r="K41" s="241">
        <f>Data!K154</f>
        <v>2666</v>
      </c>
      <c r="L41" s="241">
        <f>Data!L154</f>
        <v>3077</v>
      </c>
      <c r="M41" s="241">
        <f>Data!M154</f>
        <v>2630</v>
      </c>
      <c r="N41" s="285">
        <f>SUM(J41:M41)</f>
        <v>11394</v>
      </c>
      <c r="O41" s="241">
        <f>Data!O154</f>
        <v>2693</v>
      </c>
      <c r="P41" s="241">
        <f>Data!P154</f>
        <v>3078</v>
      </c>
      <c r="Q41" s="241">
        <f>Data!Q154</f>
        <v>2574</v>
      </c>
      <c r="R41" s="241">
        <f>Data!R154</f>
        <v>3099</v>
      </c>
      <c r="S41" s="285">
        <f t="shared" si="1"/>
        <v>11444</v>
      </c>
      <c r="X41" s="285"/>
      <c r="AC41" s="285"/>
      <c r="AH41" s="285"/>
      <c r="AM41" s="285"/>
      <c r="AR41" s="285"/>
      <c r="AW41" s="285"/>
      <c r="BB41" s="285"/>
      <c r="BG41" s="285"/>
      <c r="BH41" s="121"/>
      <c r="BI41" s="121"/>
      <c r="BJ41" s="121"/>
      <c r="BK41" s="121"/>
      <c r="BL41" s="120"/>
      <c r="BM41" s="121"/>
      <c r="BN41" s="121"/>
      <c r="BO41" s="121"/>
      <c r="BP41" s="121"/>
      <c r="BQ41" s="120"/>
      <c r="BR41" s="121"/>
      <c r="BS41" s="121"/>
      <c r="BT41" s="121"/>
      <c r="BU41" s="121"/>
      <c r="BV41" s="120"/>
      <c r="BW41" s="121"/>
      <c r="BX41" s="121"/>
      <c r="BY41" s="121"/>
      <c r="BZ41" s="121"/>
      <c r="CA41" s="120"/>
      <c r="CB41" s="121"/>
      <c r="CC41" s="121"/>
      <c r="CD41" s="121"/>
      <c r="CE41" s="121"/>
      <c r="CF41" s="120"/>
      <c r="CG41" s="121"/>
      <c r="CH41" s="121"/>
      <c r="CI41" s="121"/>
      <c r="CJ41" s="121"/>
      <c r="CK41" s="120"/>
      <c r="CL41" s="121"/>
      <c r="CM41" s="121"/>
      <c r="CN41" s="121"/>
      <c r="CO41" s="121"/>
      <c r="CP41" s="120"/>
      <c r="CQ41" s="121"/>
      <c r="CR41" s="121"/>
      <c r="CS41" s="121"/>
      <c r="CT41" s="121"/>
      <c r="CU41" s="120"/>
      <c r="CV41" s="121"/>
      <c r="CW41" s="121"/>
      <c r="CX41" s="121"/>
      <c r="CY41" s="121"/>
      <c r="CZ41" s="120"/>
      <c r="DA41" s="121"/>
      <c r="DB41" s="121"/>
      <c r="DC41" s="121"/>
      <c r="DD41" s="121"/>
      <c r="DE41" s="120"/>
      <c r="DF41" s="121"/>
      <c r="DG41" s="121"/>
      <c r="DH41" s="121"/>
      <c r="DI41" s="121"/>
      <c r="DJ41" s="120"/>
      <c r="DK41" s="121"/>
      <c r="DL41" s="121"/>
      <c r="DM41" s="121"/>
      <c r="DN41" s="121"/>
      <c r="DO41" s="120"/>
      <c r="DP41" s="121"/>
      <c r="DQ41" s="121"/>
      <c r="DR41" s="121"/>
      <c r="DS41" s="121"/>
      <c r="DT41" s="120"/>
      <c r="DU41" s="121"/>
      <c r="DV41" s="121"/>
      <c r="DW41" s="121"/>
      <c r="DX41" s="121"/>
      <c r="DY41" s="120"/>
      <c r="DZ41" s="120"/>
      <c r="EA41" s="120"/>
      <c r="EB41" s="120"/>
    </row>
    <row r="42" spans="1:132" s="241" customFormat="1" ht="12" hidden="1" customHeight="1">
      <c r="B42" s="317" t="s">
        <v>131</v>
      </c>
      <c r="C42" s="285"/>
      <c r="D42" s="285"/>
      <c r="E42" s="285"/>
      <c r="F42" s="285"/>
      <c r="G42" s="285">
        <f>Data!G155</f>
        <v>5972</v>
      </c>
      <c r="H42" s="285">
        <f>Data!H155</f>
        <v>8113</v>
      </c>
      <c r="I42" s="285">
        <f>Data!I155</f>
        <v>9384</v>
      </c>
      <c r="J42" s="241">
        <f>Data!J155</f>
        <v>2481</v>
      </c>
      <c r="K42" s="241">
        <f>Data!K155</f>
        <v>2725</v>
      </c>
      <c r="L42" s="241">
        <f>Data!L155</f>
        <v>3233</v>
      </c>
      <c r="M42" s="241">
        <f>Data!M155</f>
        <v>2993</v>
      </c>
      <c r="N42" s="285">
        <f>SUM(J42:M42)</f>
        <v>11432</v>
      </c>
      <c r="O42" s="241">
        <f>Data!O155</f>
        <v>2878</v>
      </c>
      <c r="P42" s="241">
        <f>Data!P155</f>
        <v>2759</v>
      </c>
      <c r="Q42" s="241">
        <f>Data!Q155</f>
        <v>2737</v>
      </c>
      <c r="R42" s="241">
        <f>Data!R155</f>
        <v>2890</v>
      </c>
      <c r="S42" s="285">
        <f t="shared" si="1"/>
        <v>11264</v>
      </c>
      <c r="X42" s="285"/>
      <c r="AC42" s="285"/>
      <c r="AH42" s="285"/>
      <c r="AM42" s="285"/>
      <c r="AR42" s="285"/>
      <c r="AW42" s="285"/>
      <c r="BB42" s="285"/>
      <c r="BG42" s="285"/>
      <c r="BH42" s="121"/>
      <c r="BI42" s="121"/>
      <c r="BJ42" s="121"/>
      <c r="BK42" s="121"/>
      <c r="BL42" s="120"/>
      <c r="BM42" s="121"/>
      <c r="BN42" s="121"/>
      <c r="BO42" s="121"/>
      <c r="BP42" s="121"/>
      <c r="BQ42" s="120"/>
      <c r="BR42" s="121"/>
      <c r="BS42" s="121"/>
      <c r="BT42" s="121"/>
      <c r="BU42" s="121"/>
      <c r="BV42" s="120"/>
      <c r="BW42" s="121"/>
      <c r="BX42" s="121"/>
      <c r="BY42" s="121"/>
      <c r="BZ42" s="121"/>
      <c r="CA42" s="120"/>
      <c r="CB42" s="121"/>
      <c r="CC42" s="121"/>
      <c r="CD42" s="121"/>
      <c r="CE42" s="121"/>
      <c r="CF42" s="120"/>
      <c r="CG42" s="121"/>
      <c r="CH42" s="121"/>
      <c r="CI42" s="121"/>
      <c r="CJ42" s="121"/>
      <c r="CK42" s="120"/>
      <c r="CL42" s="121"/>
      <c r="CM42" s="121"/>
      <c r="CN42" s="121"/>
      <c r="CO42" s="121"/>
      <c r="CP42" s="120"/>
      <c r="CQ42" s="121"/>
      <c r="CR42" s="121"/>
      <c r="CS42" s="121"/>
      <c r="CT42" s="121"/>
      <c r="CU42" s="120"/>
      <c r="CV42" s="121"/>
      <c r="CW42" s="121"/>
      <c r="CX42" s="121"/>
      <c r="CY42" s="121"/>
      <c r="CZ42" s="120"/>
      <c r="DA42" s="121"/>
      <c r="DB42" s="121"/>
      <c r="DC42" s="121"/>
      <c r="DD42" s="121"/>
      <c r="DE42" s="120"/>
      <c r="DF42" s="121"/>
      <c r="DG42" s="121"/>
      <c r="DH42" s="121"/>
      <c r="DI42" s="121"/>
      <c r="DJ42" s="120"/>
      <c r="DK42" s="121"/>
      <c r="DL42" s="121"/>
      <c r="DM42" s="121"/>
      <c r="DN42" s="121"/>
      <c r="DO42" s="120"/>
      <c r="DP42" s="121"/>
      <c r="DQ42" s="121"/>
      <c r="DR42" s="121"/>
      <c r="DS42" s="121"/>
      <c r="DT42" s="120"/>
      <c r="DU42" s="121"/>
      <c r="DV42" s="121"/>
      <c r="DW42" s="121"/>
      <c r="DX42" s="121"/>
      <c r="DY42" s="120"/>
      <c r="DZ42" s="120"/>
      <c r="EA42" s="120"/>
      <c r="EB42" s="120"/>
    </row>
    <row r="43" spans="1:132" s="241" customFormat="1" ht="12" hidden="1" customHeight="1">
      <c r="B43" s="317" t="s">
        <v>125</v>
      </c>
      <c r="C43" s="285"/>
      <c r="D43" s="285"/>
      <c r="E43" s="285"/>
      <c r="F43" s="285"/>
      <c r="G43" s="285">
        <f>Data!G156</f>
        <v>2931</v>
      </c>
      <c r="H43" s="285">
        <f>Data!H156</f>
        <v>3484</v>
      </c>
      <c r="I43" s="285">
        <f>Data!I156</f>
        <v>4219</v>
      </c>
      <c r="J43" s="241">
        <f>Data!J156</f>
        <v>1107</v>
      </c>
      <c r="K43" s="241">
        <f>Data!K156</f>
        <v>1099</v>
      </c>
      <c r="L43" s="241">
        <f>Data!L156</f>
        <v>1127</v>
      </c>
      <c r="M43" s="241">
        <f>Data!M156</f>
        <v>1337</v>
      </c>
      <c r="N43" s="285">
        <f>SUM(J43:M43)</f>
        <v>4670</v>
      </c>
      <c r="O43" s="241">
        <f>Data!O156</f>
        <v>1170</v>
      </c>
      <c r="P43" s="241">
        <f>Data!P156</f>
        <v>1183</v>
      </c>
      <c r="Q43" s="241">
        <f>Data!Q156</f>
        <v>1401</v>
      </c>
      <c r="R43" s="241">
        <f>Data!R156</f>
        <v>1588</v>
      </c>
      <c r="S43" s="285">
        <f t="shared" si="1"/>
        <v>5342</v>
      </c>
      <c r="X43" s="285"/>
      <c r="AC43" s="285"/>
      <c r="AH43" s="285"/>
      <c r="AM43" s="285"/>
      <c r="AR43" s="285"/>
      <c r="AW43" s="285"/>
      <c r="BB43" s="285"/>
      <c r="BG43" s="285"/>
      <c r="BH43" s="121"/>
      <c r="BI43" s="121"/>
      <c r="BJ43" s="121"/>
      <c r="BK43" s="121"/>
      <c r="BL43" s="120"/>
      <c r="BM43" s="121"/>
      <c r="BN43" s="121"/>
      <c r="BO43" s="121"/>
      <c r="BP43" s="121"/>
      <c r="BQ43" s="120"/>
      <c r="BR43" s="121"/>
      <c r="BS43" s="121"/>
      <c r="BT43" s="121"/>
      <c r="BU43" s="121"/>
      <c r="BV43" s="120"/>
      <c r="BW43" s="121"/>
      <c r="BX43" s="121"/>
      <c r="BY43" s="121"/>
      <c r="BZ43" s="121"/>
      <c r="CA43" s="120"/>
      <c r="CB43" s="121"/>
      <c r="CC43" s="121"/>
      <c r="CD43" s="121"/>
      <c r="CE43" s="121"/>
      <c r="CF43" s="120"/>
      <c r="CG43" s="121"/>
      <c r="CH43" s="121"/>
      <c r="CI43" s="121"/>
      <c r="CJ43" s="121"/>
      <c r="CK43" s="120"/>
      <c r="CL43" s="121"/>
      <c r="CM43" s="121"/>
      <c r="CN43" s="121"/>
      <c r="CO43" s="121"/>
      <c r="CP43" s="120"/>
      <c r="CQ43" s="121"/>
      <c r="CR43" s="121"/>
      <c r="CS43" s="121"/>
      <c r="CT43" s="121"/>
      <c r="CU43" s="120"/>
      <c r="CV43" s="121"/>
      <c r="CW43" s="121"/>
      <c r="CX43" s="121"/>
      <c r="CY43" s="121"/>
      <c r="CZ43" s="120"/>
      <c r="DA43" s="121"/>
      <c r="DB43" s="121"/>
      <c r="DC43" s="121"/>
      <c r="DD43" s="121"/>
      <c r="DE43" s="120"/>
      <c r="DF43" s="121"/>
      <c r="DG43" s="121"/>
      <c r="DH43" s="121"/>
      <c r="DI43" s="121"/>
      <c r="DJ43" s="120"/>
      <c r="DK43" s="121"/>
      <c r="DL43" s="121"/>
      <c r="DM43" s="121"/>
      <c r="DN43" s="121"/>
      <c r="DO43" s="120"/>
      <c r="DP43" s="121"/>
      <c r="DQ43" s="121"/>
      <c r="DR43" s="121"/>
      <c r="DS43" s="121"/>
      <c r="DT43" s="120"/>
      <c r="DU43" s="121"/>
      <c r="DV43" s="121"/>
      <c r="DW43" s="121"/>
      <c r="DX43" s="121"/>
      <c r="DY43" s="120"/>
      <c r="DZ43" s="120"/>
      <c r="EA43" s="120"/>
      <c r="EB43" s="120"/>
    </row>
    <row r="44" spans="1:132" s="241" customFormat="1" ht="12" hidden="1" customHeight="1">
      <c r="B44" s="318" t="s">
        <v>132</v>
      </c>
      <c r="C44" s="319"/>
      <c r="D44" s="319"/>
      <c r="E44" s="319"/>
      <c r="F44" s="319"/>
      <c r="G44" s="319">
        <f>Data!G157</f>
        <v>4337</v>
      </c>
      <c r="H44" s="319">
        <f>Data!H157</f>
        <v>2791</v>
      </c>
      <c r="I44" s="319">
        <f>Data!I157</f>
        <v>2992</v>
      </c>
      <c r="J44" s="320">
        <f>Data!J157</f>
        <v>808</v>
      </c>
      <c r="K44" s="320">
        <f>Data!K157</f>
        <v>672</v>
      </c>
      <c r="L44" s="320">
        <f>Data!L157</f>
        <v>822</v>
      </c>
      <c r="M44" s="320">
        <f>Data!M157</f>
        <v>667</v>
      </c>
      <c r="N44" s="319">
        <f>SUM(J44:M44)</f>
        <v>2969</v>
      </c>
      <c r="O44" s="320">
        <f>Data!O157</f>
        <v>802</v>
      </c>
      <c r="P44" s="320">
        <f>Data!P157</f>
        <v>722</v>
      </c>
      <c r="Q44" s="320">
        <f>Data!Q157</f>
        <v>669</v>
      </c>
      <c r="R44" s="320">
        <f>Data!R157</f>
        <v>548</v>
      </c>
      <c r="S44" s="319">
        <f t="shared" si="1"/>
        <v>2741</v>
      </c>
      <c r="T44" s="320"/>
      <c r="U44" s="320"/>
      <c r="V44" s="320"/>
      <c r="W44" s="320"/>
      <c r="X44" s="319"/>
      <c r="Y44" s="320"/>
      <c r="Z44" s="320"/>
      <c r="AA44" s="320"/>
      <c r="AB44" s="320"/>
      <c r="AC44" s="319"/>
      <c r="AD44" s="320"/>
      <c r="AE44" s="320"/>
      <c r="AF44" s="320"/>
      <c r="AG44" s="320"/>
      <c r="AH44" s="319"/>
      <c r="AI44" s="320"/>
      <c r="AJ44" s="320"/>
      <c r="AK44" s="320"/>
      <c r="AL44" s="320"/>
      <c r="AM44" s="319"/>
      <c r="AN44" s="320"/>
      <c r="AO44" s="177"/>
      <c r="AP44" s="177"/>
      <c r="AQ44" s="177"/>
      <c r="AR44" s="319"/>
      <c r="AS44" s="177"/>
      <c r="AT44" s="177"/>
      <c r="AU44" s="177"/>
      <c r="AV44" s="177"/>
      <c r="AW44" s="319"/>
      <c r="AX44" s="177"/>
      <c r="AY44" s="177"/>
      <c r="AZ44" s="177"/>
      <c r="BA44" s="177"/>
      <c r="BB44" s="178"/>
      <c r="BC44" s="177"/>
      <c r="BD44" s="177"/>
      <c r="BE44" s="177"/>
      <c r="BF44" s="177"/>
      <c r="BG44" s="178"/>
      <c r="BH44" s="642"/>
      <c r="BI44" s="642"/>
      <c r="BJ44" s="642"/>
      <c r="BK44" s="642"/>
      <c r="BL44" s="643"/>
      <c r="BM44" s="642"/>
      <c r="BN44" s="642"/>
      <c r="BO44" s="642"/>
      <c r="BP44" s="642"/>
      <c r="BQ44" s="643"/>
      <c r="BR44" s="642"/>
      <c r="BS44" s="642"/>
      <c r="BT44" s="642"/>
      <c r="BU44" s="642"/>
      <c r="BV44" s="643"/>
      <c r="BW44" s="642"/>
      <c r="BX44" s="642"/>
      <c r="BY44" s="642"/>
      <c r="BZ44" s="642"/>
      <c r="CA44" s="643"/>
      <c r="CB44" s="642"/>
      <c r="CC44" s="642"/>
      <c r="CD44" s="642"/>
      <c r="CE44" s="642"/>
      <c r="CF44" s="643"/>
      <c r="CG44" s="642"/>
      <c r="CH44" s="642"/>
      <c r="CI44" s="642"/>
      <c r="CJ44" s="642"/>
      <c r="CK44" s="573"/>
      <c r="CL44" s="642"/>
      <c r="CM44" s="642"/>
      <c r="CN44" s="642"/>
      <c r="CO44" s="642"/>
      <c r="CP44" s="573"/>
      <c r="CQ44" s="642"/>
      <c r="CR44" s="642"/>
      <c r="CS44" s="642"/>
      <c r="CT44" s="642"/>
      <c r="CU44" s="573"/>
      <c r="CV44" s="642"/>
      <c r="CW44" s="642"/>
      <c r="CX44" s="642"/>
      <c r="CY44" s="642"/>
      <c r="CZ44" s="573"/>
      <c r="DA44" s="642"/>
      <c r="DB44" s="550"/>
      <c r="DC44" s="642"/>
      <c r="DD44" s="642"/>
      <c r="DE44" s="573"/>
      <c r="DF44" s="642"/>
      <c r="DG44" s="642"/>
      <c r="DH44" s="642"/>
      <c r="DI44" s="642"/>
      <c r="DJ44" s="573"/>
      <c r="DK44" s="642"/>
      <c r="DL44" s="642"/>
      <c r="DM44" s="642"/>
      <c r="DN44" s="642"/>
      <c r="DO44" s="573"/>
      <c r="DP44" s="642"/>
      <c r="DQ44" s="642"/>
      <c r="DR44" s="642"/>
      <c r="DS44" s="642"/>
      <c r="DT44" s="573"/>
      <c r="DU44" s="642"/>
      <c r="DV44" s="642"/>
      <c r="DW44" s="642"/>
      <c r="DX44" s="642"/>
      <c r="DY44" s="573"/>
      <c r="DZ44" s="643"/>
      <c r="EA44" s="643"/>
      <c r="EB44" s="643"/>
    </row>
    <row r="45" spans="1:132" s="241" customFormat="1" ht="12" hidden="1" customHeight="1">
      <c r="B45" s="317" t="s">
        <v>133</v>
      </c>
      <c r="C45" s="285"/>
      <c r="D45" s="285">
        <f>Data!D158</f>
        <v>12990</v>
      </c>
      <c r="E45" s="285">
        <f>Data!E158</f>
        <v>12220</v>
      </c>
      <c r="F45" s="285">
        <f>Data!F158</f>
        <v>12197</v>
      </c>
      <c r="G45" s="285">
        <f>Data!G158</f>
        <v>12451</v>
      </c>
      <c r="H45" s="285">
        <f>Data!H158</f>
        <v>13990</v>
      </c>
      <c r="I45" s="285"/>
      <c r="N45" s="285"/>
      <c r="S45" s="285"/>
      <c r="X45" s="285"/>
      <c r="AC45" s="285"/>
      <c r="AH45" s="285"/>
      <c r="AM45" s="285"/>
      <c r="AR45" s="285"/>
      <c r="AW45" s="285"/>
      <c r="BB45" s="285"/>
      <c r="BG45" s="285"/>
      <c r="BH45" s="121"/>
      <c r="BI45" s="121"/>
      <c r="BJ45" s="121"/>
      <c r="BK45" s="121"/>
      <c r="BL45" s="120"/>
      <c r="BM45" s="121"/>
      <c r="BN45" s="121"/>
      <c r="BO45" s="121"/>
      <c r="BP45" s="121"/>
      <c r="BQ45" s="120"/>
      <c r="BR45" s="121"/>
      <c r="BS45" s="121"/>
      <c r="BT45" s="121"/>
      <c r="BU45" s="121"/>
      <c r="BV45" s="120"/>
      <c r="BW45" s="121"/>
      <c r="BX45" s="121"/>
      <c r="BY45" s="121"/>
      <c r="BZ45" s="121"/>
      <c r="CA45" s="120"/>
      <c r="CB45" s="121"/>
      <c r="CC45" s="121"/>
      <c r="CD45" s="121"/>
      <c r="CE45" s="121"/>
      <c r="CF45" s="120"/>
      <c r="CG45" s="121"/>
      <c r="CH45" s="121"/>
      <c r="CI45" s="121"/>
      <c r="CJ45" s="121"/>
      <c r="CK45" s="120"/>
      <c r="CL45" s="121"/>
      <c r="CM45" s="121"/>
      <c r="CN45" s="121"/>
      <c r="CO45" s="121"/>
      <c r="CP45" s="120"/>
      <c r="CQ45" s="121"/>
      <c r="CR45" s="121"/>
      <c r="CS45" s="121"/>
      <c r="CT45" s="121"/>
      <c r="CU45" s="120"/>
      <c r="CV45" s="121"/>
      <c r="CW45" s="121"/>
      <c r="CX45" s="121"/>
      <c r="CY45" s="121"/>
      <c r="CZ45" s="120"/>
      <c r="DA45" s="121"/>
      <c r="DB45" s="121"/>
      <c r="DC45" s="121"/>
      <c r="DD45" s="121"/>
      <c r="DE45" s="120"/>
      <c r="DF45" s="121"/>
      <c r="DG45" s="121"/>
      <c r="DH45" s="121"/>
      <c r="DI45" s="121"/>
      <c r="DJ45" s="120"/>
      <c r="DK45" s="121"/>
      <c r="DL45" s="121"/>
      <c r="DM45" s="121"/>
      <c r="DN45" s="121"/>
      <c r="DO45" s="120"/>
      <c r="DP45" s="121"/>
      <c r="DQ45" s="121"/>
      <c r="DR45" s="121"/>
      <c r="DS45" s="121"/>
      <c r="DT45" s="120"/>
      <c r="DU45" s="121"/>
      <c r="DV45" s="121"/>
      <c r="DW45" s="121"/>
      <c r="DX45" s="121"/>
      <c r="DY45" s="120"/>
      <c r="DZ45" s="120"/>
      <c r="EA45" s="120"/>
      <c r="EB45" s="120"/>
    </row>
    <row r="46" spans="1:132" s="241" customFormat="1" ht="12" hidden="1" customHeight="1">
      <c r="B46" s="318" t="s">
        <v>134</v>
      </c>
      <c r="C46" s="319"/>
      <c r="D46" s="319">
        <f>Data!D159</f>
        <v>6889</v>
      </c>
      <c r="E46" s="319">
        <f>Data!E159</f>
        <v>6831</v>
      </c>
      <c r="F46" s="319">
        <f>Data!F159</f>
        <v>8039</v>
      </c>
      <c r="G46" s="319">
        <f>Data!G159</f>
        <v>10364</v>
      </c>
      <c r="H46" s="319">
        <f>Data!H159</f>
        <v>10967</v>
      </c>
      <c r="I46" s="319"/>
      <c r="J46" s="320"/>
      <c r="K46" s="320"/>
      <c r="L46" s="320"/>
      <c r="M46" s="320"/>
      <c r="N46" s="319"/>
      <c r="O46" s="320"/>
      <c r="P46" s="320"/>
      <c r="Q46" s="320"/>
      <c r="R46" s="320"/>
      <c r="S46" s="319"/>
      <c r="T46" s="320"/>
      <c r="U46" s="320"/>
      <c r="V46" s="320"/>
      <c r="W46" s="320"/>
      <c r="X46" s="319"/>
      <c r="Y46" s="320"/>
      <c r="Z46" s="320"/>
      <c r="AA46" s="320"/>
      <c r="AB46" s="320"/>
      <c r="AC46" s="319"/>
      <c r="AD46" s="320"/>
      <c r="AE46" s="320"/>
      <c r="AF46" s="320"/>
      <c r="AG46" s="320"/>
      <c r="AH46" s="319"/>
      <c r="AI46" s="320"/>
      <c r="AJ46" s="320"/>
      <c r="AK46" s="320"/>
      <c r="AL46" s="320"/>
      <c r="AM46" s="319"/>
      <c r="AN46" s="320"/>
      <c r="AO46" s="177"/>
      <c r="AP46" s="177"/>
      <c r="AQ46" s="177"/>
      <c r="AR46" s="319"/>
      <c r="AS46" s="177"/>
      <c r="AT46" s="177"/>
      <c r="AU46" s="177"/>
      <c r="AV46" s="177"/>
      <c r="AW46" s="319"/>
      <c r="AX46" s="177"/>
      <c r="AY46" s="177"/>
      <c r="AZ46" s="177"/>
      <c r="BA46" s="177"/>
      <c r="BB46" s="178"/>
      <c r="BC46" s="177"/>
      <c r="BD46" s="177"/>
      <c r="BE46" s="177"/>
      <c r="BF46" s="177"/>
      <c r="BG46" s="178"/>
      <c r="BH46" s="642"/>
      <c r="BI46" s="642"/>
      <c r="BJ46" s="642"/>
      <c r="BK46" s="642"/>
      <c r="BL46" s="643"/>
      <c r="BM46" s="642"/>
      <c r="BN46" s="642"/>
      <c r="BO46" s="642"/>
      <c r="BP46" s="642"/>
      <c r="BQ46" s="643"/>
      <c r="BR46" s="642"/>
      <c r="BS46" s="642"/>
      <c r="BT46" s="642"/>
      <c r="BU46" s="642"/>
      <c r="BV46" s="643"/>
      <c r="BW46" s="642"/>
      <c r="BX46" s="642"/>
      <c r="BY46" s="642"/>
      <c r="BZ46" s="642"/>
      <c r="CA46" s="643"/>
      <c r="CB46" s="642"/>
      <c r="CC46" s="642"/>
      <c r="CD46" s="642"/>
      <c r="CE46" s="642"/>
      <c r="CF46" s="643"/>
      <c r="CG46" s="642"/>
      <c r="CH46" s="642"/>
      <c r="CI46" s="642"/>
      <c r="CJ46" s="642"/>
      <c r="CK46" s="120"/>
      <c r="CL46" s="642"/>
      <c r="CM46" s="642"/>
      <c r="CN46" s="642"/>
      <c r="CO46" s="642"/>
      <c r="CP46" s="120"/>
      <c r="CQ46" s="642"/>
      <c r="CR46" s="642"/>
      <c r="CS46" s="642"/>
      <c r="CT46" s="642"/>
      <c r="CU46" s="120"/>
      <c r="CV46" s="642"/>
      <c r="CW46" s="642"/>
      <c r="CX46" s="642"/>
      <c r="CY46" s="642"/>
      <c r="CZ46" s="120"/>
      <c r="DA46" s="642"/>
      <c r="DB46" s="550"/>
      <c r="DC46" s="642"/>
      <c r="DD46" s="642"/>
      <c r="DE46" s="120"/>
      <c r="DF46" s="642"/>
      <c r="DG46" s="642"/>
      <c r="DH46" s="642"/>
      <c r="DI46" s="642"/>
      <c r="DJ46" s="120"/>
      <c r="DK46" s="642"/>
      <c r="DL46" s="642"/>
      <c r="DM46" s="642"/>
      <c r="DN46" s="642"/>
      <c r="DO46" s="120"/>
      <c r="DP46" s="642"/>
      <c r="DQ46" s="642"/>
      <c r="DR46" s="642"/>
      <c r="DS46" s="642"/>
      <c r="DT46" s="120"/>
      <c r="DU46" s="642"/>
      <c r="DV46" s="642"/>
      <c r="DW46" s="642"/>
      <c r="DX46" s="642"/>
      <c r="DY46" s="120"/>
      <c r="DZ46" s="125"/>
      <c r="EA46" s="125"/>
      <c r="EB46" s="125"/>
    </row>
    <row r="47" spans="1:132" s="307" customFormat="1" ht="12" hidden="1" customHeight="1" outlineLevel="1">
      <c r="A47" s="241"/>
      <c r="B47" s="247" t="s">
        <v>170</v>
      </c>
      <c r="C47" s="180"/>
      <c r="D47" s="180"/>
      <c r="E47" s="180"/>
      <c r="F47" s="180"/>
      <c r="G47" s="180"/>
      <c r="H47" s="180"/>
      <c r="I47" s="180"/>
      <c r="J47" s="179"/>
      <c r="K47" s="179"/>
      <c r="L47" s="179"/>
      <c r="M47" s="179"/>
      <c r="N47" s="180"/>
      <c r="O47" s="179"/>
      <c r="P47" s="179"/>
      <c r="Q47" s="179"/>
      <c r="R47" s="179"/>
      <c r="S47" s="180"/>
      <c r="T47" s="179"/>
      <c r="U47" s="179"/>
      <c r="V47" s="179"/>
      <c r="W47" s="179"/>
      <c r="X47" s="180"/>
      <c r="Y47" s="179"/>
      <c r="Z47" s="179"/>
      <c r="AA47" s="179"/>
      <c r="AB47" s="179"/>
      <c r="AC47" s="180"/>
      <c r="AD47" s="179"/>
      <c r="AE47" s="179"/>
      <c r="AF47" s="179"/>
      <c r="AG47" s="179"/>
      <c r="AH47" s="285"/>
      <c r="AI47" s="179"/>
      <c r="AJ47" s="179"/>
      <c r="AK47" s="179"/>
      <c r="AL47" s="179"/>
      <c r="AM47" s="285"/>
      <c r="AN47" s="68"/>
      <c r="AO47" s="184"/>
      <c r="AP47" s="184"/>
      <c r="AQ47" s="184"/>
      <c r="AR47" s="285"/>
      <c r="AS47" s="184"/>
      <c r="AT47" s="184"/>
      <c r="AU47" s="184"/>
      <c r="AV47" s="184"/>
      <c r="AW47" s="285"/>
      <c r="AX47" s="184"/>
      <c r="AY47" s="184"/>
      <c r="AZ47" s="184"/>
      <c r="BA47" s="184"/>
      <c r="BB47" s="185"/>
      <c r="BC47" s="184"/>
      <c r="BD47" s="184"/>
      <c r="BE47" s="184"/>
      <c r="BF47" s="184"/>
      <c r="BG47" s="120"/>
      <c r="BH47" s="124"/>
      <c r="BI47" s="124"/>
      <c r="BJ47" s="124"/>
      <c r="BK47" s="124"/>
      <c r="BL47" s="120"/>
      <c r="BM47" s="124"/>
      <c r="BN47" s="124"/>
      <c r="BO47" s="124"/>
      <c r="BP47" s="124"/>
      <c r="BQ47" s="120"/>
      <c r="BR47" s="124"/>
      <c r="BS47" s="124"/>
      <c r="BT47" s="124"/>
      <c r="BU47" s="124"/>
      <c r="BV47" s="120"/>
      <c r="BW47" s="124"/>
      <c r="BX47" s="124"/>
      <c r="BY47" s="124"/>
      <c r="BZ47" s="124"/>
      <c r="CA47" s="125"/>
      <c r="CB47" s="124"/>
      <c r="CC47" s="124"/>
      <c r="CD47" s="124"/>
      <c r="CE47" s="124"/>
      <c r="CF47" s="125"/>
      <c r="CG47" s="124"/>
      <c r="CH47" s="124"/>
      <c r="CI47" s="124"/>
      <c r="CJ47" s="124"/>
      <c r="CK47" s="120"/>
      <c r="CL47" s="124"/>
      <c r="CM47" s="124"/>
      <c r="CN47" s="124"/>
      <c r="CO47" s="124"/>
      <c r="CP47" s="120"/>
      <c r="CQ47" s="124"/>
      <c r="CR47" s="124"/>
      <c r="CS47" s="124"/>
      <c r="CT47" s="124"/>
      <c r="CU47" s="120"/>
      <c r="CV47" s="124"/>
      <c r="CW47" s="124"/>
      <c r="CX47" s="124"/>
      <c r="CY47" s="124"/>
      <c r="CZ47" s="120"/>
      <c r="DA47" s="124"/>
      <c r="DB47" s="121"/>
      <c r="DC47" s="124"/>
      <c r="DD47" s="124"/>
      <c r="DE47" s="120"/>
      <c r="DF47" s="124"/>
      <c r="DG47" s="124"/>
      <c r="DH47" s="124"/>
      <c r="DI47" s="124"/>
      <c r="DJ47" s="120"/>
      <c r="DK47" s="124"/>
      <c r="DL47" s="124"/>
      <c r="DM47" s="124"/>
      <c r="DN47" s="124"/>
      <c r="DO47" s="120"/>
      <c r="DP47" s="124"/>
      <c r="DQ47" s="124"/>
      <c r="DR47" s="124"/>
      <c r="DS47" s="124"/>
      <c r="DT47" s="120"/>
      <c r="DU47" s="124"/>
      <c r="DV47" s="124"/>
      <c r="DW47" s="124"/>
      <c r="DX47" s="124"/>
      <c r="DY47" s="120"/>
      <c r="DZ47" s="125"/>
      <c r="EA47" s="125"/>
      <c r="EB47" s="125"/>
    </row>
    <row r="48" spans="1:132" s="307" customFormat="1" ht="12" hidden="1" customHeight="1" outlineLevel="1">
      <c r="A48" s="241"/>
      <c r="B48" s="533" t="s">
        <v>724</v>
      </c>
      <c r="C48" s="180"/>
      <c r="D48" s="180"/>
      <c r="E48" s="180"/>
      <c r="F48" s="180"/>
      <c r="G48" s="180"/>
      <c r="H48" s="180"/>
      <c r="I48" s="180"/>
      <c r="J48" s="179"/>
      <c r="K48" s="179"/>
      <c r="L48" s="179"/>
      <c r="M48" s="179"/>
      <c r="N48" s="180"/>
      <c r="O48" s="179"/>
      <c r="P48" s="179"/>
      <c r="Q48" s="179"/>
      <c r="R48" s="179"/>
      <c r="S48" s="180"/>
      <c r="T48" s="179"/>
      <c r="U48" s="179"/>
      <c r="V48" s="179"/>
      <c r="W48" s="179"/>
      <c r="X48" s="180"/>
      <c r="Y48" s="179"/>
      <c r="Z48" s="179"/>
      <c r="AA48" s="179"/>
      <c r="AB48" s="179"/>
      <c r="AC48" s="180"/>
      <c r="AD48" s="179"/>
      <c r="AE48" s="179"/>
      <c r="AF48" s="179"/>
      <c r="AG48" s="179"/>
      <c r="AH48" s="285"/>
      <c r="AI48" s="179"/>
      <c r="AJ48" s="179"/>
      <c r="AK48" s="179"/>
      <c r="AL48" s="179"/>
      <c r="AM48" s="285"/>
      <c r="AN48" s="68"/>
      <c r="AO48" s="184"/>
      <c r="AP48" s="184"/>
      <c r="AQ48" s="534"/>
      <c r="AR48" s="120"/>
      <c r="AS48" s="534"/>
      <c r="AT48" s="534"/>
      <c r="AU48" s="534"/>
      <c r="AV48" s="534"/>
      <c r="AW48" s="120"/>
      <c r="AX48" s="534"/>
      <c r="AY48" s="534"/>
      <c r="AZ48" s="534"/>
      <c r="BA48" s="534"/>
      <c r="BB48" s="185"/>
      <c r="BC48" s="534"/>
      <c r="BD48" s="534"/>
      <c r="BE48" s="534"/>
      <c r="BF48" s="534"/>
      <c r="BG48" s="120"/>
      <c r="BH48" s="534"/>
      <c r="BI48" s="534"/>
      <c r="BJ48" s="534"/>
      <c r="BK48" s="534"/>
      <c r="BL48" s="120"/>
      <c r="BM48" s="534"/>
      <c r="BN48" s="534"/>
      <c r="BO48" s="534"/>
      <c r="BP48" s="534"/>
      <c r="BQ48" s="120"/>
      <c r="BR48" s="534"/>
      <c r="BS48" s="534"/>
      <c r="BT48" s="534"/>
      <c r="BU48" s="534"/>
      <c r="BV48" s="120"/>
      <c r="BW48" s="534"/>
      <c r="BX48" s="534"/>
      <c r="BY48" s="534"/>
      <c r="BZ48" s="534"/>
      <c r="CA48" s="125"/>
      <c r="CB48" s="534"/>
      <c r="CC48" s="534"/>
      <c r="CD48" s="534"/>
      <c r="CE48" s="534"/>
      <c r="CF48" s="125"/>
      <c r="CG48" s="534"/>
      <c r="CH48" s="534"/>
      <c r="CI48" s="534"/>
      <c r="CJ48" s="534"/>
      <c r="CK48" s="120"/>
      <c r="CL48" s="534"/>
      <c r="CM48" s="534"/>
      <c r="CN48" s="534"/>
      <c r="CO48" s="534"/>
      <c r="CP48" s="120"/>
      <c r="CQ48" s="534"/>
      <c r="CR48" s="534"/>
      <c r="CS48" s="534"/>
      <c r="CT48" s="534"/>
      <c r="CU48" s="120"/>
      <c r="CV48" s="534"/>
      <c r="CW48" s="534"/>
      <c r="CX48" s="534"/>
      <c r="CY48" s="534"/>
      <c r="CZ48" s="120"/>
      <c r="DA48" s="534"/>
      <c r="DB48" s="121"/>
      <c r="DC48" s="534"/>
      <c r="DD48" s="534"/>
      <c r="DE48" s="120"/>
      <c r="DF48" s="534"/>
      <c r="DG48" s="534"/>
      <c r="DH48" s="534"/>
      <c r="DI48" s="534"/>
      <c r="DJ48" s="120"/>
      <c r="DK48" s="534"/>
      <c r="DL48" s="534"/>
      <c r="DM48" s="534"/>
      <c r="DN48" s="122">
        <v>40</v>
      </c>
      <c r="DO48" s="120">
        <f>+SUM(DK48:DN48)</f>
        <v>40</v>
      </c>
      <c r="DP48" s="534">
        <v>125</v>
      </c>
      <c r="DQ48" s="122">
        <v>125</v>
      </c>
      <c r="DR48" s="122">
        <v>125</v>
      </c>
      <c r="DS48" s="122">
        <v>75</v>
      </c>
      <c r="DT48" s="120">
        <f>+SUM(DP48:DS48)</f>
        <v>450</v>
      </c>
      <c r="DU48" s="122"/>
      <c r="DV48" s="122"/>
      <c r="DW48" s="122"/>
      <c r="DX48" s="122"/>
      <c r="DY48" s="120">
        <f>+SUM(DU48:DX48)</f>
        <v>0</v>
      </c>
      <c r="DZ48" s="125"/>
      <c r="EA48" s="125"/>
      <c r="EB48" s="125"/>
    </row>
    <row r="49" spans="1:132" s="307" customFormat="1" ht="12" hidden="1" customHeight="1" outlineLevel="1">
      <c r="A49" s="241"/>
      <c r="B49" s="533" t="s">
        <v>393</v>
      </c>
      <c r="C49" s="180"/>
      <c r="D49" s="180"/>
      <c r="E49" s="180"/>
      <c r="F49" s="180"/>
      <c r="G49" s="180"/>
      <c r="H49" s="180"/>
      <c r="I49" s="180"/>
      <c r="J49" s="179"/>
      <c r="K49" s="179"/>
      <c r="L49" s="179"/>
      <c r="M49" s="179"/>
      <c r="N49" s="180"/>
      <c r="O49" s="179"/>
      <c r="P49" s="179"/>
      <c r="Q49" s="179"/>
      <c r="R49" s="179"/>
      <c r="S49" s="180"/>
      <c r="T49" s="179"/>
      <c r="U49" s="179"/>
      <c r="V49" s="179"/>
      <c r="W49" s="179"/>
      <c r="X49" s="180"/>
      <c r="Y49" s="179"/>
      <c r="Z49" s="179"/>
      <c r="AA49" s="179"/>
      <c r="AB49" s="179"/>
      <c r="AC49" s="180"/>
      <c r="AD49" s="179"/>
      <c r="AE49" s="179"/>
      <c r="AF49" s="179"/>
      <c r="AG49" s="179"/>
      <c r="AH49" s="285"/>
      <c r="AI49" s="179"/>
      <c r="AJ49" s="179"/>
      <c r="AK49" s="179"/>
      <c r="AL49" s="179"/>
      <c r="AM49" s="285"/>
      <c r="AN49" s="68"/>
      <c r="AO49" s="184"/>
      <c r="AP49" s="184"/>
      <c r="AQ49" s="534">
        <f>9/4*1/3</f>
        <v>0.75</v>
      </c>
      <c r="AR49" s="120">
        <f>SUM(AN49:AQ49)</f>
        <v>0.75</v>
      </c>
      <c r="AS49" s="534">
        <f>9/4</f>
        <v>2.25</v>
      </c>
      <c r="AT49" s="534">
        <f>9/4</f>
        <v>2.25</v>
      </c>
      <c r="AU49" s="534">
        <f>9/4</f>
        <v>2.25</v>
      </c>
      <c r="AV49" s="534">
        <f>9/4-AQ49</f>
        <v>1.5</v>
      </c>
      <c r="AW49" s="120">
        <f>SUM(AS49:AV49)</f>
        <v>8.25</v>
      </c>
      <c r="AX49" s="534"/>
      <c r="AY49" s="534"/>
      <c r="AZ49" s="534"/>
      <c r="BA49" s="534"/>
      <c r="BB49" s="185"/>
      <c r="BC49" s="534"/>
      <c r="BD49" s="534"/>
      <c r="BE49" s="534"/>
      <c r="BF49" s="534"/>
      <c r="BG49" s="120"/>
      <c r="BH49" s="534"/>
      <c r="BI49" s="534"/>
      <c r="BJ49" s="534"/>
      <c r="BK49" s="534"/>
      <c r="BL49" s="120"/>
      <c r="BM49" s="534"/>
      <c r="BN49" s="534"/>
      <c r="BO49" s="534"/>
      <c r="BP49" s="534"/>
      <c r="BQ49" s="120"/>
      <c r="BR49" s="534"/>
      <c r="BS49" s="534"/>
      <c r="BT49" s="534"/>
      <c r="BU49" s="534"/>
      <c r="BV49" s="120"/>
      <c r="BW49" s="534"/>
      <c r="BX49" s="534"/>
      <c r="BY49" s="534"/>
      <c r="BZ49" s="534"/>
      <c r="CA49" s="125"/>
      <c r="CB49" s="534"/>
      <c r="CC49" s="534"/>
      <c r="CD49" s="534"/>
      <c r="CE49" s="534"/>
      <c r="CF49" s="125"/>
      <c r="CG49" s="534"/>
      <c r="CH49" s="534"/>
      <c r="CI49" s="534"/>
      <c r="CJ49" s="534"/>
      <c r="CK49" s="120"/>
      <c r="CL49" s="534"/>
      <c r="CM49" s="534"/>
      <c r="CN49" s="534"/>
      <c r="CO49" s="534"/>
      <c r="CP49" s="120"/>
      <c r="CQ49" s="534"/>
      <c r="CR49" s="534"/>
      <c r="CS49" s="534"/>
      <c r="CT49" s="534"/>
      <c r="CU49" s="120"/>
      <c r="CV49" s="534"/>
      <c r="CW49" s="534"/>
      <c r="CX49" s="534"/>
      <c r="CY49" s="534"/>
      <c r="CZ49" s="120"/>
      <c r="DA49" s="534"/>
      <c r="DB49" s="121"/>
      <c r="DC49" s="534"/>
      <c r="DD49" s="534"/>
      <c r="DE49" s="120"/>
      <c r="DF49" s="534"/>
      <c r="DG49" s="534"/>
      <c r="DH49" s="534"/>
      <c r="DI49" s="534"/>
      <c r="DJ49" s="120"/>
      <c r="DK49" s="534"/>
      <c r="DL49" s="534"/>
      <c r="DM49" s="534"/>
      <c r="DN49" s="534"/>
      <c r="DO49" s="120"/>
      <c r="DP49" s="534"/>
      <c r="DQ49" s="534"/>
      <c r="DR49" s="534"/>
      <c r="DS49" s="534"/>
      <c r="DT49" s="120"/>
      <c r="DU49" s="534"/>
      <c r="DV49" s="534"/>
      <c r="DW49" s="534"/>
      <c r="DX49" s="534"/>
      <c r="DY49" s="120"/>
      <c r="DZ49" s="125"/>
      <c r="EA49" s="125"/>
      <c r="EB49" s="125"/>
    </row>
    <row r="50" spans="1:132" s="129" customFormat="1" ht="12" hidden="1" customHeight="1" outlineLevel="1">
      <c r="A50" s="121"/>
      <c r="B50" s="533" t="s">
        <v>388</v>
      </c>
      <c r="C50" s="123"/>
      <c r="D50" s="123"/>
      <c r="E50" s="123"/>
      <c r="F50" s="123"/>
      <c r="G50" s="123"/>
      <c r="H50" s="123"/>
      <c r="I50" s="123"/>
      <c r="J50" s="122"/>
      <c r="K50" s="122"/>
      <c r="L50" s="122"/>
      <c r="M50" s="122"/>
      <c r="N50" s="123"/>
      <c r="O50" s="122"/>
      <c r="P50" s="122"/>
      <c r="Q50" s="122"/>
      <c r="R50" s="122"/>
      <c r="S50" s="123"/>
      <c r="T50" s="122"/>
      <c r="U50" s="122"/>
      <c r="V50" s="122"/>
      <c r="W50" s="122"/>
      <c r="X50" s="123"/>
      <c r="Y50" s="122"/>
      <c r="Z50" s="122"/>
      <c r="AA50" s="122"/>
      <c r="AB50" s="122"/>
      <c r="AC50" s="123"/>
      <c r="AD50" s="122"/>
      <c r="AE50" s="122"/>
      <c r="AF50" s="122"/>
      <c r="AG50" s="122"/>
      <c r="AH50" s="120"/>
      <c r="AI50" s="122"/>
      <c r="AJ50" s="122"/>
      <c r="AK50" s="122"/>
      <c r="AL50" s="122"/>
      <c r="AM50" s="120"/>
      <c r="AN50" s="121"/>
      <c r="AO50" s="124"/>
      <c r="AP50" s="534">
        <v>60</v>
      </c>
      <c r="AQ50" s="534">
        <v>122.13</v>
      </c>
      <c r="AR50" s="120">
        <f>SUM(AN50:AQ50)</f>
        <v>182.13</v>
      </c>
      <c r="AS50" s="534">
        <v>85</v>
      </c>
      <c r="AT50" s="534">
        <v>85</v>
      </c>
      <c r="AU50" s="534">
        <f>105-AP50</f>
        <v>45</v>
      </c>
      <c r="AV50" s="124"/>
      <c r="AW50" s="120">
        <f>SUM(AS50:AV50)</f>
        <v>215</v>
      </c>
      <c r="AX50" s="534"/>
      <c r="AY50" s="534"/>
      <c r="AZ50" s="534"/>
      <c r="BA50" s="124"/>
      <c r="BB50" s="125"/>
      <c r="BC50" s="534"/>
      <c r="BD50" s="534"/>
      <c r="BE50" s="534"/>
      <c r="BF50" s="124"/>
      <c r="BG50" s="120"/>
      <c r="BH50" s="534"/>
      <c r="BI50" s="534"/>
      <c r="BJ50" s="534"/>
      <c r="BK50" s="124"/>
      <c r="BL50" s="120"/>
      <c r="BM50" s="534"/>
      <c r="BN50" s="534"/>
      <c r="BO50" s="534"/>
      <c r="BP50" s="124"/>
      <c r="BQ50" s="120"/>
      <c r="BR50" s="534"/>
      <c r="BS50" s="534"/>
      <c r="BT50" s="534"/>
      <c r="BU50" s="124"/>
      <c r="BV50" s="120"/>
      <c r="BW50" s="534"/>
      <c r="BX50" s="534"/>
      <c r="BY50" s="534"/>
      <c r="BZ50" s="124"/>
      <c r="CA50" s="125"/>
      <c r="CB50" s="534"/>
      <c r="CC50" s="534"/>
      <c r="CD50" s="534"/>
      <c r="CE50" s="124"/>
      <c r="CF50" s="125"/>
      <c r="CG50" s="534"/>
      <c r="CH50" s="534"/>
      <c r="CI50" s="534"/>
      <c r="CJ50" s="534"/>
      <c r="CK50" s="120"/>
      <c r="CL50" s="534"/>
      <c r="CM50" s="534"/>
      <c r="CN50" s="534"/>
      <c r="CO50" s="534"/>
      <c r="CP50" s="120"/>
      <c r="CQ50" s="534"/>
      <c r="CR50" s="534"/>
      <c r="CS50" s="534"/>
      <c r="CT50" s="534"/>
      <c r="CU50" s="120"/>
      <c r="CV50" s="534"/>
      <c r="CW50" s="534"/>
      <c r="CX50" s="534"/>
      <c r="CY50" s="534"/>
      <c r="CZ50" s="120"/>
      <c r="DA50" s="534"/>
      <c r="DB50" s="121"/>
      <c r="DC50" s="534"/>
      <c r="DD50" s="534"/>
      <c r="DE50" s="120"/>
      <c r="DF50" s="534"/>
      <c r="DG50" s="534"/>
      <c r="DH50" s="534"/>
      <c r="DI50" s="534"/>
      <c r="DJ50" s="120"/>
      <c r="DK50" s="534"/>
      <c r="DL50" s="534"/>
      <c r="DM50" s="534"/>
      <c r="DN50" s="534"/>
      <c r="DO50" s="120"/>
      <c r="DP50" s="534"/>
      <c r="DQ50" s="534"/>
      <c r="DR50" s="534"/>
      <c r="DS50" s="534"/>
      <c r="DT50" s="120"/>
      <c r="DU50" s="534"/>
      <c r="DV50" s="534"/>
      <c r="DW50" s="534"/>
      <c r="DX50" s="534"/>
      <c r="DY50" s="120"/>
      <c r="DZ50" s="125"/>
      <c r="EA50" s="125"/>
      <c r="EB50" s="125"/>
    </row>
    <row r="51" spans="1:132" s="129" customFormat="1" ht="12" hidden="1" customHeight="1" outlineLevel="1">
      <c r="A51" s="121"/>
      <c r="B51" s="533" t="s">
        <v>389</v>
      </c>
      <c r="C51" s="123"/>
      <c r="D51" s="123"/>
      <c r="E51" s="123"/>
      <c r="F51" s="123"/>
      <c r="G51" s="123"/>
      <c r="H51" s="123"/>
      <c r="I51" s="123"/>
      <c r="J51" s="122"/>
      <c r="K51" s="122"/>
      <c r="L51" s="122"/>
      <c r="M51" s="122"/>
      <c r="N51" s="123"/>
      <c r="O51" s="122"/>
      <c r="P51" s="122"/>
      <c r="Q51" s="122"/>
      <c r="R51" s="122"/>
      <c r="S51" s="123"/>
      <c r="T51" s="122"/>
      <c r="U51" s="122"/>
      <c r="V51" s="122"/>
      <c r="W51" s="122"/>
      <c r="X51" s="123"/>
      <c r="Y51" s="122"/>
      <c r="Z51" s="122"/>
      <c r="AA51" s="122"/>
      <c r="AB51" s="122"/>
      <c r="AC51" s="123"/>
      <c r="AD51" s="122"/>
      <c r="AE51" s="122"/>
      <c r="AF51" s="122"/>
      <c r="AG51" s="122"/>
      <c r="AH51" s="120"/>
      <c r="AI51" s="122"/>
      <c r="AJ51" s="122"/>
      <c r="AK51" s="122"/>
      <c r="AL51" s="122"/>
      <c r="AM51" s="120"/>
      <c r="AO51" s="124"/>
      <c r="AP51" s="534">
        <f>12/4*2/3</f>
        <v>2</v>
      </c>
      <c r="AQ51" s="534">
        <f>12/4</f>
        <v>3</v>
      </c>
      <c r="AR51" s="120">
        <f>SUM(AN51:AQ51)</f>
        <v>5</v>
      </c>
      <c r="AS51" s="534">
        <f>12/4</f>
        <v>3</v>
      </c>
      <c r="AT51" s="534">
        <f>12/4</f>
        <v>3</v>
      </c>
      <c r="AU51" s="534">
        <f>12/4-AP51</f>
        <v>1</v>
      </c>
      <c r="AV51" s="124"/>
      <c r="AW51" s="120">
        <f>SUM(AS51:AV51)</f>
        <v>7</v>
      </c>
      <c r="AX51" s="534"/>
      <c r="AY51" s="534"/>
      <c r="AZ51" s="534"/>
      <c r="BA51" s="124"/>
      <c r="BB51" s="125"/>
      <c r="BC51" s="534"/>
      <c r="BD51" s="534"/>
      <c r="BE51" s="534"/>
      <c r="BF51" s="124"/>
      <c r="BG51" s="120"/>
      <c r="BH51" s="534"/>
      <c r="BI51" s="534"/>
      <c r="BJ51" s="534"/>
      <c r="BK51" s="124"/>
      <c r="BL51" s="120"/>
      <c r="BM51" s="534"/>
      <c r="BN51" s="534"/>
      <c r="BO51" s="534"/>
      <c r="BP51" s="124"/>
      <c r="BQ51" s="120"/>
      <c r="BR51" s="534"/>
      <c r="BS51" s="534"/>
      <c r="BT51" s="534"/>
      <c r="BU51" s="124"/>
      <c r="BV51" s="120"/>
      <c r="BW51" s="534"/>
      <c r="BX51" s="534"/>
      <c r="BY51" s="534"/>
      <c r="BZ51" s="124"/>
      <c r="CA51" s="125"/>
      <c r="CB51" s="534"/>
      <c r="CC51" s="534"/>
      <c r="CD51" s="534"/>
      <c r="CE51" s="124"/>
      <c r="CF51" s="125"/>
      <c r="CG51" s="534"/>
      <c r="CH51" s="534"/>
      <c r="CI51" s="534"/>
      <c r="CJ51" s="534"/>
      <c r="CK51" s="120"/>
      <c r="CL51" s="534"/>
      <c r="CM51" s="534"/>
      <c r="CN51" s="534"/>
      <c r="CO51" s="534"/>
      <c r="CP51" s="120"/>
      <c r="CQ51" s="534"/>
      <c r="CR51" s="534"/>
      <c r="CS51" s="534"/>
      <c r="CT51" s="534"/>
      <c r="CU51" s="120"/>
      <c r="CV51" s="534"/>
      <c r="CW51" s="534"/>
      <c r="CX51" s="534"/>
      <c r="CY51" s="534"/>
      <c r="CZ51" s="120"/>
      <c r="DA51" s="534"/>
      <c r="DB51" s="121"/>
      <c r="DC51" s="534"/>
      <c r="DD51" s="534"/>
      <c r="DE51" s="120"/>
      <c r="DF51" s="534"/>
      <c r="DG51" s="534"/>
      <c r="DH51" s="534"/>
      <c r="DI51" s="534"/>
      <c r="DJ51" s="120"/>
      <c r="DK51" s="534"/>
      <c r="DL51" s="534"/>
      <c r="DM51" s="534"/>
      <c r="DN51" s="534"/>
      <c r="DO51" s="120"/>
      <c r="DP51" s="534"/>
      <c r="DQ51" s="534"/>
      <c r="DR51" s="534"/>
      <c r="DS51" s="534"/>
      <c r="DT51" s="120"/>
      <c r="DU51" s="534"/>
      <c r="DV51" s="534"/>
      <c r="DW51" s="534"/>
      <c r="DX51" s="534"/>
      <c r="DY51" s="120"/>
      <c r="DZ51" s="125"/>
      <c r="EA51" s="125"/>
      <c r="EB51" s="125"/>
    </row>
    <row r="52" spans="1:132" s="307" customFormat="1" ht="12" hidden="1" customHeight="1" outlineLevel="1">
      <c r="A52" s="241"/>
      <c r="B52" s="316" t="s">
        <v>335</v>
      </c>
      <c r="C52" s="180"/>
      <c r="D52" s="180"/>
      <c r="E52" s="180"/>
      <c r="F52" s="180"/>
      <c r="G52" s="180"/>
      <c r="H52" s="180"/>
      <c r="I52" s="180"/>
      <c r="J52" s="179"/>
      <c r="K52" s="179"/>
      <c r="L52" s="179"/>
      <c r="M52" s="179"/>
      <c r="N52" s="180"/>
      <c r="O52" s="179"/>
      <c r="P52" s="179"/>
      <c r="Q52" s="179"/>
      <c r="R52" s="179"/>
      <c r="S52" s="180"/>
      <c r="T52" s="179"/>
      <c r="U52" s="179"/>
      <c r="V52" s="179"/>
      <c r="W52" s="179"/>
      <c r="X52" s="180"/>
      <c r="Y52" s="179"/>
      <c r="Z52" s="179"/>
      <c r="AA52" s="179"/>
      <c r="AB52" s="179"/>
      <c r="AC52" s="180"/>
      <c r="AD52" s="179"/>
      <c r="AE52" s="179"/>
      <c r="AF52" s="179"/>
      <c r="AG52" s="179"/>
      <c r="AH52" s="285"/>
      <c r="AI52" s="179"/>
      <c r="AJ52" s="179"/>
      <c r="AK52" s="179">
        <v>0.5</v>
      </c>
      <c r="AL52" s="179">
        <v>0.5</v>
      </c>
      <c r="AM52" s="285">
        <f t="shared" ref="AM52:AM57" si="2">SUM(AI52:AL52)</f>
        <v>1</v>
      </c>
      <c r="AN52" s="179">
        <v>0.5</v>
      </c>
      <c r="AO52" s="179">
        <v>0.5</v>
      </c>
      <c r="AP52" s="184"/>
      <c r="AQ52" s="184"/>
      <c r="AR52" s="285">
        <f>SUM(AN52:AQ52)</f>
        <v>1</v>
      </c>
      <c r="AS52" s="184"/>
      <c r="AT52" s="184"/>
      <c r="AU52" s="184"/>
      <c r="AV52" s="184"/>
      <c r="AW52" s="285"/>
      <c r="AX52" s="184"/>
      <c r="AY52" s="184"/>
      <c r="AZ52" s="184"/>
      <c r="BA52" s="184"/>
      <c r="BB52" s="185"/>
      <c r="BC52" s="184"/>
      <c r="BD52" s="184"/>
      <c r="BE52" s="184"/>
      <c r="BF52" s="184"/>
      <c r="BG52" s="120"/>
      <c r="BH52" s="124"/>
      <c r="BI52" s="124"/>
      <c r="BJ52" s="124"/>
      <c r="BK52" s="124"/>
      <c r="BL52" s="120"/>
      <c r="BM52" s="124"/>
      <c r="BN52" s="124"/>
      <c r="BO52" s="124"/>
      <c r="BP52" s="124"/>
      <c r="BQ52" s="120"/>
      <c r="BR52" s="124"/>
      <c r="BS52" s="124"/>
      <c r="BT52" s="124"/>
      <c r="BU52" s="124"/>
      <c r="BV52" s="120"/>
      <c r="BW52" s="124"/>
      <c r="BX52" s="124"/>
      <c r="BY52" s="124"/>
      <c r="BZ52" s="124"/>
      <c r="CA52" s="125"/>
      <c r="CB52" s="124"/>
      <c r="CC52" s="124"/>
      <c r="CD52" s="124"/>
      <c r="CE52" s="124"/>
      <c r="CF52" s="125"/>
      <c r="CG52" s="124"/>
      <c r="CH52" s="124"/>
      <c r="CI52" s="124"/>
      <c r="CJ52" s="124"/>
      <c r="CK52" s="120"/>
      <c r="CL52" s="124"/>
      <c r="CM52" s="124"/>
      <c r="CN52" s="124"/>
      <c r="CO52" s="124"/>
      <c r="CP52" s="120"/>
      <c r="CQ52" s="124"/>
      <c r="CR52" s="124"/>
      <c r="CS52" s="124"/>
      <c r="CT52" s="124"/>
      <c r="CU52" s="120"/>
      <c r="CV52" s="124"/>
      <c r="CW52" s="124"/>
      <c r="CX52" s="124"/>
      <c r="CY52" s="124"/>
      <c r="CZ52" s="120"/>
      <c r="DA52" s="124"/>
      <c r="DB52" s="121"/>
      <c r="DC52" s="124"/>
      <c r="DD52" s="124"/>
      <c r="DE52" s="120"/>
      <c r="DF52" s="124"/>
      <c r="DG52" s="124"/>
      <c r="DH52" s="124"/>
      <c r="DI52" s="124"/>
      <c r="DJ52" s="120"/>
      <c r="DK52" s="124"/>
      <c r="DL52" s="124"/>
      <c r="DM52" s="124"/>
      <c r="DN52" s="124"/>
      <c r="DO52" s="120"/>
      <c r="DP52" s="124"/>
      <c r="DQ52" s="124"/>
      <c r="DR52" s="124"/>
      <c r="DS52" s="124"/>
      <c r="DT52" s="120"/>
      <c r="DU52" s="124"/>
      <c r="DV52" s="124"/>
      <c r="DW52" s="124"/>
      <c r="DX52" s="124"/>
      <c r="DY52" s="120"/>
      <c r="DZ52" s="125"/>
      <c r="EA52" s="125"/>
      <c r="EB52" s="125"/>
    </row>
    <row r="53" spans="1:132" s="307" customFormat="1" ht="12" hidden="1" customHeight="1" outlineLevel="1">
      <c r="A53" s="241"/>
      <c r="B53" s="316" t="s">
        <v>149</v>
      </c>
      <c r="C53" s="180"/>
      <c r="D53" s="180"/>
      <c r="E53" s="180"/>
      <c r="F53" s="180"/>
      <c r="G53" s="180"/>
      <c r="H53" s="180"/>
      <c r="I53" s="180"/>
      <c r="J53" s="179"/>
      <c r="K53" s="179"/>
      <c r="L53" s="179"/>
      <c r="M53" s="179"/>
      <c r="N53" s="180"/>
      <c r="O53" s="179"/>
      <c r="P53" s="179"/>
      <c r="Q53" s="179"/>
      <c r="R53" s="179"/>
      <c r="S53" s="180"/>
      <c r="T53" s="179"/>
      <c r="U53" s="179"/>
      <c r="V53" s="179"/>
      <c r="W53" s="179"/>
      <c r="X53" s="180"/>
      <c r="Y53" s="179"/>
      <c r="Z53" s="179"/>
      <c r="AA53" s="179"/>
      <c r="AB53" s="179"/>
      <c r="AC53" s="180"/>
      <c r="AD53" s="179"/>
      <c r="AE53" s="179"/>
      <c r="AF53" s="179"/>
      <c r="AG53" s="179"/>
      <c r="AH53" s="285"/>
      <c r="AI53" s="179">
        <v>18.5</v>
      </c>
      <c r="AJ53" s="179">
        <v>18.5</v>
      </c>
      <c r="AK53" s="179">
        <v>18.5</v>
      </c>
      <c r="AL53" s="179">
        <v>18.5</v>
      </c>
      <c r="AM53" s="285">
        <f t="shared" si="2"/>
        <v>74</v>
      </c>
      <c r="AN53" s="68"/>
      <c r="AO53" s="184"/>
      <c r="AP53" s="184"/>
      <c r="AQ53" s="184"/>
      <c r="AR53" s="285"/>
      <c r="AS53" s="184"/>
      <c r="AT53" s="184"/>
      <c r="AU53" s="184"/>
      <c r="AV53" s="184"/>
      <c r="AW53" s="285"/>
      <c r="AX53" s="184"/>
      <c r="AY53" s="184"/>
      <c r="AZ53" s="184"/>
      <c r="BA53" s="184"/>
      <c r="BB53" s="185"/>
      <c r="BC53" s="184"/>
      <c r="BD53" s="184"/>
      <c r="BE53" s="184"/>
      <c r="BF53" s="184"/>
      <c r="BG53" s="120"/>
      <c r="BH53" s="124"/>
      <c r="BI53" s="124"/>
      <c r="BJ53" s="124"/>
      <c r="BK53" s="124"/>
      <c r="BL53" s="120"/>
      <c r="BM53" s="124"/>
      <c r="BN53" s="124"/>
      <c r="BO53" s="124"/>
      <c r="BP53" s="124"/>
      <c r="BQ53" s="120"/>
      <c r="BR53" s="124"/>
      <c r="BS53" s="124"/>
      <c r="BT53" s="124"/>
      <c r="BU53" s="124"/>
      <c r="BV53" s="120"/>
      <c r="BW53" s="124"/>
      <c r="BX53" s="124"/>
      <c r="BY53" s="124"/>
      <c r="BZ53" s="124"/>
      <c r="CA53" s="125"/>
      <c r="CB53" s="124"/>
      <c r="CC53" s="124"/>
      <c r="CD53" s="124"/>
      <c r="CE53" s="124"/>
      <c r="CF53" s="125"/>
      <c r="CG53" s="124"/>
      <c r="CH53" s="124"/>
      <c r="CI53" s="124"/>
      <c r="CJ53" s="124"/>
      <c r="CK53" s="120"/>
      <c r="CL53" s="124"/>
      <c r="CM53" s="124"/>
      <c r="CN53" s="124"/>
      <c r="CO53" s="124"/>
      <c r="CP53" s="120"/>
      <c r="CQ53" s="124"/>
      <c r="CR53" s="124"/>
      <c r="CS53" s="124"/>
      <c r="CT53" s="124"/>
      <c r="CU53" s="120"/>
      <c r="CV53" s="124"/>
      <c r="CW53" s="124"/>
      <c r="CX53" s="124"/>
      <c r="CY53" s="124"/>
      <c r="CZ53" s="120"/>
      <c r="DA53" s="124"/>
      <c r="DB53" s="121"/>
      <c r="DC53" s="124"/>
      <c r="DD53" s="124"/>
      <c r="DE53" s="120"/>
      <c r="DF53" s="124"/>
      <c r="DG53" s="124"/>
      <c r="DH53" s="124"/>
      <c r="DI53" s="124"/>
      <c r="DJ53" s="120"/>
      <c r="DK53" s="124"/>
      <c r="DL53" s="124"/>
      <c r="DM53" s="124"/>
      <c r="DN53" s="124"/>
      <c r="DO53" s="120"/>
      <c r="DP53" s="124"/>
      <c r="DQ53" s="124"/>
      <c r="DR53" s="124"/>
      <c r="DS53" s="124"/>
      <c r="DT53" s="120"/>
      <c r="DU53" s="124"/>
      <c r="DV53" s="124"/>
      <c r="DW53" s="124"/>
      <c r="DX53" s="124"/>
      <c r="DY53" s="120"/>
      <c r="DZ53" s="125"/>
      <c r="EA53" s="125"/>
      <c r="EB53" s="125"/>
    </row>
    <row r="54" spans="1:132" s="307" customFormat="1" ht="12" hidden="1" customHeight="1" outlineLevel="1">
      <c r="A54" s="241"/>
      <c r="B54" s="316" t="s">
        <v>150</v>
      </c>
      <c r="C54" s="180"/>
      <c r="D54" s="180"/>
      <c r="E54" s="180"/>
      <c r="F54" s="180"/>
      <c r="G54" s="180"/>
      <c r="H54" s="180"/>
      <c r="I54" s="180"/>
      <c r="J54" s="179"/>
      <c r="K54" s="179"/>
      <c r="L54" s="179"/>
      <c r="M54" s="179"/>
      <c r="N54" s="180"/>
      <c r="O54" s="179"/>
      <c r="P54" s="179"/>
      <c r="Q54" s="179"/>
      <c r="R54" s="179"/>
      <c r="S54" s="180"/>
      <c r="T54" s="179"/>
      <c r="U54" s="179"/>
      <c r="V54" s="179"/>
      <c r="W54" s="179"/>
      <c r="X54" s="180"/>
      <c r="Y54" s="179"/>
      <c r="Z54" s="179"/>
      <c r="AA54" s="179"/>
      <c r="AB54" s="179"/>
      <c r="AC54" s="180"/>
      <c r="AD54" s="179"/>
      <c r="AE54" s="179"/>
      <c r="AF54" s="179"/>
      <c r="AG54" s="179"/>
      <c r="AH54" s="285"/>
      <c r="AI54" s="179">
        <v>10</v>
      </c>
      <c r="AJ54" s="179">
        <v>10</v>
      </c>
      <c r="AK54" s="179">
        <v>10</v>
      </c>
      <c r="AL54" s="179">
        <v>10</v>
      </c>
      <c r="AM54" s="285">
        <f t="shared" si="2"/>
        <v>40</v>
      </c>
      <c r="AN54" s="68"/>
      <c r="AO54" s="184"/>
      <c r="AP54" s="184"/>
      <c r="AQ54" s="184"/>
      <c r="AR54" s="285"/>
      <c r="AS54" s="184"/>
      <c r="AT54" s="184"/>
      <c r="AU54" s="184"/>
      <c r="AV54" s="184"/>
      <c r="AW54" s="285"/>
      <c r="AX54" s="184"/>
      <c r="AY54" s="184"/>
      <c r="AZ54" s="184"/>
      <c r="BA54" s="184"/>
      <c r="BB54" s="185"/>
      <c r="BC54" s="184"/>
      <c r="BD54" s="184"/>
      <c r="BE54" s="184"/>
      <c r="BF54" s="184"/>
      <c r="BG54" s="120"/>
      <c r="BH54" s="124"/>
      <c r="BI54" s="124"/>
      <c r="BJ54" s="124"/>
      <c r="BK54" s="124"/>
      <c r="BL54" s="120"/>
      <c r="BM54" s="124"/>
      <c r="BN54" s="124"/>
      <c r="BO54" s="124"/>
      <c r="BP54" s="124"/>
      <c r="BQ54" s="120"/>
      <c r="BR54" s="124"/>
      <c r="BS54" s="124"/>
      <c r="BT54" s="124"/>
      <c r="BU54" s="124"/>
      <c r="BV54" s="120"/>
      <c r="BW54" s="124"/>
      <c r="BX54" s="124"/>
      <c r="BY54" s="124"/>
      <c r="BZ54" s="124"/>
      <c r="CA54" s="125"/>
      <c r="CB54" s="124"/>
      <c r="CC54" s="124"/>
      <c r="CD54" s="124"/>
      <c r="CE54" s="124"/>
      <c r="CF54" s="125"/>
      <c r="CG54" s="124"/>
      <c r="CH54" s="124"/>
      <c r="CI54" s="124"/>
      <c r="CJ54" s="124"/>
      <c r="CK54" s="120"/>
      <c r="CL54" s="124"/>
      <c r="CM54" s="124"/>
      <c r="CN54" s="124"/>
      <c r="CO54" s="124"/>
      <c r="CP54" s="120"/>
      <c r="CQ54" s="124"/>
      <c r="CR54" s="124"/>
      <c r="CS54" s="124"/>
      <c r="CT54" s="124"/>
      <c r="CU54" s="120"/>
      <c r="CV54" s="124"/>
      <c r="CW54" s="124"/>
      <c r="CX54" s="124"/>
      <c r="CY54" s="124"/>
      <c r="CZ54" s="120"/>
      <c r="DA54" s="124"/>
      <c r="DB54" s="121"/>
      <c r="DC54" s="124"/>
      <c r="DD54" s="124"/>
      <c r="DE54" s="120"/>
      <c r="DF54" s="124"/>
      <c r="DG54" s="124"/>
      <c r="DH54" s="124"/>
      <c r="DI54" s="124"/>
      <c r="DJ54" s="120"/>
      <c r="DK54" s="124"/>
      <c r="DL54" s="124"/>
      <c r="DM54" s="124"/>
      <c r="DN54" s="124"/>
      <c r="DO54" s="120"/>
      <c r="DP54" s="124"/>
      <c r="DQ54" s="124"/>
      <c r="DR54" s="124"/>
      <c r="DS54" s="124"/>
      <c r="DT54" s="120"/>
      <c r="DU54" s="124"/>
      <c r="DV54" s="124"/>
      <c r="DW54" s="124"/>
      <c r="DX54" s="124"/>
      <c r="DY54" s="120"/>
      <c r="DZ54" s="125"/>
      <c r="EA54" s="125"/>
      <c r="EB54" s="125"/>
    </row>
    <row r="55" spans="1:132" s="307" customFormat="1" ht="12" hidden="1" customHeight="1" outlineLevel="1">
      <c r="A55" s="241"/>
      <c r="B55" s="316" t="s">
        <v>151</v>
      </c>
      <c r="C55" s="180"/>
      <c r="D55" s="180"/>
      <c r="E55" s="180"/>
      <c r="F55" s="180"/>
      <c r="G55" s="180"/>
      <c r="H55" s="180"/>
      <c r="I55" s="180"/>
      <c r="J55" s="179"/>
      <c r="K55" s="179"/>
      <c r="L55" s="179"/>
      <c r="M55" s="179"/>
      <c r="N55" s="180"/>
      <c r="O55" s="179"/>
      <c r="P55" s="179"/>
      <c r="Q55" s="179"/>
      <c r="R55" s="179"/>
      <c r="S55" s="180"/>
      <c r="T55" s="179"/>
      <c r="U55" s="179"/>
      <c r="V55" s="179"/>
      <c r="W55" s="179"/>
      <c r="X55" s="180"/>
      <c r="Y55" s="179"/>
      <c r="Z55" s="179"/>
      <c r="AA55" s="179"/>
      <c r="AB55" s="179"/>
      <c r="AC55" s="180"/>
      <c r="AD55" s="179"/>
      <c r="AE55" s="179"/>
      <c r="AF55" s="179"/>
      <c r="AG55" s="179">
        <f>50.5/4*(1/3)</f>
        <v>4.208333333333333</v>
      </c>
      <c r="AH55" s="285">
        <f>SUM(AD55:AG55)</f>
        <v>4.208333333333333</v>
      </c>
      <c r="AI55" s="179">
        <f>50.5/4</f>
        <v>12.625</v>
      </c>
      <c r="AJ55" s="179">
        <f>50.5/4</f>
        <v>12.625</v>
      </c>
      <c r="AK55" s="179">
        <f>50.5/4</f>
        <v>12.625</v>
      </c>
      <c r="AL55" s="179">
        <f>50.5/4*(2/3)</f>
        <v>8.4166666666666661</v>
      </c>
      <c r="AM55" s="285">
        <f t="shared" si="2"/>
        <v>46.291666666666664</v>
      </c>
      <c r="AN55" s="68"/>
      <c r="AO55" s="184"/>
      <c r="AP55" s="184"/>
      <c r="AQ55" s="184"/>
      <c r="AR55" s="285"/>
      <c r="AS55" s="184"/>
      <c r="AT55" s="184"/>
      <c r="AU55" s="184"/>
      <c r="AV55" s="184"/>
      <c r="AW55" s="285"/>
      <c r="AX55" s="184"/>
      <c r="AY55" s="184"/>
      <c r="AZ55" s="184"/>
      <c r="BA55" s="184"/>
      <c r="BB55" s="185"/>
      <c r="BC55" s="184"/>
      <c r="BD55" s="184"/>
      <c r="BE55" s="184"/>
      <c r="BF55" s="184"/>
      <c r="BG55" s="120"/>
      <c r="BH55" s="124"/>
      <c r="BI55" s="124"/>
      <c r="BJ55" s="124"/>
      <c r="BK55" s="124"/>
      <c r="BL55" s="120"/>
      <c r="BM55" s="124"/>
      <c r="BN55" s="124"/>
      <c r="BO55" s="124"/>
      <c r="BP55" s="124"/>
      <c r="BQ55" s="120"/>
      <c r="BR55" s="124"/>
      <c r="BS55" s="124"/>
      <c r="BT55" s="124"/>
      <c r="BU55" s="124"/>
      <c r="BV55" s="120"/>
      <c r="BW55" s="124"/>
      <c r="BX55" s="124"/>
      <c r="BY55" s="124"/>
      <c r="BZ55" s="124"/>
      <c r="CA55" s="125"/>
      <c r="CB55" s="124"/>
      <c r="CC55" s="124"/>
      <c r="CD55" s="124"/>
      <c r="CE55" s="124"/>
      <c r="CF55" s="125"/>
      <c r="CG55" s="124"/>
      <c r="CH55" s="124"/>
      <c r="CI55" s="124"/>
      <c r="CJ55" s="124"/>
      <c r="CK55" s="120"/>
      <c r="CL55" s="124"/>
      <c r="CM55" s="124"/>
      <c r="CN55" s="124"/>
      <c r="CO55" s="124"/>
      <c r="CP55" s="120"/>
      <c r="CQ55" s="124"/>
      <c r="CR55" s="124"/>
      <c r="CS55" s="124"/>
      <c r="CT55" s="124"/>
      <c r="CU55" s="120"/>
      <c r="CV55" s="124"/>
      <c r="CW55" s="124"/>
      <c r="CX55" s="124"/>
      <c r="CY55" s="124"/>
      <c r="CZ55" s="120"/>
      <c r="DA55" s="124"/>
      <c r="DB55" s="121"/>
      <c r="DC55" s="124"/>
      <c r="DD55" s="124"/>
      <c r="DE55" s="120"/>
      <c r="DF55" s="124"/>
      <c r="DG55" s="124"/>
      <c r="DH55" s="124"/>
      <c r="DI55" s="124"/>
      <c r="DJ55" s="120"/>
      <c r="DK55" s="124"/>
      <c r="DL55" s="124"/>
      <c r="DM55" s="124"/>
      <c r="DN55" s="124"/>
      <c r="DO55" s="120"/>
      <c r="DP55" s="124"/>
      <c r="DQ55" s="124"/>
      <c r="DR55" s="124"/>
      <c r="DS55" s="124"/>
      <c r="DT55" s="120"/>
      <c r="DU55" s="124"/>
      <c r="DV55" s="124"/>
      <c r="DW55" s="124"/>
      <c r="DX55" s="124"/>
      <c r="DY55" s="120"/>
      <c r="DZ55" s="125"/>
      <c r="EA55" s="125"/>
      <c r="EB55" s="125"/>
    </row>
    <row r="56" spans="1:132" s="307" customFormat="1" ht="12" hidden="1" customHeight="1" outlineLevel="1">
      <c r="A56" s="241"/>
      <c r="B56" s="316" t="s">
        <v>153</v>
      </c>
      <c r="C56" s="180"/>
      <c r="D56" s="180"/>
      <c r="E56" s="180"/>
      <c r="F56" s="180"/>
      <c r="G56" s="180"/>
      <c r="H56" s="180"/>
      <c r="I56" s="180"/>
      <c r="J56" s="179"/>
      <c r="K56" s="179"/>
      <c r="L56" s="179"/>
      <c r="M56" s="179"/>
      <c r="N56" s="180"/>
      <c r="O56" s="179"/>
      <c r="P56" s="179"/>
      <c r="Q56" s="179"/>
      <c r="R56" s="179"/>
      <c r="S56" s="180"/>
      <c r="T56" s="179"/>
      <c r="U56" s="179"/>
      <c r="V56" s="179"/>
      <c r="W56" s="179"/>
      <c r="X56" s="180"/>
      <c r="Y56" s="179"/>
      <c r="Z56" s="179"/>
      <c r="AA56" s="179"/>
      <c r="AB56" s="179"/>
      <c r="AC56" s="180"/>
      <c r="AD56" s="179"/>
      <c r="AE56" s="179"/>
      <c r="AF56" s="179"/>
      <c r="AG56" s="179">
        <f>150/4</f>
        <v>37.5</v>
      </c>
      <c r="AH56" s="285">
        <f>SUM(AD56:AG56)</f>
        <v>37.5</v>
      </c>
      <c r="AI56" s="179">
        <f>150/4</f>
        <v>37.5</v>
      </c>
      <c r="AJ56" s="179">
        <f>150/4</f>
        <v>37.5</v>
      </c>
      <c r="AK56" s="179">
        <f>150/4</f>
        <v>37.5</v>
      </c>
      <c r="AL56" s="179"/>
      <c r="AM56" s="285">
        <f t="shared" si="2"/>
        <v>112.5</v>
      </c>
      <c r="AN56" s="68"/>
      <c r="AO56" s="184"/>
      <c r="AP56" s="184"/>
      <c r="AQ56" s="184"/>
      <c r="AR56" s="285"/>
      <c r="AS56" s="184"/>
      <c r="AT56" s="184"/>
      <c r="AU56" s="184"/>
      <c r="AV56" s="184"/>
      <c r="AW56" s="285"/>
      <c r="AX56" s="184"/>
      <c r="AY56" s="184"/>
      <c r="AZ56" s="184"/>
      <c r="BA56" s="184"/>
      <c r="BB56" s="185"/>
      <c r="BC56" s="184"/>
      <c r="BD56" s="184"/>
      <c r="BE56" s="184"/>
      <c r="BF56" s="184"/>
      <c r="BG56" s="120"/>
      <c r="BH56" s="124"/>
      <c r="BI56" s="124"/>
      <c r="BJ56" s="124"/>
      <c r="BK56" s="124"/>
      <c r="BL56" s="120"/>
      <c r="BM56" s="124"/>
      <c r="BN56" s="124"/>
      <c r="BO56" s="124"/>
      <c r="BP56" s="124"/>
      <c r="BQ56" s="120"/>
      <c r="BR56" s="124"/>
      <c r="BS56" s="124"/>
      <c r="BT56" s="124"/>
      <c r="BU56" s="124"/>
      <c r="BV56" s="120"/>
      <c r="BW56" s="124"/>
      <c r="BX56" s="124"/>
      <c r="BY56" s="124"/>
      <c r="BZ56" s="124"/>
      <c r="CA56" s="125"/>
      <c r="CB56" s="124"/>
      <c r="CC56" s="124"/>
      <c r="CD56" s="124"/>
      <c r="CE56" s="124"/>
      <c r="CF56" s="125"/>
      <c r="CG56" s="124"/>
      <c r="CH56" s="124"/>
      <c r="CI56" s="124"/>
      <c r="CJ56" s="124"/>
      <c r="CK56" s="120"/>
      <c r="CL56" s="124"/>
      <c r="CM56" s="124"/>
      <c r="CN56" s="124"/>
      <c r="CO56" s="124"/>
      <c r="CP56" s="120"/>
      <c r="CQ56" s="124"/>
      <c r="CR56" s="124"/>
      <c r="CS56" s="124"/>
      <c r="CT56" s="124"/>
      <c r="CU56" s="120"/>
      <c r="CV56" s="124"/>
      <c r="CW56" s="124"/>
      <c r="CX56" s="124"/>
      <c r="CY56" s="124"/>
      <c r="CZ56" s="120"/>
      <c r="DA56" s="124"/>
      <c r="DB56" s="121"/>
      <c r="DC56" s="124"/>
      <c r="DD56" s="124"/>
      <c r="DE56" s="120"/>
      <c r="DF56" s="124"/>
      <c r="DG56" s="124"/>
      <c r="DH56" s="124"/>
      <c r="DI56" s="124"/>
      <c r="DJ56" s="120"/>
      <c r="DK56" s="124"/>
      <c r="DL56" s="124"/>
      <c r="DM56" s="124"/>
      <c r="DN56" s="124"/>
      <c r="DO56" s="120"/>
      <c r="DP56" s="124"/>
      <c r="DQ56" s="124"/>
      <c r="DR56" s="124"/>
      <c r="DS56" s="124"/>
      <c r="DT56" s="120"/>
      <c r="DU56" s="124"/>
      <c r="DV56" s="124"/>
      <c r="DW56" s="124"/>
      <c r="DX56" s="124"/>
      <c r="DY56" s="120"/>
      <c r="DZ56" s="125"/>
      <c r="EA56" s="125"/>
      <c r="EB56" s="125"/>
    </row>
    <row r="57" spans="1:132" s="307" customFormat="1" ht="12" hidden="1" customHeight="1" outlineLevel="1">
      <c r="A57" s="241"/>
      <c r="B57" s="316" t="s">
        <v>336</v>
      </c>
      <c r="C57" s="180"/>
      <c r="D57" s="180"/>
      <c r="E57" s="180"/>
      <c r="F57" s="180"/>
      <c r="G57" s="180"/>
      <c r="H57" s="180"/>
      <c r="I57" s="180"/>
      <c r="J57" s="179"/>
      <c r="K57" s="179"/>
      <c r="L57" s="179"/>
      <c r="M57" s="179"/>
      <c r="N57" s="180"/>
      <c r="O57" s="179"/>
      <c r="P57" s="179"/>
      <c r="Q57" s="179"/>
      <c r="R57" s="179"/>
      <c r="S57" s="180"/>
      <c r="T57" s="179"/>
      <c r="U57" s="179"/>
      <c r="V57" s="179"/>
      <c r="W57" s="179"/>
      <c r="X57" s="180"/>
      <c r="Y57" s="179"/>
      <c r="Z57" s="179"/>
      <c r="AA57" s="179"/>
      <c r="AB57" s="179"/>
      <c r="AC57" s="180"/>
      <c r="AD57" s="179">
        <f>1*2/3</f>
        <v>0.66666666666666663</v>
      </c>
      <c r="AE57" s="179">
        <v>1</v>
      </c>
      <c r="AF57" s="179">
        <v>1</v>
      </c>
      <c r="AG57" s="179">
        <v>1</v>
      </c>
      <c r="AH57" s="285">
        <f>SUM(AD57:AG57)</f>
        <v>3.6666666666666665</v>
      </c>
      <c r="AI57" s="179">
        <f>1*1/3</f>
        <v>0.33333333333333331</v>
      </c>
      <c r="AJ57" s="179"/>
      <c r="AK57" s="179"/>
      <c r="AL57" s="179"/>
      <c r="AM57" s="285">
        <f t="shared" si="2"/>
        <v>0.33333333333333331</v>
      </c>
      <c r="AN57" s="68"/>
      <c r="AO57" s="184"/>
      <c r="AP57" s="184"/>
      <c r="AQ57" s="184"/>
      <c r="AR57" s="285"/>
      <c r="AS57" s="184"/>
      <c r="AT57" s="184"/>
      <c r="AU57" s="184"/>
      <c r="AV57" s="184"/>
      <c r="AW57" s="285"/>
      <c r="AX57" s="184"/>
      <c r="AY57" s="184"/>
      <c r="AZ57" s="184"/>
      <c r="BA57" s="184"/>
      <c r="BB57" s="185"/>
      <c r="BC57" s="184"/>
      <c r="BD57" s="184"/>
      <c r="BE57" s="184"/>
      <c r="BF57" s="184"/>
      <c r="BG57" s="120"/>
      <c r="BH57" s="124"/>
      <c r="BI57" s="124"/>
      <c r="BJ57" s="124"/>
      <c r="BK57" s="124"/>
      <c r="BL57" s="120"/>
      <c r="BM57" s="124"/>
      <c r="BN57" s="124"/>
      <c r="BO57" s="124"/>
      <c r="BP57" s="124"/>
      <c r="BQ57" s="120"/>
      <c r="BR57" s="124"/>
      <c r="BS57" s="124"/>
      <c r="BT57" s="124"/>
      <c r="BU57" s="124"/>
      <c r="BV57" s="120"/>
      <c r="BW57" s="124"/>
      <c r="BX57" s="124"/>
      <c r="BY57" s="124"/>
      <c r="BZ57" s="124"/>
      <c r="CA57" s="125"/>
      <c r="CB57" s="124"/>
      <c r="CC57" s="124"/>
      <c r="CD57" s="124"/>
      <c r="CE57" s="124"/>
      <c r="CF57" s="125"/>
      <c r="CG57" s="124"/>
      <c r="CH57" s="124"/>
      <c r="CI57" s="124"/>
      <c r="CJ57" s="124"/>
      <c r="CK57" s="120"/>
      <c r="CL57" s="124"/>
      <c r="CM57" s="124"/>
      <c r="CN57" s="124"/>
      <c r="CO57" s="124"/>
      <c r="CP57" s="120"/>
      <c r="CQ57" s="124"/>
      <c r="CR57" s="124"/>
      <c r="CS57" s="124"/>
      <c r="CT57" s="124"/>
      <c r="CU57" s="120"/>
      <c r="CV57" s="124"/>
      <c r="CW57" s="124"/>
      <c r="CX57" s="124"/>
      <c r="CY57" s="124"/>
      <c r="CZ57" s="120"/>
      <c r="DA57" s="124"/>
      <c r="DB57" s="121"/>
      <c r="DC57" s="124"/>
      <c r="DD57" s="124"/>
      <c r="DE57" s="120"/>
      <c r="DF57" s="124"/>
      <c r="DG57" s="124"/>
      <c r="DH57" s="124"/>
      <c r="DI57" s="124"/>
      <c r="DJ57" s="120"/>
      <c r="DK57" s="124"/>
      <c r="DL57" s="124"/>
      <c r="DM57" s="124"/>
      <c r="DN57" s="124"/>
      <c r="DO57" s="120"/>
      <c r="DP57" s="124"/>
      <c r="DQ57" s="124"/>
      <c r="DR57" s="124"/>
      <c r="DS57" s="124"/>
      <c r="DT57" s="120"/>
      <c r="DU57" s="124"/>
      <c r="DV57" s="124"/>
      <c r="DW57" s="124"/>
      <c r="DX57" s="124"/>
      <c r="DY57" s="120"/>
      <c r="DZ57" s="125"/>
      <c r="EA57" s="125"/>
      <c r="EB57" s="125"/>
    </row>
    <row r="58" spans="1:132" s="307" customFormat="1" ht="12" hidden="1" customHeight="1" outlineLevel="1">
      <c r="A58" s="241"/>
      <c r="B58" s="316" t="s">
        <v>159</v>
      </c>
      <c r="C58" s="180"/>
      <c r="D58" s="180"/>
      <c r="E58" s="180"/>
      <c r="F58" s="180"/>
      <c r="G58" s="180"/>
      <c r="H58" s="180"/>
      <c r="I58" s="180"/>
      <c r="J58" s="179"/>
      <c r="K58" s="179">
        <f>1/3*14/4</f>
        <v>1.1666666666666665</v>
      </c>
      <c r="L58" s="179">
        <f>14/4</f>
        <v>3.5</v>
      </c>
      <c r="M58" s="179">
        <f>14/4</f>
        <v>3.5</v>
      </c>
      <c r="N58" s="175">
        <f>SUM(J58:M58)</f>
        <v>8.1666666666666661</v>
      </c>
      <c r="O58" s="179">
        <f>14/4</f>
        <v>3.5</v>
      </c>
      <c r="P58" s="179">
        <f>3.5*2/3</f>
        <v>2.3333333333333335</v>
      </c>
      <c r="Q58" s="179"/>
      <c r="R58" s="179"/>
      <c r="S58" s="175">
        <f>SUM(O58:R58)</f>
        <v>5.8333333333333339</v>
      </c>
      <c r="T58" s="179"/>
      <c r="U58" s="179"/>
      <c r="V58" s="179"/>
      <c r="W58" s="179"/>
      <c r="X58" s="180"/>
      <c r="Y58" s="179"/>
      <c r="Z58" s="179"/>
      <c r="AA58" s="179"/>
      <c r="AB58" s="179"/>
      <c r="AC58" s="180"/>
      <c r="AD58" s="179"/>
      <c r="AE58" s="179"/>
      <c r="AF58" s="179"/>
      <c r="AG58" s="179"/>
      <c r="AH58" s="285"/>
      <c r="AI58" s="179"/>
      <c r="AJ58" s="179"/>
      <c r="AK58" s="179"/>
      <c r="AL58" s="179"/>
      <c r="AM58" s="285"/>
      <c r="AN58" s="68"/>
      <c r="AO58" s="184"/>
      <c r="AP58" s="184"/>
      <c r="AQ58" s="184"/>
      <c r="AR58" s="285"/>
      <c r="AS58" s="184"/>
      <c r="AT58" s="184"/>
      <c r="AU58" s="184"/>
      <c r="AV58" s="184"/>
      <c r="AW58" s="285"/>
      <c r="AX58" s="184"/>
      <c r="AY58" s="184"/>
      <c r="AZ58" s="184"/>
      <c r="BA58" s="184"/>
      <c r="BB58" s="185"/>
      <c r="BC58" s="184"/>
      <c r="BD58" s="184"/>
      <c r="BE58" s="184"/>
      <c r="BF58" s="184"/>
      <c r="BG58" s="120"/>
      <c r="BH58" s="124"/>
      <c r="BI58" s="124"/>
      <c r="BJ58" s="124"/>
      <c r="BK58" s="124"/>
      <c r="BL58" s="120"/>
      <c r="BM58" s="124"/>
      <c r="BN58" s="124"/>
      <c r="BO58" s="124"/>
      <c r="BP58" s="124"/>
      <c r="BQ58" s="120"/>
      <c r="BR58" s="124"/>
      <c r="BS58" s="124"/>
      <c r="BT58" s="124"/>
      <c r="BU58" s="124"/>
      <c r="BV58" s="120"/>
      <c r="BW58" s="124"/>
      <c r="BX58" s="124"/>
      <c r="BY58" s="124"/>
      <c r="BZ58" s="124"/>
      <c r="CA58" s="125"/>
      <c r="CB58" s="124"/>
      <c r="CC58" s="124"/>
      <c r="CD58" s="124"/>
      <c r="CE58" s="124"/>
      <c r="CF58" s="125"/>
      <c r="CG58" s="124"/>
      <c r="CH58" s="124"/>
      <c r="CI58" s="124"/>
      <c r="CJ58" s="124"/>
      <c r="CK58" s="120"/>
      <c r="CL58" s="124"/>
      <c r="CM58" s="124"/>
      <c r="CN58" s="124"/>
      <c r="CO58" s="124"/>
      <c r="CP58" s="120"/>
      <c r="CQ58" s="124"/>
      <c r="CR58" s="124"/>
      <c r="CS58" s="124"/>
      <c r="CT58" s="124"/>
      <c r="CU58" s="120"/>
      <c r="CV58" s="124"/>
      <c r="CW58" s="124"/>
      <c r="CX58" s="124"/>
      <c r="CY58" s="124"/>
      <c r="CZ58" s="120"/>
      <c r="DA58" s="124"/>
      <c r="DB58" s="121"/>
      <c r="DC58" s="124"/>
      <c r="DD58" s="124"/>
      <c r="DE58" s="120"/>
      <c r="DF58" s="124"/>
      <c r="DG58" s="124"/>
      <c r="DH58" s="124"/>
      <c r="DI58" s="124"/>
      <c r="DJ58" s="120"/>
      <c r="DK58" s="124"/>
      <c r="DL58" s="124"/>
      <c r="DM58" s="124"/>
      <c r="DN58" s="124"/>
      <c r="DO58" s="120"/>
      <c r="DP58" s="124"/>
      <c r="DQ58" s="124"/>
      <c r="DR58" s="124"/>
      <c r="DS58" s="124"/>
      <c r="DT58" s="120"/>
      <c r="DU58" s="124"/>
      <c r="DV58" s="124"/>
      <c r="DW58" s="124"/>
      <c r="DX58" s="124"/>
      <c r="DY58" s="120"/>
      <c r="DZ58" s="125"/>
      <c r="EA58" s="125"/>
      <c r="EB58" s="125"/>
    </row>
    <row r="59" spans="1:132" s="307" customFormat="1" ht="12" hidden="1" customHeight="1" outlineLevel="1">
      <c r="A59" s="241"/>
      <c r="B59" s="316" t="s">
        <v>160</v>
      </c>
      <c r="C59" s="180"/>
      <c r="D59" s="180"/>
      <c r="E59" s="180"/>
      <c r="F59" s="180"/>
      <c r="G59" s="180"/>
      <c r="H59" s="180"/>
      <c r="I59" s="180">
        <f>80*10/12</f>
        <v>66.666666666666671</v>
      </c>
      <c r="J59" s="179">
        <f>80*2/12</f>
        <v>13.333333333333334</v>
      </c>
      <c r="K59" s="179"/>
      <c r="L59" s="179"/>
      <c r="M59" s="179"/>
      <c r="N59" s="175">
        <f>SUM(J59:M59)</f>
        <v>13.333333333333334</v>
      </c>
      <c r="O59" s="179"/>
      <c r="P59" s="179"/>
      <c r="Q59" s="179"/>
      <c r="R59" s="179"/>
      <c r="S59" s="175"/>
      <c r="T59" s="179"/>
      <c r="U59" s="179"/>
      <c r="V59" s="179"/>
      <c r="W59" s="179"/>
      <c r="X59" s="180"/>
      <c r="Y59" s="179"/>
      <c r="Z59" s="179"/>
      <c r="AA59" s="179"/>
      <c r="AB59" s="179"/>
      <c r="AC59" s="180"/>
      <c r="AD59" s="179"/>
      <c r="AE59" s="179"/>
      <c r="AF59" s="179"/>
      <c r="AG59" s="179"/>
      <c r="AH59" s="285"/>
      <c r="AI59" s="179"/>
      <c r="AJ59" s="179"/>
      <c r="AK59" s="179"/>
      <c r="AL59" s="179"/>
      <c r="AM59" s="285"/>
      <c r="AN59" s="68"/>
      <c r="AO59" s="184"/>
      <c r="AP59" s="184"/>
      <c r="AQ59" s="184"/>
      <c r="AR59" s="285"/>
      <c r="AS59" s="184"/>
      <c r="AT59" s="184"/>
      <c r="AU59" s="184"/>
      <c r="AV59" s="184"/>
      <c r="AW59" s="285"/>
      <c r="AX59" s="184"/>
      <c r="AY59" s="184"/>
      <c r="AZ59" s="184"/>
      <c r="BA59" s="184"/>
      <c r="BB59" s="185"/>
      <c r="BC59" s="184"/>
      <c r="BD59" s="184"/>
      <c r="BE59" s="184"/>
      <c r="BF59" s="184"/>
      <c r="BG59" s="120"/>
      <c r="BH59" s="124"/>
      <c r="BI59" s="124"/>
      <c r="BJ59" s="124"/>
      <c r="BK59" s="124"/>
      <c r="BL59" s="120"/>
      <c r="BM59" s="124"/>
      <c r="BN59" s="124"/>
      <c r="BO59" s="124"/>
      <c r="BP59" s="124"/>
      <c r="BQ59" s="120"/>
      <c r="BR59" s="124"/>
      <c r="BS59" s="124"/>
      <c r="BT59" s="124"/>
      <c r="BU59" s="124"/>
      <c r="BV59" s="120"/>
      <c r="BW59" s="124"/>
      <c r="BX59" s="124"/>
      <c r="BY59" s="124"/>
      <c r="BZ59" s="124"/>
      <c r="CA59" s="125"/>
      <c r="CB59" s="124"/>
      <c r="CC59" s="124"/>
      <c r="CD59" s="124"/>
      <c r="CE59" s="124"/>
      <c r="CF59" s="125"/>
      <c r="CG59" s="124"/>
      <c r="CH59" s="124"/>
      <c r="CI59" s="124"/>
      <c r="CJ59" s="124"/>
      <c r="CK59" s="120"/>
      <c r="CL59" s="124"/>
      <c r="CM59" s="124"/>
      <c r="CN59" s="124"/>
      <c r="CO59" s="124"/>
      <c r="CP59" s="120"/>
      <c r="CQ59" s="124"/>
      <c r="CR59" s="124"/>
      <c r="CS59" s="124"/>
      <c r="CT59" s="124"/>
      <c r="CU59" s="120"/>
      <c r="CV59" s="124"/>
      <c r="CW59" s="124"/>
      <c r="CX59" s="124"/>
      <c r="CY59" s="124"/>
      <c r="CZ59" s="120"/>
      <c r="DA59" s="124"/>
      <c r="DB59" s="121"/>
      <c r="DC59" s="124"/>
      <c r="DD59" s="124"/>
      <c r="DE59" s="120"/>
      <c r="DF59" s="124"/>
      <c r="DG59" s="124"/>
      <c r="DH59" s="124"/>
      <c r="DI59" s="124"/>
      <c r="DJ59" s="120"/>
      <c r="DK59" s="124"/>
      <c r="DL59" s="124"/>
      <c r="DM59" s="124"/>
      <c r="DN59" s="124"/>
      <c r="DO59" s="120"/>
      <c r="DP59" s="124"/>
      <c r="DQ59" s="124"/>
      <c r="DR59" s="124"/>
      <c r="DS59" s="124"/>
      <c r="DT59" s="120"/>
      <c r="DU59" s="124"/>
      <c r="DV59" s="124"/>
      <c r="DW59" s="124"/>
      <c r="DX59" s="124"/>
      <c r="DY59" s="120"/>
      <c r="DZ59" s="125"/>
      <c r="EA59" s="125"/>
      <c r="EB59" s="125"/>
    </row>
    <row r="60" spans="1:132" s="307" customFormat="1" ht="12" hidden="1" customHeight="1" outlineLevel="1">
      <c r="A60" s="241"/>
      <c r="B60" s="316" t="s">
        <v>337</v>
      </c>
      <c r="C60" s="180"/>
      <c r="D60" s="180"/>
      <c r="E60" s="180"/>
      <c r="F60" s="180"/>
      <c r="G60" s="180"/>
      <c r="H60" s="180">
        <f>(7/12*11)*-1</f>
        <v>-6.416666666666667</v>
      </c>
      <c r="I60" s="180">
        <f>(11-H60)*-1</f>
        <v>-17.416666666666668</v>
      </c>
      <c r="J60" s="179"/>
      <c r="K60" s="179"/>
      <c r="L60" s="179"/>
      <c r="M60" s="179"/>
      <c r="N60" s="175"/>
      <c r="O60" s="179"/>
      <c r="P60" s="179"/>
      <c r="Q60" s="179"/>
      <c r="R60" s="179"/>
      <c r="S60" s="175"/>
      <c r="T60" s="179"/>
      <c r="U60" s="179"/>
      <c r="V60" s="179"/>
      <c r="W60" s="179"/>
      <c r="X60" s="180"/>
      <c r="Y60" s="179"/>
      <c r="Z60" s="179"/>
      <c r="AA60" s="179"/>
      <c r="AB60" s="179"/>
      <c r="AC60" s="180"/>
      <c r="AD60" s="179"/>
      <c r="AE60" s="179"/>
      <c r="AF60" s="179"/>
      <c r="AG60" s="179"/>
      <c r="AH60" s="285"/>
      <c r="AI60" s="179"/>
      <c r="AJ60" s="179"/>
      <c r="AK60" s="179"/>
      <c r="AL60" s="179"/>
      <c r="AM60" s="285"/>
      <c r="AN60" s="68"/>
      <c r="AO60" s="184"/>
      <c r="AP60" s="184"/>
      <c r="AQ60" s="184"/>
      <c r="AR60" s="285"/>
      <c r="AS60" s="184"/>
      <c r="AT60" s="184"/>
      <c r="AU60" s="184"/>
      <c r="AV60" s="184"/>
      <c r="AW60" s="285"/>
      <c r="AX60" s="184"/>
      <c r="AY60" s="184"/>
      <c r="AZ60" s="184"/>
      <c r="BA60" s="184"/>
      <c r="BB60" s="185"/>
      <c r="BC60" s="184"/>
      <c r="BD60" s="184"/>
      <c r="BE60" s="184"/>
      <c r="BF60" s="184"/>
      <c r="BG60" s="120"/>
      <c r="BH60" s="124"/>
      <c r="BI60" s="124"/>
      <c r="BJ60" s="124"/>
      <c r="BK60" s="124"/>
      <c r="BL60" s="120"/>
      <c r="BM60" s="124"/>
      <c r="BN60" s="124"/>
      <c r="BO60" s="124"/>
      <c r="BP60" s="124"/>
      <c r="BQ60" s="120"/>
      <c r="BR60" s="124"/>
      <c r="BS60" s="124"/>
      <c r="BT60" s="124"/>
      <c r="BU60" s="124"/>
      <c r="BV60" s="120"/>
      <c r="BW60" s="124"/>
      <c r="BX60" s="124"/>
      <c r="BY60" s="124"/>
      <c r="BZ60" s="124"/>
      <c r="CA60" s="125"/>
      <c r="CB60" s="124"/>
      <c r="CC60" s="124"/>
      <c r="CD60" s="124"/>
      <c r="CE60" s="124"/>
      <c r="CF60" s="125"/>
      <c r="CG60" s="124"/>
      <c r="CH60" s="124"/>
      <c r="CI60" s="124"/>
      <c r="CJ60" s="124"/>
      <c r="CK60" s="120"/>
      <c r="CL60" s="124"/>
      <c r="CM60" s="124"/>
      <c r="CN60" s="124"/>
      <c r="CO60" s="124"/>
      <c r="CP60" s="120"/>
      <c r="CQ60" s="124"/>
      <c r="CR60" s="124"/>
      <c r="CS60" s="124"/>
      <c r="CT60" s="124"/>
      <c r="CU60" s="120"/>
      <c r="CV60" s="124"/>
      <c r="CW60" s="124"/>
      <c r="CX60" s="124"/>
      <c r="CY60" s="124"/>
      <c r="CZ60" s="120"/>
      <c r="DA60" s="124"/>
      <c r="DB60" s="121"/>
      <c r="DC60" s="124"/>
      <c r="DD60" s="124"/>
      <c r="DE60" s="120"/>
      <c r="DF60" s="124"/>
      <c r="DG60" s="124"/>
      <c r="DH60" s="124"/>
      <c r="DI60" s="124"/>
      <c r="DJ60" s="120"/>
      <c r="DK60" s="124"/>
      <c r="DL60" s="124"/>
      <c r="DM60" s="124"/>
      <c r="DN60" s="124"/>
      <c r="DO60" s="120"/>
      <c r="DP60" s="124"/>
      <c r="DQ60" s="124"/>
      <c r="DR60" s="124"/>
      <c r="DS60" s="124"/>
      <c r="DT60" s="120"/>
      <c r="DU60" s="124"/>
      <c r="DV60" s="124"/>
      <c r="DW60" s="124"/>
      <c r="DX60" s="124"/>
      <c r="DY60" s="120"/>
      <c r="DZ60" s="125"/>
      <c r="EA60" s="125"/>
      <c r="EB60" s="125"/>
    </row>
    <row r="61" spans="1:132" s="307" customFormat="1" ht="12" hidden="1" customHeight="1" outlineLevel="1">
      <c r="A61" s="241"/>
      <c r="B61" s="316" t="s">
        <v>165</v>
      </c>
      <c r="C61" s="180"/>
      <c r="D61" s="180"/>
      <c r="E61" s="180"/>
      <c r="F61" s="180">
        <f>23/2</f>
        <v>11.5</v>
      </c>
      <c r="G61" s="180">
        <f>23/2</f>
        <v>11.5</v>
      </c>
      <c r="H61" s="180"/>
      <c r="I61" s="180"/>
      <c r="J61" s="179"/>
      <c r="K61" s="179"/>
      <c r="L61" s="179"/>
      <c r="M61" s="179"/>
      <c r="N61" s="180"/>
      <c r="O61" s="179"/>
      <c r="P61" s="179"/>
      <c r="Q61" s="179"/>
      <c r="R61" s="179"/>
      <c r="S61" s="180"/>
      <c r="T61" s="179"/>
      <c r="U61" s="179"/>
      <c r="V61" s="179"/>
      <c r="W61" s="179"/>
      <c r="X61" s="180"/>
      <c r="Y61" s="179"/>
      <c r="Z61" s="179"/>
      <c r="AA61" s="179"/>
      <c r="AB61" s="179"/>
      <c r="AC61" s="180"/>
      <c r="AD61" s="179"/>
      <c r="AE61" s="179"/>
      <c r="AF61" s="179"/>
      <c r="AG61" s="179"/>
      <c r="AH61" s="285"/>
      <c r="AI61" s="179"/>
      <c r="AJ61" s="179"/>
      <c r="AK61" s="179"/>
      <c r="AL61" s="179"/>
      <c r="AM61" s="285"/>
      <c r="AN61" s="68"/>
      <c r="AO61" s="184"/>
      <c r="AP61" s="184"/>
      <c r="AQ61" s="184"/>
      <c r="AR61" s="285"/>
      <c r="AS61" s="184"/>
      <c r="AT61" s="184"/>
      <c r="AU61" s="184"/>
      <c r="AV61" s="184"/>
      <c r="AW61" s="285"/>
      <c r="AX61" s="184"/>
      <c r="AY61" s="184"/>
      <c r="AZ61" s="184"/>
      <c r="BA61" s="184"/>
      <c r="BB61" s="185"/>
      <c r="BC61" s="184"/>
      <c r="BD61" s="184"/>
      <c r="BE61" s="184"/>
      <c r="BF61" s="184"/>
      <c r="BG61" s="120"/>
      <c r="BH61" s="124"/>
      <c r="BI61" s="124"/>
      <c r="BJ61" s="124"/>
      <c r="BK61" s="124"/>
      <c r="BL61" s="120"/>
      <c r="BM61" s="124"/>
      <c r="BN61" s="124"/>
      <c r="BO61" s="124"/>
      <c r="BP61" s="124"/>
      <c r="BQ61" s="120"/>
      <c r="BR61" s="124"/>
      <c r="BS61" s="124"/>
      <c r="BT61" s="124"/>
      <c r="BU61" s="124"/>
      <c r="BV61" s="120"/>
      <c r="BW61" s="124"/>
      <c r="BX61" s="124"/>
      <c r="BY61" s="124"/>
      <c r="BZ61" s="124"/>
      <c r="CA61" s="125"/>
      <c r="CB61" s="124"/>
      <c r="CC61" s="124"/>
      <c r="CD61" s="124"/>
      <c r="CE61" s="124"/>
      <c r="CF61" s="125"/>
      <c r="CG61" s="124"/>
      <c r="CH61" s="124"/>
      <c r="CI61" s="124"/>
      <c r="CJ61" s="124"/>
      <c r="CK61" s="120"/>
      <c r="CL61" s="124"/>
      <c r="CM61" s="124"/>
      <c r="CN61" s="124"/>
      <c r="CO61" s="124"/>
      <c r="CP61" s="120"/>
      <c r="CQ61" s="124"/>
      <c r="CR61" s="124"/>
      <c r="CS61" s="124"/>
      <c r="CT61" s="124"/>
      <c r="CU61" s="120"/>
      <c r="CV61" s="124"/>
      <c r="CW61" s="124"/>
      <c r="CX61" s="124"/>
      <c r="CY61" s="124"/>
      <c r="CZ61" s="120"/>
      <c r="DA61" s="124"/>
      <c r="DB61" s="121"/>
      <c r="DC61" s="124"/>
      <c r="DD61" s="124"/>
      <c r="DE61" s="120"/>
      <c r="DF61" s="124"/>
      <c r="DG61" s="124"/>
      <c r="DH61" s="124"/>
      <c r="DI61" s="124"/>
      <c r="DJ61" s="120"/>
      <c r="DK61" s="124"/>
      <c r="DL61" s="124"/>
      <c r="DM61" s="124"/>
      <c r="DN61" s="124"/>
      <c r="DO61" s="120"/>
      <c r="DP61" s="124"/>
      <c r="DQ61" s="124"/>
      <c r="DR61" s="124"/>
      <c r="DS61" s="124"/>
      <c r="DT61" s="120"/>
      <c r="DU61" s="124"/>
      <c r="DV61" s="124"/>
      <c r="DW61" s="124"/>
      <c r="DX61" s="124"/>
      <c r="DY61" s="120"/>
      <c r="DZ61" s="125"/>
      <c r="EA61" s="125"/>
      <c r="EB61" s="125"/>
    </row>
    <row r="62" spans="1:132" s="307" customFormat="1" ht="12" hidden="1" customHeight="1" outlineLevel="1">
      <c r="A62" s="241"/>
      <c r="B62" s="316" t="s">
        <v>166</v>
      </c>
      <c r="C62" s="180"/>
      <c r="D62" s="180"/>
      <c r="E62" s="180"/>
      <c r="F62" s="180">
        <v>40</v>
      </c>
      <c r="G62" s="180">
        <v>40</v>
      </c>
      <c r="H62" s="180"/>
      <c r="I62" s="180"/>
      <c r="J62" s="179"/>
      <c r="K62" s="179"/>
      <c r="L62" s="179"/>
      <c r="M62" s="179"/>
      <c r="N62" s="180"/>
      <c r="O62" s="179"/>
      <c r="P62" s="179"/>
      <c r="Q62" s="179"/>
      <c r="R62" s="179"/>
      <c r="S62" s="180"/>
      <c r="T62" s="179"/>
      <c r="U62" s="179"/>
      <c r="V62" s="179"/>
      <c r="W62" s="179"/>
      <c r="X62" s="180"/>
      <c r="Y62" s="179"/>
      <c r="Z62" s="179"/>
      <c r="AA62" s="179"/>
      <c r="AB62" s="179"/>
      <c r="AC62" s="180"/>
      <c r="AD62" s="179"/>
      <c r="AE62" s="179"/>
      <c r="AF62" s="179"/>
      <c r="AG62" s="179"/>
      <c r="AH62" s="285"/>
      <c r="AI62" s="179"/>
      <c r="AJ62" s="179"/>
      <c r="AK62" s="179"/>
      <c r="AL62" s="179"/>
      <c r="AM62" s="285"/>
      <c r="AN62" s="68"/>
      <c r="AO62" s="184"/>
      <c r="AP62" s="184"/>
      <c r="AQ62" s="184"/>
      <c r="AR62" s="285"/>
      <c r="AS62" s="184"/>
      <c r="AT62" s="184"/>
      <c r="AU62" s="184"/>
      <c r="AV62" s="184"/>
      <c r="AW62" s="285"/>
      <c r="AX62" s="184"/>
      <c r="AY62" s="184"/>
      <c r="AZ62" s="184"/>
      <c r="BA62" s="184"/>
      <c r="BB62" s="185"/>
      <c r="BC62" s="184"/>
      <c r="BD62" s="184"/>
      <c r="BE62" s="184"/>
      <c r="BF62" s="184"/>
      <c r="BG62" s="120"/>
      <c r="BH62" s="124"/>
      <c r="BI62" s="124"/>
      <c r="BJ62" s="124"/>
      <c r="BK62" s="124"/>
      <c r="BL62" s="120"/>
      <c r="BM62" s="124"/>
      <c r="BN62" s="124"/>
      <c r="BO62" s="124"/>
      <c r="BP62" s="124"/>
      <c r="BQ62" s="120"/>
      <c r="BR62" s="124"/>
      <c r="BS62" s="124"/>
      <c r="BT62" s="124"/>
      <c r="BU62" s="124"/>
      <c r="BV62" s="120"/>
      <c r="BW62" s="124"/>
      <c r="BX62" s="124"/>
      <c r="BY62" s="124"/>
      <c r="BZ62" s="124"/>
      <c r="CA62" s="125"/>
      <c r="CB62" s="124"/>
      <c r="CC62" s="124"/>
      <c r="CD62" s="124"/>
      <c r="CE62" s="124"/>
      <c r="CF62" s="125"/>
      <c r="CG62" s="124"/>
      <c r="CH62" s="124"/>
      <c r="CI62" s="124"/>
      <c r="CJ62" s="124"/>
      <c r="CK62" s="120"/>
      <c r="CL62" s="124"/>
      <c r="CM62" s="124"/>
      <c r="CN62" s="124"/>
      <c r="CO62" s="124"/>
      <c r="CP62" s="120"/>
      <c r="CQ62" s="124"/>
      <c r="CR62" s="124"/>
      <c r="CS62" s="124"/>
      <c r="CT62" s="124"/>
      <c r="CU62" s="120"/>
      <c r="CV62" s="124"/>
      <c r="CW62" s="124"/>
      <c r="CX62" s="124"/>
      <c r="CY62" s="124"/>
      <c r="CZ62" s="120"/>
      <c r="DA62" s="124"/>
      <c r="DB62" s="121"/>
      <c r="DC62" s="124"/>
      <c r="DD62" s="124"/>
      <c r="DE62" s="120"/>
      <c r="DF62" s="124"/>
      <c r="DG62" s="124"/>
      <c r="DH62" s="124"/>
      <c r="DI62" s="124"/>
      <c r="DJ62" s="120"/>
      <c r="DK62" s="124"/>
      <c r="DL62" s="124"/>
      <c r="DM62" s="124"/>
      <c r="DN62" s="124"/>
      <c r="DO62" s="120"/>
      <c r="DP62" s="124"/>
      <c r="DQ62" s="124"/>
      <c r="DR62" s="124"/>
      <c r="DS62" s="124"/>
      <c r="DT62" s="120"/>
      <c r="DU62" s="124"/>
      <c r="DV62" s="124"/>
      <c r="DW62" s="124"/>
      <c r="DX62" s="124"/>
      <c r="DY62" s="120"/>
      <c r="DZ62" s="125"/>
      <c r="EA62" s="125"/>
      <c r="EB62" s="125"/>
    </row>
    <row r="63" spans="1:132" s="307" customFormat="1" ht="12" hidden="1" customHeight="1" outlineLevel="1">
      <c r="A63" s="241"/>
      <c r="B63" s="316" t="s">
        <v>330</v>
      </c>
      <c r="C63" s="180"/>
      <c r="D63" s="180"/>
      <c r="E63" s="180"/>
      <c r="F63" s="180">
        <f>2300*2/12</f>
        <v>383.33333333333331</v>
      </c>
      <c r="G63" s="180">
        <f>2300*10/12</f>
        <v>1916.6666666666667</v>
      </c>
      <c r="H63" s="180"/>
      <c r="I63" s="180"/>
      <c r="J63" s="179"/>
      <c r="K63" s="179"/>
      <c r="L63" s="179"/>
      <c r="M63" s="179"/>
      <c r="N63" s="180"/>
      <c r="O63" s="179"/>
      <c r="P63" s="179"/>
      <c r="Q63" s="179"/>
      <c r="R63" s="179"/>
      <c r="S63" s="180"/>
      <c r="T63" s="179"/>
      <c r="U63" s="179"/>
      <c r="V63" s="179"/>
      <c r="W63" s="179"/>
      <c r="X63" s="180"/>
      <c r="Y63" s="179"/>
      <c r="Z63" s="179"/>
      <c r="AA63" s="179"/>
      <c r="AB63" s="179"/>
      <c r="AC63" s="180"/>
      <c r="AD63" s="179"/>
      <c r="AE63" s="179"/>
      <c r="AF63" s="179"/>
      <c r="AG63" s="179"/>
      <c r="AH63" s="285"/>
      <c r="AI63" s="179"/>
      <c r="AJ63" s="179"/>
      <c r="AK63" s="179"/>
      <c r="AL63" s="179"/>
      <c r="AM63" s="285"/>
      <c r="AN63" s="68"/>
      <c r="AO63" s="184"/>
      <c r="AP63" s="184"/>
      <c r="AQ63" s="184"/>
      <c r="AR63" s="285"/>
      <c r="AS63" s="184"/>
      <c r="AT63" s="184"/>
      <c r="AU63" s="184"/>
      <c r="AV63" s="184"/>
      <c r="AW63" s="285"/>
      <c r="AX63" s="184"/>
      <c r="AY63" s="184"/>
      <c r="AZ63" s="184"/>
      <c r="BA63" s="184"/>
      <c r="BB63" s="185"/>
      <c r="BC63" s="184"/>
      <c r="BD63" s="184"/>
      <c r="BE63" s="184"/>
      <c r="BF63" s="184"/>
      <c r="BG63" s="120"/>
      <c r="BH63" s="124"/>
      <c r="BI63" s="124"/>
      <c r="BJ63" s="124"/>
      <c r="BK63" s="124"/>
      <c r="BL63" s="120"/>
      <c r="BM63" s="124"/>
      <c r="BN63" s="124"/>
      <c r="BO63" s="124"/>
      <c r="BP63" s="124"/>
      <c r="BQ63" s="120"/>
      <c r="BR63" s="124"/>
      <c r="BS63" s="124"/>
      <c r="BT63" s="124"/>
      <c r="BU63" s="124"/>
      <c r="BV63" s="120"/>
      <c r="BW63" s="124"/>
      <c r="BX63" s="124"/>
      <c r="BY63" s="124"/>
      <c r="BZ63" s="124"/>
      <c r="CA63" s="125"/>
      <c r="CB63" s="124"/>
      <c r="CC63" s="124"/>
      <c r="CD63" s="124"/>
      <c r="CE63" s="124"/>
      <c r="CF63" s="125"/>
      <c r="CG63" s="124"/>
      <c r="CH63" s="124"/>
      <c r="CI63" s="124"/>
      <c r="CJ63" s="124"/>
      <c r="CK63" s="120"/>
      <c r="CL63" s="124"/>
      <c r="CM63" s="124"/>
      <c r="CN63" s="124"/>
      <c r="CO63" s="124"/>
      <c r="CP63" s="120"/>
      <c r="CQ63" s="124"/>
      <c r="CR63" s="124"/>
      <c r="CS63" s="124"/>
      <c r="CT63" s="124"/>
      <c r="CU63" s="120"/>
      <c r="CV63" s="124"/>
      <c r="CW63" s="124"/>
      <c r="CX63" s="124"/>
      <c r="CY63" s="124"/>
      <c r="CZ63" s="120"/>
      <c r="DA63" s="124"/>
      <c r="DB63" s="121"/>
      <c r="DC63" s="124"/>
      <c r="DD63" s="124"/>
      <c r="DE63" s="120"/>
      <c r="DF63" s="124"/>
      <c r="DG63" s="124"/>
      <c r="DH63" s="124"/>
      <c r="DI63" s="124"/>
      <c r="DJ63" s="120"/>
      <c r="DK63" s="124"/>
      <c r="DL63" s="124"/>
      <c r="DM63" s="124"/>
      <c r="DN63" s="124"/>
      <c r="DO63" s="120"/>
      <c r="DP63" s="124"/>
      <c r="DQ63" s="124"/>
      <c r="DR63" s="124"/>
      <c r="DS63" s="124"/>
      <c r="DT63" s="120"/>
      <c r="DU63" s="124"/>
      <c r="DV63" s="124"/>
      <c r="DW63" s="124"/>
      <c r="DX63" s="124"/>
      <c r="DY63" s="120"/>
      <c r="DZ63" s="125"/>
      <c r="EA63" s="125"/>
      <c r="EB63" s="125"/>
    </row>
    <row r="64" spans="1:132" s="307" customFormat="1" ht="12" hidden="1" customHeight="1" outlineLevel="1">
      <c r="A64" s="241"/>
      <c r="B64" s="247" t="s">
        <v>171</v>
      </c>
      <c r="C64" s="180"/>
      <c r="D64" s="180"/>
      <c r="E64" s="180"/>
      <c r="F64" s="180"/>
      <c r="G64" s="180"/>
      <c r="H64" s="180"/>
      <c r="I64" s="180"/>
      <c r="J64" s="179"/>
      <c r="K64" s="179"/>
      <c r="L64" s="179"/>
      <c r="M64" s="179"/>
      <c r="N64" s="180"/>
      <c r="O64" s="179"/>
      <c r="P64" s="179"/>
      <c r="Q64" s="179"/>
      <c r="R64" s="179"/>
      <c r="S64" s="180"/>
      <c r="T64" s="179"/>
      <c r="U64" s="179"/>
      <c r="V64" s="179"/>
      <c r="W64" s="179"/>
      <c r="X64" s="180"/>
      <c r="Y64" s="179"/>
      <c r="Z64" s="179"/>
      <c r="AA64" s="179"/>
      <c r="AB64" s="179"/>
      <c r="AC64" s="180"/>
      <c r="AD64" s="179"/>
      <c r="AE64" s="179"/>
      <c r="AF64" s="179"/>
      <c r="AG64" s="179"/>
      <c r="AH64" s="285"/>
      <c r="AI64" s="179"/>
      <c r="AJ64" s="179"/>
      <c r="AK64" s="179"/>
      <c r="AL64" s="179"/>
      <c r="AM64" s="285"/>
      <c r="AN64" s="68"/>
      <c r="AO64" s="184"/>
      <c r="AP64" s="184"/>
      <c r="AQ64" s="184"/>
      <c r="AR64" s="285"/>
      <c r="AS64" s="184"/>
      <c r="AT64" s="184"/>
      <c r="AU64" s="184"/>
      <c r="AV64" s="184"/>
      <c r="AW64" s="285"/>
      <c r="AX64" s="184"/>
      <c r="AY64" s="184"/>
      <c r="AZ64" s="184"/>
      <c r="BA64" s="184"/>
      <c r="BB64" s="185"/>
      <c r="BC64" s="184"/>
      <c r="BD64" s="184"/>
      <c r="BE64" s="184"/>
      <c r="BF64" s="184"/>
      <c r="BG64" s="120"/>
      <c r="BH64" s="124"/>
      <c r="BI64" s="124"/>
      <c r="BJ64" s="124"/>
      <c r="BK64" s="124"/>
      <c r="BL64" s="120"/>
      <c r="BM64" s="124"/>
      <c r="BN64" s="124"/>
      <c r="BO64" s="124"/>
      <c r="BP64" s="124"/>
      <c r="BQ64" s="120"/>
      <c r="BR64" s="124"/>
      <c r="BS64" s="124"/>
      <c r="BT64" s="124"/>
      <c r="BU64" s="124"/>
      <c r="BV64" s="120"/>
      <c r="BW64" s="124"/>
      <c r="BX64" s="124"/>
      <c r="BY64" s="124"/>
      <c r="BZ64" s="124"/>
      <c r="CA64" s="125"/>
      <c r="CB64" s="124"/>
      <c r="CC64" s="124"/>
      <c r="CD64" s="124"/>
      <c r="CE64" s="124"/>
      <c r="CF64" s="125"/>
      <c r="CG64" s="124"/>
      <c r="CH64" s="124"/>
      <c r="CI64" s="124"/>
      <c r="CJ64" s="124"/>
      <c r="CK64" s="120"/>
      <c r="CL64" s="124"/>
      <c r="CM64" s="124"/>
      <c r="CN64" s="124"/>
      <c r="CO64" s="124"/>
      <c r="CP64" s="120"/>
      <c r="CQ64" s="124"/>
      <c r="CR64" s="124"/>
      <c r="CS64" s="124"/>
      <c r="CT64" s="124"/>
      <c r="CU64" s="120"/>
      <c r="CV64" s="124"/>
      <c r="CW64" s="124"/>
      <c r="CX64" s="124"/>
      <c r="CY64" s="124"/>
      <c r="CZ64" s="120"/>
      <c r="DA64" s="124"/>
      <c r="DB64" s="121"/>
      <c r="DC64" s="124"/>
      <c r="DD64" s="124"/>
      <c r="DE64" s="120"/>
      <c r="DF64" s="124"/>
      <c r="DG64" s="124"/>
      <c r="DH64" s="124"/>
      <c r="DI64" s="124"/>
      <c r="DJ64" s="120"/>
      <c r="DK64" s="124"/>
      <c r="DL64" s="124"/>
      <c r="DM64" s="124"/>
      <c r="DN64" s="124"/>
      <c r="DO64" s="120"/>
      <c r="DP64" s="124"/>
      <c r="DQ64" s="124"/>
      <c r="DR64" s="124"/>
      <c r="DS64" s="124"/>
      <c r="DT64" s="120"/>
      <c r="DU64" s="124"/>
      <c r="DV64" s="124"/>
      <c r="DW64" s="124"/>
      <c r="DX64" s="124"/>
      <c r="DY64" s="120"/>
      <c r="DZ64" s="125"/>
      <c r="EA64" s="125"/>
      <c r="EB64" s="125"/>
    </row>
    <row r="65" spans="1:132" s="307" customFormat="1" ht="12" hidden="1" customHeight="1" outlineLevel="1">
      <c r="A65" s="241"/>
      <c r="B65" s="316" t="s">
        <v>172</v>
      </c>
      <c r="C65" s="180"/>
      <c r="D65" s="180"/>
      <c r="E65" s="180"/>
      <c r="F65" s="180"/>
      <c r="G65" s="180"/>
      <c r="H65" s="180"/>
      <c r="I65" s="180"/>
      <c r="J65" s="179"/>
      <c r="K65" s="179"/>
      <c r="L65" s="179"/>
      <c r="M65" s="179"/>
      <c r="N65" s="175"/>
      <c r="O65" s="179"/>
      <c r="P65" s="179"/>
      <c r="Q65" s="179">
        <f>(1200/4*1/3)*-1</f>
        <v>-100</v>
      </c>
      <c r="R65" s="179">
        <f>(1200/4)*-1</f>
        <v>-300</v>
      </c>
      <c r="S65" s="175">
        <f>SUM(O65:R65)</f>
        <v>-400</v>
      </c>
      <c r="T65" s="179">
        <f>(1200/4)*-1</f>
        <v>-300</v>
      </c>
      <c r="U65" s="179">
        <f>(1200/4)*-1</f>
        <v>-300</v>
      </c>
      <c r="V65" s="179">
        <f>(1200/4*2/3)*-1</f>
        <v>-200</v>
      </c>
      <c r="W65" s="179"/>
      <c r="X65" s="175">
        <f>SUM(T65:W65)</f>
        <v>-800</v>
      </c>
      <c r="Y65" s="179"/>
      <c r="Z65" s="179"/>
      <c r="AA65" s="179"/>
      <c r="AB65" s="179"/>
      <c r="AC65" s="180"/>
      <c r="AD65" s="179"/>
      <c r="AE65" s="179"/>
      <c r="AF65" s="179"/>
      <c r="AG65" s="179"/>
      <c r="AH65" s="285"/>
      <c r="AI65" s="179"/>
      <c r="AJ65" s="179"/>
      <c r="AK65" s="179"/>
      <c r="AL65" s="179"/>
      <c r="AM65" s="285"/>
      <c r="AN65" s="68"/>
      <c r="AO65" s="184"/>
      <c r="AP65" s="184"/>
      <c r="AQ65" s="184"/>
      <c r="AR65" s="285"/>
      <c r="AS65" s="184"/>
      <c r="AT65" s="184"/>
      <c r="AU65" s="184"/>
      <c r="AV65" s="184"/>
      <c r="AW65" s="285"/>
      <c r="AX65" s="184"/>
      <c r="AY65" s="184"/>
      <c r="AZ65" s="184"/>
      <c r="BA65" s="184"/>
      <c r="BB65" s="185"/>
      <c r="BC65" s="184"/>
      <c r="BD65" s="184"/>
      <c r="BE65" s="184"/>
      <c r="BF65" s="184"/>
      <c r="BG65" s="120"/>
      <c r="BH65" s="124"/>
      <c r="BI65" s="124"/>
      <c r="BJ65" s="124"/>
      <c r="BK65" s="124"/>
      <c r="BL65" s="120"/>
      <c r="BM65" s="124"/>
      <c r="BN65" s="124"/>
      <c r="BO65" s="124"/>
      <c r="BP65" s="124"/>
      <c r="BQ65" s="120"/>
      <c r="BR65" s="124"/>
      <c r="BS65" s="124"/>
      <c r="BT65" s="124"/>
      <c r="BU65" s="124"/>
      <c r="BV65" s="120"/>
      <c r="BW65" s="124"/>
      <c r="BX65" s="124"/>
      <c r="BY65" s="124"/>
      <c r="BZ65" s="124"/>
      <c r="CA65" s="125"/>
      <c r="CB65" s="124"/>
      <c r="CC65" s="124"/>
      <c r="CD65" s="124"/>
      <c r="CE65" s="124"/>
      <c r="CF65" s="125"/>
      <c r="CG65" s="124"/>
      <c r="CH65" s="124"/>
      <c r="CI65" s="124"/>
      <c r="CJ65" s="124"/>
      <c r="CK65" s="120"/>
      <c r="CL65" s="124"/>
      <c r="CM65" s="124"/>
      <c r="CN65" s="124"/>
      <c r="CO65" s="124"/>
      <c r="CP65" s="120"/>
      <c r="CQ65" s="124"/>
      <c r="CR65" s="124"/>
      <c r="CS65" s="124"/>
      <c r="CT65" s="124"/>
      <c r="CU65" s="120"/>
      <c r="CV65" s="124"/>
      <c r="CW65" s="124"/>
      <c r="CX65" s="124"/>
      <c r="CY65" s="124"/>
      <c r="CZ65" s="120"/>
      <c r="DA65" s="124"/>
      <c r="DB65" s="121"/>
      <c r="DC65" s="124"/>
      <c r="DD65" s="124"/>
      <c r="DE65" s="120"/>
      <c r="DF65" s="124"/>
      <c r="DG65" s="124"/>
      <c r="DH65" s="124"/>
      <c r="DI65" s="124"/>
      <c r="DJ65" s="120"/>
      <c r="DK65" s="124"/>
      <c r="DL65" s="124"/>
      <c r="DM65" s="124"/>
      <c r="DN65" s="124"/>
      <c r="DO65" s="120"/>
      <c r="DP65" s="124"/>
      <c r="DQ65" s="124"/>
      <c r="DR65" s="124"/>
      <c r="DS65" s="124"/>
      <c r="DT65" s="120"/>
      <c r="DU65" s="124"/>
      <c r="DV65" s="124"/>
      <c r="DW65" s="124"/>
      <c r="DX65" s="124"/>
      <c r="DY65" s="120"/>
      <c r="DZ65" s="125"/>
      <c r="EA65" s="125"/>
      <c r="EB65" s="125"/>
    </row>
    <row r="66" spans="1:132" s="307" customFormat="1" ht="12" hidden="1" customHeight="1" outlineLevel="1">
      <c r="A66" s="241"/>
      <c r="B66" s="316" t="s">
        <v>173</v>
      </c>
      <c r="C66" s="180"/>
      <c r="D66" s="180"/>
      <c r="E66" s="180"/>
      <c r="F66" s="180"/>
      <c r="G66" s="180"/>
      <c r="H66" s="180"/>
      <c r="I66" s="180"/>
      <c r="J66" s="179"/>
      <c r="K66" s="179"/>
      <c r="L66" s="179"/>
      <c r="M66" s="179"/>
      <c r="N66" s="175"/>
      <c r="O66" s="179"/>
      <c r="P66" s="179">
        <f>-90/4</f>
        <v>-22.5</v>
      </c>
      <c r="Q66" s="179">
        <f>P66</f>
        <v>-22.5</v>
      </c>
      <c r="R66" s="179">
        <f>Q66</f>
        <v>-22.5</v>
      </c>
      <c r="S66" s="175">
        <f>SUM(O66:R66)</f>
        <v>-67.5</v>
      </c>
      <c r="T66" s="179">
        <f>R66</f>
        <v>-22.5</v>
      </c>
      <c r="U66" s="179"/>
      <c r="V66" s="179"/>
      <c r="W66" s="179"/>
      <c r="X66" s="175">
        <f>SUM(T66:W66)</f>
        <v>-22.5</v>
      </c>
      <c r="Y66" s="179"/>
      <c r="Z66" s="179"/>
      <c r="AA66" s="179"/>
      <c r="AB66" s="179"/>
      <c r="AC66" s="180"/>
      <c r="AD66" s="179"/>
      <c r="AE66" s="179"/>
      <c r="AF66" s="179"/>
      <c r="AG66" s="179"/>
      <c r="AH66" s="285"/>
      <c r="AI66" s="179"/>
      <c r="AJ66" s="179"/>
      <c r="AK66" s="179"/>
      <c r="AL66" s="179"/>
      <c r="AM66" s="285"/>
      <c r="AN66" s="68"/>
      <c r="AO66" s="184"/>
      <c r="AP66" s="184"/>
      <c r="AQ66" s="184"/>
      <c r="AR66" s="285"/>
      <c r="AS66" s="184"/>
      <c r="AT66" s="184"/>
      <c r="AU66" s="184"/>
      <c r="AV66" s="184"/>
      <c r="AW66" s="285"/>
      <c r="AX66" s="184"/>
      <c r="AY66" s="184"/>
      <c r="AZ66" s="184"/>
      <c r="BA66" s="184"/>
      <c r="BB66" s="185"/>
      <c r="BC66" s="184"/>
      <c r="BD66" s="184"/>
      <c r="BE66" s="184"/>
      <c r="BF66" s="184"/>
      <c r="BG66" s="120"/>
      <c r="BH66" s="124"/>
      <c r="BI66" s="124"/>
      <c r="BJ66" s="124"/>
      <c r="BK66" s="124"/>
      <c r="BL66" s="120"/>
      <c r="BM66" s="124"/>
      <c r="BN66" s="124"/>
      <c r="BO66" s="124"/>
      <c r="BP66" s="124"/>
      <c r="BQ66" s="120"/>
      <c r="BR66" s="124"/>
      <c r="BS66" s="124"/>
      <c r="BT66" s="124"/>
      <c r="BU66" s="124"/>
      <c r="BV66" s="120"/>
      <c r="BW66" s="124"/>
      <c r="BX66" s="124"/>
      <c r="BY66" s="124"/>
      <c r="BZ66" s="124"/>
      <c r="CA66" s="125"/>
      <c r="CB66" s="124"/>
      <c r="CC66" s="124"/>
      <c r="CD66" s="124"/>
      <c r="CE66" s="124"/>
      <c r="CF66" s="125"/>
      <c r="CG66" s="124"/>
      <c r="CH66" s="124"/>
      <c r="CI66" s="124"/>
      <c r="CJ66" s="124"/>
      <c r="CK66" s="120"/>
      <c r="CL66" s="124"/>
      <c r="CM66" s="124"/>
      <c r="CN66" s="124"/>
      <c r="CO66" s="124"/>
      <c r="CP66" s="120"/>
      <c r="CQ66" s="124"/>
      <c r="CR66" s="124"/>
      <c r="CS66" s="124"/>
      <c r="CT66" s="124"/>
      <c r="CU66" s="120"/>
      <c r="CV66" s="124"/>
      <c r="CW66" s="124"/>
      <c r="CX66" s="124"/>
      <c r="CY66" s="124"/>
      <c r="CZ66" s="120"/>
      <c r="DA66" s="124"/>
      <c r="DB66" s="121"/>
      <c r="DC66" s="124"/>
      <c r="DD66" s="124"/>
      <c r="DE66" s="120"/>
      <c r="DF66" s="124"/>
      <c r="DG66" s="124"/>
      <c r="DH66" s="124"/>
      <c r="DI66" s="124"/>
      <c r="DJ66" s="120"/>
      <c r="DK66" s="124"/>
      <c r="DL66" s="124"/>
      <c r="DM66" s="124"/>
      <c r="DN66" s="124"/>
      <c r="DO66" s="120"/>
      <c r="DP66" s="124"/>
      <c r="DQ66" s="124"/>
      <c r="DR66" s="124"/>
      <c r="DS66" s="124"/>
      <c r="DT66" s="120"/>
      <c r="DU66" s="124"/>
      <c r="DV66" s="124"/>
      <c r="DW66" s="124"/>
      <c r="DX66" s="124"/>
      <c r="DY66" s="120"/>
      <c r="DZ66" s="125"/>
      <c r="EA66" s="125"/>
      <c r="EB66" s="125"/>
    </row>
    <row r="67" spans="1:132" s="307" customFormat="1" ht="12" hidden="1" customHeight="1" outlineLevel="1">
      <c r="A67" s="241"/>
      <c r="B67" s="316" t="s">
        <v>338</v>
      </c>
      <c r="C67" s="180"/>
      <c r="D67" s="180"/>
      <c r="E67" s="180"/>
      <c r="F67" s="180"/>
      <c r="G67" s="180">
        <f>(75*2/12)*-1</f>
        <v>-12.5</v>
      </c>
      <c r="H67" s="180">
        <f>(75*10/12)*-1</f>
        <v>-62.5</v>
      </c>
      <c r="I67" s="180"/>
      <c r="J67" s="179"/>
      <c r="K67" s="179"/>
      <c r="L67" s="179"/>
      <c r="M67" s="179"/>
      <c r="N67" s="175"/>
      <c r="O67" s="179"/>
      <c r="P67" s="179"/>
      <c r="Q67" s="179"/>
      <c r="R67" s="179"/>
      <c r="S67" s="175"/>
      <c r="T67" s="179"/>
      <c r="U67" s="179"/>
      <c r="V67" s="179"/>
      <c r="W67" s="179"/>
      <c r="X67" s="180"/>
      <c r="Y67" s="179"/>
      <c r="Z67" s="179"/>
      <c r="AA67" s="179"/>
      <c r="AB67" s="179"/>
      <c r="AC67" s="180"/>
      <c r="AD67" s="179"/>
      <c r="AE67" s="179"/>
      <c r="AF67" s="179"/>
      <c r="AG67" s="179"/>
      <c r="AH67" s="285"/>
      <c r="AI67" s="179"/>
      <c r="AJ67" s="179"/>
      <c r="AK67" s="179"/>
      <c r="AL67" s="179"/>
      <c r="AM67" s="285"/>
      <c r="AN67" s="68"/>
      <c r="AO67" s="184"/>
      <c r="AP67" s="184"/>
      <c r="AQ67" s="184"/>
      <c r="AR67" s="285"/>
      <c r="AS67" s="184"/>
      <c r="AT67" s="184"/>
      <c r="AU67" s="184"/>
      <c r="AV67" s="184"/>
      <c r="AW67" s="285"/>
      <c r="AX67" s="184"/>
      <c r="AY67" s="184"/>
      <c r="AZ67" s="184"/>
      <c r="BA67" s="184"/>
      <c r="BB67" s="185"/>
      <c r="BC67" s="184"/>
      <c r="BD67" s="184"/>
      <c r="BE67" s="184"/>
      <c r="BF67" s="184"/>
      <c r="BG67" s="120"/>
      <c r="BH67" s="124"/>
      <c r="BI67" s="124"/>
      <c r="BJ67" s="124"/>
      <c r="BK67" s="124"/>
      <c r="BL67" s="120"/>
      <c r="BM67" s="124"/>
      <c r="BN67" s="124"/>
      <c r="BO67" s="124"/>
      <c r="BP67" s="124"/>
      <c r="BQ67" s="120"/>
      <c r="BR67" s="124"/>
      <c r="BS67" s="124"/>
      <c r="BT67" s="124"/>
      <c r="BU67" s="124"/>
      <c r="BV67" s="120"/>
      <c r="BW67" s="124"/>
      <c r="BX67" s="124"/>
      <c r="BY67" s="124"/>
      <c r="BZ67" s="124"/>
      <c r="CA67" s="125"/>
      <c r="CB67" s="124"/>
      <c r="CC67" s="124"/>
      <c r="CD67" s="124"/>
      <c r="CE67" s="124"/>
      <c r="CF67" s="125"/>
      <c r="CG67" s="124"/>
      <c r="CH67" s="124"/>
      <c r="CI67" s="124"/>
      <c r="CJ67" s="124"/>
      <c r="CK67" s="120"/>
      <c r="CL67" s="124"/>
      <c r="CM67" s="124"/>
      <c r="CN67" s="124"/>
      <c r="CO67" s="124"/>
      <c r="CP67" s="120"/>
      <c r="CQ67" s="124"/>
      <c r="CR67" s="124"/>
      <c r="CS67" s="124"/>
      <c r="CT67" s="124"/>
      <c r="CU67" s="120"/>
      <c r="CV67" s="124"/>
      <c r="CW67" s="124"/>
      <c r="CX67" s="124"/>
      <c r="CY67" s="124"/>
      <c r="CZ67" s="120"/>
      <c r="DA67" s="124"/>
      <c r="DB67" s="121"/>
      <c r="DC67" s="124"/>
      <c r="DD67" s="124"/>
      <c r="DE67" s="120"/>
      <c r="DF67" s="124"/>
      <c r="DG67" s="124"/>
      <c r="DH67" s="124"/>
      <c r="DI67" s="124"/>
      <c r="DJ67" s="120"/>
      <c r="DK67" s="124"/>
      <c r="DL67" s="124"/>
      <c r="DM67" s="124"/>
      <c r="DN67" s="124"/>
      <c r="DO67" s="120"/>
      <c r="DP67" s="124"/>
      <c r="DQ67" s="124"/>
      <c r="DR67" s="124"/>
      <c r="DS67" s="124"/>
      <c r="DT67" s="120"/>
      <c r="DU67" s="124"/>
      <c r="DV67" s="124"/>
      <c r="DW67" s="124"/>
      <c r="DX67" s="124"/>
      <c r="DY67" s="120"/>
      <c r="DZ67" s="125"/>
      <c r="EA67" s="125"/>
      <c r="EB67" s="125"/>
    </row>
    <row r="68" spans="1:132" s="307" customFormat="1" ht="12" hidden="1" customHeight="1" outlineLevel="1">
      <c r="A68" s="241"/>
      <c r="B68" s="316" t="s">
        <v>176</v>
      </c>
      <c r="C68" s="180"/>
      <c r="D68" s="180"/>
      <c r="E68" s="180"/>
      <c r="F68" s="180"/>
      <c r="G68" s="180">
        <f>(100*11/12)*-1</f>
        <v>-91.666666666666671</v>
      </c>
      <c r="H68" s="180">
        <f>(100/12)*-1</f>
        <v>-8.3333333333333339</v>
      </c>
      <c r="I68" s="180"/>
      <c r="J68" s="179"/>
      <c r="K68" s="179"/>
      <c r="L68" s="179"/>
      <c r="M68" s="179"/>
      <c r="N68" s="175"/>
      <c r="O68" s="179"/>
      <c r="P68" s="179"/>
      <c r="Q68" s="179"/>
      <c r="R68" s="179"/>
      <c r="S68" s="175"/>
      <c r="T68" s="179"/>
      <c r="U68" s="179"/>
      <c r="V68" s="179"/>
      <c r="W68" s="179"/>
      <c r="X68" s="180"/>
      <c r="Y68" s="179"/>
      <c r="Z68" s="179"/>
      <c r="AA68" s="179"/>
      <c r="AB68" s="179"/>
      <c r="AC68" s="180"/>
      <c r="AD68" s="179"/>
      <c r="AE68" s="179"/>
      <c r="AF68" s="179"/>
      <c r="AG68" s="179"/>
      <c r="AH68" s="285"/>
      <c r="AI68" s="179"/>
      <c r="AJ68" s="179"/>
      <c r="AK68" s="179"/>
      <c r="AL68" s="179"/>
      <c r="AM68" s="285"/>
      <c r="AN68" s="68"/>
      <c r="AO68" s="184"/>
      <c r="AP68" s="184"/>
      <c r="AQ68" s="184"/>
      <c r="AR68" s="285"/>
      <c r="AS68" s="184"/>
      <c r="AT68" s="184"/>
      <c r="AU68" s="184"/>
      <c r="AV68" s="184"/>
      <c r="AW68" s="285"/>
      <c r="AX68" s="184"/>
      <c r="AY68" s="184"/>
      <c r="AZ68" s="184"/>
      <c r="BA68" s="184"/>
      <c r="BB68" s="185"/>
      <c r="BC68" s="184"/>
      <c r="BD68" s="184"/>
      <c r="BE68" s="184"/>
      <c r="BF68" s="184"/>
      <c r="BG68" s="120"/>
      <c r="BH68" s="124"/>
      <c r="BI68" s="124"/>
      <c r="BJ68" s="124"/>
      <c r="BK68" s="124"/>
      <c r="BL68" s="120"/>
      <c r="BM68" s="124"/>
      <c r="BN68" s="124"/>
      <c r="BO68" s="124"/>
      <c r="BP68" s="124"/>
      <c r="BQ68" s="120"/>
      <c r="BR68" s="124"/>
      <c r="BS68" s="124"/>
      <c r="BT68" s="124"/>
      <c r="BU68" s="124"/>
      <c r="BV68" s="120"/>
      <c r="BW68" s="124"/>
      <c r="BX68" s="124"/>
      <c r="BY68" s="124"/>
      <c r="BZ68" s="124"/>
      <c r="CA68" s="125"/>
      <c r="CB68" s="124"/>
      <c r="CC68" s="124"/>
      <c r="CD68" s="124"/>
      <c r="CE68" s="124"/>
      <c r="CF68" s="125"/>
      <c r="CG68" s="124"/>
      <c r="CH68" s="124"/>
      <c r="CI68" s="124"/>
      <c r="CJ68" s="124"/>
      <c r="CK68" s="120"/>
      <c r="CL68" s="124"/>
      <c r="CM68" s="124"/>
      <c r="CN68" s="124"/>
      <c r="CO68" s="124"/>
      <c r="CP68" s="120"/>
      <c r="CQ68" s="124"/>
      <c r="CR68" s="124"/>
      <c r="CS68" s="124"/>
      <c r="CT68" s="124"/>
      <c r="CU68" s="120"/>
      <c r="CV68" s="124"/>
      <c r="CW68" s="124"/>
      <c r="CX68" s="124"/>
      <c r="CY68" s="124"/>
      <c r="CZ68" s="120"/>
      <c r="DA68" s="124"/>
      <c r="DB68" s="121"/>
      <c r="DC68" s="124"/>
      <c r="DD68" s="124"/>
      <c r="DE68" s="120"/>
      <c r="DF68" s="124"/>
      <c r="DG68" s="124"/>
      <c r="DH68" s="124"/>
      <c r="DI68" s="124"/>
      <c r="DJ68" s="120"/>
      <c r="DK68" s="124"/>
      <c r="DL68" s="124"/>
      <c r="DM68" s="124"/>
      <c r="DN68" s="124"/>
      <c r="DO68" s="120"/>
      <c r="DP68" s="124"/>
      <c r="DQ68" s="124"/>
      <c r="DR68" s="124"/>
      <c r="DS68" s="124"/>
      <c r="DT68" s="120"/>
      <c r="DU68" s="124"/>
      <c r="DV68" s="124"/>
      <c r="DW68" s="124"/>
      <c r="DX68" s="124"/>
      <c r="DY68" s="120"/>
      <c r="DZ68" s="125"/>
      <c r="EA68" s="125"/>
      <c r="EB68" s="125"/>
    </row>
    <row r="69" spans="1:132" s="168" customFormat="1" ht="12" customHeight="1" collapsed="1">
      <c r="A69" s="147"/>
      <c r="B69" s="121" t="s">
        <v>391</v>
      </c>
      <c r="C69" s="314">
        <f>Data!C160</f>
        <v>18125</v>
      </c>
      <c r="D69" s="314">
        <f>SUM(D45:D46)</f>
        <v>19879</v>
      </c>
      <c r="E69" s="314">
        <f>SUM(E45:E46)</f>
        <v>19051</v>
      </c>
      <c r="F69" s="314">
        <f>SUM(F45:F46)</f>
        <v>20236</v>
      </c>
      <c r="G69" s="314">
        <f t="shared" ref="G69:S69" si="3">SUM(G41:G44)</f>
        <v>22815</v>
      </c>
      <c r="H69" s="314">
        <f t="shared" si="3"/>
        <v>24957</v>
      </c>
      <c r="I69" s="314">
        <f t="shared" si="3"/>
        <v>27361</v>
      </c>
      <c r="J69" s="315">
        <f t="shared" si="3"/>
        <v>7417</v>
      </c>
      <c r="K69" s="315">
        <f t="shared" si="3"/>
        <v>7162</v>
      </c>
      <c r="L69" s="315">
        <f t="shared" si="3"/>
        <v>8259</v>
      </c>
      <c r="M69" s="315">
        <f t="shared" si="3"/>
        <v>7627</v>
      </c>
      <c r="N69" s="314">
        <f t="shared" si="3"/>
        <v>30465</v>
      </c>
      <c r="O69" s="315">
        <f t="shared" si="3"/>
        <v>7543</v>
      </c>
      <c r="P69" s="315">
        <f t="shared" si="3"/>
        <v>7742</v>
      </c>
      <c r="Q69" s="315">
        <f t="shared" si="3"/>
        <v>7381</v>
      </c>
      <c r="R69" s="315">
        <f t="shared" si="3"/>
        <v>8125</v>
      </c>
      <c r="S69" s="314">
        <f t="shared" si="3"/>
        <v>30791</v>
      </c>
      <c r="T69" s="315">
        <f t="shared" ref="T69:AY69" si="4">T38+T39+T40</f>
        <v>7186</v>
      </c>
      <c r="U69" s="315">
        <f t="shared" si="4"/>
        <v>7774</v>
      </c>
      <c r="V69" s="315">
        <f t="shared" si="4"/>
        <v>7792</v>
      </c>
      <c r="W69" s="315">
        <f t="shared" si="4"/>
        <v>9687</v>
      </c>
      <c r="X69" s="314">
        <f t="shared" si="4"/>
        <v>32439</v>
      </c>
      <c r="Y69" s="315">
        <f t="shared" si="4"/>
        <v>7721</v>
      </c>
      <c r="Z69" s="315">
        <f t="shared" si="4"/>
        <v>7981</v>
      </c>
      <c r="AA69" s="315">
        <f t="shared" si="4"/>
        <v>8008</v>
      </c>
      <c r="AB69" s="315">
        <f t="shared" si="4"/>
        <v>8370</v>
      </c>
      <c r="AC69" s="314">
        <f t="shared" si="4"/>
        <v>32080</v>
      </c>
      <c r="AD69" s="315">
        <f t="shared" si="4"/>
        <v>7575</v>
      </c>
      <c r="AE69" s="315">
        <f t="shared" si="4"/>
        <v>7934</v>
      </c>
      <c r="AF69" s="315">
        <f t="shared" si="4"/>
        <v>8497</v>
      </c>
      <c r="AG69" s="315">
        <f t="shared" si="4"/>
        <v>8051</v>
      </c>
      <c r="AH69" s="314">
        <f t="shared" si="4"/>
        <v>32057</v>
      </c>
      <c r="AI69" s="315">
        <f t="shared" si="4"/>
        <v>7720</v>
      </c>
      <c r="AJ69" s="315">
        <f t="shared" si="4"/>
        <v>8650</v>
      </c>
      <c r="AK69" s="315">
        <f t="shared" si="4"/>
        <v>8744</v>
      </c>
      <c r="AL69" s="315">
        <f t="shared" si="4"/>
        <v>8547</v>
      </c>
      <c r="AM69" s="285">
        <f t="shared" si="4"/>
        <v>33661</v>
      </c>
      <c r="AN69" s="241">
        <f t="shared" si="4"/>
        <v>7613</v>
      </c>
      <c r="AO69" s="147">
        <f t="shared" si="4"/>
        <v>7983</v>
      </c>
      <c r="AP69" s="147">
        <f t="shared" si="4"/>
        <v>8182</v>
      </c>
      <c r="AQ69" s="147">
        <f t="shared" si="4"/>
        <v>8165</v>
      </c>
      <c r="AR69" s="285">
        <f t="shared" si="4"/>
        <v>31943</v>
      </c>
      <c r="AS69" s="147">
        <f t="shared" si="4"/>
        <v>7617</v>
      </c>
      <c r="AT69" s="147">
        <f t="shared" si="4"/>
        <v>7688</v>
      </c>
      <c r="AU69" s="147">
        <f t="shared" si="4"/>
        <v>8200</v>
      </c>
      <c r="AV69" s="147">
        <f t="shared" si="4"/>
        <v>8471</v>
      </c>
      <c r="AW69" s="285">
        <f t="shared" si="4"/>
        <v>31976</v>
      </c>
      <c r="AX69" s="147">
        <f t="shared" si="4"/>
        <v>8233</v>
      </c>
      <c r="AY69" s="147">
        <f t="shared" si="4"/>
        <v>8192</v>
      </c>
      <c r="AZ69" s="147">
        <f t="shared" ref="AZ69:BQ69" si="5">AZ38+AZ39+AZ40</f>
        <v>7839</v>
      </c>
      <c r="BA69" s="147">
        <f t="shared" si="5"/>
        <v>8343</v>
      </c>
      <c r="BB69" s="175">
        <f t="shared" si="5"/>
        <v>32607</v>
      </c>
      <c r="BC69" s="147">
        <f t="shared" si="5"/>
        <v>8110</v>
      </c>
      <c r="BD69" s="147">
        <f t="shared" si="5"/>
        <v>8186</v>
      </c>
      <c r="BE69" s="147">
        <f t="shared" si="5"/>
        <v>8046</v>
      </c>
      <c r="BF69" s="147">
        <f t="shared" si="5"/>
        <v>8855</v>
      </c>
      <c r="BG69" s="175">
        <f t="shared" si="5"/>
        <v>33197</v>
      </c>
      <c r="BH69" s="584">
        <f t="shared" si="5"/>
        <v>7633</v>
      </c>
      <c r="BI69" s="584">
        <f t="shared" si="5"/>
        <v>7747</v>
      </c>
      <c r="BJ69" s="584">
        <f t="shared" si="5"/>
        <v>7913</v>
      </c>
      <c r="BK69" s="584">
        <f t="shared" si="5"/>
        <v>7588</v>
      </c>
      <c r="BL69" s="641">
        <f t="shared" si="5"/>
        <v>30881</v>
      </c>
      <c r="BM69" s="584">
        <f t="shared" si="5"/>
        <v>6709</v>
      </c>
      <c r="BN69" s="584">
        <f t="shared" si="5"/>
        <v>7544</v>
      </c>
      <c r="BO69" s="584">
        <f t="shared" si="5"/>
        <v>8350</v>
      </c>
      <c r="BP69" s="584">
        <f t="shared" si="5"/>
        <v>7785</v>
      </c>
      <c r="BQ69" s="641">
        <f t="shared" si="5"/>
        <v>30388</v>
      </c>
      <c r="BR69" s="584">
        <f>Data!BR149</f>
        <v>6136</v>
      </c>
      <c r="BS69" s="584">
        <f>Data!BS149</f>
        <v>5394</v>
      </c>
      <c r="BT69" s="584">
        <f>Data!BT149</f>
        <v>5751</v>
      </c>
      <c r="BU69" s="584">
        <f>Data!BU149</f>
        <v>5282</v>
      </c>
      <c r="BV69" s="641">
        <f>SUM(BR69:BU69)</f>
        <v>22563</v>
      </c>
      <c r="BW69" s="584">
        <f>Data!BW149</f>
        <v>5112</v>
      </c>
      <c r="BX69" s="584">
        <f>Data!BX149</f>
        <v>5142</v>
      </c>
      <c r="BY69" s="584">
        <f>Data!BY149</f>
        <v>5050</v>
      </c>
      <c r="BZ69" s="584">
        <f>Data!BZ149</f>
        <v>5257</v>
      </c>
      <c r="CA69" s="641">
        <f>SUM(BW69:BZ69)</f>
        <v>20561</v>
      </c>
      <c r="CB69" s="584">
        <f>Data!CB149</f>
        <v>6481</v>
      </c>
      <c r="CC69" s="584">
        <f>Data!CC149</f>
        <v>6100</v>
      </c>
      <c r="CD69" s="584">
        <f>Data!CD149</f>
        <v>6937</v>
      </c>
      <c r="CE69" s="584">
        <f>Data!CE149</f>
        <v>6874</v>
      </c>
      <c r="CF69" s="641">
        <f>SUM(CB69:CE69)</f>
        <v>26392</v>
      </c>
      <c r="CG69" s="584">
        <f>Data!CG149</f>
        <v>6611</v>
      </c>
      <c r="CH69" s="584">
        <f>Data!CH149</f>
        <v>6612</v>
      </c>
      <c r="CI69" s="584">
        <f>Data!CI149</f>
        <v>7002</v>
      </c>
      <c r="CJ69" s="584">
        <f>Data!CJ149</f>
        <v>5962</v>
      </c>
      <c r="CK69" s="120">
        <f>SUM(CG69:CJ69)</f>
        <v>26187</v>
      </c>
      <c r="CL69" s="584">
        <f>Data!CL149</f>
        <v>6042</v>
      </c>
      <c r="CM69" s="584">
        <f>Data!CM149</f>
        <v>6588</v>
      </c>
      <c r="CN69" s="584">
        <f>Data!CN149</f>
        <v>6848</v>
      </c>
      <c r="CO69" s="584">
        <f>Data!CO149</f>
        <v>6779</v>
      </c>
      <c r="CP69" s="120">
        <f>SUM(CL69:CO69)</f>
        <v>26257</v>
      </c>
      <c r="CQ69" s="584">
        <f>Data!CQ149</f>
        <v>7185</v>
      </c>
      <c r="CR69" s="584">
        <f>Data!CR149</f>
        <v>6876</v>
      </c>
      <c r="CS69" s="584">
        <f>Data!CS149</f>
        <v>6617</v>
      </c>
      <c r="CT69" s="584">
        <f>Data!CT149</f>
        <v>5862</v>
      </c>
      <c r="CU69" s="120">
        <f>SUM(CQ69:CT69)</f>
        <v>26540</v>
      </c>
      <c r="CV69" s="584">
        <f>Data!CV149</f>
        <v>5483</v>
      </c>
      <c r="CW69" s="584">
        <f>Data!CW149</f>
        <v>6191</v>
      </c>
      <c r="CX69" s="584">
        <f>Data!CX149</f>
        <v>5307</v>
      </c>
      <c r="CY69" s="584">
        <f>Data!CY149</f>
        <v>6181</v>
      </c>
      <c r="CZ69" s="120">
        <f>SUM(CV69:CY69)</f>
        <v>23162</v>
      </c>
      <c r="DA69" s="584">
        <f>Data!DA149</f>
        <v>6539</v>
      </c>
      <c r="DB69" s="121">
        <f>Data!DB149</f>
        <v>6167</v>
      </c>
      <c r="DC69" s="121">
        <f>Data!DC149</f>
        <v>5481</v>
      </c>
      <c r="DD69" s="584">
        <f>Data!DD149</f>
        <v>6746</v>
      </c>
      <c r="DE69" s="120">
        <f>SUM(DA69:DD69)</f>
        <v>24933</v>
      </c>
      <c r="DF69" s="584">
        <f>Data!DF149</f>
        <v>6950</v>
      </c>
      <c r="DG69" s="584">
        <f>Data!DG149</f>
        <v>6021</v>
      </c>
      <c r="DH69" s="584">
        <f>Data!DH149</f>
        <v>5536</v>
      </c>
      <c r="DI69" s="584">
        <f>Data!DI149</f>
        <v>5411</v>
      </c>
      <c r="DJ69" s="120">
        <f>SUM(DF69:DI69)</f>
        <v>23918</v>
      </c>
      <c r="DK69" s="584">
        <f>Data!DK149</f>
        <v>6298</v>
      </c>
      <c r="DL69" s="584">
        <f>Data!DL149</f>
        <v>6617</v>
      </c>
      <c r="DM69" s="584">
        <f>Data!DM149</f>
        <v>6902</v>
      </c>
      <c r="DN69" s="584">
        <f>Data!DN149</f>
        <v>7417</v>
      </c>
      <c r="DO69" s="120">
        <f>SUM(DK69:DN69)</f>
        <v>27234</v>
      </c>
      <c r="DP69" s="584">
        <f>Data!DP149</f>
        <v>7599</v>
      </c>
      <c r="DQ69" s="584">
        <f>Data!DQ149</f>
        <v>7483</v>
      </c>
      <c r="DR69" s="124">
        <f>(DM69)*(1+DR111)+DR91+DR101</f>
        <v>7579.1600000000008</v>
      </c>
      <c r="DS69" s="124">
        <f>(DN69)*(1+DS111)+DS91+DS101</f>
        <v>8011.1900000000005</v>
      </c>
      <c r="DT69" s="120">
        <f>SUM(DP69:DS69)</f>
        <v>30672.35</v>
      </c>
      <c r="DU69" s="124">
        <f>(DP69)*(1+DU111)+DU91+DU101</f>
        <v>8130.93</v>
      </c>
      <c r="DV69" s="124">
        <f>(DQ69)*(1+DV111)+DV91+DV101</f>
        <v>7931.9800000000005</v>
      </c>
      <c r="DW69" s="124">
        <f>(DR69)*(1+DW111)+DW91+DW101</f>
        <v>8185.4928000000018</v>
      </c>
      <c r="DX69" s="124">
        <f>(DS69)*(1+DX111)+DX91+DX101</f>
        <v>8571.9733000000015</v>
      </c>
      <c r="DY69" s="120">
        <f>SUM(DU69:DX69)</f>
        <v>32820.376100000009</v>
      </c>
      <c r="DZ69" s="125">
        <f>(DY69)*(1+DZ111)+DZ91+DZ101</f>
        <v>34461.394905000008</v>
      </c>
      <c r="EA69" s="125">
        <f>(DZ69)*(1+EA111)+EA91+EA101</f>
        <v>36184.464650250011</v>
      </c>
      <c r="EB69" s="125">
        <f>(EA69)*(1+EB111)+EB91+EB101</f>
        <v>37631.843236260014</v>
      </c>
    </row>
    <row r="70" spans="1:132" s="168" customFormat="1" ht="12" hidden="1" customHeight="1" outlineLevel="1">
      <c r="A70" s="147"/>
      <c r="B70" s="247" t="s">
        <v>170</v>
      </c>
      <c r="C70" s="314"/>
      <c r="D70" s="314"/>
      <c r="E70" s="314"/>
      <c r="F70" s="314"/>
      <c r="G70" s="314"/>
      <c r="H70" s="314"/>
      <c r="I70" s="314"/>
      <c r="J70" s="315"/>
      <c r="K70" s="315"/>
      <c r="L70" s="315"/>
      <c r="M70" s="315"/>
      <c r="N70" s="314"/>
      <c r="O70" s="315"/>
      <c r="P70" s="315"/>
      <c r="Q70" s="315"/>
      <c r="R70" s="315"/>
      <c r="S70" s="314"/>
      <c r="T70" s="315"/>
      <c r="U70" s="315"/>
      <c r="V70" s="315"/>
      <c r="W70" s="315"/>
      <c r="X70" s="314"/>
      <c r="Y70" s="315"/>
      <c r="Z70" s="315"/>
      <c r="AA70" s="315"/>
      <c r="AB70" s="315"/>
      <c r="AC70" s="314"/>
      <c r="AD70" s="315"/>
      <c r="AE70" s="315"/>
      <c r="AF70" s="315"/>
      <c r="AG70" s="315"/>
      <c r="AH70" s="314"/>
      <c r="AI70" s="315"/>
      <c r="AJ70" s="315"/>
      <c r="AK70" s="315"/>
      <c r="AL70" s="315"/>
      <c r="AM70" s="285"/>
      <c r="AN70" s="241"/>
      <c r="AO70" s="147"/>
      <c r="AP70" s="147"/>
      <c r="AQ70" s="147"/>
      <c r="AR70" s="285"/>
      <c r="AS70" s="147"/>
      <c r="AT70" s="147"/>
      <c r="AU70" s="147"/>
      <c r="AV70" s="147"/>
      <c r="AW70" s="285"/>
      <c r="AX70" s="147"/>
      <c r="AY70" s="147"/>
      <c r="AZ70" s="147"/>
      <c r="BA70" s="147"/>
      <c r="BB70" s="175"/>
      <c r="BC70" s="147"/>
      <c r="BD70" s="147"/>
      <c r="BE70" s="147"/>
      <c r="BF70" s="147"/>
      <c r="BG70" s="175"/>
      <c r="BH70" s="584"/>
      <c r="BI70" s="584"/>
      <c r="BJ70" s="584"/>
      <c r="BK70" s="584"/>
      <c r="BL70" s="641"/>
      <c r="BM70" s="584"/>
      <c r="BN70" s="584"/>
      <c r="BO70" s="584"/>
      <c r="BP70" s="584"/>
      <c r="BQ70" s="641"/>
      <c r="BR70" s="584"/>
      <c r="BS70" s="584"/>
      <c r="BT70" s="584"/>
      <c r="BU70" s="584"/>
      <c r="BV70" s="641"/>
      <c r="BW70" s="584"/>
      <c r="BX70" s="584"/>
      <c r="BY70" s="584"/>
      <c r="BZ70" s="584"/>
      <c r="CA70" s="641"/>
      <c r="CB70" s="584"/>
      <c r="CC70" s="584"/>
      <c r="CD70" s="124"/>
      <c r="CE70" s="124"/>
      <c r="CF70" s="641"/>
      <c r="CG70" s="124"/>
      <c r="CH70" s="124"/>
      <c r="CI70" s="124"/>
      <c r="CJ70" s="124"/>
      <c r="CK70" s="120"/>
      <c r="CL70" s="124"/>
      <c r="CM70" s="124"/>
      <c r="CN70" s="124"/>
      <c r="CO70" s="124"/>
      <c r="CP70" s="120"/>
      <c r="CQ70" s="124"/>
      <c r="CR70" s="124"/>
      <c r="CS70" s="124"/>
      <c r="CT70" s="124"/>
      <c r="CU70" s="120"/>
      <c r="CV70" s="124"/>
      <c r="CW70" s="124"/>
      <c r="CX70" s="124"/>
      <c r="CY70" s="124"/>
      <c r="CZ70" s="120"/>
      <c r="DA70" s="124"/>
      <c r="DB70" s="121"/>
      <c r="DC70" s="124"/>
      <c r="DD70" s="124"/>
      <c r="DE70" s="120"/>
      <c r="DF70" s="124"/>
      <c r="DG70" s="124"/>
      <c r="DH70" s="124"/>
      <c r="DI70" s="124"/>
      <c r="DJ70" s="120"/>
      <c r="DK70" s="124"/>
      <c r="DL70" s="124"/>
      <c r="DM70" s="124"/>
      <c r="DN70" s="124"/>
      <c r="DO70" s="120"/>
      <c r="DP70" s="124"/>
      <c r="DQ70" s="124"/>
      <c r="DR70" s="124"/>
      <c r="DS70" s="124"/>
      <c r="DT70" s="120"/>
      <c r="DU70" s="124"/>
      <c r="DV70" s="124"/>
      <c r="DW70" s="124"/>
      <c r="DX70" s="124"/>
      <c r="DY70" s="120"/>
      <c r="DZ70" s="125"/>
      <c r="EA70" s="125"/>
      <c r="EB70" s="125"/>
    </row>
    <row r="71" spans="1:132" s="168" customFormat="1" ht="12" hidden="1" customHeight="1" outlineLevel="1">
      <c r="A71" s="147"/>
      <c r="B71" s="533" t="s">
        <v>602</v>
      </c>
      <c r="C71" s="314"/>
      <c r="D71" s="314"/>
      <c r="E71" s="314"/>
      <c r="F71" s="314"/>
      <c r="G71" s="314"/>
      <c r="H71" s="314"/>
      <c r="I71" s="314"/>
      <c r="J71" s="315"/>
      <c r="K71" s="315"/>
      <c r="L71" s="315"/>
      <c r="M71" s="315"/>
      <c r="N71" s="314"/>
      <c r="O71" s="315"/>
      <c r="P71" s="315"/>
      <c r="Q71" s="315"/>
      <c r="R71" s="315"/>
      <c r="S71" s="314"/>
      <c r="T71" s="315"/>
      <c r="U71" s="315"/>
      <c r="V71" s="315"/>
      <c r="W71" s="315"/>
      <c r="X71" s="314"/>
      <c r="Y71" s="315"/>
      <c r="Z71" s="315"/>
      <c r="AA71" s="315"/>
      <c r="AB71" s="315"/>
      <c r="AC71" s="314"/>
      <c r="AD71" s="315"/>
      <c r="AE71" s="315"/>
      <c r="AF71" s="315"/>
      <c r="AG71" s="315"/>
      <c r="AH71" s="314"/>
      <c r="AI71" s="315"/>
      <c r="AJ71" s="315"/>
      <c r="AK71" s="315"/>
      <c r="AL71" s="315"/>
      <c r="AM71" s="285"/>
      <c r="AN71" s="241"/>
      <c r="AO71" s="147"/>
      <c r="AP71" s="147"/>
      <c r="AQ71" s="147"/>
      <c r="AR71" s="285"/>
      <c r="AS71" s="147"/>
      <c r="AT71" s="147"/>
      <c r="AU71" s="147"/>
      <c r="AV71" s="147"/>
      <c r="AW71" s="285"/>
      <c r="AX71" s="147"/>
      <c r="AY71" s="147"/>
      <c r="AZ71" s="147"/>
      <c r="BA71" s="147"/>
      <c r="BB71" s="175"/>
      <c r="BC71" s="147"/>
      <c r="BD71" s="147"/>
      <c r="BE71" s="147"/>
      <c r="BF71" s="147"/>
      <c r="BG71" s="175"/>
      <c r="BH71" s="584"/>
      <c r="BI71" s="584"/>
      <c r="BJ71" s="584"/>
      <c r="BK71" s="584"/>
      <c r="BL71" s="641"/>
      <c r="BM71" s="584"/>
      <c r="BN71" s="584"/>
      <c r="BO71" s="584"/>
      <c r="BP71" s="584"/>
      <c r="BQ71" s="641"/>
      <c r="BR71" s="584"/>
      <c r="BS71" s="584"/>
      <c r="BT71" s="584"/>
      <c r="BU71" s="584"/>
      <c r="BV71" s="641"/>
      <c r="BW71" s="584"/>
      <c r="BX71" s="584"/>
      <c r="BY71" s="584"/>
      <c r="BZ71" s="584"/>
      <c r="CA71" s="641"/>
      <c r="CB71" s="867"/>
      <c r="CC71" s="867"/>
      <c r="CD71" s="867"/>
      <c r="CE71" s="867">
        <f>Commercial!CE120</f>
        <v>397</v>
      </c>
      <c r="CF71" s="120">
        <f>SUM(CB71:CE71)</f>
        <v>397</v>
      </c>
      <c r="CG71" s="867">
        <f>Commercial!CG120</f>
        <v>400</v>
      </c>
      <c r="CH71" s="867">
        <f>Commercial!CH120</f>
        <v>405</v>
      </c>
      <c r="CI71" s="867">
        <f>Commercial!CI120</f>
        <v>402</v>
      </c>
      <c r="CJ71" s="867">
        <f>Commercial!CJ120-Commercial!CE120</f>
        <v>-25.010999999999967</v>
      </c>
      <c r="CK71" s="120">
        <f>SUM(CG71:CJ71)</f>
        <v>1181.989</v>
      </c>
      <c r="CL71" s="867"/>
      <c r="CM71" s="867"/>
      <c r="CN71" s="867"/>
      <c r="CO71" s="867"/>
      <c r="CP71" s="120">
        <f>SUM(CL71:CO71)</f>
        <v>0</v>
      </c>
      <c r="CQ71" s="867"/>
      <c r="CR71" s="867"/>
      <c r="CS71" s="867"/>
      <c r="CT71" s="867"/>
      <c r="CU71" s="120">
        <f>SUM(CQ71:CT71)</f>
        <v>0</v>
      </c>
      <c r="CV71" s="867"/>
      <c r="CW71" s="867"/>
      <c r="CX71" s="867"/>
      <c r="CY71" s="867"/>
      <c r="CZ71" s="120">
        <f>SUM(CV71:CY71)</f>
        <v>0</v>
      </c>
      <c r="DA71" s="867"/>
      <c r="DB71" s="1028"/>
      <c r="DC71" s="867"/>
      <c r="DD71" s="867"/>
      <c r="DE71" s="120">
        <f>SUM(DA71:DD71)</f>
        <v>0</v>
      </c>
      <c r="DF71" s="867"/>
      <c r="DG71" s="867"/>
      <c r="DH71" s="867"/>
      <c r="DI71" s="867"/>
      <c r="DJ71" s="120">
        <f>SUM(DF71:DI71)</f>
        <v>0</v>
      </c>
      <c r="DK71" s="867"/>
      <c r="DL71" s="867"/>
      <c r="DM71" s="867"/>
      <c r="DN71" s="867"/>
      <c r="DO71" s="120">
        <f>SUM(DK71:DN71)</f>
        <v>0</v>
      </c>
      <c r="DP71" s="867"/>
      <c r="DQ71" s="867"/>
      <c r="DR71" s="867"/>
      <c r="DS71" s="867"/>
      <c r="DT71" s="120">
        <f>SUM(DP71:DS71)</f>
        <v>0</v>
      </c>
      <c r="DU71" s="867"/>
      <c r="DV71" s="867"/>
      <c r="DW71" s="867"/>
      <c r="DX71" s="867"/>
      <c r="DY71" s="120">
        <f>SUM(DU71:DX71)</f>
        <v>0</v>
      </c>
      <c r="DZ71" s="125"/>
      <c r="EA71" s="125"/>
      <c r="EB71" s="125"/>
    </row>
    <row r="72" spans="1:132" s="168" customFormat="1" ht="12" hidden="1" customHeight="1" outlineLevel="1">
      <c r="A72" s="147"/>
      <c r="B72" s="247" t="s">
        <v>322</v>
      </c>
      <c r="C72" s="314"/>
      <c r="D72" s="314"/>
      <c r="E72" s="314"/>
      <c r="F72" s="314"/>
      <c r="G72" s="314"/>
      <c r="H72" s="314"/>
      <c r="I72" s="314"/>
      <c r="J72" s="315"/>
      <c r="K72" s="315"/>
      <c r="L72" s="315"/>
      <c r="M72" s="315"/>
      <c r="N72" s="314"/>
      <c r="O72" s="315"/>
      <c r="P72" s="315"/>
      <c r="Q72" s="315"/>
      <c r="R72" s="315"/>
      <c r="S72" s="314"/>
      <c r="T72" s="315"/>
      <c r="U72" s="315"/>
      <c r="V72" s="315"/>
      <c r="W72" s="315"/>
      <c r="X72" s="314"/>
      <c r="Y72" s="315"/>
      <c r="Z72" s="315"/>
      <c r="AA72" s="315"/>
      <c r="AB72" s="315"/>
      <c r="AC72" s="314"/>
      <c r="AD72" s="315"/>
      <c r="AE72" s="315"/>
      <c r="AF72" s="315"/>
      <c r="AG72" s="315"/>
      <c r="AH72" s="314"/>
      <c r="AI72" s="315"/>
      <c r="AJ72" s="315"/>
      <c r="AK72" s="315"/>
      <c r="AL72" s="315"/>
      <c r="AM72" s="285"/>
      <c r="AN72" s="241"/>
      <c r="AO72" s="147"/>
      <c r="AP72" s="147"/>
      <c r="AQ72" s="147"/>
      <c r="AR72" s="285"/>
      <c r="AS72" s="147"/>
      <c r="AT72" s="147"/>
      <c r="AU72" s="147"/>
      <c r="AV72" s="147"/>
      <c r="AW72" s="285"/>
      <c r="AX72" s="147"/>
      <c r="AY72" s="147"/>
      <c r="AZ72" s="147"/>
      <c r="BA72" s="147"/>
      <c r="BB72" s="175"/>
      <c r="BC72" s="147"/>
      <c r="BD72" s="147"/>
      <c r="BE72" s="147"/>
      <c r="BF72" s="147"/>
      <c r="BG72" s="175"/>
      <c r="BH72" s="584"/>
      <c r="BI72" s="584"/>
      <c r="BJ72" s="584"/>
      <c r="BK72" s="584"/>
      <c r="BL72" s="641"/>
      <c r="BM72" s="584"/>
      <c r="BN72" s="584"/>
      <c r="BO72" s="584"/>
      <c r="BP72" s="584"/>
      <c r="BQ72" s="641"/>
      <c r="BR72" s="584"/>
      <c r="BS72" s="584"/>
      <c r="BT72" s="584"/>
      <c r="BU72" s="584"/>
      <c r="BV72" s="641"/>
      <c r="BW72" s="584"/>
      <c r="BX72" s="584"/>
      <c r="BY72" s="584"/>
      <c r="BZ72" s="584"/>
      <c r="CA72" s="641"/>
      <c r="CB72" s="584"/>
      <c r="CC72" s="584"/>
      <c r="CD72" s="124"/>
      <c r="CE72" s="124"/>
      <c r="CF72" s="641"/>
      <c r="CG72" s="124"/>
      <c r="CH72" s="124"/>
      <c r="CI72" s="124"/>
      <c r="CJ72" s="124"/>
      <c r="CK72" s="120"/>
      <c r="CL72" s="124"/>
      <c r="CM72" s="124"/>
      <c r="CN72" s="124"/>
      <c r="CO72" s="124"/>
      <c r="CP72" s="120"/>
      <c r="CQ72" s="124"/>
      <c r="CR72" s="124"/>
      <c r="CS72" s="124"/>
      <c r="CT72" s="124"/>
      <c r="CU72" s="120"/>
      <c r="CV72" s="124"/>
      <c r="CW72" s="124"/>
      <c r="CX72" s="124"/>
      <c r="CY72" s="124"/>
      <c r="CZ72" s="120"/>
      <c r="DA72" s="124"/>
      <c r="DB72" s="121"/>
      <c r="DC72" s="124"/>
      <c r="DD72" s="124"/>
      <c r="DE72" s="120"/>
      <c r="DF72" s="124"/>
      <c r="DG72" s="124"/>
      <c r="DH72" s="124"/>
      <c r="DI72" s="124"/>
      <c r="DJ72" s="120"/>
      <c r="DK72" s="124"/>
      <c r="DL72" s="124"/>
      <c r="DM72" s="124"/>
      <c r="DN72" s="124"/>
      <c r="DO72" s="120"/>
      <c r="DP72" s="124"/>
      <c r="DQ72" s="124"/>
      <c r="DR72" s="124"/>
      <c r="DS72" s="124"/>
      <c r="DT72" s="120"/>
      <c r="DU72" s="124"/>
      <c r="DV72" s="124"/>
      <c r="DW72" s="124"/>
      <c r="DX72" s="124"/>
      <c r="DY72" s="120"/>
      <c r="DZ72" s="125"/>
      <c r="EA72" s="125"/>
      <c r="EB72" s="125"/>
    </row>
    <row r="73" spans="1:132" s="168" customFormat="1" ht="12" hidden="1" customHeight="1" outlineLevel="1">
      <c r="A73" s="147"/>
      <c r="B73" s="533" t="s">
        <v>723</v>
      </c>
      <c r="C73" s="314"/>
      <c r="D73" s="314"/>
      <c r="E73" s="314"/>
      <c r="F73" s="314"/>
      <c r="G73" s="314"/>
      <c r="H73" s="314"/>
      <c r="I73" s="314"/>
      <c r="J73" s="315"/>
      <c r="K73" s="315"/>
      <c r="L73" s="315"/>
      <c r="M73" s="315"/>
      <c r="N73" s="314"/>
      <c r="O73" s="315"/>
      <c r="P73" s="315"/>
      <c r="Q73" s="315"/>
      <c r="R73" s="315"/>
      <c r="S73" s="314"/>
      <c r="T73" s="315"/>
      <c r="U73" s="315"/>
      <c r="V73" s="315"/>
      <c r="W73" s="315"/>
      <c r="X73" s="314"/>
      <c r="Y73" s="315"/>
      <c r="Z73" s="315"/>
      <c r="AA73" s="315"/>
      <c r="AB73" s="315"/>
      <c r="AC73" s="314"/>
      <c r="AD73" s="315"/>
      <c r="AE73" s="315"/>
      <c r="AF73" s="315"/>
      <c r="AG73" s="315"/>
      <c r="AH73" s="314"/>
      <c r="AI73" s="315"/>
      <c r="AJ73" s="315"/>
      <c r="AK73" s="315"/>
      <c r="AL73" s="315"/>
      <c r="AM73" s="285"/>
      <c r="AN73" s="241"/>
      <c r="AO73" s="147"/>
      <c r="AP73" s="147"/>
      <c r="AQ73" s="147"/>
      <c r="AR73" s="285"/>
      <c r="AS73" s="147"/>
      <c r="AT73" s="147"/>
      <c r="AU73" s="147"/>
      <c r="AV73" s="147"/>
      <c r="AW73" s="285"/>
      <c r="AX73" s="147"/>
      <c r="AY73" s="147"/>
      <c r="AZ73" s="147"/>
      <c r="BA73" s="147"/>
      <c r="BB73" s="175"/>
      <c r="BC73" s="147"/>
      <c r="BD73" s="147"/>
      <c r="BE73" s="147"/>
      <c r="BF73" s="147"/>
      <c r="BG73" s="175"/>
      <c r="BH73" s="584"/>
      <c r="BI73" s="584"/>
      <c r="BJ73" s="584"/>
      <c r="BK73" s="584"/>
      <c r="BL73" s="641"/>
      <c r="BM73" s="584"/>
      <c r="BN73" s="584"/>
      <c r="BO73" s="584"/>
      <c r="BP73" s="584"/>
      <c r="BQ73" s="641"/>
      <c r="BR73" s="584"/>
      <c r="BS73" s="584"/>
      <c r="BT73" s="584"/>
      <c r="BU73" s="584"/>
      <c r="BV73" s="641"/>
      <c r="BW73" s="584"/>
      <c r="BX73" s="584"/>
      <c r="BY73" s="584"/>
      <c r="BZ73" s="584"/>
      <c r="CA73" s="641"/>
      <c r="CB73" s="867"/>
      <c r="CC73" s="867"/>
      <c r="CD73" s="867"/>
      <c r="CE73" s="867"/>
      <c r="CF73" s="120"/>
      <c r="CG73" s="867"/>
      <c r="CH73" s="867"/>
      <c r="CI73" s="867"/>
      <c r="CJ73" s="867"/>
      <c r="CK73" s="120"/>
      <c r="CL73" s="867"/>
      <c r="CM73" s="867"/>
      <c r="CN73" s="867"/>
      <c r="CO73" s="867"/>
      <c r="CP73" s="120"/>
      <c r="CQ73" s="867"/>
      <c r="CR73" s="867"/>
      <c r="CS73" s="867"/>
      <c r="CT73" s="867"/>
      <c r="CU73" s="120"/>
      <c r="CV73" s="867"/>
      <c r="CW73" s="867"/>
      <c r="CX73" s="867"/>
      <c r="CY73" s="867"/>
      <c r="CZ73" s="120"/>
      <c r="DA73" s="867"/>
      <c r="DB73" s="1028"/>
      <c r="DC73" s="867"/>
      <c r="DD73" s="867"/>
      <c r="DE73" s="120"/>
      <c r="DF73" s="867"/>
      <c r="DG73" s="867"/>
      <c r="DH73" s="867"/>
      <c r="DI73" s="867"/>
      <c r="DJ73" s="120"/>
      <c r="DK73" s="867"/>
      <c r="DL73" s="867"/>
      <c r="DM73" s="867"/>
      <c r="DN73" s="122">
        <f>+-(132.666666666667)*2</f>
        <v>-265.333333333334</v>
      </c>
      <c r="DO73" s="120">
        <f>+SUM(DK73:DN73)</f>
        <v>-265.333333333334</v>
      </c>
      <c r="DP73" s="867">
        <f t="shared" ref="DP73:DR73" si="6">+-(132.666666666667)*3</f>
        <v>-398.00000000000102</v>
      </c>
      <c r="DQ73" s="122">
        <v>-375</v>
      </c>
      <c r="DR73" s="122">
        <f t="shared" si="6"/>
        <v>-398.00000000000102</v>
      </c>
      <c r="DS73" s="122">
        <f>+-(132.666666666667)*1</f>
        <v>-132.666666666667</v>
      </c>
      <c r="DT73" s="120">
        <f>+SUM(DP73:DS73)</f>
        <v>-1303.666666666669</v>
      </c>
      <c r="DU73" s="122"/>
      <c r="DV73" s="122"/>
      <c r="DW73" s="122"/>
      <c r="DX73" s="122"/>
      <c r="DY73" s="120">
        <f>+SUM(DU73:DX73)</f>
        <v>0</v>
      </c>
      <c r="DZ73" s="125"/>
      <c r="EA73" s="125"/>
      <c r="EB73" s="125"/>
    </row>
    <row r="74" spans="1:132" s="307" customFormat="1" ht="12" customHeight="1" collapsed="1">
      <c r="A74" s="241"/>
      <c r="B74" s="121" t="s">
        <v>575</v>
      </c>
      <c r="C74" s="180"/>
      <c r="D74" s="180"/>
      <c r="E74" s="180"/>
      <c r="F74" s="180"/>
      <c r="G74" s="180"/>
      <c r="H74" s="180"/>
      <c r="I74" s="180"/>
      <c r="J74" s="179"/>
      <c r="K74" s="179"/>
      <c r="L74" s="179"/>
      <c r="M74" s="179"/>
      <c r="N74" s="175"/>
      <c r="O74" s="179"/>
      <c r="P74" s="179"/>
      <c r="Q74" s="179"/>
      <c r="R74" s="179"/>
      <c r="S74" s="175"/>
      <c r="T74" s="179"/>
      <c r="U74" s="179"/>
      <c r="V74" s="179"/>
      <c r="W74" s="179"/>
      <c r="X74" s="180"/>
      <c r="Y74" s="179"/>
      <c r="Z74" s="179"/>
      <c r="AA74" s="179"/>
      <c r="AB74" s="179"/>
      <c r="AC74" s="180"/>
      <c r="AD74" s="179"/>
      <c r="AE74" s="179"/>
      <c r="AF74" s="179"/>
      <c r="AG74" s="179"/>
      <c r="AH74" s="285"/>
      <c r="AI74" s="179"/>
      <c r="AJ74" s="179"/>
      <c r="AK74" s="179"/>
      <c r="AL74" s="179"/>
      <c r="AM74" s="285"/>
      <c r="AN74" s="241"/>
      <c r="AO74" s="179"/>
      <c r="AP74" s="179"/>
      <c r="AQ74" s="179"/>
      <c r="AR74" s="285"/>
      <c r="AS74" s="179"/>
      <c r="AT74" s="179"/>
      <c r="AU74" s="179"/>
      <c r="AV74" s="179"/>
      <c r="AW74" s="285"/>
      <c r="AX74" s="179"/>
      <c r="AY74" s="179"/>
      <c r="AZ74" s="179"/>
      <c r="BA74" s="179"/>
      <c r="BB74" s="180"/>
      <c r="BC74" s="179"/>
      <c r="BD74" s="179"/>
      <c r="BE74" s="179"/>
      <c r="BF74" s="179"/>
      <c r="BG74" s="180"/>
      <c r="BH74" s="122"/>
      <c r="BI74" s="122"/>
      <c r="BJ74" s="122"/>
      <c r="BK74" s="122"/>
      <c r="BL74" s="123"/>
      <c r="BM74" s="122"/>
      <c r="BN74" s="122"/>
      <c r="BO74" s="122"/>
      <c r="BP74" s="122"/>
      <c r="BQ74" s="123"/>
      <c r="BR74" s="121">
        <f>Data!BR161</f>
        <v>3421</v>
      </c>
      <c r="BS74" s="121">
        <f>Data!BS161</f>
        <v>3581</v>
      </c>
      <c r="BT74" s="121">
        <f>Data!BT161</f>
        <v>3506</v>
      </c>
      <c r="BU74" s="121">
        <f>Data!BU161</f>
        <v>3417</v>
      </c>
      <c r="BV74" s="120">
        <f>SUM(BR74:BU74)</f>
        <v>13925</v>
      </c>
      <c r="BW74" s="121">
        <f>Data!BW161</f>
        <v>3653</v>
      </c>
      <c r="BX74" s="121">
        <f>Data!BX161</f>
        <v>3552</v>
      </c>
      <c r="BY74" s="121">
        <f>Data!BY161</f>
        <v>3579</v>
      </c>
      <c r="BZ74" s="121">
        <f>Data!BZ161</f>
        <v>3797</v>
      </c>
      <c r="CA74" s="120">
        <f>SUM(BW74:BZ74)</f>
        <v>14581</v>
      </c>
      <c r="CB74" s="121">
        <f>Data!CB161</f>
        <v>3950</v>
      </c>
      <c r="CC74" s="121">
        <f>Data!CC161</f>
        <v>4097</v>
      </c>
      <c r="CD74" s="121">
        <f>Data!CD161</f>
        <v>4101</v>
      </c>
      <c r="CE74" s="121">
        <f>Data!CE161</f>
        <v>4908</v>
      </c>
      <c r="CF74" s="120">
        <f>SUM(CB74:CE74)</f>
        <v>17056</v>
      </c>
      <c r="CG74" s="121">
        <f>Data!CG161</f>
        <v>4619</v>
      </c>
      <c r="CH74" s="121">
        <f>Data!CH161</f>
        <v>4543</v>
      </c>
      <c r="CI74" s="121">
        <f>Data!CI161</f>
        <v>4658</v>
      </c>
      <c r="CJ74" s="121">
        <f>Data!CJ161</f>
        <v>4648</v>
      </c>
      <c r="CK74" s="120">
        <f>SUM(CG74:CJ74)</f>
        <v>18468</v>
      </c>
      <c r="CL74" s="121">
        <f>Data!CL161</f>
        <v>4628</v>
      </c>
      <c r="CM74" s="121">
        <f>Data!CM161</f>
        <v>3488</v>
      </c>
      <c r="CN74" s="121">
        <f>Data!CN161</f>
        <v>3694</v>
      </c>
      <c r="CO74" s="121">
        <f>Data!CO161</f>
        <v>3733</v>
      </c>
      <c r="CP74" s="120">
        <f>SUM(CL74:CO74)</f>
        <v>15543</v>
      </c>
      <c r="CQ74" s="121">
        <f>Data!CQ161</f>
        <v>3749</v>
      </c>
      <c r="CR74" s="121">
        <f>Data!CR161</f>
        <v>4067</v>
      </c>
      <c r="CS74" s="121">
        <f>Data!CS161</f>
        <v>4221</v>
      </c>
      <c r="CT74" s="121">
        <f>Data!CT161</f>
        <v>4291</v>
      </c>
      <c r="CU74" s="120">
        <f>SUM(CQ74:CT74)</f>
        <v>16328</v>
      </c>
      <c r="CV74" s="121">
        <f>Data!CV161</f>
        <v>4314</v>
      </c>
      <c r="CW74" s="121">
        <f>Data!CW161</f>
        <v>4298</v>
      </c>
      <c r="CX74" s="121">
        <f>Data!CX161</f>
        <v>4432</v>
      </c>
      <c r="CY74" s="121">
        <f>Data!CY161</f>
        <v>4567</v>
      </c>
      <c r="CZ74" s="120">
        <f>SUM(CV74:CY74)</f>
        <v>17611</v>
      </c>
      <c r="DA74" s="121">
        <f>Data!DA161</f>
        <v>4720</v>
      </c>
      <c r="DB74" s="121">
        <f>Data!DB161</f>
        <v>4746</v>
      </c>
      <c r="DC74" s="121">
        <f>Data!DC161</f>
        <v>4812</v>
      </c>
      <c r="DD74" s="121">
        <f>Data!DD161</f>
        <v>4849</v>
      </c>
      <c r="DE74" s="120">
        <f>SUM(DA74:DD74)</f>
        <v>19127</v>
      </c>
      <c r="DF74" s="121">
        <f>Data!DF161</f>
        <v>5045</v>
      </c>
      <c r="DG74" s="121">
        <f>Data!DG161</f>
        <v>4889</v>
      </c>
      <c r="DH74" s="121">
        <f>Data!DH161</f>
        <v>4901</v>
      </c>
      <c r="DI74" s="121">
        <f>Data!DI161</f>
        <v>5119</v>
      </c>
      <c r="DJ74" s="120">
        <f>SUM(DF74:DI74)</f>
        <v>19954</v>
      </c>
      <c r="DK74" s="121">
        <f>Data!DK161</f>
        <v>5063</v>
      </c>
      <c r="DL74" s="121">
        <f>Data!DL161</f>
        <v>5281</v>
      </c>
      <c r="DM74" s="121">
        <f>Data!DM161</f>
        <v>5370</v>
      </c>
      <c r="DN74" s="121">
        <f>Data!DN161</f>
        <v>5209</v>
      </c>
      <c r="DO74" s="120">
        <f>SUM(DK74:DN74)</f>
        <v>20923</v>
      </c>
      <c r="DP74" s="121">
        <f>Data!DP161</f>
        <v>5370</v>
      </c>
      <c r="DQ74" s="121">
        <f>Data!DQ161</f>
        <v>5344</v>
      </c>
      <c r="DR74" s="124">
        <f>Commercial!DR132+DR92+SEG!DR102</f>
        <v>5227.8990274461848</v>
      </c>
      <c r="DS74" s="124">
        <f>Commercial!DS132+DS92+SEG!DS102</f>
        <v>5415.5601054547851</v>
      </c>
      <c r="DT74" s="120">
        <f>SUM(DP74:DS74)</f>
        <v>21357.459132900971</v>
      </c>
      <c r="DU74" s="124">
        <f>Commercial!DU132+DU92+SEG!DU102</f>
        <v>5564.1369573448501</v>
      </c>
      <c r="DV74" s="124">
        <f>Commercial!DV132+DV92+SEG!DV102</f>
        <v>5536.0800321555471</v>
      </c>
      <c r="DW74" s="124">
        <f>Commercial!DW132+DW92+SEG!DW102</f>
        <v>5827.3060430946025</v>
      </c>
      <c r="DX74" s="124">
        <f>Commercial!DX132+DX92+SEG!DX102</f>
        <v>5747.3538676012195</v>
      </c>
      <c r="DY74" s="120">
        <f>SUM(DU74:DX74)</f>
        <v>22674.876900196221</v>
      </c>
      <c r="DZ74" s="125">
        <f>Commercial!DZ132+SEG!DZ92+SEG!DZ102</f>
        <v>23403.012209247805</v>
      </c>
      <c r="EA74" s="125">
        <f>Commercial!EA132+SEG!EA92+SEG!EA102</f>
        <v>24154.907137652765</v>
      </c>
      <c r="EB74" s="125">
        <f>Commercial!EB132+SEG!EB92+SEG!EB102</f>
        <v>24931.351096394978</v>
      </c>
    </row>
    <row r="75" spans="1:132" s="307" customFormat="1" ht="12" hidden="1" customHeight="1" outlineLevel="1">
      <c r="A75" s="241"/>
      <c r="B75" s="156" t="s">
        <v>170</v>
      </c>
      <c r="C75" s="180"/>
      <c r="D75" s="180"/>
      <c r="E75" s="180"/>
      <c r="F75" s="180"/>
      <c r="G75" s="180"/>
      <c r="H75" s="180"/>
      <c r="I75" s="180"/>
      <c r="J75" s="179"/>
      <c r="K75" s="179"/>
      <c r="L75" s="179"/>
      <c r="M75" s="179"/>
      <c r="N75" s="180"/>
      <c r="O75" s="179"/>
      <c r="P75" s="179"/>
      <c r="Q75" s="179"/>
      <c r="R75" s="179"/>
      <c r="S75" s="180"/>
      <c r="T75" s="179"/>
      <c r="U75" s="179"/>
      <c r="V75" s="179"/>
      <c r="W75" s="179"/>
      <c r="X75" s="180"/>
      <c r="Y75" s="179"/>
      <c r="Z75" s="179"/>
      <c r="AA75" s="179"/>
      <c r="AB75" s="179"/>
      <c r="AC75" s="180"/>
      <c r="AD75" s="179"/>
      <c r="AE75" s="179"/>
      <c r="AF75" s="179"/>
      <c r="AG75" s="179"/>
      <c r="AH75" s="285"/>
      <c r="AI75" s="179"/>
      <c r="AJ75" s="179"/>
      <c r="AK75" s="179"/>
      <c r="AL75" s="179"/>
      <c r="AM75" s="285"/>
      <c r="AN75" s="241"/>
      <c r="AO75" s="179"/>
      <c r="AP75" s="179"/>
      <c r="AQ75" s="179"/>
      <c r="AR75" s="285"/>
      <c r="AS75" s="179"/>
      <c r="AT75" s="179"/>
      <c r="AU75" s="179"/>
      <c r="AV75" s="179"/>
      <c r="AW75" s="285"/>
      <c r="AX75" s="179"/>
      <c r="AY75" s="179"/>
      <c r="AZ75" s="179"/>
      <c r="BA75" s="179"/>
      <c r="BB75" s="180"/>
      <c r="BC75" s="179"/>
      <c r="BD75" s="179"/>
      <c r="BE75" s="179"/>
      <c r="BF75" s="179"/>
      <c r="BG75" s="180"/>
      <c r="BH75" s="122"/>
      <c r="BI75" s="122"/>
      <c r="BJ75" s="122"/>
      <c r="BK75" s="122"/>
      <c r="BL75" s="123"/>
      <c r="BM75" s="122"/>
      <c r="BN75" s="122"/>
      <c r="BO75" s="122"/>
      <c r="BP75" s="122"/>
      <c r="BQ75" s="123"/>
      <c r="BR75" s="122"/>
      <c r="BS75" s="122"/>
      <c r="BT75" s="122"/>
      <c r="BU75" s="122"/>
      <c r="BV75" s="123"/>
      <c r="BW75" s="122"/>
      <c r="BX75" s="122"/>
      <c r="BY75" s="122"/>
      <c r="BZ75" s="122"/>
      <c r="CA75" s="123"/>
      <c r="CB75" s="122"/>
      <c r="CC75" s="122"/>
      <c r="CD75" s="122"/>
      <c r="CE75" s="122"/>
      <c r="CF75" s="123"/>
      <c r="CG75" s="122"/>
      <c r="CH75" s="122"/>
      <c r="CI75" s="122"/>
      <c r="CJ75" s="122"/>
      <c r="CK75" s="120"/>
      <c r="CL75" s="122"/>
      <c r="CM75" s="122"/>
      <c r="CN75" s="122"/>
      <c r="CO75" s="122"/>
      <c r="CP75" s="120"/>
      <c r="CQ75" s="122"/>
      <c r="CR75" s="122"/>
      <c r="CS75" s="122"/>
      <c r="CT75" s="122"/>
      <c r="CU75" s="120"/>
      <c r="CV75" s="122"/>
      <c r="CW75" s="122"/>
      <c r="CX75" s="122"/>
      <c r="CY75" s="122"/>
      <c r="CZ75" s="120"/>
      <c r="DA75" s="122"/>
      <c r="DB75" s="121"/>
      <c r="DC75" s="122"/>
      <c r="DD75" s="122"/>
      <c r="DE75" s="120"/>
      <c r="DF75" s="122"/>
      <c r="DG75" s="122"/>
      <c r="DH75" s="122"/>
      <c r="DI75" s="122"/>
      <c r="DJ75" s="120"/>
      <c r="DK75" s="122"/>
      <c r="DL75" s="122"/>
      <c r="DM75" s="122"/>
      <c r="DN75" s="122"/>
      <c r="DO75" s="120"/>
      <c r="DP75" s="122"/>
      <c r="DQ75" s="122"/>
      <c r="DR75" s="122"/>
      <c r="DS75" s="122"/>
      <c r="DT75" s="120"/>
      <c r="DU75" s="122"/>
      <c r="DV75" s="122"/>
      <c r="DW75" s="122"/>
      <c r="DX75" s="122"/>
      <c r="DY75" s="120"/>
      <c r="DZ75" s="123"/>
      <c r="EA75" s="123"/>
      <c r="EB75" s="123"/>
    </row>
    <row r="76" spans="1:132" s="307" customFormat="1" ht="12" hidden="1" customHeight="1" outlineLevel="1">
      <c r="A76" s="241"/>
      <c r="B76" s="156" t="s">
        <v>171</v>
      </c>
      <c r="C76" s="180"/>
      <c r="D76" s="180"/>
      <c r="E76" s="180"/>
      <c r="F76" s="180"/>
      <c r="G76" s="180"/>
      <c r="H76" s="180"/>
      <c r="I76" s="180"/>
      <c r="J76" s="179"/>
      <c r="K76" s="179"/>
      <c r="L76" s="179"/>
      <c r="M76" s="179"/>
      <c r="N76" s="180"/>
      <c r="O76" s="179"/>
      <c r="P76" s="179"/>
      <c r="Q76" s="179"/>
      <c r="R76" s="179"/>
      <c r="S76" s="180"/>
      <c r="T76" s="179"/>
      <c r="U76" s="179"/>
      <c r="V76" s="179"/>
      <c r="W76" s="179"/>
      <c r="X76" s="180"/>
      <c r="Y76" s="179"/>
      <c r="Z76" s="179"/>
      <c r="AA76" s="179"/>
      <c r="AB76" s="179"/>
      <c r="AC76" s="180"/>
      <c r="AD76" s="179"/>
      <c r="AE76" s="179"/>
      <c r="AF76" s="179"/>
      <c r="AG76" s="179"/>
      <c r="AH76" s="285"/>
      <c r="AI76" s="179"/>
      <c r="AJ76" s="179"/>
      <c r="AK76" s="179"/>
      <c r="AL76" s="179"/>
      <c r="AM76" s="285"/>
      <c r="AN76" s="241"/>
      <c r="AO76" s="179"/>
      <c r="AP76" s="179"/>
      <c r="AQ76" s="179"/>
      <c r="AR76" s="285"/>
      <c r="AS76" s="179"/>
      <c r="AT76" s="179"/>
      <c r="AU76" s="179"/>
      <c r="AV76" s="179"/>
      <c r="AW76" s="285"/>
      <c r="AX76" s="179"/>
      <c r="AY76" s="179"/>
      <c r="AZ76" s="179"/>
      <c r="BA76" s="179"/>
      <c r="BB76" s="180"/>
      <c r="BC76" s="179"/>
      <c r="BD76" s="179"/>
      <c r="BE76" s="179"/>
      <c r="BF76" s="179"/>
      <c r="BG76" s="180"/>
      <c r="BH76" s="122"/>
      <c r="BI76" s="122"/>
      <c r="BJ76" s="122"/>
      <c r="BK76" s="122"/>
      <c r="BL76" s="123"/>
      <c r="BM76" s="122"/>
      <c r="BN76" s="122"/>
      <c r="BO76" s="122"/>
      <c r="BP76" s="122"/>
      <c r="BQ76" s="123"/>
      <c r="BR76" s="122"/>
      <c r="BS76" s="122"/>
      <c r="BT76" s="122"/>
      <c r="BU76" s="122"/>
      <c r="BV76" s="123"/>
      <c r="BW76" s="122"/>
      <c r="BX76" s="122"/>
      <c r="BY76" s="122"/>
      <c r="BZ76" s="122"/>
      <c r="CA76" s="123"/>
      <c r="CB76" s="122"/>
      <c r="CC76" s="122"/>
      <c r="CD76" s="122"/>
      <c r="CE76" s="122"/>
      <c r="CF76" s="123"/>
      <c r="CG76" s="122"/>
      <c r="CH76" s="122"/>
      <c r="CI76" s="122"/>
      <c r="CJ76" s="122"/>
      <c r="CK76" s="120"/>
      <c r="CL76" s="122"/>
      <c r="CM76" s="122"/>
      <c r="CN76" s="122"/>
      <c r="CO76" s="122"/>
      <c r="CP76" s="120"/>
      <c r="CQ76" s="122"/>
      <c r="CR76" s="122"/>
      <c r="CS76" s="122"/>
      <c r="CT76" s="122"/>
      <c r="CU76" s="120"/>
      <c r="CV76" s="122"/>
      <c r="CW76" s="122"/>
      <c r="CX76" s="122"/>
      <c r="CY76" s="122"/>
      <c r="CZ76" s="120"/>
      <c r="DA76" s="122"/>
      <c r="DB76" s="121"/>
      <c r="DC76" s="122"/>
      <c r="DD76" s="122"/>
      <c r="DE76" s="120"/>
      <c r="DF76" s="122"/>
      <c r="DG76" s="122"/>
      <c r="DH76" s="122"/>
      <c r="DI76" s="122"/>
      <c r="DJ76" s="120"/>
      <c r="DK76" s="122"/>
      <c r="DL76" s="122"/>
      <c r="DM76" s="122"/>
      <c r="DN76" s="122"/>
      <c r="DO76" s="120"/>
      <c r="DP76" s="122"/>
      <c r="DQ76" s="122"/>
      <c r="DR76" s="122"/>
      <c r="DS76" s="122"/>
      <c r="DT76" s="120"/>
      <c r="DU76" s="122"/>
      <c r="DV76" s="122"/>
      <c r="DW76" s="122"/>
      <c r="DX76" s="122"/>
      <c r="DY76" s="120"/>
      <c r="DZ76" s="123"/>
      <c r="EA76" s="123"/>
      <c r="EB76" s="123"/>
    </row>
    <row r="77" spans="1:132" s="307" customFormat="1" ht="12" hidden="1" customHeight="1" outlineLevel="1">
      <c r="A77" s="241"/>
      <c r="B77" s="536" t="s">
        <v>723</v>
      </c>
      <c r="C77" s="180"/>
      <c r="D77" s="180"/>
      <c r="E77" s="180"/>
      <c r="F77" s="180"/>
      <c r="G77" s="180"/>
      <c r="H77" s="180"/>
      <c r="I77" s="180"/>
      <c r="J77" s="179"/>
      <c r="K77" s="179"/>
      <c r="L77" s="179"/>
      <c r="M77" s="179"/>
      <c r="N77" s="175"/>
      <c r="O77" s="179"/>
      <c r="P77" s="179"/>
      <c r="Q77" s="179"/>
      <c r="R77" s="179"/>
      <c r="S77" s="175"/>
      <c r="T77" s="179"/>
      <c r="U77" s="179"/>
      <c r="V77" s="179"/>
      <c r="W77" s="179"/>
      <c r="X77" s="180"/>
      <c r="Y77" s="179"/>
      <c r="Z77" s="179"/>
      <c r="AA77" s="179"/>
      <c r="AB77" s="179"/>
      <c r="AC77" s="180"/>
      <c r="AD77" s="179"/>
      <c r="AE77" s="179"/>
      <c r="AF77" s="179"/>
      <c r="AG77" s="179"/>
      <c r="AH77" s="285"/>
      <c r="AI77" s="179"/>
      <c r="AJ77" s="179"/>
      <c r="AK77" s="179"/>
      <c r="AL77" s="179"/>
      <c r="AM77" s="285"/>
      <c r="AN77" s="241"/>
      <c r="AO77" s="179"/>
      <c r="AP77" s="179"/>
      <c r="AQ77" s="179"/>
      <c r="AR77" s="285"/>
      <c r="AS77" s="179"/>
      <c r="AT77" s="179"/>
      <c r="AU77" s="179"/>
      <c r="AV77" s="179"/>
      <c r="AW77" s="285"/>
      <c r="AX77" s="179"/>
      <c r="AY77" s="179"/>
      <c r="AZ77" s="179"/>
      <c r="BA77" s="179"/>
      <c r="BB77" s="180"/>
      <c r="BC77" s="179"/>
      <c r="BD77" s="179"/>
      <c r="BE77" s="179"/>
      <c r="BF77" s="179"/>
      <c r="BG77" s="180"/>
      <c r="BH77" s="122"/>
      <c r="BI77" s="122"/>
      <c r="BJ77" s="122"/>
      <c r="BK77" s="122"/>
      <c r="BL77" s="123"/>
      <c r="BM77" s="122"/>
      <c r="BN77" s="122"/>
      <c r="BO77" s="122"/>
      <c r="BP77" s="122"/>
      <c r="BQ77" s="123"/>
      <c r="BR77" s="122"/>
      <c r="BS77" s="122"/>
      <c r="BT77" s="122"/>
      <c r="BU77" s="122"/>
      <c r="BV77" s="123"/>
      <c r="BW77" s="122"/>
      <c r="BX77" s="122"/>
      <c r="BY77" s="122"/>
      <c r="BZ77" s="122"/>
      <c r="CA77" s="123"/>
      <c r="CB77" s="122"/>
      <c r="CC77" s="122"/>
      <c r="CD77" s="122"/>
      <c r="CE77" s="122"/>
      <c r="CF77" s="123"/>
      <c r="CG77" s="122"/>
      <c r="CH77" s="122"/>
      <c r="CI77" s="122"/>
      <c r="CJ77" s="122"/>
      <c r="CK77" s="120"/>
      <c r="CL77" s="122"/>
      <c r="CM77" s="122"/>
      <c r="CN77" s="122"/>
      <c r="CO77" s="122"/>
      <c r="CP77" s="120"/>
      <c r="CQ77" s="122"/>
      <c r="CR77" s="122"/>
      <c r="CS77" s="122"/>
      <c r="CT77" s="122"/>
      <c r="CU77" s="120"/>
      <c r="CV77" s="122"/>
      <c r="CW77" s="122"/>
      <c r="CX77" s="122"/>
      <c r="CY77" s="122"/>
      <c r="CZ77" s="120"/>
      <c r="DA77" s="122"/>
      <c r="DB77" s="121"/>
      <c r="DC77" s="122"/>
      <c r="DD77" s="122"/>
      <c r="DE77" s="120"/>
      <c r="DF77" s="122"/>
      <c r="DG77" s="122"/>
      <c r="DH77" s="122"/>
      <c r="DI77" s="122"/>
      <c r="DJ77" s="120"/>
      <c r="DK77" s="122"/>
      <c r="DL77" s="122"/>
      <c r="DM77" s="122"/>
      <c r="DN77" s="122"/>
      <c r="DO77" s="120"/>
      <c r="DP77" s="122"/>
      <c r="DQ77" s="122"/>
      <c r="DR77" s="122"/>
      <c r="DS77" s="122"/>
      <c r="DT77" s="120"/>
      <c r="DU77" s="122"/>
      <c r="DV77" s="122"/>
      <c r="DW77" s="122"/>
      <c r="DX77" s="122"/>
      <c r="DY77" s="120"/>
      <c r="DZ77" s="123"/>
      <c r="EA77" s="123"/>
      <c r="EB77" s="123"/>
    </row>
    <row r="78" spans="1:132" s="307" customFormat="1" ht="12" hidden="1" customHeight="1" outlineLevel="1">
      <c r="A78" s="241"/>
      <c r="B78" s="311" t="s">
        <v>331</v>
      </c>
      <c r="C78" s="180"/>
      <c r="D78" s="180"/>
      <c r="E78" s="180"/>
      <c r="F78" s="180"/>
      <c r="G78" s="180"/>
      <c r="H78" s="180"/>
      <c r="I78" s="180"/>
      <c r="J78" s="179"/>
      <c r="K78" s="179"/>
      <c r="L78" s="179">
        <f>(1000/4)*-1</f>
        <v>-250</v>
      </c>
      <c r="M78" s="179">
        <f>(1000/4)*-1</f>
        <v>-250</v>
      </c>
      <c r="N78" s="175">
        <f>SUM(J78:M78)</f>
        <v>-500</v>
      </c>
      <c r="O78" s="179">
        <f>(1000/4)*-1</f>
        <v>-250</v>
      </c>
      <c r="P78" s="179">
        <f>(1000/4)*-1</f>
        <v>-250</v>
      </c>
      <c r="Q78" s="179"/>
      <c r="R78" s="179"/>
      <c r="S78" s="175">
        <f>SUM(O78:R78)</f>
        <v>-500</v>
      </c>
      <c r="T78" s="179"/>
      <c r="U78" s="179"/>
      <c r="V78" s="179"/>
      <c r="W78" s="179"/>
      <c r="X78" s="180"/>
      <c r="Y78" s="179"/>
      <c r="Z78" s="179"/>
      <c r="AA78" s="179"/>
      <c r="AB78" s="179"/>
      <c r="AC78" s="180"/>
      <c r="AD78" s="179"/>
      <c r="AE78" s="179"/>
      <c r="AF78" s="179"/>
      <c r="AG78" s="179"/>
      <c r="AH78" s="285"/>
      <c r="AI78" s="179"/>
      <c r="AJ78" s="179"/>
      <c r="AK78" s="179"/>
      <c r="AL78" s="179"/>
      <c r="AM78" s="285"/>
      <c r="AN78" s="241"/>
      <c r="AO78" s="179"/>
      <c r="AP78" s="179"/>
      <c r="AQ78" s="179"/>
      <c r="AR78" s="285"/>
      <c r="AS78" s="179"/>
      <c r="AT78" s="179"/>
      <c r="AU78" s="179"/>
      <c r="AV78" s="179"/>
      <c r="AW78" s="285"/>
      <c r="AX78" s="179"/>
      <c r="AY78" s="179"/>
      <c r="AZ78" s="179"/>
      <c r="BA78" s="179"/>
      <c r="BB78" s="180"/>
      <c r="BC78" s="179"/>
      <c r="BD78" s="179"/>
      <c r="BE78" s="179"/>
      <c r="BF78" s="179"/>
      <c r="BG78" s="180"/>
      <c r="BH78" s="122"/>
      <c r="BI78" s="122"/>
      <c r="BJ78" s="122"/>
      <c r="BK78" s="122"/>
      <c r="BL78" s="123"/>
      <c r="BM78" s="122"/>
      <c r="BN78" s="122"/>
      <c r="BO78" s="122"/>
      <c r="BP78" s="122"/>
      <c r="BQ78" s="123"/>
      <c r="BR78" s="122"/>
      <c r="BS78" s="122"/>
      <c r="BT78" s="122"/>
      <c r="BU78" s="122"/>
      <c r="BV78" s="123"/>
      <c r="BW78" s="122"/>
      <c r="BX78" s="122"/>
      <c r="BY78" s="122"/>
      <c r="BZ78" s="122"/>
      <c r="CA78" s="123"/>
      <c r="CB78" s="122"/>
      <c r="CC78" s="122"/>
      <c r="CD78" s="122"/>
      <c r="CE78" s="122"/>
      <c r="CF78" s="123"/>
      <c r="CG78" s="122"/>
      <c r="CH78" s="122"/>
      <c r="CI78" s="122"/>
      <c r="CJ78" s="122"/>
      <c r="CK78" s="120"/>
      <c r="CL78" s="122"/>
      <c r="CM78" s="122"/>
      <c r="CN78" s="122"/>
      <c r="CO78" s="122"/>
      <c r="CP78" s="120"/>
      <c r="CQ78" s="122"/>
      <c r="CR78" s="122"/>
      <c r="CS78" s="122"/>
      <c r="CT78" s="122"/>
      <c r="CU78" s="120"/>
      <c r="CV78" s="122"/>
      <c r="CW78" s="122"/>
      <c r="CX78" s="122"/>
      <c r="CY78" s="122"/>
      <c r="CZ78" s="120"/>
      <c r="DA78" s="122"/>
      <c r="DB78" s="121"/>
      <c r="DC78" s="122"/>
      <c r="DD78" s="122"/>
      <c r="DE78" s="120"/>
      <c r="DF78" s="122"/>
      <c r="DG78" s="122"/>
      <c r="DH78" s="122"/>
      <c r="DI78" s="122"/>
      <c r="DJ78" s="120"/>
      <c r="DK78" s="122"/>
      <c r="DL78" s="122"/>
      <c r="DM78" s="122"/>
      <c r="DN78" s="122"/>
      <c r="DO78" s="120"/>
      <c r="DP78" s="122"/>
      <c r="DQ78" s="122"/>
      <c r="DR78" s="122"/>
      <c r="DS78" s="122"/>
      <c r="DT78" s="120"/>
      <c r="DU78" s="122"/>
      <c r="DV78" s="122"/>
      <c r="DW78" s="122"/>
      <c r="DX78" s="122"/>
      <c r="DY78" s="120"/>
      <c r="DZ78" s="123"/>
      <c r="EA78" s="123"/>
      <c r="EB78" s="123"/>
    </row>
    <row r="79" spans="1:132" s="168" customFormat="1" ht="12" customHeight="1" collapsed="1">
      <c r="A79" s="147"/>
      <c r="B79" s="848" t="s">
        <v>144</v>
      </c>
      <c r="C79" s="314">
        <f>Data!C162</f>
        <v>746</v>
      </c>
      <c r="D79" s="314">
        <f>Data!D162</f>
        <v>730</v>
      </c>
      <c r="E79" s="314">
        <f>Data!E162</f>
        <v>837</v>
      </c>
      <c r="F79" s="314">
        <f>Data!F162</f>
        <v>758</v>
      </c>
      <c r="G79" s="314">
        <f>Data!G162</f>
        <v>863</v>
      </c>
      <c r="H79" s="314">
        <f>Data!H162</f>
        <v>994</v>
      </c>
      <c r="I79" s="314">
        <f>Data!I162</f>
        <v>1221</v>
      </c>
      <c r="J79" s="315">
        <f>Data!J162</f>
        <v>307</v>
      </c>
      <c r="K79" s="315">
        <f>Data!K162</f>
        <v>229</v>
      </c>
      <c r="L79" s="315">
        <f>Data!L162</f>
        <v>253</v>
      </c>
      <c r="M79" s="315">
        <f>Data!M162</f>
        <v>170</v>
      </c>
      <c r="N79" s="314">
        <f>SUM(J79:M79)</f>
        <v>959</v>
      </c>
      <c r="O79" s="315">
        <f>Data!O162</f>
        <v>237</v>
      </c>
      <c r="P79" s="315">
        <f>Data!P162</f>
        <v>264</v>
      </c>
      <c r="Q79" s="315">
        <f>Data!Q162</f>
        <v>230</v>
      </c>
      <c r="R79" s="315">
        <f>Data!R162</f>
        <v>235</v>
      </c>
      <c r="S79" s="314">
        <f>SUM(O79:R79)</f>
        <v>966</v>
      </c>
      <c r="T79" s="315">
        <f>Data!T162</f>
        <v>237</v>
      </c>
      <c r="U79" s="315">
        <f>Data!U162</f>
        <v>243</v>
      </c>
      <c r="V79" s="315">
        <f>Data!V162</f>
        <v>304</v>
      </c>
      <c r="W79" s="315">
        <f>Data!W162</f>
        <v>241</v>
      </c>
      <c r="X79" s="314">
        <f>SUM(T79:W79)</f>
        <v>1025</v>
      </c>
      <c r="Y79" s="315">
        <f>Data!Y162</f>
        <v>213</v>
      </c>
      <c r="Z79" s="315">
        <f>Data!Z162</f>
        <v>209</v>
      </c>
      <c r="AA79" s="315">
        <f>Data!AA162</f>
        <v>197</v>
      </c>
      <c r="AB79" s="315">
        <f>Data!AB162</f>
        <v>196</v>
      </c>
      <c r="AC79" s="314">
        <f>SUM(Y79:AB79)</f>
        <v>815</v>
      </c>
      <c r="AD79" s="315">
        <f>Data!AD162</f>
        <v>185</v>
      </c>
      <c r="AE79" s="315">
        <f>Data!AE162</f>
        <v>179</v>
      </c>
      <c r="AF79" s="315">
        <f>Data!AF162</f>
        <v>171</v>
      </c>
      <c r="AG79" s="315">
        <f>Data!AG162</f>
        <v>168</v>
      </c>
      <c r="AH79" s="314">
        <f>SUM(AD79:AG79)</f>
        <v>703</v>
      </c>
      <c r="AI79" s="315">
        <f>Data!AI162</f>
        <v>163</v>
      </c>
      <c r="AJ79" s="315">
        <f>Data!AJ162</f>
        <v>167</v>
      </c>
      <c r="AK79" s="315">
        <f>Data!AK162</f>
        <v>166</v>
      </c>
      <c r="AL79" s="315">
        <f>Data!AL162</f>
        <v>164</v>
      </c>
      <c r="AM79" s="285">
        <f>SUM(AI79:AL79)</f>
        <v>660</v>
      </c>
      <c r="AN79" s="300">
        <f>Data!AN162</f>
        <v>162</v>
      </c>
      <c r="AO79" s="300">
        <f>Data!AO162</f>
        <v>162</v>
      </c>
      <c r="AP79" s="300">
        <f>Data!AP162</f>
        <v>170</v>
      </c>
      <c r="AQ79" s="300">
        <f>Data!AQ162</f>
        <v>145</v>
      </c>
      <c r="AR79" s="285">
        <f>SUM(AN79:AQ79)</f>
        <v>639</v>
      </c>
      <c r="AS79" s="300">
        <f>Data!AS162</f>
        <v>143</v>
      </c>
      <c r="AT79" s="300">
        <f>Data!AT162</f>
        <v>147</v>
      </c>
      <c r="AU79" s="437">
        <f>Data!AU162</f>
        <v>126</v>
      </c>
      <c r="AV79" s="437">
        <f>Data!AV162</f>
        <v>116</v>
      </c>
      <c r="AW79" s="285">
        <f>SUM(AS79:AV79)</f>
        <v>532</v>
      </c>
      <c r="AX79" s="437">
        <f>Data!AX162</f>
        <v>125</v>
      </c>
      <c r="AY79" s="437">
        <f>Data!AY162</f>
        <v>99</v>
      </c>
      <c r="AZ79" s="437">
        <f>Data!AZ162</f>
        <v>101</v>
      </c>
      <c r="BA79" s="437">
        <f>Data!BA162</f>
        <v>116</v>
      </c>
      <c r="BB79" s="285">
        <f>SUM(AX79:BA79)</f>
        <v>441</v>
      </c>
      <c r="BC79" s="437">
        <f>Data!BC162</f>
        <v>105</v>
      </c>
      <c r="BD79" s="437">
        <f>Data!BD162</f>
        <v>104</v>
      </c>
      <c r="BE79" s="437">
        <f>Data!BE162</f>
        <v>94</v>
      </c>
      <c r="BF79" s="437">
        <f>Data!BF162</f>
        <v>105</v>
      </c>
      <c r="BG79" s="120">
        <f>SUM(BC79:BF79)</f>
        <v>408</v>
      </c>
      <c r="BH79" s="437">
        <f>Data!BH162</f>
        <v>82</v>
      </c>
      <c r="BI79" s="437">
        <f>Data!BI162</f>
        <v>90</v>
      </c>
      <c r="BJ79" s="437">
        <f>Data!BJ162</f>
        <v>91</v>
      </c>
      <c r="BK79" s="437">
        <f>Data!BK162</f>
        <v>153</v>
      </c>
      <c r="BL79" s="120">
        <f>SUM(BH79:BK79)</f>
        <v>416</v>
      </c>
      <c r="BM79" s="437">
        <f>Data!BM162</f>
        <v>86</v>
      </c>
      <c r="BN79" s="437">
        <f>Data!BN162</f>
        <v>115</v>
      </c>
      <c r="BO79" s="437">
        <f>Data!BO162</f>
        <v>114</v>
      </c>
      <c r="BP79" s="437">
        <f>Data!BP162</f>
        <v>98</v>
      </c>
      <c r="BQ79" s="120">
        <f>SUM(BM79:BP79)</f>
        <v>413</v>
      </c>
      <c r="BR79" s="437">
        <f>Data!BR162</f>
        <v>64</v>
      </c>
      <c r="BS79" s="437">
        <f>Data!BS162</f>
        <v>84</v>
      </c>
      <c r="BT79" s="437">
        <f>Data!BT162</f>
        <v>63</v>
      </c>
      <c r="BU79" s="437">
        <f>Data!BU162</f>
        <v>87</v>
      </c>
      <c r="BV79" s="120">
        <f>SUM(BR79:BU79)</f>
        <v>298</v>
      </c>
      <c r="BW79" s="437">
        <f>Data!BW162</f>
        <v>92</v>
      </c>
      <c r="BX79" s="437">
        <f>Data!BX162</f>
        <v>72</v>
      </c>
      <c r="BY79" s="437">
        <f>Data!BY162</f>
        <v>70</v>
      </c>
      <c r="BZ79" s="437">
        <f>Data!BZ162</f>
        <v>73</v>
      </c>
      <c r="CA79" s="120">
        <f>SUM(BW79:BZ79)</f>
        <v>307</v>
      </c>
      <c r="CB79" s="437">
        <f>Data!CB162</f>
        <v>65</v>
      </c>
      <c r="CC79" s="437">
        <f>Data!CC162</f>
        <v>72</v>
      </c>
      <c r="CD79" s="437">
        <f>Data!CD162</f>
        <v>77</v>
      </c>
      <c r="CE79" s="437">
        <f>Data!CE162</f>
        <v>60</v>
      </c>
      <c r="CF79" s="120">
        <f>SUM(CB79:CE79)</f>
        <v>274</v>
      </c>
      <c r="CG79" s="437">
        <f>Data!CG162</f>
        <v>66</v>
      </c>
      <c r="CH79" s="437">
        <f>Data!CH162</f>
        <v>75</v>
      </c>
      <c r="CI79" s="437">
        <f>Data!CI162</f>
        <v>66</v>
      </c>
      <c r="CJ79" s="437">
        <f>Data!CJ162</f>
        <v>37</v>
      </c>
      <c r="CK79" s="120">
        <f>SUM(CG79:CJ79)</f>
        <v>244</v>
      </c>
      <c r="CL79" s="437">
        <f>Data!CL162</f>
        <v>65</v>
      </c>
      <c r="CM79" s="437">
        <f>Data!CM162</f>
        <v>69</v>
      </c>
      <c r="CN79" s="437">
        <f>Data!CN162</f>
        <v>71</v>
      </c>
      <c r="CO79" s="437">
        <f>Data!CO162</f>
        <v>56</v>
      </c>
      <c r="CP79" s="120">
        <f>SUM(CL79:CO79)</f>
        <v>261</v>
      </c>
      <c r="CQ79" s="437">
        <f>Data!CQ162</f>
        <v>60</v>
      </c>
      <c r="CR79" s="437">
        <f>Data!CR162</f>
        <v>78</v>
      </c>
      <c r="CS79" s="437">
        <f>Data!CS162</f>
        <v>71</v>
      </c>
      <c r="CT79" s="437">
        <f>Data!CT162</f>
        <v>63</v>
      </c>
      <c r="CU79" s="120">
        <f>SUM(CQ79:CT79)</f>
        <v>272</v>
      </c>
      <c r="CV79" s="437">
        <f>Data!CV162</f>
        <v>46</v>
      </c>
      <c r="CW79" s="437">
        <f>Data!CW162</f>
        <v>52</v>
      </c>
      <c r="CX79" s="437">
        <f>Data!CX162</f>
        <v>52</v>
      </c>
      <c r="CY79" s="437">
        <f>Data!CY162</f>
        <v>49</v>
      </c>
      <c r="CZ79" s="120">
        <f>SUM(CV79:CY79)</f>
        <v>199</v>
      </c>
      <c r="DA79" s="437">
        <f>Data!DA162</f>
        <v>0</v>
      </c>
      <c r="DB79" s="437">
        <f>Data!DB162</f>
        <v>0</v>
      </c>
      <c r="DC79" s="437">
        <f>Data!DC162</f>
        <v>0</v>
      </c>
      <c r="DD79" s="437">
        <f>Data!DD162</f>
        <v>0</v>
      </c>
      <c r="DE79" s="120">
        <f>SUM(DA79:DD79)</f>
        <v>0</v>
      </c>
      <c r="DF79" s="437">
        <f>Data!DF162</f>
        <v>0</v>
      </c>
      <c r="DG79" s="437">
        <f>Data!DG162</f>
        <v>0</v>
      </c>
      <c r="DH79" s="437">
        <f>Data!DH162</f>
        <v>0</v>
      </c>
      <c r="DI79" s="437">
        <f>Data!DI162</f>
        <v>0</v>
      </c>
      <c r="DJ79" s="120">
        <f>SUM(DF79:DI79)</f>
        <v>0</v>
      </c>
      <c r="DK79" s="437">
        <f>Data!DK162</f>
        <v>0</v>
      </c>
      <c r="DL79" s="437">
        <f>Data!DL162</f>
        <v>0</v>
      </c>
      <c r="DM79" s="437">
        <f>Data!DM162</f>
        <v>0</v>
      </c>
      <c r="DN79" s="437">
        <f>Data!DN162</f>
        <v>0</v>
      </c>
      <c r="DO79" s="120">
        <f>SUM(DK79:DN79)</f>
        <v>0</v>
      </c>
      <c r="DP79" s="437">
        <f>Data!DP162</f>
        <v>0</v>
      </c>
      <c r="DQ79" s="437">
        <f>Data!DQ162</f>
        <v>0</v>
      </c>
      <c r="DR79" s="640">
        <v>0</v>
      </c>
      <c r="DS79" s="640">
        <v>0</v>
      </c>
      <c r="DT79" s="120">
        <f>SUM(DP79:DS79)</f>
        <v>0</v>
      </c>
      <c r="DU79" s="640">
        <v>0</v>
      </c>
      <c r="DV79" s="640">
        <v>0</v>
      </c>
      <c r="DW79" s="640">
        <v>0</v>
      </c>
      <c r="DX79" s="640">
        <v>0</v>
      </c>
      <c r="DY79" s="120">
        <f>SUM(DU79:DX79)</f>
        <v>0</v>
      </c>
      <c r="DZ79" s="123">
        <v>0</v>
      </c>
      <c r="EA79" s="123">
        <v>0</v>
      </c>
      <c r="EB79" s="123">
        <v>0</v>
      </c>
    </row>
    <row r="80" spans="1:132" s="241" customFormat="1" ht="12" hidden="1" customHeight="1">
      <c r="B80" s="241" t="s">
        <v>93</v>
      </c>
      <c r="C80" s="314">
        <f>Data!C163</f>
        <v>0</v>
      </c>
      <c r="D80" s="314">
        <f>Data!D163</f>
        <v>0</v>
      </c>
      <c r="E80" s="314">
        <f>Data!E163</f>
        <v>0</v>
      </c>
      <c r="F80" s="314">
        <f>Data!F163</f>
        <v>0</v>
      </c>
      <c r="G80" s="314">
        <f>Data!G163</f>
        <v>365</v>
      </c>
      <c r="H80" s="314">
        <f>Data!H163</f>
        <v>544</v>
      </c>
      <c r="I80" s="314">
        <f>Data!I163</f>
        <v>870</v>
      </c>
      <c r="J80" s="315">
        <f>Data!J163</f>
        <v>134</v>
      </c>
      <c r="K80" s="315">
        <f>Data!K163</f>
        <v>131</v>
      </c>
      <c r="L80" s="315">
        <f>Data!L163</f>
        <v>145</v>
      </c>
      <c r="M80" s="315">
        <f>Data!M163</f>
        <v>139</v>
      </c>
      <c r="N80" s="314">
        <f>SUM(J80:M80)</f>
        <v>549</v>
      </c>
      <c r="O80" s="315">
        <f>Data!O163</f>
        <v>129</v>
      </c>
      <c r="P80" s="315">
        <f>Data!P163</f>
        <v>528</v>
      </c>
      <c r="Q80" s="315">
        <f>Data!Q163</f>
        <v>142</v>
      </c>
      <c r="R80" s="315">
        <f>Data!R163</f>
        <v>173</v>
      </c>
      <c r="S80" s="314">
        <f>SUM(O80:R80)</f>
        <v>972</v>
      </c>
      <c r="T80" s="315">
        <f>Data!T163</f>
        <v>87</v>
      </c>
      <c r="U80" s="315">
        <f>Data!U163</f>
        <v>71</v>
      </c>
      <c r="V80" s="315">
        <f>Data!V163</f>
        <v>60</v>
      </c>
      <c r="W80" s="315">
        <f>Data!W163</f>
        <v>81</v>
      </c>
      <c r="X80" s="314">
        <f>SUM(T80:W80)</f>
        <v>299</v>
      </c>
      <c r="Y80" s="315">
        <f>Data!Y163</f>
        <v>72</v>
      </c>
      <c r="Z80" s="315">
        <f>Data!Z163</f>
        <v>72</v>
      </c>
      <c r="AA80" s="315">
        <f>Data!AA163</f>
        <v>74</v>
      </c>
      <c r="AB80" s="315">
        <f>Data!AB163</f>
        <v>62</v>
      </c>
      <c r="AC80" s="314">
        <f>SUM(Y80:AB80)</f>
        <v>280</v>
      </c>
      <c r="AD80" s="315">
        <f>Data!AD163</f>
        <v>75</v>
      </c>
      <c r="AE80" s="315">
        <f>Data!AE163</f>
        <v>152</v>
      </c>
      <c r="AF80" s="315">
        <f>Data!AF163</f>
        <v>300</v>
      </c>
      <c r="AG80" s="315">
        <f>Data!AG163</f>
        <v>40</v>
      </c>
      <c r="AH80" s="314">
        <f>SUM(AD80:AG80)</f>
        <v>567</v>
      </c>
      <c r="AI80" s="315">
        <f>Data!AI163</f>
        <v>39</v>
      </c>
      <c r="AJ80" s="315">
        <f>Data!AJ163</f>
        <v>35</v>
      </c>
      <c r="AK80" s="315">
        <f>Data!AK163</f>
        <v>51</v>
      </c>
      <c r="AL80" s="315">
        <f>Data!AL163</f>
        <v>40</v>
      </c>
      <c r="AM80" s="285">
        <f>SUM(AI80:AL80)</f>
        <v>165</v>
      </c>
      <c r="AN80" s="241">
        <f>Data!AN163</f>
        <v>36</v>
      </c>
      <c r="AO80" s="241">
        <f>Data!AO163</f>
        <v>44</v>
      </c>
      <c r="AP80" s="241">
        <f>Data!AP163</f>
        <v>27</v>
      </c>
      <c r="AQ80" s="241">
        <f>Data!AQ163</f>
        <v>31</v>
      </c>
      <c r="AR80" s="285">
        <f>SUM(AN80:AQ80)</f>
        <v>138</v>
      </c>
      <c r="AS80" s="241">
        <f>Data!AS163</f>
        <v>36</v>
      </c>
      <c r="AT80" s="241">
        <f>Data!AT163</f>
        <v>38</v>
      </c>
      <c r="AU80" s="121">
        <f>Data!AU163</f>
        <v>33</v>
      </c>
      <c r="AV80" s="121">
        <f>Data!AV163</f>
        <v>31</v>
      </c>
      <c r="AW80" s="285">
        <f>SUM(AS80:AV80)</f>
        <v>138</v>
      </c>
      <c r="AX80" s="121">
        <f>Data!AX163</f>
        <v>24</v>
      </c>
      <c r="AY80" s="121">
        <f>Data!AY163</f>
        <v>42</v>
      </c>
      <c r="AZ80" s="121">
        <f>Data!AZ163</f>
        <v>27</v>
      </c>
      <c r="BA80" s="121">
        <f>Data!BA163</f>
        <v>40</v>
      </c>
      <c r="BB80" s="285">
        <f>SUM(AX80:BA80)</f>
        <v>133</v>
      </c>
      <c r="BC80" s="121">
        <f>Data!BC163</f>
        <v>27</v>
      </c>
      <c r="BD80" s="121">
        <f>Data!BD163</f>
        <v>27</v>
      </c>
      <c r="BE80" s="121">
        <f>Data!BE163</f>
        <v>26</v>
      </c>
      <c r="BF80" s="121">
        <f>Data!BF163</f>
        <v>22</v>
      </c>
      <c r="BG80" s="120">
        <f>SUM(BC80:BF80)</f>
        <v>102</v>
      </c>
      <c r="BH80" s="121">
        <f>Data!BH163</f>
        <v>20</v>
      </c>
      <c r="BI80" s="121">
        <f>Data!BI163</f>
        <v>22</v>
      </c>
      <c r="BJ80" s="121">
        <f>Data!BJ163</f>
        <v>0</v>
      </c>
      <c r="BK80" s="121">
        <f>Data!BK163</f>
        <v>0</v>
      </c>
      <c r="BL80" s="120">
        <f>SUM(BH80:BK80)</f>
        <v>42</v>
      </c>
      <c r="BM80" s="121">
        <f>Data!BM163</f>
        <v>0</v>
      </c>
      <c r="BN80" s="121">
        <f>Data!BN163</f>
        <v>0</v>
      </c>
      <c r="BO80" s="121">
        <f>Data!BO163</f>
        <v>0</v>
      </c>
      <c r="BP80" s="121">
        <f>Data!BP163</f>
        <v>0</v>
      </c>
      <c r="BQ80" s="120">
        <f>SUM(BM80:BP80)</f>
        <v>0</v>
      </c>
      <c r="BR80" s="121">
        <f>Data!BR163</f>
        <v>0</v>
      </c>
      <c r="BS80" s="121">
        <f>Data!BS163</f>
        <v>0</v>
      </c>
      <c r="BT80" s="121">
        <f>Data!BT163</f>
        <v>0</v>
      </c>
      <c r="BU80" s="121">
        <f>Data!BU163</f>
        <v>0</v>
      </c>
      <c r="BV80" s="120">
        <f>SUM(BR80:BU80)</f>
        <v>0</v>
      </c>
      <c r="BW80" s="121">
        <f>Data!BW163</f>
        <v>0</v>
      </c>
      <c r="BX80" s="121">
        <f>Data!BX163</f>
        <v>0</v>
      </c>
      <c r="BY80" s="121">
        <f>Data!BY163</f>
        <v>0</v>
      </c>
      <c r="BZ80" s="121">
        <f>Data!BZ163</f>
        <v>0</v>
      </c>
      <c r="CA80" s="120">
        <f>SUM(BW80:BZ80)</f>
        <v>0</v>
      </c>
      <c r="CB80" s="122">
        <v>0</v>
      </c>
      <c r="CC80" s="122">
        <v>0</v>
      </c>
      <c r="CD80" s="122">
        <v>0</v>
      </c>
      <c r="CE80" s="122">
        <v>0</v>
      </c>
      <c r="CF80" s="120">
        <f>SUM(CB80:CE80)</f>
        <v>0</v>
      </c>
      <c r="CG80" s="122">
        <v>0</v>
      </c>
      <c r="CH80" s="122">
        <v>0</v>
      </c>
      <c r="CI80" s="122">
        <v>0</v>
      </c>
      <c r="CJ80" s="122">
        <v>0</v>
      </c>
      <c r="CK80" s="120">
        <f>SUM(CG80:CJ80)</f>
        <v>0</v>
      </c>
      <c r="CL80" s="122">
        <v>0</v>
      </c>
      <c r="CM80" s="122">
        <v>0</v>
      </c>
      <c r="CN80" s="122">
        <v>0</v>
      </c>
      <c r="CO80" s="122">
        <v>0</v>
      </c>
      <c r="CP80" s="120">
        <f>SUM(CL80:CO80)</f>
        <v>0</v>
      </c>
      <c r="CQ80" s="122">
        <v>0</v>
      </c>
      <c r="CR80" s="122">
        <v>0</v>
      </c>
      <c r="CS80" s="122">
        <v>0</v>
      </c>
      <c r="CT80" s="122">
        <v>0</v>
      </c>
      <c r="CU80" s="120">
        <f>SUM(CQ80:CT80)</f>
        <v>0</v>
      </c>
      <c r="CV80" s="122">
        <v>0</v>
      </c>
      <c r="CW80" s="122">
        <v>0</v>
      </c>
      <c r="CX80" s="122">
        <v>0</v>
      </c>
      <c r="CY80" s="122">
        <v>0</v>
      </c>
      <c r="CZ80" s="120">
        <f>SUM(CV80:CY80)</f>
        <v>0</v>
      </c>
      <c r="DA80" s="122">
        <v>0</v>
      </c>
      <c r="DB80" s="121">
        <v>0</v>
      </c>
      <c r="DC80" s="122">
        <v>0</v>
      </c>
      <c r="DD80" s="122">
        <v>0</v>
      </c>
      <c r="DE80" s="120">
        <f>SUM(DA80:DD80)</f>
        <v>0</v>
      </c>
      <c r="DF80" s="122">
        <v>0</v>
      </c>
      <c r="DG80" s="122">
        <v>0</v>
      </c>
      <c r="DH80" s="122">
        <v>0</v>
      </c>
      <c r="DI80" s="122">
        <v>0</v>
      </c>
      <c r="DJ80" s="120">
        <f>SUM(DF80:DI80)</f>
        <v>0</v>
      </c>
      <c r="DK80" s="122">
        <v>0</v>
      </c>
      <c r="DL80" s="122">
        <v>0</v>
      </c>
      <c r="DM80" s="122">
        <v>0</v>
      </c>
      <c r="DN80" s="122">
        <v>0</v>
      </c>
      <c r="DO80" s="120">
        <f>SUM(DK80:DN80)</f>
        <v>0</v>
      </c>
      <c r="DP80" s="122">
        <v>0</v>
      </c>
      <c r="DQ80" s="122">
        <v>0</v>
      </c>
      <c r="DR80" s="122">
        <v>0</v>
      </c>
      <c r="DS80" s="122">
        <v>0</v>
      </c>
      <c r="DT80" s="120">
        <f>SUM(DP80:DS80)</f>
        <v>0</v>
      </c>
      <c r="DU80" s="122">
        <v>0</v>
      </c>
      <c r="DV80" s="122">
        <v>0</v>
      </c>
      <c r="DW80" s="122">
        <v>0</v>
      </c>
      <c r="DX80" s="122">
        <v>0</v>
      </c>
      <c r="DY80" s="120">
        <f>SUM(DU80:DX80)</f>
        <v>0</v>
      </c>
      <c r="DZ80" s="123">
        <v>0</v>
      </c>
      <c r="EA80" s="123">
        <v>0</v>
      </c>
      <c r="EB80" s="123">
        <v>0</v>
      </c>
    </row>
    <row r="81" spans="2:132" s="241" customFormat="1" ht="12" customHeight="1">
      <c r="B81" s="241" t="s">
        <v>109</v>
      </c>
      <c r="C81" s="314">
        <f>Data!C164</f>
        <v>0</v>
      </c>
      <c r="D81" s="314">
        <f>Data!D164</f>
        <v>0</v>
      </c>
      <c r="E81" s="314">
        <f>Data!E164</f>
        <v>-304</v>
      </c>
      <c r="F81" s="314">
        <f>Data!F164</f>
        <v>-844</v>
      </c>
      <c r="G81" s="314">
        <f>Data!G164</f>
        <v>-901</v>
      </c>
      <c r="H81" s="314">
        <f>Data!H164</f>
        <v>-813</v>
      </c>
      <c r="I81" s="314">
        <f>Data!I164</f>
        <v>-1375</v>
      </c>
      <c r="J81" s="315">
        <f>Data!J164</f>
        <v>-229</v>
      </c>
      <c r="K81" s="315">
        <f>Data!K164</f>
        <v>-105</v>
      </c>
      <c r="L81" s="315">
        <f>Data!L164</f>
        <v>-143</v>
      </c>
      <c r="M81" s="315">
        <f>Data!M164</f>
        <v>-76</v>
      </c>
      <c r="N81" s="314">
        <f>SUM(J81:M81)</f>
        <v>-553</v>
      </c>
      <c r="O81" s="315">
        <f>Data!O164</f>
        <v>2</v>
      </c>
      <c r="P81" s="315">
        <f>Data!P164</f>
        <v>-312</v>
      </c>
      <c r="Q81" s="315">
        <f>Data!Q164</f>
        <v>-37</v>
      </c>
      <c r="R81" s="315">
        <f>Data!R164</f>
        <v>-188</v>
      </c>
      <c r="S81" s="314">
        <f>SUM(O81:R81)</f>
        <v>-535</v>
      </c>
      <c r="T81" s="315">
        <f>Data!T164</f>
        <v>-299</v>
      </c>
      <c r="U81" s="315">
        <f>Data!U164</f>
        <v>-215</v>
      </c>
      <c r="V81" s="315">
        <f>Data!V164</f>
        <v>-110</v>
      </c>
      <c r="W81" s="315">
        <f>Data!W164</f>
        <v>-74</v>
      </c>
      <c r="X81" s="314">
        <f>SUM(T81:W81)</f>
        <v>-698</v>
      </c>
      <c r="Y81" s="315">
        <f>Data!Y164</f>
        <v>-196</v>
      </c>
      <c r="Z81" s="315">
        <f>Data!Z164</f>
        <v>59</v>
      </c>
      <c r="AA81" s="315">
        <f>Data!AA164</f>
        <v>-20</v>
      </c>
      <c r="AB81" s="315">
        <f>Data!AB164</f>
        <v>-17</v>
      </c>
      <c r="AC81" s="314">
        <f>SUM(Y81:AB81)</f>
        <v>-174</v>
      </c>
      <c r="AD81" s="315">
        <f>Data!AD164</f>
        <v>-6</v>
      </c>
      <c r="AE81" s="315">
        <f>Data!AE164</f>
        <v>130</v>
      </c>
      <c r="AF81" s="315">
        <f>Data!AF164</f>
        <v>-621</v>
      </c>
      <c r="AG81" s="315">
        <f>Data!AG164</f>
        <v>-174</v>
      </c>
      <c r="AH81" s="314">
        <f>SUM(AD81:AG81)</f>
        <v>-671</v>
      </c>
      <c r="AI81" s="315">
        <f>Data!AI164</f>
        <v>26</v>
      </c>
      <c r="AJ81" s="315">
        <f>Data!AJ164</f>
        <v>-129</v>
      </c>
      <c r="AK81" s="315">
        <f>Data!AK164</f>
        <v>-156</v>
      </c>
      <c r="AL81" s="315">
        <f>Data!AL164</f>
        <v>3</v>
      </c>
      <c r="AM81" s="285">
        <f>SUM(AI81:AL81)</f>
        <v>-256</v>
      </c>
      <c r="AN81" s="241">
        <f>Data!AN164</f>
        <v>-63</v>
      </c>
      <c r="AO81" s="241">
        <f>Data!AO164</f>
        <v>-49</v>
      </c>
      <c r="AP81" s="241">
        <f>Data!AP164</f>
        <v>-161</v>
      </c>
      <c r="AQ81" s="241">
        <f>Data!AQ164</f>
        <v>25</v>
      </c>
      <c r="AR81" s="285">
        <f>SUM(AN81:AQ81)</f>
        <v>-248</v>
      </c>
      <c r="AS81" s="241">
        <f>Data!AS164</f>
        <v>-4</v>
      </c>
      <c r="AT81" s="241">
        <f>Data!AT164</f>
        <v>-173</v>
      </c>
      <c r="AU81" s="121">
        <f>Data!AU164</f>
        <v>-147</v>
      </c>
      <c r="AV81" s="121">
        <f>Data!AV164</f>
        <v>242</v>
      </c>
      <c r="AW81" s="285">
        <f>SUM(AS81:AV81)</f>
        <v>-82</v>
      </c>
      <c r="AX81" s="121">
        <f>Data!AX164</f>
        <v>64</v>
      </c>
      <c r="AY81" s="121">
        <f>Data!AY164</f>
        <v>-171</v>
      </c>
      <c r="AZ81" s="121">
        <f>Data!AZ164</f>
        <v>-145</v>
      </c>
      <c r="BA81" s="121">
        <f>Data!BA164</f>
        <v>-358</v>
      </c>
      <c r="BB81" s="285">
        <f>SUM(AX81:BA81)</f>
        <v>-610</v>
      </c>
      <c r="BC81" s="121">
        <f>Data!BC164</f>
        <v>-39</v>
      </c>
      <c r="BD81" s="121">
        <f>Data!BD164</f>
        <v>-126</v>
      </c>
      <c r="BE81" s="121">
        <f>Data!BE164</f>
        <v>-23</v>
      </c>
      <c r="BF81" s="121">
        <f>Data!BF164</f>
        <v>123</v>
      </c>
      <c r="BG81" s="285">
        <f>SUM(BC81:BF81)</f>
        <v>-65</v>
      </c>
      <c r="BH81" s="121">
        <f>Data!BH164</f>
        <v>-7</v>
      </c>
      <c r="BI81" s="121">
        <f>Data!BI164</f>
        <v>-118</v>
      </c>
      <c r="BJ81" s="121">
        <f>Data!BJ164</f>
        <v>-330</v>
      </c>
      <c r="BK81" s="121">
        <f>Data!BK164</f>
        <v>-112</v>
      </c>
      <c r="BL81" s="285">
        <f>SUM(BH81:BK81)</f>
        <v>-567</v>
      </c>
      <c r="BM81" s="121">
        <f>Data!BM164</f>
        <v>-27</v>
      </c>
      <c r="BN81" s="121">
        <f>Data!BN164</f>
        <v>7</v>
      </c>
      <c r="BO81" s="121">
        <f>Data!BO164</f>
        <v>-307</v>
      </c>
      <c r="BP81" s="121">
        <f>Data!BP164</f>
        <v>-408</v>
      </c>
      <c r="BQ81" s="285">
        <f>SUM(BM81:BP81)</f>
        <v>-735</v>
      </c>
      <c r="BR81" s="121">
        <f>Data!BR164</f>
        <v>224</v>
      </c>
      <c r="BS81" s="121">
        <f>Data!BS164</f>
        <v>53</v>
      </c>
      <c r="BT81" s="121">
        <f>Data!BT164</f>
        <v>-622</v>
      </c>
      <c r="BU81" s="121">
        <f>Data!BU164</f>
        <v>118</v>
      </c>
      <c r="BV81" s="120">
        <f>SUM(BR81:BU81)</f>
        <v>-227</v>
      </c>
      <c r="BW81" s="121">
        <f>Data!BW164</f>
        <v>151</v>
      </c>
      <c r="BX81" s="121">
        <f>Data!BX164</f>
        <v>5</v>
      </c>
      <c r="BY81" s="121">
        <f>Data!BY164</f>
        <v>131</v>
      </c>
      <c r="BZ81" s="121">
        <f>Data!BZ164</f>
        <v>255</v>
      </c>
      <c r="CA81" s="120">
        <f>SUM(BW81:BZ81)</f>
        <v>542</v>
      </c>
      <c r="CB81" s="121">
        <f>Data!CB164</f>
        <v>-59</v>
      </c>
      <c r="CC81" s="121">
        <f>Data!CC164</f>
        <v>37</v>
      </c>
      <c r="CD81" s="121">
        <f>Data!CD164</f>
        <v>-40</v>
      </c>
      <c r="CE81" s="121">
        <f>Data!CE164</f>
        <v>-32</v>
      </c>
      <c r="CF81" s="120">
        <f>SUM(CB81:CE81)</f>
        <v>-94</v>
      </c>
      <c r="CG81" s="121">
        <f>Data!CG164</f>
        <v>-201</v>
      </c>
      <c r="CH81" s="121">
        <f>Data!CH164</f>
        <v>-201</v>
      </c>
      <c r="CI81" s="121">
        <f>Data!CI164</f>
        <v>5</v>
      </c>
      <c r="CJ81" s="121">
        <f>Data!CJ164</f>
        <v>-198</v>
      </c>
      <c r="CK81" s="120">
        <f>SUM(CG81:CJ81)</f>
        <v>-595</v>
      </c>
      <c r="CL81" s="121">
        <f>Data!CL164</f>
        <v>-32</v>
      </c>
      <c r="CM81" s="121">
        <f>Data!CM164</f>
        <v>29</v>
      </c>
      <c r="CN81" s="121">
        <f>Data!CN164</f>
        <v>-70</v>
      </c>
      <c r="CO81" s="121">
        <f>Data!CO164</f>
        <v>8</v>
      </c>
      <c r="CP81" s="120">
        <f>SUM(CL81:CO81)</f>
        <v>-65</v>
      </c>
      <c r="CQ81" s="121">
        <f>Data!CQ164</f>
        <v>-46</v>
      </c>
      <c r="CR81" s="121">
        <f>Data!CR164</f>
        <v>-38</v>
      </c>
      <c r="CS81" s="121">
        <f>Data!CS164</f>
        <v>-90</v>
      </c>
      <c r="CT81" s="121">
        <f>Data!CT164</f>
        <v>-173</v>
      </c>
      <c r="CU81" s="120">
        <f>SUM(CQ81:CT81)</f>
        <v>-347</v>
      </c>
      <c r="CV81" s="121">
        <f>Data!CV164</f>
        <v>-13</v>
      </c>
      <c r="CW81" s="121">
        <f>Data!CW164</f>
        <v>-79</v>
      </c>
      <c r="CX81" s="121">
        <f>Data!CX164</f>
        <v>-98</v>
      </c>
      <c r="CY81" s="121">
        <f>Data!CY164</f>
        <v>-41</v>
      </c>
      <c r="CZ81" s="120">
        <f>SUM(CV81:CY81)</f>
        <v>-231</v>
      </c>
      <c r="DA81" s="121">
        <f>Data!DA164</f>
        <v>-42</v>
      </c>
      <c r="DB81" s="121">
        <f>Data!DB164</f>
        <v>-2</v>
      </c>
      <c r="DC81" s="121">
        <f>Data!DC164</f>
        <v>-65</v>
      </c>
      <c r="DD81" s="121">
        <f>Data!DD164</f>
        <v>-58</v>
      </c>
      <c r="DE81" s="120">
        <f>SUM(DA81:DD81)</f>
        <v>-167</v>
      </c>
      <c r="DF81" s="121">
        <f>Data!DF164</f>
        <v>-79</v>
      </c>
      <c r="DG81" s="121">
        <f>Data!DG164</f>
        <v>-47</v>
      </c>
      <c r="DH81" s="121">
        <f>Data!DH164</f>
        <v>-40</v>
      </c>
      <c r="DI81" s="121">
        <f>Data!DI164</f>
        <v>-50</v>
      </c>
      <c r="DJ81" s="120">
        <f>SUM(DF81:DI81)</f>
        <v>-216</v>
      </c>
      <c r="DK81" s="121">
        <f>Data!DK164</f>
        <v>-12</v>
      </c>
      <c r="DL81" s="121">
        <f>Data!DL164</f>
        <v>-23</v>
      </c>
      <c r="DM81" s="121">
        <f>Data!DM164</f>
        <v>-96</v>
      </c>
      <c r="DN81" s="121">
        <f>Data!DN164</f>
        <v>-57</v>
      </c>
      <c r="DO81" s="120">
        <f>SUM(DK81:DN81)</f>
        <v>-188</v>
      </c>
      <c r="DP81" s="121">
        <f>Data!DP164</f>
        <v>45</v>
      </c>
      <c r="DQ81" s="121">
        <f>Data!DQ164</f>
        <v>-18</v>
      </c>
      <c r="DR81" s="122">
        <v>-70</v>
      </c>
      <c r="DS81" s="122">
        <v>-80</v>
      </c>
      <c r="DT81" s="120">
        <f>SUM(DP81:DS81)</f>
        <v>-123</v>
      </c>
      <c r="DU81" s="122">
        <v>-19</v>
      </c>
      <c r="DV81" s="122">
        <v>-28</v>
      </c>
      <c r="DW81" s="122">
        <v>-71</v>
      </c>
      <c r="DX81" s="122">
        <v>-82</v>
      </c>
      <c r="DY81" s="120">
        <f>SUM(DU81:DX81)</f>
        <v>-200</v>
      </c>
      <c r="DZ81" s="123">
        <v>-205</v>
      </c>
      <c r="EA81" s="123">
        <v>-210</v>
      </c>
      <c r="EB81" s="123">
        <v>-215</v>
      </c>
    </row>
    <row r="82" spans="2:132" s="323" customFormat="1" ht="12" customHeight="1">
      <c r="B82" s="162" t="s">
        <v>188</v>
      </c>
      <c r="C82" s="181">
        <f t="shared" ref="C82:AH82" si="7">C81+C80+C79+C69+C36</f>
        <v>45800</v>
      </c>
      <c r="D82" s="181">
        <f t="shared" si="7"/>
        <v>56154</v>
      </c>
      <c r="E82" s="181">
        <f t="shared" si="7"/>
        <v>57993</v>
      </c>
      <c r="F82" s="181">
        <f t="shared" si="7"/>
        <v>51321</v>
      </c>
      <c r="G82" s="181">
        <f t="shared" si="7"/>
        <v>58198</v>
      </c>
      <c r="H82" s="181">
        <f t="shared" si="7"/>
        <v>54069</v>
      </c>
      <c r="I82" s="181">
        <f t="shared" si="7"/>
        <v>50485</v>
      </c>
      <c r="J82" s="162">
        <f t="shared" si="7"/>
        <v>12959</v>
      </c>
      <c r="K82" s="162">
        <f t="shared" si="7"/>
        <v>13088</v>
      </c>
      <c r="L82" s="162">
        <f t="shared" si="7"/>
        <v>13152</v>
      </c>
      <c r="M82" s="162">
        <f t="shared" si="7"/>
        <v>13258</v>
      </c>
      <c r="N82" s="181">
        <f t="shared" si="7"/>
        <v>52457</v>
      </c>
      <c r="O82" s="162">
        <f t="shared" si="7"/>
        <v>12987</v>
      </c>
      <c r="P82" s="162">
        <f t="shared" si="7"/>
        <v>15028</v>
      </c>
      <c r="Q82" s="162">
        <f t="shared" si="7"/>
        <v>12629</v>
      </c>
      <c r="R82" s="162">
        <f t="shared" si="7"/>
        <v>14201</v>
      </c>
      <c r="S82" s="181">
        <f t="shared" si="7"/>
        <v>54845</v>
      </c>
      <c r="T82" s="162">
        <f t="shared" si="7"/>
        <v>14264</v>
      </c>
      <c r="U82" s="162">
        <f t="shared" si="7"/>
        <v>14986</v>
      </c>
      <c r="V82" s="162">
        <f t="shared" si="7"/>
        <v>14739</v>
      </c>
      <c r="W82" s="162">
        <f t="shared" si="7"/>
        <v>17541</v>
      </c>
      <c r="X82" s="181">
        <f t="shared" si="7"/>
        <v>61530</v>
      </c>
      <c r="Y82" s="162">
        <f t="shared" si="7"/>
        <v>15365</v>
      </c>
      <c r="Z82" s="162">
        <f t="shared" si="7"/>
        <v>17028</v>
      </c>
      <c r="AA82" s="162">
        <f t="shared" si="7"/>
        <v>16517</v>
      </c>
      <c r="AB82" s="162">
        <f t="shared" si="7"/>
        <v>17477</v>
      </c>
      <c r="AC82" s="181">
        <f t="shared" si="7"/>
        <v>66387</v>
      </c>
      <c r="AD82" s="162">
        <f t="shared" si="7"/>
        <v>15990</v>
      </c>
      <c r="AE82" s="162">
        <f t="shared" si="7"/>
        <v>16962</v>
      </c>
      <c r="AF82" s="162">
        <f t="shared" si="7"/>
        <v>15293</v>
      </c>
      <c r="AG82" s="162">
        <f t="shared" si="7"/>
        <v>12674</v>
      </c>
      <c r="AH82" s="181">
        <f t="shared" si="7"/>
        <v>60919</v>
      </c>
      <c r="AI82" s="162">
        <f t="shared" ref="AI82:BN82" si="8">AI81+AI80+AI79+AI69+AI36</f>
        <v>16502</v>
      </c>
      <c r="AJ82" s="162">
        <f t="shared" si="8"/>
        <v>17154</v>
      </c>
      <c r="AK82" s="162">
        <f t="shared" si="8"/>
        <v>16688</v>
      </c>
      <c r="AL82" s="162">
        <f t="shared" si="8"/>
        <v>17937</v>
      </c>
      <c r="AM82" s="181">
        <f t="shared" si="8"/>
        <v>68281</v>
      </c>
      <c r="AN82" s="162">
        <f t="shared" si="8"/>
        <v>15216</v>
      </c>
      <c r="AO82" s="162">
        <f t="shared" si="8"/>
        <v>15573</v>
      </c>
      <c r="AP82" s="162">
        <f t="shared" si="8"/>
        <v>16967</v>
      </c>
      <c r="AQ82" s="162">
        <f t="shared" si="8"/>
        <v>16550</v>
      </c>
      <c r="AR82" s="181">
        <f t="shared" si="8"/>
        <v>64306</v>
      </c>
      <c r="AS82" s="162">
        <f t="shared" si="8"/>
        <v>14910</v>
      </c>
      <c r="AT82" s="162">
        <f t="shared" si="8"/>
        <v>16543</v>
      </c>
      <c r="AU82" s="162">
        <f t="shared" si="8"/>
        <v>17727</v>
      </c>
      <c r="AV82" s="162">
        <f t="shared" si="8"/>
        <v>19555</v>
      </c>
      <c r="AW82" s="181">
        <f t="shared" si="8"/>
        <v>68735</v>
      </c>
      <c r="AX82" s="162">
        <f t="shared" si="8"/>
        <v>19383</v>
      </c>
      <c r="AY82" s="162">
        <f t="shared" si="8"/>
        <v>20005</v>
      </c>
      <c r="AZ82" s="162">
        <f t="shared" si="8"/>
        <v>20008</v>
      </c>
      <c r="BA82" s="162">
        <f t="shared" si="8"/>
        <v>22302</v>
      </c>
      <c r="BB82" s="181">
        <f t="shared" si="8"/>
        <v>81698</v>
      </c>
      <c r="BC82" s="162">
        <f t="shared" si="8"/>
        <v>18893</v>
      </c>
      <c r="BD82" s="162">
        <f t="shared" si="8"/>
        <v>21815</v>
      </c>
      <c r="BE82" s="162">
        <f t="shared" si="8"/>
        <v>22130</v>
      </c>
      <c r="BF82" s="162">
        <f t="shared" si="8"/>
        <v>23785.3</v>
      </c>
      <c r="BG82" s="181">
        <f t="shared" si="8"/>
        <v>86623.3</v>
      </c>
      <c r="BH82" s="162">
        <f t="shared" si="8"/>
        <v>20465</v>
      </c>
      <c r="BI82" s="162">
        <f t="shared" si="8"/>
        <v>22045</v>
      </c>
      <c r="BJ82" s="162">
        <f t="shared" si="8"/>
        <v>23784</v>
      </c>
      <c r="BK82" s="162">
        <f t="shared" si="8"/>
        <v>24468</v>
      </c>
      <c r="BL82" s="181">
        <f t="shared" si="8"/>
        <v>90762</v>
      </c>
      <c r="BM82" s="162">
        <f t="shared" si="8"/>
        <v>22149</v>
      </c>
      <c r="BN82" s="162">
        <f t="shared" si="8"/>
        <v>24543</v>
      </c>
      <c r="BO82" s="162">
        <f t="shared" ref="BO82:BQ82" si="9">BO81+BO80+BO79+BO69+BO36</f>
        <v>25849</v>
      </c>
      <c r="BP82" s="162">
        <f t="shared" si="9"/>
        <v>23573</v>
      </c>
      <c r="BQ82" s="181">
        <f t="shared" si="9"/>
        <v>96114</v>
      </c>
      <c r="BR82" s="162">
        <f t="shared" ref="BR82:BY82" si="10">BR81+BR80+BR79+BR69+BR36+BR74</f>
        <v>22632</v>
      </c>
      <c r="BS82" s="162">
        <f t="shared" si="10"/>
        <v>24755</v>
      </c>
      <c r="BT82" s="162">
        <f t="shared" si="10"/>
        <v>23898</v>
      </c>
      <c r="BU82" s="162">
        <f t="shared" si="10"/>
        <v>23286</v>
      </c>
      <c r="BV82" s="181">
        <f t="shared" si="10"/>
        <v>94571</v>
      </c>
      <c r="BW82" s="162">
        <f t="shared" si="10"/>
        <v>21961</v>
      </c>
      <c r="BX82" s="162">
        <f t="shared" si="10"/>
        <v>23051</v>
      </c>
      <c r="BY82" s="162">
        <f t="shared" si="10"/>
        <v>24223</v>
      </c>
      <c r="BZ82" s="162">
        <f t="shared" ref="BZ82:DE82" si="11">BZ81+BZ80+BZ79+BZ74+BZ69+BZ36</f>
        <v>24770</v>
      </c>
      <c r="CA82" s="181">
        <f t="shared" si="11"/>
        <v>94005</v>
      </c>
      <c r="CB82" s="162">
        <f t="shared" si="11"/>
        <v>23382</v>
      </c>
      <c r="CC82" s="162">
        <f t="shared" si="11"/>
        <v>24258</v>
      </c>
      <c r="CD82" s="162">
        <f t="shared" si="11"/>
        <v>25146</v>
      </c>
      <c r="CE82" s="162">
        <f t="shared" si="11"/>
        <v>28341</v>
      </c>
      <c r="CF82" s="181">
        <f t="shared" si="11"/>
        <v>101127</v>
      </c>
      <c r="CG82" s="162">
        <f t="shared" si="11"/>
        <v>22917</v>
      </c>
      <c r="CH82" s="162">
        <f t="shared" si="11"/>
        <v>15751</v>
      </c>
      <c r="CI82" s="162">
        <f t="shared" si="11"/>
        <v>19980</v>
      </c>
      <c r="CJ82" s="162">
        <f t="shared" si="11"/>
        <v>17911</v>
      </c>
      <c r="CK82" s="181">
        <f t="shared" si="11"/>
        <v>76559</v>
      </c>
      <c r="CL82" s="162">
        <f t="shared" si="11"/>
        <v>16908</v>
      </c>
      <c r="CM82" s="162">
        <f t="shared" si="11"/>
        <v>11807</v>
      </c>
      <c r="CN82" s="162">
        <f t="shared" si="11"/>
        <v>14139</v>
      </c>
      <c r="CO82" s="162">
        <f t="shared" si="11"/>
        <v>15304</v>
      </c>
      <c r="CP82" s="181">
        <f t="shared" si="11"/>
        <v>58158</v>
      </c>
      <c r="CQ82" s="162">
        <f t="shared" si="11"/>
        <v>15217</v>
      </c>
      <c r="CR82" s="162">
        <f t="shared" si="11"/>
        <v>16998</v>
      </c>
      <c r="CS82" s="162">
        <f t="shared" si="11"/>
        <v>15278</v>
      </c>
      <c r="CT82" s="162">
        <f t="shared" si="11"/>
        <v>14793</v>
      </c>
      <c r="CU82" s="181">
        <f t="shared" si="11"/>
        <v>62286</v>
      </c>
      <c r="CV82" s="162">
        <f t="shared" si="11"/>
        <v>13991</v>
      </c>
      <c r="CW82" s="162">
        <f t="shared" si="11"/>
        <v>16681</v>
      </c>
      <c r="CX82" s="162">
        <f t="shared" si="11"/>
        <v>15956</v>
      </c>
      <c r="CY82" s="162">
        <f t="shared" si="11"/>
        <v>19980</v>
      </c>
      <c r="CZ82" s="181">
        <f t="shared" si="11"/>
        <v>66608</v>
      </c>
      <c r="DA82" s="162">
        <f t="shared" si="11"/>
        <v>17921</v>
      </c>
      <c r="DB82" s="162">
        <f t="shared" si="11"/>
        <v>19751</v>
      </c>
      <c r="DC82" s="162">
        <f t="shared" si="11"/>
        <v>18104</v>
      </c>
      <c r="DD82" s="162">
        <f t="shared" si="11"/>
        <v>22018</v>
      </c>
      <c r="DE82" s="181">
        <f t="shared" si="11"/>
        <v>77794</v>
      </c>
      <c r="DF82" s="162">
        <f t="shared" ref="DF82:EB82" si="12">DF81+DF80+DF79+DF74+DF69+DF36</f>
        <v>16569</v>
      </c>
      <c r="DG82" s="162">
        <f t="shared" si="12"/>
        <v>16866</v>
      </c>
      <c r="DH82" s="162">
        <f t="shared" si="12"/>
        <v>17840</v>
      </c>
      <c r="DI82" s="162">
        <f t="shared" si="12"/>
        <v>15242</v>
      </c>
      <c r="DJ82" s="181">
        <f t="shared" si="12"/>
        <v>66517</v>
      </c>
      <c r="DK82" s="162">
        <f t="shared" si="12"/>
        <v>19496</v>
      </c>
      <c r="DL82" s="162">
        <f t="shared" si="12"/>
        <v>22749</v>
      </c>
      <c r="DM82" s="162">
        <f t="shared" si="12"/>
        <v>23270</v>
      </c>
      <c r="DN82" s="162">
        <f t="shared" si="12"/>
        <v>23948</v>
      </c>
      <c r="DO82" s="181">
        <f t="shared" si="12"/>
        <v>89463</v>
      </c>
      <c r="DP82" s="162">
        <f t="shared" si="12"/>
        <v>22217</v>
      </c>
      <c r="DQ82" s="162">
        <f t="shared" si="12"/>
        <v>24560</v>
      </c>
      <c r="DR82" s="162">
        <f t="shared" si="12"/>
        <v>24298.455822942404</v>
      </c>
      <c r="DS82" s="162">
        <f t="shared" si="12"/>
        <v>26094.279464159812</v>
      </c>
      <c r="DT82" s="181">
        <f t="shared" si="12"/>
        <v>97169.735287102201</v>
      </c>
      <c r="DU82" s="162">
        <f t="shared" si="12"/>
        <v>25715.603718567349</v>
      </c>
      <c r="DV82" s="162">
        <f t="shared" si="12"/>
        <v>27668.805475266796</v>
      </c>
      <c r="DW82" s="162">
        <f t="shared" si="12"/>
        <v>29222.544286205855</v>
      </c>
      <c r="DX82" s="162">
        <f t="shared" si="12"/>
        <v>31739.694260712473</v>
      </c>
      <c r="DY82" s="181">
        <f t="shared" si="12"/>
        <v>114346.64774075248</v>
      </c>
      <c r="DZ82" s="181">
        <f t="shared" si="12"/>
        <v>125945.8330504703</v>
      </c>
      <c r="EA82" s="181">
        <f t="shared" si="12"/>
        <v>138890.37178790278</v>
      </c>
      <c r="EB82" s="181">
        <f t="shared" si="12"/>
        <v>147269.194332655</v>
      </c>
    </row>
    <row r="83" spans="2:132" s="323" customFormat="1" ht="12" hidden="1" customHeight="1">
      <c r="B83" s="414" t="s">
        <v>367</v>
      </c>
      <c r="C83" s="8">
        <v>0</v>
      </c>
      <c r="D83" s="8">
        <v>0</v>
      </c>
      <c r="E83" s="8">
        <v>0</v>
      </c>
      <c r="F83" s="8">
        <v>0</v>
      </c>
      <c r="G83" s="8">
        <v>0</v>
      </c>
      <c r="H83" s="8">
        <v>0</v>
      </c>
      <c r="I83" s="8">
        <v>0</v>
      </c>
      <c r="J83" s="7">
        <v>0</v>
      </c>
      <c r="K83" s="7">
        <v>0</v>
      </c>
      <c r="L83" s="7">
        <v>0</v>
      </c>
      <c r="M83" s="7">
        <v>0</v>
      </c>
      <c r="N83" s="8">
        <f>SUM(J83:M83)</f>
        <v>0</v>
      </c>
      <c r="O83" s="7">
        <v>0</v>
      </c>
      <c r="P83" s="7">
        <v>0</v>
      </c>
      <c r="Q83" s="7">
        <v>1500</v>
      </c>
      <c r="R83" s="7">
        <v>700</v>
      </c>
      <c r="S83" s="8">
        <f>SUM(O83:R83)</f>
        <v>2200</v>
      </c>
      <c r="T83" s="7">
        <v>0</v>
      </c>
      <c r="U83" s="7">
        <v>0</v>
      </c>
      <c r="V83" s="7">
        <v>0</v>
      </c>
      <c r="W83" s="7">
        <v>0</v>
      </c>
      <c r="X83" s="8">
        <f>SUM(T83:W83)</f>
        <v>0</v>
      </c>
      <c r="Y83" s="7">
        <v>0</v>
      </c>
      <c r="Z83" s="7">
        <v>0</v>
      </c>
      <c r="AA83" s="7">
        <v>0</v>
      </c>
      <c r="AB83" s="7">
        <v>0</v>
      </c>
      <c r="AC83" s="8">
        <f>SUM(Y83:AB83)</f>
        <v>0</v>
      </c>
      <c r="AD83" s="7">
        <v>0</v>
      </c>
      <c r="AE83" s="7">
        <v>0</v>
      </c>
      <c r="AF83" s="7">
        <v>2000</v>
      </c>
      <c r="AG83" s="7">
        <v>4300</v>
      </c>
      <c r="AH83" s="8">
        <f>SUM(AD83:AG83)</f>
        <v>6300</v>
      </c>
      <c r="AI83" s="7">
        <v>0</v>
      </c>
      <c r="AJ83" s="7">
        <v>0</v>
      </c>
      <c r="AK83" s="7">
        <v>0</v>
      </c>
      <c r="AL83" s="7">
        <v>0</v>
      </c>
      <c r="AM83" s="8"/>
      <c r="AN83" s="7"/>
      <c r="AO83" s="7"/>
      <c r="AP83" s="7"/>
      <c r="AQ83" s="7"/>
      <c r="AR83" s="8"/>
      <c r="AS83" s="7"/>
      <c r="AT83" s="7"/>
      <c r="AU83" s="7"/>
      <c r="AV83" s="7"/>
      <c r="AW83" s="8"/>
      <c r="AX83" s="7"/>
      <c r="AY83" s="7"/>
      <c r="AZ83" s="7"/>
      <c r="BA83" s="7"/>
      <c r="BB83" s="8"/>
      <c r="BC83" s="7"/>
      <c r="BD83" s="7"/>
      <c r="BE83" s="7"/>
      <c r="BF83" s="7"/>
      <c r="BG83" s="8"/>
      <c r="BH83" s="644"/>
      <c r="BI83" s="644"/>
      <c r="BJ83" s="644"/>
      <c r="BK83" s="644"/>
      <c r="BL83" s="645"/>
      <c r="BM83" s="644"/>
      <c r="BN83" s="644"/>
      <c r="BO83" s="644"/>
      <c r="BP83" s="644"/>
      <c r="BQ83" s="645"/>
      <c r="BR83" s="644"/>
      <c r="BS83" s="644"/>
      <c r="BT83" s="644"/>
      <c r="BU83" s="644"/>
      <c r="BV83" s="645"/>
      <c r="BW83" s="644"/>
      <c r="BX83" s="644"/>
      <c r="BY83" s="644"/>
      <c r="BZ83" s="644"/>
      <c r="CA83" s="645"/>
      <c r="CB83" s="644"/>
      <c r="CC83" s="644"/>
      <c r="CD83" s="644"/>
      <c r="CE83" s="644"/>
      <c r="CF83" s="645"/>
      <c r="CG83" s="644"/>
      <c r="CH83" s="644"/>
      <c r="CI83" s="644"/>
      <c r="CJ83" s="644"/>
      <c r="CK83" s="645"/>
      <c r="CL83" s="644"/>
      <c r="CM83" s="644"/>
      <c r="CN83" s="644"/>
      <c r="CO83" s="644"/>
      <c r="CP83" s="645"/>
      <c r="CQ83" s="644"/>
      <c r="CR83" s="644"/>
      <c r="CS83" s="644"/>
      <c r="CT83" s="644"/>
      <c r="CU83" s="645"/>
      <c r="CV83" s="644"/>
      <c r="CW83" s="644"/>
      <c r="CX83" s="644"/>
      <c r="CY83" s="644"/>
      <c r="CZ83" s="645"/>
      <c r="DA83" s="644"/>
      <c r="DB83" s="644"/>
      <c r="DC83" s="644"/>
      <c r="DD83" s="644"/>
      <c r="DE83" s="645"/>
      <c r="DF83" s="644"/>
      <c r="DG83" s="644"/>
      <c r="DH83" s="644"/>
      <c r="DI83" s="644"/>
      <c r="DJ83" s="645"/>
      <c r="DK83" s="644"/>
      <c r="DL83" s="644"/>
      <c r="DM83" s="644"/>
      <c r="DN83" s="644"/>
      <c r="DO83" s="645"/>
      <c r="DP83" s="644"/>
      <c r="DQ83" s="644"/>
      <c r="DR83" s="644"/>
      <c r="DS83" s="644"/>
      <c r="DT83" s="645"/>
      <c r="DU83" s="644"/>
      <c r="DV83" s="644"/>
      <c r="DW83" s="644"/>
      <c r="DX83" s="644"/>
      <c r="DY83" s="645"/>
      <c r="DZ83" s="645"/>
      <c r="EA83" s="645"/>
      <c r="EB83" s="645"/>
    </row>
    <row r="84" spans="2:132" s="420" customFormat="1" ht="12" hidden="1" customHeight="1">
      <c r="B84" s="414" t="s">
        <v>366</v>
      </c>
      <c r="C84" s="418">
        <f t="shared" ref="C84:AL84" si="13">C36+C83</f>
        <v>26929</v>
      </c>
      <c r="D84" s="418">
        <f t="shared" si="13"/>
        <v>35545</v>
      </c>
      <c r="E84" s="418">
        <f t="shared" si="13"/>
        <v>38409</v>
      </c>
      <c r="F84" s="418">
        <f t="shared" si="13"/>
        <v>31171</v>
      </c>
      <c r="G84" s="418">
        <f t="shared" si="13"/>
        <v>35056</v>
      </c>
      <c r="H84" s="418">
        <f t="shared" si="13"/>
        <v>28387</v>
      </c>
      <c r="I84" s="418">
        <f t="shared" si="13"/>
        <v>22408</v>
      </c>
      <c r="J84" s="419">
        <f t="shared" si="13"/>
        <v>5330</v>
      </c>
      <c r="K84" s="419">
        <f t="shared" si="13"/>
        <v>5671</v>
      </c>
      <c r="L84" s="419">
        <f t="shared" si="13"/>
        <v>4638</v>
      </c>
      <c r="M84" s="419">
        <f t="shared" si="13"/>
        <v>5398</v>
      </c>
      <c r="N84" s="415">
        <f t="shared" si="13"/>
        <v>21037</v>
      </c>
      <c r="O84" s="419">
        <f t="shared" si="13"/>
        <v>5076</v>
      </c>
      <c r="P84" s="419">
        <f t="shared" si="13"/>
        <v>6806</v>
      </c>
      <c r="Q84" s="419">
        <f t="shared" si="13"/>
        <v>6413</v>
      </c>
      <c r="R84" s="419">
        <f t="shared" si="13"/>
        <v>6556</v>
      </c>
      <c r="S84" s="415">
        <f t="shared" si="13"/>
        <v>24851</v>
      </c>
      <c r="T84" s="419">
        <f t="shared" si="13"/>
        <v>7053</v>
      </c>
      <c r="U84" s="419">
        <f t="shared" si="13"/>
        <v>7113</v>
      </c>
      <c r="V84" s="419">
        <f t="shared" si="13"/>
        <v>6693</v>
      </c>
      <c r="W84" s="419">
        <f t="shared" si="13"/>
        <v>7606</v>
      </c>
      <c r="X84" s="415">
        <f t="shared" si="13"/>
        <v>28465</v>
      </c>
      <c r="Y84" s="419">
        <f t="shared" si="13"/>
        <v>7555</v>
      </c>
      <c r="Z84" s="419">
        <f t="shared" si="13"/>
        <v>8707</v>
      </c>
      <c r="AA84" s="419">
        <f t="shared" si="13"/>
        <v>8258</v>
      </c>
      <c r="AB84" s="419">
        <f t="shared" si="13"/>
        <v>8866</v>
      </c>
      <c r="AC84" s="415">
        <f t="shared" si="13"/>
        <v>33386</v>
      </c>
      <c r="AD84" s="419">
        <f t="shared" si="13"/>
        <v>8161</v>
      </c>
      <c r="AE84" s="419">
        <f t="shared" si="13"/>
        <v>8567</v>
      </c>
      <c r="AF84" s="419">
        <f t="shared" si="13"/>
        <v>8946</v>
      </c>
      <c r="AG84" s="419">
        <f t="shared" si="13"/>
        <v>8889</v>
      </c>
      <c r="AH84" s="415">
        <f t="shared" si="13"/>
        <v>34563</v>
      </c>
      <c r="AI84" s="419">
        <f t="shared" si="13"/>
        <v>8554</v>
      </c>
      <c r="AJ84" s="419">
        <f t="shared" si="13"/>
        <v>8431</v>
      </c>
      <c r="AK84" s="419">
        <f t="shared" si="13"/>
        <v>7883</v>
      </c>
      <c r="AL84" s="419">
        <f t="shared" si="13"/>
        <v>9183</v>
      </c>
      <c r="AM84" s="415"/>
      <c r="AN84" s="419"/>
      <c r="AO84" s="419"/>
      <c r="AP84" s="419"/>
      <c r="AQ84" s="419"/>
      <c r="AR84" s="415"/>
      <c r="AS84" s="419"/>
      <c r="AT84" s="419"/>
      <c r="AU84" s="419"/>
      <c r="AV84" s="419"/>
      <c r="AW84" s="415"/>
      <c r="AX84" s="419"/>
      <c r="AY84" s="419"/>
      <c r="AZ84" s="419"/>
      <c r="BA84" s="419"/>
      <c r="BB84" s="418"/>
      <c r="BC84" s="419"/>
      <c r="BD84" s="419"/>
      <c r="BE84" s="419"/>
      <c r="BF84" s="419"/>
      <c r="BG84" s="418"/>
      <c r="BH84" s="607"/>
      <c r="BI84" s="607"/>
      <c r="BJ84" s="607"/>
      <c r="BK84" s="607"/>
      <c r="BL84" s="608"/>
      <c r="BM84" s="607"/>
      <c r="BN84" s="607"/>
      <c r="BO84" s="607"/>
      <c r="BP84" s="607"/>
      <c r="BQ84" s="608"/>
      <c r="BR84" s="607"/>
      <c r="BS84" s="607"/>
      <c r="BT84" s="607"/>
      <c r="BU84" s="607"/>
      <c r="BV84" s="608"/>
      <c r="BW84" s="607"/>
      <c r="BX84" s="607"/>
      <c r="BY84" s="607"/>
      <c r="BZ84" s="607"/>
      <c r="CA84" s="608"/>
      <c r="CB84" s="607"/>
      <c r="CC84" s="607"/>
      <c r="CD84" s="607"/>
      <c r="CE84" s="607"/>
      <c r="CF84" s="608"/>
      <c r="CG84" s="607"/>
      <c r="CH84" s="607"/>
      <c r="CI84" s="607"/>
      <c r="CJ84" s="607"/>
      <c r="CK84" s="608"/>
      <c r="CL84" s="607"/>
      <c r="CM84" s="607"/>
      <c r="CN84" s="607"/>
      <c r="CO84" s="607"/>
      <c r="CP84" s="608"/>
      <c r="CQ84" s="607"/>
      <c r="CR84" s="607"/>
      <c r="CS84" s="607"/>
      <c r="CT84" s="607"/>
      <c r="CU84" s="608"/>
      <c r="CV84" s="607"/>
      <c r="CW84" s="607"/>
      <c r="CX84" s="607"/>
      <c r="CY84" s="607"/>
      <c r="CZ84" s="608"/>
      <c r="DA84" s="607"/>
      <c r="DB84" s="607"/>
      <c r="DC84" s="607"/>
      <c r="DD84" s="607"/>
      <c r="DE84" s="608"/>
      <c r="DF84" s="607"/>
      <c r="DG84" s="607"/>
      <c r="DH84" s="607"/>
      <c r="DI84" s="607"/>
      <c r="DJ84" s="608"/>
      <c r="DK84" s="607"/>
      <c r="DL84" s="607"/>
      <c r="DM84" s="607"/>
      <c r="DN84" s="607"/>
      <c r="DO84" s="608"/>
      <c r="DP84" s="607"/>
      <c r="DQ84" s="607"/>
      <c r="DR84" s="607"/>
      <c r="DS84" s="607"/>
      <c r="DT84" s="608"/>
      <c r="DU84" s="607"/>
      <c r="DV84" s="607"/>
      <c r="DW84" s="607"/>
      <c r="DX84" s="607"/>
      <c r="DY84" s="608"/>
      <c r="DZ84" s="608"/>
      <c r="EA84" s="608"/>
      <c r="EB84" s="608"/>
    </row>
    <row r="85" spans="2:132" s="241" customFormat="1" ht="12" hidden="1" customHeight="1" outlineLevel="1">
      <c r="C85" s="285"/>
      <c r="D85" s="285"/>
      <c r="E85" s="285"/>
      <c r="F85" s="285"/>
      <c r="G85" s="285"/>
      <c r="H85" s="285"/>
      <c r="I85" s="285"/>
      <c r="N85" s="285"/>
      <c r="S85" s="285"/>
      <c r="X85" s="285"/>
      <c r="AC85" s="285"/>
      <c r="AH85" s="285"/>
      <c r="AM85" s="285" t="str">
        <f>IF((AM82=SUM(AI82:AL82)),(IF((AM82=(SUM(AM79:AM81)+AM69+AM36)),"","check")),"check")</f>
        <v/>
      </c>
      <c r="AR85" s="285" t="str">
        <f>IF((AR82=SUM(AN82:AQ82)),(IF((AR82=(SUM(AR79:AR81)+AR69+AR36)),"","check")),"check")</f>
        <v/>
      </c>
      <c r="AW85" s="285" t="str">
        <f>IF((AW82=SUM(AS82:AV82)),(IF((AW82=(SUM(AW79:AW81)+AW69+AW36)),"","check")),"check")</f>
        <v/>
      </c>
      <c r="BB85" s="285"/>
      <c r="BG85" s="285"/>
      <c r="BH85" s="121"/>
      <c r="BI85" s="121"/>
      <c r="BJ85" s="121"/>
      <c r="BK85" s="121"/>
      <c r="BL85" s="120"/>
      <c r="BM85" s="121"/>
      <c r="BN85" s="121"/>
      <c r="BO85" s="121"/>
      <c r="BP85" s="121"/>
      <c r="BQ85" s="120"/>
      <c r="BR85" s="121"/>
      <c r="BS85" s="121"/>
      <c r="BT85" s="121"/>
      <c r="BU85" s="121"/>
      <c r="BV85" s="120"/>
      <c r="BW85" s="121"/>
      <c r="BX85" s="121"/>
      <c r="BY85" s="121"/>
      <c r="BZ85" s="121"/>
      <c r="CA85" s="120"/>
      <c r="CB85" s="121"/>
      <c r="CC85" s="121"/>
      <c r="CD85" s="121"/>
      <c r="CE85" s="121"/>
      <c r="CF85" s="120"/>
      <c r="CG85" s="121"/>
      <c r="CH85" s="121"/>
      <c r="CI85" s="121"/>
      <c r="CJ85" s="121"/>
      <c r="CK85" s="120"/>
      <c r="CL85" s="121"/>
      <c r="CM85" s="121"/>
      <c r="CN85" s="121"/>
      <c r="CO85" s="121"/>
      <c r="CP85" s="120"/>
      <c r="CQ85" s="121"/>
      <c r="CR85" s="121"/>
      <c r="CS85" s="121"/>
      <c r="CT85" s="121"/>
      <c r="CU85" s="120"/>
      <c r="CV85" s="121"/>
      <c r="CW85" s="121"/>
      <c r="CX85" s="121"/>
      <c r="CY85" s="121"/>
      <c r="CZ85" s="120"/>
      <c r="DA85" s="121"/>
      <c r="DB85" s="121"/>
      <c r="DC85" s="121"/>
      <c r="DD85" s="121"/>
      <c r="DE85" s="120"/>
      <c r="DF85" s="121"/>
      <c r="DG85" s="121"/>
      <c r="DH85" s="121"/>
      <c r="DI85" s="121"/>
      <c r="DJ85" s="120"/>
      <c r="DK85" s="121"/>
      <c r="DL85" s="121"/>
      <c r="DM85" s="121"/>
      <c r="DN85" s="121"/>
      <c r="DO85" s="120"/>
      <c r="DP85" s="121"/>
      <c r="DQ85" s="121"/>
      <c r="DR85" s="121"/>
      <c r="DS85" s="121"/>
      <c r="DT85" s="120"/>
      <c r="DU85" s="121"/>
      <c r="DV85" s="121"/>
      <c r="DW85" s="121"/>
      <c r="DX85" s="121"/>
      <c r="DY85" s="120"/>
      <c r="DZ85" s="120"/>
      <c r="EA85" s="120"/>
      <c r="EB85" s="120"/>
    </row>
    <row r="86" spans="2:132" s="241" customFormat="1" ht="12" hidden="1" customHeight="1" outlineLevel="1">
      <c r="B86" s="74" t="s">
        <v>178</v>
      </c>
      <c r="C86" s="285"/>
      <c r="D86" s="285"/>
      <c r="E86" s="285"/>
      <c r="F86" s="285"/>
      <c r="G86" s="285"/>
      <c r="H86" s="285"/>
      <c r="I86" s="285"/>
      <c r="N86" s="285"/>
      <c r="S86" s="285"/>
      <c r="X86" s="285"/>
      <c r="AC86" s="285"/>
      <c r="AH86" s="285"/>
      <c r="AM86" s="285"/>
      <c r="AR86" s="285"/>
      <c r="AW86" s="285"/>
      <c r="BB86" s="285"/>
      <c r="BG86" s="285"/>
      <c r="BH86" s="121"/>
      <c r="BI86" s="121"/>
      <c r="BJ86" s="121"/>
      <c r="BK86" s="121"/>
      <c r="BL86" s="120"/>
      <c r="BM86" s="121"/>
      <c r="BN86" s="121"/>
      <c r="BO86" s="121"/>
      <c r="BP86" s="121"/>
      <c r="BQ86" s="120"/>
      <c r="BR86" s="121"/>
      <c r="BS86" s="121"/>
      <c r="BT86" s="121"/>
      <c r="BU86" s="121"/>
      <c r="BV86" s="120"/>
      <c r="BW86" s="121"/>
      <c r="BX86" s="121"/>
      <c r="BY86" s="121"/>
      <c r="BZ86" s="121"/>
      <c r="CA86" s="120"/>
      <c r="CB86" s="121"/>
      <c r="CC86" s="121"/>
      <c r="CD86" s="121"/>
      <c r="CE86" s="121"/>
      <c r="CF86" s="120"/>
      <c r="CG86" s="121"/>
      <c r="CH86" s="121"/>
      <c r="CI86" s="121"/>
      <c r="CJ86" s="121"/>
      <c r="CK86" s="120"/>
      <c r="CL86" s="121"/>
      <c r="CM86" s="121"/>
      <c r="CN86" s="121"/>
      <c r="CO86" s="121"/>
      <c r="CP86" s="120"/>
      <c r="CQ86" s="121"/>
      <c r="CR86" s="121"/>
      <c r="CS86" s="121"/>
      <c r="CT86" s="121"/>
      <c r="CU86" s="120"/>
      <c r="CV86" s="121"/>
      <c r="CW86" s="121"/>
      <c r="CX86" s="121"/>
      <c r="CY86" s="121"/>
      <c r="CZ86" s="120"/>
      <c r="DA86" s="121"/>
      <c r="DB86" s="121"/>
      <c r="DC86" s="121"/>
      <c r="DD86" s="121"/>
      <c r="DE86" s="120"/>
      <c r="DF86" s="121"/>
      <c r="DG86" s="121"/>
      <c r="DH86" s="121"/>
      <c r="DI86" s="121"/>
      <c r="DJ86" s="120"/>
      <c r="DK86" s="121"/>
      <c r="DL86" s="121"/>
      <c r="DM86" s="121"/>
      <c r="DN86" s="121"/>
      <c r="DO86" s="120"/>
      <c r="DP86" s="121"/>
      <c r="DQ86" s="121"/>
      <c r="DR86" s="121"/>
      <c r="DS86" s="121"/>
      <c r="DT86" s="120"/>
      <c r="DU86" s="121"/>
      <c r="DV86" s="121"/>
      <c r="DW86" s="121"/>
      <c r="DX86" s="121"/>
      <c r="DY86" s="120"/>
      <c r="DZ86" s="120"/>
      <c r="EA86" s="120"/>
      <c r="EB86" s="120"/>
    </row>
    <row r="87" spans="2:132" s="241" customFormat="1" ht="12" hidden="1" customHeight="1" outlineLevel="1">
      <c r="B87" s="241" t="s">
        <v>105</v>
      </c>
      <c r="C87" s="285">
        <f t="shared" ref="C87:AH87" si="14">SUM(C10:C27)</f>
        <v>5625</v>
      </c>
      <c r="D87" s="285">
        <f t="shared" si="14"/>
        <v>7888.75</v>
      </c>
      <c r="E87" s="285">
        <f t="shared" si="14"/>
        <v>2.5</v>
      </c>
      <c r="F87" s="285">
        <f t="shared" si="14"/>
        <v>92.7</v>
      </c>
      <c r="G87" s="285">
        <f t="shared" si="14"/>
        <v>381.68333333333334</v>
      </c>
      <c r="H87" s="285">
        <f t="shared" si="14"/>
        <v>21.5</v>
      </c>
      <c r="I87" s="285">
        <f t="shared" si="14"/>
        <v>66.666666666666671</v>
      </c>
      <c r="J87" s="241">
        <f t="shared" si="14"/>
        <v>0</v>
      </c>
      <c r="K87" s="241">
        <f t="shared" si="14"/>
        <v>0</v>
      </c>
      <c r="L87" s="241">
        <f t="shared" si="14"/>
        <v>0</v>
      </c>
      <c r="M87" s="241">
        <f t="shared" si="14"/>
        <v>0</v>
      </c>
      <c r="N87" s="285">
        <f t="shared" si="14"/>
        <v>0</v>
      </c>
      <c r="O87" s="241">
        <f t="shared" si="14"/>
        <v>0</v>
      </c>
      <c r="P87" s="241">
        <f t="shared" si="14"/>
        <v>0</v>
      </c>
      <c r="Q87" s="241">
        <f t="shared" si="14"/>
        <v>0</v>
      </c>
      <c r="R87" s="241">
        <f t="shared" si="14"/>
        <v>0</v>
      </c>
      <c r="S87" s="285">
        <f t="shared" si="14"/>
        <v>0</v>
      </c>
      <c r="T87" s="241">
        <f t="shared" si="14"/>
        <v>0</v>
      </c>
      <c r="U87" s="241">
        <f t="shared" si="14"/>
        <v>0</v>
      </c>
      <c r="V87" s="241">
        <f t="shared" si="14"/>
        <v>8.3000000000000007</v>
      </c>
      <c r="W87" s="241">
        <f t="shared" si="14"/>
        <v>350.8</v>
      </c>
      <c r="X87" s="285">
        <f t="shared" si="14"/>
        <v>359.1</v>
      </c>
      <c r="Y87" s="241">
        <f t="shared" si="14"/>
        <v>350.8</v>
      </c>
      <c r="Z87" s="241">
        <f t="shared" si="14"/>
        <v>357.31025641025644</v>
      </c>
      <c r="AA87" s="241">
        <f t="shared" si="14"/>
        <v>349.27692307692308</v>
      </c>
      <c r="AB87" s="241">
        <f t="shared" si="14"/>
        <v>6.7769230769230768</v>
      </c>
      <c r="AC87" s="285">
        <f t="shared" si="14"/>
        <v>1064.1641025641024</v>
      </c>
      <c r="AD87" s="241">
        <f t="shared" si="14"/>
        <v>6.7769230769230768</v>
      </c>
      <c r="AE87" s="241">
        <f t="shared" si="14"/>
        <v>2.7666666666666666</v>
      </c>
      <c r="AF87" s="241">
        <f t="shared" si="14"/>
        <v>12.074999999999999</v>
      </c>
      <c r="AG87" s="241">
        <f t="shared" si="14"/>
        <v>14.05</v>
      </c>
      <c r="AH87" s="285">
        <f t="shared" si="14"/>
        <v>35.668589743589742</v>
      </c>
      <c r="AI87" s="241">
        <f t="shared" ref="AI87:BB87" si="15">SUM(AI10:AI27)</f>
        <v>14.05</v>
      </c>
      <c r="AJ87" s="241">
        <f t="shared" si="15"/>
        <v>11.55</v>
      </c>
      <c r="AK87" s="241">
        <f t="shared" si="15"/>
        <v>35.83358585858587</v>
      </c>
      <c r="AL87" s="241">
        <f t="shared" si="15"/>
        <v>33.858585858585869</v>
      </c>
      <c r="AM87" s="285">
        <f t="shared" si="15"/>
        <v>95.29217171717174</v>
      </c>
      <c r="AN87" s="241">
        <f t="shared" si="15"/>
        <v>39.483585858585869</v>
      </c>
      <c r="AO87" s="241">
        <f t="shared" si="15"/>
        <v>39.483585858585869</v>
      </c>
      <c r="AP87" s="241">
        <f t="shared" si="15"/>
        <v>5.625</v>
      </c>
      <c r="AQ87" s="241">
        <f t="shared" si="15"/>
        <v>5.625</v>
      </c>
      <c r="AR87" s="285">
        <f t="shared" si="15"/>
        <v>90.217171717171738</v>
      </c>
      <c r="AS87" s="241">
        <f t="shared" si="15"/>
        <v>0</v>
      </c>
      <c r="AT87" s="241">
        <f t="shared" si="15"/>
        <v>0</v>
      </c>
      <c r="AU87" s="241">
        <f t="shared" si="15"/>
        <v>0</v>
      </c>
      <c r="AV87" s="241">
        <f t="shared" si="15"/>
        <v>0</v>
      </c>
      <c r="AW87" s="285">
        <f t="shared" si="15"/>
        <v>0</v>
      </c>
      <c r="AX87" s="241">
        <f t="shared" si="15"/>
        <v>0</v>
      </c>
      <c r="AY87" s="241">
        <f t="shared" si="15"/>
        <v>0</v>
      </c>
      <c r="AZ87" s="241">
        <f t="shared" si="15"/>
        <v>0</v>
      </c>
      <c r="BA87" s="241">
        <f t="shared" si="15"/>
        <v>0</v>
      </c>
      <c r="BB87" s="285">
        <f t="shared" si="15"/>
        <v>0</v>
      </c>
      <c r="BG87" s="285">
        <f>SUM(BG10:BG27)</f>
        <v>0</v>
      </c>
      <c r="BH87" s="121"/>
      <c r="BI87" s="121"/>
      <c r="BJ87" s="121"/>
      <c r="BK87" s="121"/>
      <c r="BL87" s="120">
        <f>SUM(BL10:BL27)</f>
        <v>0</v>
      </c>
      <c r="BM87" s="121"/>
      <c r="BN87" s="121"/>
      <c r="BO87" s="121"/>
      <c r="BP87" s="121"/>
      <c r="BQ87" s="120">
        <f>SUM(BQ10:BQ27)</f>
        <v>0</v>
      </c>
      <c r="BR87" s="121"/>
      <c r="BS87" s="121"/>
      <c r="BT87" s="121"/>
      <c r="BU87" s="121"/>
      <c r="BV87" s="120">
        <f>SUM(BV10:BV27)</f>
        <v>0</v>
      </c>
      <c r="BW87" s="121">
        <f t="shared" ref="BW87:DM87" si="16">SUM(BW8:BW27)</f>
        <v>0</v>
      </c>
      <c r="BX87" s="121">
        <f t="shared" si="16"/>
        <v>0</v>
      </c>
      <c r="BY87" s="121">
        <f t="shared" si="16"/>
        <v>0</v>
      </c>
      <c r="BZ87" s="121">
        <f t="shared" si="16"/>
        <v>43.333333333333336</v>
      </c>
      <c r="CA87" s="120">
        <f t="shared" si="16"/>
        <v>43.333333333333336</v>
      </c>
      <c r="CB87" s="121">
        <f t="shared" si="16"/>
        <v>65</v>
      </c>
      <c r="CC87" s="121">
        <f t="shared" si="16"/>
        <v>65</v>
      </c>
      <c r="CD87" s="121">
        <f t="shared" si="16"/>
        <v>65</v>
      </c>
      <c r="CE87" s="121">
        <f t="shared" si="16"/>
        <v>21.666666666666668</v>
      </c>
      <c r="CF87" s="120">
        <f t="shared" si="16"/>
        <v>216.66666666666666</v>
      </c>
      <c r="CG87" s="121">
        <f t="shared" si="16"/>
        <v>0</v>
      </c>
      <c r="CH87" s="121">
        <f t="shared" si="16"/>
        <v>0</v>
      </c>
      <c r="CI87" s="121">
        <f t="shared" si="16"/>
        <v>0</v>
      </c>
      <c r="CJ87" s="121">
        <f t="shared" si="16"/>
        <v>0</v>
      </c>
      <c r="CK87" s="120">
        <f t="shared" si="16"/>
        <v>0</v>
      </c>
      <c r="CL87" s="121">
        <f t="shared" si="16"/>
        <v>0</v>
      </c>
      <c r="CM87" s="121">
        <f t="shared" si="16"/>
        <v>0</v>
      </c>
      <c r="CN87" s="121">
        <f t="shared" si="16"/>
        <v>0</v>
      </c>
      <c r="CO87" s="121">
        <f t="shared" si="16"/>
        <v>0</v>
      </c>
      <c r="CP87" s="120">
        <f t="shared" si="16"/>
        <v>0</v>
      </c>
      <c r="CQ87" s="121">
        <f t="shared" si="16"/>
        <v>0</v>
      </c>
      <c r="CR87" s="121">
        <f t="shared" si="16"/>
        <v>0</v>
      </c>
      <c r="CS87" s="121">
        <f t="shared" si="16"/>
        <v>0</v>
      </c>
      <c r="CT87" s="121">
        <f t="shared" si="16"/>
        <v>0</v>
      </c>
      <c r="CU87" s="120">
        <f t="shared" si="16"/>
        <v>0</v>
      </c>
      <c r="CV87" s="121">
        <f t="shared" si="16"/>
        <v>0</v>
      </c>
      <c r="CW87" s="121">
        <f t="shared" si="16"/>
        <v>0</v>
      </c>
      <c r="CX87" s="121">
        <f t="shared" si="16"/>
        <v>0</v>
      </c>
      <c r="CY87" s="121">
        <f t="shared" si="16"/>
        <v>0</v>
      </c>
      <c r="CZ87" s="120">
        <f t="shared" si="16"/>
        <v>0</v>
      </c>
      <c r="DA87" s="121">
        <f t="shared" si="16"/>
        <v>0</v>
      </c>
      <c r="DB87" s="121">
        <f t="shared" si="16"/>
        <v>0</v>
      </c>
      <c r="DC87" s="121">
        <f t="shared" si="16"/>
        <v>0</v>
      </c>
      <c r="DD87" s="121">
        <f t="shared" si="16"/>
        <v>0</v>
      </c>
      <c r="DE87" s="120">
        <f t="shared" si="16"/>
        <v>0</v>
      </c>
      <c r="DF87" s="121">
        <f t="shared" si="16"/>
        <v>0</v>
      </c>
      <c r="DG87" s="121">
        <f t="shared" si="16"/>
        <v>0</v>
      </c>
      <c r="DH87" s="121">
        <f t="shared" si="16"/>
        <v>0</v>
      </c>
      <c r="DI87" s="121">
        <f t="shared" si="16"/>
        <v>0</v>
      </c>
      <c r="DJ87" s="120">
        <f t="shared" si="16"/>
        <v>0</v>
      </c>
      <c r="DK87" s="121">
        <f t="shared" si="16"/>
        <v>0</v>
      </c>
      <c r="DL87" s="121">
        <f t="shared" si="16"/>
        <v>0</v>
      </c>
      <c r="DM87" s="121">
        <f t="shared" si="16"/>
        <v>0</v>
      </c>
      <c r="DN87" s="121">
        <f>SUM(DN7:DN27)</f>
        <v>50</v>
      </c>
      <c r="DO87" s="120">
        <f>SUM(DO7:DO27)</f>
        <v>50</v>
      </c>
      <c r="DP87" s="121">
        <f t="shared" ref="DP87:DS87" si="17">SUM(DP7:DP27)</f>
        <v>250</v>
      </c>
      <c r="DQ87" s="121">
        <f t="shared" si="17"/>
        <v>240</v>
      </c>
      <c r="DR87" s="121">
        <f t="shared" si="17"/>
        <v>270</v>
      </c>
      <c r="DS87" s="121">
        <f t="shared" si="17"/>
        <v>175</v>
      </c>
      <c r="DT87" s="120">
        <f>SUM(DT7:DT27)</f>
        <v>935</v>
      </c>
      <c r="DU87" s="121">
        <f t="shared" ref="DU87:DY87" si="18">SUM(DU7:DU27)</f>
        <v>0</v>
      </c>
      <c r="DV87" s="121">
        <f t="shared" si="18"/>
        <v>0</v>
      </c>
      <c r="DW87" s="121">
        <f t="shared" si="18"/>
        <v>0</v>
      </c>
      <c r="DX87" s="121">
        <f t="shared" si="18"/>
        <v>0</v>
      </c>
      <c r="DY87" s="120">
        <f t="shared" si="18"/>
        <v>0</v>
      </c>
      <c r="DZ87" s="120">
        <f t="shared" ref="DZ87:EB87" si="19">SUM(DZ7:DZ27)</f>
        <v>0</v>
      </c>
      <c r="EA87" s="120">
        <f t="shared" si="19"/>
        <v>0</v>
      </c>
      <c r="EB87" s="120">
        <f t="shared" si="19"/>
        <v>0</v>
      </c>
    </row>
    <row r="88" spans="2:132" s="241" customFormat="1" ht="12" hidden="1" customHeight="1" outlineLevel="1">
      <c r="B88" s="311" t="s">
        <v>106</v>
      </c>
      <c r="C88" s="285"/>
      <c r="D88" s="285"/>
      <c r="E88" s="285"/>
      <c r="F88" s="285"/>
      <c r="G88" s="285"/>
      <c r="H88" s="285"/>
      <c r="I88" s="285"/>
      <c r="N88" s="285"/>
      <c r="S88" s="285"/>
      <c r="X88" s="285"/>
      <c r="AC88" s="285"/>
      <c r="AH88" s="285"/>
      <c r="AM88" s="285"/>
      <c r="AR88" s="285"/>
      <c r="AW88" s="285"/>
      <c r="BB88" s="285"/>
      <c r="BG88" s="285"/>
      <c r="BH88" s="121"/>
      <c r="BI88" s="121"/>
      <c r="BJ88" s="121"/>
      <c r="BK88" s="121"/>
      <c r="BL88" s="120"/>
      <c r="BM88" s="121"/>
      <c r="BN88" s="121"/>
      <c r="BO88" s="121"/>
      <c r="BP88" s="121"/>
      <c r="BQ88" s="120"/>
      <c r="BR88" s="121"/>
      <c r="BS88" s="121"/>
      <c r="BT88" s="121"/>
      <c r="BU88" s="121"/>
      <c r="BV88" s="120">
        <f>SUM(BV58:BV58)</f>
        <v>0</v>
      </c>
      <c r="BW88" s="121"/>
      <c r="BX88" s="121"/>
      <c r="BY88" s="121"/>
      <c r="BZ88" s="121"/>
      <c r="CA88" s="120">
        <f>SUM(CA58:CA58)</f>
        <v>0</v>
      </c>
      <c r="CB88" s="121"/>
      <c r="CC88" s="121"/>
      <c r="CD88" s="121"/>
      <c r="CE88" s="121"/>
      <c r="CF88" s="120">
        <f>SUM(CF58:CF58)</f>
        <v>0</v>
      </c>
      <c r="CG88" s="121"/>
      <c r="CH88" s="121"/>
      <c r="CI88" s="121"/>
      <c r="CJ88" s="121"/>
      <c r="CK88" s="120">
        <f>SUM(CK58:CK58)</f>
        <v>0</v>
      </c>
      <c r="CL88" s="121"/>
      <c r="CM88" s="121"/>
      <c r="CN88" s="121"/>
      <c r="CO88" s="121"/>
      <c r="CP88" s="120">
        <f>SUM(CP58:CP58)</f>
        <v>0</v>
      </c>
      <c r="CQ88" s="121"/>
      <c r="CR88" s="121"/>
      <c r="CS88" s="121"/>
      <c r="CT88" s="121"/>
      <c r="CU88" s="120">
        <f>SUM(CU58:CU58)</f>
        <v>0</v>
      </c>
      <c r="CV88" s="121"/>
      <c r="CW88" s="121"/>
      <c r="CX88" s="121"/>
      <c r="CY88" s="121"/>
      <c r="CZ88" s="120">
        <f>SUM(CZ58:CZ58)</f>
        <v>0</v>
      </c>
      <c r="DA88" s="121"/>
      <c r="DB88" s="121"/>
      <c r="DC88" s="121"/>
      <c r="DD88" s="121"/>
      <c r="DE88" s="120">
        <f>SUM(DE58:DE58)</f>
        <v>0</v>
      </c>
      <c r="DF88" s="121"/>
      <c r="DG88" s="121"/>
      <c r="DH88" s="121"/>
      <c r="DI88" s="121"/>
      <c r="DJ88" s="120">
        <f>SUM(DJ58:DJ58)</f>
        <v>0</v>
      </c>
      <c r="DK88" s="121"/>
      <c r="DL88" s="121"/>
      <c r="DM88" s="121"/>
      <c r="DN88" s="121">
        <f>0.6*DN48</f>
        <v>24</v>
      </c>
      <c r="DO88" s="120">
        <f>+SUM(DK88:DN88)</f>
        <v>24</v>
      </c>
      <c r="DP88" s="121">
        <f>0.6*DP48</f>
        <v>75</v>
      </c>
      <c r="DQ88" s="121">
        <f>0.6*DQ48</f>
        <v>75</v>
      </c>
      <c r="DR88" s="121">
        <f>0.6*DR48</f>
        <v>75</v>
      </c>
      <c r="DS88" s="121">
        <f>0.6*DS48</f>
        <v>45</v>
      </c>
      <c r="DT88" s="120">
        <f>+SUM(DP88:DS88)</f>
        <v>270</v>
      </c>
      <c r="DU88" s="121">
        <f>0.6*DU48</f>
        <v>0</v>
      </c>
      <c r="DV88" s="121">
        <f>0.6*DV48</f>
        <v>0</v>
      </c>
      <c r="DW88" s="121">
        <f>0.6*DW48</f>
        <v>0</v>
      </c>
      <c r="DX88" s="121">
        <f>0.6*DX48</f>
        <v>0</v>
      </c>
      <c r="DY88" s="120">
        <f>+SUM(DU88:DX88)</f>
        <v>0</v>
      </c>
      <c r="DZ88" s="120">
        <f>SUM(DZ58:DZ58)</f>
        <v>0</v>
      </c>
      <c r="EA88" s="120">
        <f>SUM(EA58:EA58)</f>
        <v>0</v>
      </c>
      <c r="EB88" s="120">
        <f>SUM(EB58:EB58)</f>
        <v>0</v>
      </c>
    </row>
    <row r="89" spans="2:132" s="241" customFormat="1" ht="12" hidden="1" customHeight="1" outlineLevel="1">
      <c r="B89" s="311" t="s">
        <v>107</v>
      </c>
      <c r="C89" s="285"/>
      <c r="D89" s="285"/>
      <c r="E89" s="285"/>
      <c r="F89" s="285"/>
      <c r="G89" s="285"/>
      <c r="H89" s="285"/>
      <c r="I89" s="285"/>
      <c r="N89" s="285"/>
      <c r="S89" s="285"/>
      <c r="X89" s="285"/>
      <c r="AC89" s="285"/>
      <c r="AH89" s="285"/>
      <c r="AM89" s="285"/>
      <c r="AR89" s="285"/>
      <c r="AW89" s="285"/>
      <c r="BB89" s="285"/>
      <c r="BG89" s="285"/>
      <c r="BH89" s="121"/>
      <c r="BI89" s="121"/>
      <c r="BJ89" s="121"/>
      <c r="BK89" s="121"/>
      <c r="BL89" s="120"/>
      <c r="BM89" s="121"/>
      <c r="BN89" s="121"/>
      <c r="BO89" s="121"/>
      <c r="BP89" s="121"/>
      <c r="BQ89" s="120"/>
      <c r="BR89" s="121"/>
      <c r="BS89" s="121"/>
      <c r="BT89" s="121"/>
      <c r="BU89" s="121"/>
      <c r="BV89" s="120">
        <f>SUM(BV50:BV63)</f>
        <v>0</v>
      </c>
      <c r="BW89" s="121"/>
      <c r="BX89" s="121"/>
      <c r="BY89" s="121"/>
      <c r="BZ89" s="121"/>
      <c r="CA89" s="120">
        <f>SUM(CA50:CA63)</f>
        <v>0</v>
      </c>
      <c r="CB89" s="121"/>
      <c r="CC89" s="121"/>
      <c r="CD89" s="121"/>
      <c r="CE89" s="121"/>
      <c r="CF89" s="120">
        <f>SUM(CF50:CF63)</f>
        <v>0</v>
      </c>
      <c r="CG89" s="121"/>
      <c r="CH89" s="121"/>
      <c r="CI89" s="121"/>
      <c r="CJ89" s="121"/>
      <c r="CK89" s="120">
        <f>SUM(CK50:CK63)</f>
        <v>0</v>
      </c>
      <c r="CL89" s="121"/>
      <c r="CM89" s="121"/>
      <c r="CN89" s="121"/>
      <c r="CO89" s="121"/>
      <c r="CP89" s="120">
        <f>SUM(CP50:CP63)</f>
        <v>0</v>
      </c>
      <c r="CQ89" s="121"/>
      <c r="CR89" s="121"/>
      <c r="CS89" s="121"/>
      <c r="CT89" s="121"/>
      <c r="CU89" s="120">
        <f>SUM(CU50:CU63)</f>
        <v>0</v>
      </c>
      <c r="CV89" s="121"/>
      <c r="CW89" s="121"/>
      <c r="CX89" s="121"/>
      <c r="CY89" s="121"/>
      <c r="CZ89" s="120">
        <f>SUM(CZ50:CZ63)</f>
        <v>0</v>
      </c>
      <c r="DA89" s="121"/>
      <c r="DB89" s="121"/>
      <c r="DC89" s="121"/>
      <c r="DD89" s="121"/>
      <c r="DE89" s="120">
        <f>SUM(DE50:DE63)</f>
        <v>0</v>
      </c>
      <c r="DF89" s="121"/>
      <c r="DG89" s="121"/>
      <c r="DH89" s="121"/>
      <c r="DI89" s="121"/>
      <c r="DJ89" s="120">
        <f>SUM(DJ50:DJ63)</f>
        <v>0</v>
      </c>
      <c r="DK89" s="121"/>
      <c r="DL89" s="121"/>
      <c r="DM89" s="121"/>
      <c r="DN89" s="121"/>
      <c r="DO89" s="120">
        <f t="shared" ref="DO89:DO90" si="20">+SUM(DK89:DN89)</f>
        <v>0</v>
      </c>
      <c r="DP89" s="121"/>
      <c r="DQ89" s="121"/>
      <c r="DR89" s="121"/>
      <c r="DS89" s="121"/>
      <c r="DT89" s="120">
        <f t="shared" ref="DT89:DT90" si="21">+SUM(DP89:DS89)</f>
        <v>0</v>
      </c>
      <c r="DU89" s="121"/>
      <c r="DV89" s="121"/>
      <c r="DW89" s="121"/>
      <c r="DX89" s="121"/>
      <c r="DY89" s="120">
        <f t="shared" ref="DY89:DY90" si="22">+SUM(DU89:DX89)</f>
        <v>0</v>
      </c>
      <c r="DZ89" s="120">
        <f>SUM(DZ50:DZ63)</f>
        <v>0</v>
      </c>
      <c r="EA89" s="120">
        <f>SUM(EA50:EA63)</f>
        <v>0</v>
      </c>
      <c r="EB89" s="120">
        <f>SUM(EB50:EB63)</f>
        <v>0</v>
      </c>
    </row>
    <row r="90" spans="2:132" s="241" customFormat="1" ht="12" hidden="1" customHeight="1" outlineLevel="1">
      <c r="B90" s="311" t="s">
        <v>108</v>
      </c>
      <c r="C90" s="69"/>
      <c r="D90" s="69"/>
      <c r="E90" s="69"/>
      <c r="F90" s="69"/>
      <c r="G90" s="69"/>
      <c r="H90" s="69"/>
      <c r="I90" s="69"/>
      <c r="J90" s="70"/>
      <c r="K90" s="70"/>
      <c r="L90" s="70"/>
      <c r="M90" s="70"/>
      <c r="N90" s="69"/>
      <c r="O90" s="70"/>
      <c r="P90" s="70"/>
      <c r="Q90" s="70"/>
      <c r="R90" s="70"/>
      <c r="S90" s="69"/>
      <c r="T90" s="70"/>
      <c r="U90" s="70"/>
      <c r="V90" s="70"/>
      <c r="W90" s="70"/>
      <c r="X90" s="69"/>
      <c r="Y90" s="70"/>
      <c r="Z90" s="70"/>
      <c r="AA90" s="70"/>
      <c r="AB90" s="70"/>
      <c r="AC90" s="69"/>
      <c r="AD90" s="70"/>
      <c r="AE90" s="70"/>
      <c r="AF90" s="70"/>
      <c r="AG90" s="70"/>
      <c r="AH90" s="69"/>
      <c r="AI90" s="70"/>
      <c r="AJ90" s="70"/>
      <c r="AK90" s="70"/>
      <c r="AL90" s="70"/>
      <c r="AM90" s="69"/>
      <c r="AN90" s="70"/>
      <c r="AO90" s="70"/>
      <c r="AP90" s="70"/>
      <c r="AQ90" s="70"/>
      <c r="AR90" s="69"/>
      <c r="AS90" s="70"/>
      <c r="AT90" s="70"/>
      <c r="AU90" s="70"/>
      <c r="AV90" s="70"/>
      <c r="AW90" s="69"/>
      <c r="AX90" s="70"/>
      <c r="AY90" s="70"/>
      <c r="AZ90" s="70"/>
      <c r="BA90" s="70"/>
      <c r="BB90" s="69"/>
      <c r="BC90" s="70"/>
      <c r="BD90" s="70"/>
      <c r="BE90" s="70"/>
      <c r="BF90" s="70"/>
      <c r="BG90" s="69"/>
      <c r="BH90" s="70"/>
      <c r="BI90" s="70"/>
      <c r="BJ90" s="70"/>
      <c r="BK90" s="70"/>
      <c r="BL90" s="69"/>
      <c r="BM90" s="70"/>
      <c r="BN90" s="70"/>
      <c r="BO90" s="70"/>
      <c r="BP90" s="70"/>
      <c r="BQ90" s="69"/>
      <c r="BR90" s="70"/>
      <c r="BS90" s="70"/>
      <c r="BT90" s="70"/>
      <c r="BU90" s="70"/>
      <c r="BV90" s="69">
        <f>SUM(BV54:BV68)</f>
        <v>0</v>
      </c>
      <c r="BW90" s="70"/>
      <c r="BX90" s="70"/>
      <c r="BY90" s="70"/>
      <c r="BZ90" s="70"/>
      <c r="CA90" s="69">
        <f>SUM(CA54:CA68)</f>
        <v>0</v>
      </c>
      <c r="CB90" s="70"/>
      <c r="CC90" s="70"/>
      <c r="CD90" s="70"/>
      <c r="CE90" s="70"/>
      <c r="CF90" s="69">
        <f>SUM(CF54:CF68)</f>
        <v>0</v>
      </c>
      <c r="CG90" s="70"/>
      <c r="CH90" s="70"/>
      <c r="CI90" s="70"/>
      <c r="CJ90" s="70"/>
      <c r="CK90" s="69">
        <f>SUM(CK54:CK68)</f>
        <v>0</v>
      </c>
      <c r="CL90" s="70"/>
      <c r="CM90" s="70"/>
      <c r="CN90" s="70"/>
      <c r="CO90" s="70"/>
      <c r="CP90" s="69">
        <f>SUM(CP54:CP68)</f>
        <v>0</v>
      </c>
      <c r="CQ90" s="70"/>
      <c r="CR90" s="70"/>
      <c r="CS90" s="70"/>
      <c r="CT90" s="70"/>
      <c r="CU90" s="69">
        <f>SUM(CU54:CU68)</f>
        <v>0</v>
      </c>
      <c r="CV90" s="70"/>
      <c r="CW90" s="70"/>
      <c r="CX90" s="70"/>
      <c r="CY90" s="70"/>
      <c r="CZ90" s="69">
        <f>SUM(CZ54:CZ68)</f>
        <v>0</v>
      </c>
      <c r="DA90" s="70"/>
      <c r="DB90" s="70"/>
      <c r="DC90" s="70"/>
      <c r="DD90" s="70"/>
      <c r="DE90" s="69">
        <f>SUM(DE54:DE68)</f>
        <v>0</v>
      </c>
      <c r="DF90" s="70"/>
      <c r="DG90" s="70"/>
      <c r="DH90" s="70"/>
      <c r="DI90" s="70"/>
      <c r="DJ90" s="69">
        <f>SUM(DJ54:DJ68)</f>
        <v>0</v>
      </c>
      <c r="DK90" s="70"/>
      <c r="DL90" s="70"/>
      <c r="DM90" s="70"/>
      <c r="DN90" s="70">
        <f>0.4*DN48</f>
        <v>16</v>
      </c>
      <c r="DO90" s="120">
        <f t="shared" si="20"/>
        <v>16</v>
      </c>
      <c r="DP90" s="70">
        <f>0.4*DP48</f>
        <v>50</v>
      </c>
      <c r="DQ90" s="70">
        <f>0.4*DQ48</f>
        <v>50</v>
      </c>
      <c r="DR90" s="70">
        <f>0.4*DR48</f>
        <v>50</v>
      </c>
      <c r="DS90" s="70">
        <f>0.4*DS48</f>
        <v>30</v>
      </c>
      <c r="DT90" s="120">
        <f t="shared" si="21"/>
        <v>180</v>
      </c>
      <c r="DU90" s="70">
        <f>0.4*DU48</f>
        <v>0</v>
      </c>
      <c r="DV90" s="70">
        <f>0.4*DV48</f>
        <v>0</v>
      </c>
      <c r="DW90" s="70">
        <f>0.4*DW48</f>
        <v>0</v>
      </c>
      <c r="DX90" s="70">
        <f>0.4*DX48</f>
        <v>0</v>
      </c>
      <c r="DY90" s="120">
        <f t="shared" si="22"/>
        <v>0</v>
      </c>
      <c r="DZ90" s="69">
        <f>SUM(DZ54:DZ63)</f>
        <v>0</v>
      </c>
      <c r="EA90" s="69">
        <f>SUM(EA54:EA63)</f>
        <v>0</v>
      </c>
      <c r="EB90" s="69">
        <f>SUM(EB54:EB63)</f>
        <v>0</v>
      </c>
    </row>
    <row r="91" spans="2:132" s="241" customFormat="1" ht="12" hidden="1" customHeight="1" outlineLevel="1">
      <c r="B91" s="241" t="s">
        <v>390</v>
      </c>
      <c r="C91" s="285">
        <f t="shared" ref="C91:AH91" si="23">SUM(C47:C63)</f>
        <v>0</v>
      </c>
      <c r="D91" s="285">
        <f t="shared" si="23"/>
        <v>0</v>
      </c>
      <c r="E91" s="285">
        <f t="shared" si="23"/>
        <v>0</v>
      </c>
      <c r="F91" s="285">
        <f t="shared" si="23"/>
        <v>434.83333333333331</v>
      </c>
      <c r="G91" s="285">
        <f t="shared" si="23"/>
        <v>1968.1666666666667</v>
      </c>
      <c r="H91" s="285">
        <f t="shared" si="23"/>
        <v>-6.416666666666667</v>
      </c>
      <c r="I91" s="285">
        <f t="shared" si="23"/>
        <v>49.25</v>
      </c>
      <c r="J91" s="241">
        <f t="shared" si="23"/>
        <v>13.333333333333334</v>
      </c>
      <c r="K91" s="241">
        <f t="shared" si="23"/>
        <v>1.1666666666666665</v>
      </c>
      <c r="L91" s="241">
        <f t="shared" si="23"/>
        <v>3.5</v>
      </c>
      <c r="M91" s="241">
        <f t="shared" si="23"/>
        <v>3.5</v>
      </c>
      <c r="N91" s="285">
        <f t="shared" si="23"/>
        <v>21.5</v>
      </c>
      <c r="O91" s="241">
        <f t="shared" si="23"/>
        <v>3.5</v>
      </c>
      <c r="P91" s="241">
        <f t="shared" si="23"/>
        <v>2.3333333333333335</v>
      </c>
      <c r="Q91" s="241">
        <f t="shared" si="23"/>
        <v>0</v>
      </c>
      <c r="R91" s="241">
        <f t="shared" si="23"/>
        <v>0</v>
      </c>
      <c r="S91" s="285">
        <f t="shared" si="23"/>
        <v>5.8333333333333339</v>
      </c>
      <c r="T91" s="241">
        <f t="shared" si="23"/>
        <v>0</v>
      </c>
      <c r="U91" s="241">
        <f t="shared" si="23"/>
        <v>0</v>
      </c>
      <c r="V91" s="241">
        <f t="shared" si="23"/>
        <v>0</v>
      </c>
      <c r="W91" s="241">
        <f t="shared" si="23"/>
        <v>0</v>
      </c>
      <c r="X91" s="285">
        <f t="shared" si="23"/>
        <v>0</v>
      </c>
      <c r="Y91" s="241">
        <f t="shared" si="23"/>
        <v>0</v>
      </c>
      <c r="Z91" s="241">
        <f t="shared" si="23"/>
        <v>0</v>
      </c>
      <c r="AA91" s="241">
        <f t="shared" si="23"/>
        <v>0</v>
      </c>
      <c r="AB91" s="241">
        <f t="shared" si="23"/>
        <v>0</v>
      </c>
      <c r="AC91" s="285">
        <f t="shared" si="23"/>
        <v>0</v>
      </c>
      <c r="AD91" s="241">
        <f t="shared" si="23"/>
        <v>0.66666666666666663</v>
      </c>
      <c r="AE91" s="241">
        <f t="shared" si="23"/>
        <v>1</v>
      </c>
      <c r="AF91" s="241">
        <f t="shared" si="23"/>
        <v>1</v>
      </c>
      <c r="AG91" s="241">
        <f t="shared" si="23"/>
        <v>42.708333333333336</v>
      </c>
      <c r="AH91" s="285">
        <f t="shared" si="23"/>
        <v>45.375</v>
      </c>
      <c r="AI91" s="241">
        <f t="shared" ref="AI91:BQ91" si="24">SUM(AI47:AI63)</f>
        <v>78.958333333333329</v>
      </c>
      <c r="AJ91" s="241">
        <f t="shared" si="24"/>
        <v>78.625</v>
      </c>
      <c r="AK91" s="241">
        <f t="shared" si="24"/>
        <v>79.125</v>
      </c>
      <c r="AL91" s="241">
        <f t="shared" si="24"/>
        <v>37.416666666666664</v>
      </c>
      <c r="AM91" s="285">
        <f t="shared" si="24"/>
        <v>274.12499999999994</v>
      </c>
      <c r="AN91" s="241">
        <f t="shared" si="24"/>
        <v>0.5</v>
      </c>
      <c r="AO91" s="241">
        <f t="shared" si="24"/>
        <v>0.5</v>
      </c>
      <c r="AP91" s="241">
        <f t="shared" si="24"/>
        <v>62</v>
      </c>
      <c r="AQ91" s="241">
        <f t="shared" si="24"/>
        <v>125.88</v>
      </c>
      <c r="AR91" s="285">
        <f t="shared" si="24"/>
        <v>188.88</v>
      </c>
      <c r="AS91" s="241">
        <f t="shared" si="24"/>
        <v>90.25</v>
      </c>
      <c r="AT91" s="241">
        <f t="shared" si="24"/>
        <v>90.25</v>
      </c>
      <c r="AU91" s="241">
        <f t="shared" si="24"/>
        <v>48.25</v>
      </c>
      <c r="AV91" s="241">
        <f t="shared" si="24"/>
        <v>1.5</v>
      </c>
      <c r="AW91" s="285">
        <f t="shared" si="24"/>
        <v>230.25</v>
      </c>
      <c r="AX91" s="241">
        <f t="shared" si="24"/>
        <v>0</v>
      </c>
      <c r="AY91" s="241">
        <f t="shared" si="24"/>
        <v>0</v>
      </c>
      <c r="AZ91" s="241">
        <f t="shared" si="24"/>
        <v>0</v>
      </c>
      <c r="BA91" s="241">
        <f t="shared" si="24"/>
        <v>0</v>
      </c>
      <c r="BB91" s="285">
        <f t="shared" si="24"/>
        <v>0</v>
      </c>
      <c r="BC91" s="241">
        <f t="shared" si="24"/>
        <v>0</v>
      </c>
      <c r="BD91" s="241">
        <f t="shared" si="24"/>
        <v>0</v>
      </c>
      <c r="BE91" s="241">
        <f t="shared" si="24"/>
        <v>0</v>
      </c>
      <c r="BF91" s="241">
        <f t="shared" si="24"/>
        <v>0</v>
      </c>
      <c r="BG91" s="285">
        <f t="shared" si="24"/>
        <v>0</v>
      </c>
      <c r="BH91" s="121">
        <f t="shared" si="24"/>
        <v>0</v>
      </c>
      <c r="BI91" s="121">
        <f t="shared" si="24"/>
        <v>0</v>
      </c>
      <c r="BJ91" s="121">
        <f t="shared" si="24"/>
        <v>0</v>
      </c>
      <c r="BK91" s="121">
        <f t="shared" si="24"/>
        <v>0</v>
      </c>
      <c r="BL91" s="120">
        <f t="shared" si="24"/>
        <v>0</v>
      </c>
      <c r="BM91" s="121">
        <f t="shared" si="24"/>
        <v>0</v>
      </c>
      <c r="BN91" s="121">
        <f t="shared" si="24"/>
        <v>0</v>
      </c>
      <c r="BO91" s="121">
        <f t="shared" si="24"/>
        <v>0</v>
      </c>
      <c r="BP91" s="121">
        <f t="shared" si="24"/>
        <v>0</v>
      </c>
      <c r="BQ91" s="120">
        <f t="shared" si="24"/>
        <v>0</v>
      </c>
      <c r="BR91" s="121"/>
      <c r="BS91" s="121"/>
      <c r="BT91" s="121"/>
      <c r="BU91" s="121"/>
      <c r="BV91" s="120">
        <f t="shared" ref="BV91" si="25">SUM(BV88:BV90)</f>
        <v>0</v>
      </c>
      <c r="BW91" s="121"/>
      <c r="BX91" s="121"/>
      <c r="BY91" s="121"/>
      <c r="BZ91" s="121"/>
      <c r="CA91" s="120">
        <f t="shared" ref="CA91" si="26">SUM(CA88:CA90)</f>
        <v>0</v>
      </c>
      <c r="CB91" s="121"/>
      <c r="CC91" s="121"/>
      <c r="CD91" s="121"/>
      <c r="CE91" s="121"/>
      <c r="CF91" s="120">
        <f>SUM(CF88:CF90)</f>
        <v>0</v>
      </c>
      <c r="CG91" s="121"/>
      <c r="CH91" s="121"/>
      <c r="CI91" s="121"/>
      <c r="CJ91" s="121"/>
      <c r="CK91" s="120">
        <f>SUM(CK88:CK90)</f>
        <v>0</v>
      </c>
      <c r="CL91" s="121"/>
      <c r="CM91" s="121"/>
      <c r="CN91" s="121"/>
      <c r="CO91" s="121"/>
      <c r="CP91" s="120">
        <f>SUM(CP88:CP90)</f>
        <v>0</v>
      </c>
      <c r="CQ91" s="121"/>
      <c r="CR91" s="121"/>
      <c r="CS91" s="121"/>
      <c r="CT91" s="121"/>
      <c r="CU91" s="120">
        <f>SUM(CU88:CU90)</f>
        <v>0</v>
      </c>
      <c r="CV91" s="121"/>
      <c r="CW91" s="121"/>
      <c r="CX91" s="121"/>
      <c r="CY91" s="121"/>
      <c r="CZ91" s="120">
        <f>SUM(CZ88:CZ90)</f>
        <v>0</v>
      </c>
      <c r="DA91" s="121"/>
      <c r="DB91" s="121"/>
      <c r="DC91" s="121"/>
      <c r="DD91" s="121"/>
      <c r="DE91" s="120">
        <f>SUM(DE88:DE90)</f>
        <v>0</v>
      </c>
      <c r="DF91" s="121"/>
      <c r="DG91" s="121"/>
      <c r="DH91" s="121"/>
      <c r="DI91" s="121"/>
      <c r="DJ91" s="120">
        <f>SUM(DJ88:DJ90)</f>
        <v>0</v>
      </c>
      <c r="DK91" s="121"/>
      <c r="DL91" s="121"/>
      <c r="DM91" s="121"/>
      <c r="DN91" s="121">
        <f>+SUM(DN88:DN90)</f>
        <v>40</v>
      </c>
      <c r="DO91" s="120">
        <f>SUM(DO88:DO90)</f>
        <v>40</v>
      </c>
      <c r="DP91" s="121">
        <f t="shared" ref="DP91" si="27">+SUM(DP88:DP90)</f>
        <v>125</v>
      </c>
      <c r="DQ91" s="121">
        <f t="shared" ref="DQ91:DS91" si="28">+SUM(DQ88:DQ90)</f>
        <v>125</v>
      </c>
      <c r="DR91" s="121">
        <f t="shared" si="28"/>
        <v>125</v>
      </c>
      <c r="DS91" s="121">
        <f t="shared" si="28"/>
        <v>75</v>
      </c>
      <c r="DT91" s="120">
        <f>SUM(DT88:DT90)</f>
        <v>450</v>
      </c>
      <c r="DU91" s="121">
        <f t="shared" ref="DU91:DX91" si="29">+SUM(DU88:DU90)</f>
        <v>0</v>
      </c>
      <c r="DV91" s="121">
        <f t="shared" si="29"/>
        <v>0</v>
      </c>
      <c r="DW91" s="121">
        <f t="shared" si="29"/>
        <v>0</v>
      </c>
      <c r="DX91" s="121">
        <f t="shared" si="29"/>
        <v>0</v>
      </c>
      <c r="DY91" s="120">
        <f>SUM(DY88:DY90)</f>
        <v>0</v>
      </c>
      <c r="DZ91" s="120">
        <f t="shared" ref="DZ91:EB91" si="30">SUM(DZ88:DZ90)</f>
        <v>0</v>
      </c>
      <c r="EA91" s="120">
        <f t="shared" si="30"/>
        <v>0</v>
      </c>
      <c r="EB91" s="120">
        <f t="shared" si="30"/>
        <v>0</v>
      </c>
    </row>
    <row r="92" spans="2:132" s="241" customFormat="1" ht="12" hidden="1" customHeight="1" outlineLevel="1">
      <c r="B92" s="121" t="s">
        <v>575</v>
      </c>
      <c r="C92" s="285"/>
      <c r="D92" s="285"/>
      <c r="E92" s="285"/>
      <c r="F92" s="285"/>
      <c r="G92" s="285"/>
      <c r="H92" s="285"/>
      <c r="I92" s="285"/>
      <c r="N92" s="285"/>
      <c r="S92" s="285"/>
      <c r="X92" s="285"/>
      <c r="AC92" s="285"/>
      <c r="AH92" s="285"/>
      <c r="AM92" s="285"/>
      <c r="AR92" s="285"/>
      <c r="AW92" s="285"/>
      <c r="BB92" s="285"/>
      <c r="BG92" s="285"/>
      <c r="BH92" s="121"/>
      <c r="BI92" s="121"/>
      <c r="BJ92" s="121"/>
      <c r="BK92" s="121"/>
      <c r="BL92" s="120"/>
      <c r="BM92" s="121"/>
      <c r="BN92" s="121"/>
      <c r="BO92" s="121"/>
      <c r="BP92" s="121"/>
      <c r="BQ92" s="120"/>
      <c r="BR92" s="121"/>
      <c r="BS92" s="121"/>
      <c r="BT92" s="121"/>
      <c r="BU92" s="121"/>
      <c r="BV92" s="120"/>
      <c r="BW92" s="121"/>
      <c r="BX92" s="121"/>
      <c r="BY92" s="121"/>
      <c r="BZ92" s="121"/>
      <c r="CA92" s="120"/>
      <c r="CB92" s="121"/>
      <c r="CC92" s="121"/>
      <c r="CD92" s="121"/>
      <c r="CE92" s="121">
        <f t="shared" ref="CE92:DJ92" si="31">SUM(CE70:CE71)</f>
        <v>397</v>
      </c>
      <c r="CF92" s="120">
        <f t="shared" si="31"/>
        <v>397</v>
      </c>
      <c r="CG92" s="121">
        <f t="shared" si="31"/>
        <v>400</v>
      </c>
      <c r="CH92" s="121">
        <f t="shared" si="31"/>
        <v>405</v>
      </c>
      <c r="CI92" s="121">
        <f t="shared" si="31"/>
        <v>402</v>
      </c>
      <c r="CJ92" s="121">
        <f t="shared" si="31"/>
        <v>-25.010999999999967</v>
      </c>
      <c r="CK92" s="120">
        <f t="shared" si="31"/>
        <v>1181.989</v>
      </c>
      <c r="CL92" s="121">
        <f t="shared" si="31"/>
        <v>0</v>
      </c>
      <c r="CM92" s="121">
        <f t="shared" si="31"/>
        <v>0</v>
      </c>
      <c r="CN92" s="121">
        <f t="shared" si="31"/>
        <v>0</v>
      </c>
      <c r="CO92" s="121">
        <f t="shared" si="31"/>
        <v>0</v>
      </c>
      <c r="CP92" s="120">
        <f t="shared" si="31"/>
        <v>0</v>
      </c>
      <c r="CQ92" s="121">
        <f t="shared" si="31"/>
        <v>0</v>
      </c>
      <c r="CR92" s="121">
        <f t="shared" si="31"/>
        <v>0</v>
      </c>
      <c r="CS92" s="121">
        <f t="shared" si="31"/>
        <v>0</v>
      </c>
      <c r="CT92" s="121">
        <f t="shared" si="31"/>
        <v>0</v>
      </c>
      <c r="CU92" s="120">
        <f t="shared" si="31"/>
        <v>0</v>
      </c>
      <c r="CV92" s="121">
        <f t="shared" si="31"/>
        <v>0</v>
      </c>
      <c r="CW92" s="121">
        <f t="shared" si="31"/>
        <v>0</v>
      </c>
      <c r="CX92" s="121">
        <f t="shared" si="31"/>
        <v>0</v>
      </c>
      <c r="CY92" s="121">
        <f t="shared" si="31"/>
        <v>0</v>
      </c>
      <c r="CZ92" s="120">
        <f t="shared" si="31"/>
        <v>0</v>
      </c>
      <c r="DA92" s="121">
        <f t="shared" si="31"/>
        <v>0</v>
      </c>
      <c r="DB92" s="121">
        <f t="shared" si="31"/>
        <v>0</v>
      </c>
      <c r="DC92" s="121">
        <f t="shared" si="31"/>
        <v>0</v>
      </c>
      <c r="DD92" s="121">
        <f t="shared" si="31"/>
        <v>0</v>
      </c>
      <c r="DE92" s="120">
        <f t="shared" si="31"/>
        <v>0</v>
      </c>
      <c r="DF92" s="121">
        <f t="shared" si="31"/>
        <v>0</v>
      </c>
      <c r="DG92" s="121">
        <f t="shared" si="31"/>
        <v>0</v>
      </c>
      <c r="DH92" s="121">
        <f t="shared" si="31"/>
        <v>0</v>
      </c>
      <c r="DI92" s="121">
        <f t="shared" si="31"/>
        <v>0</v>
      </c>
      <c r="DJ92" s="120">
        <f t="shared" si="31"/>
        <v>0</v>
      </c>
      <c r="DK92" s="121">
        <f t="shared" ref="DK92:EB92" si="32">SUM(DK70:DK71)</f>
        <v>0</v>
      </c>
      <c r="DL92" s="121">
        <f t="shared" si="32"/>
        <v>0</v>
      </c>
      <c r="DM92" s="121">
        <f t="shared" si="32"/>
        <v>0</v>
      </c>
      <c r="DN92" s="121">
        <f t="shared" si="32"/>
        <v>0</v>
      </c>
      <c r="DO92" s="120">
        <f t="shared" si="32"/>
        <v>0</v>
      </c>
      <c r="DP92" s="121">
        <f t="shared" si="32"/>
        <v>0</v>
      </c>
      <c r="DQ92" s="121">
        <f t="shared" si="32"/>
        <v>0</v>
      </c>
      <c r="DR92" s="121">
        <f t="shared" si="32"/>
        <v>0</v>
      </c>
      <c r="DS92" s="121">
        <f t="shared" si="32"/>
        <v>0</v>
      </c>
      <c r="DT92" s="120">
        <f t="shared" si="32"/>
        <v>0</v>
      </c>
      <c r="DU92" s="121">
        <f t="shared" si="32"/>
        <v>0</v>
      </c>
      <c r="DV92" s="121">
        <f t="shared" si="32"/>
        <v>0</v>
      </c>
      <c r="DW92" s="121">
        <f t="shared" si="32"/>
        <v>0</v>
      </c>
      <c r="DX92" s="121">
        <f t="shared" si="32"/>
        <v>0</v>
      </c>
      <c r="DY92" s="120">
        <f t="shared" si="32"/>
        <v>0</v>
      </c>
      <c r="DZ92" s="120">
        <f t="shared" si="32"/>
        <v>0</v>
      </c>
      <c r="EA92" s="120">
        <f t="shared" si="32"/>
        <v>0</v>
      </c>
      <c r="EB92" s="120">
        <f t="shared" si="32"/>
        <v>0</v>
      </c>
    </row>
    <row r="93" spans="2:132" s="241" customFormat="1" ht="12" hidden="1" customHeight="1" outlineLevel="1">
      <c r="B93" s="241" t="s">
        <v>144</v>
      </c>
      <c r="C93" s="285">
        <f t="shared" ref="C93:AH93" si="33">SUM(C75)</f>
        <v>0</v>
      </c>
      <c r="D93" s="285">
        <f t="shared" si="33"/>
        <v>0</v>
      </c>
      <c r="E93" s="285">
        <f t="shared" si="33"/>
        <v>0</v>
      </c>
      <c r="F93" s="285">
        <f t="shared" si="33"/>
        <v>0</v>
      </c>
      <c r="G93" s="285">
        <f t="shared" si="33"/>
        <v>0</v>
      </c>
      <c r="H93" s="285">
        <f t="shared" si="33"/>
        <v>0</v>
      </c>
      <c r="I93" s="285">
        <f t="shared" si="33"/>
        <v>0</v>
      </c>
      <c r="J93" s="241">
        <f t="shared" si="33"/>
        <v>0</v>
      </c>
      <c r="K93" s="241">
        <f t="shared" si="33"/>
        <v>0</v>
      </c>
      <c r="L93" s="241">
        <f t="shared" si="33"/>
        <v>0</v>
      </c>
      <c r="M93" s="241">
        <f t="shared" si="33"/>
        <v>0</v>
      </c>
      <c r="N93" s="285">
        <f t="shared" si="33"/>
        <v>0</v>
      </c>
      <c r="O93" s="241">
        <f t="shared" si="33"/>
        <v>0</v>
      </c>
      <c r="P93" s="241">
        <f t="shared" si="33"/>
        <v>0</v>
      </c>
      <c r="Q93" s="241">
        <f t="shared" si="33"/>
        <v>0</v>
      </c>
      <c r="R93" s="241">
        <f t="shared" si="33"/>
        <v>0</v>
      </c>
      <c r="S93" s="285">
        <f t="shared" si="33"/>
        <v>0</v>
      </c>
      <c r="T93" s="241">
        <f t="shared" si="33"/>
        <v>0</v>
      </c>
      <c r="U93" s="241">
        <f t="shared" si="33"/>
        <v>0</v>
      </c>
      <c r="V93" s="241">
        <f t="shared" si="33"/>
        <v>0</v>
      </c>
      <c r="W93" s="241">
        <f t="shared" si="33"/>
        <v>0</v>
      </c>
      <c r="X93" s="285">
        <f t="shared" si="33"/>
        <v>0</v>
      </c>
      <c r="Y93" s="241">
        <f t="shared" si="33"/>
        <v>0</v>
      </c>
      <c r="Z93" s="241">
        <f t="shared" si="33"/>
        <v>0</v>
      </c>
      <c r="AA93" s="241">
        <f t="shared" si="33"/>
        <v>0</v>
      </c>
      <c r="AB93" s="241">
        <f t="shared" si="33"/>
        <v>0</v>
      </c>
      <c r="AC93" s="285">
        <f t="shared" si="33"/>
        <v>0</v>
      </c>
      <c r="AD93" s="241">
        <f t="shared" si="33"/>
        <v>0</v>
      </c>
      <c r="AE93" s="241">
        <f t="shared" si="33"/>
        <v>0</v>
      </c>
      <c r="AF93" s="241">
        <f t="shared" si="33"/>
        <v>0</v>
      </c>
      <c r="AG93" s="241">
        <f t="shared" si="33"/>
        <v>0</v>
      </c>
      <c r="AH93" s="285">
        <f t="shared" si="33"/>
        <v>0</v>
      </c>
      <c r="AI93" s="241">
        <f t="shared" ref="AI93:BB93" si="34">SUM(AI75)</f>
        <v>0</v>
      </c>
      <c r="AJ93" s="241">
        <f t="shared" si="34"/>
        <v>0</v>
      </c>
      <c r="AK93" s="241">
        <f t="shared" si="34"/>
        <v>0</v>
      </c>
      <c r="AL93" s="241">
        <f t="shared" si="34"/>
        <v>0</v>
      </c>
      <c r="AM93" s="285">
        <f t="shared" si="34"/>
        <v>0</v>
      </c>
      <c r="AN93" s="241">
        <f t="shared" si="34"/>
        <v>0</v>
      </c>
      <c r="AO93" s="241">
        <f t="shared" si="34"/>
        <v>0</v>
      </c>
      <c r="AP93" s="241">
        <f t="shared" si="34"/>
        <v>0</v>
      </c>
      <c r="AQ93" s="241">
        <f t="shared" si="34"/>
        <v>0</v>
      </c>
      <c r="AR93" s="285">
        <f t="shared" si="34"/>
        <v>0</v>
      </c>
      <c r="AS93" s="241">
        <f t="shared" si="34"/>
        <v>0</v>
      </c>
      <c r="AT93" s="241">
        <f t="shared" si="34"/>
        <v>0</v>
      </c>
      <c r="AU93" s="241">
        <f t="shared" si="34"/>
        <v>0</v>
      </c>
      <c r="AV93" s="241">
        <f t="shared" si="34"/>
        <v>0</v>
      </c>
      <c r="AW93" s="285">
        <f t="shared" si="34"/>
        <v>0</v>
      </c>
      <c r="AX93" s="241">
        <f t="shared" si="34"/>
        <v>0</v>
      </c>
      <c r="AY93" s="241">
        <f t="shared" si="34"/>
        <v>0</v>
      </c>
      <c r="AZ93" s="241">
        <f t="shared" si="34"/>
        <v>0</v>
      </c>
      <c r="BA93" s="241">
        <f t="shared" si="34"/>
        <v>0</v>
      </c>
      <c r="BB93" s="285">
        <f t="shared" si="34"/>
        <v>0</v>
      </c>
      <c r="BG93" s="285">
        <f>SUM(BG75)</f>
        <v>0</v>
      </c>
      <c r="BH93" s="121"/>
      <c r="BI93" s="121"/>
      <c r="BJ93" s="121"/>
      <c r="BK93" s="121"/>
      <c r="BL93" s="120">
        <f>SUM(BL75)</f>
        <v>0</v>
      </c>
      <c r="BM93" s="121"/>
      <c r="BN93" s="121"/>
      <c r="BO93" s="121"/>
      <c r="BP93" s="121"/>
      <c r="BQ93" s="120">
        <f>SUM(BQ75)</f>
        <v>0</v>
      </c>
      <c r="BR93" s="121"/>
      <c r="BS93" s="121"/>
      <c r="BT93" s="121"/>
      <c r="BU93" s="121"/>
      <c r="BV93" s="120">
        <f>SUM(BV75)</f>
        <v>0</v>
      </c>
      <c r="BW93" s="121"/>
      <c r="BX93" s="121"/>
      <c r="BY93" s="121"/>
      <c r="BZ93" s="121"/>
      <c r="CA93" s="120">
        <f>SUM(CA75)</f>
        <v>0</v>
      </c>
      <c r="CB93" s="121"/>
      <c r="CC93" s="121"/>
      <c r="CD93" s="121"/>
      <c r="CE93" s="121"/>
      <c r="CF93" s="120">
        <f>SUM(CF75)</f>
        <v>0</v>
      </c>
      <c r="CG93" s="121"/>
      <c r="CH93" s="121"/>
      <c r="CI93" s="121"/>
      <c r="CJ93" s="121"/>
      <c r="CK93" s="120">
        <f>SUM(CK75)</f>
        <v>0</v>
      </c>
      <c r="CL93" s="121"/>
      <c r="CM93" s="121"/>
      <c r="CN93" s="121"/>
      <c r="CO93" s="121"/>
      <c r="CP93" s="120">
        <f>SUM(CP75)</f>
        <v>0</v>
      </c>
      <c r="CQ93" s="121"/>
      <c r="CR93" s="121"/>
      <c r="CS93" s="121"/>
      <c r="CT93" s="121"/>
      <c r="CU93" s="120">
        <f>SUM(CU75)</f>
        <v>0</v>
      </c>
      <c r="CV93" s="121"/>
      <c r="CW93" s="121"/>
      <c r="CX93" s="121"/>
      <c r="CY93" s="121"/>
      <c r="CZ93" s="120">
        <f>SUM(CZ75)</f>
        <v>0</v>
      </c>
      <c r="DA93" s="121"/>
      <c r="DB93" s="121"/>
      <c r="DC93" s="121"/>
      <c r="DD93" s="121"/>
      <c r="DE93" s="120">
        <f>SUM(DE75)</f>
        <v>0</v>
      </c>
      <c r="DF93" s="121"/>
      <c r="DG93" s="121"/>
      <c r="DH93" s="121"/>
      <c r="DI93" s="121"/>
      <c r="DJ93" s="120">
        <f>SUM(DJ75)</f>
        <v>0</v>
      </c>
      <c r="DK93" s="121"/>
      <c r="DL93" s="121"/>
      <c r="DM93" s="121"/>
      <c r="DN93" s="121"/>
      <c r="DO93" s="120">
        <f>SUM(DO75)</f>
        <v>0</v>
      </c>
      <c r="DP93" s="121"/>
      <c r="DQ93" s="121"/>
      <c r="DR93" s="121"/>
      <c r="DS93" s="121"/>
      <c r="DT93" s="120">
        <f>SUM(DT75)</f>
        <v>0</v>
      </c>
      <c r="DU93" s="121"/>
      <c r="DV93" s="121"/>
      <c r="DW93" s="121"/>
      <c r="DX93" s="121"/>
      <c r="DY93" s="120">
        <f>SUM(DY75)</f>
        <v>0</v>
      </c>
      <c r="DZ93" s="120">
        <f>SUM(DZ75)</f>
        <v>0</v>
      </c>
      <c r="EA93" s="120">
        <f t="shared" ref="EA93:EB93" si="35">SUM(EA75)</f>
        <v>0</v>
      </c>
      <c r="EB93" s="120">
        <f t="shared" si="35"/>
        <v>0</v>
      </c>
    </row>
    <row r="94" spans="2:132" s="74" customFormat="1" ht="12" hidden="1" customHeight="1" outlineLevel="1">
      <c r="B94" s="32" t="s">
        <v>293</v>
      </c>
      <c r="C94" s="33">
        <f t="shared" ref="C94:AH94" si="36">C93+C91+C87</f>
        <v>5625</v>
      </c>
      <c r="D94" s="33">
        <f t="shared" si="36"/>
        <v>7888.75</v>
      </c>
      <c r="E94" s="33">
        <f t="shared" si="36"/>
        <v>2.5</v>
      </c>
      <c r="F94" s="33">
        <f t="shared" si="36"/>
        <v>527.5333333333333</v>
      </c>
      <c r="G94" s="33">
        <f t="shared" si="36"/>
        <v>2349.85</v>
      </c>
      <c r="H94" s="33">
        <f t="shared" si="36"/>
        <v>15.083333333333332</v>
      </c>
      <c r="I94" s="33">
        <f t="shared" si="36"/>
        <v>115.91666666666667</v>
      </c>
      <c r="J94" s="32">
        <f t="shared" si="36"/>
        <v>13.333333333333334</v>
      </c>
      <c r="K94" s="32">
        <f t="shared" si="36"/>
        <v>1.1666666666666665</v>
      </c>
      <c r="L94" s="32">
        <f t="shared" si="36"/>
        <v>3.5</v>
      </c>
      <c r="M94" s="32">
        <f t="shared" si="36"/>
        <v>3.5</v>
      </c>
      <c r="N94" s="33">
        <f t="shared" si="36"/>
        <v>21.5</v>
      </c>
      <c r="O94" s="32">
        <f t="shared" si="36"/>
        <v>3.5</v>
      </c>
      <c r="P94" s="32">
        <f t="shared" si="36"/>
        <v>2.3333333333333335</v>
      </c>
      <c r="Q94" s="32">
        <f t="shared" si="36"/>
        <v>0</v>
      </c>
      <c r="R94" s="32">
        <f t="shared" si="36"/>
        <v>0</v>
      </c>
      <c r="S94" s="33">
        <f t="shared" si="36"/>
        <v>5.8333333333333339</v>
      </c>
      <c r="T94" s="32">
        <f t="shared" si="36"/>
        <v>0</v>
      </c>
      <c r="U94" s="32">
        <f t="shared" si="36"/>
        <v>0</v>
      </c>
      <c r="V94" s="32">
        <f t="shared" si="36"/>
        <v>8.3000000000000007</v>
      </c>
      <c r="W94" s="32">
        <f t="shared" si="36"/>
        <v>350.8</v>
      </c>
      <c r="X94" s="33">
        <f t="shared" si="36"/>
        <v>359.1</v>
      </c>
      <c r="Y94" s="32">
        <f t="shared" si="36"/>
        <v>350.8</v>
      </c>
      <c r="Z94" s="32">
        <f t="shared" si="36"/>
        <v>357.31025641025644</v>
      </c>
      <c r="AA94" s="32">
        <f t="shared" si="36"/>
        <v>349.27692307692308</v>
      </c>
      <c r="AB94" s="32">
        <f t="shared" si="36"/>
        <v>6.7769230769230768</v>
      </c>
      <c r="AC94" s="33">
        <f t="shared" si="36"/>
        <v>1064.1641025641024</v>
      </c>
      <c r="AD94" s="32">
        <f t="shared" si="36"/>
        <v>7.4435897435897438</v>
      </c>
      <c r="AE94" s="32">
        <f t="shared" si="36"/>
        <v>3.7666666666666666</v>
      </c>
      <c r="AF94" s="32">
        <f t="shared" si="36"/>
        <v>13.074999999999999</v>
      </c>
      <c r="AG94" s="32">
        <f t="shared" si="36"/>
        <v>56.75833333333334</v>
      </c>
      <c r="AH94" s="33">
        <f t="shared" si="36"/>
        <v>81.043589743589735</v>
      </c>
      <c r="AI94" s="32">
        <f t="shared" ref="AI94:BL94" si="37">AI93+AI91+AI87</f>
        <v>93.008333333333326</v>
      </c>
      <c r="AJ94" s="32">
        <f t="shared" si="37"/>
        <v>90.174999999999997</v>
      </c>
      <c r="AK94" s="32">
        <f t="shared" si="37"/>
        <v>114.95858585858588</v>
      </c>
      <c r="AL94" s="32">
        <f t="shared" si="37"/>
        <v>71.27525252525254</v>
      </c>
      <c r="AM94" s="33">
        <f t="shared" si="37"/>
        <v>369.4171717171717</v>
      </c>
      <c r="AN94" s="32">
        <f t="shared" si="37"/>
        <v>39.983585858585869</v>
      </c>
      <c r="AO94" s="32">
        <f t="shared" si="37"/>
        <v>39.983585858585869</v>
      </c>
      <c r="AP94" s="32">
        <f t="shared" si="37"/>
        <v>67.625</v>
      </c>
      <c r="AQ94" s="32">
        <f t="shared" si="37"/>
        <v>131.505</v>
      </c>
      <c r="AR94" s="33">
        <f t="shared" si="37"/>
        <v>279.0971717171717</v>
      </c>
      <c r="AS94" s="32">
        <f t="shared" si="37"/>
        <v>90.25</v>
      </c>
      <c r="AT94" s="32">
        <f t="shared" si="37"/>
        <v>90.25</v>
      </c>
      <c r="AU94" s="32">
        <f t="shared" si="37"/>
        <v>48.25</v>
      </c>
      <c r="AV94" s="32">
        <f t="shared" si="37"/>
        <v>1.5</v>
      </c>
      <c r="AW94" s="33">
        <f t="shared" si="37"/>
        <v>230.25</v>
      </c>
      <c r="AX94" s="32">
        <f>AX93+AX91+AX87</f>
        <v>0</v>
      </c>
      <c r="AY94" s="32">
        <f>AY93+AY91+AY87</f>
        <v>0</v>
      </c>
      <c r="AZ94" s="32">
        <f>AZ93+AZ91+AZ87</f>
        <v>0</v>
      </c>
      <c r="BA94" s="32">
        <f>BA93+BA91+BA87</f>
        <v>0</v>
      </c>
      <c r="BB94" s="33">
        <f t="shared" si="37"/>
        <v>0</v>
      </c>
      <c r="BC94" s="32"/>
      <c r="BD94" s="32"/>
      <c r="BE94" s="32"/>
      <c r="BF94" s="32"/>
      <c r="BG94" s="33">
        <f t="shared" si="37"/>
        <v>0</v>
      </c>
      <c r="BH94" s="32"/>
      <c r="BI94" s="32"/>
      <c r="BJ94" s="32"/>
      <c r="BK94" s="32"/>
      <c r="BL94" s="33">
        <f t="shared" si="37"/>
        <v>0</v>
      </c>
      <c r="BM94" s="32"/>
      <c r="BN94" s="32"/>
      <c r="BO94" s="32"/>
      <c r="BP94" s="32"/>
      <c r="BQ94" s="33">
        <f t="shared" ref="BQ94" si="38">BQ93+BQ91+BQ87</f>
        <v>0</v>
      </c>
      <c r="BR94" s="32">
        <f t="shared" ref="BR94:CJ94" si="39">BR93+BR91+BR87+BR92</f>
        <v>0</v>
      </c>
      <c r="BS94" s="32">
        <f t="shared" si="39"/>
        <v>0</v>
      </c>
      <c r="BT94" s="32">
        <f t="shared" si="39"/>
        <v>0</v>
      </c>
      <c r="BU94" s="32">
        <f t="shared" si="39"/>
        <v>0</v>
      </c>
      <c r="BV94" s="33">
        <f t="shared" si="39"/>
        <v>0</v>
      </c>
      <c r="BW94" s="32">
        <f t="shared" si="39"/>
        <v>0</v>
      </c>
      <c r="BX94" s="32">
        <f t="shared" si="39"/>
        <v>0</v>
      </c>
      <c r="BY94" s="32">
        <f t="shared" si="39"/>
        <v>0</v>
      </c>
      <c r="BZ94" s="32">
        <f t="shared" si="39"/>
        <v>43.333333333333336</v>
      </c>
      <c r="CA94" s="33">
        <f t="shared" si="39"/>
        <v>43.333333333333336</v>
      </c>
      <c r="CB94" s="32">
        <f t="shared" si="39"/>
        <v>65</v>
      </c>
      <c r="CC94" s="32">
        <f t="shared" si="39"/>
        <v>65</v>
      </c>
      <c r="CD94" s="32">
        <f t="shared" si="39"/>
        <v>65</v>
      </c>
      <c r="CE94" s="32">
        <f t="shared" si="39"/>
        <v>418.66666666666669</v>
      </c>
      <c r="CF94" s="33">
        <f t="shared" si="39"/>
        <v>613.66666666666663</v>
      </c>
      <c r="CG94" s="32">
        <f t="shared" si="39"/>
        <v>400</v>
      </c>
      <c r="CH94" s="32">
        <f t="shared" si="39"/>
        <v>405</v>
      </c>
      <c r="CI94" s="32">
        <f t="shared" si="39"/>
        <v>402</v>
      </c>
      <c r="CJ94" s="32">
        <f t="shared" si="39"/>
        <v>-25.010999999999967</v>
      </c>
      <c r="CK94" s="33">
        <f>CK93+CK91+CK87+CK92</f>
        <v>1181.989</v>
      </c>
      <c r="CL94" s="32">
        <f t="shared" ref="CL94:CP94" si="40">CL93+CL91+CL87+CL92</f>
        <v>0</v>
      </c>
      <c r="CM94" s="32">
        <f t="shared" si="40"/>
        <v>0</v>
      </c>
      <c r="CN94" s="32">
        <f t="shared" si="40"/>
        <v>0</v>
      </c>
      <c r="CO94" s="32">
        <f t="shared" si="40"/>
        <v>0</v>
      </c>
      <c r="CP94" s="33">
        <f t="shared" si="40"/>
        <v>0</v>
      </c>
      <c r="CQ94" s="32">
        <f t="shared" ref="CQ94:CV94" si="41">CQ93+CQ91+CQ87+CQ92</f>
        <v>0</v>
      </c>
      <c r="CR94" s="32">
        <f t="shared" si="41"/>
        <v>0</v>
      </c>
      <c r="CS94" s="32">
        <f t="shared" si="41"/>
        <v>0</v>
      </c>
      <c r="CT94" s="32">
        <f t="shared" si="41"/>
        <v>0</v>
      </c>
      <c r="CU94" s="33">
        <f t="shared" si="41"/>
        <v>0</v>
      </c>
      <c r="CV94" s="32">
        <f t="shared" si="41"/>
        <v>0</v>
      </c>
      <c r="CW94" s="32">
        <f t="shared" ref="CW94:CZ94" si="42">CW93+CW91+CW87+CW92</f>
        <v>0</v>
      </c>
      <c r="CX94" s="32">
        <f t="shared" si="42"/>
        <v>0</v>
      </c>
      <c r="CY94" s="32">
        <f t="shared" si="42"/>
        <v>0</v>
      </c>
      <c r="CZ94" s="33">
        <f t="shared" si="42"/>
        <v>0</v>
      </c>
      <c r="DA94" s="32">
        <f t="shared" ref="DA94:DE94" si="43">DA93+DA91+DA87+DA92</f>
        <v>0</v>
      </c>
      <c r="DB94" s="32">
        <f t="shared" si="43"/>
        <v>0</v>
      </c>
      <c r="DC94" s="32">
        <f t="shared" si="43"/>
        <v>0</v>
      </c>
      <c r="DD94" s="32">
        <f t="shared" si="43"/>
        <v>0</v>
      </c>
      <c r="DE94" s="33">
        <f t="shared" si="43"/>
        <v>0</v>
      </c>
      <c r="DF94" s="32">
        <f t="shared" ref="DF94:DI94" si="44">DF93+DF91+DF87+DF92</f>
        <v>0</v>
      </c>
      <c r="DG94" s="32">
        <f t="shared" si="44"/>
        <v>0</v>
      </c>
      <c r="DH94" s="32">
        <f t="shared" si="44"/>
        <v>0</v>
      </c>
      <c r="DI94" s="32">
        <f t="shared" si="44"/>
        <v>0</v>
      </c>
      <c r="DJ94" s="33">
        <f t="shared" ref="DJ94:DN94" si="45">DJ93+DJ91+DJ87+DJ92</f>
        <v>0</v>
      </c>
      <c r="DK94" s="32">
        <f t="shared" si="45"/>
        <v>0</v>
      </c>
      <c r="DL94" s="32">
        <f t="shared" si="45"/>
        <v>0</v>
      </c>
      <c r="DM94" s="32">
        <f t="shared" si="45"/>
        <v>0</v>
      </c>
      <c r="DN94" s="32">
        <f t="shared" si="45"/>
        <v>90</v>
      </c>
      <c r="DO94" s="33">
        <f t="shared" ref="DO94:DS94" si="46">DO93+DO91+DO87+DO92</f>
        <v>90</v>
      </c>
      <c r="DP94" s="32">
        <f t="shared" si="46"/>
        <v>375</v>
      </c>
      <c r="DQ94" s="32">
        <f t="shared" si="46"/>
        <v>365</v>
      </c>
      <c r="DR94" s="32">
        <f t="shared" si="46"/>
        <v>395</v>
      </c>
      <c r="DS94" s="32">
        <f t="shared" si="46"/>
        <v>250</v>
      </c>
      <c r="DT94" s="33">
        <f t="shared" ref="DT94:DX94" si="47">DT93+DT91+DT87+DT92</f>
        <v>1385</v>
      </c>
      <c r="DU94" s="32">
        <f t="shared" si="47"/>
        <v>0</v>
      </c>
      <c r="DV94" s="32">
        <f t="shared" si="47"/>
        <v>0</v>
      </c>
      <c r="DW94" s="32">
        <f t="shared" si="47"/>
        <v>0</v>
      </c>
      <c r="DX94" s="32">
        <f t="shared" si="47"/>
        <v>0</v>
      </c>
      <c r="DY94" s="33">
        <f t="shared" ref="DY94" si="48">DY93+DY91+DY87+DY92</f>
        <v>0</v>
      </c>
      <c r="DZ94" s="33">
        <f t="shared" ref="DZ94:EB94" si="49">DZ93+DZ91+DZ87+DZ92</f>
        <v>0</v>
      </c>
      <c r="EA94" s="33">
        <f t="shared" si="49"/>
        <v>0</v>
      </c>
      <c r="EB94" s="33">
        <f t="shared" si="49"/>
        <v>0</v>
      </c>
    </row>
    <row r="95" spans="2:132" s="241" customFormat="1" ht="12" hidden="1" customHeight="1" outlineLevel="1">
      <c r="C95" s="285"/>
      <c r="D95" s="285"/>
      <c r="E95" s="285"/>
      <c r="F95" s="285"/>
      <c r="G95" s="285"/>
      <c r="H95" s="285"/>
      <c r="I95" s="285"/>
      <c r="N95" s="285"/>
      <c r="S95" s="285"/>
      <c r="X95" s="285"/>
      <c r="AC95" s="285"/>
      <c r="AH95" s="285"/>
      <c r="AM95" s="285" t="str">
        <f>IF( SUM(AI94:AL94)=AM94,IF(AM94=(AM87+AM91+AM93),"","check"))</f>
        <v/>
      </c>
      <c r="AR95" s="285" t="str">
        <f>IF( SUM(AN94:AQ94)=AR94,IF(AR94=(AR87+AR91+AR93),"","check"))</f>
        <v/>
      </c>
      <c r="AW95" s="285" t="str">
        <f>IF( SUM(AS94:AV94)=AW94,IF(AW94=(AW87+AW91+AW93),"","check"))</f>
        <v/>
      </c>
      <c r="BB95" s="285"/>
      <c r="BG95" s="285"/>
      <c r="BH95" s="121"/>
      <c r="BI95" s="121"/>
      <c r="BJ95" s="121"/>
      <c r="BK95" s="121"/>
      <c r="BL95" s="120"/>
      <c r="BM95" s="121"/>
      <c r="BN95" s="121"/>
      <c r="BO95" s="121"/>
      <c r="BP95" s="121"/>
      <c r="BQ95" s="120"/>
      <c r="BR95" s="121"/>
      <c r="BS95" s="121"/>
      <c r="BT95" s="121"/>
      <c r="BU95" s="121"/>
      <c r="BV95" s="120"/>
      <c r="BW95" s="121"/>
      <c r="BX95" s="121"/>
      <c r="BY95" s="121"/>
      <c r="BZ95" s="121"/>
      <c r="CA95" s="120"/>
      <c r="CB95" s="121"/>
      <c r="CC95" s="121"/>
      <c r="CD95" s="121"/>
      <c r="CE95" s="121"/>
      <c r="CF95" s="120"/>
      <c r="CG95" s="121"/>
      <c r="CH95" s="121"/>
      <c r="CI95" s="121"/>
      <c r="CJ95" s="121"/>
      <c r="CK95" s="120"/>
      <c r="CL95" s="121"/>
      <c r="CM95" s="121"/>
      <c r="CN95" s="121"/>
      <c r="CO95" s="121"/>
      <c r="CP95" s="120"/>
      <c r="CQ95" s="121"/>
      <c r="CR95" s="121"/>
      <c r="CS95" s="121"/>
      <c r="CT95" s="121"/>
      <c r="CU95" s="120"/>
      <c r="CV95" s="121"/>
      <c r="CW95" s="121"/>
      <c r="CX95" s="121"/>
      <c r="CY95" s="121"/>
      <c r="CZ95" s="120"/>
      <c r="DA95" s="121"/>
      <c r="DB95" s="121"/>
      <c r="DC95" s="121"/>
      <c r="DD95" s="121"/>
      <c r="DE95" s="120"/>
      <c r="DF95" s="121"/>
      <c r="DG95" s="121"/>
      <c r="DH95" s="121"/>
      <c r="DI95" s="121"/>
      <c r="DJ95" s="120"/>
      <c r="DK95" s="121"/>
      <c r="DL95" s="121"/>
      <c r="DM95" s="121"/>
      <c r="DN95" s="121"/>
      <c r="DO95" s="120"/>
      <c r="DP95" s="121"/>
      <c r="DQ95" s="121"/>
      <c r="DR95" s="121"/>
      <c r="DS95" s="121"/>
      <c r="DT95" s="120"/>
      <c r="DU95" s="121"/>
      <c r="DV95" s="121"/>
      <c r="DW95" s="121"/>
      <c r="DX95" s="121"/>
      <c r="DY95" s="120"/>
      <c r="DZ95" s="120"/>
      <c r="EA95" s="120"/>
      <c r="EB95" s="120"/>
    </row>
    <row r="96" spans="2:132" s="241" customFormat="1" ht="12" hidden="1" customHeight="1" outlineLevel="1">
      <c r="B96" s="74" t="s">
        <v>179</v>
      </c>
      <c r="C96" s="285"/>
      <c r="D96" s="285"/>
      <c r="E96" s="285"/>
      <c r="F96" s="285"/>
      <c r="G96" s="285"/>
      <c r="H96" s="285"/>
      <c r="I96" s="285"/>
      <c r="N96" s="285"/>
      <c r="S96" s="285"/>
      <c r="X96" s="285"/>
      <c r="AC96" s="285"/>
      <c r="AH96" s="285"/>
      <c r="AM96" s="285"/>
      <c r="AR96" s="285"/>
      <c r="AW96" s="285"/>
      <c r="BB96" s="285"/>
      <c r="BG96" s="285"/>
      <c r="BH96" s="121"/>
      <c r="BI96" s="121"/>
      <c r="BJ96" s="121"/>
      <c r="BK96" s="121"/>
      <c r="BL96" s="120"/>
      <c r="BM96" s="121"/>
      <c r="BN96" s="121"/>
      <c r="BO96" s="121"/>
      <c r="BP96" s="121"/>
      <c r="BQ96" s="120"/>
      <c r="BR96" s="121"/>
      <c r="BS96" s="121"/>
      <c r="BT96" s="121"/>
      <c r="BU96" s="121"/>
      <c r="BV96" s="120"/>
      <c r="BW96" s="121"/>
      <c r="BX96" s="121"/>
      <c r="BY96" s="121"/>
      <c r="BZ96" s="121"/>
      <c r="CA96" s="120"/>
      <c r="CB96" s="121"/>
      <c r="CC96" s="121"/>
      <c r="CD96" s="121"/>
      <c r="CE96" s="121"/>
      <c r="CF96" s="120"/>
      <c r="CG96" s="121"/>
      <c r="CH96" s="121"/>
      <c r="CI96" s="121"/>
      <c r="CJ96" s="121"/>
      <c r="CK96" s="120"/>
      <c r="CL96" s="121"/>
      <c r="CM96" s="121"/>
      <c r="CN96" s="121"/>
      <c r="CO96" s="121"/>
      <c r="CP96" s="120"/>
      <c r="CQ96" s="121"/>
      <c r="CR96" s="121"/>
      <c r="CS96" s="121"/>
      <c r="CT96" s="121"/>
      <c r="CU96" s="120"/>
      <c r="CV96" s="121"/>
      <c r="CW96" s="121"/>
      <c r="CX96" s="121"/>
      <c r="CY96" s="121"/>
      <c r="CZ96" s="120"/>
      <c r="DA96" s="121"/>
      <c r="DB96" s="121"/>
      <c r="DC96" s="121"/>
      <c r="DD96" s="121"/>
      <c r="DE96" s="120"/>
      <c r="DF96" s="121"/>
      <c r="DG96" s="121"/>
      <c r="DH96" s="121"/>
      <c r="DI96" s="121"/>
      <c r="DJ96" s="120"/>
      <c r="DK96" s="121"/>
      <c r="DL96" s="121"/>
      <c r="DM96" s="121"/>
      <c r="DN96" s="121"/>
      <c r="DO96" s="120"/>
      <c r="DP96" s="121"/>
      <c r="DQ96" s="121"/>
      <c r="DR96" s="121"/>
      <c r="DS96" s="121"/>
      <c r="DT96" s="120"/>
      <c r="DU96" s="121"/>
      <c r="DV96" s="121"/>
      <c r="DW96" s="121"/>
      <c r="DX96" s="121"/>
      <c r="DY96" s="120"/>
      <c r="DZ96" s="120"/>
      <c r="EA96" s="120"/>
      <c r="EB96" s="120"/>
    </row>
    <row r="97" spans="2:132" s="241" customFormat="1" ht="12" hidden="1" customHeight="1" outlineLevel="1">
      <c r="B97" s="241" t="s">
        <v>105</v>
      </c>
      <c r="C97" s="285">
        <f t="shared" ref="C97:AH97" si="50">SUM(C29:C35)</f>
        <v>0</v>
      </c>
      <c r="D97" s="285">
        <f t="shared" si="50"/>
        <v>0</v>
      </c>
      <c r="E97" s="285">
        <f t="shared" si="50"/>
        <v>0</v>
      </c>
      <c r="F97" s="285">
        <f t="shared" si="50"/>
        <v>0</v>
      </c>
      <c r="G97" s="285">
        <f t="shared" si="50"/>
        <v>0</v>
      </c>
      <c r="H97" s="285">
        <f t="shared" si="50"/>
        <v>0</v>
      </c>
      <c r="I97" s="285">
        <f t="shared" si="50"/>
        <v>-276.66666666666663</v>
      </c>
      <c r="J97" s="241">
        <f t="shared" si="50"/>
        <v>-68.333333333333329</v>
      </c>
      <c r="K97" s="241">
        <f t="shared" si="50"/>
        <v>-15</v>
      </c>
      <c r="L97" s="241">
        <f t="shared" si="50"/>
        <v>-28.333333333333332</v>
      </c>
      <c r="M97" s="241">
        <f t="shared" si="50"/>
        <v>-80</v>
      </c>
      <c r="N97" s="285">
        <f t="shared" si="50"/>
        <v>-191.66666666666663</v>
      </c>
      <c r="O97" s="241">
        <f t="shared" si="50"/>
        <v>-98.75</v>
      </c>
      <c r="P97" s="241">
        <f t="shared" si="50"/>
        <v>-98.75</v>
      </c>
      <c r="Q97" s="241">
        <f t="shared" si="50"/>
        <v>-707.75</v>
      </c>
      <c r="R97" s="241">
        <f t="shared" si="50"/>
        <v>-662.25</v>
      </c>
      <c r="S97" s="285">
        <f t="shared" si="50"/>
        <v>-1567.5</v>
      </c>
      <c r="T97" s="241">
        <f t="shared" si="50"/>
        <v>-643.5</v>
      </c>
      <c r="U97" s="241">
        <f t="shared" si="50"/>
        <v>-643.5</v>
      </c>
      <c r="V97" s="241">
        <f t="shared" si="50"/>
        <v>-6.166666666666667</v>
      </c>
      <c r="W97" s="241">
        <f t="shared" si="50"/>
        <v>0</v>
      </c>
      <c r="X97" s="285">
        <f t="shared" si="50"/>
        <v>-1293.1666666666667</v>
      </c>
      <c r="Y97" s="241">
        <f t="shared" si="50"/>
        <v>0</v>
      </c>
      <c r="Z97" s="241">
        <f t="shared" si="50"/>
        <v>0</v>
      </c>
      <c r="AA97" s="241">
        <f t="shared" si="50"/>
        <v>0</v>
      </c>
      <c r="AB97" s="241">
        <f t="shared" si="50"/>
        <v>0</v>
      </c>
      <c r="AC97" s="285">
        <f t="shared" si="50"/>
        <v>0</v>
      </c>
      <c r="AD97" s="241">
        <f t="shared" si="50"/>
        <v>0</v>
      </c>
      <c r="AE97" s="241">
        <f t="shared" si="50"/>
        <v>0</v>
      </c>
      <c r="AF97" s="241">
        <f t="shared" si="50"/>
        <v>0</v>
      </c>
      <c r="AG97" s="241">
        <f t="shared" si="50"/>
        <v>0</v>
      </c>
      <c r="AH97" s="285">
        <f t="shared" si="50"/>
        <v>0</v>
      </c>
      <c r="AI97" s="241">
        <f t="shared" ref="AI97:BB97" si="51">SUM(AI29:AI35)</f>
        <v>0</v>
      </c>
      <c r="AJ97" s="241">
        <f t="shared" si="51"/>
        <v>0</v>
      </c>
      <c r="AK97" s="241">
        <f t="shared" si="51"/>
        <v>0</v>
      </c>
      <c r="AL97" s="241">
        <f t="shared" si="51"/>
        <v>0</v>
      </c>
      <c r="AM97" s="285">
        <f t="shared" si="51"/>
        <v>0</v>
      </c>
      <c r="AN97" s="241">
        <f t="shared" si="51"/>
        <v>0</v>
      </c>
      <c r="AO97" s="241">
        <f t="shared" si="51"/>
        <v>0</v>
      </c>
      <c r="AP97" s="241">
        <f t="shared" si="51"/>
        <v>0</v>
      </c>
      <c r="AQ97" s="241">
        <f t="shared" si="51"/>
        <v>0</v>
      </c>
      <c r="AR97" s="285">
        <f t="shared" si="51"/>
        <v>0</v>
      </c>
      <c r="AS97" s="241">
        <f t="shared" si="51"/>
        <v>0</v>
      </c>
      <c r="AT97" s="241">
        <f t="shared" si="51"/>
        <v>0</v>
      </c>
      <c r="AU97" s="241">
        <f t="shared" si="51"/>
        <v>0</v>
      </c>
      <c r="AV97" s="241">
        <f t="shared" si="51"/>
        <v>0</v>
      </c>
      <c r="AW97" s="285">
        <f t="shared" si="51"/>
        <v>0</v>
      </c>
      <c r="AX97" s="241">
        <f t="shared" si="51"/>
        <v>0</v>
      </c>
      <c r="AY97" s="241">
        <f t="shared" si="51"/>
        <v>0</v>
      </c>
      <c r="AZ97" s="241">
        <f t="shared" si="51"/>
        <v>0</v>
      </c>
      <c r="BA97" s="241">
        <f t="shared" si="51"/>
        <v>0</v>
      </c>
      <c r="BB97" s="285">
        <f t="shared" si="51"/>
        <v>0</v>
      </c>
      <c r="BG97" s="285">
        <f>SUM(BG29:BG35)</f>
        <v>0</v>
      </c>
      <c r="BH97" s="121"/>
      <c r="BI97" s="121"/>
      <c r="BJ97" s="121"/>
      <c r="BK97" s="121"/>
      <c r="BL97" s="120">
        <f>SUM(BL29:BL35)</f>
        <v>0</v>
      </c>
      <c r="BM97" s="121"/>
      <c r="BN97" s="121"/>
      <c r="BO97" s="121"/>
      <c r="BP97" s="121"/>
      <c r="BQ97" s="120">
        <f>SUM(BQ29:BQ35)</f>
        <v>0</v>
      </c>
      <c r="BR97" s="121"/>
      <c r="BS97" s="121"/>
      <c r="BT97" s="121"/>
      <c r="BU97" s="121"/>
      <c r="BV97" s="120">
        <f>SUM(BV29:BV35)</f>
        <v>0</v>
      </c>
      <c r="BW97" s="121"/>
      <c r="BX97" s="121"/>
      <c r="BY97" s="121"/>
      <c r="BZ97" s="121"/>
      <c r="CA97" s="120">
        <f>SUM(CA29:CA35)</f>
        <v>0</v>
      </c>
      <c r="CB97" s="121"/>
      <c r="CC97" s="121"/>
      <c r="CD97" s="121"/>
      <c r="CE97" s="121"/>
      <c r="CF97" s="120">
        <f>SUM(CF29:CF35)</f>
        <v>0</v>
      </c>
      <c r="CG97" s="121"/>
      <c r="CH97" s="121"/>
      <c r="CI97" s="121"/>
      <c r="CJ97" s="121"/>
      <c r="CK97" s="120">
        <f>SUM(CK29:CK35)</f>
        <v>0</v>
      </c>
      <c r="CL97" s="121"/>
      <c r="CM97" s="121"/>
      <c r="CN97" s="121"/>
      <c r="CO97" s="121"/>
      <c r="CP97" s="120">
        <f>SUM(CP29:CP35)</f>
        <v>0</v>
      </c>
      <c r="CQ97" s="121"/>
      <c r="CR97" s="121"/>
      <c r="CS97" s="121"/>
      <c r="CT97" s="121"/>
      <c r="CU97" s="120">
        <f>SUM(CU29:CU35)</f>
        <v>0</v>
      </c>
      <c r="CV97" s="121"/>
      <c r="CW97" s="121"/>
      <c r="CX97" s="121"/>
      <c r="CY97" s="121"/>
      <c r="CZ97" s="120">
        <f>SUM(CZ29:CZ35)</f>
        <v>0</v>
      </c>
      <c r="DA97" s="121"/>
      <c r="DB97" s="121"/>
      <c r="DC97" s="121"/>
      <c r="DD97" s="121"/>
      <c r="DE97" s="120">
        <f>SUM(DE29:DE35)</f>
        <v>0</v>
      </c>
      <c r="DF97" s="121"/>
      <c r="DG97" s="121"/>
      <c r="DH97" s="121"/>
      <c r="DI97" s="121"/>
      <c r="DJ97" s="120">
        <f>SUM(DJ29:DJ35)</f>
        <v>0</v>
      </c>
      <c r="DK97" s="121"/>
      <c r="DL97" s="121"/>
      <c r="DM97" s="121"/>
      <c r="DN97" s="121"/>
      <c r="DO97" s="120">
        <f>SUM(DO29:DO35)</f>
        <v>0</v>
      </c>
      <c r="DP97" s="121"/>
      <c r="DQ97" s="121"/>
      <c r="DR97" s="121"/>
      <c r="DS97" s="121"/>
      <c r="DT97" s="120">
        <f>SUM(DT29:DT35)</f>
        <v>0</v>
      </c>
      <c r="DU97" s="121"/>
      <c r="DV97" s="121"/>
      <c r="DW97" s="121"/>
      <c r="DX97" s="121"/>
      <c r="DY97" s="120">
        <f>SUM(DY29:DY35)</f>
        <v>0</v>
      </c>
      <c r="DZ97" s="120">
        <f>SUM(DZ29:DZ35)</f>
        <v>0</v>
      </c>
      <c r="EA97" s="120">
        <f>SUM(EA29:EA35)</f>
        <v>0</v>
      </c>
      <c r="EB97" s="120">
        <f>SUM(EB29:EB35)</f>
        <v>0</v>
      </c>
    </row>
    <row r="98" spans="2:132" s="241" customFormat="1" ht="12" hidden="1" customHeight="1" outlineLevel="1">
      <c r="B98" s="311" t="s">
        <v>106</v>
      </c>
      <c r="C98" s="285"/>
      <c r="D98" s="285"/>
      <c r="E98" s="285"/>
      <c r="F98" s="285"/>
      <c r="G98" s="285"/>
      <c r="H98" s="285"/>
      <c r="I98" s="285"/>
      <c r="N98" s="285"/>
      <c r="S98" s="285"/>
      <c r="X98" s="285"/>
      <c r="AC98" s="285"/>
      <c r="AH98" s="285"/>
      <c r="AM98" s="285"/>
      <c r="AR98" s="285"/>
      <c r="AW98" s="285"/>
      <c r="BB98" s="285"/>
      <c r="BG98" s="285"/>
      <c r="BH98" s="121"/>
      <c r="BI98" s="121"/>
      <c r="BJ98" s="121"/>
      <c r="BK98" s="121"/>
      <c r="BL98" s="120"/>
      <c r="BM98" s="121"/>
      <c r="BN98" s="121"/>
      <c r="BO98" s="121"/>
      <c r="BP98" s="121"/>
      <c r="BQ98" s="120"/>
      <c r="BR98" s="121"/>
      <c r="BS98" s="121"/>
      <c r="BT98" s="121"/>
      <c r="BU98" s="121"/>
      <c r="BV98" s="120"/>
      <c r="BW98" s="121"/>
      <c r="BX98" s="121"/>
      <c r="BY98" s="121"/>
      <c r="BZ98" s="121"/>
      <c r="CA98" s="120"/>
      <c r="CB98" s="121"/>
      <c r="CC98" s="121"/>
      <c r="CD98" s="121"/>
      <c r="CE98" s="121"/>
      <c r="CF98" s="120"/>
      <c r="CG98" s="121"/>
      <c r="CH98" s="121"/>
      <c r="CI98" s="121"/>
      <c r="CJ98" s="121"/>
      <c r="CK98" s="120"/>
      <c r="CL98" s="121"/>
      <c r="CM98" s="121"/>
      <c r="CN98" s="121"/>
      <c r="CO98" s="121"/>
      <c r="CP98" s="120"/>
      <c r="CQ98" s="121"/>
      <c r="CR98" s="121"/>
      <c r="CS98" s="121"/>
      <c r="CT98" s="121"/>
      <c r="CU98" s="120"/>
      <c r="CV98" s="121"/>
      <c r="CW98" s="121"/>
      <c r="CX98" s="121"/>
      <c r="CY98" s="121"/>
      <c r="CZ98" s="120"/>
      <c r="DA98" s="121"/>
      <c r="DB98" s="121"/>
      <c r="DC98" s="121"/>
      <c r="DD98" s="121"/>
      <c r="DE98" s="120"/>
      <c r="DF98" s="121"/>
      <c r="DG98" s="121"/>
      <c r="DH98" s="121"/>
      <c r="DI98" s="121"/>
      <c r="DJ98" s="120"/>
      <c r="DK98" s="121"/>
      <c r="DL98" s="121"/>
      <c r="DM98" s="121"/>
      <c r="DN98" s="121"/>
      <c r="DO98" s="120"/>
      <c r="DP98" s="121"/>
      <c r="DQ98" s="121"/>
      <c r="DR98" s="121"/>
      <c r="DS98" s="121"/>
      <c r="DT98" s="120"/>
      <c r="DU98" s="121"/>
      <c r="DV98" s="121"/>
      <c r="DW98" s="121"/>
      <c r="DX98" s="121"/>
      <c r="DY98" s="120"/>
      <c r="DZ98" s="120"/>
      <c r="EA98" s="120"/>
      <c r="EB98" s="120"/>
    </row>
    <row r="99" spans="2:132" s="241" customFormat="1" ht="12" hidden="1" customHeight="1" outlineLevel="1">
      <c r="B99" s="311" t="s">
        <v>107</v>
      </c>
      <c r="C99" s="285"/>
      <c r="D99" s="285"/>
      <c r="E99" s="285"/>
      <c r="F99" s="285"/>
      <c r="G99" s="285"/>
      <c r="H99" s="285"/>
      <c r="I99" s="285"/>
      <c r="N99" s="285"/>
      <c r="S99" s="285"/>
      <c r="X99" s="285"/>
      <c r="AC99" s="285"/>
      <c r="AH99" s="285"/>
      <c r="AM99" s="285"/>
      <c r="AR99" s="285"/>
      <c r="AW99" s="285"/>
      <c r="BB99" s="285"/>
      <c r="BG99" s="285"/>
      <c r="BH99" s="121"/>
      <c r="BI99" s="121"/>
      <c r="BJ99" s="121"/>
      <c r="BK99" s="121"/>
      <c r="BL99" s="120"/>
      <c r="BM99" s="121"/>
      <c r="BN99" s="121"/>
      <c r="BO99" s="121"/>
      <c r="BP99" s="121"/>
      <c r="BQ99" s="120"/>
      <c r="BR99" s="121"/>
      <c r="BS99" s="121"/>
      <c r="BT99" s="121"/>
      <c r="BU99" s="121"/>
      <c r="BV99" s="120"/>
      <c r="BW99" s="121"/>
      <c r="BX99" s="121"/>
      <c r="BY99" s="121"/>
      <c r="BZ99" s="121"/>
      <c r="CA99" s="120"/>
      <c r="CB99" s="121"/>
      <c r="CC99" s="121"/>
      <c r="CD99" s="121"/>
      <c r="CE99" s="121"/>
      <c r="CF99" s="120"/>
      <c r="CG99" s="121"/>
      <c r="CH99" s="121"/>
      <c r="CI99" s="121"/>
      <c r="CJ99" s="121"/>
      <c r="CK99" s="120"/>
      <c r="CL99" s="121"/>
      <c r="CM99" s="121"/>
      <c r="CN99" s="121"/>
      <c r="CO99" s="121"/>
      <c r="CP99" s="120"/>
      <c r="CQ99" s="121"/>
      <c r="CR99" s="121"/>
      <c r="CS99" s="121"/>
      <c r="CT99" s="121"/>
      <c r="CU99" s="120"/>
      <c r="CV99" s="121"/>
      <c r="CW99" s="121"/>
      <c r="CX99" s="121"/>
      <c r="CY99" s="121"/>
      <c r="CZ99" s="120"/>
      <c r="DA99" s="121"/>
      <c r="DB99" s="121"/>
      <c r="DC99" s="121"/>
      <c r="DD99" s="121"/>
      <c r="DE99" s="120"/>
      <c r="DF99" s="121"/>
      <c r="DG99" s="121"/>
      <c r="DH99" s="121"/>
      <c r="DI99" s="121"/>
      <c r="DJ99" s="120"/>
      <c r="DK99" s="121"/>
      <c r="DL99" s="121"/>
      <c r="DM99" s="121"/>
      <c r="DN99" s="121"/>
      <c r="DO99" s="120"/>
      <c r="DP99" s="121"/>
      <c r="DQ99" s="121"/>
      <c r="DR99" s="121"/>
      <c r="DS99" s="121"/>
      <c r="DT99" s="120"/>
      <c r="DU99" s="121"/>
      <c r="DV99" s="121"/>
      <c r="DW99" s="121"/>
      <c r="DX99" s="121"/>
      <c r="DY99" s="120"/>
      <c r="DZ99" s="120"/>
      <c r="EA99" s="120"/>
      <c r="EB99" s="120"/>
    </row>
    <row r="100" spans="2:132" s="241" customFormat="1" ht="12" hidden="1" customHeight="1" outlineLevel="1">
      <c r="B100" s="311" t="s">
        <v>108</v>
      </c>
      <c r="C100" s="69"/>
      <c r="D100" s="69"/>
      <c r="E100" s="69"/>
      <c r="F100" s="69"/>
      <c r="G100" s="69"/>
      <c r="H100" s="69"/>
      <c r="I100" s="69"/>
      <c r="J100" s="70"/>
      <c r="K100" s="70"/>
      <c r="L100" s="70"/>
      <c r="M100" s="70"/>
      <c r="N100" s="69"/>
      <c r="O100" s="70"/>
      <c r="P100" s="70"/>
      <c r="Q100" s="70"/>
      <c r="R100" s="70"/>
      <c r="S100" s="69"/>
      <c r="T100" s="70"/>
      <c r="U100" s="70"/>
      <c r="V100" s="70"/>
      <c r="W100" s="70"/>
      <c r="X100" s="69"/>
      <c r="Y100" s="70"/>
      <c r="Z100" s="70"/>
      <c r="AA100" s="70"/>
      <c r="AB100" s="70"/>
      <c r="AC100" s="69"/>
      <c r="AD100" s="70"/>
      <c r="AE100" s="70"/>
      <c r="AF100" s="70"/>
      <c r="AG100" s="70"/>
      <c r="AH100" s="69"/>
      <c r="AI100" s="70"/>
      <c r="AJ100" s="70"/>
      <c r="AK100" s="70"/>
      <c r="AL100" s="70"/>
      <c r="AM100" s="69"/>
      <c r="AN100" s="70"/>
      <c r="AO100" s="70"/>
      <c r="AP100" s="70"/>
      <c r="AQ100" s="70"/>
      <c r="AR100" s="69"/>
      <c r="AS100" s="70"/>
      <c r="AT100" s="70"/>
      <c r="AU100" s="70"/>
      <c r="AV100" s="70"/>
      <c r="AW100" s="69"/>
      <c r="AX100" s="70"/>
      <c r="AY100" s="70"/>
      <c r="AZ100" s="70"/>
      <c r="BA100" s="70"/>
      <c r="BB100" s="69"/>
      <c r="BC100" s="70"/>
      <c r="BD100" s="70"/>
      <c r="BE100" s="70"/>
      <c r="BF100" s="70"/>
      <c r="BG100" s="69"/>
      <c r="BH100" s="70"/>
      <c r="BI100" s="70"/>
      <c r="BJ100" s="70"/>
      <c r="BK100" s="70"/>
      <c r="BL100" s="69"/>
      <c r="BM100" s="70"/>
      <c r="BN100" s="70"/>
      <c r="BO100" s="70"/>
      <c r="BP100" s="70"/>
      <c r="BQ100" s="69"/>
      <c r="BR100" s="70"/>
      <c r="BS100" s="70"/>
      <c r="BT100" s="70"/>
      <c r="BU100" s="70"/>
      <c r="BV100" s="69"/>
      <c r="BW100" s="70"/>
      <c r="BX100" s="70"/>
      <c r="BY100" s="70"/>
      <c r="BZ100" s="70"/>
      <c r="CA100" s="69"/>
      <c r="CB100" s="70"/>
      <c r="CC100" s="70"/>
      <c r="CD100" s="70"/>
      <c r="CE100" s="70"/>
      <c r="CF100" s="69"/>
      <c r="CG100" s="70"/>
      <c r="CH100" s="70"/>
      <c r="CI100" s="70"/>
      <c r="CJ100" s="70"/>
      <c r="CK100" s="69"/>
      <c r="CL100" s="70"/>
      <c r="CM100" s="70"/>
      <c r="CN100" s="70"/>
      <c r="CO100" s="70"/>
      <c r="CP100" s="69"/>
      <c r="CQ100" s="70"/>
      <c r="CR100" s="70"/>
      <c r="CS100" s="70"/>
      <c r="CT100" s="70"/>
      <c r="CU100" s="69"/>
      <c r="CV100" s="70"/>
      <c r="CW100" s="70"/>
      <c r="CX100" s="70"/>
      <c r="CY100" s="70"/>
      <c r="CZ100" s="69"/>
      <c r="DA100" s="70"/>
      <c r="DB100" s="70"/>
      <c r="DC100" s="70"/>
      <c r="DD100" s="70"/>
      <c r="DE100" s="69"/>
      <c r="DF100" s="70"/>
      <c r="DG100" s="70"/>
      <c r="DH100" s="70"/>
      <c r="DI100" s="70"/>
      <c r="DJ100" s="69"/>
      <c r="DK100" s="70"/>
      <c r="DL100" s="70"/>
      <c r="DM100" s="70"/>
      <c r="DN100" s="70"/>
      <c r="DO100" s="69"/>
      <c r="DP100" s="70"/>
      <c r="DQ100" s="70"/>
      <c r="DR100" s="70"/>
      <c r="DS100" s="70"/>
      <c r="DT100" s="69"/>
      <c r="DU100" s="70"/>
      <c r="DV100" s="70"/>
      <c r="DW100" s="70"/>
      <c r="DX100" s="70"/>
      <c r="DY100" s="69"/>
      <c r="DZ100" s="69"/>
      <c r="EA100" s="69"/>
      <c r="EB100" s="69"/>
    </row>
    <row r="101" spans="2:132" s="241" customFormat="1" ht="12" hidden="1" customHeight="1" outlineLevel="1">
      <c r="B101" s="241" t="s">
        <v>390</v>
      </c>
      <c r="C101" s="285">
        <f t="shared" ref="C101:X101" si="52">SUM(C65:C68)</f>
        <v>0</v>
      </c>
      <c r="D101" s="285">
        <f t="shared" si="52"/>
        <v>0</v>
      </c>
      <c r="E101" s="285">
        <f t="shared" si="52"/>
        <v>0</v>
      </c>
      <c r="F101" s="285">
        <f t="shared" si="52"/>
        <v>0</v>
      </c>
      <c r="G101" s="285">
        <f t="shared" si="52"/>
        <v>-104.16666666666667</v>
      </c>
      <c r="H101" s="285">
        <f t="shared" si="52"/>
        <v>-70.833333333333329</v>
      </c>
      <c r="I101" s="285">
        <f t="shared" si="52"/>
        <v>0</v>
      </c>
      <c r="J101" s="241">
        <f t="shared" si="52"/>
        <v>0</v>
      </c>
      <c r="K101" s="241">
        <f t="shared" si="52"/>
        <v>0</v>
      </c>
      <c r="L101" s="241">
        <f t="shared" si="52"/>
        <v>0</v>
      </c>
      <c r="M101" s="241">
        <f t="shared" si="52"/>
        <v>0</v>
      </c>
      <c r="N101" s="285">
        <f t="shared" si="52"/>
        <v>0</v>
      </c>
      <c r="O101" s="241">
        <f t="shared" si="52"/>
        <v>0</v>
      </c>
      <c r="P101" s="241">
        <f t="shared" si="52"/>
        <v>-22.5</v>
      </c>
      <c r="Q101" s="241">
        <f t="shared" si="52"/>
        <v>-122.5</v>
      </c>
      <c r="R101" s="241">
        <f t="shared" si="52"/>
        <v>-322.5</v>
      </c>
      <c r="S101" s="285">
        <f t="shared" si="52"/>
        <v>-467.5</v>
      </c>
      <c r="T101" s="241">
        <f t="shared" si="52"/>
        <v>-322.5</v>
      </c>
      <c r="U101" s="241">
        <f t="shared" si="52"/>
        <v>-300</v>
      </c>
      <c r="V101" s="241">
        <f t="shared" si="52"/>
        <v>-200</v>
      </c>
      <c r="W101" s="241">
        <f t="shared" si="52"/>
        <v>0</v>
      </c>
      <c r="X101" s="285">
        <f t="shared" si="52"/>
        <v>-822.5</v>
      </c>
      <c r="AC101" s="285"/>
      <c r="AH101" s="285"/>
      <c r="AM101" s="285"/>
      <c r="AR101" s="285"/>
      <c r="AW101" s="285"/>
      <c r="BB101" s="285">
        <f t="shared" ref="BB101:BL101" si="53">SUM(BB98:BB100)</f>
        <v>0</v>
      </c>
      <c r="BG101" s="285">
        <f t="shared" si="53"/>
        <v>0</v>
      </c>
      <c r="BH101" s="121"/>
      <c r="BI101" s="121"/>
      <c r="BJ101" s="121"/>
      <c r="BK101" s="121"/>
      <c r="BL101" s="120">
        <f t="shared" si="53"/>
        <v>0</v>
      </c>
      <c r="BM101" s="121"/>
      <c r="BN101" s="121"/>
      <c r="BO101" s="121"/>
      <c r="BP101" s="121"/>
      <c r="BQ101" s="120">
        <f t="shared" ref="BQ101" si="54">SUM(BQ98:BQ100)</f>
        <v>0</v>
      </c>
      <c r="BR101" s="121"/>
      <c r="BS101" s="121"/>
      <c r="BT101" s="121"/>
      <c r="BU101" s="121"/>
      <c r="BV101" s="120">
        <f t="shared" ref="BV101" si="55">SUM(BV98:BV100)</f>
        <v>0</v>
      </c>
      <c r="BW101" s="121"/>
      <c r="BX101" s="121"/>
      <c r="BY101" s="121"/>
      <c r="BZ101" s="121"/>
      <c r="CA101" s="120">
        <f t="shared" ref="CA101" si="56">SUM(CA98:CA100)</f>
        <v>0</v>
      </c>
      <c r="CB101" s="121"/>
      <c r="CC101" s="121"/>
      <c r="CD101" s="121"/>
      <c r="CE101" s="121"/>
      <c r="CF101" s="120">
        <f>SUM(CF98:CF100)</f>
        <v>0</v>
      </c>
      <c r="CG101" s="121"/>
      <c r="CH101" s="121"/>
      <c r="CI101" s="121"/>
      <c r="CJ101" s="121"/>
      <c r="CK101" s="120">
        <f>SUM(CK98:CK100)</f>
        <v>0</v>
      </c>
      <c r="CL101" s="121"/>
      <c r="CM101" s="121"/>
      <c r="CN101" s="121"/>
      <c r="CO101" s="121"/>
      <c r="CP101" s="120">
        <f>SUM(CP98:CP100)</f>
        <v>0</v>
      </c>
      <c r="CQ101" s="121"/>
      <c r="CR101" s="121"/>
      <c r="CS101" s="121"/>
      <c r="CT101" s="121"/>
      <c r="CU101" s="120">
        <f>SUM(CU98:CU100)</f>
        <v>0</v>
      </c>
      <c r="CV101" s="121"/>
      <c r="CW101" s="121"/>
      <c r="CX101" s="121"/>
      <c r="CY101" s="121"/>
      <c r="CZ101" s="120">
        <f>SUM(CZ98:CZ100)</f>
        <v>0</v>
      </c>
      <c r="DA101" s="121"/>
      <c r="DB101" s="121"/>
      <c r="DC101" s="121"/>
      <c r="DD101" s="121"/>
      <c r="DE101" s="120">
        <f>SUM(DE98:DE100)</f>
        <v>0</v>
      </c>
      <c r="DF101" s="121"/>
      <c r="DG101" s="121"/>
      <c r="DH101" s="121"/>
      <c r="DI101" s="121"/>
      <c r="DJ101" s="120">
        <f>SUM(DJ98:DJ100)</f>
        <v>0</v>
      </c>
      <c r="DK101" s="121"/>
      <c r="DL101" s="121"/>
      <c r="DM101" s="121"/>
      <c r="DN101" s="121"/>
      <c r="DO101" s="120">
        <f>SUM(DO98:DO100)</f>
        <v>0</v>
      </c>
      <c r="DP101" s="121"/>
      <c r="DQ101" s="121"/>
      <c r="DR101" s="121"/>
      <c r="DS101" s="121"/>
      <c r="DT101" s="120">
        <f>SUM(DT98:DT100)</f>
        <v>0</v>
      </c>
      <c r="DU101" s="121"/>
      <c r="DV101" s="121"/>
      <c r="DW101" s="121"/>
      <c r="DX101" s="121"/>
      <c r="DY101" s="120">
        <f>SUM(DY98:DY100)</f>
        <v>0</v>
      </c>
      <c r="DZ101" s="120">
        <f t="shared" ref="DZ101:EB101" si="57">SUM(DZ98:DZ100)</f>
        <v>0</v>
      </c>
      <c r="EA101" s="120">
        <f t="shared" si="57"/>
        <v>0</v>
      </c>
      <c r="EB101" s="120">
        <f t="shared" si="57"/>
        <v>0</v>
      </c>
    </row>
    <row r="102" spans="2:132" s="241" customFormat="1" ht="12" hidden="1" customHeight="1" outlineLevel="1">
      <c r="B102" s="121" t="s">
        <v>575</v>
      </c>
      <c r="C102" s="285"/>
      <c r="D102" s="285"/>
      <c r="E102" s="285"/>
      <c r="F102" s="285"/>
      <c r="G102" s="285"/>
      <c r="H102" s="285"/>
      <c r="I102" s="285"/>
      <c r="N102" s="285"/>
      <c r="S102" s="285"/>
      <c r="X102" s="285"/>
      <c r="AC102" s="285"/>
      <c r="AH102" s="285"/>
      <c r="AM102" s="285"/>
      <c r="AR102" s="285"/>
      <c r="AW102" s="285"/>
      <c r="BB102" s="285"/>
      <c r="BG102" s="285"/>
      <c r="BH102" s="121"/>
      <c r="BI102" s="121"/>
      <c r="BJ102" s="121"/>
      <c r="BK102" s="121"/>
      <c r="BL102" s="120"/>
      <c r="BM102" s="121"/>
      <c r="BN102" s="121"/>
      <c r="BO102" s="121"/>
      <c r="BP102" s="121"/>
      <c r="BQ102" s="120"/>
      <c r="BR102" s="121"/>
      <c r="BS102" s="121"/>
      <c r="BT102" s="121"/>
      <c r="BU102" s="121"/>
      <c r="BV102" s="120"/>
      <c r="BW102" s="121"/>
      <c r="BX102" s="121"/>
      <c r="BY102" s="121"/>
      <c r="BZ102" s="121"/>
      <c r="CA102" s="120"/>
      <c r="CB102" s="121"/>
      <c r="CC102" s="121"/>
      <c r="CD102" s="121"/>
      <c r="CE102" s="121"/>
      <c r="CF102" s="120"/>
      <c r="CG102" s="121"/>
      <c r="CH102" s="121"/>
      <c r="CI102" s="121"/>
      <c r="CJ102" s="121"/>
      <c r="CK102" s="120"/>
      <c r="CL102" s="121"/>
      <c r="CM102" s="121"/>
      <c r="CN102" s="121"/>
      <c r="CO102" s="121"/>
      <c r="CP102" s="120"/>
      <c r="CQ102" s="121"/>
      <c r="CR102" s="121"/>
      <c r="CS102" s="121"/>
      <c r="CT102" s="121"/>
      <c r="CU102" s="120"/>
      <c r="CV102" s="121"/>
      <c r="CW102" s="121"/>
      <c r="CX102" s="121"/>
      <c r="CY102" s="121"/>
      <c r="CZ102" s="120"/>
      <c r="DA102" s="121"/>
      <c r="DB102" s="121"/>
      <c r="DC102" s="121"/>
      <c r="DD102" s="121"/>
      <c r="DE102" s="120"/>
      <c r="DF102" s="121"/>
      <c r="DG102" s="121"/>
      <c r="DH102" s="121"/>
      <c r="DI102" s="121"/>
      <c r="DJ102" s="120"/>
      <c r="DK102" s="121"/>
      <c r="DL102" s="121"/>
      <c r="DM102" s="121"/>
      <c r="DN102" s="121">
        <f>+DN73</f>
        <v>-265.333333333334</v>
      </c>
      <c r="DO102" s="120">
        <f>+SUM(DK102:DN102)</f>
        <v>-265.333333333334</v>
      </c>
      <c r="DP102" s="121">
        <f t="shared" ref="DP102:DS102" si="58">+DP73</f>
        <v>-398.00000000000102</v>
      </c>
      <c r="DQ102" s="121">
        <f t="shared" si="58"/>
        <v>-375</v>
      </c>
      <c r="DR102" s="121">
        <f t="shared" si="58"/>
        <v>-398.00000000000102</v>
      </c>
      <c r="DS102" s="121">
        <f t="shared" si="58"/>
        <v>-132.666666666667</v>
      </c>
      <c r="DT102" s="120">
        <f>+SUM(DP102:DS102)</f>
        <v>-1303.666666666669</v>
      </c>
      <c r="DU102" s="121">
        <f t="shared" ref="DU102:DX102" si="59">+DU73</f>
        <v>0</v>
      </c>
      <c r="DV102" s="121">
        <f t="shared" si="59"/>
        <v>0</v>
      </c>
      <c r="DW102" s="121">
        <f t="shared" si="59"/>
        <v>0</v>
      </c>
      <c r="DX102" s="121">
        <f t="shared" si="59"/>
        <v>0</v>
      </c>
      <c r="DY102" s="120">
        <f>+SUM(DU102:DX102)</f>
        <v>0</v>
      </c>
      <c r="DZ102" s="120"/>
      <c r="EA102" s="120"/>
      <c r="EB102" s="120"/>
    </row>
    <row r="103" spans="2:132" s="241" customFormat="1" ht="12" hidden="1" customHeight="1" outlineLevel="1">
      <c r="B103" s="241" t="s">
        <v>144</v>
      </c>
      <c r="C103" s="285">
        <f t="shared" ref="C103:AH103" si="60">SUM(C78)</f>
        <v>0</v>
      </c>
      <c r="D103" s="285">
        <f t="shared" si="60"/>
        <v>0</v>
      </c>
      <c r="E103" s="285">
        <f t="shared" si="60"/>
        <v>0</v>
      </c>
      <c r="F103" s="285">
        <f t="shared" si="60"/>
        <v>0</v>
      </c>
      <c r="G103" s="285">
        <f t="shared" si="60"/>
        <v>0</v>
      </c>
      <c r="H103" s="285">
        <f t="shared" si="60"/>
        <v>0</v>
      </c>
      <c r="I103" s="285">
        <f t="shared" si="60"/>
        <v>0</v>
      </c>
      <c r="J103" s="241">
        <f t="shared" si="60"/>
        <v>0</v>
      </c>
      <c r="K103" s="241">
        <f t="shared" si="60"/>
        <v>0</v>
      </c>
      <c r="L103" s="241">
        <f t="shared" si="60"/>
        <v>-250</v>
      </c>
      <c r="M103" s="241">
        <f t="shared" si="60"/>
        <v>-250</v>
      </c>
      <c r="N103" s="285">
        <f t="shared" si="60"/>
        <v>-500</v>
      </c>
      <c r="O103" s="241">
        <f t="shared" si="60"/>
        <v>-250</v>
      </c>
      <c r="P103" s="241">
        <f t="shared" si="60"/>
        <v>-250</v>
      </c>
      <c r="Q103" s="241">
        <f t="shared" si="60"/>
        <v>0</v>
      </c>
      <c r="R103" s="241">
        <f t="shared" si="60"/>
        <v>0</v>
      </c>
      <c r="S103" s="285">
        <f t="shared" si="60"/>
        <v>-500</v>
      </c>
      <c r="T103" s="241">
        <f t="shared" si="60"/>
        <v>0</v>
      </c>
      <c r="U103" s="241">
        <f t="shared" si="60"/>
        <v>0</v>
      </c>
      <c r="V103" s="241">
        <f t="shared" si="60"/>
        <v>0</v>
      </c>
      <c r="W103" s="241">
        <f t="shared" si="60"/>
        <v>0</v>
      </c>
      <c r="X103" s="285">
        <f t="shared" si="60"/>
        <v>0</v>
      </c>
      <c r="Y103" s="241">
        <f t="shared" si="60"/>
        <v>0</v>
      </c>
      <c r="Z103" s="241">
        <f t="shared" si="60"/>
        <v>0</v>
      </c>
      <c r="AA103" s="241">
        <f t="shared" si="60"/>
        <v>0</v>
      </c>
      <c r="AB103" s="241">
        <f t="shared" si="60"/>
        <v>0</v>
      </c>
      <c r="AC103" s="285">
        <f t="shared" si="60"/>
        <v>0</v>
      </c>
      <c r="AD103" s="241">
        <f t="shared" si="60"/>
        <v>0</v>
      </c>
      <c r="AE103" s="241">
        <f t="shared" si="60"/>
        <v>0</v>
      </c>
      <c r="AF103" s="241">
        <f t="shared" si="60"/>
        <v>0</v>
      </c>
      <c r="AG103" s="241">
        <f t="shared" si="60"/>
        <v>0</v>
      </c>
      <c r="AH103" s="285">
        <f t="shared" si="60"/>
        <v>0</v>
      </c>
      <c r="AI103" s="241">
        <f t="shared" ref="AI103:BB103" si="61">SUM(AI78)</f>
        <v>0</v>
      </c>
      <c r="AJ103" s="241">
        <f t="shared" si="61"/>
        <v>0</v>
      </c>
      <c r="AK103" s="241">
        <f t="shared" si="61"/>
        <v>0</v>
      </c>
      <c r="AL103" s="241">
        <f t="shared" si="61"/>
        <v>0</v>
      </c>
      <c r="AM103" s="285">
        <f t="shared" si="61"/>
        <v>0</v>
      </c>
      <c r="AN103" s="241">
        <f t="shared" si="61"/>
        <v>0</v>
      </c>
      <c r="AO103" s="241">
        <f t="shared" si="61"/>
        <v>0</v>
      </c>
      <c r="AP103" s="241">
        <f t="shared" si="61"/>
        <v>0</v>
      </c>
      <c r="AQ103" s="241">
        <f t="shared" si="61"/>
        <v>0</v>
      </c>
      <c r="AR103" s="285">
        <f t="shared" si="61"/>
        <v>0</v>
      </c>
      <c r="AS103" s="241">
        <f t="shared" si="61"/>
        <v>0</v>
      </c>
      <c r="AT103" s="241">
        <f t="shared" si="61"/>
        <v>0</v>
      </c>
      <c r="AU103" s="241">
        <f t="shared" si="61"/>
        <v>0</v>
      </c>
      <c r="AV103" s="241">
        <f t="shared" si="61"/>
        <v>0</v>
      </c>
      <c r="AW103" s="285">
        <f t="shared" si="61"/>
        <v>0</v>
      </c>
      <c r="AX103" s="241">
        <f t="shared" si="61"/>
        <v>0</v>
      </c>
      <c r="AY103" s="241">
        <f t="shared" si="61"/>
        <v>0</v>
      </c>
      <c r="AZ103" s="241">
        <f t="shared" si="61"/>
        <v>0</v>
      </c>
      <c r="BA103" s="241">
        <f t="shared" si="61"/>
        <v>0</v>
      </c>
      <c r="BB103" s="285">
        <f t="shared" si="61"/>
        <v>0</v>
      </c>
      <c r="BG103" s="285">
        <f>SUM(BG78)</f>
        <v>0</v>
      </c>
      <c r="BH103" s="121"/>
      <c r="BI103" s="121"/>
      <c r="BJ103" s="121"/>
      <c r="BK103" s="121"/>
      <c r="BL103" s="120">
        <f>SUM(BL78)</f>
        <v>0</v>
      </c>
      <c r="BM103" s="121"/>
      <c r="BN103" s="121"/>
      <c r="BO103" s="121"/>
      <c r="BP103" s="121"/>
      <c r="BQ103" s="120">
        <f>SUM(BQ78)</f>
        <v>0</v>
      </c>
      <c r="BR103" s="121"/>
      <c r="BS103" s="121"/>
      <c r="BT103" s="121"/>
      <c r="BU103" s="121"/>
      <c r="BV103" s="120">
        <f>SUM(BV78)</f>
        <v>0</v>
      </c>
      <c r="BW103" s="121"/>
      <c r="BX103" s="121"/>
      <c r="BY103" s="121"/>
      <c r="BZ103" s="121"/>
      <c r="CA103" s="120">
        <f>SUM(CA78)</f>
        <v>0</v>
      </c>
      <c r="CB103" s="121"/>
      <c r="CC103" s="121"/>
      <c r="CD103" s="121"/>
      <c r="CE103" s="121"/>
      <c r="CF103" s="120">
        <f>SUM(CF78)</f>
        <v>0</v>
      </c>
      <c r="CG103" s="121"/>
      <c r="CH103" s="121"/>
      <c r="CI103" s="121"/>
      <c r="CJ103" s="121"/>
      <c r="CK103" s="120">
        <f>SUM(CK78)</f>
        <v>0</v>
      </c>
      <c r="CL103" s="121"/>
      <c r="CM103" s="121"/>
      <c r="CN103" s="121"/>
      <c r="CO103" s="121"/>
      <c r="CP103" s="120">
        <f>SUM(CP78)</f>
        <v>0</v>
      </c>
      <c r="CQ103" s="121"/>
      <c r="CR103" s="121"/>
      <c r="CS103" s="121"/>
      <c r="CT103" s="121"/>
      <c r="CU103" s="120">
        <f>SUM(CU78)</f>
        <v>0</v>
      </c>
      <c r="CV103" s="121"/>
      <c r="CW103" s="121"/>
      <c r="CX103" s="121"/>
      <c r="CY103" s="121"/>
      <c r="CZ103" s="120">
        <f>SUM(CZ78)</f>
        <v>0</v>
      </c>
      <c r="DA103" s="121"/>
      <c r="DB103" s="121"/>
      <c r="DC103" s="121"/>
      <c r="DD103" s="121"/>
      <c r="DE103" s="120">
        <f>SUM(DE78)</f>
        <v>0</v>
      </c>
      <c r="DF103" s="121"/>
      <c r="DG103" s="121"/>
      <c r="DH103" s="121"/>
      <c r="DI103" s="121"/>
      <c r="DJ103" s="120">
        <f>SUM(DJ78)</f>
        <v>0</v>
      </c>
      <c r="DK103" s="121"/>
      <c r="DL103" s="121"/>
      <c r="DM103" s="121"/>
      <c r="DN103" s="121"/>
      <c r="DO103" s="120">
        <f>SUM(DO78)</f>
        <v>0</v>
      </c>
      <c r="DP103" s="121"/>
      <c r="DQ103" s="121"/>
      <c r="DR103" s="121"/>
      <c r="DS103" s="121"/>
      <c r="DT103" s="120">
        <f>SUM(DT78)</f>
        <v>0</v>
      </c>
      <c r="DU103" s="121"/>
      <c r="DV103" s="121"/>
      <c r="DW103" s="121"/>
      <c r="DX103" s="121"/>
      <c r="DY103" s="120">
        <f>SUM(DY78)</f>
        <v>0</v>
      </c>
      <c r="DZ103" s="120">
        <f t="shared" ref="DZ103:EB103" si="62">SUM(DZ78)</f>
        <v>0</v>
      </c>
      <c r="EA103" s="120">
        <f t="shared" si="62"/>
        <v>0</v>
      </c>
      <c r="EB103" s="120">
        <f t="shared" si="62"/>
        <v>0</v>
      </c>
    </row>
    <row r="104" spans="2:132" s="74" customFormat="1" ht="12" hidden="1" customHeight="1" outlineLevel="1">
      <c r="B104" s="32" t="s">
        <v>296</v>
      </c>
      <c r="C104" s="33">
        <f>C103+C101+C97</f>
        <v>0</v>
      </c>
      <c r="D104" s="33">
        <f t="shared" ref="D104:BL104" si="63">D103+D101+D97</f>
        <v>0</v>
      </c>
      <c r="E104" s="33">
        <f t="shared" si="63"/>
        <v>0</v>
      </c>
      <c r="F104" s="33">
        <f t="shared" si="63"/>
        <v>0</v>
      </c>
      <c r="G104" s="33">
        <f t="shared" si="63"/>
        <v>-104.16666666666667</v>
      </c>
      <c r="H104" s="33">
        <f t="shared" si="63"/>
        <v>-70.833333333333329</v>
      </c>
      <c r="I104" s="33">
        <f t="shared" si="63"/>
        <v>-276.66666666666663</v>
      </c>
      <c r="J104" s="32">
        <f t="shared" si="63"/>
        <v>-68.333333333333329</v>
      </c>
      <c r="K104" s="32">
        <f t="shared" si="63"/>
        <v>-15</v>
      </c>
      <c r="L104" s="32">
        <f t="shared" si="63"/>
        <v>-278.33333333333331</v>
      </c>
      <c r="M104" s="32">
        <f t="shared" si="63"/>
        <v>-330</v>
      </c>
      <c r="N104" s="33">
        <f t="shared" si="63"/>
        <v>-691.66666666666663</v>
      </c>
      <c r="O104" s="32">
        <f t="shared" si="63"/>
        <v>-348.75</v>
      </c>
      <c r="P104" s="32">
        <f t="shared" si="63"/>
        <v>-371.25</v>
      </c>
      <c r="Q104" s="32">
        <f t="shared" si="63"/>
        <v>-830.25</v>
      </c>
      <c r="R104" s="32">
        <f t="shared" si="63"/>
        <v>-984.75</v>
      </c>
      <c r="S104" s="33">
        <f t="shared" si="63"/>
        <v>-2535</v>
      </c>
      <c r="T104" s="32">
        <f t="shared" si="63"/>
        <v>-966</v>
      </c>
      <c r="U104" s="32">
        <f t="shared" si="63"/>
        <v>-943.5</v>
      </c>
      <c r="V104" s="32">
        <f t="shared" si="63"/>
        <v>-206.16666666666666</v>
      </c>
      <c r="W104" s="32">
        <f t="shared" si="63"/>
        <v>0</v>
      </c>
      <c r="X104" s="33">
        <f t="shared" si="63"/>
        <v>-2115.666666666667</v>
      </c>
      <c r="Y104" s="32">
        <f t="shared" si="63"/>
        <v>0</v>
      </c>
      <c r="Z104" s="32">
        <f t="shared" si="63"/>
        <v>0</v>
      </c>
      <c r="AA104" s="32">
        <f t="shared" si="63"/>
        <v>0</v>
      </c>
      <c r="AB104" s="32">
        <f t="shared" si="63"/>
        <v>0</v>
      </c>
      <c r="AC104" s="33">
        <f t="shared" si="63"/>
        <v>0</v>
      </c>
      <c r="AD104" s="32">
        <f t="shared" si="63"/>
        <v>0</v>
      </c>
      <c r="AE104" s="32">
        <f t="shared" si="63"/>
        <v>0</v>
      </c>
      <c r="AF104" s="32">
        <f t="shared" si="63"/>
        <v>0</v>
      </c>
      <c r="AG104" s="32">
        <f t="shared" si="63"/>
        <v>0</v>
      </c>
      <c r="AH104" s="33">
        <f t="shared" si="63"/>
        <v>0</v>
      </c>
      <c r="AI104" s="32">
        <f t="shared" si="63"/>
        <v>0</v>
      </c>
      <c r="AJ104" s="32">
        <f t="shared" si="63"/>
        <v>0</v>
      </c>
      <c r="AK104" s="32">
        <f t="shared" si="63"/>
        <v>0</v>
      </c>
      <c r="AL104" s="32">
        <f t="shared" si="63"/>
        <v>0</v>
      </c>
      <c r="AM104" s="33">
        <f t="shared" si="63"/>
        <v>0</v>
      </c>
      <c r="AN104" s="32">
        <f t="shared" si="63"/>
        <v>0</v>
      </c>
      <c r="AO104" s="32">
        <f t="shared" si="63"/>
        <v>0</v>
      </c>
      <c r="AP104" s="32">
        <f t="shared" si="63"/>
        <v>0</v>
      </c>
      <c r="AQ104" s="32">
        <f t="shared" si="63"/>
        <v>0</v>
      </c>
      <c r="AR104" s="33">
        <f t="shared" si="63"/>
        <v>0</v>
      </c>
      <c r="AS104" s="32">
        <f t="shared" ref="AS104:BA104" si="64">AS103+AS101+AS97</f>
        <v>0</v>
      </c>
      <c r="AT104" s="32">
        <f t="shared" si="64"/>
        <v>0</v>
      </c>
      <c r="AU104" s="32">
        <f t="shared" si="64"/>
        <v>0</v>
      </c>
      <c r="AV104" s="32">
        <f t="shared" si="64"/>
        <v>0</v>
      </c>
      <c r="AW104" s="33">
        <f t="shared" si="64"/>
        <v>0</v>
      </c>
      <c r="AX104" s="32">
        <f t="shared" si="64"/>
        <v>0</v>
      </c>
      <c r="AY104" s="32">
        <f t="shared" si="64"/>
        <v>0</v>
      </c>
      <c r="AZ104" s="32">
        <f t="shared" si="64"/>
        <v>0</v>
      </c>
      <c r="BA104" s="32">
        <f t="shared" si="64"/>
        <v>0</v>
      </c>
      <c r="BB104" s="33">
        <f t="shared" si="63"/>
        <v>0</v>
      </c>
      <c r="BC104" s="32"/>
      <c r="BD104" s="32"/>
      <c r="BE104" s="32"/>
      <c r="BF104" s="32"/>
      <c r="BG104" s="33">
        <f t="shared" si="63"/>
        <v>0</v>
      </c>
      <c r="BH104" s="32"/>
      <c r="BI104" s="32"/>
      <c r="BJ104" s="32"/>
      <c r="BK104" s="32"/>
      <c r="BL104" s="33">
        <f t="shared" si="63"/>
        <v>0</v>
      </c>
      <c r="BM104" s="32"/>
      <c r="BN104" s="32"/>
      <c r="BO104" s="32"/>
      <c r="BP104" s="32"/>
      <c r="BQ104" s="33">
        <f t="shared" ref="BQ104" si="65">BQ103+BQ101+BQ97</f>
        <v>0</v>
      </c>
      <c r="BR104" s="32"/>
      <c r="BS104" s="32"/>
      <c r="BT104" s="32"/>
      <c r="BU104" s="32"/>
      <c r="BV104" s="33">
        <f t="shared" ref="BV104" si="66">BV103+BV101+BV97</f>
        <v>0</v>
      </c>
      <c r="BW104" s="32"/>
      <c r="BX104" s="32"/>
      <c r="BY104" s="32"/>
      <c r="BZ104" s="32"/>
      <c r="CA104" s="33">
        <f t="shared" ref="CA104" si="67">CA103+CA101+CA97</f>
        <v>0</v>
      </c>
      <c r="CB104" s="32"/>
      <c r="CC104" s="32"/>
      <c r="CD104" s="32"/>
      <c r="CE104" s="32"/>
      <c r="CF104" s="33">
        <f>CF103+CF101+CF97</f>
        <v>0</v>
      </c>
      <c r="CG104" s="32"/>
      <c r="CH104" s="32"/>
      <c r="CI104" s="32"/>
      <c r="CJ104" s="32"/>
      <c r="CK104" s="33">
        <f>CK103+CK101+CK97</f>
        <v>0</v>
      </c>
      <c r="CL104" s="32"/>
      <c r="CM104" s="32"/>
      <c r="CN104" s="32"/>
      <c r="CO104" s="32"/>
      <c r="CP104" s="33">
        <f>CP103+CP101+CP97</f>
        <v>0</v>
      </c>
      <c r="CQ104" s="32"/>
      <c r="CR104" s="32"/>
      <c r="CS104" s="32"/>
      <c r="CT104" s="32"/>
      <c r="CU104" s="33">
        <f>CU103+CU101+CU97</f>
        <v>0</v>
      </c>
      <c r="CV104" s="32"/>
      <c r="CW104" s="32"/>
      <c r="CX104" s="32"/>
      <c r="CY104" s="32"/>
      <c r="CZ104" s="33">
        <f>CZ103+CZ101+CZ97</f>
        <v>0</v>
      </c>
      <c r="DA104" s="32"/>
      <c r="DB104" s="32"/>
      <c r="DC104" s="32"/>
      <c r="DD104" s="32"/>
      <c r="DE104" s="33">
        <f>DE103+DE101+DE97</f>
        <v>0</v>
      </c>
      <c r="DF104" s="32"/>
      <c r="DG104" s="32"/>
      <c r="DH104" s="32"/>
      <c r="DI104" s="32"/>
      <c r="DJ104" s="33">
        <f>DJ103+DJ101+DJ97</f>
        <v>0</v>
      </c>
      <c r="DK104" s="32"/>
      <c r="DL104" s="32"/>
      <c r="DM104" s="32"/>
      <c r="DN104" s="32">
        <f>SUM(DN97:DN103)</f>
        <v>-265.333333333334</v>
      </c>
      <c r="DO104" s="33">
        <f>+SUM(DO103,DO102,DO101,DO97)</f>
        <v>-265.333333333334</v>
      </c>
      <c r="DP104" s="32">
        <f t="shared" ref="DP104:DS104" si="68">SUM(DP97:DP103)</f>
        <v>-398.00000000000102</v>
      </c>
      <c r="DQ104" s="32">
        <f t="shared" si="68"/>
        <v>-375</v>
      </c>
      <c r="DR104" s="32">
        <f t="shared" si="68"/>
        <v>-398.00000000000102</v>
      </c>
      <c r="DS104" s="32">
        <f t="shared" si="68"/>
        <v>-132.666666666667</v>
      </c>
      <c r="DT104" s="33">
        <f>+SUM(DT103,DT102,DT101,DT97)</f>
        <v>-1303.666666666669</v>
      </c>
      <c r="DU104" s="32"/>
      <c r="DV104" s="32"/>
      <c r="DW104" s="32"/>
      <c r="DX104" s="32"/>
      <c r="DY104" s="33">
        <f>+SUM(DY103,DY102,DY101,DY97)</f>
        <v>0</v>
      </c>
      <c r="DZ104" s="33">
        <f>+SUM(DZ103,DZ102,DZ101,DZ97)</f>
        <v>0</v>
      </c>
      <c r="EA104" s="33">
        <f t="shared" ref="EA104:EB104" si="69">+SUM(EA103,EA102,EA101,EA97)</f>
        <v>0</v>
      </c>
      <c r="EB104" s="33">
        <f t="shared" si="69"/>
        <v>0</v>
      </c>
    </row>
    <row r="105" spans="2:132" s="241" customFormat="1" ht="12" customHeight="1" collapsed="1">
      <c r="C105" s="285"/>
      <c r="D105" s="285"/>
      <c r="E105" s="285"/>
      <c r="F105" s="285"/>
      <c r="G105" s="285"/>
      <c r="H105" s="285"/>
      <c r="I105" s="285"/>
      <c r="N105" s="285"/>
      <c r="S105" s="285"/>
      <c r="X105" s="285"/>
      <c r="AC105" s="285"/>
      <c r="AH105" s="285"/>
      <c r="AM105" s="285" t="str">
        <f>IF( SUM(AI104:AL104)=AM104,IF(AM104=(AM97+AM101+AM103),"","check"))</f>
        <v/>
      </c>
      <c r="AR105" s="285" t="str">
        <f>IF( SUM(AN104:AQ104)=AR104,IF(AR104=(AR97+AR101+AR103),"","check"))</f>
        <v/>
      </c>
      <c r="AW105" s="285" t="str">
        <f>IF( SUM(AS104:AV104)=AW104,IF(AW104=(AW97+AW101+AW103),"","check"))</f>
        <v/>
      </c>
      <c r="BB105" s="285"/>
      <c r="BG105" s="285"/>
      <c r="BH105" s="12"/>
      <c r="BI105" s="121"/>
      <c r="BJ105" s="121"/>
      <c r="BK105" s="121"/>
      <c r="BL105" s="120"/>
      <c r="BM105" s="121"/>
      <c r="BN105" s="121"/>
      <c r="BO105" s="121"/>
      <c r="BP105" s="121"/>
      <c r="BQ105" s="120"/>
      <c r="BR105" s="121"/>
      <c r="BS105" s="121"/>
      <c r="BT105" s="121"/>
      <c r="BU105" s="121"/>
      <c r="BV105" s="120"/>
      <c r="BW105" s="121"/>
      <c r="BX105" s="12"/>
      <c r="BY105" s="121"/>
      <c r="BZ105" s="121"/>
      <c r="CA105" s="120"/>
      <c r="CB105" s="121"/>
      <c r="CC105" s="121"/>
      <c r="CD105" s="121"/>
      <c r="CE105" s="121"/>
      <c r="CF105" s="120"/>
      <c r="CG105" s="121"/>
      <c r="CH105" s="121"/>
      <c r="CI105" s="121"/>
      <c r="CJ105" s="121"/>
      <c r="CK105" s="120"/>
      <c r="CL105" s="121"/>
      <c r="CM105" s="121"/>
      <c r="CN105" s="121"/>
      <c r="CO105" s="121"/>
      <c r="CP105" s="120"/>
      <c r="CQ105" s="121"/>
      <c r="CR105" s="121"/>
      <c r="CS105" s="121"/>
      <c r="CT105" s="121"/>
      <c r="CU105" s="120"/>
      <c r="CV105" s="121"/>
      <c r="CW105" s="121"/>
      <c r="CX105" s="121"/>
      <c r="CY105" s="121"/>
      <c r="CZ105" s="120"/>
      <c r="DA105" s="121"/>
      <c r="DB105" s="121"/>
      <c r="DC105" s="121"/>
      <c r="DD105" s="121"/>
      <c r="DE105" s="120"/>
      <c r="DF105" s="121"/>
      <c r="DG105" s="121"/>
      <c r="DH105" s="121"/>
      <c r="DI105" s="121"/>
      <c r="DJ105" s="120"/>
      <c r="DK105" s="121"/>
      <c r="DL105" s="121"/>
      <c r="DM105" s="121"/>
      <c r="DN105" s="121"/>
      <c r="DO105" s="120"/>
      <c r="DP105" s="121"/>
      <c r="DQ105" s="121"/>
      <c r="DR105" s="121"/>
      <c r="DS105" s="121"/>
      <c r="DT105" s="120"/>
      <c r="DU105" s="121"/>
      <c r="DV105" s="121"/>
      <c r="DW105" s="121"/>
      <c r="DX105" s="121"/>
      <c r="DY105" s="120"/>
      <c r="DZ105" s="120"/>
      <c r="EA105" s="120"/>
      <c r="EB105" s="120"/>
    </row>
    <row r="106" spans="2:132" s="241" customFormat="1" ht="12" customHeight="1">
      <c r="B106" s="163" t="s">
        <v>181</v>
      </c>
      <c r="C106" s="309"/>
      <c r="D106" s="309"/>
      <c r="E106" s="309"/>
      <c r="F106" s="309"/>
      <c r="G106" s="309"/>
      <c r="H106" s="309"/>
      <c r="I106" s="309"/>
      <c r="J106" s="305"/>
      <c r="K106" s="305"/>
      <c r="L106" s="305"/>
      <c r="M106" s="305"/>
      <c r="N106" s="309"/>
      <c r="O106" s="305"/>
      <c r="P106" s="305"/>
      <c r="Q106" s="305"/>
      <c r="R106" s="305"/>
      <c r="S106" s="309"/>
      <c r="T106" s="305"/>
      <c r="U106" s="305"/>
      <c r="V106" s="305"/>
      <c r="W106" s="305"/>
      <c r="X106" s="309"/>
      <c r="Y106" s="305"/>
      <c r="Z106" s="305"/>
      <c r="AA106" s="305"/>
      <c r="AB106" s="305"/>
      <c r="AC106" s="309"/>
      <c r="AD106" s="305"/>
      <c r="AE106" s="305"/>
      <c r="AF106" s="305"/>
      <c r="AG106" s="305"/>
      <c r="AH106" s="309"/>
      <c r="AI106" s="305"/>
      <c r="AJ106" s="305"/>
      <c r="AK106" s="305"/>
      <c r="AL106" s="305"/>
      <c r="AM106" s="309"/>
      <c r="AN106" s="305"/>
      <c r="AO106" s="305"/>
      <c r="AP106" s="305"/>
      <c r="AQ106" s="305"/>
      <c r="AR106" s="309"/>
      <c r="AS106" s="305"/>
      <c r="AT106" s="305"/>
      <c r="AU106" s="305"/>
      <c r="AV106" s="305"/>
      <c r="AW106" s="309"/>
      <c r="AX106" s="305"/>
      <c r="AY106" s="305"/>
      <c r="AZ106" s="305"/>
      <c r="BA106" s="305"/>
      <c r="BB106" s="309"/>
      <c r="BC106" s="305"/>
      <c r="BD106" s="305"/>
      <c r="BE106" s="305"/>
      <c r="BF106" s="305"/>
      <c r="BG106" s="309"/>
      <c r="BH106" s="137"/>
      <c r="BI106" s="137"/>
      <c r="BJ106" s="137"/>
      <c r="BK106" s="137"/>
      <c r="BL106" s="136"/>
      <c r="BM106" s="137"/>
      <c r="BN106" s="137"/>
      <c r="BO106" s="137"/>
      <c r="BP106" s="137"/>
      <c r="BQ106" s="136"/>
      <c r="BR106" s="137"/>
      <c r="BS106" s="137"/>
      <c r="BT106" s="137"/>
      <c r="BU106" s="137"/>
      <c r="BV106" s="136"/>
      <c r="BW106" s="137"/>
      <c r="BX106" s="137"/>
      <c r="BY106" s="137"/>
      <c r="BZ106" s="137"/>
      <c r="CA106" s="136"/>
      <c r="CB106" s="137"/>
      <c r="CC106" s="137"/>
      <c r="CD106" s="137"/>
      <c r="CE106" s="137"/>
      <c r="CF106" s="136"/>
      <c r="CG106" s="137"/>
      <c r="CH106" s="137"/>
      <c r="CI106" s="137"/>
      <c r="CJ106" s="137"/>
      <c r="CK106" s="136"/>
      <c r="CL106" s="137"/>
      <c r="CM106" s="137"/>
      <c r="CN106" s="137"/>
      <c r="CO106" s="137"/>
      <c r="CP106" s="136"/>
      <c r="CQ106" s="137"/>
      <c r="CR106" s="137"/>
      <c r="CS106" s="137"/>
      <c r="CT106" s="137"/>
      <c r="CU106" s="136"/>
      <c r="CV106" s="137"/>
      <c r="CW106" s="137"/>
      <c r="CX106" s="137"/>
      <c r="CY106" s="137"/>
      <c r="CZ106" s="136"/>
      <c r="DA106" s="137"/>
      <c r="DB106" s="137"/>
      <c r="DC106" s="137"/>
      <c r="DD106" s="137"/>
      <c r="DE106" s="136"/>
      <c r="DF106" s="137"/>
      <c r="DG106" s="137"/>
      <c r="DH106" s="137"/>
      <c r="DI106" s="137"/>
      <c r="DJ106" s="136"/>
      <c r="DK106" s="137"/>
      <c r="DL106" s="137"/>
      <c r="DM106" s="137"/>
      <c r="DN106" s="137"/>
      <c r="DO106" s="136"/>
      <c r="DP106" s="137"/>
      <c r="DQ106" s="137"/>
      <c r="DR106" s="137"/>
      <c r="DS106" s="137"/>
      <c r="DT106" s="136"/>
      <c r="DU106" s="137"/>
      <c r="DV106" s="137"/>
      <c r="DW106" s="137"/>
      <c r="DX106" s="137"/>
      <c r="DY106" s="136"/>
      <c r="DZ106" s="136"/>
      <c r="EA106" s="136"/>
      <c r="EB106" s="136"/>
    </row>
    <row r="107" spans="2:132" s="241" customFormat="1" ht="12" customHeight="1">
      <c r="B107" s="241" t="s">
        <v>105</v>
      </c>
      <c r="C107" s="301"/>
      <c r="D107" s="301">
        <f t="shared" ref="D107:I107" si="70">IF(ISERROR((D36-D87-D97)/(C36)-1),"",((D36-D87-D97)/(C36)-1))</f>
        <v>2.7006201492814519E-2</v>
      </c>
      <c r="E107" s="301">
        <f t="shared" si="70"/>
        <v>8.0503587002391352E-2</v>
      </c>
      <c r="F107" s="301">
        <f t="shared" si="70"/>
        <v>-0.19085891327553439</v>
      </c>
      <c r="G107" s="301">
        <f t="shared" si="70"/>
        <v>0.1123902559002492</v>
      </c>
      <c r="H107" s="301">
        <f t="shared" si="70"/>
        <v>-0.19085178000912828</v>
      </c>
      <c r="I107" s="301">
        <f t="shared" si="70"/>
        <v>-0.20322682918237223</v>
      </c>
      <c r="J107" s="242"/>
      <c r="K107" s="242"/>
      <c r="L107" s="242"/>
      <c r="M107" s="242"/>
      <c r="N107" s="301">
        <f t="shared" ref="N107:S107" si="71">IF(ISERROR((N36-N87-N97)/(I36)-1),"",((N36-N87-N97)/(I36)-1))</f>
        <v>-5.2630013090562811E-2</v>
      </c>
      <c r="O107" s="242">
        <f t="shared" si="71"/>
        <v>-2.9127579737335818E-2</v>
      </c>
      <c r="P107" s="242">
        <f t="shared" si="71"/>
        <v>0.217554223241051</v>
      </c>
      <c r="Q107" s="242">
        <f t="shared" si="71"/>
        <v>0.211890901250539</v>
      </c>
      <c r="R107" s="242">
        <f t="shared" si="71"/>
        <v>0.20753056687662097</v>
      </c>
      <c r="S107" s="301">
        <f t="shared" si="71"/>
        <v>0.15123354090412122</v>
      </c>
      <c r="T107" s="242">
        <f>IF(ISERROR((T36-T87-T97)/(O36-O97)-1),"",((T36-T87-T97)/(O36-O97)-1))</f>
        <v>0.48731822793371671</v>
      </c>
      <c r="U107" s="242">
        <f>IF(ISERROR((U36-U87-U97)/(P36-P97)-1),"",((U36-U87-U97)/(P36-P97)-1))</f>
        <v>0.1233571092363952</v>
      </c>
      <c r="V107" s="242">
        <f>IF(ISERROR((V36-V87-V97)/(Q36-Q97)-1),"",((V36-V87-V97)/(Q36-Q97)-1))</f>
        <v>0.19038681077554886</v>
      </c>
      <c r="W107" s="242">
        <f>IF(ISERROR((W36-W87-W97)/(R36-R97)-1),"",((W36-W87-W97)/(R36-R97)-1))</f>
        <v>0.11305948682545153</v>
      </c>
      <c r="X107" s="301">
        <f t="shared" ref="X107:BQ107" si="72">IF(ISERROR((X36-X87-X97)/(S36)-1),"",((X36-X87-X97)/(S36)-1))</f>
        <v>0.29791473518461298</v>
      </c>
      <c r="Y107" s="242">
        <f t="shared" si="72"/>
        <v>2.1437686091025032E-2</v>
      </c>
      <c r="Z107" s="242">
        <f t="shared" si="72"/>
        <v>0.17386331274985856</v>
      </c>
      <c r="AA107" s="242">
        <f t="shared" si="72"/>
        <v>0.18164097966876991</v>
      </c>
      <c r="AB107" s="242">
        <f t="shared" si="72"/>
        <v>0.16476769352130916</v>
      </c>
      <c r="AC107" s="301">
        <f t="shared" si="72"/>
        <v>0.13549397145392228</v>
      </c>
      <c r="AD107" s="242">
        <f t="shared" si="72"/>
        <v>7.9314768619864529E-2</v>
      </c>
      <c r="AE107" s="242">
        <f t="shared" si="72"/>
        <v>-1.6396768883274015E-2</v>
      </c>
      <c r="AF107" s="242">
        <f t="shared" si="72"/>
        <v>-0.16033845967546623</v>
      </c>
      <c r="AG107" s="242">
        <f t="shared" si="72"/>
        <v>-0.48398939769907512</v>
      </c>
      <c r="AH107" s="301">
        <f t="shared" si="72"/>
        <v>-0.15451592253470281</v>
      </c>
      <c r="AI107" s="242">
        <f t="shared" si="72"/>
        <v>4.6434260507290936E-2</v>
      </c>
      <c r="AJ107" s="242">
        <f t="shared" si="72"/>
        <v>-1.722306525037931E-2</v>
      </c>
      <c r="AK107" s="242">
        <f t="shared" si="72"/>
        <v>0.12973890212228811</v>
      </c>
      <c r="AL107" s="242">
        <f t="shared" si="72"/>
        <v>0.99371135631758856</v>
      </c>
      <c r="AM107" s="301">
        <f t="shared" si="72"/>
        <v>0.20141909309991268</v>
      </c>
      <c r="AN107" s="242">
        <f t="shared" si="72"/>
        <v>-0.13157395205267541</v>
      </c>
      <c r="AO107" s="242">
        <f t="shared" si="72"/>
        <v>-0.12305581613789418</v>
      </c>
      <c r="AP107" s="182">
        <f t="shared" si="72"/>
        <v>0.1091430927311936</v>
      </c>
      <c r="AQ107" s="182">
        <f t="shared" si="72"/>
        <v>-0.10940052270499834</v>
      </c>
      <c r="AR107" s="301">
        <f t="shared" si="72"/>
        <v>-6.7757692041854112E-2</v>
      </c>
      <c r="AS107" s="182">
        <f t="shared" si="72"/>
        <v>-4.6866630958757316E-2</v>
      </c>
      <c r="AT107" s="182">
        <f t="shared" si="72"/>
        <v>0.18969460513924385</v>
      </c>
      <c r="AU107" s="182">
        <f t="shared" si="72"/>
        <v>8.7552863184363838E-2</v>
      </c>
      <c r="AV107" s="182">
        <f t="shared" si="72"/>
        <v>0.30681818181818188</v>
      </c>
      <c r="AW107" s="301">
        <f t="shared" si="72"/>
        <v>0.13623798454482627</v>
      </c>
      <c r="AX107" s="182">
        <f t="shared" si="72"/>
        <v>0.53652711435796574</v>
      </c>
      <c r="AY107" s="182">
        <f t="shared" si="72"/>
        <v>0.33925138527648979</v>
      </c>
      <c r="AZ107" s="182">
        <f t="shared" si="72"/>
        <v>0.28071466106148191</v>
      </c>
      <c r="BA107" s="182">
        <f t="shared" si="72"/>
        <v>0.32407667134174845</v>
      </c>
      <c r="BB107" s="183">
        <f t="shared" si="72"/>
        <v>0.35818749827209651</v>
      </c>
      <c r="BC107" s="182">
        <f t="shared" si="72"/>
        <v>-2.2583889549236513E-2</v>
      </c>
      <c r="BD107" s="182">
        <f t="shared" si="72"/>
        <v>0.15038419319429197</v>
      </c>
      <c r="BE107" s="182">
        <f t="shared" si="72"/>
        <v>0.14779254882652215</v>
      </c>
      <c r="BF107" s="182">
        <f t="shared" si="72"/>
        <v>3.6671139043852774E-2</v>
      </c>
      <c r="BG107" s="183">
        <f t="shared" si="72"/>
        <v>7.8455838948032763E-2</v>
      </c>
      <c r="BH107" s="646">
        <f t="shared" si="72"/>
        <v>0.19148737137511684</v>
      </c>
      <c r="BI107" s="182">
        <f t="shared" si="72"/>
        <v>4.9911920140927712E-2</v>
      </c>
      <c r="BJ107" s="646">
        <f t="shared" si="72"/>
        <v>0.15178379924215335</v>
      </c>
      <c r="BK107" s="646">
        <f t="shared" si="72"/>
        <v>0.14704740366341285</v>
      </c>
      <c r="BL107" s="647">
        <f t="shared" si="72"/>
        <v>0.1322862972407246</v>
      </c>
      <c r="BM107" s="646">
        <f t="shared" si="72"/>
        <v>0.20758420350160955</v>
      </c>
      <c r="BN107" s="646">
        <f t="shared" si="72"/>
        <v>0.17987975391498878</v>
      </c>
      <c r="BO107" s="646">
        <f t="shared" si="72"/>
        <v>9.8199875853507201E-2</v>
      </c>
      <c r="BP107" s="646">
        <f t="shared" si="72"/>
        <v>-4.4004988419739877E-2</v>
      </c>
      <c r="BQ107" s="647">
        <f t="shared" si="72"/>
        <v>0.10098349724954159</v>
      </c>
      <c r="BR107" s="646">
        <f>IF(ISERROR((Data!BR150-BR87-BR97)/(BM36)-1),"",((Data!BR150-BR87-BR97)/(BM36)-1))</f>
        <v>-6.3845003575840331E-2</v>
      </c>
      <c r="BS107" s="646">
        <f>IF(ISERROR((Data!BS150-BS87-BS97)/(BN36)-1),"",((Data!BS150-BS87-BS97)/(BN36)-1))</f>
        <v>3.4307045090952171E-2</v>
      </c>
      <c r="BT107" s="646">
        <f>IF(ISERROR((Data!BT150-BT87-BT97)/(BO36)-1),"",((Data!BT150-BT87-BT97)/(BO36)-1))</f>
        <v>-4.0639837214560215E-2</v>
      </c>
      <c r="BU107" s="646">
        <f>IF(ISERROR((Data!BU150-BU87-BU97)/(BP36)-1),"",((Data!BU150-BU87-BU97)/(BP36)-1))</f>
        <v>8.8830910672133001E-3</v>
      </c>
      <c r="BV107" s="647">
        <f>IF(ISERROR((Data!BV150-BV87-BV97)/(BQ36)-1),"",((Data!BV150-BV87-BV97)/(BQ36)-1))</f>
        <v>-1.4822553294573604E-2</v>
      </c>
      <c r="BW107" s="646">
        <f t="shared" ref="BW107:DB107" si="73">IF(ISERROR((BW36-BW87-BW97)/(BR36)-1),"",((BW36-BW87-BW97)/(BR36)-1))</f>
        <v>1.2981934777508419E-2</v>
      </c>
      <c r="BX107" s="646">
        <f t="shared" si="73"/>
        <v>-8.7131624368727234E-2</v>
      </c>
      <c r="BY107" s="646">
        <f t="shared" si="73"/>
        <v>1.2697368421052735E-2</v>
      </c>
      <c r="BZ107" s="646">
        <f t="shared" si="73"/>
        <v>6.6935521253418617E-2</v>
      </c>
      <c r="CA107" s="647">
        <f t="shared" si="73"/>
        <v>-7.1249626514058306E-4</v>
      </c>
      <c r="CB107" s="646">
        <f t="shared" si="73"/>
        <v>-5.6357600555855258E-3</v>
      </c>
      <c r="CC107" s="646">
        <f t="shared" si="73"/>
        <v>-2.7521008403361358E-2</v>
      </c>
      <c r="CD107" s="646">
        <f t="shared" si="73"/>
        <v>-9.0105892288702694E-2</v>
      </c>
      <c r="CE107" s="646">
        <f t="shared" si="73"/>
        <v>7.2870635126938588E-2</v>
      </c>
      <c r="CF107" s="647">
        <f t="shared" si="73"/>
        <v>-1.2611898277427258E-2</v>
      </c>
      <c r="CG107" s="646">
        <f t="shared" si="73"/>
        <v>-8.6751641560448012E-2</v>
      </c>
      <c r="CH107" s="646">
        <f t="shared" si="73"/>
        <v>-0.66155389908256879</v>
      </c>
      <c r="CI107" s="646">
        <f t="shared" si="73"/>
        <v>-0.41375879468410204</v>
      </c>
      <c r="CJ107" s="646">
        <f t="shared" si="73"/>
        <v>-0.5486056499909262</v>
      </c>
      <c r="CK107" s="144">
        <f t="shared" si="73"/>
        <v>-0.43903372232560567</v>
      </c>
      <c r="CL107" s="646">
        <f t="shared" si="73"/>
        <v>-0.475131111487058</v>
      </c>
      <c r="CM107" s="646">
        <f t="shared" si="73"/>
        <v>-0.65417196103346043</v>
      </c>
      <c r="CN107" s="646">
        <f t="shared" si="73"/>
        <v>-0.56406837192386949</v>
      </c>
      <c r="CO107" s="646">
        <f t="shared" si="73"/>
        <v>-0.36638970785312253</v>
      </c>
      <c r="CP107" s="144">
        <f t="shared" si="73"/>
        <v>-0.49893039838784681</v>
      </c>
      <c r="CQ107" s="646">
        <f t="shared" si="73"/>
        <v>-0.31200644641418207</v>
      </c>
      <c r="CR107" s="646">
        <f t="shared" si="73"/>
        <v>2.6834047764849971</v>
      </c>
      <c r="CS107" s="646">
        <f t="shared" si="73"/>
        <v>0.23998887652947709</v>
      </c>
      <c r="CT107" s="646">
        <f t="shared" si="73"/>
        <v>4.6531302876480218E-3</v>
      </c>
      <c r="CU107" s="144">
        <f t="shared" si="73"/>
        <v>0.20610073010765984</v>
      </c>
      <c r="CV107" s="646">
        <f t="shared" si="73"/>
        <v>-2.5298664792691494E-2</v>
      </c>
      <c r="CW107" s="646">
        <f t="shared" si="73"/>
        <v>3.3915211970074743E-2</v>
      </c>
      <c r="CX107" s="646">
        <f t="shared" si="73"/>
        <v>0.4045750168199147</v>
      </c>
      <c r="CY107" s="646">
        <f t="shared" si="73"/>
        <v>0.94189473684210534</v>
      </c>
      <c r="CZ107" s="144">
        <f t="shared" si="73"/>
        <v>0.32698917560149798</v>
      </c>
      <c r="DA107" s="646">
        <f t="shared" si="73"/>
        <v>0.61115116558519578</v>
      </c>
      <c r="DB107" s="145">
        <f t="shared" si="73"/>
        <v>0.42145039395401196</v>
      </c>
      <c r="DC107" s="646">
        <f t="shared" ref="DC107:DY107" si="74">IF(ISERROR((DC36-DC87-DC97)/(CX36)-1),"",((DC36-DC87-DC97)/(CX36)-1))</f>
        <v>0.25754430783969351</v>
      </c>
      <c r="DD107" s="646">
        <f t="shared" si="74"/>
        <v>0.13627493495229825</v>
      </c>
      <c r="DE107" s="144">
        <f t="shared" si="74"/>
        <v>0.31058878107240884</v>
      </c>
      <c r="DF107" s="646">
        <f t="shared" si="74"/>
        <v>-0.30593675417661093</v>
      </c>
      <c r="DG107" s="646">
        <f t="shared" si="74"/>
        <v>-0.32092760180995472</v>
      </c>
      <c r="DH107" s="646">
        <f t="shared" si="74"/>
        <v>-5.4977145759268709E-2</v>
      </c>
      <c r="DI107" s="646">
        <f t="shared" si="74"/>
        <v>-0.54565404064497658</v>
      </c>
      <c r="DJ107" s="144">
        <f t="shared" si="74"/>
        <v>-0.32565411049821535</v>
      </c>
      <c r="DK107" s="646">
        <f t="shared" si="74"/>
        <v>0.75091338921126161</v>
      </c>
      <c r="DL107" s="646">
        <f t="shared" si="74"/>
        <v>0.81142761952357145</v>
      </c>
      <c r="DM107" s="646">
        <f t="shared" si="74"/>
        <v>0.49052801289802495</v>
      </c>
      <c r="DN107" s="646">
        <f t="shared" si="74"/>
        <v>1.3790424191516171</v>
      </c>
      <c r="DO107" s="144">
        <f t="shared" si="74"/>
        <v>0.81286907834302968</v>
      </c>
      <c r="DP107" s="646">
        <f t="shared" si="74"/>
        <v>9.8932122253590382E-2</v>
      </c>
      <c r="DQ107" s="646">
        <f t="shared" si="74"/>
        <v>5.8580099319477608E-2</v>
      </c>
      <c r="DR107" s="646">
        <f t="shared" si="74"/>
        <v>1.7793112988662152E-2</v>
      </c>
      <c r="DS107" s="646">
        <f t="shared" si="74"/>
        <v>0.10488877394367035</v>
      </c>
      <c r="DT107" s="144">
        <f t="shared" si="74"/>
        <v>6.8297251511091783E-2</v>
      </c>
      <c r="DU107" s="646">
        <f t="shared" si="74"/>
        <v>0.30821870707622523</v>
      </c>
      <c r="DV107" s="646">
        <f t="shared" si="74"/>
        <v>0.21085400758329076</v>
      </c>
      <c r="DW107" s="646">
        <f t="shared" si="74"/>
        <v>0.32170409107175679</v>
      </c>
      <c r="DX107" s="646">
        <f t="shared" si="74"/>
        <v>0.37300072826733621</v>
      </c>
      <c r="DY107" s="144">
        <f t="shared" si="74"/>
        <v>0.30463051680266107</v>
      </c>
      <c r="DZ107" s="647">
        <f>IF(ISERROR((DZ36-DZ87-DZ97)/(DY36)-1),"",((DZ36-DZ87-DZ97)/(DY36)-1))</f>
        <v>0.15638972180488842</v>
      </c>
      <c r="EA107" s="647">
        <f>IF(ISERROR((EA36-EA87-EA97)/(DZ36)-1),"",((EA36-EA87-EA97)/(DZ36)-1))</f>
        <v>0.15339174543357181</v>
      </c>
      <c r="EB107" s="647">
        <f>IF(ISERROR((EB36-EB87-EB97)/(EA36)-1),"",((EB36-EB87-EB97)/(EA36)-1))</f>
        <v>7.8211297469559904E-2</v>
      </c>
    </row>
    <row r="108" spans="2:132" s="241" customFormat="1" ht="12" hidden="1" customHeight="1">
      <c r="B108" s="324" t="s">
        <v>106</v>
      </c>
      <c r="C108" s="325"/>
      <c r="D108" s="325"/>
      <c r="E108" s="325"/>
      <c r="F108" s="325"/>
      <c r="G108" s="325"/>
      <c r="H108" s="325"/>
      <c r="I108" s="325"/>
      <c r="J108" s="326"/>
      <c r="K108" s="326"/>
      <c r="L108" s="326"/>
      <c r="M108" s="326"/>
      <c r="N108" s="325"/>
      <c r="O108" s="326"/>
      <c r="P108" s="326"/>
      <c r="Q108" s="326"/>
      <c r="R108" s="326"/>
      <c r="S108" s="325">
        <f>IF(ISERROR((S38-S88-S98)/(N38)-1),"",((S38-S88-S98)/(N38)-1))</f>
        <v>5.2590572652902123E-2</v>
      </c>
      <c r="T108" s="326">
        <f>IF(ISERROR((T38-T88-T98)/(O38-O98)-1),"",((T38-T88-T98)/(O38-O98)-1))</f>
        <v>-2.0846297448662066E-2</v>
      </c>
      <c r="U108" s="326">
        <f>IF(ISERROR((U38-U88-U98)/(P38-P98)-1),"",((U38-U88-U98)/(P38-P98)-1))</f>
        <v>-2.8481913984619744E-2</v>
      </c>
      <c r="V108" s="326">
        <f>IF(ISERROR((V38-V88-V98)/(Q38-Q98)-1),"",((V38-V88-V98)/(Q38-Q98)-1))</f>
        <v>0.14615638403167264</v>
      </c>
      <c r="W108" s="326">
        <f>IF(ISERROR((W38-W88-W98)/(R38-R98)-1),"",((W38-W88-W98)/(R38-R98)-1))</f>
        <v>0.15023974427277564</v>
      </c>
      <c r="X108" s="325">
        <f t="shared" ref="X108:BC108" si="75">IF(ISERROR((X38-X88-X98)/(S38)-1),"",((X38-X88-X98)/(S38)-1))</f>
        <v>6.2176165803108807E-2</v>
      </c>
      <c r="Y108" s="326">
        <f t="shared" si="75"/>
        <v>4.258023514458209E-2</v>
      </c>
      <c r="Z108" s="326">
        <f t="shared" si="75"/>
        <v>3.2248607446496713E-3</v>
      </c>
      <c r="AA108" s="326">
        <f t="shared" si="75"/>
        <v>-3.2815198618307395E-2</v>
      </c>
      <c r="AB108" s="326">
        <f t="shared" si="75"/>
        <v>-0.16118573413617421</v>
      </c>
      <c r="AC108" s="325">
        <f t="shared" si="75"/>
        <v>-4.6341463414634188E-2</v>
      </c>
      <c r="AD108" s="326">
        <f t="shared" si="75"/>
        <v>-2.407802499238032E-2</v>
      </c>
      <c r="AE108" s="326">
        <f t="shared" si="75"/>
        <v>-4.5879602571595512E-2</v>
      </c>
      <c r="AF108" s="326">
        <f t="shared" si="75"/>
        <v>0.12410714285714275</v>
      </c>
      <c r="AG108" s="326">
        <f t="shared" si="75"/>
        <v>-0.12589729431253449</v>
      </c>
      <c r="AH108" s="325">
        <f t="shared" si="75"/>
        <v>-2.0094994519546994E-2</v>
      </c>
      <c r="AI108" s="326">
        <f t="shared" si="75"/>
        <v>-5.9962523422860681E-2</v>
      </c>
      <c r="AJ108" s="326">
        <f t="shared" si="75"/>
        <v>3.0015313935681576E-2</v>
      </c>
      <c r="AK108" s="326">
        <f t="shared" si="75"/>
        <v>4.6068308181096196E-2</v>
      </c>
      <c r="AL108" s="326">
        <f t="shared" si="75"/>
        <v>0.17909033480732783</v>
      </c>
      <c r="AM108" s="325">
        <f t="shared" si="75"/>
        <v>4.8247576435495931E-2</v>
      </c>
      <c r="AN108" s="326">
        <f t="shared" si="75"/>
        <v>7.6744186046511675E-2</v>
      </c>
      <c r="AO108" s="326">
        <f t="shared" si="75"/>
        <v>6.4525721082366871E-2</v>
      </c>
      <c r="AP108" s="326">
        <f t="shared" si="75"/>
        <v>-4.0749177423437088E-2</v>
      </c>
      <c r="AQ108" s="326">
        <f t="shared" si="75"/>
        <v>-2.8395392445754064E-2</v>
      </c>
      <c r="AR108" s="325">
        <f t="shared" si="75"/>
        <v>1.2876147115316261E-2</v>
      </c>
      <c r="AS108" s="326">
        <f t="shared" si="75"/>
        <v>4.6590558469608245E-2</v>
      </c>
      <c r="AT108" s="609">
        <f t="shared" si="75"/>
        <v>1.7318435754190009E-2</v>
      </c>
      <c r="AU108" s="609">
        <f t="shared" si="75"/>
        <v>4.5910290237467066E-2</v>
      </c>
      <c r="AV108" s="609">
        <f t="shared" si="75"/>
        <v>8.8778604907637115E-2</v>
      </c>
      <c r="AW108" s="325">
        <f t="shared" si="75"/>
        <v>4.9796319707824166E-2</v>
      </c>
      <c r="AX108" s="609">
        <f t="shared" si="75"/>
        <v>0.27004716981132071</v>
      </c>
      <c r="AY108" s="609">
        <f t="shared" si="75"/>
        <v>0.13399231191652938</v>
      </c>
      <c r="AZ108" s="609">
        <f t="shared" si="75"/>
        <v>-4.414732593340065E-2</v>
      </c>
      <c r="BA108" s="609">
        <f t="shared" si="75"/>
        <v>5.2671562420866014E-2</v>
      </c>
      <c r="BB108" s="325">
        <f t="shared" si="75"/>
        <v>9.6139693583996877E-2</v>
      </c>
      <c r="BC108" s="609">
        <f t="shared" si="75"/>
        <v>-4.6193129062209848E-2</v>
      </c>
      <c r="BD108" s="609">
        <f t="shared" ref="BD108:BX108" si="76">IF(ISERROR((BD38-BD88-BD98)/(AY38)-1),"",((BD38-BD88-BD98)/(AY38)-1))</f>
        <v>-5.8353510895883809E-2</v>
      </c>
      <c r="BE108" s="609">
        <f t="shared" si="76"/>
        <v>-6.4924782264449754E-2</v>
      </c>
      <c r="BF108" s="609">
        <f t="shared" si="76"/>
        <v>5.7252826557613767E-2</v>
      </c>
      <c r="BG108" s="325">
        <f t="shared" si="76"/>
        <v>-2.734375E-2</v>
      </c>
      <c r="BH108" s="609">
        <f t="shared" si="76"/>
        <v>-0.15843270868824533</v>
      </c>
      <c r="BI108" s="609">
        <f t="shared" si="76"/>
        <v>-9.4111596811519704E-2</v>
      </c>
      <c r="BJ108" s="609">
        <f t="shared" si="76"/>
        <v>-1.6934801016088574E-3</v>
      </c>
      <c r="BK108" s="609">
        <f t="shared" si="76"/>
        <v>-0.31899886234357222</v>
      </c>
      <c r="BL108" s="610">
        <f t="shared" si="76"/>
        <v>-0.15217118473895586</v>
      </c>
      <c r="BM108" s="609">
        <f t="shared" si="76"/>
        <v>-0.20647773279352222</v>
      </c>
      <c r="BN108" s="609">
        <f t="shared" si="76"/>
        <v>-9.9347147317626616E-3</v>
      </c>
      <c r="BO108" s="609">
        <f t="shared" si="76"/>
        <v>0.14532089341249654</v>
      </c>
      <c r="BP108" s="609">
        <f t="shared" si="76"/>
        <v>6.8827263615101941E-2</v>
      </c>
      <c r="BQ108" s="610">
        <f t="shared" si="76"/>
        <v>-2.1463992302568347E-3</v>
      </c>
      <c r="BR108" s="609">
        <f t="shared" si="76"/>
        <v>0.33345481049562675</v>
      </c>
      <c r="BS108" s="609">
        <f t="shared" si="76"/>
        <v>-0.14592889908256879</v>
      </c>
      <c r="BT108" s="609">
        <f t="shared" si="76"/>
        <v>-0.19526042952357447</v>
      </c>
      <c r="BU108" s="609">
        <f t="shared" si="76"/>
        <v>-0.18193185370428255</v>
      </c>
      <c r="BV108" s="610">
        <f t="shared" si="76"/>
        <v>-7.1725263314048382E-2</v>
      </c>
      <c r="BW108" s="609">
        <f t="shared" si="76"/>
        <v>-0.27958458595244606</v>
      </c>
      <c r="BX108" s="609">
        <f t="shared" si="76"/>
        <v>-2.5176233635448186E-2</v>
      </c>
      <c r="BY108" s="849"/>
      <c r="BZ108" s="849"/>
      <c r="CA108" s="610"/>
      <c r="CB108" s="849"/>
      <c r="CC108" s="849"/>
      <c r="CD108" s="849"/>
      <c r="CE108" s="849"/>
      <c r="CF108" s="610"/>
      <c r="CG108" s="849"/>
      <c r="CH108" s="849"/>
      <c r="CI108" s="849"/>
      <c r="CJ108" s="849"/>
      <c r="CK108" s="610"/>
      <c r="CL108" s="849"/>
      <c r="CM108" s="849"/>
      <c r="CN108" s="849"/>
      <c r="CO108" s="849"/>
      <c r="CP108" s="610"/>
      <c r="CQ108" s="849"/>
      <c r="CR108" s="849"/>
      <c r="CS108" s="849"/>
      <c r="CT108" s="849"/>
      <c r="CU108" s="610"/>
      <c r="CV108" s="849"/>
      <c r="CW108" s="849"/>
      <c r="CX108" s="849"/>
      <c r="CY108" s="849"/>
      <c r="CZ108" s="610"/>
      <c r="DA108" s="849"/>
      <c r="DB108" s="609"/>
      <c r="DC108" s="849"/>
      <c r="DD108" s="849"/>
      <c r="DE108" s="610"/>
      <c r="DF108" s="849"/>
      <c r="DG108" s="849"/>
      <c r="DH108" s="849"/>
      <c r="DI108" s="849"/>
      <c r="DJ108" s="610"/>
      <c r="DK108" s="849"/>
      <c r="DL108" s="849"/>
      <c r="DM108" s="849"/>
      <c r="DN108" s="849"/>
      <c r="DO108" s="610"/>
      <c r="DP108" s="849"/>
      <c r="DQ108" s="849"/>
      <c r="DR108" s="849"/>
      <c r="DS108" s="849"/>
      <c r="DT108" s="610"/>
      <c r="DU108" s="849"/>
      <c r="DV108" s="849"/>
      <c r="DW108" s="849"/>
      <c r="DX108" s="849"/>
      <c r="DY108" s="610"/>
      <c r="DZ108" s="850"/>
      <c r="EA108" s="850"/>
      <c r="EB108" s="850"/>
    </row>
    <row r="109" spans="2:132" s="241" customFormat="1" ht="12" hidden="1" customHeight="1">
      <c r="B109" s="311" t="s">
        <v>107</v>
      </c>
      <c r="C109" s="301"/>
      <c r="D109" s="301"/>
      <c r="E109" s="301"/>
      <c r="F109" s="301"/>
      <c r="G109" s="301"/>
      <c r="H109" s="301"/>
      <c r="I109" s="301"/>
      <c r="J109" s="242"/>
      <c r="K109" s="242"/>
      <c r="L109" s="242"/>
      <c r="M109" s="242"/>
      <c r="N109" s="301"/>
      <c r="O109" s="242"/>
      <c r="P109" s="242"/>
      <c r="Q109" s="242"/>
      <c r="R109" s="242"/>
      <c r="S109" s="301">
        <f>IF(ISERROR((S39-S89-S99)/(N39)-1),"",(S39-S89-S99)/(N39)-1)</f>
        <v>-5.9049374184135806E-2</v>
      </c>
      <c r="T109" s="242">
        <f>IF(ISERROR((T39-T89-T99)/(O39-O99)-1),"",(T39-T89-T99)/(O39-O99)-1)</f>
        <v>-0.14587212911235259</v>
      </c>
      <c r="U109" s="242">
        <f>IF(ISERROR((U39-U89-U99)/(P39-P99)-1),"",(U39-U89-U99)/(P39-P99)-1)</f>
        <v>-5.2411575562700929E-2</v>
      </c>
      <c r="V109" s="242">
        <f>IF(ISERROR((V39-V89-V99)/(Q39-Q99)-1),"",(V39-V89-V99)/(Q39-Q99)-1)</f>
        <v>-5.9288537549407105E-2</v>
      </c>
      <c r="W109" s="242">
        <f>IF(ISERROR((W39-W89-W99)/(R39-R99)-1),"",(W39-W89-W99)/(R39-R99)-1)</f>
        <v>0.18676368676368682</v>
      </c>
      <c r="X109" s="301">
        <f t="shared" ref="X109:BC109" si="77">IF(ISERROR((X39-X89-X99)/(S39)-1),"",(X39-X89-X99)/(S39)-1)</f>
        <v>-2.2360045699363451E-2</v>
      </c>
      <c r="Y109" s="242">
        <f t="shared" si="77"/>
        <v>3.7790697674418672E-2</v>
      </c>
      <c r="Z109" s="242">
        <f t="shared" si="77"/>
        <v>-1.3573125212079651E-3</v>
      </c>
      <c r="AA109" s="242">
        <f t="shared" si="77"/>
        <v>5.252100840336138E-2</v>
      </c>
      <c r="AB109" s="242">
        <f t="shared" si="77"/>
        <v>-0.15591240875912404</v>
      </c>
      <c r="AC109" s="301">
        <f t="shared" si="77"/>
        <v>-2.370617696160271E-2</v>
      </c>
      <c r="AD109" s="242">
        <f t="shared" si="77"/>
        <v>-5.6722689075630273E-2</v>
      </c>
      <c r="AE109" s="242">
        <f t="shared" si="77"/>
        <v>-4.7230716955487639E-2</v>
      </c>
      <c r="AF109" s="242">
        <f t="shared" si="77"/>
        <v>-7.3186959414504038E-3</v>
      </c>
      <c r="AG109" s="242">
        <f t="shared" si="77"/>
        <v>-7.6098235904531464E-3</v>
      </c>
      <c r="AH109" s="301">
        <f t="shared" si="77"/>
        <v>-2.9497264021887792E-2</v>
      </c>
      <c r="AI109" s="242">
        <f t="shared" si="77"/>
        <v>-5.9391239792130346E-3</v>
      </c>
      <c r="AJ109" s="242">
        <f t="shared" si="77"/>
        <v>0.10663338088445085</v>
      </c>
      <c r="AK109" s="242">
        <f t="shared" si="77"/>
        <v>-9.1487935656836439E-2</v>
      </c>
      <c r="AL109" s="242">
        <f t="shared" si="77"/>
        <v>-0.16869989543394914</v>
      </c>
      <c r="AM109" s="301">
        <f t="shared" si="77"/>
        <v>-4.1758435380142678E-2</v>
      </c>
      <c r="AN109" s="242">
        <f t="shared" si="77"/>
        <v>-0.13256161314413739</v>
      </c>
      <c r="AO109" s="242">
        <f t="shared" si="77"/>
        <v>-0.24137931034482762</v>
      </c>
      <c r="AP109" s="242">
        <f t="shared" si="77"/>
        <v>-0.13537440059018813</v>
      </c>
      <c r="AQ109" s="242">
        <f t="shared" si="77"/>
        <v>2.0545073375262124E-2</v>
      </c>
      <c r="AR109" s="301">
        <f t="shared" si="77"/>
        <v>-0.13073457754895657</v>
      </c>
      <c r="AS109" s="242">
        <f t="shared" si="77"/>
        <v>1.1192423590185019E-2</v>
      </c>
      <c r="AT109" s="242">
        <f t="shared" si="77"/>
        <v>-0.11597281223449452</v>
      </c>
      <c r="AU109" s="242">
        <f t="shared" si="77"/>
        <v>-2.9010238907849817E-2</v>
      </c>
      <c r="AV109" s="242">
        <f t="shared" si="77"/>
        <v>-0.19186524239934266</v>
      </c>
      <c r="AW109" s="301">
        <f t="shared" si="77"/>
        <v>-8.2707562136435708E-2</v>
      </c>
      <c r="AX109" s="242">
        <f t="shared" si="77"/>
        <v>-0.23584504044274157</v>
      </c>
      <c r="AY109" s="242">
        <f t="shared" si="77"/>
        <v>-9.3224411340701585E-2</v>
      </c>
      <c r="AZ109" s="242">
        <f t="shared" si="77"/>
        <v>-0.12565905096660812</v>
      </c>
      <c r="BA109" s="242">
        <f t="shared" si="77"/>
        <v>-2.7961362480935392E-2</v>
      </c>
      <c r="BB109" s="301">
        <f t="shared" si="77"/>
        <v>-0.12556208924247669</v>
      </c>
      <c r="BC109" s="242">
        <f t="shared" si="77"/>
        <v>9.1922005571030585E-2</v>
      </c>
      <c r="BD109" s="242">
        <f t="shared" ref="BD109:BX109" si="78">IF(ISERROR((BD39-BD89-BD99)/(AY39)-1),"",(BD39-BD89-BD99)/(AY39)-1)</f>
        <v>8.5850556438791692E-2</v>
      </c>
      <c r="BE109" s="242">
        <f t="shared" si="78"/>
        <v>0.12110552763819094</v>
      </c>
      <c r="BF109" s="242">
        <f t="shared" si="78"/>
        <v>0.18828451882845187</v>
      </c>
      <c r="BG109" s="301">
        <f t="shared" si="78"/>
        <v>0.1223628691983123</v>
      </c>
      <c r="BH109" s="242">
        <f t="shared" si="78"/>
        <v>-4.2857142857142816E-2</v>
      </c>
      <c r="BI109" s="242">
        <f t="shared" si="78"/>
        <v>-6.2957540263543166E-2</v>
      </c>
      <c r="BJ109" s="242">
        <f t="shared" si="78"/>
        <v>-9.1438816674137113E-2</v>
      </c>
      <c r="BK109" s="242">
        <f t="shared" si="78"/>
        <v>-4.0492957746478875E-2</v>
      </c>
      <c r="BL109" s="144">
        <f t="shared" si="78"/>
        <v>-5.9797932330827086E-2</v>
      </c>
      <c r="BM109" s="242">
        <f t="shared" si="78"/>
        <v>-7.6759061833688746E-2</v>
      </c>
      <c r="BN109" s="242">
        <f t="shared" si="78"/>
        <v>9.3749999999999112E-3</v>
      </c>
      <c r="BO109" s="242">
        <f t="shared" si="78"/>
        <v>4.9333991119881571E-2</v>
      </c>
      <c r="BP109" s="242">
        <f t="shared" si="78"/>
        <v>-0.10366972477064218</v>
      </c>
      <c r="BQ109" s="144">
        <f t="shared" si="78"/>
        <v>-3.1488191928026987E-2</v>
      </c>
      <c r="BR109" s="242">
        <f t="shared" si="78"/>
        <v>1.7321016166280678E-3</v>
      </c>
      <c r="BS109" s="242">
        <f t="shared" si="78"/>
        <v>-6.6047471620227061E-2</v>
      </c>
      <c r="BT109" s="242">
        <f t="shared" si="78"/>
        <v>-0.20028208744710863</v>
      </c>
      <c r="BU109" s="242">
        <f t="shared" si="78"/>
        <v>-7.8812691914022515E-2</v>
      </c>
      <c r="BV109" s="144">
        <f t="shared" si="78"/>
        <v>-9.0956005676686824E-2</v>
      </c>
      <c r="BW109" s="242">
        <f t="shared" si="78"/>
        <v>-9.8559077809798223E-2</v>
      </c>
      <c r="BX109" s="242">
        <f t="shared" si="78"/>
        <v>-7.5138121546961312E-2</v>
      </c>
      <c r="BY109" s="648"/>
      <c r="BZ109" s="648"/>
      <c r="CA109" s="144"/>
      <c r="CB109" s="648"/>
      <c r="CC109" s="648"/>
      <c r="CD109" s="648"/>
      <c r="CE109" s="648"/>
      <c r="CF109" s="144"/>
      <c r="CG109" s="648"/>
      <c r="CH109" s="648"/>
      <c r="CI109" s="648"/>
      <c r="CJ109" s="648"/>
      <c r="CK109" s="144"/>
      <c r="CL109" s="648"/>
      <c r="CM109" s="648"/>
      <c r="CN109" s="648"/>
      <c r="CO109" s="648"/>
      <c r="CP109" s="144"/>
      <c r="CQ109" s="648"/>
      <c r="CR109" s="648"/>
      <c r="CS109" s="648"/>
      <c r="CT109" s="648"/>
      <c r="CU109" s="144"/>
      <c r="CV109" s="648"/>
      <c r="CW109" s="648"/>
      <c r="CX109" s="648"/>
      <c r="CY109" s="648"/>
      <c r="CZ109" s="144"/>
      <c r="DA109" s="648"/>
      <c r="DB109" s="145"/>
      <c r="DC109" s="648"/>
      <c r="DD109" s="648"/>
      <c r="DE109" s="144"/>
      <c r="DF109" s="648"/>
      <c r="DG109" s="648"/>
      <c r="DH109" s="648"/>
      <c r="DI109" s="648"/>
      <c r="DJ109" s="144"/>
      <c r="DK109" s="648"/>
      <c r="DL109" s="648"/>
      <c r="DM109" s="648"/>
      <c r="DN109" s="648"/>
      <c r="DO109" s="144"/>
      <c r="DP109" s="648"/>
      <c r="DQ109" s="648"/>
      <c r="DR109" s="648"/>
      <c r="DS109" s="648"/>
      <c r="DT109" s="144"/>
      <c r="DU109" s="648"/>
      <c r="DV109" s="648"/>
      <c r="DW109" s="648"/>
      <c r="DX109" s="648"/>
      <c r="DY109" s="144"/>
      <c r="DZ109" s="649"/>
      <c r="EA109" s="649"/>
      <c r="EB109" s="649"/>
    </row>
    <row r="110" spans="2:132" s="241" customFormat="1" ht="12" hidden="1" customHeight="1">
      <c r="B110" s="311" t="s">
        <v>108</v>
      </c>
      <c r="C110" s="229"/>
      <c r="D110" s="229"/>
      <c r="E110" s="229"/>
      <c r="F110" s="229"/>
      <c r="G110" s="229"/>
      <c r="H110" s="229"/>
      <c r="I110" s="229"/>
      <c r="J110" s="230"/>
      <c r="K110" s="230"/>
      <c r="L110" s="230"/>
      <c r="M110" s="230"/>
      <c r="N110" s="229"/>
      <c r="O110" s="230"/>
      <c r="P110" s="230"/>
      <c r="Q110" s="230"/>
      <c r="R110" s="230"/>
      <c r="S110" s="229">
        <f>IF(ISERROR((S40-S90-S100)/(N40)-1),"",((S40-S90-S100)/(N40)-1))</f>
        <v>9.4447859045277527E-2</v>
      </c>
      <c r="T110" s="230">
        <f>IF(ISERROR((T40-T90-T100)/(O40-O100)-1),"",((T40-T90-T100)/(O40-O100)-1))</f>
        <v>0.10000000000000009</v>
      </c>
      <c r="U110" s="230">
        <f>IF(ISERROR((U40-U90-U100)/(P40-P100)-1),"",((U40-U90-U100)/(P40-P100)-1))</f>
        <v>0.19695688926458166</v>
      </c>
      <c r="V110" s="230">
        <f>IF(ISERROR((V40-V90-V100)/(Q40-Q100)-1),"",((V40-V90-V100)/(Q40-Q100)-1))</f>
        <v>4.3540328336902245E-2</v>
      </c>
      <c r="W110" s="230">
        <f>IF(ISERROR((W40-W90-W100)/(R40-R100)-1),"",((W40-W90-W100)/(R40-R100)-1))</f>
        <v>0.22418136020151125</v>
      </c>
      <c r="X110" s="229">
        <f t="shared" ref="X110:BC110" si="79">IF(ISERROR((X40-X90-X100)/(S40)-1),"",((X40-X90-X100)/(S40)-1))</f>
        <v>0.14357918382628232</v>
      </c>
      <c r="Y110" s="230">
        <f t="shared" si="79"/>
        <v>0.23076923076923084</v>
      </c>
      <c r="Z110" s="230">
        <f t="shared" si="79"/>
        <v>0.14124293785310726</v>
      </c>
      <c r="AA110" s="230">
        <f t="shared" si="79"/>
        <v>0.12311901504787959</v>
      </c>
      <c r="AB110" s="230">
        <f t="shared" si="79"/>
        <v>-4.4753086419753063E-2</v>
      </c>
      <c r="AC110" s="229">
        <f t="shared" si="79"/>
        <v>9.6578818137174727E-2</v>
      </c>
      <c r="AD110" s="230">
        <f t="shared" si="79"/>
        <v>5.9974747474747403E-2</v>
      </c>
      <c r="AE110" s="230">
        <f t="shared" si="79"/>
        <v>0.15408415841584167</v>
      </c>
      <c r="AF110" s="230">
        <f t="shared" si="79"/>
        <v>5.7247259439707765E-2</v>
      </c>
      <c r="AG110" s="230">
        <f t="shared" si="79"/>
        <v>8.5621970920840118E-2</v>
      </c>
      <c r="AH110" s="229">
        <f t="shared" si="79"/>
        <v>8.9117778772951128E-2</v>
      </c>
      <c r="AI110" s="230">
        <f t="shared" si="79"/>
        <v>0.21024419297200714</v>
      </c>
      <c r="AJ110" s="230">
        <f t="shared" si="79"/>
        <v>0.17104557640750673</v>
      </c>
      <c r="AK110" s="230">
        <f t="shared" si="79"/>
        <v>0.19930875576036877</v>
      </c>
      <c r="AL110" s="230">
        <f t="shared" si="79"/>
        <v>0.20486111111111116</v>
      </c>
      <c r="AM110" s="229">
        <f t="shared" si="79"/>
        <v>0.19613486842105265</v>
      </c>
      <c r="AN110" s="230">
        <f t="shared" si="79"/>
        <v>8.3661417322835607E-3</v>
      </c>
      <c r="AO110" s="230">
        <f t="shared" si="79"/>
        <v>-6.1813186813186816E-2</v>
      </c>
      <c r="AP110" s="230">
        <f t="shared" si="79"/>
        <v>-1.6330451488952957E-2</v>
      </c>
      <c r="AQ110" s="230">
        <f t="shared" si="79"/>
        <v>-0.13379991766158916</v>
      </c>
      <c r="AR110" s="229">
        <f t="shared" si="79"/>
        <v>-5.4657958061189449E-2</v>
      </c>
      <c r="AS110" s="230">
        <f t="shared" si="79"/>
        <v>-8.4431429965836968E-2</v>
      </c>
      <c r="AT110" s="230">
        <f t="shared" si="79"/>
        <v>-4.0995607613469986E-2</v>
      </c>
      <c r="AU110" s="230">
        <f t="shared" si="79"/>
        <v>-4.296875E-2</v>
      </c>
      <c r="AV110" s="230">
        <f t="shared" si="79"/>
        <v>0.21435361216730042</v>
      </c>
      <c r="AW110" s="229">
        <f t="shared" si="79"/>
        <v>1.2848484848484887E-2</v>
      </c>
      <c r="AX110" s="230">
        <f t="shared" si="79"/>
        <v>0.1353944562899787</v>
      </c>
      <c r="AY110" s="230">
        <f t="shared" si="79"/>
        <v>0.10687022900763354</v>
      </c>
      <c r="AZ110" s="230">
        <f t="shared" si="79"/>
        <v>5.1020408163265252E-2</v>
      </c>
      <c r="BA110" s="230">
        <f t="shared" si="79"/>
        <v>-0.10998043052837569</v>
      </c>
      <c r="BB110" s="229">
        <f t="shared" si="79"/>
        <v>3.3867879368118636E-2</v>
      </c>
      <c r="BC110" s="230">
        <f t="shared" si="79"/>
        <v>-4.1784037558685427E-2</v>
      </c>
      <c r="BD110" s="230">
        <f t="shared" ref="BD110:BX110" si="80">IF(ISERROR((BD40-BD90-BD100)/(AY40)-1),"",((BD40-BD90-BD100)/(AY40)-1))</f>
        <v>3.3563218390804561E-2</v>
      </c>
      <c r="BE110" s="230">
        <f t="shared" si="80"/>
        <v>0.1029126213592233</v>
      </c>
      <c r="BF110" s="230">
        <f t="shared" si="80"/>
        <v>-3.7818821459982388E-2</v>
      </c>
      <c r="BG110" s="229">
        <f t="shared" si="80"/>
        <v>1.2732955203148544E-2</v>
      </c>
      <c r="BH110" s="230">
        <f t="shared" si="80"/>
        <v>0.12640862322390989</v>
      </c>
      <c r="BI110" s="230">
        <f t="shared" si="80"/>
        <v>2.4911032028469782E-2</v>
      </c>
      <c r="BJ110" s="230">
        <f t="shared" si="80"/>
        <v>3.3890845070422504E-2</v>
      </c>
      <c r="BK110" s="230">
        <f t="shared" si="80"/>
        <v>0.1037477148080439</v>
      </c>
      <c r="BL110" s="229">
        <f t="shared" si="80"/>
        <v>7.063664418790716E-2</v>
      </c>
      <c r="BM110" s="230">
        <f t="shared" si="80"/>
        <v>-2.8708133971291905E-2</v>
      </c>
      <c r="BN110" s="230">
        <f t="shared" si="80"/>
        <v>-8.072916666666663E-2</v>
      </c>
      <c r="BO110" s="230">
        <f t="shared" si="80"/>
        <v>-7.5351213282247809E-2</v>
      </c>
      <c r="BP110" s="230">
        <f t="shared" si="80"/>
        <v>8.9855072463768115E-2</v>
      </c>
      <c r="BQ110" s="229">
        <f t="shared" si="80"/>
        <v>-2.2632646525034716E-2</v>
      </c>
      <c r="BR110" s="230">
        <f t="shared" si="80"/>
        <v>0.14733542319749215</v>
      </c>
      <c r="BS110" s="230">
        <f t="shared" si="80"/>
        <v>0.1260623229461757</v>
      </c>
      <c r="BT110" s="230">
        <f t="shared" si="80"/>
        <v>0.17265193370165743</v>
      </c>
      <c r="BU110" s="230">
        <f t="shared" si="80"/>
        <v>-7.1808510638297851E-2</v>
      </c>
      <c r="BV110" s="229">
        <f t="shared" si="80"/>
        <v>8.5417804478427062E-2</v>
      </c>
      <c r="BW110" s="230">
        <f t="shared" si="80"/>
        <v>-8.9773614363778287E-2</v>
      </c>
      <c r="BX110" s="230">
        <f t="shared" si="80"/>
        <v>-3.2285115303983258E-2</v>
      </c>
      <c r="BY110" s="231"/>
      <c r="BZ110" s="231"/>
      <c r="CA110" s="229"/>
      <c r="CB110" s="231"/>
      <c r="CC110" s="231"/>
      <c r="CD110" s="231"/>
      <c r="CE110" s="231"/>
      <c r="CF110" s="229"/>
      <c r="CG110" s="231"/>
      <c r="CH110" s="231"/>
      <c r="CI110" s="231"/>
      <c r="CJ110" s="231"/>
      <c r="CK110" s="229"/>
      <c r="CL110" s="231"/>
      <c r="CM110" s="231"/>
      <c r="CN110" s="231"/>
      <c r="CO110" s="231"/>
      <c r="CP110" s="229"/>
      <c r="CQ110" s="231"/>
      <c r="CR110" s="231"/>
      <c r="CS110" s="231"/>
      <c r="CT110" s="231"/>
      <c r="CU110" s="229"/>
      <c r="CV110" s="231"/>
      <c r="CW110" s="231"/>
      <c r="CX110" s="231"/>
      <c r="CY110" s="231"/>
      <c r="CZ110" s="229"/>
      <c r="DA110" s="231"/>
      <c r="DB110" s="230"/>
      <c r="DC110" s="231"/>
      <c r="DD110" s="231"/>
      <c r="DE110" s="229"/>
      <c r="DF110" s="231"/>
      <c r="DG110" s="231"/>
      <c r="DH110" s="231"/>
      <c r="DI110" s="231"/>
      <c r="DJ110" s="229"/>
      <c r="DK110" s="231"/>
      <c r="DL110" s="231"/>
      <c r="DM110" s="231"/>
      <c r="DN110" s="231"/>
      <c r="DO110" s="229"/>
      <c r="DP110" s="231"/>
      <c r="DQ110" s="231"/>
      <c r="DR110" s="231"/>
      <c r="DS110" s="231"/>
      <c r="DT110" s="229"/>
      <c r="DU110" s="231"/>
      <c r="DV110" s="231"/>
      <c r="DW110" s="231"/>
      <c r="DX110" s="231"/>
      <c r="DY110" s="229"/>
      <c r="DZ110" s="232"/>
      <c r="EA110" s="232"/>
      <c r="EB110" s="232"/>
    </row>
    <row r="111" spans="2:132" s="241" customFormat="1" ht="12" customHeight="1">
      <c r="B111" s="121" t="s">
        <v>391</v>
      </c>
      <c r="C111" s="301"/>
      <c r="D111" s="301">
        <f t="shared" ref="D111:I111" si="81">IF(ISERROR((D69-D91-D101)/(C69)-1),"",(D69-D91-D101)/(C69)-1)</f>
        <v>9.6772413793103418E-2</v>
      </c>
      <c r="E111" s="301">
        <f t="shared" si="81"/>
        <v>-4.165199456713109E-2</v>
      </c>
      <c r="F111" s="301">
        <f t="shared" si="81"/>
        <v>3.9376760624989071E-2</v>
      </c>
      <c r="G111" s="301">
        <f t="shared" si="81"/>
        <v>3.5333069776635639E-2</v>
      </c>
      <c r="H111" s="301">
        <f t="shared" si="81"/>
        <v>9.7271531886916396E-2</v>
      </c>
      <c r="I111" s="301">
        <f t="shared" si="81"/>
        <v>9.4352285931802671E-2</v>
      </c>
      <c r="J111" s="242"/>
      <c r="K111" s="242"/>
      <c r="L111" s="242"/>
      <c r="M111" s="242"/>
      <c r="N111" s="301">
        <f t="shared" ref="N111:S111" si="82">IF(ISERROR((N69-N91-N101)/(I69)-1),"",(N69-N91-N101)/(I69)-1)</f>
        <v>0.11266035598114099</v>
      </c>
      <c r="O111" s="242">
        <f t="shared" si="82"/>
        <v>1.6516111635432207E-2</v>
      </c>
      <c r="P111" s="242">
        <f t="shared" si="82"/>
        <v>8.3798752676161214E-2</v>
      </c>
      <c r="Q111" s="242">
        <f t="shared" si="82"/>
        <v>-9.1475965613270427E-2</v>
      </c>
      <c r="R111" s="242">
        <f t="shared" si="82"/>
        <v>0.10757834010751277</v>
      </c>
      <c r="S111" s="301">
        <f t="shared" si="82"/>
        <v>2.5854806061600843E-2</v>
      </c>
      <c r="T111" s="242">
        <f>IF(ISERROR((T69-T91-T101)/(O69-O101)-1),"",(T69-T91-T101)/(O69-O101)-1)</f>
        <v>-4.5737770117990628E-3</v>
      </c>
      <c r="U111" s="242">
        <f>IF(ISERROR((U69-U91-U101)/(P69-P101)-1),"",(U69-U91-U101)/(P69-P101)-1)</f>
        <v>3.9860905402794744E-2</v>
      </c>
      <c r="V111" s="242">
        <f>IF(ISERROR((V69-V91-V101)/(Q69-Q101)-1),"",(V69-V91-V101)/(Q69-Q101)-1)</f>
        <v>6.5102951955753996E-2</v>
      </c>
      <c r="W111" s="242">
        <f>IF(ISERROR((W69-W91-W101)/(R69-R101)-1),"",(W69-W91-W101)/(R69-R101)-1)</f>
        <v>0.1467298017164842</v>
      </c>
      <c r="X111" s="301">
        <f t="shared" ref="X111:BQ111" si="83">IF(ISERROR((X69-X91-X101)/(S69)-1),"",(X69-X91-X101)/(S69)-1)</f>
        <v>8.0234484102497561E-2</v>
      </c>
      <c r="Y111" s="242">
        <f t="shared" si="83"/>
        <v>7.4450320066796527E-2</v>
      </c>
      <c r="Z111" s="242">
        <f t="shared" si="83"/>
        <v>2.6627218934911268E-2</v>
      </c>
      <c r="AA111" s="242">
        <f t="shared" si="83"/>
        <v>2.772073921971252E-2</v>
      </c>
      <c r="AB111" s="242">
        <f t="shared" si="83"/>
        <v>-0.1359554041498916</v>
      </c>
      <c r="AC111" s="301">
        <f t="shared" si="83"/>
        <v>-1.1066925614229839E-2</v>
      </c>
      <c r="AD111" s="242">
        <f t="shared" si="83"/>
        <v>-1.8995812286836777E-2</v>
      </c>
      <c r="AE111" s="242">
        <f t="shared" si="83"/>
        <v>-6.0142839243202406E-3</v>
      </c>
      <c r="AF111" s="242">
        <f t="shared" si="83"/>
        <v>6.0939060939060985E-2</v>
      </c>
      <c r="AG111" s="242">
        <f t="shared" si="83"/>
        <v>-4.3214854639585742E-2</v>
      </c>
      <c r="AH111" s="301">
        <f t="shared" si="83"/>
        <v>-2.1313902743141933E-3</v>
      </c>
      <c r="AI111" s="242">
        <f t="shared" si="83"/>
        <v>8.7183718371837138E-3</v>
      </c>
      <c r="AJ111" s="242">
        <f t="shared" si="83"/>
        <v>8.03346357448953E-2</v>
      </c>
      <c r="AK111" s="242">
        <f t="shared" si="83"/>
        <v>1.9756973049311455E-2</v>
      </c>
      <c r="AL111" s="242">
        <f t="shared" si="83"/>
        <v>5.6959797954705405E-2</v>
      </c>
      <c r="AM111" s="301">
        <f t="shared" si="83"/>
        <v>4.148469912967534E-2</v>
      </c>
      <c r="AN111" s="242">
        <f t="shared" si="83"/>
        <v>-1.3924870466321293E-2</v>
      </c>
      <c r="AO111" s="242">
        <f t="shared" si="83"/>
        <v>-7.7167630057803471E-2</v>
      </c>
      <c r="AP111" s="242">
        <f t="shared" si="83"/>
        <v>-7.1363220494053081E-2</v>
      </c>
      <c r="AQ111" s="242">
        <f t="shared" si="83"/>
        <v>-5.9422019422019412E-2</v>
      </c>
      <c r="AR111" s="301">
        <f t="shared" si="83"/>
        <v>-5.6649535070259383E-2</v>
      </c>
      <c r="AS111" s="242">
        <f t="shared" si="83"/>
        <v>-1.1329305135951651E-2</v>
      </c>
      <c r="AT111" s="242">
        <f t="shared" si="83"/>
        <v>-4.8258799949893572E-2</v>
      </c>
      <c r="AU111" s="242">
        <f t="shared" si="83"/>
        <v>-3.6971400635541496E-3</v>
      </c>
      <c r="AV111" s="242">
        <f t="shared" si="83"/>
        <v>3.7293325168401781E-2</v>
      </c>
      <c r="AW111" s="301">
        <f t="shared" si="83"/>
        <v>-6.1750618288827219E-3</v>
      </c>
      <c r="AX111" s="242">
        <f t="shared" si="83"/>
        <v>8.0871734278587404E-2</v>
      </c>
      <c r="AY111" s="242">
        <f t="shared" si="83"/>
        <v>6.5556711758584907E-2</v>
      </c>
      <c r="AZ111" s="242">
        <f t="shared" si="83"/>
        <v>-4.4024390243902478E-2</v>
      </c>
      <c r="BA111" s="242">
        <f t="shared" si="83"/>
        <v>-1.511037657891634E-2</v>
      </c>
      <c r="BB111" s="301">
        <f t="shared" si="83"/>
        <v>1.9733550162621905E-2</v>
      </c>
      <c r="BC111" s="242">
        <f t="shared" si="83"/>
        <v>-1.4939876108344463E-2</v>
      </c>
      <c r="BD111" s="242">
        <f t="shared" si="83"/>
        <v>-7.32421875E-4</v>
      </c>
      <c r="BE111" s="242">
        <f t="shared" si="83"/>
        <v>2.640642939150406E-2</v>
      </c>
      <c r="BF111" s="242">
        <f t="shared" si="83"/>
        <v>6.1368812177873711E-2</v>
      </c>
      <c r="BG111" s="301">
        <f t="shared" si="83"/>
        <v>1.8094274235593621E-2</v>
      </c>
      <c r="BH111" s="145">
        <f t="shared" si="83"/>
        <v>-5.881627620221952E-2</v>
      </c>
      <c r="BI111" s="242">
        <f t="shared" si="83"/>
        <v>-5.3628145614463718E-2</v>
      </c>
      <c r="BJ111" s="145">
        <f t="shared" si="83"/>
        <v>-1.652995277156355E-2</v>
      </c>
      <c r="BK111" s="145">
        <f t="shared" si="83"/>
        <v>-0.14308300395256912</v>
      </c>
      <c r="BL111" s="144">
        <f t="shared" si="83"/>
        <v>-6.9765340241588092E-2</v>
      </c>
      <c r="BM111" s="145">
        <f t="shared" si="83"/>
        <v>-0.12105332110572509</v>
      </c>
      <c r="BN111" s="145">
        <f t="shared" si="83"/>
        <v>-2.620369175164583E-2</v>
      </c>
      <c r="BO111" s="145">
        <f t="shared" si="83"/>
        <v>5.5225578162517275E-2</v>
      </c>
      <c r="BP111" s="145">
        <f t="shared" si="83"/>
        <v>2.5962045334739114E-2</v>
      </c>
      <c r="BQ111" s="144">
        <f t="shared" si="83"/>
        <v>-1.5964508921343268E-2</v>
      </c>
      <c r="BR111" s="145">
        <f>IF(ISERROR((Data!BR160-BR91-BR101)/(BM69)-1),"",(Data!BR160-BR91-BR101)/(BM69)-1)</f>
        <v>0.1858697272320764</v>
      </c>
      <c r="BS111" s="145">
        <f>IF(ISERROR((Data!BS160-BS91-BS101)/(BN69)-1),"",(Data!BS160-BS91-BS101)/(BN69)-1)</f>
        <v>-4.9045599151643637E-2</v>
      </c>
      <c r="BT111" s="145">
        <f>IF(ISERROR((Data!BT160-BT91-BT101)/(BO69)-1),"",(Data!BT160-BT91-BT101)/(BO69)-1)</f>
        <v>-0.10083832335329346</v>
      </c>
      <c r="BU111" s="145">
        <f>IF(ISERROR((Data!BU160-BU91-BU101)/(BP69)-1),"",(Data!BU160-BU91-BU101)/(BP69)-1)</f>
        <v>-0.11881824020552345</v>
      </c>
      <c r="BV111" s="144">
        <f>IF(ISERROR((Data!BV160-BV91-BV101)/(BQ69)-1),"",(Data!BV160-BV91-BV101)/(BQ69)-1)</f>
        <v>-2.9287876793471113E-2</v>
      </c>
      <c r="BW111" s="145">
        <f t="shared" ref="BW111:DQ111" si="84">IF(ISERROR((BW69-BW91-BW101)/(BR69)-1),"",(BW69-BW91-BW101)/(BR69)-1)</f>
        <v>-0.16688396349413304</v>
      </c>
      <c r="BX111" s="145">
        <f t="shared" si="84"/>
        <v>-4.6718576195773132E-2</v>
      </c>
      <c r="BY111" s="145">
        <f t="shared" si="84"/>
        <v>-0.1218918448965397</v>
      </c>
      <c r="BZ111" s="145">
        <f t="shared" si="84"/>
        <v>-4.7330556607345642E-3</v>
      </c>
      <c r="CA111" s="144">
        <f t="shared" si="84"/>
        <v>-8.8729335637991347E-2</v>
      </c>
      <c r="CB111" s="145">
        <f t="shared" si="84"/>
        <v>0.26780125195618143</v>
      </c>
      <c r="CC111" s="145">
        <f t="shared" si="84"/>
        <v>0.18630882924931935</v>
      </c>
      <c r="CD111" s="145">
        <f t="shared" si="84"/>
        <v>0.37366336633663377</v>
      </c>
      <c r="CE111" s="145">
        <f t="shared" si="84"/>
        <v>0.30758988015978694</v>
      </c>
      <c r="CF111" s="144">
        <f t="shared" si="84"/>
        <v>0.2835951558776324</v>
      </c>
      <c r="CG111" s="145">
        <f t="shared" si="84"/>
        <v>2.0058632927017372E-2</v>
      </c>
      <c r="CH111" s="145">
        <f t="shared" si="84"/>
        <v>8.3934426229508308E-2</v>
      </c>
      <c r="CI111" s="145">
        <f t="shared" si="84"/>
        <v>9.3700446879054766E-3</v>
      </c>
      <c r="CJ111" s="145">
        <f t="shared" si="84"/>
        <v>-0.13267384346814082</v>
      </c>
      <c r="CK111" s="144">
        <f t="shared" si="84"/>
        <v>-7.7675053046377673E-3</v>
      </c>
      <c r="CL111" s="145">
        <f t="shared" si="84"/>
        <v>-8.6068673423082775E-2</v>
      </c>
      <c r="CM111" s="145">
        <f t="shared" si="84"/>
        <v>-3.6297640653357721E-3</v>
      </c>
      <c r="CN111" s="145">
        <f t="shared" si="84"/>
        <v>-2.1993716081119663E-2</v>
      </c>
      <c r="CO111" s="145">
        <f t="shared" si="84"/>
        <v>0.13703455216370353</v>
      </c>
      <c r="CP111" s="144">
        <f t="shared" si="84"/>
        <v>2.6730820636193808E-3</v>
      </c>
      <c r="CQ111" s="145">
        <f t="shared" si="84"/>
        <v>0.18917576961271099</v>
      </c>
      <c r="CR111" s="145">
        <f t="shared" si="84"/>
        <v>4.3715846994535568E-2</v>
      </c>
      <c r="CS111" s="145">
        <f t="shared" si="84"/>
        <v>-3.3732476635514042E-2</v>
      </c>
      <c r="CT111" s="145">
        <f t="shared" si="84"/>
        <v>-0.13527068889216698</v>
      </c>
      <c r="CU111" s="144">
        <f t="shared" si="84"/>
        <v>1.0778078226758581E-2</v>
      </c>
      <c r="CV111" s="145">
        <f t="shared" si="84"/>
        <v>-0.23688239387613086</v>
      </c>
      <c r="CW111" s="145">
        <f t="shared" si="84"/>
        <v>-9.9621873182082599E-2</v>
      </c>
      <c r="CX111" s="145">
        <f t="shared" si="84"/>
        <v>-0.1979749131026145</v>
      </c>
      <c r="CY111" s="145">
        <f t="shared" si="84"/>
        <v>5.4418287273968025E-2</v>
      </c>
      <c r="CZ111" s="144">
        <f t="shared" si="84"/>
        <v>-0.12727957799547851</v>
      </c>
      <c r="DA111" s="145">
        <f t="shared" si="84"/>
        <v>0.19259529454678104</v>
      </c>
      <c r="DB111" s="145">
        <f t="shared" si="84"/>
        <v>-3.8765950573412811E-3</v>
      </c>
      <c r="DC111" s="145">
        <f t="shared" si="84"/>
        <v>3.2786885245901676E-2</v>
      </c>
      <c r="DD111" s="145">
        <f t="shared" si="84"/>
        <v>9.1409157094321403E-2</v>
      </c>
      <c r="DE111" s="144">
        <f t="shared" si="84"/>
        <v>7.6461445471030176E-2</v>
      </c>
      <c r="DF111" s="145">
        <f t="shared" si="84"/>
        <v>6.285364734668919E-2</v>
      </c>
      <c r="DG111" s="145">
        <f t="shared" si="84"/>
        <v>-2.3674395978595775E-2</v>
      </c>
      <c r="DH111" s="145">
        <f t="shared" si="84"/>
        <v>1.0034665207079074E-2</v>
      </c>
      <c r="DI111" s="145">
        <f t="shared" si="84"/>
        <v>-0.19789504891787724</v>
      </c>
      <c r="DJ111" s="144">
        <f t="shared" si="84"/>
        <v>-4.070910038904263E-2</v>
      </c>
      <c r="DK111" s="145">
        <f t="shared" si="84"/>
        <v>-9.3812949640287746E-2</v>
      </c>
      <c r="DL111" s="145">
        <f t="shared" si="84"/>
        <v>9.8986879255937632E-2</v>
      </c>
      <c r="DM111" s="145">
        <f t="shared" si="84"/>
        <v>0.24674855491329484</v>
      </c>
      <c r="DN111" s="145">
        <f t="shared" si="84"/>
        <v>0.36333394936240992</v>
      </c>
      <c r="DO111" s="144">
        <f t="shared" si="84"/>
        <v>0.13696797391086202</v>
      </c>
      <c r="DP111" s="145">
        <f t="shared" si="84"/>
        <v>0.18672594474436321</v>
      </c>
      <c r="DQ111" s="145">
        <f t="shared" si="84"/>
        <v>0.11198428290766205</v>
      </c>
      <c r="DR111" s="648">
        <v>0.08</v>
      </c>
      <c r="DS111" s="648">
        <v>7.0000000000000007E-2</v>
      </c>
      <c r="DT111" s="144">
        <f>IF(ISERROR((DT69-DT91-DT101)/(DO69)-1),"",(DT69-DT91-DT101)/(DO69)-1)</f>
        <v>0.10972864801351245</v>
      </c>
      <c r="DU111" s="648">
        <v>7.0000000000000007E-2</v>
      </c>
      <c r="DV111" s="648">
        <v>0.06</v>
      </c>
      <c r="DW111" s="648">
        <v>0.08</v>
      </c>
      <c r="DX111" s="648">
        <v>7.0000000000000007E-2</v>
      </c>
      <c r="DY111" s="144">
        <f>IF(ISERROR((DY69-DY91-DY101)/(DT69)-1),"",(DY69-DY91-DY101)/(DT69)-1)</f>
        <v>7.0031350711634799E-2</v>
      </c>
      <c r="DZ111" s="649">
        <v>0.05</v>
      </c>
      <c r="EA111" s="649">
        <v>0.05</v>
      </c>
      <c r="EB111" s="649">
        <v>0.04</v>
      </c>
    </row>
    <row r="112" spans="2:132" s="241" customFormat="1" ht="12" customHeight="1">
      <c r="B112" s="121" t="s">
        <v>575</v>
      </c>
      <c r="C112" s="301"/>
      <c r="D112" s="301"/>
      <c r="E112" s="301"/>
      <c r="F112" s="301"/>
      <c r="G112" s="301"/>
      <c r="H112" s="301"/>
      <c r="I112" s="301"/>
      <c r="J112" s="242"/>
      <c r="K112" s="242"/>
      <c r="L112" s="242"/>
      <c r="M112" s="242"/>
      <c r="N112" s="301"/>
      <c r="O112" s="242"/>
      <c r="P112" s="242"/>
      <c r="Q112" s="242"/>
      <c r="R112" s="242"/>
      <c r="S112" s="301"/>
      <c r="T112" s="242"/>
      <c r="U112" s="242"/>
      <c r="V112" s="242"/>
      <c r="W112" s="242"/>
      <c r="X112" s="301"/>
      <c r="Y112" s="242"/>
      <c r="Z112" s="242"/>
      <c r="AA112" s="242"/>
      <c r="AB112" s="242"/>
      <c r="AC112" s="301"/>
      <c r="AD112" s="242"/>
      <c r="AE112" s="242"/>
      <c r="AF112" s="242"/>
      <c r="AG112" s="242"/>
      <c r="AH112" s="301"/>
      <c r="AI112" s="242"/>
      <c r="AJ112" s="242"/>
      <c r="AK112" s="242"/>
      <c r="AL112" s="242"/>
      <c r="AM112" s="301"/>
      <c r="AN112" s="242"/>
      <c r="AO112" s="242"/>
      <c r="AP112" s="242"/>
      <c r="AQ112" s="242"/>
      <c r="AR112" s="301"/>
      <c r="AS112" s="242"/>
      <c r="AT112" s="242"/>
      <c r="AU112" s="242"/>
      <c r="AV112" s="242"/>
      <c r="AW112" s="301"/>
      <c r="AX112" s="242"/>
      <c r="AY112" s="242"/>
      <c r="AZ112" s="242"/>
      <c r="BA112" s="242"/>
      <c r="BB112" s="301"/>
      <c r="BC112" s="242"/>
      <c r="BD112" s="242"/>
      <c r="BE112" s="242"/>
      <c r="BF112" s="242"/>
      <c r="BG112" s="301"/>
      <c r="BH112" s="145"/>
      <c r="BI112" s="242"/>
      <c r="BJ112" s="145"/>
      <c r="BK112" s="145"/>
      <c r="BL112" s="144"/>
      <c r="BM112" s="145"/>
      <c r="BN112" s="145"/>
      <c r="BO112" s="145"/>
      <c r="BP112" s="145"/>
      <c r="BQ112" s="144"/>
      <c r="BR112" s="145" t="str">
        <f t="shared" ref="BR112:BY112" si="85">IF(ISERROR((BR74-BR92-BR102)/(BM74)-1),"",(BR74-BR92-BR102)/(BM74)-1)</f>
        <v/>
      </c>
      <c r="BS112" s="145" t="str">
        <f t="shared" si="85"/>
        <v/>
      </c>
      <c r="BT112" s="145" t="str">
        <f t="shared" si="85"/>
        <v/>
      </c>
      <c r="BU112" s="145" t="str">
        <f t="shared" si="85"/>
        <v/>
      </c>
      <c r="BV112" s="144" t="str">
        <f t="shared" si="85"/>
        <v/>
      </c>
      <c r="BW112" s="145">
        <f t="shared" si="85"/>
        <v>6.7816427945045277E-2</v>
      </c>
      <c r="BX112" s="145">
        <f t="shared" si="85"/>
        <v>-8.0982965652052208E-3</v>
      </c>
      <c r="BY112" s="145">
        <f t="shared" si="85"/>
        <v>2.082144894466631E-2</v>
      </c>
      <c r="BZ112" s="646">
        <f>IF(ISERROR((BZ74-BZ92-BZ102)/(BU74)-1),"",((BZ74-BZ92-BZ102)/(BU74)-1))</f>
        <v>0.11120866256950546</v>
      </c>
      <c r="CA112" s="144">
        <f>IF(ISERROR((CA74-CA92-CA102)/(BV74)-1),"",(CA74-CA92-CA102)/(BV74)-1)</f>
        <v>4.7109515260323143E-2</v>
      </c>
      <c r="CB112" s="646">
        <f>IF(ISERROR((CB74-CB92-CB102)/(BW74)-1),"",((CB74-CB92-CB102)/(BW74)-1))</f>
        <v>8.1303038598412369E-2</v>
      </c>
      <c r="CC112" s="646">
        <f>IF(ISERROR((CC74-CC92-CC102)/(BX74)-1),"",((CC74-CC92-CC102)/(BX74)-1))</f>
        <v>0.15343468468468457</v>
      </c>
      <c r="CD112" s="646">
        <f>IF(ISERROR((CD74-CD92-CD102)/(BY74)-1),"",((CD74-CD92-CD102)/(BY74)-1))</f>
        <v>0.14585079631181896</v>
      </c>
      <c r="CE112" s="646">
        <f>IF(ISERROR((CE74-CE92-CE102)/(BZ74)-1),"",((CE74-CE92-CE102)/(BZ74)-1))</f>
        <v>0.18804319199367914</v>
      </c>
      <c r="CF112" s="144">
        <f>IF(ISERROR((CF74-CF92-CF102)/(CA74)-1),"",(CF74-CF92-CF102)/(CA74)-1)</f>
        <v>0.14251423084836423</v>
      </c>
      <c r="CG112" s="646">
        <f>IF(ISERROR((CG74-CG92-CG102)/(CB74)-1),"",((CG74-CG92-CG102)/(CB74)-1))</f>
        <v>6.8101265822784862E-2</v>
      </c>
      <c r="CH112" s="646">
        <f>IF(ISERROR((CH74-CH92-CH102)/(CC74)-1),"",((CH74-CH92-CH102)/(CC74)-1))</f>
        <v>1.0007322431047072E-2</v>
      </c>
      <c r="CI112" s="646">
        <f>IF(ISERROR((CI74-CI92-CI102)/(CD74)-1),"",((CI74-CI92-CI102)/(CD74)-1))</f>
        <v>3.7795659595220688E-2</v>
      </c>
      <c r="CJ112" s="646">
        <f>IF(ISERROR((CJ74-CJ92-CJ102)/(CE74)-1),"",((CJ74-CJ92-CJ102)/(CE74)-1))</f>
        <v>-4.7878769356153095E-2</v>
      </c>
      <c r="CK112" s="144">
        <f>IF(ISERROR((CK74-CK92-CK102)/(CF74)-1),"",(CK74-CK92-CK102)/(CF74)-1)</f>
        <v>1.3485635553470932E-2</v>
      </c>
      <c r="CL112" s="646">
        <f>IF(ISERROR((CL74-CL92-CL102)/(CG74)-1),"",((CL74-CL92-CL102)/(CG74)-1))</f>
        <v>1.9484736956050241E-3</v>
      </c>
      <c r="CM112" s="646">
        <f>IF(ISERROR((CM74-CM92-CM102)/(CH74)-1),"",((CM74-CM92-CM102)/(CH74)-1))</f>
        <v>-0.23222540171692718</v>
      </c>
      <c r="CN112" s="646">
        <f>IF(ISERROR((CN74-CN92-CN102)/(CI74)-1),"",((CN74-CN92-CN102)/(CI74)-1))</f>
        <v>-0.20695577501073426</v>
      </c>
      <c r="CO112" s="646">
        <f>IF(ISERROR((CO74-CO92-CO102)/(CJ74)-1),"",((CO74-CO92-CO102)/(CJ74)-1))</f>
        <v>-0.19685886402753872</v>
      </c>
      <c r="CP112" s="144">
        <f>IF(ISERROR((CP74-CP92-CP102)/(CK74)-1),"",(CP74-CP92-CP102)/(CK74)-1)</f>
        <v>-0.15838206627680307</v>
      </c>
      <c r="CQ112" s="646">
        <f>IF(ISERROR((CQ74-CQ92-CQ102)/(CL74)-1),"",((CQ74-CQ92-CQ102)/(CL74)-1))</f>
        <v>-0.18993085566119272</v>
      </c>
      <c r="CR112" s="646">
        <f>IF(ISERROR((CR74-CR92-CR102)/(CM74)-1),"",((CR74-CR92-CR102)/(CM74)-1))</f>
        <v>0.16599770642201839</v>
      </c>
      <c r="CS112" s="646">
        <f>IF(ISERROR((CS74-CS92-CS102)/(CN74)-1),"",((CS74-CS92-CS102)/(CN74)-1))</f>
        <v>0.14266377910124528</v>
      </c>
      <c r="CT112" s="646">
        <f>IF(ISERROR((CT74-CT92-CT102)/(CO74)-1),"",((CT74-CT92-CT102)/(CO74)-1))</f>
        <v>0.14947763193142238</v>
      </c>
      <c r="CU112" s="144">
        <f>IF(ISERROR((CU74-CU92-CU102)/(CP74)-1),"",(CU74-CU92-CU102)/(CP74)-1)</f>
        <v>5.0505050505050608E-2</v>
      </c>
      <c r="CV112" s="646">
        <f>IF(ISERROR((CV74-CV92-CV102)/(CQ74)-1),"",((CV74-CV92-CV102)/(CQ74)-1))</f>
        <v>0.15070685516137639</v>
      </c>
      <c r="CW112" s="646">
        <f>IF(ISERROR((CW74-CW92-CW102)/(CR74)-1),"",((CW74-CW92-CW102)/(CR74)-1))</f>
        <v>5.6798623063683218E-2</v>
      </c>
      <c r="CX112" s="646">
        <f>IF(ISERROR((CX74-CX92-CX102)/(CS74)-1),"",((CX74-CX92-CX102)/(CS74)-1))</f>
        <v>4.9988154465766321E-2</v>
      </c>
      <c r="CY112" s="646">
        <f>IF(ISERROR((CY74-CY92-CY102)/(CT74)-1),"",((CY74-CY92-CY102)/(CT74)-1))</f>
        <v>6.4320671172220845E-2</v>
      </c>
      <c r="CZ112" s="144">
        <f>IF(ISERROR((CZ74-CZ92-CZ102)/(CU74)-1),"",(CZ74-CZ92-CZ102)/(CU74)-1)</f>
        <v>7.8576678098971176E-2</v>
      </c>
      <c r="DA112" s="646">
        <f>IF(ISERROR((DA74-DA92-DA102)/(CV74)-1),"",((DA74-DA92-DA102)/(CV74)-1))</f>
        <v>9.4112192860454247E-2</v>
      </c>
      <c r="DB112" s="145">
        <f>IF(ISERROR((DB74-DB92-DB102)/(CW74)-1),"",((DB74-DB92-DB102)/(CW74)-1))</f>
        <v>0.10423452768729646</v>
      </c>
      <c r="DC112" s="646">
        <f>IF(ISERROR((DC74-DC92-DC102)/(CX74)-1),"",((DC74-DC92-DC102)/(CX74)-1))</f>
        <v>8.5740072202166173E-2</v>
      </c>
      <c r="DD112" s="646">
        <f>IF(ISERROR((DD74-DD92-DD102)/(CY74)-1),"",((DD74-DD92-DD102)/(CY74)-1))</f>
        <v>6.1747317714035521E-2</v>
      </c>
      <c r="DE112" s="144">
        <f>IF(ISERROR((DE74-DE92-DE102)/(CZ74)-1),"",(DE74-DE92-DE102)/(CZ74)-1)</f>
        <v>8.6082562035091792E-2</v>
      </c>
      <c r="DF112" s="646">
        <f>IF(ISERROR((DF74-DF92-DF102)/(DA74)-1),"",((DF74-DF92-DF102)/(DA74)-1))</f>
        <v>6.8855932203389925E-2</v>
      </c>
      <c r="DG112" s="646">
        <f>IF(ISERROR((DG74-DG92-DG102)/(DB74)-1),"",((DG74-DG92-DG102)/(DB74)-1))</f>
        <v>3.0130636325326643E-2</v>
      </c>
      <c r="DH112" s="646">
        <f>IF(ISERROR((DH74-DH92-DH102)/(DC74)-1),"",((DH74-DH92-DH102)/(DC74)-1))</f>
        <v>1.849542809642557E-2</v>
      </c>
      <c r="DI112" s="646">
        <f>IF(ISERROR((DI74-DI92-DI102)/(DD74)-1),"",((DI74-DI92-DI102)/(DD74)-1))</f>
        <v>5.5681583831717951E-2</v>
      </c>
      <c r="DJ112" s="144">
        <f>IF(ISERROR((DJ74-DJ92-DJ102)/(DE74)-1),"",(DJ74-DJ92-DJ102)/(DE74)-1)</f>
        <v>4.3237308516756334E-2</v>
      </c>
      <c r="DK112" s="646">
        <f>IF(ISERROR((DK74-DK92-DK102)/(DF74)-1),"",((DK74-DK92-DK102)/(DF74)-1))</f>
        <v>3.5678889990089502E-3</v>
      </c>
      <c r="DL112" s="646">
        <f>IF(ISERROR((DL74-DL92-DL102)/(DG74)-1),"",((DL74-DL92-DL102)/(DG74)-1))</f>
        <v>8.0179995909183788E-2</v>
      </c>
      <c r="DM112" s="646">
        <f>IF(ISERROR((DM74-DM92-DM102)/(DH74)-1),"",((DM74-DM92-DM102)/(DH74)-1))</f>
        <v>9.5694756172209683E-2</v>
      </c>
      <c r="DN112" s="646">
        <f>IF(ISERROR((DN74-DN92-DN102)/(DI74)-1),"",((DN74-DN92-DN102)/(DI74)-1))</f>
        <v>6.9414599205574135E-2</v>
      </c>
      <c r="DO112" s="144">
        <f>IF(ISERROR((DO74-DO92-DO102)/(DJ74)-1),"",(DO74-DO92-DO102)/(DJ74)-1)</f>
        <v>6.1858942233804504E-2</v>
      </c>
      <c r="DP112" s="646">
        <f>IF(ISERROR((DP74-DP92-DP102)/(DK74)-1),"",((DP74-DP92-DP102)/(DK74)-1))</f>
        <v>0.13924550661663071</v>
      </c>
      <c r="DQ112" s="646">
        <f>IF(ISERROR((DQ74-DQ92-DQ102)/(DL74)-1),"",((DQ74-DQ92-DQ102)/(DL74)-1))</f>
        <v>8.2938837341412608E-2</v>
      </c>
      <c r="DR112" s="646">
        <f>IF(ISERROR((DR74-DR92-DR102)/(DM74)-1),"",((DR74-DR92-DR102)/(DM74)-1))</f>
        <v>4.7653450176198486E-2</v>
      </c>
      <c r="DS112" s="646">
        <f>IF(ISERROR((DS74-DS92-DS102)/(DN74)-1),"",((DS74-DS92-DS102)/(DN74)-1))</f>
        <v>6.5123204477145702E-2</v>
      </c>
      <c r="DT112" s="144">
        <f>IF(ISERROR((DT74-DT92-DT102)/(DO74)-1),"",(DT74-DT92-DT102)/(DO74)-1)</f>
        <v>8.3072494363506166E-2</v>
      </c>
      <c r="DU112" s="646">
        <f>IF(ISERROR((DU74-DU92-DU102)/(DP74)-1),"",((DU74-DU92-DU102)/(DP74)-1))</f>
        <v>3.6152133583770896E-2</v>
      </c>
      <c r="DV112" s="646">
        <f>IF(ISERROR((DV74-DV92-DV102)/(DQ74)-1),"",((DV74-DV92-DV102)/(DQ74)-1))</f>
        <v>3.5943119789585865E-2</v>
      </c>
      <c r="DW112" s="646">
        <f>IF(ISERROR((DW74-DW92-DW102)/(DR74)-1),"",((DW74-DW92-DW102)/(DR74)-1))</f>
        <v>0.11465543089137031</v>
      </c>
      <c r="DX112" s="646">
        <f>IF(ISERROR((DX74-DX92-DX102)/(DS74)-1),"",((DX74-DX92-DX102)/(DS74)-1))</f>
        <v>6.1266749086994254E-2</v>
      </c>
      <c r="DY112" s="144">
        <f>IF(ISERROR((DY74-DY92-DY102)/(DT74)-1),"",(DY74-DY92-DY102)/(DT74)-1)</f>
        <v>6.1684199374905102E-2</v>
      </c>
      <c r="DZ112" s="144">
        <f>IF(ISERROR((DZ74-DZ92-DZ102)/(DY74)-1),"",((DZ74-DZ92-DZ102)/(DY74)-1))</f>
        <v>3.2111985095067075E-2</v>
      </c>
      <c r="EA112" s="144">
        <f t="shared" ref="EA112:EB112" si="86">IF(ISERROR((EA74-EA92-EA102)/(DZ74)-1),"",((EA74-EA92-EA102)/(DZ74)-1))</f>
        <v>3.212812614385796E-2</v>
      </c>
      <c r="EB112" s="144">
        <f t="shared" si="86"/>
        <v>3.2144357016876679E-2</v>
      </c>
    </row>
    <row r="113" spans="2:132" s="241" customFormat="1" ht="12" hidden="1" customHeight="1" outlineLevel="1">
      <c r="B113" s="241" t="s">
        <v>144</v>
      </c>
      <c r="C113" s="301"/>
      <c r="D113" s="301">
        <f t="shared" ref="D113:I113" si="87">IF(ISERROR((D79-D93-D103)/(C79)-1),"",(D79-D93-D103)/(C79)-1)</f>
        <v>-2.1447721179624679E-2</v>
      </c>
      <c r="E113" s="301">
        <f t="shared" si="87"/>
        <v>0.14657534246575343</v>
      </c>
      <c r="F113" s="301">
        <f t="shared" si="87"/>
        <v>-9.4384707287933134E-2</v>
      </c>
      <c r="G113" s="301">
        <f t="shared" si="87"/>
        <v>0.13852242744063314</v>
      </c>
      <c r="H113" s="301">
        <f t="shared" si="87"/>
        <v>0.15179606025492465</v>
      </c>
      <c r="I113" s="301">
        <f t="shared" si="87"/>
        <v>0.22837022132796791</v>
      </c>
      <c r="J113" s="242"/>
      <c r="K113" s="242"/>
      <c r="L113" s="242"/>
      <c r="M113" s="242"/>
      <c r="N113" s="301">
        <f t="shared" ref="N113:S113" si="88">IF(ISERROR((N79-N93-N103)/(I79)-1),"",(N79-N93-N103)/(I79)-1)</f>
        <v>0.19492219492219487</v>
      </c>
      <c r="O113" s="242">
        <f t="shared" si="88"/>
        <v>0.58631921824104238</v>
      </c>
      <c r="P113" s="242">
        <f t="shared" si="88"/>
        <v>1.2445414847161573</v>
      </c>
      <c r="Q113" s="242">
        <f t="shared" si="88"/>
        <v>-9.0909090909090939E-2</v>
      </c>
      <c r="R113" s="242">
        <f t="shared" si="88"/>
        <v>0.38235294117647056</v>
      </c>
      <c r="S113" s="301">
        <f t="shared" si="88"/>
        <v>0.52867570385818552</v>
      </c>
      <c r="T113" s="242">
        <f>IF(ISERROR((T79-T93-T103)/(O79-O103)-1),"",(T79-T93-T103)/(O79-O103)-1)</f>
        <v>-0.51334702258726894</v>
      </c>
      <c r="U113" s="242">
        <f>IF(ISERROR((U79-U93-U103)/(P79-P103)-1),"",(U79-U93-U103)/(P79-P103)-1)</f>
        <v>-0.52723735408560313</v>
      </c>
      <c r="V113" s="242">
        <f>IF(ISERROR((V79-V93-V103)/(Q79-Q103)-1),"",(V79-V93-V103)/(Q79-Q103)-1)</f>
        <v>0.32173913043478253</v>
      </c>
      <c r="W113" s="242">
        <f>IF(ISERROR((W79-W93-W103)/(R79-R103)-1),"",(W79-W93-W103)/(R79-R103)-1)</f>
        <v>2.5531914893617058E-2</v>
      </c>
      <c r="X113" s="301">
        <f t="shared" ref="X113:BC113" si="89">IF(ISERROR((X79-X93-X103)/(S79)-1),"",(X79-X93-X103)/(S79)-1)</f>
        <v>6.107660455486541E-2</v>
      </c>
      <c r="Y113" s="242">
        <f t="shared" si="89"/>
        <v>-0.10126582278481011</v>
      </c>
      <c r="Z113" s="242">
        <f t="shared" si="89"/>
        <v>-0.13991769547325106</v>
      </c>
      <c r="AA113" s="242">
        <f t="shared" si="89"/>
        <v>-0.35197368421052633</v>
      </c>
      <c r="AB113" s="242">
        <f t="shared" si="89"/>
        <v>-0.18672199170124482</v>
      </c>
      <c r="AC113" s="301">
        <f t="shared" si="89"/>
        <v>-0.20487804878048776</v>
      </c>
      <c r="AD113" s="242">
        <f t="shared" si="89"/>
        <v>-0.13145539906103287</v>
      </c>
      <c r="AE113" s="242">
        <f t="shared" si="89"/>
        <v>-0.1435406698564593</v>
      </c>
      <c r="AF113" s="242">
        <f t="shared" si="89"/>
        <v>-0.13197969543147203</v>
      </c>
      <c r="AG113" s="242">
        <f t="shared" si="89"/>
        <v>-0.1428571428571429</v>
      </c>
      <c r="AH113" s="301">
        <f t="shared" si="89"/>
        <v>-0.13742331288343557</v>
      </c>
      <c r="AI113" s="242">
        <f t="shared" si="89"/>
        <v>-0.11891891891891893</v>
      </c>
      <c r="AJ113" s="242">
        <f t="shared" si="89"/>
        <v>-6.7039106145251437E-2</v>
      </c>
      <c r="AK113" s="242">
        <f t="shared" si="89"/>
        <v>-2.9239766081871399E-2</v>
      </c>
      <c r="AL113" s="242">
        <f t="shared" si="89"/>
        <v>-2.3809523809523836E-2</v>
      </c>
      <c r="AM113" s="301">
        <f t="shared" si="89"/>
        <v>-6.1166429587482196E-2</v>
      </c>
      <c r="AN113" s="242">
        <f t="shared" si="89"/>
        <v>-6.1349693251533388E-3</v>
      </c>
      <c r="AO113" s="242">
        <f t="shared" si="89"/>
        <v>-2.9940119760479056E-2</v>
      </c>
      <c r="AP113" s="242">
        <f t="shared" si="89"/>
        <v>2.4096385542168752E-2</v>
      </c>
      <c r="AQ113" s="242">
        <f t="shared" si="89"/>
        <v>-0.11585365853658536</v>
      </c>
      <c r="AR113" s="301">
        <f t="shared" si="89"/>
        <v>-3.1818181818181857E-2</v>
      </c>
      <c r="AS113" s="242">
        <f t="shared" si="89"/>
        <v>-0.11728395061728392</v>
      </c>
      <c r="AT113" s="242">
        <f t="shared" si="89"/>
        <v>-9.259259259259256E-2</v>
      </c>
      <c r="AU113" s="242">
        <f t="shared" si="89"/>
        <v>-0.25882352941176467</v>
      </c>
      <c r="AV113" s="242">
        <f t="shared" si="89"/>
        <v>-0.19999999999999996</v>
      </c>
      <c r="AW113" s="301">
        <f t="shared" si="89"/>
        <v>-0.16744913928012517</v>
      </c>
      <c r="AX113" s="242">
        <f t="shared" si="89"/>
        <v>-0.12587412587412583</v>
      </c>
      <c r="AY113" s="242">
        <f t="shared" si="89"/>
        <v>-0.32653061224489799</v>
      </c>
      <c r="AZ113" s="242">
        <f t="shared" si="89"/>
        <v>-0.19841269841269837</v>
      </c>
      <c r="BA113" s="242">
        <f t="shared" si="89"/>
        <v>0</v>
      </c>
      <c r="BB113" s="301">
        <f t="shared" si="89"/>
        <v>-0.17105263157894735</v>
      </c>
      <c r="BC113" s="242">
        <f t="shared" si="89"/>
        <v>-0.16000000000000003</v>
      </c>
      <c r="BD113" s="242">
        <f t="shared" ref="BD113:DB113" si="90">IF(ISERROR((BD79-BD93-BD103)/(AY79)-1),"",(BD79-BD93-BD103)/(AY79)-1)</f>
        <v>5.0505050505050608E-2</v>
      </c>
      <c r="BE113" s="242">
        <f t="shared" si="90"/>
        <v>-6.9306930693069257E-2</v>
      </c>
      <c r="BF113" s="242">
        <f t="shared" si="90"/>
        <v>-9.4827586206896575E-2</v>
      </c>
      <c r="BG113" s="301">
        <f t="shared" si="90"/>
        <v>-7.4829931972789088E-2</v>
      </c>
      <c r="BH113" s="145">
        <f t="shared" si="90"/>
        <v>-0.21904761904761905</v>
      </c>
      <c r="BI113" s="242">
        <f t="shared" si="90"/>
        <v>-0.13461538461538458</v>
      </c>
      <c r="BJ113" s="145">
        <f t="shared" si="90"/>
        <v>-3.1914893617021267E-2</v>
      </c>
      <c r="BK113" s="145">
        <f t="shared" si="90"/>
        <v>0.45714285714285707</v>
      </c>
      <c r="BL113" s="144">
        <f t="shared" si="90"/>
        <v>1.9607843137254832E-2</v>
      </c>
      <c r="BM113" s="145">
        <f t="shared" si="90"/>
        <v>4.8780487804878092E-2</v>
      </c>
      <c r="BN113" s="145">
        <f t="shared" si="90"/>
        <v>0.27777777777777768</v>
      </c>
      <c r="BO113" s="145">
        <f t="shared" si="90"/>
        <v>0.25274725274725274</v>
      </c>
      <c r="BP113" s="145">
        <f t="shared" si="90"/>
        <v>-0.35947712418300659</v>
      </c>
      <c r="BQ113" s="144">
        <f t="shared" si="90"/>
        <v>-7.2115384615384359E-3</v>
      </c>
      <c r="BR113" s="145">
        <f t="shared" si="90"/>
        <v>-0.2558139534883721</v>
      </c>
      <c r="BS113" s="145">
        <f t="shared" si="90"/>
        <v>-0.26956521739130435</v>
      </c>
      <c r="BT113" s="145">
        <f t="shared" si="90"/>
        <v>-0.44736842105263153</v>
      </c>
      <c r="BU113" s="145">
        <f t="shared" si="90"/>
        <v>-0.11224489795918369</v>
      </c>
      <c r="BV113" s="144">
        <f t="shared" si="90"/>
        <v>-0.27845036319612593</v>
      </c>
      <c r="BW113" s="145">
        <f t="shared" si="90"/>
        <v>0.4375</v>
      </c>
      <c r="BX113" s="145">
        <f t="shared" si="90"/>
        <v>-0.1428571428571429</v>
      </c>
      <c r="BY113" s="145">
        <f t="shared" si="90"/>
        <v>0.11111111111111116</v>
      </c>
      <c r="BZ113" s="145">
        <f t="shared" si="90"/>
        <v>-0.16091954022988508</v>
      </c>
      <c r="CA113" s="144">
        <f t="shared" si="90"/>
        <v>3.0201342281879207E-2</v>
      </c>
      <c r="CB113" s="145">
        <f t="shared" si="90"/>
        <v>-0.29347826086956519</v>
      </c>
      <c r="CC113" s="145">
        <f t="shared" si="90"/>
        <v>0</v>
      </c>
      <c r="CD113" s="145">
        <f t="shared" si="90"/>
        <v>0.10000000000000009</v>
      </c>
      <c r="CE113" s="145">
        <f t="shared" si="90"/>
        <v>-0.17808219178082196</v>
      </c>
      <c r="CF113" s="144">
        <f t="shared" si="90"/>
        <v>-0.10749185667752448</v>
      </c>
      <c r="CG113" s="145">
        <f t="shared" si="90"/>
        <v>1.538461538461533E-2</v>
      </c>
      <c r="CH113" s="145">
        <f t="shared" si="90"/>
        <v>4.1666666666666741E-2</v>
      </c>
      <c r="CI113" s="145">
        <f t="shared" si="90"/>
        <v>-0.1428571428571429</v>
      </c>
      <c r="CJ113" s="145">
        <f t="shared" si="90"/>
        <v>-0.3833333333333333</v>
      </c>
      <c r="CK113" s="144">
        <f t="shared" ref="CK113" si="91">IF(ISERROR((CK79-CK93-CK103)/(CF79)-1),"",(CK79-CK93-CK103)/(CF79)-1)</f>
        <v>-0.10948905109489049</v>
      </c>
      <c r="CL113" s="145">
        <f t="shared" si="90"/>
        <v>-1.5151515151515138E-2</v>
      </c>
      <c r="CM113" s="145">
        <f t="shared" si="90"/>
        <v>-7.999999999999996E-2</v>
      </c>
      <c r="CN113" s="145">
        <f t="shared" si="90"/>
        <v>7.575757575757569E-2</v>
      </c>
      <c r="CO113" s="145">
        <f t="shared" si="90"/>
        <v>0.5135135135135136</v>
      </c>
      <c r="CP113" s="144">
        <f t="shared" ref="CP113" si="92">IF(ISERROR((CP79-CP93-CP103)/(CK79)-1),"",(CP79-CP93-CP103)/(CK79)-1)</f>
        <v>6.9672131147541005E-2</v>
      </c>
      <c r="CQ113" s="145">
        <f t="shared" si="90"/>
        <v>-7.6923076923076872E-2</v>
      </c>
      <c r="CR113" s="145">
        <f t="shared" si="90"/>
        <v>0.13043478260869557</v>
      </c>
      <c r="CS113" s="145">
        <f t="shared" si="90"/>
        <v>0</v>
      </c>
      <c r="CT113" s="145">
        <f t="shared" si="90"/>
        <v>0.125</v>
      </c>
      <c r="CU113" s="144">
        <f t="shared" ref="CU113" si="93">IF(ISERROR((CU79-CU93-CU103)/(CP79)-1),"",(CU79-CU93-CU103)/(CP79)-1)</f>
        <v>4.2145593869731712E-2</v>
      </c>
      <c r="CV113" s="145">
        <f t="shared" si="90"/>
        <v>-0.23333333333333328</v>
      </c>
      <c r="CW113" s="145">
        <f t="shared" si="90"/>
        <v>-0.33333333333333337</v>
      </c>
      <c r="CX113" s="145">
        <f t="shared" si="90"/>
        <v>-0.26760563380281688</v>
      </c>
      <c r="CY113" s="145">
        <f t="shared" si="90"/>
        <v>-0.22222222222222221</v>
      </c>
      <c r="CZ113" s="144">
        <f t="shared" ref="CZ113" si="94">IF(ISERROR((CZ79-CZ93-CZ103)/(CU79)-1),"",(CZ79-CZ93-CZ103)/(CU79)-1)</f>
        <v>-0.26838235294117652</v>
      </c>
      <c r="DA113" s="145">
        <f t="shared" si="90"/>
        <v>-1</v>
      </c>
      <c r="DB113" s="145">
        <f t="shared" si="90"/>
        <v>-1</v>
      </c>
      <c r="DC113" s="145">
        <f t="shared" ref="DC113" si="95">IF(ISERROR((DC79-DC93-DC103)/(CX79)-1),"",(DC79-DC93-DC103)/(CX79)-1)</f>
        <v>-1</v>
      </c>
      <c r="DD113" s="145">
        <f t="shared" ref="DD113:DP113" si="96">IF(ISERROR((DD79-DD93-DD103)/(CY79)-1),"",(DD79-DD93-DD103)/(CY79)-1)</f>
        <v>-1</v>
      </c>
      <c r="DE113" s="144">
        <f t="shared" si="96"/>
        <v>-1</v>
      </c>
      <c r="DF113" s="145" t="str">
        <f t="shared" si="96"/>
        <v/>
      </c>
      <c r="DG113" s="145" t="str">
        <f t="shared" si="96"/>
        <v/>
      </c>
      <c r="DH113" s="145" t="str">
        <f t="shared" si="96"/>
        <v/>
      </c>
      <c r="DI113" s="145" t="str">
        <f t="shared" si="96"/>
        <v/>
      </c>
      <c r="DJ113" s="144" t="str">
        <f t="shared" si="96"/>
        <v/>
      </c>
      <c r="DK113" s="145" t="str">
        <f t="shared" si="96"/>
        <v/>
      </c>
      <c r="DL113" s="145" t="str">
        <f t="shared" si="96"/>
        <v/>
      </c>
      <c r="DM113" s="145" t="str">
        <f t="shared" si="96"/>
        <v/>
      </c>
      <c r="DN113" s="145" t="str">
        <f t="shared" si="96"/>
        <v/>
      </c>
      <c r="DO113" s="144" t="str">
        <f t="shared" si="96"/>
        <v/>
      </c>
      <c r="DP113" s="145" t="str">
        <f t="shared" si="96"/>
        <v/>
      </c>
      <c r="DQ113" s="145" t="str">
        <f t="shared" ref="DQ113" si="97">IF(ISERROR((DQ79-DQ93-DQ103)/(DL79)-1),"",(DQ79-DQ93-DQ103)/(DL79)-1)</f>
        <v/>
      </c>
      <c r="DR113" s="145" t="str">
        <f t="shared" ref="DR113" si="98">IF(ISERROR((DR79-DR93-DR103)/(DM79)-1),"",(DR79-DR93-DR103)/(DM79)-1)</f>
        <v/>
      </c>
      <c r="DS113" s="145" t="str">
        <f t="shared" ref="DS113" si="99">IF(ISERROR((DS79-DS93-DS103)/(DN79)-1),"",(DS79-DS93-DS103)/(DN79)-1)</f>
        <v/>
      </c>
      <c r="DT113" s="144" t="str">
        <f t="shared" ref="DT113" si="100">IF(ISERROR((DT79-DT93-DT103)/(DO79)-1),"",(DT79-DT93-DT103)/(DO79)-1)</f>
        <v/>
      </c>
      <c r="DU113" s="145" t="str">
        <f t="shared" ref="DU113" si="101">IF(ISERROR((DU79-DU93-DU103)/(DP79)-1),"",(DU79-DU93-DU103)/(DP79)-1)</f>
        <v/>
      </c>
      <c r="DV113" s="145" t="str">
        <f t="shared" ref="DV113" si="102">IF(ISERROR((DV79-DV93-DV103)/(DQ79)-1),"",(DV79-DV93-DV103)/(DQ79)-1)</f>
        <v/>
      </c>
      <c r="DW113" s="145" t="str">
        <f t="shared" ref="DW113" si="103">IF(ISERROR((DW79-DW93-DW103)/(DR79)-1),"",(DW79-DW93-DW103)/(DR79)-1)</f>
        <v/>
      </c>
      <c r="DX113" s="145" t="str">
        <f t="shared" ref="DX113" si="104">IF(ISERROR((DX79-DX93-DX103)/(DS79)-1),"",(DX79-DX93-DX103)/(DS79)-1)</f>
        <v/>
      </c>
      <c r="DY113" s="144" t="str">
        <f t="shared" ref="DY113" si="105">IF(ISERROR((DY79-DY93-DY103)/(DT79)-1),"",(DY79-DY93-DY103)/(DT79)-1)</f>
        <v/>
      </c>
      <c r="DZ113" s="144" t="str">
        <f t="shared" ref="DZ113" si="106">IF(ISERROR((DZ79-DZ93-DZ103)/(DY79)-1),"",(DZ79-DZ93-DZ103)/(DY79)-1)</f>
        <v/>
      </c>
      <c r="EA113" s="144" t="str">
        <f t="shared" ref="EA113" si="107">IF(ISERROR((EA79-EA93-EA103)/(DZ79)-1),"",(EA79-EA93-EA103)/(DZ79)-1)</f>
        <v/>
      </c>
      <c r="EB113" s="144" t="str">
        <f t="shared" ref="EB113" si="108">IF(ISERROR((EB79-EB93-EB103)/(EA79)-1),"",(EB79-EB93-EB103)/(EA79)-1)</f>
        <v/>
      </c>
    </row>
    <row r="114" spans="2:132" s="74" customFormat="1" ht="12" customHeight="1" collapsed="1">
      <c r="B114" s="32" t="s">
        <v>297</v>
      </c>
      <c r="C114" s="30"/>
      <c r="D114" s="30">
        <f t="shared" ref="D114:I114" si="109">IF(ISERROR((D82-D94-D104)/(C82)-1),"",(D82-D94-D104)/(C82)-1)</f>
        <v>5.3826419213973908E-2</v>
      </c>
      <c r="E114" s="30">
        <f t="shared" si="109"/>
        <v>3.2704704918616656E-2</v>
      </c>
      <c r="F114" s="30">
        <f t="shared" si="109"/>
        <v>-0.12414486805878866</v>
      </c>
      <c r="G114" s="30">
        <f t="shared" si="109"/>
        <v>9.0242136097633763E-2</v>
      </c>
      <c r="H114" s="30">
        <f t="shared" si="109"/>
        <v>-6.9989518540156004E-2</v>
      </c>
      <c r="I114" s="30">
        <f t="shared" si="109"/>
        <v>-6.3312619060829634E-2</v>
      </c>
      <c r="J114" s="29"/>
      <c r="K114" s="29"/>
      <c r="L114" s="29"/>
      <c r="M114" s="29"/>
      <c r="N114" s="30">
        <f t="shared" ref="N114:W114" si="110">IF(ISERROR((N82-N94-N104)/(I82)-1),"",(N82-N94-N104)/(I82)-1)</f>
        <v>5.233567726387367E-2</v>
      </c>
      <c r="O114" s="29">
        <f t="shared" si="110"/>
        <v>2.8802376726599244E-2</v>
      </c>
      <c r="P114" s="29">
        <f t="shared" si="110"/>
        <v>0.17641478198858995</v>
      </c>
      <c r="Q114" s="29">
        <f t="shared" si="110"/>
        <v>2.33614659367396E-2</v>
      </c>
      <c r="R114" s="29">
        <f t="shared" si="110"/>
        <v>0.14540277568260662</v>
      </c>
      <c r="S114" s="30">
        <f t="shared" si="110"/>
        <v>9.3737092602830252E-2</v>
      </c>
      <c r="T114" s="29">
        <f t="shared" si="110"/>
        <v>0.17271117271117276</v>
      </c>
      <c r="U114" s="29">
        <f t="shared" si="110"/>
        <v>5.9988022358264503E-2</v>
      </c>
      <c r="V114" s="29">
        <f t="shared" si="110"/>
        <v>0.18274342122627818</v>
      </c>
      <c r="W114" s="29">
        <f t="shared" si="110"/>
        <v>0.21049221885782687</v>
      </c>
      <c r="X114" s="30">
        <f t="shared" ref="X114:AN114" si="111">IF(ISERROR((X82-X94-X104)/(S82)-1),"",(X82-X94-X104)/(S82)-1)</f>
        <v>0.1539167958185188</v>
      </c>
      <c r="Y114" s="29">
        <f t="shared" si="111"/>
        <v>5.2593942793045523E-2</v>
      </c>
      <c r="Z114" s="29">
        <f t="shared" si="111"/>
        <v>0.11241757264044727</v>
      </c>
      <c r="AA114" s="29">
        <f t="shared" si="111"/>
        <v>9.6934871899252206E-2</v>
      </c>
      <c r="AB114" s="29">
        <f t="shared" si="111"/>
        <v>-4.0349423109813376E-3</v>
      </c>
      <c r="AC114" s="30">
        <f t="shared" si="111"/>
        <v>6.1642059116461922E-2</v>
      </c>
      <c r="AD114" s="29">
        <f t="shared" si="111"/>
        <v>4.0192411991956334E-2</v>
      </c>
      <c r="AE114" s="29">
        <f t="shared" si="111"/>
        <v>-4.0971732832197905E-3</v>
      </c>
      <c r="AF114" s="29">
        <f t="shared" si="111"/>
        <v>-7.489707574014659E-2</v>
      </c>
      <c r="AG114" s="29">
        <f t="shared" si="111"/>
        <v>-0.27806593427552406</v>
      </c>
      <c r="AH114" s="30">
        <f t="shared" si="111"/>
        <v>-8.3586298367806733E-2</v>
      </c>
      <c r="AI114" s="29">
        <f t="shared" si="111"/>
        <v>2.620335626433179E-2</v>
      </c>
      <c r="AJ114" s="29">
        <f t="shared" si="111"/>
        <v>6.0031246315292996E-3</v>
      </c>
      <c r="AK114" s="29">
        <f t="shared" si="111"/>
        <v>8.3701132161212E-2</v>
      </c>
      <c r="AL114" s="29">
        <f t="shared" si="111"/>
        <v>0.4096358487829217</v>
      </c>
      <c r="AM114" s="30">
        <f t="shared" si="111"/>
        <v>0.11478492470793733</v>
      </c>
      <c r="AN114" s="29">
        <f t="shared" si="111"/>
        <v>-8.035290182151178E-2</v>
      </c>
      <c r="AO114" s="29">
        <f t="shared" ref="AO114:AW114" si="112">IF(ISERROR((AO82-AO94-AO104)/(AJ82)-1),"",(AO82-AO94-AO104)/(AJ82)-1)</f>
        <v>-9.4495953471994132E-2</v>
      </c>
      <c r="AP114" s="29">
        <f t="shared" si="112"/>
        <v>1.2666287152444777E-2</v>
      </c>
      <c r="AQ114" s="29">
        <f t="shared" si="112"/>
        <v>-8.4657690806712482E-2</v>
      </c>
      <c r="AR114" s="30">
        <f t="shared" si="112"/>
        <v>-6.2302795385497767E-2</v>
      </c>
      <c r="AS114" s="29">
        <f t="shared" si="112"/>
        <v>-2.604166666666663E-2</v>
      </c>
      <c r="AT114" s="29">
        <f t="shared" si="112"/>
        <v>5.649200539395105E-2</v>
      </c>
      <c r="AU114" s="29">
        <f t="shared" si="112"/>
        <v>4.1949077621264763E-2</v>
      </c>
      <c r="AV114" s="29">
        <f t="shared" si="112"/>
        <v>0.18148036253776434</v>
      </c>
      <c r="AW114" s="30">
        <f t="shared" si="112"/>
        <v>6.5293285229994114E-2</v>
      </c>
      <c r="AX114" s="29">
        <f t="shared" ref="AX114:BI114" si="113">IF(ISERROR((AX82-AX94-AX104)/(AS82)-1),"",(AX82-AX94-AX104)/(AS82)-1)</f>
        <v>0.30000000000000004</v>
      </c>
      <c r="AY114" s="29">
        <f t="shared" si="113"/>
        <v>0.20927280420721761</v>
      </c>
      <c r="AZ114" s="29">
        <f t="shared" si="113"/>
        <v>0.12867377446832506</v>
      </c>
      <c r="BA114" s="29">
        <f t="shared" si="113"/>
        <v>0.14047558169266172</v>
      </c>
      <c r="BB114" s="30">
        <f t="shared" si="113"/>
        <v>0.18859387502727865</v>
      </c>
      <c r="BC114" s="29">
        <f t="shared" si="113"/>
        <v>-2.5279884434813993E-2</v>
      </c>
      <c r="BD114" s="29">
        <f t="shared" si="113"/>
        <v>9.0477380654836237E-2</v>
      </c>
      <c r="BE114" s="29">
        <f t="shared" si="113"/>
        <v>0.10605757696921225</v>
      </c>
      <c r="BF114" s="29">
        <f t="shared" si="113"/>
        <v>6.6509730069052031E-2</v>
      </c>
      <c r="BG114" s="30">
        <f t="shared" si="113"/>
        <v>6.0286665524247773E-2</v>
      </c>
      <c r="BH114" s="29">
        <f t="shared" ref="BH114:BR114" si="114">IF(ISERROR((BH82-BH94-BH104)/(BC82)-1),"",(BH82-BH94-BH104)/(BC82)-1)</f>
        <v>8.3205419996824181E-2</v>
      </c>
      <c r="BI114" s="29">
        <f t="shared" si="113"/>
        <v>1.0543204217281721E-2</v>
      </c>
      <c r="BJ114" s="29">
        <f t="shared" si="114"/>
        <v>7.4740171712607273E-2</v>
      </c>
      <c r="BK114" s="29">
        <f t="shared" si="114"/>
        <v>2.8702602027302682E-2</v>
      </c>
      <c r="BL114" s="30">
        <f t="shared" si="114"/>
        <v>4.7778138214545018E-2</v>
      </c>
      <c r="BM114" s="29">
        <f t="shared" si="114"/>
        <v>8.2286831175177211E-2</v>
      </c>
      <c r="BN114" s="29">
        <f t="shared" si="114"/>
        <v>0.11331367657065083</v>
      </c>
      <c r="BO114" s="29">
        <f t="shared" si="114"/>
        <v>8.6823074335687922E-2</v>
      </c>
      <c r="BP114" s="29">
        <f t="shared" si="114"/>
        <v>-3.6578388098741255E-2</v>
      </c>
      <c r="BQ114" s="30">
        <f t="shared" si="114"/>
        <v>5.8967409268195992E-2</v>
      </c>
      <c r="BR114" s="29">
        <f t="shared" si="114"/>
        <v>2.1806853582554409E-2</v>
      </c>
      <c r="BS114" s="29">
        <f t="shared" ref="BS114:BU114" si="115">IF(ISERROR((BS82-BS94-BS104)/(BN82)-1),"",(BS82-BS94-BS104)/(BN82)-1)</f>
        <v>8.6379008271197932E-3</v>
      </c>
      <c r="BT114" s="29">
        <f t="shared" si="115"/>
        <v>-7.5476807613447328E-2</v>
      </c>
      <c r="BU114" s="29">
        <f t="shared" si="115"/>
        <v>-1.2174945912696744E-2</v>
      </c>
      <c r="BV114" s="30">
        <f t="shared" ref="BV114" si="116">IF(ISERROR((BV82-BV94-BV104)/(BQ82)-1),"",(BV82-BV94-BV104)/(BQ82)-1)</f>
        <v>-1.6053852716565786E-2</v>
      </c>
      <c r="BW114" s="29">
        <f t="shared" ref="BW114:BX114" si="117">IF(ISERROR((BW82-BW94-BW104)/(BR82)-1),"",(BW82-BW94-BW104)/(BR82)-1)</f>
        <v>-2.9648285613290914E-2</v>
      </c>
      <c r="BX114" s="29">
        <f t="shared" si="117"/>
        <v>-6.8834578872954966E-2</v>
      </c>
      <c r="BY114" s="29">
        <f t="shared" ref="BY114" si="118">IF(ISERROR((BY82-BY94-BY104)/(BT82)-1),"",(BY82-BY94-BY104)/(BT82)-1)</f>
        <v>1.3599464390325444E-2</v>
      </c>
      <c r="BZ114" s="29">
        <f t="shared" ref="BZ114" si="119">IF(ISERROR((BZ82-BZ94-BZ104)/(BU82)-1),"",(BZ82-BZ94-BZ104)/(BU82)-1)</f>
        <v>6.1868361533396365E-2</v>
      </c>
      <c r="CA114" s="30">
        <f t="shared" ref="CA114:CD114" si="120">IF(ISERROR((CA82-CA94-CA104)/(BV82)-1),"",(CA82-CA94-CA104)/(BV82)-1)</f>
        <v>-6.4431309104623358E-3</v>
      </c>
      <c r="CB114" s="29">
        <f t="shared" si="120"/>
        <v>6.1745822139246842E-2</v>
      </c>
      <c r="CC114" s="29">
        <f t="shared" si="120"/>
        <v>4.9542319205240659E-2</v>
      </c>
      <c r="CD114" s="29">
        <f t="shared" si="120"/>
        <v>3.5420880980886027E-2</v>
      </c>
      <c r="CE114" s="29">
        <f t="shared" ref="CE114" si="121">IF(ISERROR((CE82-CE94-CE104)/(BZ82)-1),"",(CE82-CE94-CE104)/(BZ82)-1)</f>
        <v>0.12726416363881032</v>
      </c>
      <c r="CF114" s="30">
        <f>IF(ISERROR((CF82-CF94-CF104)/(CA82)-1),"",(CF82-CF94-CF104)/(CA82)-1)</f>
        <v>6.9233905997907907E-2</v>
      </c>
      <c r="CG114" s="29">
        <f t="shared" ref="CG114:CJ114" si="122">IF(ISERROR((CG82-CG94-CG104)/(CB82)-1),"",(CG82-CG94-CG104)/(CB82)-1)</f>
        <v>-3.6994269095885768E-2</v>
      </c>
      <c r="CH114" s="29">
        <f t="shared" si="122"/>
        <v>-0.36738395580839311</v>
      </c>
      <c r="CI114" s="29">
        <f t="shared" si="122"/>
        <v>-0.22142686709615844</v>
      </c>
      <c r="CJ114" s="29">
        <f t="shared" si="122"/>
        <v>-0.367135563318161</v>
      </c>
      <c r="CK114" s="30">
        <f>IF(ISERROR((CK82-CK94-CK104)/(CF82)-1),"",(CK82-CK94-CK104)/(CF82)-1)</f>
        <v>-0.25463020756078991</v>
      </c>
      <c r="CL114" s="29">
        <f t="shared" ref="CL114:CM114" si="123">IF(ISERROR((CL82-CL94-CL104)/(CG82)-1),"",(CL82-CL94-CL104)/(CG82)-1)</f>
        <v>-0.26220709516952478</v>
      </c>
      <c r="CM114" s="29">
        <f t="shared" si="123"/>
        <v>-0.25039680020316168</v>
      </c>
      <c r="CN114" s="29">
        <f t="shared" ref="CN114" si="124">IF(ISERROR((CN82-CN94-CN104)/(CI82)-1),"",(CN82-CN94-CN104)/(CI82)-1)</f>
        <v>-0.29234234234234235</v>
      </c>
      <c r="CO114" s="29">
        <f t="shared" ref="CO114" si="125">IF(ISERROR((CO82-CO94-CO104)/(CJ82)-1),"",(CO82-CO94-CO104)/(CJ82)-1)</f>
        <v>-0.14555301211545979</v>
      </c>
      <c r="CP114" s="30">
        <f>IF(ISERROR((CP82-CP94-CP104)/(CK82)-1),"",(CP82-CP94-CP104)/(CK82)-1)</f>
        <v>-0.24035057929178805</v>
      </c>
      <c r="CQ114" s="29">
        <f t="shared" ref="CQ114:CT114" si="126">IF(ISERROR((CQ82-CQ94-CQ104)/(CL82)-1),"",(CQ82-CQ94-CQ104)/(CL82)-1)</f>
        <v>-0.10001182872013248</v>
      </c>
      <c r="CR114" s="29">
        <f t="shared" si="126"/>
        <v>0.43965444228000328</v>
      </c>
      <c r="CS114" s="29">
        <f t="shared" si="126"/>
        <v>8.055732371454849E-2</v>
      </c>
      <c r="CT114" s="29">
        <f t="shared" si="126"/>
        <v>-3.3389963408259282E-2</v>
      </c>
      <c r="CU114" s="30">
        <f>IF(ISERROR((CU82-CU94-CU104)/(CP82)-1),"",(CU82-CU94-CU104)/(CP82)-1)</f>
        <v>7.0979057051480554E-2</v>
      </c>
      <c r="CV114" s="29">
        <f t="shared" ref="CV114:CY114" si="127">IF(ISERROR((CV82-CV94-CV104)/(CQ82)-1),"",(CV82-CV94-CV104)/(CQ82)-1)</f>
        <v>-8.0567786028783561E-2</v>
      </c>
      <c r="CW114" s="29">
        <f t="shared" si="127"/>
        <v>-1.8649252853276899E-2</v>
      </c>
      <c r="CX114" s="29">
        <f t="shared" si="127"/>
        <v>4.4377536326744238E-2</v>
      </c>
      <c r="CY114" s="29">
        <f t="shared" si="127"/>
        <v>0.35063881565605359</v>
      </c>
      <c r="CZ114" s="30">
        <f>IF(ISERROR((CZ82-CZ94-CZ104)/(CU82)-1),"",(CZ82-CZ94-CZ104)/(CU82)-1)</f>
        <v>6.9389589956009301E-2</v>
      </c>
      <c r="DA114" s="29">
        <f t="shared" ref="DA114:DB114" si="128">IF(ISERROR((DA82-DA94-DA104)/(CV82)-1),"",(DA82-DA94-DA104)/(CV82)-1)</f>
        <v>0.28089486098205985</v>
      </c>
      <c r="DB114" s="29">
        <f t="shared" si="128"/>
        <v>0.18404172411725916</v>
      </c>
      <c r="DC114" s="29">
        <f t="shared" ref="DC114" si="129">IF(ISERROR((DC82-DC94-DC104)/(CX82)-1),"",(DC82-DC94-DC104)/(CX82)-1)</f>
        <v>0.13462020556530452</v>
      </c>
      <c r="DD114" s="29">
        <f t="shared" ref="DD114" si="130">IF(ISERROR((DD82-DD94-DD104)/(CY82)-1),"",(DD82-DD94-DD104)/(CY82)-1)</f>
        <v>0.10200200200200205</v>
      </c>
      <c r="DE114" s="30">
        <f>IF(ISERROR((DE82-DE94-DE104)/(CZ82)-1),"",(DE82-DE94-DE104)/(CZ82)-1)</f>
        <v>0.16793778525102088</v>
      </c>
      <c r="DF114" s="29">
        <f t="shared" ref="DF114:DP114" si="131">IF(ISERROR((DF82-DF94-DF104)/(DA82)-1),"",(DF82-DF94-DF104)/(DA82)-1)</f>
        <v>-7.5442218626192714E-2</v>
      </c>
      <c r="DG114" s="29">
        <f t="shared" si="131"/>
        <v>-0.14606855349096248</v>
      </c>
      <c r="DH114" s="29">
        <f t="shared" si="131"/>
        <v>-1.4582412726469318E-2</v>
      </c>
      <c r="DI114" s="29">
        <f t="shared" si="131"/>
        <v>-0.30774820601326192</v>
      </c>
      <c r="DJ114" s="30">
        <f>IF(ISERROR((DJ82-DJ94-DJ104)/(DE82)-1),"",(DJ82-DJ94-DJ104)/(DE82)-1)</f>
        <v>-0.14495976553461709</v>
      </c>
      <c r="DK114" s="29">
        <f t="shared" si="131"/>
        <v>0.17665519946888764</v>
      </c>
      <c r="DL114" s="29">
        <f t="shared" si="131"/>
        <v>0.3488082532906438</v>
      </c>
      <c r="DM114" s="29">
        <f t="shared" si="131"/>
        <v>0.30437219730941711</v>
      </c>
      <c r="DN114" s="29">
        <f t="shared" si="131"/>
        <v>0.58268818615229856</v>
      </c>
      <c r="DO114" s="30">
        <f>IF(ISERROR((DO82-DO94-DO104)/(DJ82)-1),"",(DO82-DO94-DO104)/(DJ82)-1)</f>
        <v>0.34760036281451856</v>
      </c>
      <c r="DP114" s="29">
        <f t="shared" si="131"/>
        <v>0.14074681986048421</v>
      </c>
      <c r="DQ114" s="29">
        <f t="shared" ref="DQ114" si="132">IF(ISERROR((DQ82-DQ94-DQ104)/(DL82)-1),"",(DQ82-DQ94-DQ104)/(DL82)-1)</f>
        <v>8.0047474614268754E-2</v>
      </c>
      <c r="DR114" s="29">
        <f t="shared" ref="DR114" si="133">IF(ISERROR((DR82-DR94-DR104)/(DM82)-1),"",(DR82-DR94-DR104)/(DM82)-1)</f>
        <v>4.4325561793829182E-2</v>
      </c>
      <c r="DS114" s="29">
        <f t="shared" ref="DS114" si="134">IF(ISERROR((DS82-DS94-DS104)/(DN82)-1),"",(DS82-DS94-DS104)/(DN82)-1)</f>
        <v>8.4722988593054938E-2</v>
      </c>
      <c r="DT114" s="30">
        <f>IF(ISERROR((DT82-DT94-DT104)/(DO82)-1),"",(DT82-DT94-DT104)/(DO82)-1)</f>
        <v>8.5235258752432541E-2</v>
      </c>
      <c r="DU114" s="29">
        <f t="shared" ref="DU114" si="135">IF(ISERROR((DU82-DU94-DU104)/(DP82)-1),"",(DU82-DU94-DU104)/(DP82)-1)</f>
        <v>0.15747417376636585</v>
      </c>
      <c r="DV114" s="29">
        <f t="shared" ref="DV114" si="136">IF(ISERROR((DV82-DV94-DV104)/(DQ82)-1),"",(DV82-DV94-DV104)/(DQ82)-1)</f>
        <v>0.12658002749457631</v>
      </c>
      <c r="DW114" s="29">
        <f t="shared" ref="DW114" si="137">IF(ISERROR((DW82-DW94-DW104)/(DR82)-1),"",(DW82-DW94-DW104)/(DR82)-1)</f>
        <v>0.20265026301030065</v>
      </c>
      <c r="DX114" s="29">
        <f t="shared" ref="DX114" si="138">IF(ISERROR((DX82-DX94-DX104)/(DS82)-1),"",(DX82-DX94-DX104)/(DS82)-1)</f>
        <v>0.21634683587667447</v>
      </c>
      <c r="DY114" s="30">
        <f>IF(ISERROR((DY82-DY94-DY104)/(DT82)-1),"",(DY82-DY94-DY104)/(DT82)-1)</f>
        <v>0.17677224706744932</v>
      </c>
      <c r="DZ114" s="30">
        <f t="shared" ref="DZ114" si="139">IF(ISERROR((DZ82-DZ94-DZ104)/(DY82)-1),"",(DZ82-DZ94-DZ104)/(DY82)-1)</f>
        <v>0.10143878757176661</v>
      </c>
      <c r="EA114" s="30">
        <f t="shared" ref="EA114" si="140">IF(ISERROR((EA82-EA94-EA104)/(DZ82)-1),"",(EA82-EA94-EA104)/(DZ82)-1)</f>
        <v>0.10277861858474679</v>
      </c>
      <c r="EB114" s="30">
        <f t="shared" ref="EB114" si="141">IF(ISERROR((EB82-EB94-EB104)/(EA82)-1),"",(EB82-EB94-EB104)/(EA82)-1)</f>
        <v>6.0326878219804758E-2</v>
      </c>
    </row>
    <row r="115" spans="2:132" s="241" customFormat="1" ht="12" customHeight="1">
      <c r="C115" s="301"/>
      <c r="D115" s="301"/>
      <c r="E115" s="301"/>
      <c r="F115" s="301"/>
      <c r="G115" s="301"/>
      <c r="H115" s="301"/>
      <c r="I115" s="301"/>
      <c r="J115" s="242"/>
      <c r="K115" s="242"/>
      <c r="L115" s="242"/>
      <c r="M115" s="242"/>
      <c r="N115" s="301"/>
      <c r="O115" s="242"/>
      <c r="P115" s="242"/>
      <c r="Q115" s="242"/>
      <c r="R115" s="242"/>
      <c r="S115" s="301"/>
      <c r="T115" s="242"/>
      <c r="U115" s="242"/>
      <c r="V115" s="242"/>
      <c r="W115" s="242"/>
      <c r="X115" s="301"/>
      <c r="Y115" s="242"/>
      <c r="Z115" s="242"/>
      <c r="AA115" s="242"/>
      <c r="AB115" s="242"/>
      <c r="AC115" s="301"/>
      <c r="AD115" s="242"/>
      <c r="AE115" s="242"/>
      <c r="AF115" s="242"/>
      <c r="AG115" s="242"/>
      <c r="AH115" s="301"/>
      <c r="AI115" s="242"/>
      <c r="AJ115" s="242"/>
      <c r="AK115" s="242"/>
      <c r="AL115" s="242"/>
      <c r="AM115" s="301"/>
      <c r="AN115" s="242"/>
      <c r="AO115" s="242"/>
      <c r="AP115" s="242"/>
      <c r="AQ115" s="242"/>
      <c r="AR115" s="301"/>
      <c r="AS115" s="242"/>
      <c r="AT115" s="242"/>
      <c r="AU115" s="242"/>
      <c r="AV115" s="242"/>
      <c r="AW115" s="301"/>
      <c r="AX115" s="242"/>
      <c r="AY115" s="242"/>
      <c r="AZ115" s="242"/>
      <c r="BA115" s="242"/>
      <c r="BB115" s="301"/>
      <c r="BC115" s="242"/>
      <c r="BD115" s="242"/>
      <c r="BE115" s="242"/>
      <c r="BF115" s="242"/>
      <c r="BG115" s="301"/>
      <c r="BH115" s="145"/>
      <c r="BI115" s="145"/>
      <c r="BJ115" s="145"/>
      <c r="BK115" s="145"/>
      <c r="BL115" s="144"/>
      <c r="BM115" s="145"/>
      <c r="BN115" s="145"/>
      <c r="BO115" s="145"/>
      <c r="BP115" s="145"/>
      <c r="BQ115" s="144"/>
      <c r="BR115" s="145"/>
      <c r="BS115" s="145"/>
      <c r="BT115" s="145"/>
      <c r="BU115" s="145"/>
      <c r="BV115" s="144"/>
      <c r="BW115" s="145"/>
      <c r="BX115" s="145"/>
      <c r="BY115" s="145"/>
      <c r="BZ115" s="145"/>
      <c r="CA115" s="144"/>
      <c r="CB115" s="145"/>
      <c r="CC115" s="145"/>
      <c r="CD115" s="145"/>
      <c r="CE115" s="145"/>
      <c r="CF115" s="144"/>
      <c r="CG115" s="145"/>
      <c r="CH115" s="145"/>
      <c r="CI115" s="145"/>
      <c r="CJ115" s="145"/>
      <c r="CK115" s="144"/>
      <c r="CL115" s="145"/>
      <c r="CM115" s="145"/>
      <c r="CN115" s="145"/>
      <c r="CO115" s="145"/>
      <c r="CP115" s="144"/>
      <c r="CQ115" s="145"/>
      <c r="CR115" s="145"/>
      <c r="CS115" s="145"/>
      <c r="CT115" s="145"/>
      <c r="CU115" s="144"/>
      <c r="CV115" s="145"/>
      <c r="CW115" s="145"/>
      <c r="CX115" s="145"/>
      <c r="CY115" s="145"/>
      <c r="CZ115" s="144"/>
      <c r="DA115" s="145"/>
      <c r="DB115" s="145"/>
      <c r="DC115" s="145"/>
      <c r="DD115" s="145"/>
      <c r="DE115" s="144"/>
      <c r="DF115" s="145"/>
      <c r="DG115" s="145"/>
      <c r="DH115" s="145"/>
      <c r="DI115" s="145"/>
      <c r="DJ115" s="144"/>
      <c r="DK115" s="145"/>
      <c r="DL115" s="145"/>
      <c r="DM115" s="145"/>
      <c r="DN115" s="145"/>
      <c r="DO115" s="144"/>
      <c r="DP115" s="145"/>
      <c r="DQ115" s="145"/>
      <c r="DR115" s="145"/>
      <c r="DS115" s="145"/>
      <c r="DT115" s="144"/>
      <c r="DU115" s="145"/>
      <c r="DV115" s="145"/>
      <c r="DW115" s="145"/>
      <c r="DX115" s="145"/>
      <c r="DY115" s="144"/>
      <c r="DZ115" s="144"/>
      <c r="EA115" s="144"/>
      <c r="EB115" s="144"/>
    </row>
    <row r="116" spans="2:132" s="241" customFormat="1" ht="12" customHeight="1">
      <c r="B116" s="74" t="s">
        <v>182</v>
      </c>
      <c r="C116" s="301"/>
      <c r="D116" s="301"/>
      <c r="E116" s="301"/>
      <c r="F116" s="301"/>
      <c r="G116" s="301"/>
      <c r="H116" s="301"/>
      <c r="I116" s="301"/>
      <c r="J116" s="242"/>
      <c r="K116" s="242"/>
      <c r="L116" s="242"/>
      <c r="M116" s="242"/>
      <c r="N116" s="301"/>
      <c r="O116" s="242"/>
      <c r="P116" s="242"/>
      <c r="Q116" s="242"/>
      <c r="R116" s="242"/>
      <c r="S116" s="301"/>
      <c r="T116" s="242"/>
      <c r="U116" s="242"/>
      <c r="V116" s="242"/>
      <c r="W116" s="242"/>
      <c r="X116" s="301"/>
      <c r="Y116" s="242"/>
      <c r="Z116" s="242"/>
      <c r="AA116" s="242"/>
      <c r="AB116" s="242"/>
      <c r="AC116" s="301"/>
      <c r="AD116" s="242"/>
      <c r="AE116" s="242"/>
      <c r="AF116" s="242"/>
      <c r="AG116" s="242"/>
      <c r="AH116" s="301"/>
      <c r="AI116" s="242"/>
      <c r="AJ116" s="242"/>
      <c r="AK116" s="242"/>
      <c r="AL116" s="242"/>
      <c r="AM116" s="301"/>
      <c r="AN116" s="242"/>
      <c r="AO116" s="242"/>
      <c r="AP116" s="242"/>
      <c r="AQ116" s="242"/>
      <c r="AR116" s="301"/>
      <c r="AS116" s="242"/>
      <c r="AT116" s="242"/>
      <c r="AU116" s="242"/>
      <c r="AV116" s="242"/>
      <c r="AW116" s="301"/>
      <c r="AX116" s="242"/>
      <c r="AY116" s="242"/>
      <c r="AZ116" s="242"/>
      <c r="BA116" s="242"/>
      <c r="BB116" s="301"/>
      <c r="BC116" s="242"/>
      <c r="BD116" s="242"/>
      <c r="BE116" s="242"/>
      <c r="BF116" s="242"/>
      <c r="BG116" s="301"/>
      <c r="BH116" s="145"/>
      <c r="BI116" s="145"/>
      <c r="BJ116" s="145"/>
      <c r="BK116" s="145"/>
      <c r="BL116" s="144"/>
      <c r="BM116" s="145"/>
      <c r="BN116" s="145"/>
      <c r="BO116" s="145"/>
      <c r="BP116" s="145"/>
      <c r="BQ116" s="144"/>
      <c r="BR116" s="145"/>
      <c r="BS116" s="145"/>
      <c r="BT116" s="145"/>
      <c r="BU116" s="145"/>
      <c r="BV116" s="144"/>
      <c r="BW116" s="145"/>
      <c r="BX116" s="145"/>
      <c r="BY116" s="145"/>
      <c r="BZ116" s="145"/>
      <c r="CA116" s="144"/>
      <c r="CB116" s="145"/>
      <c r="CC116" s="145"/>
      <c r="CD116" s="145"/>
      <c r="CE116" s="145"/>
      <c r="CF116" s="144"/>
      <c r="CG116" s="145"/>
      <c r="CH116" s="145"/>
      <c r="CI116" s="145"/>
      <c r="CJ116" s="145"/>
      <c r="CK116" s="144"/>
      <c r="CL116" s="145"/>
      <c r="CM116" s="145"/>
      <c r="CN116" s="145"/>
      <c r="CO116" s="145"/>
      <c r="CP116" s="144"/>
      <c r="CQ116" s="145"/>
      <c r="CR116" s="145"/>
      <c r="CS116" s="145"/>
      <c r="CT116" s="145"/>
      <c r="CU116" s="144"/>
      <c r="CV116" s="145"/>
      <c r="CW116" s="145"/>
      <c r="CX116" s="145"/>
      <c r="CY116" s="145"/>
      <c r="CZ116" s="144"/>
      <c r="DA116" s="145"/>
      <c r="DB116" s="145"/>
      <c r="DC116" s="145"/>
      <c r="DD116" s="145"/>
      <c r="DE116" s="144"/>
      <c r="DF116" s="145"/>
      <c r="DG116" s="145"/>
      <c r="DH116" s="145"/>
      <c r="DI116" s="145"/>
      <c r="DJ116" s="144"/>
      <c r="DK116" s="145"/>
      <c r="DL116" s="145"/>
      <c r="DM116" s="145"/>
      <c r="DN116" s="145"/>
      <c r="DO116" s="144"/>
      <c r="DP116" s="145"/>
      <c r="DQ116" s="145"/>
      <c r="DR116" s="145"/>
      <c r="DS116" s="145"/>
      <c r="DT116" s="144"/>
      <c r="DU116" s="145"/>
      <c r="DV116" s="145"/>
      <c r="DW116" s="145"/>
      <c r="DX116" s="145"/>
      <c r="DY116" s="144"/>
      <c r="DZ116" s="144"/>
      <c r="EA116" s="144"/>
      <c r="EB116" s="144"/>
    </row>
    <row r="117" spans="2:132" s="241" customFormat="1" ht="12" customHeight="1">
      <c r="B117" s="241" t="s">
        <v>105</v>
      </c>
      <c r="C117" s="301"/>
      <c r="D117" s="301"/>
      <c r="E117" s="301"/>
      <c r="F117" s="301"/>
      <c r="G117" s="301"/>
      <c r="H117" s="301"/>
      <c r="I117" s="301"/>
      <c r="J117" s="242"/>
      <c r="K117" s="242"/>
      <c r="L117" s="242"/>
      <c r="M117" s="242"/>
      <c r="N117" s="301"/>
      <c r="O117" s="242"/>
      <c r="P117" s="242"/>
      <c r="Q117" s="242"/>
      <c r="R117" s="242"/>
      <c r="S117" s="301">
        <f t="shared" ref="S117:AX117" si="142">IF(ISERROR(S36/N36-1),"",S36/N36-1)</f>
        <v>7.6721966059799307E-2</v>
      </c>
      <c r="T117" s="242">
        <f t="shared" si="142"/>
        <v>0.38947990543735234</v>
      </c>
      <c r="U117" s="242">
        <f t="shared" si="142"/>
        <v>4.5107258301498643E-2</v>
      </c>
      <c r="V117" s="242">
        <f t="shared" si="142"/>
        <v>0.36230409118664775</v>
      </c>
      <c r="W117" s="242">
        <f t="shared" si="142"/>
        <v>0.29883879781420775</v>
      </c>
      <c r="X117" s="301">
        <f t="shared" si="142"/>
        <v>0.256677409385899</v>
      </c>
      <c r="Y117" s="242">
        <f t="shared" si="142"/>
        <v>7.1175386360414095E-2</v>
      </c>
      <c r="Z117" s="242">
        <f t="shared" si="142"/>
        <v>0.22409672430760574</v>
      </c>
      <c r="AA117" s="242">
        <f t="shared" si="142"/>
        <v>0.23382638577618398</v>
      </c>
      <c r="AB117" s="242">
        <f t="shared" si="142"/>
        <v>0.16565869050749416</v>
      </c>
      <c r="AC117" s="301">
        <f t="shared" si="142"/>
        <v>0.17287897417881615</v>
      </c>
      <c r="AD117" s="242">
        <f t="shared" si="142"/>
        <v>8.0211780277961608E-2</v>
      </c>
      <c r="AE117" s="242">
        <f t="shared" si="142"/>
        <v>-1.6079016882967756E-2</v>
      </c>
      <c r="AF117" s="242">
        <f t="shared" si="142"/>
        <v>-0.15887624122063448</v>
      </c>
      <c r="AG117" s="242">
        <f t="shared" si="142"/>
        <v>-0.48240469208211145</v>
      </c>
      <c r="AH117" s="301">
        <f t="shared" si="142"/>
        <v>-0.15344755286647094</v>
      </c>
      <c r="AI117" s="242">
        <f t="shared" si="142"/>
        <v>4.8155863252052455E-2</v>
      </c>
      <c r="AJ117" s="242">
        <f t="shared" si="142"/>
        <v>-1.5874868682152488E-2</v>
      </c>
      <c r="AK117" s="242">
        <f t="shared" si="142"/>
        <v>0.13489778289663112</v>
      </c>
      <c r="AL117" s="242">
        <f t="shared" si="142"/>
        <v>1.0010895619960776</v>
      </c>
      <c r="AM117" s="301">
        <f t="shared" si="142"/>
        <v>0.20479071577681074</v>
      </c>
      <c r="AN117" s="242">
        <f t="shared" si="142"/>
        <v>-0.12695814823474394</v>
      </c>
      <c r="AO117" s="242">
        <f t="shared" si="142"/>
        <v>-0.11837267228086823</v>
      </c>
      <c r="AP117" s="242">
        <f t="shared" si="142"/>
        <v>0.10985665355828989</v>
      </c>
      <c r="AQ117" s="242">
        <f t="shared" si="142"/>
        <v>-0.10878797778503757</v>
      </c>
      <c r="AR117" s="301">
        <f t="shared" si="142"/>
        <v>-6.5108220022906838E-2</v>
      </c>
      <c r="AS117" s="242">
        <f t="shared" si="142"/>
        <v>-4.6866630958757316E-2</v>
      </c>
      <c r="AT117" s="242">
        <f t="shared" si="142"/>
        <v>0.18969460513924385</v>
      </c>
      <c r="AU117" s="242">
        <f t="shared" si="142"/>
        <v>8.7552863184363838E-2</v>
      </c>
      <c r="AV117" s="242">
        <f t="shared" si="142"/>
        <v>0.30681818181818188</v>
      </c>
      <c r="AW117" s="301">
        <f t="shared" si="142"/>
        <v>0.13623798454482627</v>
      </c>
      <c r="AX117" s="242">
        <f t="shared" si="142"/>
        <v>0.53652711435796574</v>
      </c>
      <c r="AY117" s="242">
        <f t="shared" ref="AY117:BQ117" si="143">IF(ISERROR(AY36/AT36-1),"",AY36/AT36-1)</f>
        <v>0.33925138527648979</v>
      </c>
      <c r="AZ117" s="242">
        <f t="shared" si="143"/>
        <v>0.28071466106148191</v>
      </c>
      <c r="BA117" s="242">
        <f t="shared" si="143"/>
        <v>0.32407667134174845</v>
      </c>
      <c r="BB117" s="301">
        <f t="shared" si="143"/>
        <v>0.35818749827209651</v>
      </c>
      <c r="BC117" s="242">
        <f t="shared" si="143"/>
        <v>-2.2583889549236513E-2</v>
      </c>
      <c r="BD117" s="242">
        <f t="shared" si="143"/>
        <v>0.15038419319429197</v>
      </c>
      <c r="BE117" s="242">
        <f t="shared" si="143"/>
        <v>0.14779254882652215</v>
      </c>
      <c r="BF117" s="242">
        <f t="shared" si="143"/>
        <v>3.6671139043852774E-2</v>
      </c>
      <c r="BG117" s="301">
        <f t="shared" si="143"/>
        <v>7.8455838948032763E-2</v>
      </c>
      <c r="BH117" s="145">
        <f t="shared" si="143"/>
        <v>0.19148737137511684</v>
      </c>
      <c r="BI117" s="145">
        <f t="shared" si="143"/>
        <v>4.9911920140927712E-2</v>
      </c>
      <c r="BJ117" s="145">
        <f t="shared" si="143"/>
        <v>0.15178379924215335</v>
      </c>
      <c r="BK117" s="145">
        <f t="shared" si="143"/>
        <v>0.14704740366341285</v>
      </c>
      <c r="BL117" s="144">
        <f t="shared" si="143"/>
        <v>0.1322862972407246</v>
      </c>
      <c r="BM117" s="145">
        <f t="shared" si="143"/>
        <v>0.20758420350160955</v>
      </c>
      <c r="BN117" s="145">
        <f t="shared" si="143"/>
        <v>0.17987975391498878</v>
      </c>
      <c r="BO117" s="145">
        <f t="shared" si="143"/>
        <v>9.8199875853507201E-2</v>
      </c>
      <c r="BP117" s="145">
        <f t="shared" si="143"/>
        <v>-4.4004988419739877E-2</v>
      </c>
      <c r="BQ117" s="144">
        <f t="shared" si="143"/>
        <v>0.10098349724954159</v>
      </c>
      <c r="BR117" s="145">
        <f>IF(ISERROR(Data!BR150/BM36-1),"",Data!BR150/BM36-1)</f>
        <v>-6.3845003575840331E-2</v>
      </c>
      <c r="BS117" s="145">
        <f>IF(ISERROR(Data!BS150/BN36-1),"",Data!BS150/BN36-1)</f>
        <v>3.4307045090952171E-2</v>
      </c>
      <c r="BT117" s="145">
        <f>IF(ISERROR(Data!BT150/BO36-1),"",Data!BT150/BO36-1)</f>
        <v>-4.0639837214560215E-2</v>
      </c>
      <c r="BU117" s="145">
        <f>IF(ISERROR(Data!BU150/BP36-1),"",Data!BU150/BP36-1)</f>
        <v>8.8830910672133001E-3</v>
      </c>
      <c r="BV117" s="144">
        <f>IF(ISERROR(Data!BV150/BQ36-1),"",Data!BV150/BQ36-1)</f>
        <v>-1.4822553294573604E-2</v>
      </c>
      <c r="BW117" s="145">
        <f t="shared" ref="BW117:DB117" si="144">IF(ISERROR(BW36/BR36-1),"",BW36/BR36-1)</f>
        <v>1.2981934777508419E-2</v>
      </c>
      <c r="BX117" s="145">
        <f t="shared" si="144"/>
        <v>-8.7131624368727234E-2</v>
      </c>
      <c r="BY117" s="145">
        <f t="shared" si="144"/>
        <v>1.2697368421052735E-2</v>
      </c>
      <c r="BZ117" s="145">
        <f t="shared" si="144"/>
        <v>6.9948546794604383E-2</v>
      </c>
      <c r="CA117" s="144">
        <f t="shared" si="144"/>
        <v>3.447562573266616E-5</v>
      </c>
      <c r="CB117" s="145">
        <f t="shared" si="144"/>
        <v>-6.1761754033817784E-4</v>
      </c>
      <c r="CC117" s="145">
        <f t="shared" si="144"/>
        <v>-2.2969187675070057E-2</v>
      </c>
      <c r="CD117" s="145">
        <f t="shared" si="144"/>
        <v>-8.5883193659455626E-2</v>
      </c>
      <c r="CE117" s="145">
        <f t="shared" si="144"/>
        <v>7.4278658695086985E-2</v>
      </c>
      <c r="CF117" s="144">
        <f t="shared" si="144"/>
        <v>-8.8771675802392647E-3</v>
      </c>
      <c r="CG117" s="145">
        <f t="shared" si="144"/>
        <v>-8.6751641560448012E-2</v>
      </c>
      <c r="CH117" s="145">
        <f t="shared" si="144"/>
        <v>-0.66155389908256879</v>
      </c>
      <c r="CI117" s="145">
        <f t="shared" si="144"/>
        <v>-0.41375879468410204</v>
      </c>
      <c r="CJ117" s="145">
        <f t="shared" si="144"/>
        <v>-0.5486056499909262</v>
      </c>
      <c r="CK117" s="144">
        <f t="shared" si="144"/>
        <v>-0.43903372232560567</v>
      </c>
      <c r="CL117" s="145">
        <f t="shared" si="144"/>
        <v>-0.475131111487058</v>
      </c>
      <c r="CM117" s="145">
        <f t="shared" si="144"/>
        <v>-0.65417196103346043</v>
      </c>
      <c r="CN117" s="145">
        <f t="shared" si="144"/>
        <v>-0.56406837192386949</v>
      </c>
      <c r="CO117" s="145">
        <f t="shared" si="144"/>
        <v>-0.36638970785312253</v>
      </c>
      <c r="CP117" s="144">
        <f t="shared" si="144"/>
        <v>-0.49893039838784681</v>
      </c>
      <c r="CQ117" s="145">
        <f t="shared" si="144"/>
        <v>-0.31200644641418207</v>
      </c>
      <c r="CR117" s="145">
        <f t="shared" si="144"/>
        <v>2.6834047764849971</v>
      </c>
      <c r="CS117" s="145">
        <f t="shared" si="144"/>
        <v>0.23998887652947709</v>
      </c>
      <c r="CT117" s="145">
        <f t="shared" si="144"/>
        <v>4.6531302876480218E-3</v>
      </c>
      <c r="CU117" s="144">
        <f t="shared" si="144"/>
        <v>0.20610073010765984</v>
      </c>
      <c r="CV117" s="145">
        <f t="shared" si="144"/>
        <v>-2.5298664792691494E-2</v>
      </c>
      <c r="CW117" s="145">
        <f t="shared" si="144"/>
        <v>3.3915211970074743E-2</v>
      </c>
      <c r="CX117" s="145">
        <f t="shared" si="144"/>
        <v>0.4045750168199147</v>
      </c>
      <c r="CY117" s="145">
        <f t="shared" si="144"/>
        <v>0.94189473684210534</v>
      </c>
      <c r="CZ117" s="144">
        <f t="shared" si="144"/>
        <v>0.32698917560149798</v>
      </c>
      <c r="DA117" s="145">
        <f t="shared" si="144"/>
        <v>0.61115116558519578</v>
      </c>
      <c r="DB117" s="145">
        <f t="shared" si="144"/>
        <v>0.42145039395401196</v>
      </c>
      <c r="DC117" s="145">
        <f t="shared" ref="DC117:DY117" si="145">IF(ISERROR(DC36/CX36-1),"",DC36/CX36-1)</f>
        <v>0.25754430783969351</v>
      </c>
      <c r="DD117" s="145">
        <f t="shared" si="145"/>
        <v>0.13627493495229825</v>
      </c>
      <c r="DE117" s="144">
        <f t="shared" si="145"/>
        <v>0.31058878107240884</v>
      </c>
      <c r="DF117" s="145">
        <f t="shared" si="145"/>
        <v>-0.30593675417661093</v>
      </c>
      <c r="DG117" s="145">
        <f t="shared" si="145"/>
        <v>-0.32092760180995472</v>
      </c>
      <c r="DH117" s="145">
        <f t="shared" si="145"/>
        <v>-5.4977145759268709E-2</v>
      </c>
      <c r="DI117" s="145">
        <f t="shared" si="145"/>
        <v>-0.54565404064497658</v>
      </c>
      <c r="DJ117" s="144">
        <f t="shared" si="145"/>
        <v>-0.32565411049821535</v>
      </c>
      <c r="DK117" s="145">
        <f t="shared" si="145"/>
        <v>0.75091338921126161</v>
      </c>
      <c r="DL117" s="145">
        <f t="shared" si="145"/>
        <v>0.81142761952357145</v>
      </c>
      <c r="DM117" s="145">
        <f t="shared" si="145"/>
        <v>0.49052801289802495</v>
      </c>
      <c r="DN117" s="145">
        <f t="shared" si="145"/>
        <v>1.3895422091558167</v>
      </c>
      <c r="DO117" s="144">
        <f t="shared" si="145"/>
        <v>0.81505620926468669</v>
      </c>
      <c r="DP117" s="145">
        <f t="shared" si="145"/>
        <v>0.12961826439180069</v>
      </c>
      <c r="DQ117" s="145">
        <f t="shared" si="145"/>
        <v>8.0651094353503705E-2</v>
      </c>
      <c r="DR117" s="145">
        <f t="shared" si="145"/>
        <v>4.2130592707428915E-2</v>
      </c>
      <c r="DS117" s="145">
        <f t="shared" si="145"/>
        <v>0.12026798125538507</v>
      </c>
      <c r="DT117" s="144">
        <f t="shared" si="145"/>
        <v>9.0830629830848775E-2</v>
      </c>
      <c r="DU117" s="145">
        <f t="shared" si="145"/>
        <v>0.30821870707622523</v>
      </c>
      <c r="DV117" s="145">
        <f t="shared" si="145"/>
        <v>0.21085400758329076</v>
      </c>
      <c r="DW117" s="145">
        <f t="shared" si="145"/>
        <v>0.32170409107175679</v>
      </c>
      <c r="DX117" s="145">
        <f t="shared" si="145"/>
        <v>0.37300072826733621</v>
      </c>
      <c r="DY117" s="144">
        <f t="shared" si="145"/>
        <v>0.30463051680266107</v>
      </c>
      <c r="DZ117" s="144">
        <f>IF(ISERROR(DZ36/DY36-1),"",DZ36/DY36-1)</f>
        <v>0.15638972180488842</v>
      </c>
      <c r="EA117" s="144">
        <f>IF(ISERROR(EA36/DZ36-1),"",EA36/DZ36-1)</f>
        <v>0.15339174543357181</v>
      </c>
      <c r="EB117" s="144">
        <f>IF(ISERROR(EB36/EA36-1),"",EB36/EA36-1)</f>
        <v>7.8211297469559904E-2</v>
      </c>
    </row>
    <row r="118" spans="2:132" s="241" customFormat="1" ht="12" hidden="1" customHeight="1">
      <c r="B118" s="324" t="s">
        <v>106</v>
      </c>
      <c r="C118" s="325"/>
      <c r="D118" s="325"/>
      <c r="E118" s="325"/>
      <c r="F118" s="325"/>
      <c r="G118" s="325"/>
      <c r="H118" s="325"/>
      <c r="I118" s="325"/>
      <c r="J118" s="326"/>
      <c r="K118" s="326"/>
      <c r="L118" s="326"/>
      <c r="M118" s="326"/>
      <c r="N118" s="325"/>
      <c r="O118" s="326"/>
      <c r="P118" s="326"/>
      <c r="Q118" s="326"/>
      <c r="R118" s="326"/>
      <c r="S118" s="325">
        <f t="shared" ref="S118:AB120" si="146">IF(ISERROR(S38/N38-1),"",S38/N38-1)</f>
        <v>5.2590572652902123E-2</v>
      </c>
      <c r="T118" s="326">
        <f t="shared" si="146"/>
        <v>-2.0846297448662066E-2</v>
      </c>
      <c r="U118" s="326">
        <f t="shared" si="146"/>
        <v>-2.8481913984619744E-2</v>
      </c>
      <c r="V118" s="326">
        <f t="shared" si="146"/>
        <v>0.14615638403167264</v>
      </c>
      <c r="W118" s="326">
        <f t="shared" si="146"/>
        <v>0.15023974427277564</v>
      </c>
      <c r="X118" s="325">
        <f t="shared" si="146"/>
        <v>6.2176165803108807E-2</v>
      </c>
      <c r="Y118" s="326">
        <f t="shared" si="146"/>
        <v>4.258023514458209E-2</v>
      </c>
      <c r="Z118" s="326">
        <f t="shared" si="146"/>
        <v>3.2248607446496713E-3</v>
      </c>
      <c r="AA118" s="326">
        <f t="shared" si="146"/>
        <v>-3.2815198618307395E-2</v>
      </c>
      <c r="AB118" s="326">
        <f t="shared" si="146"/>
        <v>-0.16118573413617421</v>
      </c>
      <c r="AC118" s="325">
        <f t="shared" ref="AC118:AL120" si="147">IF(ISERROR(AC38/X38-1),"",AC38/X38-1)</f>
        <v>-4.6341463414634188E-2</v>
      </c>
      <c r="AD118" s="326">
        <f t="shared" si="147"/>
        <v>-2.407802499238032E-2</v>
      </c>
      <c r="AE118" s="326">
        <f t="shared" si="147"/>
        <v>-4.5879602571595512E-2</v>
      </c>
      <c r="AF118" s="326">
        <f t="shared" si="147"/>
        <v>0.12410714285714275</v>
      </c>
      <c r="AG118" s="326">
        <f t="shared" si="147"/>
        <v>-0.12589729431253449</v>
      </c>
      <c r="AH118" s="325">
        <f t="shared" si="147"/>
        <v>-2.0094994519546994E-2</v>
      </c>
      <c r="AI118" s="326">
        <f t="shared" si="147"/>
        <v>-5.9962523422860681E-2</v>
      </c>
      <c r="AJ118" s="326">
        <f t="shared" si="147"/>
        <v>3.0015313935681576E-2</v>
      </c>
      <c r="AK118" s="326">
        <f t="shared" si="147"/>
        <v>4.6068308181096196E-2</v>
      </c>
      <c r="AL118" s="326">
        <f t="shared" si="147"/>
        <v>0.17909033480732783</v>
      </c>
      <c r="AM118" s="325">
        <f t="shared" ref="AM118:AV120" si="148">IF(ISERROR(AM38/AH38-1),"",AM38/AH38-1)</f>
        <v>4.8247576435495931E-2</v>
      </c>
      <c r="AN118" s="326">
        <f t="shared" si="148"/>
        <v>7.6744186046511675E-2</v>
      </c>
      <c r="AO118" s="326">
        <f t="shared" si="148"/>
        <v>6.4525721082366871E-2</v>
      </c>
      <c r="AP118" s="326">
        <f t="shared" si="148"/>
        <v>-4.0749177423437088E-2</v>
      </c>
      <c r="AQ118" s="326">
        <f t="shared" si="148"/>
        <v>-2.8395392445754064E-2</v>
      </c>
      <c r="AR118" s="325">
        <f t="shared" si="148"/>
        <v>1.2876147115316261E-2</v>
      </c>
      <c r="AS118" s="326">
        <f t="shared" si="148"/>
        <v>4.6590558469608245E-2</v>
      </c>
      <c r="AT118" s="326">
        <f t="shared" si="148"/>
        <v>1.7318435754190009E-2</v>
      </c>
      <c r="AU118" s="326">
        <f t="shared" si="148"/>
        <v>4.5910290237467066E-2</v>
      </c>
      <c r="AV118" s="326">
        <f t="shared" si="148"/>
        <v>8.8778604907637115E-2</v>
      </c>
      <c r="AW118" s="325">
        <f t="shared" ref="AW118:BF120" si="149">IF(ISERROR(AW38/AR38-1),"",AW38/AR38-1)</f>
        <v>4.9796319707824166E-2</v>
      </c>
      <c r="AX118" s="326">
        <f t="shared" si="149"/>
        <v>0.27004716981132071</v>
      </c>
      <c r="AY118" s="326">
        <f t="shared" si="149"/>
        <v>0.13399231191652938</v>
      </c>
      <c r="AZ118" s="326">
        <f t="shared" si="149"/>
        <v>-4.414732593340065E-2</v>
      </c>
      <c r="BA118" s="326">
        <f t="shared" si="149"/>
        <v>5.2671562420866014E-2</v>
      </c>
      <c r="BB118" s="325">
        <f t="shared" si="149"/>
        <v>9.6139693583996877E-2</v>
      </c>
      <c r="BC118" s="326">
        <f t="shared" si="149"/>
        <v>-4.6193129062209848E-2</v>
      </c>
      <c r="BD118" s="326">
        <f t="shared" si="149"/>
        <v>-5.8353510895883809E-2</v>
      </c>
      <c r="BE118" s="326">
        <f t="shared" si="149"/>
        <v>-6.4924782264449754E-2</v>
      </c>
      <c r="BF118" s="326">
        <f t="shared" si="149"/>
        <v>5.7252826557613767E-2</v>
      </c>
      <c r="BG118" s="325">
        <f t="shared" ref="BG118:BP120" si="150">IF(ISERROR(BG38/BB38-1),"",BG38/BB38-1)</f>
        <v>-2.734375E-2</v>
      </c>
      <c r="BH118" s="609">
        <f t="shared" si="150"/>
        <v>-0.15843270868824533</v>
      </c>
      <c r="BI118" s="609">
        <f t="shared" si="150"/>
        <v>-9.4111596811519704E-2</v>
      </c>
      <c r="BJ118" s="609">
        <f t="shared" si="150"/>
        <v>-1.6934801016088574E-3</v>
      </c>
      <c r="BK118" s="609">
        <f t="shared" si="150"/>
        <v>-0.31899886234357222</v>
      </c>
      <c r="BL118" s="610">
        <f t="shared" si="150"/>
        <v>-0.15217118473895586</v>
      </c>
      <c r="BM118" s="609">
        <f t="shared" si="150"/>
        <v>-0.20647773279352222</v>
      </c>
      <c r="BN118" s="609">
        <f t="shared" si="150"/>
        <v>-9.9347147317626616E-3</v>
      </c>
      <c r="BO118" s="609">
        <f t="shared" si="150"/>
        <v>0.14532089341249654</v>
      </c>
      <c r="BP118" s="609">
        <f t="shared" si="150"/>
        <v>6.8827263615101941E-2</v>
      </c>
      <c r="BQ118" s="610">
        <f t="shared" ref="BQ118:BX120" si="151">IF(ISERROR(BQ38/BL38-1),"",BQ38/BL38-1)</f>
        <v>-2.1463992302568347E-3</v>
      </c>
      <c r="BR118" s="609">
        <f t="shared" si="151"/>
        <v>0.33345481049562675</v>
      </c>
      <c r="BS118" s="609">
        <f t="shared" si="151"/>
        <v>-0.14592889908256879</v>
      </c>
      <c r="BT118" s="609">
        <f t="shared" si="151"/>
        <v>-0.19526042952357447</v>
      </c>
      <c r="BU118" s="609">
        <f t="shared" si="151"/>
        <v>-0.18193185370428255</v>
      </c>
      <c r="BV118" s="610">
        <f t="shared" si="151"/>
        <v>-7.1725263314048382E-2</v>
      </c>
      <c r="BW118" s="609">
        <f t="shared" si="151"/>
        <v>-0.27958458595244606</v>
      </c>
      <c r="BX118" s="609">
        <f t="shared" si="151"/>
        <v>-2.5176233635448186E-2</v>
      </c>
      <c r="BY118" s="609"/>
      <c r="BZ118" s="609"/>
      <c r="CA118" s="610"/>
      <c r="CB118" s="609"/>
      <c r="CC118" s="609"/>
      <c r="CD118" s="609"/>
      <c r="CE118" s="609"/>
      <c r="CF118" s="610"/>
      <c r="CG118" s="609"/>
      <c r="CH118" s="609"/>
      <c r="CI118" s="609"/>
      <c r="CJ118" s="609"/>
      <c r="CK118" s="610"/>
      <c r="CL118" s="609"/>
      <c r="CM118" s="609"/>
      <c r="CN118" s="609"/>
      <c r="CO118" s="609"/>
      <c r="CP118" s="610"/>
      <c r="CQ118" s="609"/>
      <c r="CR118" s="609"/>
      <c r="CS118" s="609"/>
      <c r="CT118" s="609"/>
      <c r="CU118" s="610"/>
      <c r="CV118" s="609"/>
      <c r="CW118" s="609"/>
      <c r="CX118" s="609"/>
      <c r="CY118" s="609"/>
      <c r="CZ118" s="610"/>
      <c r="DA118" s="609"/>
      <c r="DB118" s="609"/>
      <c r="DC118" s="609"/>
      <c r="DD118" s="609"/>
      <c r="DE118" s="610"/>
      <c r="DF118" s="609"/>
      <c r="DG118" s="609"/>
      <c r="DH118" s="609"/>
      <c r="DI118" s="609"/>
      <c r="DJ118" s="610"/>
      <c r="DK118" s="609"/>
      <c r="DL118" s="609"/>
      <c r="DM118" s="609"/>
      <c r="DN118" s="609"/>
      <c r="DO118" s="610"/>
      <c r="DP118" s="609"/>
      <c r="DQ118" s="609"/>
      <c r="DR118" s="609"/>
      <c r="DS118" s="609"/>
      <c r="DT118" s="610"/>
      <c r="DU118" s="609"/>
      <c r="DV118" s="609"/>
      <c r="DW118" s="609"/>
      <c r="DX118" s="609"/>
      <c r="DY118" s="610"/>
      <c r="DZ118" s="610"/>
      <c r="EA118" s="610"/>
      <c r="EB118" s="610"/>
    </row>
    <row r="119" spans="2:132" s="241" customFormat="1" ht="12" hidden="1" customHeight="1">
      <c r="B119" s="311" t="s">
        <v>107</v>
      </c>
      <c r="C119" s="301"/>
      <c r="D119" s="301"/>
      <c r="E119" s="301"/>
      <c r="F119" s="301"/>
      <c r="G119" s="301"/>
      <c r="H119" s="301"/>
      <c r="I119" s="301"/>
      <c r="J119" s="242"/>
      <c r="K119" s="242"/>
      <c r="L119" s="242"/>
      <c r="M119" s="242"/>
      <c r="N119" s="301"/>
      <c r="O119" s="242"/>
      <c r="P119" s="242"/>
      <c r="Q119" s="242"/>
      <c r="R119" s="242"/>
      <c r="S119" s="301">
        <f t="shared" si="146"/>
        <v>-5.9049374184135806E-2</v>
      </c>
      <c r="T119" s="242">
        <f t="shared" si="146"/>
        <v>-0.14587212911235259</v>
      </c>
      <c r="U119" s="242">
        <f t="shared" si="146"/>
        <v>-5.2411575562700929E-2</v>
      </c>
      <c r="V119" s="242">
        <f t="shared" si="146"/>
        <v>-5.9288537549407105E-2</v>
      </c>
      <c r="W119" s="242">
        <f t="shared" si="146"/>
        <v>0.18676368676368682</v>
      </c>
      <c r="X119" s="301">
        <f t="shared" si="146"/>
        <v>-2.2360045699363451E-2</v>
      </c>
      <c r="Y119" s="242">
        <f t="shared" si="146"/>
        <v>3.7790697674418672E-2</v>
      </c>
      <c r="Z119" s="242">
        <f t="shared" si="146"/>
        <v>-1.3573125212079651E-3</v>
      </c>
      <c r="AA119" s="242">
        <f t="shared" si="146"/>
        <v>5.252100840336138E-2</v>
      </c>
      <c r="AB119" s="242">
        <f t="shared" si="146"/>
        <v>-0.15591240875912404</v>
      </c>
      <c r="AC119" s="301">
        <f t="shared" si="147"/>
        <v>-2.370617696160271E-2</v>
      </c>
      <c r="AD119" s="242">
        <f t="shared" si="147"/>
        <v>-5.6722689075630273E-2</v>
      </c>
      <c r="AE119" s="242">
        <f t="shared" si="147"/>
        <v>-4.7230716955487639E-2</v>
      </c>
      <c r="AF119" s="242">
        <f t="shared" si="147"/>
        <v>-7.3186959414504038E-3</v>
      </c>
      <c r="AG119" s="242">
        <f t="shared" si="147"/>
        <v>-7.6098235904531464E-3</v>
      </c>
      <c r="AH119" s="301">
        <f t="shared" si="147"/>
        <v>-2.9497264021887792E-2</v>
      </c>
      <c r="AI119" s="242">
        <f t="shared" si="147"/>
        <v>-5.9391239792130346E-3</v>
      </c>
      <c r="AJ119" s="242">
        <f t="shared" si="147"/>
        <v>0.10663338088445085</v>
      </c>
      <c r="AK119" s="242">
        <f t="shared" si="147"/>
        <v>-9.1487935656836439E-2</v>
      </c>
      <c r="AL119" s="242">
        <f t="shared" si="147"/>
        <v>-0.16869989543394914</v>
      </c>
      <c r="AM119" s="301">
        <f t="shared" si="148"/>
        <v>-4.1758435380142678E-2</v>
      </c>
      <c r="AN119" s="242">
        <f t="shared" si="148"/>
        <v>-0.13256161314413739</v>
      </c>
      <c r="AO119" s="242">
        <f t="shared" si="148"/>
        <v>-0.24137931034482762</v>
      </c>
      <c r="AP119" s="242">
        <f t="shared" si="148"/>
        <v>-0.13537440059018813</v>
      </c>
      <c r="AQ119" s="242">
        <f t="shared" si="148"/>
        <v>2.0545073375262124E-2</v>
      </c>
      <c r="AR119" s="301">
        <f t="shared" si="148"/>
        <v>-0.13073457754895657</v>
      </c>
      <c r="AS119" s="242">
        <f t="shared" si="148"/>
        <v>1.1192423590185019E-2</v>
      </c>
      <c r="AT119" s="242">
        <f t="shared" si="148"/>
        <v>-0.11597281223449452</v>
      </c>
      <c r="AU119" s="242">
        <f t="shared" si="148"/>
        <v>-2.9010238907849817E-2</v>
      </c>
      <c r="AV119" s="242">
        <f t="shared" si="148"/>
        <v>-0.19186524239934266</v>
      </c>
      <c r="AW119" s="301">
        <f t="shared" si="149"/>
        <v>-8.2707562136435708E-2</v>
      </c>
      <c r="AX119" s="242">
        <f t="shared" si="149"/>
        <v>-0.23584504044274157</v>
      </c>
      <c r="AY119" s="242">
        <f t="shared" si="149"/>
        <v>-9.3224411340701585E-2</v>
      </c>
      <c r="AZ119" s="242">
        <f t="shared" si="149"/>
        <v>-0.12565905096660812</v>
      </c>
      <c r="BA119" s="242">
        <f t="shared" si="149"/>
        <v>-2.7961362480935392E-2</v>
      </c>
      <c r="BB119" s="301">
        <f t="shared" si="149"/>
        <v>-0.12556208924247669</v>
      </c>
      <c r="BC119" s="242">
        <f t="shared" si="149"/>
        <v>9.1922005571030585E-2</v>
      </c>
      <c r="BD119" s="242">
        <f t="shared" si="149"/>
        <v>8.5850556438791692E-2</v>
      </c>
      <c r="BE119" s="242">
        <f t="shared" si="149"/>
        <v>0.12110552763819094</v>
      </c>
      <c r="BF119" s="242">
        <f t="shared" si="149"/>
        <v>0.18828451882845187</v>
      </c>
      <c r="BG119" s="301">
        <f t="shared" si="150"/>
        <v>0.1223628691983123</v>
      </c>
      <c r="BH119" s="145">
        <f t="shared" si="150"/>
        <v>-4.2857142857142816E-2</v>
      </c>
      <c r="BI119" s="145">
        <f t="shared" si="150"/>
        <v>-6.2957540263543166E-2</v>
      </c>
      <c r="BJ119" s="145">
        <f t="shared" si="150"/>
        <v>-9.1438816674137113E-2</v>
      </c>
      <c r="BK119" s="145">
        <f t="shared" si="150"/>
        <v>-4.0492957746478875E-2</v>
      </c>
      <c r="BL119" s="144">
        <f t="shared" si="150"/>
        <v>-5.9797932330827086E-2</v>
      </c>
      <c r="BM119" s="145">
        <f t="shared" si="150"/>
        <v>-7.6759061833688746E-2</v>
      </c>
      <c r="BN119" s="145">
        <f t="shared" si="150"/>
        <v>9.3749999999999112E-3</v>
      </c>
      <c r="BO119" s="145">
        <f t="shared" si="150"/>
        <v>4.9333991119881571E-2</v>
      </c>
      <c r="BP119" s="145">
        <f t="shared" si="150"/>
        <v>-0.10366972477064218</v>
      </c>
      <c r="BQ119" s="144">
        <f t="shared" si="151"/>
        <v>-3.1488191928026987E-2</v>
      </c>
      <c r="BR119" s="145">
        <f t="shared" si="151"/>
        <v>1.7321016166280678E-3</v>
      </c>
      <c r="BS119" s="145">
        <f t="shared" si="151"/>
        <v>-6.6047471620227061E-2</v>
      </c>
      <c r="BT119" s="145">
        <f t="shared" si="151"/>
        <v>-0.20028208744710863</v>
      </c>
      <c r="BU119" s="145">
        <f t="shared" si="151"/>
        <v>-7.8812691914022515E-2</v>
      </c>
      <c r="BV119" s="144">
        <f t="shared" si="151"/>
        <v>-9.0956005676686824E-2</v>
      </c>
      <c r="BW119" s="145">
        <f t="shared" si="151"/>
        <v>-9.8559077809798223E-2</v>
      </c>
      <c r="BX119" s="145">
        <f t="shared" si="151"/>
        <v>-7.5138121546961312E-2</v>
      </c>
      <c r="BY119" s="145"/>
      <c r="BZ119" s="145"/>
      <c r="CA119" s="144"/>
      <c r="CB119" s="145"/>
      <c r="CC119" s="145"/>
      <c r="CD119" s="145"/>
      <c r="CE119" s="145"/>
      <c r="CF119" s="144"/>
      <c r="CG119" s="145"/>
      <c r="CH119" s="145"/>
      <c r="CI119" s="145"/>
      <c r="CJ119" s="145"/>
      <c r="CK119" s="144"/>
      <c r="CL119" s="145"/>
      <c r="CM119" s="145"/>
      <c r="CN119" s="145"/>
      <c r="CO119" s="145"/>
      <c r="CP119" s="144"/>
      <c r="CQ119" s="145"/>
      <c r="CR119" s="145"/>
      <c r="CS119" s="145"/>
      <c r="CT119" s="145"/>
      <c r="CU119" s="144"/>
      <c r="CV119" s="145"/>
      <c r="CW119" s="145"/>
      <c r="CX119" s="145"/>
      <c r="CY119" s="145"/>
      <c r="CZ119" s="144"/>
      <c r="DA119" s="145"/>
      <c r="DB119" s="145"/>
      <c r="DC119" s="145"/>
      <c r="DD119" s="145"/>
      <c r="DE119" s="144"/>
      <c r="DF119" s="145"/>
      <c r="DG119" s="145"/>
      <c r="DH119" s="145"/>
      <c r="DI119" s="145"/>
      <c r="DJ119" s="144"/>
      <c r="DK119" s="145"/>
      <c r="DL119" s="145"/>
      <c r="DM119" s="145"/>
      <c r="DN119" s="145"/>
      <c r="DO119" s="144"/>
      <c r="DP119" s="145"/>
      <c r="DQ119" s="145"/>
      <c r="DR119" s="145"/>
      <c r="DS119" s="145"/>
      <c r="DT119" s="144"/>
      <c r="DU119" s="145"/>
      <c r="DV119" s="145"/>
      <c r="DW119" s="145"/>
      <c r="DX119" s="145"/>
      <c r="DY119" s="144"/>
      <c r="DZ119" s="144"/>
      <c r="EA119" s="144"/>
      <c r="EB119" s="144"/>
    </row>
    <row r="120" spans="2:132" s="241" customFormat="1" ht="12" hidden="1" customHeight="1">
      <c r="B120" s="311" t="s">
        <v>108</v>
      </c>
      <c r="C120" s="229"/>
      <c r="D120" s="229"/>
      <c r="E120" s="229"/>
      <c r="F120" s="229"/>
      <c r="G120" s="229"/>
      <c r="H120" s="229"/>
      <c r="I120" s="229"/>
      <c r="J120" s="230"/>
      <c r="K120" s="230"/>
      <c r="L120" s="230"/>
      <c r="M120" s="230"/>
      <c r="N120" s="229"/>
      <c r="O120" s="230"/>
      <c r="P120" s="230"/>
      <c r="Q120" s="230"/>
      <c r="R120" s="230"/>
      <c r="S120" s="229">
        <f t="shared" si="146"/>
        <v>9.4447859045277527E-2</v>
      </c>
      <c r="T120" s="230">
        <f t="shared" si="146"/>
        <v>0.10000000000000009</v>
      </c>
      <c r="U120" s="230">
        <f t="shared" si="146"/>
        <v>0.19695688926458166</v>
      </c>
      <c r="V120" s="230">
        <f t="shared" si="146"/>
        <v>4.3540328336902245E-2</v>
      </c>
      <c r="W120" s="230">
        <f t="shared" si="146"/>
        <v>0.22418136020151125</v>
      </c>
      <c r="X120" s="229">
        <f t="shared" si="146"/>
        <v>0.14357918382628232</v>
      </c>
      <c r="Y120" s="230">
        <f t="shared" si="146"/>
        <v>0.23076923076923084</v>
      </c>
      <c r="Z120" s="230">
        <f t="shared" si="146"/>
        <v>0.14124293785310726</v>
      </c>
      <c r="AA120" s="230">
        <f t="shared" si="146"/>
        <v>0.12311901504787959</v>
      </c>
      <c r="AB120" s="230">
        <f t="shared" si="146"/>
        <v>-4.4753086419753063E-2</v>
      </c>
      <c r="AC120" s="229">
        <f t="shared" si="147"/>
        <v>9.6578818137174727E-2</v>
      </c>
      <c r="AD120" s="230">
        <f t="shared" si="147"/>
        <v>5.9974747474747403E-2</v>
      </c>
      <c r="AE120" s="230">
        <f t="shared" si="147"/>
        <v>0.15408415841584167</v>
      </c>
      <c r="AF120" s="230">
        <f t="shared" si="147"/>
        <v>5.7247259439707765E-2</v>
      </c>
      <c r="AG120" s="230">
        <f t="shared" si="147"/>
        <v>8.5621970920840118E-2</v>
      </c>
      <c r="AH120" s="229">
        <f t="shared" si="147"/>
        <v>8.9117778772951128E-2</v>
      </c>
      <c r="AI120" s="230">
        <f t="shared" si="147"/>
        <v>0.21024419297200714</v>
      </c>
      <c r="AJ120" s="230">
        <f t="shared" si="147"/>
        <v>0.17104557640750673</v>
      </c>
      <c r="AK120" s="230">
        <f t="shared" si="147"/>
        <v>0.19930875576036877</v>
      </c>
      <c r="AL120" s="230">
        <f t="shared" si="147"/>
        <v>0.20486111111111116</v>
      </c>
      <c r="AM120" s="229">
        <f t="shared" si="148"/>
        <v>0.19613486842105265</v>
      </c>
      <c r="AN120" s="230">
        <f t="shared" si="148"/>
        <v>8.3661417322835607E-3</v>
      </c>
      <c r="AO120" s="230">
        <f t="shared" si="148"/>
        <v>-6.1813186813186816E-2</v>
      </c>
      <c r="AP120" s="230">
        <f t="shared" si="148"/>
        <v>-1.6330451488952957E-2</v>
      </c>
      <c r="AQ120" s="230">
        <f t="shared" si="148"/>
        <v>-0.13379991766158916</v>
      </c>
      <c r="AR120" s="229">
        <f t="shared" si="148"/>
        <v>-5.4657958061189449E-2</v>
      </c>
      <c r="AS120" s="230">
        <f t="shared" si="148"/>
        <v>-8.4431429965836968E-2</v>
      </c>
      <c r="AT120" s="230">
        <f t="shared" si="148"/>
        <v>-4.0995607613469986E-2</v>
      </c>
      <c r="AU120" s="230">
        <f t="shared" si="148"/>
        <v>-4.296875E-2</v>
      </c>
      <c r="AV120" s="230">
        <f t="shared" si="148"/>
        <v>0.21435361216730042</v>
      </c>
      <c r="AW120" s="229">
        <f t="shared" si="149"/>
        <v>1.2848484848484887E-2</v>
      </c>
      <c r="AX120" s="230">
        <f t="shared" si="149"/>
        <v>0.1353944562899787</v>
      </c>
      <c r="AY120" s="230">
        <f t="shared" si="149"/>
        <v>0.10687022900763354</v>
      </c>
      <c r="AZ120" s="230">
        <f t="shared" si="149"/>
        <v>5.1020408163265252E-2</v>
      </c>
      <c r="BA120" s="230">
        <f t="shared" si="149"/>
        <v>-0.10998043052837569</v>
      </c>
      <c r="BB120" s="229">
        <f t="shared" si="149"/>
        <v>3.3867879368118636E-2</v>
      </c>
      <c r="BC120" s="230">
        <f t="shared" si="149"/>
        <v>-4.1784037558685427E-2</v>
      </c>
      <c r="BD120" s="230">
        <f t="shared" si="149"/>
        <v>3.3563218390804561E-2</v>
      </c>
      <c r="BE120" s="230">
        <f t="shared" si="149"/>
        <v>0.1029126213592233</v>
      </c>
      <c r="BF120" s="230">
        <f t="shared" si="149"/>
        <v>-3.7818821459982388E-2</v>
      </c>
      <c r="BG120" s="229">
        <f t="shared" si="150"/>
        <v>1.2732955203148544E-2</v>
      </c>
      <c r="BH120" s="230">
        <f t="shared" si="150"/>
        <v>0.12640862322390989</v>
      </c>
      <c r="BI120" s="230">
        <f t="shared" si="150"/>
        <v>2.4911032028469782E-2</v>
      </c>
      <c r="BJ120" s="230">
        <f t="shared" si="150"/>
        <v>3.3890845070422504E-2</v>
      </c>
      <c r="BK120" s="230">
        <f t="shared" si="150"/>
        <v>0.1037477148080439</v>
      </c>
      <c r="BL120" s="229">
        <f t="shared" si="150"/>
        <v>7.063664418790716E-2</v>
      </c>
      <c r="BM120" s="230">
        <f t="shared" si="150"/>
        <v>-2.8708133971291905E-2</v>
      </c>
      <c r="BN120" s="230">
        <f t="shared" si="150"/>
        <v>-8.072916666666663E-2</v>
      </c>
      <c r="BO120" s="230">
        <f t="shared" si="150"/>
        <v>-7.5351213282247809E-2</v>
      </c>
      <c r="BP120" s="230">
        <f t="shared" si="150"/>
        <v>8.9855072463768115E-2</v>
      </c>
      <c r="BQ120" s="229">
        <f t="shared" si="151"/>
        <v>-2.2632646525034716E-2</v>
      </c>
      <c r="BR120" s="230">
        <f t="shared" si="151"/>
        <v>0.14733542319749215</v>
      </c>
      <c r="BS120" s="230">
        <f t="shared" si="151"/>
        <v>0.1260623229461757</v>
      </c>
      <c r="BT120" s="230">
        <f t="shared" si="151"/>
        <v>0.17265193370165743</v>
      </c>
      <c r="BU120" s="230">
        <f t="shared" si="151"/>
        <v>-7.1808510638297851E-2</v>
      </c>
      <c r="BV120" s="229">
        <f t="shared" si="151"/>
        <v>8.5417804478427062E-2</v>
      </c>
      <c r="BW120" s="230">
        <f t="shared" si="151"/>
        <v>-8.9773614363778287E-2</v>
      </c>
      <c r="BX120" s="230">
        <f t="shared" si="151"/>
        <v>-3.2285115303983258E-2</v>
      </c>
      <c r="BY120" s="230"/>
      <c r="BZ120" s="230"/>
      <c r="CA120" s="229"/>
      <c r="CB120" s="230"/>
      <c r="CC120" s="230"/>
      <c r="CD120" s="230"/>
      <c r="CE120" s="230"/>
      <c r="CF120" s="229"/>
      <c r="CG120" s="230"/>
      <c r="CH120" s="230"/>
      <c r="CI120" s="230"/>
      <c r="CJ120" s="230"/>
      <c r="CK120" s="229"/>
      <c r="CL120" s="230"/>
      <c r="CM120" s="230"/>
      <c r="CN120" s="230"/>
      <c r="CO120" s="230"/>
      <c r="CP120" s="229"/>
      <c r="CQ120" s="230"/>
      <c r="CR120" s="230"/>
      <c r="CS120" s="230"/>
      <c r="CT120" s="230"/>
      <c r="CU120" s="229"/>
      <c r="CV120" s="230"/>
      <c r="CW120" s="230"/>
      <c r="CX120" s="230"/>
      <c r="CY120" s="230"/>
      <c r="CZ120" s="229"/>
      <c r="DA120" s="230"/>
      <c r="DB120" s="230"/>
      <c r="DC120" s="230"/>
      <c r="DD120" s="230"/>
      <c r="DE120" s="229"/>
      <c r="DF120" s="230"/>
      <c r="DG120" s="230"/>
      <c r="DH120" s="230"/>
      <c r="DI120" s="230"/>
      <c r="DJ120" s="229"/>
      <c r="DK120" s="230"/>
      <c r="DL120" s="230"/>
      <c r="DM120" s="230"/>
      <c r="DN120" s="230"/>
      <c r="DO120" s="229"/>
      <c r="DP120" s="230"/>
      <c r="DQ120" s="230"/>
      <c r="DR120" s="230"/>
      <c r="DS120" s="230"/>
      <c r="DT120" s="229"/>
      <c r="DU120" s="230"/>
      <c r="DV120" s="230"/>
      <c r="DW120" s="230"/>
      <c r="DX120" s="230"/>
      <c r="DY120" s="229"/>
      <c r="DZ120" s="229"/>
      <c r="EA120" s="229"/>
      <c r="EB120" s="229"/>
    </row>
    <row r="121" spans="2:132" s="241" customFormat="1" ht="12" hidden="1" customHeight="1">
      <c r="B121" s="324" t="s">
        <v>130</v>
      </c>
      <c r="C121" s="325"/>
      <c r="D121" s="325"/>
      <c r="E121" s="325"/>
      <c r="F121" s="325"/>
      <c r="G121" s="325"/>
      <c r="H121" s="325">
        <f t="shared" ref="H121:I124" si="152">H41/G41-1</f>
        <v>0.10381201044386423</v>
      </c>
      <c r="I121" s="325">
        <f t="shared" si="152"/>
        <v>1.8639417163402339E-2</v>
      </c>
      <c r="J121" s="326"/>
      <c r="K121" s="326"/>
      <c r="L121" s="326"/>
      <c r="M121" s="326"/>
      <c r="N121" s="325">
        <f t="shared" ref="N121:S124" si="153">N41/I41-1</f>
        <v>5.8331785249860602E-2</v>
      </c>
      <c r="O121" s="326">
        <f t="shared" si="153"/>
        <v>-0.1085733200926845</v>
      </c>
      <c r="P121" s="326">
        <f t="shared" si="153"/>
        <v>0.15453863465866458</v>
      </c>
      <c r="Q121" s="326">
        <f t="shared" si="153"/>
        <v>-0.16347091322716933</v>
      </c>
      <c r="R121" s="326">
        <f t="shared" si="153"/>
        <v>0.17832699619771852</v>
      </c>
      <c r="S121" s="325">
        <f t="shared" si="153"/>
        <v>4.38827453045465E-3</v>
      </c>
      <c r="T121" s="249"/>
      <c r="U121" s="249"/>
      <c r="V121" s="249"/>
      <c r="W121" s="249"/>
      <c r="X121" s="248"/>
      <c r="Y121" s="249"/>
      <c r="Z121" s="249"/>
      <c r="AA121" s="249"/>
      <c r="AB121" s="249"/>
      <c r="AC121" s="248"/>
      <c r="AD121" s="249"/>
      <c r="AE121" s="249"/>
      <c r="AF121" s="249"/>
      <c r="AG121" s="249"/>
      <c r="AH121" s="248"/>
      <c r="AI121" s="249"/>
      <c r="AJ121" s="249"/>
      <c r="AK121" s="249"/>
      <c r="AL121" s="249"/>
      <c r="AM121" s="248"/>
      <c r="AN121" s="249"/>
      <c r="AO121" s="249"/>
      <c r="AP121" s="249"/>
      <c r="AQ121" s="249"/>
      <c r="AR121" s="248"/>
      <c r="AS121" s="249"/>
      <c r="AT121" s="249"/>
      <c r="AU121" s="249"/>
      <c r="AV121" s="249"/>
      <c r="AW121" s="248"/>
      <c r="AX121" s="249"/>
      <c r="AY121" s="249"/>
      <c r="AZ121" s="249"/>
      <c r="BA121" s="249"/>
      <c r="BB121" s="248"/>
      <c r="BC121" s="249"/>
      <c r="BD121" s="249"/>
      <c r="BE121" s="249"/>
      <c r="BF121" s="249"/>
      <c r="BG121" s="248"/>
      <c r="BH121" s="249"/>
      <c r="BI121" s="249"/>
      <c r="BJ121" s="249"/>
      <c r="BK121" s="249"/>
      <c r="BL121" s="248"/>
      <c r="BM121" s="249"/>
      <c r="BN121" s="249"/>
      <c r="BO121" s="249"/>
      <c r="BP121" s="249"/>
      <c r="BQ121" s="248"/>
      <c r="BR121" s="249"/>
      <c r="BS121" s="249"/>
      <c r="BT121" s="249"/>
      <c r="BU121" s="249"/>
      <c r="BV121" s="248"/>
      <c r="BW121" s="249"/>
      <c r="BX121" s="249"/>
      <c r="BY121" s="249"/>
      <c r="BZ121" s="249"/>
      <c r="CA121" s="248"/>
      <c r="CB121" s="249"/>
      <c r="CC121" s="249"/>
      <c r="CD121" s="249"/>
      <c r="CE121" s="249"/>
      <c r="CF121" s="248"/>
      <c r="CG121" s="249"/>
      <c r="CH121" s="249"/>
      <c r="CI121" s="249"/>
      <c r="CJ121" s="249"/>
      <c r="CK121" s="248"/>
      <c r="CL121" s="249"/>
      <c r="CM121" s="249"/>
      <c r="CN121" s="249"/>
      <c r="CO121" s="249"/>
      <c r="CP121" s="248"/>
      <c r="CQ121" s="249"/>
      <c r="CR121" s="249"/>
      <c r="CS121" s="249"/>
      <c r="CT121" s="249"/>
      <c r="CU121" s="248"/>
      <c r="CV121" s="249"/>
      <c r="CW121" s="249"/>
      <c r="CX121" s="249"/>
      <c r="CY121" s="249"/>
      <c r="CZ121" s="248"/>
      <c r="DA121" s="249"/>
      <c r="DB121" s="249"/>
      <c r="DC121" s="249"/>
      <c r="DD121" s="249"/>
      <c r="DE121" s="248"/>
      <c r="DF121" s="249"/>
      <c r="DG121" s="249"/>
      <c r="DH121" s="249"/>
      <c r="DI121" s="249"/>
      <c r="DJ121" s="248"/>
      <c r="DK121" s="249"/>
      <c r="DL121" s="249"/>
      <c r="DM121" s="249"/>
      <c r="DN121" s="249"/>
      <c r="DO121" s="248"/>
      <c r="DP121" s="249"/>
      <c r="DQ121" s="249"/>
      <c r="DR121" s="249"/>
      <c r="DS121" s="249"/>
      <c r="DT121" s="248"/>
      <c r="DU121" s="249"/>
      <c r="DV121" s="249"/>
      <c r="DW121" s="249"/>
      <c r="DX121" s="249"/>
      <c r="DY121" s="248"/>
      <c r="DZ121" s="248"/>
      <c r="EA121" s="248"/>
      <c r="EB121" s="248"/>
    </row>
    <row r="122" spans="2:132" s="241" customFormat="1" ht="12" hidden="1" customHeight="1">
      <c r="B122" s="311" t="s">
        <v>131</v>
      </c>
      <c r="C122" s="301"/>
      <c r="D122" s="301"/>
      <c r="E122" s="301"/>
      <c r="F122" s="301"/>
      <c r="G122" s="301"/>
      <c r="H122" s="301">
        <f t="shared" si="152"/>
        <v>0.35850636302746142</v>
      </c>
      <c r="I122" s="301">
        <f t="shared" si="152"/>
        <v>0.15666214717120663</v>
      </c>
      <c r="J122" s="242"/>
      <c r="K122" s="242"/>
      <c r="L122" s="242"/>
      <c r="M122" s="242"/>
      <c r="N122" s="301">
        <f t="shared" si="153"/>
        <v>0.21824381926683722</v>
      </c>
      <c r="O122" s="242">
        <f t="shared" si="153"/>
        <v>0.16001612253123731</v>
      </c>
      <c r="P122" s="242">
        <f t="shared" si="153"/>
        <v>1.2477064220183465E-2</v>
      </c>
      <c r="Q122" s="242">
        <f t="shared" si="153"/>
        <v>-0.15341787813176622</v>
      </c>
      <c r="R122" s="242">
        <f t="shared" si="153"/>
        <v>-3.4413631807550971E-2</v>
      </c>
      <c r="S122" s="301">
        <f t="shared" si="153"/>
        <v>-1.469559132260323E-2</v>
      </c>
      <c r="T122" s="230"/>
      <c r="U122" s="230"/>
      <c r="V122" s="230"/>
      <c r="W122" s="230"/>
      <c r="X122" s="229"/>
      <c r="Y122" s="230"/>
      <c r="Z122" s="230"/>
      <c r="AA122" s="230"/>
      <c r="AB122" s="230"/>
      <c r="AC122" s="229"/>
      <c r="AD122" s="230"/>
      <c r="AE122" s="230"/>
      <c r="AF122" s="230"/>
      <c r="AG122" s="230"/>
      <c r="AH122" s="229"/>
      <c r="AI122" s="230"/>
      <c r="AJ122" s="230"/>
      <c r="AK122" s="230"/>
      <c r="AL122" s="230"/>
      <c r="AM122" s="229"/>
      <c r="AN122" s="230"/>
      <c r="AO122" s="230"/>
      <c r="AP122" s="230"/>
      <c r="AQ122" s="230"/>
      <c r="AR122" s="229"/>
      <c r="AS122" s="230"/>
      <c r="AT122" s="230"/>
      <c r="AU122" s="230"/>
      <c r="AV122" s="230"/>
      <c r="AW122" s="229"/>
      <c r="AX122" s="230"/>
      <c r="AY122" s="230"/>
      <c r="AZ122" s="230"/>
      <c r="BA122" s="230"/>
      <c r="BB122" s="229"/>
      <c r="BC122" s="230"/>
      <c r="BD122" s="230"/>
      <c r="BE122" s="230"/>
      <c r="BF122" s="230"/>
      <c r="BG122" s="229"/>
      <c r="BH122" s="230"/>
      <c r="BI122" s="230"/>
      <c r="BJ122" s="230"/>
      <c r="BK122" s="230"/>
      <c r="BL122" s="229"/>
      <c r="BM122" s="230"/>
      <c r="BN122" s="230"/>
      <c r="BO122" s="230"/>
      <c r="BP122" s="230"/>
      <c r="BQ122" s="229"/>
      <c r="BR122" s="230"/>
      <c r="BS122" s="230"/>
      <c r="BT122" s="230"/>
      <c r="BU122" s="230"/>
      <c r="BV122" s="229"/>
      <c r="BW122" s="230"/>
      <c r="BX122" s="230"/>
      <c r="BY122" s="230"/>
      <c r="BZ122" s="230"/>
      <c r="CA122" s="229"/>
      <c r="CB122" s="230"/>
      <c r="CC122" s="230"/>
      <c r="CD122" s="230"/>
      <c r="CE122" s="230"/>
      <c r="CF122" s="229"/>
      <c r="CG122" s="230"/>
      <c r="CH122" s="230"/>
      <c r="CI122" s="230"/>
      <c r="CJ122" s="230"/>
      <c r="CK122" s="229"/>
      <c r="CL122" s="230"/>
      <c r="CM122" s="230"/>
      <c r="CN122" s="230"/>
      <c r="CO122" s="230"/>
      <c r="CP122" s="229"/>
      <c r="CQ122" s="230"/>
      <c r="CR122" s="230"/>
      <c r="CS122" s="230"/>
      <c r="CT122" s="230"/>
      <c r="CU122" s="229"/>
      <c r="CV122" s="230"/>
      <c r="CW122" s="230"/>
      <c r="CX122" s="230"/>
      <c r="CY122" s="230"/>
      <c r="CZ122" s="229"/>
      <c r="DA122" s="230"/>
      <c r="DB122" s="230"/>
      <c r="DC122" s="230"/>
      <c r="DD122" s="230"/>
      <c r="DE122" s="229"/>
      <c r="DF122" s="230"/>
      <c r="DG122" s="230"/>
      <c r="DH122" s="230"/>
      <c r="DI122" s="230"/>
      <c r="DJ122" s="229"/>
      <c r="DK122" s="230"/>
      <c r="DL122" s="230"/>
      <c r="DM122" s="230"/>
      <c r="DN122" s="230"/>
      <c r="DO122" s="229"/>
      <c r="DP122" s="230"/>
      <c r="DQ122" s="230"/>
      <c r="DR122" s="230"/>
      <c r="DS122" s="230"/>
      <c r="DT122" s="229"/>
      <c r="DU122" s="230"/>
      <c r="DV122" s="230"/>
      <c r="DW122" s="230"/>
      <c r="DX122" s="230"/>
      <c r="DY122" s="229"/>
      <c r="DZ122" s="229"/>
      <c r="EA122" s="229"/>
      <c r="EB122" s="229"/>
    </row>
    <row r="123" spans="2:132" s="241" customFormat="1" ht="12" hidden="1" customHeight="1">
      <c r="B123" s="311" t="s">
        <v>125</v>
      </c>
      <c r="C123" s="301"/>
      <c r="D123" s="301"/>
      <c r="E123" s="301"/>
      <c r="F123" s="301"/>
      <c r="G123" s="301"/>
      <c r="H123" s="301">
        <f t="shared" si="152"/>
        <v>0.18867280791538721</v>
      </c>
      <c r="I123" s="301">
        <f t="shared" si="152"/>
        <v>0.21096440872560285</v>
      </c>
      <c r="J123" s="242"/>
      <c r="K123" s="242"/>
      <c r="L123" s="242"/>
      <c r="M123" s="242"/>
      <c r="N123" s="301">
        <f t="shared" si="153"/>
        <v>0.10689736904479741</v>
      </c>
      <c r="O123" s="242">
        <f t="shared" si="153"/>
        <v>5.6910569105691033E-2</v>
      </c>
      <c r="P123" s="242">
        <f t="shared" si="153"/>
        <v>7.6433121019108263E-2</v>
      </c>
      <c r="Q123" s="242">
        <f t="shared" si="153"/>
        <v>0.24312333629103811</v>
      </c>
      <c r="R123" s="242">
        <f t="shared" si="153"/>
        <v>0.18773373223635015</v>
      </c>
      <c r="S123" s="301">
        <f t="shared" si="153"/>
        <v>0.14389721627408991</v>
      </c>
      <c r="T123" s="230"/>
      <c r="U123" s="230"/>
      <c r="V123" s="230"/>
      <c r="W123" s="230"/>
      <c r="X123" s="229"/>
      <c r="Y123" s="230"/>
      <c r="Z123" s="230"/>
      <c r="AA123" s="230"/>
      <c r="AB123" s="230"/>
      <c r="AC123" s="229"/>
      <c r="AD123" s="230"/>
      <c r="AE123" s="230"/>
      <c r="AF123" s="230"/>
      <c r="AG123" s="230"/>
      <c r="AH123" s="229"/>
      <c r="AI123" s="230"/>
      <c r="AJ123" s="230"/>
      <c r="AK123" s="230"/>
      <c r="AL123" s="230"/>
      <c r="AM123" s="229"/>
      <c r="AN123" s="230"/>
      <c r="AO123" s="230"/>
      <c r="AP123" s="230"/>
      <c r="AQ123" s="230"/>
      <c r="AR123" s="229"/>
      <c r="AS123" s="230"/>
      <c r="AT123" s="230"/>
      <c r="AU123" s="230"/>
      <c r="AV123" s="230"/>
      <c r="AW123" s="229"/>
      <c r="AX123" s="230"/>
      <c r="AY123" s="230"/>
      <c r="AZ123" s="230"/>
      <c r="BA123" s="230"/>
      <c r="BB123" s="229"/>
      <c r="BC123" s="230"/>
      <c r="BD123" s="230"/>
      <c r="BE123" s="230"/>
      <c r="BF123" s="230"/>
      <c r="BG123" s="229"/>
      <c r="BH123" s="230"/>
      <c r="BI123" s="230"/>
      <c r="BJ123" s="230"/>
      <c r="BK123" s="230"/>
      <c r="BL123" s="229"/>
      <c r="BM123" s="230"/>
      <c r="BN123" s="230"/>
      <c r="BO123" s="230"/>
      <c r="BP123" s="230"/>
      <c r="BQ123" s="229"/>
      <c r="BR123" s="230"/>
      <c r="BS123" s="230"/>
      <c r="BT123" s="230"/>
      <c r="BU123" s="230"/>
      <c r="BV123" s="229"/>
      <c r="BW123" s="230"/>
      <c r="BX123" s="230"/>
      <c r="BY123" s="230"/>
      <c r="BZ123" s="230"/>
      <c r="CA123" s="229"/>
      <c r="CB123" s="230"/>
      <c r="CC123" s="230"/>
      <c r="CD123" s="230"/>
      <c r="CE123" s="230"/>
      <c r="CF123" s="229"/>
      <c r="CG123" s="230"/>
      <c r="CH123" s="230"/>
      <c r="CI123" s="230"/>
      <c r="CJ123" s="230"/>
      <c r="CK123" s="229"/>
      <c r="CL123" s="230"/>
      <c r="CM123" s="230"/>
      <c r="CN123" s="230"/>
      <c r="CO123" s="230"/>
      <c r="CP123" s="229"/>
      <c r="CQ123" s="230"/>
      <c r="CR123" s="230"/>
      <c r="CS123" s="230"/>
      <c r="CT123" s="230"/>
      <c r="CU123" s="229"/>
      <c r="CV123" s="230"/>
      <c r="CW123" s="230"/>
      <c r="CX123" s="230"/>
      <c r="CY123" s="230"/>
      <c r="CZ123" s="229"/>
      <c r="DA123" s="230"/>
      <c r="DB123" s="230"/>
      <c r="DC123" s="230"/>
      <c r="DD123" s="230"/>
      <c r="DE123" s="229"/>
      <c r="DF123" s="230"/>
      <c r="DG123" s="230"/>
      <c r="DH123" s="230"/>
      <c r="DI123" s="230"/>
      <c r="DJ123" s="229"/>
      <c r="DK123" s="230"/>
      <c r="DL123" s="230"/>
      <c r="DM123" s="230"/>
      <c r="DN123" s="230"/>
      <c r="DO123" s="229"/>
      <c r="DP123" s="230"/>
      <c r="DQ123" s="230"/>
      <c r="DR123" s="230"/>
      <c r="DS123" s="230"/>
      <c r="DT123" s="229"/>
      <c r="DU123" s="230"/>
      <c r="DV123" s="230"/>
      <c r="DW123" s="230"/>
      <c r="DX123" s="230"/>
      <c r="DY123" s="229"/>
      <c r="DZ123" s="229"/>
      <c r="EA123" s="229"/>
      <c r="EB123" s="229"/>
    </row>
    <row r="124" spans="2:132" s="241" customFormat="1" ht="12" hidden="1" customHeight="1">
      <c r="B124" s="311" t="s">
        <v>132</v>
      </c>
      <c r="C124" s="301"/>
      <c r="D124" s="301"/>
      <c r="E124" s="301"/>
      <c r="F124" s="301"/>
      <c r="G124" s="301"/>
      <c r="H124" s="301">
        <f t="shared" si="152"/>
        <v>-0.35646760433479363</v>
      </c>
      <c r="I124" s="301">
        <f t="shared" si="152"/>
        <v>7.2017198136868465E-2</v>
      </c>
      <c r="J124" s="242"/>
      <c r="K124" s="242"/>
      <c r="L124" s="242"/>
      <c r="M124" s="242"/>
      <c r="N124" s="301">
        <f t="shared" si="153"/>
        <v>-7.6871657754010725E-3</v>
      </c>
      <c r="O124" s="242">
        <f t="shared" si="153"/>
        <v>-7.4257425742574323E-3</v>
      </c>
      <c r="P124" s="242">
        <f t="shared" si="153"/>
        <v>7.4404761904761862E-2</v>
      </c>
      <c r="Q124" s="242">
        <f t="shared" si="153"/>
        <v>-0.18613138686131392</v>
      </c>
      <c r="R124" s="242">
        <f t="shared" si="153"/>
        <v>-0.1784107946026986</v>
      </c>
      <c r="S124" s="301">
        <f t="shared" si="153"/>
        <v>-7.6793533176153561E-2</v>
      </c>
      <c r="T124" s="230"/>
      <c r="U124" s="230"/>
      <c r="V124" s="230"/>
      <c r="W124" s="230"/>
      <c r="X124" s="229"/>
      <c r="Y124" s="230"/>
      <c r="Z124" s="230"/>
      <c r="AA124" s="230"/>
      <c r="AB124" s="230"/>
      <c r="AC124" s="229"/>
      <c r="AD124" s="230"/>
      <c r="AE124" s="230"/>
      <c r="AF124" s="230"/>
      <c r="AG124" s="230"/>
      <c r="AH124" s="229"/>
      <c r="AI124" s="230"/>
      <c r="AJ124" s="230"/>
      <c r="AK124" s="230"/>
      <c r="AL124" s="230"/>
      <c r="AM124" s="229"/>
      <c r="AN124" s="230"/>
      <c r="AO124" s="230"/>
      <c r="AP124" s="230"/>
      <c r="AQ124" s="230"/>
      <c r="AR124" s="229"/>
      <c r="AS124" s="230"/>
      <c r="AT124" s="230"/>
      <c r="AU124" s="230"/>
      <c r="AV124" s="230"/>
      <c r="AW124" s="229"/>
      <c r="AX124" s="230"/>
      <c r="AY124" s="230"/>
      <c r="AZ124" s="230"/>
      <c r="BA124" s="230"/>
      <c r="BB124" s="229"/>
      <c r="BC124" s="230"/>
      <c r="BD124" s="230"/>
      <c r="BE124" s="230"/>
      <c r="BF124" s="230"/>
      <c r="BG124" s="229"/>
      <c r="BH124" s="230"/>
      <c r="BI124" s="230"/>
      <c r="BJ124" s="230"/>
      <c r="BK124" s="230"/>
      <c r="BL124" s="229"/>
      <c r="BM124" s="230"/>
      <c r="BN124" s="230"/>
      <c r="BO124" s="230"/>
      <c r="BP124" s="230"/>
      <c r="BQ124" s="229"/>
      <c r="BR124" s="230"/>
      <c r="BS124" s="230"/>
      <c r="BT124" s="230"/>
      <c r="BU124" s="230"/>
      <c r="BV124" s="229"/>
      <c r="BW124" s="230"/>
      <c r="BX124" s="230"/>
      <c r="BY124" s="230"/>
      <c r="BZ124" s="230"/>
      <c r="CA124" s="229"/>
      <c r="CB124" s="230"/>
      <c r="CC124" s="230"/>
      <c r="CD124" s="230"/>
      <c r="CE124" s="230"/>
      <c r="CF124" s="229"/>
      <c r="CG124" s="230"/>
      <c r="CH124" s="230"/>
      <c r="CI124" s="230"/>
      <c r="CJ124" s="230"/>
      <c r="CK124" s="229"/>
      <c r="CL124" s="230"/>
      <c r="CM124" s="230"/>
      <c r="CN124" s="230"/>
      <c r="CO124" s="230"/>
      <c r="CP124" s="229"/>
      <c r="CQ124" s="230"/>
      <c r="CR124" s="230"/>
      <c r="CS124" s="230"/>
      <c r="CT124" s="230"/>
      <c r="CU124" s="229"/>
      <c r="CV124" s="230"/>
      <c r="CW124" s="230"/>
      <c r="CX124" s="230"/>
      <c r="CY124" s="230"/>
      <c r="CZ124" s="229"/>
      <c r="DA124" s="230"/>
      <c r="DB124" s="230"/>
      <c r="DC124" s="230"/>
      <c r="DD124" s="230"/>
      <c r="DE124" s="229"/>
      <c r="DF124" s="230"/>
      <c r="DG124" s="230"/>
      <c r="DH124" s="230"/>
      <c r="DI124" s="230"/>
      <c r="DJ124" s="229"/>
      <c r="DK124" s="230"/>
      <c r="DL124" s="230"/>
      <c r="DM124" s="230"/>
      <c r="DN124" s="230"/>
      <c r="DO124" s="229"/>
      <c r="DP124" s="230"/>
      <c r="DQ124" s="230"/>
      <c r="DR124" s="230"/>
      <c r="DS124" s="230"/>
      <c r="DT124" s="229"/>
      <c r="DU124" s="230"/>
      <c r="DV124" s="230"/>
      <c r="DW124" s="230"/>
      <c r="DX124" s="230"/>
      <c r="DY124" s="229"/>
      <c r="DZ124" s="229"/>
      <c r="EA124" s="229"/>
      <c r="EB124" s="229"/>
    </row>
    <row r="125" spans="2:132" s="241" customFormat="1" ht="12" hidden="1" customHeight="1">
      <c r="B125" s="324" t="s">
        <v>133</v>
      </c>
      <c r="C125" s="325"/>
      <c r="D125" s="325"/>
      <c r="E125" s="325">
        <f t="shared" ref="E125:H126" si="154">E45/D45-1</f>
        <v>-5.9276366435719763E-2</v>
      </c>
      <c r="F125" s="325">
        <f t="shared" si="154"/>
        <v>-1.8821603927986486E-3</v>
      </c>
      <c r="G125" s="325">
        <f t="shared" si="154"/>
        <v>2.082479298188078E-2</v>
      </c>
      <c r="H125" s="325">
        <f t="shared" si="154"/>
        <v>0.12360452975664615</v>
      </c>
      <c r="I125" s="325"/>
      <c r="J125" s="326"/>
      <c r="K125" s="326"/>
      <c r="L125" s="326"/>
      <c r="M125" s="326"/>
      <c r="N125" s="325"/>
      <c r="O125" s="326"/>
      <c r="P125" s="326"/>
      <c r="Q125" s="326"/>
      <c r="R125" s="326"/>
      <c r="S125" s="325"/>
      <c r="T125" s="249"/>
      <c r="U125" s="249"/>
      <c r="V125" s="249"/>
      <c r="W125" s="249"/>
      <c r="X125" s="248"/>
      <c r="Y125" s="249"/>
      <c r="Z125" s="249"/>
      <c r="AA125" s="249"/>
      <c r="AB125" s="249"/>
      <c r="AC125" s="248"/>
      <c r="AD125" s="249"/>
      <c r="AE125" s="249"/>
      <c r="AF125" s="249"/>
      <c r="AG125" s="249"/>
      <c r="AH125" s="248"/>
      <c r="AI125" s="249"/>
      <c r="AJ125" s="249"/>
      <c r="AK125" s="249"/>
      <c r="AL125" s="249"/>
      <c r="AM125" s="248"/>
      <c r="AN125" s="249"/>
      <c r="AO125" s="249"/>
      <c r="AP125" s="249"/>
      <c r="AQ125" s="249"/>
      <c r="AR125" s="248"/>
      <c r="AS125" s="249"/>
      <c r="AT125" s="249"/>
      <c r="AU125" s="249"/>
      <c r="AV125" s="249"/>
      <c r="AW125" s="248"/>
      <c r="AX125" s="249"/>
      <c r="AY125" s="249"/>
      <c r="AZ125" s="249"/>
      <c r="BA125" s="249"/>
      <c r="BB125" s="248"/>
      <c r="BC125" s="249"/>
      <c r="BD125" s="249"/>
      <c r="BE125" s="249"/>
      <c r="BF125" s="249"/>
      <c r="BG125" s="248"/>
      <c r="BH125" s="249"/>
      <c r="BI125" s="249"/>
      <c r="BJ125" s="249"/>
      <c r="BK125" s="249"/>
      <c r="BL125" s="248"/>
      <c r="BM125" s="249"/>
      <c r="BN125" s="249"/>
      <c r="BO125" s="249"/>
      <c r="BP125" s="249"/>
      <c r="BQ125" s="248"/>
      <c r="BR125" s="249"/>
      <c r="BS125" s="249"/>
      <c r="BT125" s="249"/>
      <c r="BU125" s="249"/>
      <c r="BV125" s="248"/>
      <c r="BW125" s="249"/>
      <c r="BX125" s="249"/>
      <c r="BY125" s="249"/>
      <c r="BZ125" s="249"/>
      <c r="CA125" s="248"/>
      <c r="CB125" s="249"/>
      <c r="CC125" s="249"/>
      <c r="CD125" s="249"/>
      <c r="CE125" s="249"/>
      <c r="CF125" s="248"/>
      <c r="CG125" s="249"/>
      <c r="CH125" s="249"/>
      <c r="CI125" s="249"/>
      <c r="CJ125" s="249"/>
      <c r="CK125" s="248"/>
      <c r="CL125" s="249"/>
      <c r="CM125" s="249"/>
      <c r="CN125" s="249"/>
      <c r="CO125" s="249"/>
      <c r="CP125" s="248"/>
      <c r="CQ125" s="249"/>
      <c r="CR125" s="249"/>
      <c r="CS125" s="249"/>
      <c r="CT125" s="249"/>
      <c r="CU125" s="248"/>
      <c r="CV125" s="249"/>
      <c r="CW125" s="249"/>
      <c r="CX125" s="249"/>
      <c r="CY125" s="249"/>
      <c r="CZ125" s="248"/>
      <c r="DA125" s="249"/>
      <c r="DB125" s="249"/>
      <c r="DC125" s="249"/>
      <c r="DD125" s="249"/>
      <c r="DE125" s="248"/>
      <c r="DF125" s="249"/>
      <c r="DG125" s="249"/>
      <c r="DH125" s="249"/>
      <c r="DI125" s="249"/>
      <c r="DJ125" s="248"/>
      <c r="DK125" s="249"/>
      <c r="DL125" s="249"/>
      <c r="DM125" s="249"/>
      <c r="DN125" s="249"/>
      <c r="DO125" s="248"/>
      <c r="DP125" s="249"/>
      <c r="DQ125" s="249"/>
      <c r="DR125" s="249"/>
      <c r="DS125" s="249"/>
      <c r="DT125" s="248"/>
      <c r="DU125" s="249"/>
      <c r="DV125" s="249"/>
      <c r="DW125" s="249"/>
      <c r="DX125" s="249"/>
      <c r="DY125" s="248"/>
      <c r="DZ125" s="248"/>
      <c r="EA125" s="248"/>
      <c r="EB125" s="248"/>
    </row>
    <row r="126" spans="2:132" s="241" customFormat="1" ht="12" hidden="1" customHeight="1">
      <c r="B126" s="327" t="s">
        <v>134</v>
      </c>
      <c r="C126" s="328"/>
      <c r="D126" s="328"/>
      <c r="E126" s="328">
        <f t="shared" si="154"/>
        <v>-8.4192190448540982E-3</v>
      </c>
      <c r="F126" s="328">
        <f t="shared" si="154"/>
        <v>0.17684087249304636</v>
      </c>
      <c r="G126" s="328">
        <f t="shared" si="154"/>
        <v>0.28921507650205247</v>
      </c>
      <c r="H126" s="328">
        <f t="shared" si="154"/>
        <v>5.818216904670015E-2</v>
      </c>
      <c r="I126" s="328"/>
      <c r="J126" s="329"/>
      <c r="K126" s="329"/>
      <c r="L126" s="329"/>
      <c r="M126" s="329"/>
      <c r="N126" s="328"/>
      <c r="O126" s="329"/>
      <c r="P126" s="329"/>
      <c r="Q126" s="329"/>
      <c r="R126" s="329"/>
      <c r="S126" s="328"/>
      <c r="T126" s="234"/>
      <c r="U126" s="234"/>
      <c r="V126" s="234"/>
      <c r="W126" s="234"/>
      <c r="X126" s="233"/>
      <c r="Y126" s="234"/>
      <c r="Z126" s="234"/>
      <c r="AA126" s="234"/>
      <c r="AB126" s="234"/>
      <c r="AC126" s="233"/>
      <c r="AD126" s="234"/>
      <c r="AE126" s="234"/>
      <c r="AF126" s="234"/>
      <c r="AG126" s="234"/>
      <c r="AH126" s="233"/>
      <c r="AI126" s="234"/>
      <c r="AJ126" s="234"/>
      <c r="AK126" s="234"/>
      <c r="AL126" s="234"/>
      <c r="AM126" s="233"/>
      <c r="AN126" s="234"/>
      <c r="AO126" s="234"/>
      <c r="AP126" s="234"/>
      <c r="AQ126" s="234"/>
      <c r="AR126" s="233"/>
      <c r="AS126" s="234"/>
      <c r="AT126" s="234"/>
      <c r="AU126" s="234"/>
      <c r="AV126" s="234"/>
      <c r="AW126" s="233"/>
      <c r="AX126" s="234"/>
      <c r="AY126" s="234"/>
      <c r="AZ126" s="234"/>
      <c r="BA126" s="234"/>
      <c r="BB126" s="233"/>
      <c r="BC126" s="234"/>
      <c r="BD126" s="234"/>
      <c r="BE126" s="234"/>
      <c r="BF126" s="234"/>
      <c r="BG126" s="233"/>
      <c r="BH126" s="234"/>
      <c r="BI126" s="234"/>
      <c r="BJ126" s="234"/>
      <c r="BK126" s="234"/>
      <c r="BL126" s="233"/>
      <c r="BM126" s="234"/>
      <c r="BN126" s="234"/>
      <c r="BO126" s="234"/>
      <c r="BP126" s="234"/>
      <c r="BQ126" s="233"/>
      <c r="BR126" s="234"/>
      <c r="BS126" s="234"/>
      <c r="BT126" s="234"/>
      <c r="BU126" s="234"/>
      <c r="BV126" s="233"/>
      <c r="BW126" s="234"/>
      <c r="BX126" s="234"/>
      <c r="BY126" s="234"/>
      <c r="BZ126" s="234"/>
      <c r="CA126" s="233"/>
      <c r="CB126" s="234"/>
      <c r="CC126" s="234"/>
      <c r="CD126" s="234"/>
      <c r="CE126" s="234"/>
      <c r="CF126" s="233"/>
      <c r="CG126" s="234"/>
      <c r="CH126" s="234"/>
      <c r="CI126" s="234"/>
      <c r="CJ126" s="234"/>
      <c r="CK126" s="233"/>
      <c r="CL126" s="234"/>
      <c r="CM126" s="234"/>
      <c r="CN126" s="234"/>
      <c r="CO126" s="234"/>
      <c r="CP126" s="233"/>
      <c r="CQ126" s="234"/>
      <c r="CR126" s="234"/>
      <c r="CS126" s="234"/>
      <c r="CT126" s="234"/>
      <c r="CU126" s="233"/>
      <c r="CV126" s="234"/>
      <c r="CW126" s="234"/>
      <c r="CX126" s="234"/>
      <c r="CY126" s="234"/>
      <c r="CZ126" s="233"/>
      <c r="DA126" s="234"/>
      <c r="DB126" s="234"/>
      <c r="DC126" s="234"/>
      <c r="DD126" s="234"/>
      <c r="DE126" s="233"/>
      <c r="DF126" s="234"/>
      <c r="DG126" s="234"/>
      <c r="DH126" s="234"/>
      <c r="DI126" s="234"/>
      <c r="DJ126" s="233"/>
      <c r="DK126" s="234"/>
      <c r="DL126" s="234"/>
      <c r="DM126" s="234"/>
      <c r="DN126" s="234"/>
      <c r="DO126" s="233"/>
      <c r="DP126" s="234"/>
      <c r="DQ126" s="234"/>
      <c r="DR126" s="234"/>
      <c r="DS126" s="234"/>
      <c r="DT126" s="233"/>
      <c r="DU126" s="234"/>
      <c r="DV126" s="234"/>
      <c r="DW126" s="234"/>
      <c r="DX126" s="234"/>
      <c r="DY126" s="233"/>
      <c r="DZ126" s="233"/>
      <c r="EA126" s="233"/>
      <c r="EB126" s="233"/>
    </row>
    <row r="127" spans="2:132" s="241" customFormat="1" ht="12" customHeight="1">
      <c r="B127" s="121" t="s">
        <v>391</v>
      </c>
      <c r="C127" s="301"/>
      <c r="D127" s="301">
        <f t="shared" ref="D127:I127" si="155">D69/C69-1</f>
        <v>9.6772413793103418E-2</v>
      </c>
      <c r="E127" s="301">
        <f t="shared" si="155"/>
        <v>-4.165199456713109E-2</v>
      </c>
      <c r="F127" s="301">
        <f t="shared" si="155"/>
        <v>6.2201459240984747E-2</v>
      </c>
      <c r="G127" s="301">
        <f t="shared" si="155"/>
        <v>0.12744613559992102</v>
      </c>
      <c r="H127" s="301">
        <f t="shared" si="155"/>
        <v>9.3885601577909261E-2</v>
      </c>
      <c r="I127" s="301">
        <f t="shared" si="155"/>
        <v>9.6325680169892181E-2</v>
      </c>
      <c r="J127" s="242"/>
      <c r="K127" s="242"/>
      <c r="L127" s="242"/>
      <c r="M127" s="242"/>
      <c r="N127" s="301">
        <f t="shared" ref="N127:AS127" si="156">IF(ISERROR(N69/I69-1),"",N69/I69-1)</f>
        <v>0.11344614597419689</v>
      </c>
      <c r="O127" s="242">
        <f t="shared" si="156"/>
        <v>1.6988000539301495E-2</v>
      </c>
      <c r="P127" s="242">
        <f t="shared" si="156"/>
        <v>8.098296565205243E-2</v>
      </c>
      <c r="Q127" s="242">
        <f t="shared" si="156"/>
        <v>-0.10630826976631558</v>
      </c>
      <c r="R127" s="242">
        <f t="shared" si="156"/>
        <v>6.5294349023206966E-2</v>
      </c>
      <c r="S127" s="301">
        <f t="shared" si="156"/>
        <v>1.0700804201542846E-2</v>
      </c>
      <c r="T127" s="242">
        <f t="shared" si="156"/>
        <v>-4.7328649078615892E-2</v>
      </c>
      <c r="U127" s="242">
        <f t="shared" si="156"/>
        <v>4.1332988891760181E-3</v>
      </c>
      <c r="V127" s="242">
        <f t="shared" si="156"/>
        <v>5.5683511719279322E-2</v>
      </c>
      <c r="W127" s="242">
        <f t="shared" si="156"/>
        <v>0.19224615384615396</v>
      </c>
      <c r="X127" s="301">
        <f t="shared" si="156"/>
        <v>5.3522133090838198E-2</v>
      </c>
      <c r="Y127" s="242">
        <f t="shared" si="156"/>
        <v>7.4450320066796527E-2</v>
      </c>
      <c r="Z127" s="242">
        <f t="shared" si="156"/>
        <v>2.6627218934911268E-2</v>
      </c>
      <c r="AA127" s="242">
        <f t="shared" si="156"/>
        <v>2.772073921971252E-2</v>
      </c>
      <c r="AB127" s="242">
        <f t="shared" si="156"/>
        <v>-0.1359554041498916</v>
      </c>
      <c r="AC127" s="301">
        <f t="shared" si="156"/>
        <v>-1.1066925614229839E-2</v>
      </c>
      <c r="AD127" s="242">
        <f t="shared" si="156"/>
        <v>-1.8909467685532921E-2</v>
      </c>
      <c r="AE127" s="242">
        <f t="shared" si="156"/>
        <v>-5.8889863425636291E-3</v>
      </c>
      <c r="AF127" s="242">
        <f t="shared" si="156"/>
        <v>6.1063936063936008E-2</v>
      </c>
      <c r="AG127" s="242">
        <f t="shared" si="156"/>
        <v>-3.8112305854241302E-2</v>
      </c>
      <c r="AH127" s="301">
        <f t="shared" si="156"/>
        <v>-7.1695760598500247E-4</v>
      </c>
      <c r="AI127" s="242">
        <f t="shared" si="156"/>
        <v>1.9141914191419085E-2</v>
      </c>
      <c r="AJ127" s="242">
        <f t="shared" si="156"/>
        <v>9.0244517267456414E-2</v>
      </c>
      <c r="AK127" s="242">
        <f t="shared" si="156"/>
        <v>2.9069083205837343E-2</v>
      </c>
      <c r="AL127" s="242">
        <f t="shared" si="156"/>
        <v>6.1607253757297142E-2</v>
      </c>
      <c r="AM127" s="301">
        <f t="shared" si="156"/>
        <v>5.0035873600149827E-2</v>
      </c>
      <c r="AN127" s="242">
        <f t="shared" si="156"/>
        <v>-1.386010362694301E-2</v>
      </c>
      <c r="AO127" s="242">
        <f t="shared" si="156"/>
        <v>-7.710982658959542E-2</v>
      </c>
      <c r="AP127" s="242">
        <f t="shared" si="156"/>
        <v>-6.4272644098810616E-2</v>
      </c>
      <c r="AQ127" s="242">
        <f t="shared" si="156"/>
        <v>-4.4694044694044699E-2</v>
      </c>
      <c r="AR127" s="301">
        <f t="shared" si="156"/>
        <v>-5.1038293574165894E-2</v>
      </c>
      <c r="AS127" s="242">
        <f t="shared" si="156"/>
        <v>5.2541704978326109E-4</v>
      </c>
      <c r="AT127" s="242">
        <f t="shared" ref="AT127:BQ127" si="157">IF(ISERROR(AT69/AO69-1),"",AT69/AO69-1)</f>
        <v>-3.6953526243266976E-2</v>
      </c>
      <c r="AU127" s="242">
        <f t="shared" si="157"/>
        <v>2.1999511121975068E-3</v>
      </c>
      <c r="AV127" s="242">
        <f t="shared" si="157"/>
        <v>3.747703612982245E-2</v>
      </c>
      <c r="AW127" s="301">
        <f t="shared" si="157"/>
        <v>1.033090191904229E-3</v>
      </c>
      <c r="AX127" s="242">
        <f t="shared" si="157"/>
        <v>8.0871734278587404E-2</v>
      </c>
      <c r="AY127" s="242">
        <f t="shared" si="157"/>
        <v>6.5556711758584907E-2</v>
      </c>
      <c r="AZ127" s="242">
        <f t="shared" si="157"/>
        <v>-4.4024390243902478E-2</v>
      </c>
      <c r="BA127" s="242">
        <f t="shared" si="157"/>
        <v>-1.511037657891634E-2</v>
      </c>
      <c r="BB127" s="301">
        <f t="shared" si="157"/>
        <v>1.9733550162621905E-2</v>
      </c>
      <c r="BC127" s="242">
        <f t="shared" si="157"/>
        <v>-1.4939876108344463E-2</v>
      </c>
      <c r="BD127" s="242">
        <f t="shared" si="157"/>
        <v>-7.32421875E-4</v>
      </c>
      <c r="BE127" s="242">
        <f t="shared" si="157"/>
        <v>2.640642939150406E-2</v>
      </c>
      <c r="BF127" s="242">
        <f t="shared" si="157"/>
        <v>6.1368812177873711E-2</v>
      </c>
      <c r="BG127" s="301">
        <f t="shared" si="157"/>
        <v>1.8094274235593621E-2</v>
      </c>
      <c r="BH127" s="145">
        <f t="shared" si="157"/>
        <v>-5.881627620221952E-2</v>
      </c>
      <c r="BI127" s="145">
        <f t="shared" si="157"/>
        <v>-5.3628145614463718E-2</v>
      </c>
      <c r="BJ127" s="145">
        <f t="shared" si="157"/>
        <v>-1.652995277156355E-2</v>
      </c>
      <c r="BK127" s="145">
        <f t="shared" si="157"/>
        <v>-0.14308300395256912</v>
      </c>
      <c r="BL127" s="144">
        <f t="shared" si="157"/>
        <v>-6.9765340241588092E-2</v>
      </c>
      <c r="BM127" s="145">
        <f t="shared" si="157"/>
        <v>-0.12105332110572509</v>
      </c>
      <c r="BN127" s="145">
        <f t="shared" si="157"/>
        <v>-2.620369175164583E-2</v>
      </c>
      <c r="BO127" s="145">
        <f t="shared" si="157"/>
        <v>5.5225578162517275E-2</v>
      </c>
      <c r="BP127" s="145">
        <f t="shared" si="157"/>
        <v>2.5962045334739114E-2</v>
      </c>
      <c r="BQ127" s="144">
        <f t="shared" si="157"/>
        <v>-1.5964508921343268E-2</v>
      </c>
      <c r="BR127" s="145">
        <f>IF(ISERROR(Data!BR160/BM69-1),"",Data!BR160/BM69-1)</f>
        <v>0.1858697272320764</v>
      </c>
      <c r="BS127" s="145">
        <f>IF(ISERROR(Data!BS160/BN69-1),"",Data!BS160/BN69-1)</f>
        <v>-4.9045599151643637E-2</v>
      </c>
      <c r="BT127" s="145">
        <f>IF(ISERROR(Data!BT160/BO69-1),"",Data!BT160/BO69-1)</f>
        <v>-0.10083832335329346</v>
      </c>
      <c r="BU127" s="145">
        <f>IF(ISERROR(Data!BU160/BP69-1),"",Data!BU160/BP69-1)</f>
        <v>-0.11881824020552345</v>
      </c>
      <c r="BV127" s="144">
        <f>IF(ISERROR(Data!BV160/BQ69-1),"",Data!BV160/BQ69-1)</f>
        <v>-2.9287876793471113E-2</v>
      </c>
      <c r="BW127" s="145">
        <f t="shared" ref="BW127:DB127" si="158">IF(ISERROR(BW69/BR69-1),"",BW69/BR69-1)</f>
        <v>-0.16688396349413304</v>
      </c>
      <c r="BX127" s="145">
        <f t="shared" si="158"/>
        <v>-4.6718576195773132E-2</v>
      </c>
      <c r="BY127" s="145">
        <f t="shared" si="158"/>
        <v>-0.1218918448965397</v>
      </c>
      <c r="BZ127" s="145">
        <f t="shared" si="158"/>
        <v>-4.7330556607345642E-3</v>
      </c>
      <c r="CA127" s="144">
        <f t="shared" si="158"/>
        <v>-8.8729335637991347E-2</v>
      </c>
      <c r="CB127" s="145">
        <f t="shared" si="158"/>
        <v>0.26780125195618143</v>
      </c>
      <c r="CC127" s="145">
        <f t="shared" si="158"/>
        <v>0.18630882924931935</v>
      </c>
      <c r="CD127" s="145">
        <f t="shared" si="158"/>
        <v>0.37366336633663377</v>
      </c>
      <c r="CE127" s="145">
        <f t="shared" si="158"/>
        <v>0.30758988015978694</v>
      </c>
      <c r="CF127" s="144">
        <f t="shared" si="158"/>
        <v>0.2835951558776324</v>
      </c>
      <c r="CG127" s="145">
        <f t="shared" si="158"/>
        <v>2.0058632927017372E-2</v>
      </c>
      <c r="CH127" s="145">
        <f t="shared" si="158"/>
        <v>8.3934426229508308E-2</v>
      </c>
      <c r="CI127" s="145">
        <f t="shared" si="158"/>
        <v>9.3700446879054766E-3</v>
      </c>
      <c r="CJ127" s="145">
        <f t="shared" si="158"/>
        <v>-0.13267384346814082</v>
      </c>
      <c r="CK127" s="144">
        <f t="shared" si="158"/>
        <v>-7.7675053046377673E-3</v>
      </c>
      <c r="CL127" s="145">
        <f t="shared" si="158"/>
        <v>-8.6068673423082775E-2</v>
      </c>
      <c r="CM127" s="145">
        <f t="shared" si="158"/>
        <v>-3.6297640653357721E-3</v>
      </c>
      <c r="CN127" s="145">
        <f t="shared" si="158"/>
        <v>-2.1993716081119663E-2</v>
      </c>
      <c r="CO127" s="145">
        <f t="shared" si="158"/>
        <v>0.13703455216370353</v>
      </c>
      <c r="CP127" s="144">
        <f t="shared" si="158"/>
        <v>2.6730820636193808E-3</v>
      </c>
      <c r="CQ127" s="145">
        <f t="shared" si="158"/>
        <v>0.18917576961271099</v>
      </c>
      <c r="CR127" s="145">
        <f t="shared" si="158"/>
        <v>4.3715846994535568E-2</v>
      </c>
      <c r="CS127" s="145">
        <f t="shared" si="158"/>
        <v>-3.3732476635514042E-2</v>
      </c>
      <c r="CT127" s="145">
        <f t="shared" si="158"/>
        <v>-0.13527068889216698</v>
      </c>
      <c r="CU127" s="144">
        <f t="shared" si="158"/>
        <v>1.0778078226758581E-2</v>
      </c>
      <c r="CV127" s="145">
        <f t="shared" si="158"/>
        <v>-0.23688239387613086</v>
      </c>
      <c r="CW127" s="145">
        <f t="shared" si="158"/>
        <v>-9.9621873182082599E-2</v>
      </c>
      <c r="CX127" s="145">
        <f t="shared" si="158"/>
        <v>-0.1979749131026145</v>
      </c>
      <c r="CY127" s="145">
        <f t="shared" si="158"/>
        <v>5.4418287273968025E-2</v>
      </c>
      <c r="CZ127" s="144">
        <f t="shared" si="158"/>
        <v>-0.12727957799547851</v>
      </c>
      <c r="DA127" s="145">
        <f t="shared" si="158"/>
        <v>0.19259529454678104</v>
      </c>
      <c r="DB127" s="145">
        <f t="shared" si="158"/>
        <v>-3.8765950573412811E-3</v>
      </c>
      <c r="DC127" s="145">
        <f t="shared" ref="DC127:DY127" si="159">IF(ISERROR(DC69/CX69-1),"",DC69/CX69-1)</f>
        <v>3.2786885245901676E-2</v>
      </c>
      <c r="DD127" s="145">
        <f t="shared" si="159"/>
        <v>9.1409157094321403E-2</v>
      </c>
      <c r="DE127" s="144">
        <f t="shared" si="159"/>
        <v>7.6461445471030176E-2</v>
      </c>
      <c r="DF127" s="145">
        <f t="shared" si="159"/>
        <v>6.285364734668919E-2</v>
      </c>
      <c r="DG127" s="145">
        <f t="shared" si="159"/>
        <v>-2.3674395978595775E-2</v>
      </c>
      <c r="DH127" s="145">
        <f t="shared" si="159"/>
        <v>1.0034665207079074E-2</v>
      </c>
      <c r="DI127" s="145">
        <f t="shared" si="159"/>
        <v>-0.19789504891787724</v>
      </c>
      <c r="DJ127" s="144">
        <f t="shared" si="159"/>
        <v>-4.070910038904263E-2</v>
      </c>
      <c r="DK127" s="145">
        <f t="shared" si="159"/>
        <v>-9.3812949640287746E-2</v>
      </c>
      <c r="DL127" s="145">
        <f t="shared" si="159"/>
        <v>9.8986879255937632E-2</v>
      </c>
      <c r="DM127" s="145">
        <f t="shared" si="159"/>
        <v>0.24674855491329484</v>
      </c>
      <c r="DN127" s="145">
        <f t="shared" si="159"/>
        <v>0.3707262982812789</v>
      </c>
      <c r="DO127" s="144">
        <f t="shared" si="159"/>
        <v>0.13864035454469437</v>
      </c>
      <c r="DP127" s="145">
        <f t="shared" si="159"/>
        <v>0.20657351540171476</v>
      </c>
      <c r="DQ127" s="145">
        <f t="shared" si="159"/>
        <v>0.13087501889073594</v>
      </c>
      <c r="DR127" s="145">
        <f t="shared" si="159"/>
        <v>9.8110692552883405E-2</v>
      </c>
      <c r="DS127" s="145">
        <f t="shared" si="159"/>
        <v>8.0111905082917767E-2</v>
      </c>
      <c r="DT127" s="144">
        <f t="shared" si="159"/>
        <v>0.12625211133142389</v>
      </c>
      <c r="DU127" s="145">
        <f t="shared" si="159"/>
        <v>7.0000000000000062E-2</v>
      </c>
      <c r="DV127" s="145">
        <f t="shared" si="159"/>
        <v>6.0000000000000053E-2</v>
      </c>
      <c r="DW127" s="145">
        <f t="shared" si="159"/>
        <v>8.0000000000000071E-2</v>
      </c>
      <c r="DX127" s="145">
        <f t="shared" si="159"/>
        <v>7.0000000000000062E-2</v>
      </c>
      <c r="DY127" s="144">
        <f t="shared" si="159"/>
        <v>7.0031350711634799E-2</v>
      </c>
      <c r="DZ127" s="144">
        <f>IF(ISERROR(DZ69/DY69-1),"",DZ69/DY69-1)</f>
        <v>5.0000000000000044E-2</v>
      </c>
      <c r="EA127" s="144">
        <f>IF(ISERROR(EA69/DZ69-1),"",EA69/DZ69-1)</f>
        <v>5.0000000000000044E-2</v>
      </c>
      <c r="EB127" s="144">
        <f>IF(ISERROR(EB69/EA69-1),"",EB69/EA69-1)</f>
        <v>4.0000000000000036E-2</v>
      </c>
    </row>
    <row r="128" spans="2:132" s="241" customFormat="1" ht="12" customHeight="1">
      <c r="B128" s="121" t="s">
        <v>575</v>
      </c>
      <c r="C128" s="301"/>
      <c r="D128" s="301"/>
      <c r="E128" s="301"/>
      <c r="F128" s="301"/>
      <c r="G128" s="301"/>
      <c r="H128" s="301"/>
      <c r="I128" s="301"/>
      <c r="J128" s="242"/>
      <c r="K128" s="242"/>
      <c r="L128" s="242"/>
      <c r="M128" s="242"/>
      <c r="N128" s="301"/>
      <c r="O128" s="242"/>
      <c r="P128" s="242"/>
      <c r="Q128" s="242"/>
      <c r="R128" s="242"/>
      <c r="S128" s="301"/>
      <c r="T128" s="242"/>
      <c r="U128" s="242"/>
      <c r="V128" s="242"/>
      <c r="W128" s="242"/>
      <c r="X128" s="301"/>
      <c r="Y128" s="242"/>
      <c r="Z128" s="242"/>
      <c r="AA128" s="242"/>
      <c r="AB128" s="242"/>
      <c r="AC128" s="301"/>
      <c r="AD128" s="242"/>
      <c r="AE128" s="242"/>
      <c r="AF128" s="242"/>
      <c r="AG128" s="242"/>
      <c r="AH128" s="301"/>
      <c r="AI128" s="242"/>
      <c r="AJ128" s="242"/>
      <c r="AK128" s="242"/>
      <c r="AL128" s="242"/>
      <c r="AM128" s="301"/>
      <c r="AN128" s="242"/>
      <c r="AO128" s="242"/>
      <c r="AP128" s="242"/>
      <c r="AQ128" s="242"/>
      <c r="AR128" s="301"/>
      <c r="AS128" s="242"/>
      <c r="AT128" s="242"/>
      <c r="AU128" s="242"/>
      <c r="AV128" s="242"/>
      <c r="AW128" s="301"/>
      <c r="AX128" s="242"/>
      <c r="AY128" s="242"/>
      <c r="AZ128" s="242"/>
      <c r="BA128" s="242"/>
      <c r="BB128" s="301"/>
      <c r="BC128" s="242"/>
      <c r="BD128" s="242"/>
      <c r="BE128" s="242"/>
      <c r="BF128" s="242"/>
      <c r="BG128" s="301"/>
      <c r="BH128" s="145"/>
      <c r="BI128" s="145"/>
      <c r="BJ128" s="145"/>
      <c r="BK128" s="145"/>
      <c r="BL128" s="144"/>
      <c r="BM128" s="145"/>
      <c r="BN128" s="145"/>
      <c r="BO128" s="145"/>
      <c r="BP128" s="145"/>
      <c r="BQ128" s="144"/>
      <c r="BR128" s="145" t="str">
        <f t="shared" ref="BR128:CW128" si="160">IF(ISERROR(BR74/BM74-1),"",BR74/BM74-1)</f>
        <v/>
      </c>
      <c r="BS128" s="145" t="str">
        <f t="shared" si="160"/>
        <v/>
      </c>
      <c r="BT128" s="145" t="str">
        <f t="shared" si="160"/>
        <v/>
      </c>
      <c r="BU128" s="145" t="str">
        <f t="shared" si="160"/>
        <v/>
      </c>
      <c r="BV128" s="144" t="str">
        <f t="shared" si="160"/>
        <v/>
      </c>
      <c r="BW128" s="145">
        <f t="shared" si="160"/>
        <v>6.7816427945045277E-2</v>
      </c>
      <c r="BX128" s="145">
        <f t="shared" si="160"/>
        <v>-8.0982965652052208E-3</v>
      </c>
      <c r="BY128" s="145">
        <f t="shared" si="160"/>
        <v>2.082144894466631E-2</v>
      </c>
      <c r="BZ128" s="145">
        <f t="shared" si="160"/>
        <v>0.11120866256950546</v>
      </c>
      <c r="CA128" s="144">
        <f t="shared" si="160"/>
        <v>4.7109515260323143E-2</v>
      </c>
      <c r="CB128" s="145">
        <f t="shared" si="160"/>
        <v>8.1303038598412369E-2</v>
      </c>
      <c r="CC128" s="145">
        <f t="shared" si="160"/>
        <v>0.15343468468468457</v>
      </c>
      <c r="CD128" s="145">
        <f t="shared" si="160"/>
        <v>0.14585079631181896</v>
      </c>
      <c r="CE128" s="145">
        <f t="shared" si="160"/>
        <v>0.29259942059520672</v>
      </c>
      <c r="CF128" s="144">
        <f t="shared" si="160"/>
        <v>0.16974144434538108</v>
      </c>
      <c r="CG128" s="145">
        <f t="shared" si="160"/>
        <v>0.16936708860759486</v>
      </c>
      <c r="CH128" s="145">
        <f t="shared" si="160"/>
        <v>0.1088601415670003</v>
      </c>
      <c r="CI128" s="145">
        <f t="shared" si="160"/>
        <v>0.13582053157766394</v>
      </c>
      <c r="CJ128" s="145">
        <f t="shared" si="160"/>
        <v>-5.2974735126324335E-2</v>
      </c>
      <c r="CK128" s="144">
        <f t="shared" si="160"/>
        <v>8.2786116322701719E-2</v>
      </c>
      <c r="CL128" s="145">
        <f t="shared" si="160"/>
        <v>1.9484736956050241E-3</v>
      </c>
      <c r="CM128" s="145">
        <f t="shared" si="160"/>
        <v>-0.23222540171692718</v>
      </c>
      <c r="CN128" s="145">
        <f t="shared" si="160"/>
        <v>-0.20695577501073426</v>
      </c>
      <c r="CO128" s="145">
        <f t="shared" si="160"/>
        <v>-0.19685886402753872</v>
      </c>
      <c r="CP128" s="144">
        <f t="shared" si="160"/>
        <v>-0.15838206627680307</v>
      </c>
      <c r="CQ128" s="145">
        <f t="shared" si="160"/>
        <v>-0.18993085566119272</v>
      </c>
      <c r="CR128" s="145">
        <f t="shared" si="160"/>
        <v>0.16599770642201839</v>
      </c>
      <c r="CS128" s="145">
        <f t="shared" si="160"/>
        <v>0.14266377910124528</v>
      </c>
      <c r="CT128" s="145">
        <f t="shared" si="160"/>
        <v>0.14947763193142238</v>
      </c>
      <c r="CU128" s="144">
        <f t="shared" si="160"/>
        <v>5.0505050505050608E-2</v>
      </c>
      <c r="CV128" s="145">
        <f t="shared" si="160"/>
        <v>0.15070685516137639</v>
      </c>
      <c r="CW128" s="145">
        <f t="shared" si="160"/>
        <v>5.6798623063683218E-2</v>
      </c>
      <c r="CX128" s="145">
        <f t="shared" ref="CX128:DT128" si="161">IF(ISERROR(CX74/CS74-1),"",CX74/CS74-1)</f>
        <v>4.9988154465766321E-2</v>
      </c>
      <c r="CY128" s="145">
        <f t="shared" si="161"/>
        <v>6.4320671172220845E-2</v>
      </c>
      <c r="CZ128" s="144">
        <f t="shared" si="161"/>
        <v>7.8576678098971176E-2</v>
      </c>
      <c r="DA128" s="145">
        <f t="shared" si="161"/>
        <v>9.4112192860454247E-2</v>
      </c>
      <c r="DB128" s="145">
        <f t="shared" si="161"/>
        <v>0.10423452768729646</v>
      </c>
      <c r="DC128" s="145">
        <f t="shared" si="161"/>
        <v>8.5740072202166173E-2</v>
      </c>
      <c r="DD128" s="145">
        <f t="shared" si="161"/>
        <v>6.1747317714035521E-2</v>
      </c>
      <c r="DE128" s="144">
        <f t="shared" si="161"/>
        <v>8.6082562035091792E-2</v>
      </c>
      <c r="DF128" s="145">
        <f t="shared" si="161"/>
        <v>6.8855932203389925E-2</v>
      </c>
      <c r="DG128" s="145">
        <f t="shared" si="161"/>
        <v>3.0130636325326643E-2</v>
      </c>
      <c r="DH128" s="145">
        <f t="shared" si="161"/>
        <v>1.849542809642557E-2</v>
      </c>
      <c r="DI128" s="145">
        <f t="shared" si="161"/>
        <v>5.5681583831717951E-2</v>
      </c>
      <c r="DJ128" s="144">
        <f t="shared" si="161"/>
        <v>4.3237308516756334E-2</v>
      </c>
      <c r="DK128" s="145">
        <f t="shared" si="161"/>
        <v>3.5678889990089502E-3</v>
      </c>
      <c r="DL128" s="145">
        <f t="shared" si="161"/>
        <v>8.0179995909183788E-2</v>
      </c>
      <c r="DM128" s="145">
        <f t="shared" si="161"/>
        <v>9.5694756172209683E-2</v>
      </c>
      <c r="DN128" s="145">
        <f t="shared" si="161"/>
        <v>1.7581558898222216E-2</v>
      </c>
      <c r="DO128" s="144">
        <f t="shared" si="161"/>
        <v>4.8561691891350067E-2</v>
      </c>
      <c r="DP128" s="145">
        <f t="shared" si="161"/>
        <v>6.063598656922764E-2</v>
      </c>
      <c r="DQ128" s="145">
        <f t="shared" si="161"/>
        <v>1.1929558795682693E-2</v>
      </c>
      <c r="DR128" s="145">
        <f t="shared" si="161"/>
        <v>-2.6462006062162979E-2</v>
      </c>
      <c r="DS128" s="145">
        <f t="shared" si="161"/>
        <v>3.9654464475865847E-2</v>
      </c>
      <c r="DT128" s="144">
        <f t="shared" si="161"/>
        <v>2.0764667251396585E-2</v>
      </c>
      <c r="DU128" s="145">
        <f t="shared" ref="DU128" si="162">IF(ISERROR(DU74/DP74-1),"",DU74/DP74-1)</f>
        <v>3.6152133583770896E-2</v>
      </c>
      <c r="DV128" s="145">
        <f t="shared" ref="DV128" si="163">IF(ISERROR(DV74/DQ74-1),"",DV74/DQ74-1)</f>
        <v>3.5943119789585865E-2</v>
      </c>
      <c r="DW128" s="145">
        <f t="shared" ref="DW128" si="164">IF(ISERROR(DW74/DR74-1),"",DW74/DR74-1)</f>
        <v>0.11465543089137031</v>
      </c>
      <c r="DX128" s="145">
        <f t="shared" ref="DX128" si="165">IF(ISERROR(DX74/DS74-1),"",DX74/DS74-1)</f>
        <v>6.1266749086994254E-2</v>
      </c>
      <c r="DY128" s="144">
        <f t="shared" ref="DY128" si="166">IF(ISERROR(DY74/DT74-1),"",DY74/DT74-1)</f>
        <v>6.1684199374905102E-2</v>
      </c>
      <c r="DZ128" s="144">
        <f>IF(ISERROR(DZ74/DY74-1),"",DZ74/DY74-1)</f>
        <v>3.2111985095067075E-2</v>
      </c>
      <c r="EA128" s="144">
        <f t="shared" ref="EA128:EB128" si="167">IF(ISERROR(EA74/DZ74-1),"",EA74/DZ74-1)</f>
        <v>3.212812614385796E-2</v>
      </c>
      <c r="EB128" s="144">
        <f t="shared" si="167"/>
        <v>3.2144357016876679E-2</v>
      </c>
    </row>
    <row r="129" spans="2:132" s="241" customFormat="1" ht="12" hidden="1" customHeight="1" outlineLevel="1">
      <c r="B129" s="241" t="s">
        <v>144</v>
      </c>
      <c r="C129" s="301"/>
      <c r="D129" s="301">
        <f t="shared" ref="D129:I129" si="168">D79/C79-1</f>
        <v>-2.1447721179624679E-2</v>
      </c>
      <c r="E129" s="301">
        <f t="shared" si="168"/>
        <v>0.14657534246575343</v>
      </c>
      <c r="F129" s="301">
        <f t="shared" si="168"/>
        <v>-9.4384707287933134E-2</v>
      </c>
      <c r="G129" s="301">
        <f t="shared" si="168"/>
        <v>0.13852242744063314</v>
      </c>
      <c r="H129" s="301">
        <f t="shared" si="168"/>
        <v>0.15179606025492465</v>
      </c>
      <c r="I129" s="301">
        <f t="shared" si="168"/>
        <v>0.22837022132796791</v>
      </c>
      <c r="J129" s="242"/>
      <c r="K129" s="242"/>
      <c r="L129" s="242"/>
      <c r="M129" s="242"/>
      <c r="N129" s="301">
        <f t="shared" ref="N129:AS129" si="169">IF(ISERROR(N79/I79-1),"",N79/I79-1)</f>
        <v>-0.21457821457821458</v>
      </c>
      <c r="O129" s="242">
        <f t="shared" si="169"/>
        <v>-0.2280130293159609</v>
      </c>
      <c r="P129" s="242">
        <f t="shared" si="169"/>
        <v>0.15283842794759828</v>
      </c>
      <c r="Q129" s="242">
        <f t="shared" si="169"/>
        <v>-9.0909090909090939E-2</v>
      </c>
      <c r="R129" s="242">
        <f t="shared" si="169"/>
        <v>0.38235294117647056</v>
      </c>
      <c r="S129" s="301">
        <f t="shared" si="169"/>
        <v>7.2992700729928028E-3</v>
      </c>
      <c r="T129" s="242">
        <f t="shared" si="169"/>
        <v>0</v>
      </c>
      <c r="U129" s="242">
        <f t="shared" si="169"/>
        <v>-7.9545454545454586E-2</v>
      </c>
      <c r="V129" s="242">
        <f t="shared" si="169"/>
        <v>0.32173913043478253</v>
      </c>
      <c r="W129" s="242">
        <f t="shared" si="169"/>
        <v>2.5531914893617058E-2</v>
      </c>
      <c r="X129" s="301">
        <f t="shared" si="169"/>
        <v>6.107660455486541E-2</v>
      </c>
      <c r="Y129" s="242">
        <f t="shared" si="169"/>
        <v>-0.10126582278481011</v>
      </c>
      <c r="Z129" s="242">
        <f t="shared" si="169"/>
        <v>-0.13991769547325106</v>
      </c>
      <c r="AA129" s="242">
        <f t="shared" si="169"/>
        <v>-0.35197368421052633</v>
      </c>
      <c r="AB129" s="242">
        <f t="shared" si="169"/>
        <v>-0.18672199170124482</v>
      </c>
      <c r="AC129" s="301">
        <f t="shared" si="169"/>
        <v>-0.20487804878048776</v>
      </c>
      <c r="AD129" s="242">
        <f t="shared" si="169"/>
        <v>-0.13145539906103287</v>
      </c>
      <c r="AE129" s="242">
        <f t="shared" si="169"/>
        <v>-0.1435406698564593</v>
      </c>
      <c r="AF129" s="242">
        <f t="shared" si="169"/>
        <v>-0.13197969543147203</v>
      </c>
      <c r="AG129" s="242">
        <f t="shared" si="169"/>
        <v>-0.1428571428571429</v>
      </c>
      <c r="AH129" s="301">
        <f t="shared" si="169"/>
        <v>-0.13742331288343557</v>
      </c>
      <c r="AI129" s="242">
        <f t="shared" si="169"/>
        <v>-0.11891891891891893</v>
      </c>
      <c r="AJ129" s="242">
        <f t="shared" si="169"/>
        <v>-6.7039106145251437E-2</v>
      </c>
      <c r="AK129" s="242">
        <f t="shared" si="169"/>
        <v>-2.9239766081871399E-2</v>
      </c>
      <c r="AL129" s="242">
        <f t="shared" si="169"/>
        <v>-2.3809523809523836E-2</v>
      </c>
      <c r="AM129" s="301">
        <f t="shared" si="169"/>
        <v>-6.1166429587482196E-2</v>
      </c>
      <c r="AN129" s="242">
        <f t="shared" si="169"/>
        <v>-6.1349693251533388E-3</v>
      </c>
      <c r="AO129" s="242">
        <f t="shared" si="169"/>
        <v>-2.9940119760479056E-2</v>
      </c>
      <c r="AP129" s="242">
        <f t="shared" si="169"/>
        <v>2.4096385542168752E-2</v>
      </c>
      <c r="AQ129" s="242">
        <f t="shared" si="169"/>
        <v>-0.11585365853658536</v>
      </c>
      <c r="AR129" s="301">
        <f t="shared" si="169"/>
        <v>-3.1818181818181857E-2</v>
      </c>
      <c r="AS129" s="242">
        <f t="shared" si="169"/>
        <v>-0.11728395061728392</v>
      </c>
      <c r="AT129" s="242">
        <f t="shared" ref="AT129:BY129" si="170">IF(ISERROR(AT79/AO79-1),"",AT79/AO79-1)</f>
        <v>-9.259259259259256E-2</v>
      </c>
      <c r="AU129" s="242">
        <f t="shared" si="170"/>
        <v>-0.25882352941176467</v>
      </c>
      <c r="AV129" s="242">
        <f t="shared" si="170"/>
        <v>-0.19999999999999996</v>
      </c>
      <c r="AW129" s="301">
        <f t="shared" si="170"/>
        <v>-0.16744913928012517</v>
      </c>
      <c r="AX129" s="242">
        <f t="shared" si="170"/>
        <v>-0.12587412587412583</v>
      </c>
      <c r="AY129" s="242">
        <f t="shared" si="170"/>
        <v>-0.32653061224489799</v>
      </c>
      <c r="AZ129" s="242">
        <f t="shared" si="170"/>
        <v>-0.19841269841269837</v>
      </c>
      <c r="BA129" s="242">
        <f t="shared" si="170"/>
        <v>0</v>
      </c>
      <c r="BB129" s="301">
        <f t="shared" si="170"/>
        <v>-0.17105263157894735</v>
      </c>
      <c r="BC129" s="242">
        <f t="shared" si="170"/>
        <v>-0.16000000000000003</v>
      </c>
      <c r="BD129" s="242">
        <f t="shared" si="170"/>
        <v>5.0505050505050608E-2</v>
      </c>
      <c r="BE129" s="242">
        <f t="shared" si="170"/>
        <v>-6.9306930693069257E-2</v>
      </c>
      <c r="BF129" s="242">
        <f t="shared" si="170"/>
        <v>-9.4827586206896575E-2</v>
      </c>
      <c r="BG129" s="301">
        <f t="shared" si="170"/>
        <v>-7.4829931972789088E-2</v>
      </c>
      <c r="BH129" s="145">
        <f t="shared" si="170"/>
        <v>-0.21904761904761905</v>
      </c>
      <c r="BI129" s="145">
        <f t="shared" si="170"/>
        <v>-0.13461538461538458</v>
      </c>
      <c r="BJ129" s="145">
        <f t="shared" si="170"/>
        <v>-3.1914893617021267E-2</v>
      </c>
      <c r="BK129" s="145">
        <f t="shared" si="170"/>
        <v>0.45714285714285707</v>
      </c>
      <c r="BL129" s="144">
        <f t="shared" si="170"/>
        <v>1.9607843137254832E-2</v>
      </c>
      <c r="BM129" s="145">
        <f t="shared" si="170"/>
        <v>4.8780487804878092E-2</v>
      </c>
      <c r="BN129" s="145">
        <f t="shared" si="170"/>
        <v>0.27777777777777768</v>
      </c>
      <c r="BO129" s="145">
        <f t="shared" si="170"/>
        <v>0.25274725274725274</v>
      </c>
      <c r="BP129" s="145">
        <f t="shared" si="170"/>
        <v>-0.35947712418300659</v>
      </c>
      <c r="BQ129" s="144">
        <f t="shared" si="170"/>
        <v>-7.2115384615384359E-3</v>
      </c>
      <c r="BR129" s="145">
        <f t="shared" si="170"/>
        <v>-0.2558139534883721</v>
      </c>
      <c r="BS129" s="145">
        <f t="shared" si="170"/>
        <v>-0.26956521739130435</v>
      </c>
      <c r="BT129" s="145">
        <f t="shared" si="170"/>
        <v>-0.44736842105263153</v>
      </c>
      <c r="BU129" s="145">
        <f t="shared" si="170"/>
        <v>-0.11224489795918369</v>
      </c>
      <c r="BV129" s="144">
        <f t="shared" si="170"/>
        <v>-0.27845036319612593</v>
      </c>
      <c r="BW129" s="145">
        <f t="shared" si="170"/>
        <v>0.4375</v>
      </c>
      <c r="BX129" s="145">
        <f t="shared" si="170"/>
        <v>-0.1428571428571429</v>
      </c>
      <c r="BY129" s="145">
        <f t="shared" si="170"/>
        <v>0.11111111111111116</v>
      </c>
      <c r="BZ129" s="145">
        <f t="shared" ref="BZ129:CF129" si="171">IF(ISERROR(BZ79/BU79-1),"",BZ79/BU79-1)</f>
        <v>-0.16091954022988508</v>
      </c>
      <c r="CA129" s="144">
        <f t="shared" si="171"/>
        <v>3.0201342281879207E-2</v>
      </c>
      <c r="CB129" s="145">
        <f t="shared" si="171"/>
        <v>-0.29347826086956519</v>
      </c>
      <c r="CC129" s="145">
        <f t="shared" si="171"/>
        <v>0</v>
      </c>
      <c r="CD129" s="145">
        <f t="shared" si="171"/>
        <v>0.10000000000000009</v>
      </c>
      <c r="CE129" s="145">
        <f t="shared" si="171"/>
        <v>-0.17808219178082196</v>
      </c>
      <c r="CF129" s="144">
        <f t="shared" si="171"/>
        <v>-0.10749185667752448</v>
      </c>
      <c r="CG129" s="145">
        <f t="shared" ref="CG129" si="172">IF(ISERROR(CG79/CB79-1),"",CG79/CB79-1)</f>
        <v>1.538461538461533E-2</v>
      </c>
      <c r="CH129" s="145">
        <f t="shared" ref="CH129" si="173">IF(ISERROR(CH79/CC79-1),"",CH79/CC79-1)</f>
        <v>4.1666666666666741E-2</v>
      </c>
      <c r="CI129" s="145">
        <f t="shared" ref="CI129" si="174">IF(ISERROR(CI79/CD79-1),"",CI79/CD79-1)</f>
        <v>-0.1428571428571429</v>
      </c>
      <c r="CJ129" s="145">
        <f t="shared" ref="CJ129:CK129" si="175">IF(ISERROR(CJ79/CE79-1),"",CJ79/CE79-1)</f>
        <v>-0.3833333333333333</v>
      </c>
      <c r="CK129" s="144">
        <f t="shared" si="175"/>
        <v>-0.10948905109489049</v>
      </c>
      <c r="CL129" s="145">
        <f t="shared" ref="CL129" si="176">IF(ISERROR(CL79/CG79-1),"",CL79/CG79-1)</f>
        <v>-1.5151515151515138E-2</v>
      </c>
      <c r="CM129" s="145">
        <f t="shared" ref="CM129" si="177">IF(ISERROR(CM79/CH79-1),"",CM79/CH79-1)</f>
        <v>-7.999999999999996E-2</v>
      </c>
      <c r="CN129" s="145">
        <f t="shared" ref="CN129" si="178">IF(ISERROR(CN79/CI79-1),"",CN79/CI79-1)</f>
        <v>7.575757575757569E-2</v>
      </c>
      <c r="CO129" s="145">
        <f t="shared" ref="CO129:CP129" si="179">IF(ISERROR(CO79/CJ79-1),"",CO79/CJ79-1)</f>
        <v>0.5135135135135136</v>
      </c>
      <c r="CP129" s="144">
        <f t="shared" si="179"/>
        <v>6.9672131147541005E-2</v>
      </c>
      <c r="CQ129" s="145">
        <f t="shared" ref="CQ129" si="180">IF(ISERROR(CQ79/CL79-1),"",CQ79/CL79-1)</f>
        <v>-7.6923076923076872E-2</v>
      </c>
      <c r="CR129" s="145">
        <f t="shared" ref="CR129" si="181">IF(ISERROR(CR79/CM79-1),"",CR79/CM79-1)</f>
        <v>0.13043478260869557</v>
      </c>
      <c r="CS129" s="145">
        <f t="shared" ref="CS129" si="182">IF(ISERROR(CS79/CN79-1),"",CS79/CN79-1)</f>
        <v>0</v>
      </c>
      <c r="CT129" s="145">
        <f t="shared" ref="CT129:CU129" si="183">IF(ISERROR(CT79/CO79-1),"",CT79/CO79-1)</f>
        <v>0.125</v>
      </c>
      <c r="CU129" s="144">
        <f t="shared" si="183"/>
        <v>4.2145593869731712E-2</v>
      </c>
      <c r="CV129" s="145">
        <f t="shared" ref="CV129:CW129" si="184">IF(ISERROR(CV79/CQ79-1),"",CV79/CQ79-1)</f>
        <v>-0.23333333333333328</v>
      </c>
      <c r="CW129" s="145">
        <f t="shared" si="184"/>
        <v>-0.33333333333333337</v>
      </c>
      <c r="CX129" s="145">
        <f t="shared" ref="CX129" si="185">IF(ISERROR(CX79/CS79-1),"",CX79/CS79-1)</f>
        <v>-0.26760563380281688</v>
      </c>
      <c r="CY129" s="145">
        <f t="shared" ref="CY129" si="186">IF(ISERROR(CY79/CT79-1),"",CY79/CT79-1)</f>
        <v>-0.22222222222222221</v>
      </c>
      <c r="CZ129" s="144">
        <f t="shared" ref="CZ129" si="187">IF(ISERROR(CZ79/CU79-1),"",CZ79/CU79-1)</f>
        <v>-0.26838235294117652</v>
      </c>
      <c r="DA129" s="145">
        <f t="shared" ref="DA129" si="188">IF(ISERROR(DA79/CV79-1),"",DA79/CV79-1)</f>
        <v>-1</v>
      </c>
      <c r="DB129" s="145">
        <f t="shared" ref="DB129" si="189">IF(ISERROR(DB79/CW79-1),"",DB79/CW79-1)</f>
        <v>-1</v>
      </c>
      <c r="DC129" s="145">
        <f t="shared" ref="DC129" si="190">IF(ISERROR(DC79/CX79-1),"",DC79/CX79-1)</f>
        <v>-1</v>
      </c>
      <c r="DD129" s="145">
        <f t="shared" ref="DD129:DP129" si="191">IF(ISERROR(DD79/CY79-1),"",DD79/CY79-1)</f>
        <v>-1</v>
      </c>
      <c r="DE129" s="144">
        <f t="shared" si="191"/>
        <v>-1</v>
      </c>
      <c r="DF129" s="145" t="str">
        <f t="shared" si="191"/>
        <v/>
      </c>
      <c r="DG129" s="145" t="str">
        <f t="shared" si="191"/>
        <v/>
      </c>
      <c r="DH129" s="145" t="str">
        <f t="shared" si="191"/>
        <v/>
      </c>
      <c r="DI129" s="145" t="str">
        <f t="shared" si="191"/>
        <v/>
      </c>
      <c r="DJ129" s="144" t="str">
        <f>IF(ISERROR(DJ79/DE79-1),"",DJ79/DE79-1)</f>
        <v/>
      </c>
      <c r="DK129" s="145" t="str">
        <f t="shared" si="191"/>
        <v/>
      </c>
      <c r="DL129" s="145" t="str">
        <f t="shared" si="191"/>
        <v/>
      </c>
      <c r="DM129" s="145" t="str">
        <f t="shared" si="191"/>
        <v/>
      </c>
      <c r="DN129" s="145" t="str">
        <f t="shared" si="191"/>
        <v/>
      </c>
      <c r="DO129" s="144" t="str">
        <f>IF(ISERROR(DO79/DJ79-1),"",DO79/DJ79-1)</f>
        <v/>
      </c>
      <c r="DP129" s="145" t="str">
        <f t="shared" si="191"/>
        <v/>
      </c>
      <c r="DQ129" s="145" t="str">
        <f t="shared" ref="DQ129" si="192">IF(ISERROR(DQ79/DL79-1),"",DQ79/DL79-1)</f>
        <v/>
      </c>
      <c r="DR129" s="145" t="str">
        <f t="shared" ref="DR129" si="193">IF(ISERROR(DR79/DM79-1),"",DR79/DM79-1)</f>
        <v/>
      </c>
      <c r="DS129" s="145" t="str">
        <f t="shared" ref="DS129" si="194">IF(ISERROR(DS79/DN79-1),"",DS79/DN79-1)</f>
        <v/>
      </c>
      <c r="DT129" s="144" t="str">
        <f>IF(ISERROR(DT79/DO79-1),"",DT79/DO79-1)</f>
        <v/>
      </c>
      <c r="DU129" s="145" t="str">
        <f t="shared" ref="DU129" si="195">IF(ISERROR(DU79/DP79-1),"",DU79/DP79-1)</f>
        <v/>
      </c>
      <c r="DV129" s="145" t="str">
        <f t="shared" ref="DV129" si="196">IF(ISERROR(DV79/DQ79-1),"",DV79/DQ79-1)</f>
        <v/>
      </c>
      <c r="DW129" s="145" t="str">
        <f t="shared" ref="DW129" si="197">IF(ISERROR(DW79/DR79-1),"",DW79/DR79-1)</f>
        <v/>
      </c>
      <c r="DX129" s="145" t="str">
        <f t="shared" ref="DX129" si="198">IF(ISERROR(DX79/DS79-1),"",DX79/DS79-1)</f>
        <v/>
      </c>
      <c r="DY129" s="144" t="str">
        <f>IF(ISERROR(DY79/DT79-1),"",DY79/DT79-1)</f>
        <v/>
      </c>
      <c r="DZ129" s="144" t="str">
        <f t="shared" ref="DZ129" si="199">IF(ISERROR(DZ79/DY79-1),"",DZ79/DY79-1)</f>
        <v/>
      </c>
      <c r="EA129" s="144" t="str">
        <f t="shared" ref="EA129" si="200">IF(ISERROR(EA79/DZ79-1),"",EA79/DZ79-1)</f>
        <v/>
      </c>
      <c r="EB129" s="144" t="str">
        <f t="shared" ref="EB129" si="201">IF(ISERROR(EB79/EA79-1),"",EB79/EA79-1)</f>
        <v/>
      </c>
    </row>
    <row r="130" spans="2:132" s="74" customFormat="1" ht="12" customHeight="1" collapsed="1">
      <c r="B130" s="32" t="s">
        <v>297</v>
      </c>
      <c r="C130" s="30"/>
      <c r="D130" s="30">
        <f t="shared" ref="D130:I130" si="202">IF(ISERROR(D82/C82-1),"",D82/C82-1)</f>
        <v>0.22606986899563308</v>
      </c>
      <c r="E130" s="30">
        <f t="shared" si="202"/>
        <v>3.2749225344588018E-2</v>
      </c>
      <c r="F130" s="30">
        <f t="shared" si="202"/>
        <v>-0.11504836790647144</v>
      </c>
      <c r="G130" s="30">
        <f t="shared" si="202"/>
        <v>0.13399972720718623</v>
      </c>
      <c r="H130" s="30">
        <f t="shared" si="202"/>
        <v>-7.0947455239011692E-2</v>
      </c>
      <c r="I130" s="30">
        <f t="shared" si="202"/>
        <v>-6.6285672011688779E-2</v>
      </c>
      <c r="J130" s="29"/>
      <c r="K130" s="29"/>
      <c r="L130" s="29"/>
      <c r="M130" s="29"/>
      <c r="N130" s="30">
        <f t="shared" ref="N130:AW130" si="203">IF(ISERROR(N82/I82-1),"",N82/I82-1)</f>
        <v>3.9061107259582117E-2</v>
      </c>
      <c r="O130" s="29">
        <f t="shared" si="203"/>
        <v>2.1606605447950233E-3</v>
      </c>
      <c r="P130" s="29">
        <f t="shared" si="203"/>
        <v>0.14822738386308076</v>
      </c>
      <c r="Q130" s="29">
        <f t="shared" si="203"/>
        <v>-3.9765815085158196E-2</v>
      </c>
      <c r="R130" s="29">
        <f t="shared" si="203"/>
        <v>7.112686679740543E-2</v>
      </c>
      <c r="S130" s="30">
        <f t="shared" si="203"/>
        <v>4.5522999790304386E-2</v>
      </c>
      <c r="T130" s="29">
        <f t="shared" si="203"/>
        <v>9.8329098329098308E-2</v>
      </c>
      <c r="U130" s="29">
        <f t="shared" si="203"/>
        <v>-2.794783071599638E-3</v>
      </c>
      <c r="V130" s="29">
        <f t="shared" si="203"/>
        <v>0.16707577797133588</v>
      </c>
      <c r="W130" s="29">
        <f t="shared" si="203"/>
        <v>0.23519470459826763</v>
      </c>
      <c r="X130" s="30">
        <f t="shared" si="203"/>
        <v>0.12188895979578818</v>
      </c>
      <c r="Y130" s="29">
        <f t="shared" si="203"/>
        <v>7.718732473359502E-2</v>
      </c>
      <c r="Z130" s="29">
        <f t="shared" si="203"/>
        <v>0.13626050980915516</v>
      </c>
      <c r="AA130" s="29">
        <f t="shared" si="203"/>
        <v>0.12063233597937439</v>
      </c>
      <c r="AB130" s="29">
        <f t="shared" si="203"/>
        <v>-3.6485947209394798E-3</v>
      </c>
      <c r="AC130" s="30">
        <f t="shared" si="203"/>
        <v>7.8937103851779655E-2</v>
      </c>
      <c r="AD130" s="29">
        <f t="shared" si="203"/>
        <v>4.0676863000325358E-2</v>
      </c>
      <c r="AE130" s="29">
        <f t="shared" si="203"/>
        <v>-3.8759689922480689E-3</v>
      </c>
      <c r="AF130" s="29">
        <f t="shared" si="203"/>
        <v>-7.4105467094508715E-2</v>
      </c>
      <c r="AG130" s="29">
        <f t="shared" si="203"/>
        <v>-0.27481833266578937</v>
      </c>
      <c r="AH130" s="30">
        <f t="shared" si="203"/>
        <v>-8.2365523370539373E-2</v>
      </c>
      <c r="AI130" s="29">
        <f t="shared" si="203"/>
        <v>3.2020012507817386E-2</v>
      </c>
      <c r="AJ130" s="29">
        <f t="shared" si="203"/>
        <v>1.1319419879731063E-2</v>
      </c>
      <c r="AK130" s="29">
        <f t="shared" si="203"/>
        <v>9.1218204407245151E-2</v>
      </c>
      <c r="AL130" s="29">
        <f t="shared" si="203"/>
        <v>0.41525958655515227</v>
      </c>
      <c r="AM130" s="30">
        <f t="shared" si="203"/>
        <v>0.12084899620807965</v>
      </c>
      <c r="AN130" s="29">
        <f t="shared" si="203"/>
        <v>-7.7929947885104878E-2</v>
      </c>
      <c r="AO130" s="29">
        <f t="shared" si="203"/>
        <v>-9.2165092689751704E-2</v>
      </c>
      <c r="AP130" s="29">
        <f t="shared" si="203"/>
        <v>1.6718600191754529E-2</v>
      </c>
      <c r="AQ130" s="29">
        <f t="shared" si="203"/>
        <v>-7.7326197245916273E-2</v>
      </c>
      <c r="AR130" s="30">
        <f t="shared" si="203"/>
        <v>-5.8215316120150518E-2</v>
      </c>
      <c r="AS130" s="29">
        <f t="shared" si="203"/>
        <v>-2.011041009463721E-2</v>
      </c>
      <c r="AT130" s="29">
        <f t="shared" si="203"/>
        <v>6.2287292108135883E-2</v>
      </c>
      <c r="AU130" s="29">
        <f t="shared" si="203"/>
        <v>4.4792833146696465E-2</v>
      </c>
      <c r="AV130" s="29">
        <f t="shared" si="203"/>
        <v>0.18157099697885193</v>
      </c>
      <c r="AW130" s="30">
        <f t="shared" si="203"/>
        <v>6.8873822038379107E-2</v>
      </c>
      <c r="AX130" s="29">
        <f t="shared" ref="AX130:BG130" si="204">IF(ISERROR(AX82/AS82-1),"",AX82/AS82-1)</f>
        <v>0.30000000000000004</v>
      </c>
      <c r="AY130" s="29">
        <f t="shared" si="204"/>
        <v>0.20927280420721761</v>
      </c>
      <c r="AZ130" s="29">
        <f t="shared" si="204"/>
        <v>0.12867377446832506</v>
      </c>
      <c r="BA130" s="29">
        <f t="shared" si="204"/>
        <v>0.14047558169266172</v>
      </c>
      <c r="BB130" s="30">
        <f t="shared" si="204"/>
        <v>0.18859387502727865</v>
      </c>
      <c r="BC130" s="29">
        <f t="shared" si="204"/>
        <v>-2.5279884434813993E-2</v>
      </c>
      <c r="BD130" s="29">
        <f t="shared" si="204"/>
        <v>9.0477380654836237E-2</v>
      </c>
      <c r="BE130" s="29">
        <f t="shared" si="204"/>
        <v>0.10605757696921225</v>
      </c>
      <c r="BF130" s="29">
        <f t="shared" si="204"/>
        <v>6.6509730069052031E-2</v>
      </c>
      <c r="BG130" s="30">
        <f t="shared" si="204"/>
        <v>6.0286665524247773E-2</v>
      </c>
      <c r="BH130" s="29">
        <f t="shared" ref="BH130:BR130" si="205">IF(ISERROR(BH82/BC82-1),"",BH82/BC82-1)</f>
        <v>8.3205419996824181E-2</v>
      </c>
      <c r="BI130" s="29">
        <f t="shared" si="205"/>
        <v>1.0543204217281721E-2</v>
      </c>
      <c r="BJ130" s="29">
        <f t="shared" si="205"/>
        <v>7.4740171712607273E-2</v>
      </c>
      <c r="BK130" s="29">
        <f t="shared" si="205"/>
        <v>2.8702602027302682E-2</v>
      </c>
      <c r="BL130" s="30">
        <f t="shared" si="205"/>
        <v>4.7778138214545018E-2</v>
      </c>
      <c r="BM130" s="29">
        <f t="shared" si="205"/>
        <v>8.2286831175177211E-2</v>
      </c>
      <c r="BN130" s="29">
        <f t="shared" si="205"/>
        <v>0.11331367657065083</v>
      </c>
      <c r="BO130" s="29">
        <f t="shared" si="205"/>
        <v>8.6823074335687922E-2</v>
      </c>
      <c r="BP130" s="29">
        <f t="shared" si="205"/>
        <v>-3.6578388098741255E-2</v>
      </c>
      <c r="BQ130" s="30">
        <f t="shared" si="205"/>
        <v>5.8967409268195992E-2</v>
      </c>
      <c r="BR130" s="29">
        <f t="shared" si="205"/>
        <v>2.1806853582554409E-2</v>
      </c>
      <c r="BS130" s="29">
        <f t="shared" ref="BS130" si="206">IF(ISERROR(BS82/BN82-1),"",BS82/BN82-1)</f>
        <v>8.6379008271197932E-3</v>
      </c>
      <c r="BT130" s="29">
        <f t="shared" ref="BT130" si="207">IF(ISERROR(BT82/BO82-1),"",BT82/BO82-1)</f>
        <v>-7.5476807613447328E-2</v>
      </c>
      <c r="BU130" s="29">
        <f t="shared" ref="BU130:BV130" si="208">IF(ISERROR(BU82/BP82-1),"",BU82/BP82-1)</f>
        <v>-1.2174945912696744E-2</v>
      </c>
      <c r="BV130" s="30">
        <f t="shared" si="208"/>
        <v>-1.6053852716565786E-2</v>
      </c>
      <c r="BW130" s="29">
        <f t="shared" ref="BW130" si="209">IF(ISERROR(BW82/BR82-1),"",BW82/BR82-1)</f>
        <v>-2.9648285613290914E-2</v>
      </c>
      <c r="BX130" s="29">
        <f t="shared" ref="BX130" si="210">IF(ISERROR(BX82/BS82-1),"",BX82/BS82-1)</f>
        <v>-6.8834578872954966E-2</v>
      </c>
      <c r="BY130" s="29">
        <f t="shared" ref="BY130" si="211">IF(ISERROR(BY82/BT82-1),"",BY82/BT82-1)</f>
        <v>1.3599464390325444E-2</v>
      </c>
      <c r="BZ130" s="29">
        <f t="shared" ref="BZ130" si="212">IF(ISERROR(BZ82/BU82-1),"",BZ82/BU82-1)</f>
        <v>6.3729279395344784E-2</v>
      </c>
      <c r="CA130" s="30">
        <f t="shared" ref="CA130:CE130" si="213">IF(ISERROR(CA82/BV82-1),"",CA82/BV82-1)</f>
        <v>-5.9849213818189417E-3</v>
      </c>
      <c r="CB130" s="29">
        <f t="shared" si="213"/>
        <v>6.4705614498429043E-2</v>
      </c>
      <c r="CC130" s="29">
        <f t="shared" si="213"/>
        <v>5.2362153485749019E-2</v>
      </c>
      <c r="CD130" s="29">
        <f t="shared" si="213"/>
        <v>3.8104281055195477E-2</v>
      </c>
      <c r="CE130" s="29">
        <f t="shared" si="213"/>
        <v>0.14416633023819125</v>
      </c>
      <c r="CF130" s="30">
        <f>IF(ISERROR(CF82/CA82-1),"",CF82/CA82-1)</f>
        <v>7.5761927557044917E-2</v>
      </c>
      <c r="CG130" s="29">
        <f t="shared" ref="CG130" si="214">IF(ISERROR(CG82/CB82-1),"",CG82/CB82-1)</f>
        <v>-1.9887092635360482E-2</v>
      </c>
      <c r="CH130" s="29">
        <f t="shared" ref="CH130" si="215">IF(ISERROR(CH82/CC82-1),"",CH82/CC82-1)</f>
        <v>-0.35068843268200178</v>
      </c>
      <c r="CI130" s="29">
        <f t="shared" ref="CI130" si="216">IF(ISERROR(CI82/CD82-1),"",CI82/CD82-1)</f>
        <v>-0.20544022906227632</v>
      </c>
      <c r="CJ130" s="29">
        <f t="shared" ref="CJ130" si="217">IF(ISERROR(CJ82/CE82-1),"",CJ82/CE82-1)</f>
        <v>-0.3680180656998695</v>
      </c>
      <c r="CK130" s="30">
        <f>IF(ISERROR(CK82/CF82-1),"",CK82/CF82-1)</f>
        <v>-0.24294204317343537</v>
      </c>
      <c r="CL130" s="29">
        <f t="shared" ref="CL130" si="218">IF(ISERROR(CL82/CG82-1),"",CL82/CG82-1)</f>
        <v>-0.26220709516952478</v>
      </c>
      <c r="CM130" s="29">
        <f t="shared" ref="CM130" si="219">IF(ISERROR(CM82/CH82-1),"",CM82/CH82-1)</f>
        <v>-0.25039680020316168</v>
      </c>
      <c r="CN130" s="29">
        <f t="shared" ref="CN130" si="220">IF(ISERROR(CN82/CI82-1),"",CN82/CI82-1)</f>
        <v>-0.29234234234234235</v>
      </c>
      <c r="CO130" s="29">
        <f t="shared" ref="CO130" si="221">IF(ISERROR(CO82/CJ82-1),"",CO82/CJ82-1)</f>
        <v>-0.14555301211545979</v>
      </c>
      <c r="CP130" s="30">
        <f>IF(ISERROR(CP82/CK82-1),"",CP82/CK82-1)</f>
        <v>-0.24035057929178805</v>
      </c>
      <c r="CQ130" s="29">
        <f t="shared" ref="CQ130" si="222">IF(ISERROR(CQ82/CL82-1),"",CQ82/CL82-1)</f>
        <v>-0.10001182872013248</v>
      </c>
      <c r="CR130" s="29">
        <f t="shared" ref="CR130" si="223">IF(ISERROR(CR82/CM82-1),"",CR82/CM82-1)</f>
        <v>0.43965444228000328</v>
      </c>
      <c r="CS130" s="29">
        <f t="shared" ref="CS130" si="224">IF(ISERROR(CS82/CN82-1),"",CS82/CN82-1)</f>
        <v>8.055732371454849E-2</v>
      </c>
      <c r="CT130" s="29">
        <f t="shared" ref="CT130" si="225">IF(ISERROR(CT82/CO82-1),"",CT82/CO82-1)</f>
        <v>-3.3389963408259282E-2</v>
      </c>
      <c r="CU130" s="30">
        <f>IF(ISERROR(CU82/CP82-1),"",CU82/CP82-1)</f>
        <v>7.0979057051480554E-2</v>
      </c>
      <c r="CV130" s="29">
        <f t="shared" ref="CV130:CW130" si="226">IF(ISERROR(CV82/CQ82-1),"",CV82/CQ82-1)</f>
        <v>-8.0567786028783561E-2</v>
      </c>
      <c r="CW130" s="29">
        <f t="shared" si="226"/>
        <v>-1.8649252853276899E-2</v>
      </c>
      <c r="CX130" s="29">
        <f t="shared" ref="CX130" si="227">IF(ISERROR(CX82/CS82-1),"",CX82/CS82-1)</f>
        <v>4.4377536326744238E-2</v>
      </c>
      <c r="CY130" s="29">
        <f t="shared" ref="CY130" si="228">IF(ISERROR(CY82/CT82-1),"",CY82/CT82-1)</f>
        <v>0.35063881565605359</v>
      </c>
      <c r="CZ130" s="30">
        <f>IF(ISERROR(CZ82/CU82-1),"",CZ82/CU82-1)</f>
        <v>6.9389589956009301E-2</v>
      </c>
      <c r="DA130" s="29">
        <f t="shared" ref="DA130" si="229">IF(ISERROR(DA82/CV82-1),"",DA82/CV82-1)</f>
        <v>0.28089486098205985</v>
      </c>
      <c r="DB130" s="29">
        <f t="shared" ref="DB130" si="230">IF(ISERROR(DB82/CW82-1),"",DB82/CW82-1)</f>
        <v>0.18404172411725916</v>
      </c>
      <c r="DC130" s="29">
        <f t="shared" ref="DC130" si="231">IF(ISERROR(DC82/CX82-1),"",DC82/CX82-1)</f>
        <v>0.13462020556530452</v>
      </c>
      <c r="DD130" s="29">
        <f t="shared" ref="DD130" si="232">IF(ISERROR(DD82/CY82-1),"",DD82/CY82-1)</f>
        <v>0.10200200200200205</v>
      </c>
      <c r="DE130" s="30">
        <f>IF(ISERROR(DE82/CZ82-1),"",DE82/CZ82-1)</f>
        <v>0.16793778525102088</v>
      </c>
      <c r="DF130" s="29">
        <f t="shared" ref="DF130:DP130" si="233">IF(ISERROR(DF82/DA82-1),"",DF82/DA82-1)</f>
        <v>-7.5442218626192714E-2</v>
      </c>
      <c r="DG130" s="29">
        <f t="shared" si="233"/>
        <v>-0.14606855349096248</v>
      </c>
      <c r="DH130" s="29">
        <f t="shared" si="233"/>
        <v>-1.4582412726469318E-2</v>
      </c>
      <c r="DI130" s="29">
        <f t="shared" si="233"/>
        <v>-0.30774820601326192</v>
      </c>
      <c r="DJ130" s="30">
        <f>IF(ISERROR(DJ82/DE82-1),"",DJ82/DE82-1)</f>
        <v>-0.14495976553461709</v>
      </c>
      <c r="DK130" s="29">
        <f t="shared" si="233"/>
        <v>0.17665519946888764</v>
      </c>
      <c r="DL130" s="29">
        <f t="shared" si="233"/>
        <v>0.3488082532906438</v>
      </c>
      <c r="DM130" s="29">
        <f t="shared" si="233"/>
        <v>0.30437219730941711</v>
      </c>
      <c r="DN130" s="29">
        <f t="shared" si="233"/>
        <v>0.57118488387350741</v>
      </c>
      <c r="DO130" s="30">
        <f>IF(ISERROR(DO82/DJ82-1),"",DO82/DJ82-1)</f>
        <v>0.34496444517942781</v>
      </c>
      <c r="DP130" s="29">
        <f t="shared" si="233"/>
        <v>0.13956709068526885</v>
      </c>
      <c r="DQ130" s="29">
        <f t="shared" ref="DQ130" si="234">IF(ISERROR(DQ82/DL82-1),"",DQ82/DL82-1)</f>
        <v>7.9607894852520955E-2</v>
      </c>
      <c r="DR130" s="29">
        <f t="shared" ref="DR130" si="235">IF(ISERROR(DR82/DM82-1),"",DR82/DM82-1)</f>
        <v>4.4196640435857582E-2</v>
      </c>
      <c r="DS130" s="29">
        <f t="shared" ref="DS130" si="236">IF(ISERROR(DS82/DN82-1),"",DS82/DN82-1)</f>
        <v>8.9622493074988041E-2</v>
      </c>
      <c r="DT130" s="30">
        <f>IF(ISERROR(DT82/DO82-1),"",DT82/DO82-1)</f>
        <v>8.6144386920874672E-2</v>
      </c>
      <c r="DU130" s="29">
        <f t="shared" ref="DU130" si="237">IF(ISERROR(DU82/DP82-1),"",DU82/DP82-1)</f>
        <v>0.15747417376636585</v>
      </c>
      <c r="DV130" s="29">
        <f t="shared" ref="DV130" si="238">IF(ISERROR(DV82/DQ82-1),"",DV82/DQ82-1)</f>
        <v>0.12658002749457631</v>
      </c>
      <c r="DW130" s="29">
        <f t="shared" ref="DW130" si="239">IF(ISERROR(DW82/DR82-1),"",DW82/DR82-1)</f>
        <v>0.20265026301030065</v>
      </c>
      <c r="DX130" s="29">
        <f t="shared" ref="DX130" si="240">IF(ISERROR(DX82/DS82-1),"",DX82/DS82-1)</f>
        <v>0.21634683587667447</v>
      </c>
      <c r="DY130" s="30">
        <f>IF(ISERROR(DY82/DT82-1),"",DY82/DT82-1)</f>
        <v>0.17677224706744932</v>
      </c>
      <c r="DZ130" s="30">
        <f t="shared" ref="DZ130" si="241">IF(ISERROR(DZ82/DY82-1),"",DZ82/DY82-1)</f>
        <v>0.10143878757176661</v>
      </c>
      <c r="EA130" s="30">
        <f t="shared" ref="EA130" si="242">IF(ISERROR(EA82/DZ82-1),"",EA82/DZ82-1)</f>
        <v>0.10277861858474679</v>
      </c>
      <c r="EB130" s="30">
        <f t="shared" ref="EB130" si="243">IF(ISERROR(EB82/EA82-1),"",EB82/EA82-1)</f>
        <v>6.0326878219804758E-2</v>
      </c>
    </row>
    <row r="131" spans="2:132" s="241" customFormat="1" ht="12" customHeight="1">
      <c r="C131" s="301"/>
      <c r="D131" s="301"/>
      <c r="E131" s="301"/>
      <c r="F131" s="301"/>
      <c r="G131" s="301"/>
      <c r="H131" s="301"/>
      <c r="I131" s="301"/>
      <c r="J131" s="242"/>
      <c r="K131" s="242"/>
      <c r="L131" s="242"/>
      <c r="M131" s="242"/>
      <c r="N131" s="301"/>
      <c r="O131" s="242"/>
      <c r="P131" s="242"/>
      <c r="Q131" s="242"/>
      <c r="R131" s="242"/>
      <c r="S131" s="301"/>
      <c r="T131" s="242"/>
      <c r="U131" s="242"/>
      <c r="V131" s="242"/>
      <c r="W131" s="242"/>
      <c r="X131" s="301"/>
      <c r="Y131" s="242"/>
      <c r="Z131" s="242"/>
      <c r="AA131" s="242"/>
      <c r="AB131" s="242"/>
      <c r="AC131" s="301"/>
      <c r="AD131" s="242"/>
      <c r="AE131" s="242"/>
      <c r="AF131" s="242"/>
      <c r="AG131" s="242"/>
      <c r="AH131" s="301"/>
      <c r="AI131" s="242"/>
      <c r="AJ131" s="242"/>
      <c r="AK131" s="242"/>
      <c r="AL131" s="242"/>
      <c r="AM131" s="301"/>
      <c r="AN131" s="242"/>
      <c r="AO131" s="242"/>
      <c r="AP131" s="242"/>
      <c r="AQ131" s="242"/>
      <c r="AR131" s="301"/>
      <c r="AS131" s="242"/>
      <c r="AT131" s="242"/>
      <c r="AU131" s="242"/>
      <c r="AV131" s="242"/>
      <c r="AW131" s="301"/>
      <c r="AX131" s="242"/>
      <c r="AY131" s="242"/>
      <c r="AZ131" s="242"/>
      <c r="BA131" s="242"/>
      <c r="BB131" s="301"/>
      <c r="BC131" s="242"/>
      <c r="BD131" s="242"/>
      <c r="BE131" s="242"/>
      <c r="BF131" s="242"/>
      <c r="BG131" s="301"/>
      <c r="BH131" s="145"/>
      <c r="BI131" s="145"/>
      <c r="BJ131" s="145"/>
      <c r="BK131" s="145"/>
      <c r="BL131" s="144"/>
      <c r="BM131" s="145"/>
      <c r="BN131" s="145"/>
      <c r="BO131" s="145"/>
      <c r="BP131" s="145"/>
      <c r="BQ131" s="144"/>
      <c r="BR131" s="145"/>
      <c r="BS131" s="145"/>
      <c r="BT131" s="145"/>
      <c r="BU131" s="145"/>
      <c r="BV131" s="144"/>
      <c r="BW131" s="145"/>
      <c r="BX131" s="145"/>
      <c r="BY131" s="145"/>
      <c r="BZ131" s="145"/>
      <c r="CA131" s="144"/>
      <c r="CB131" s="145"/>
      <c r="CC131" s="145"/>
      <c r="CD131" s="145"/>
      <c r="CE131" s="145"/>
      <c r="CF131" s="144"/>
      <c r="CG131" s="145"/>
      <c r="CH131" s="145"/>
      <c r="CI131" s="145"/>
      <c r="CJ131" s="145"/>
      <c r="CK131" s="144"/>
      <c r="CL131" s="145"/>
      <c r="CM131" s="145"/>
      <c r="CN131" s="145"/>
      <c r="CO131" s="145"/>
      <c r="CP131" s="144"/>
      <c r="CQ131" s="145"/>
      <c r="CR131" s="145"/>
      <c r="CS131" s="145"/>
      <c r="CT131" s="145"/>
      <c r="CU131" s="144"/>
      <c r="CV131" s="145"/>
      <c r="CW131" s="145"/>
      <c r="CX131" s="145"/>
      <c r="CY131" s="145"/>
      <c r="CZ131" s="144"/>
      <c r="DA131" s="145"/>
      <c r="DB131" s="145"/>
      <c r="DC131" s="145"/>
      <c r="DD131" s="145"/>
      <c r="DE131" s="144"/>
      <c r="DF131" s="145"/>
      <c r="DG131" s="145"/>
      <c r="DH131" s="145"/>
      <c r="DI131" s="145"/>
      <c r="DJ131" s="144"/>
      <c r="DK131" s="145"/>
      <c r="DL131" s="145"/>
      <c r="DM131" s="145"/>
      <c r="DN131" s="145"/>
      <c r="DO131" s="144"/>
      <c r="DP131" s="145"/>
      <c r="DQ131" s="145"/>
      <c r="DR131" s="145"/>
      <c r="DS131" s="145"/>
      <c r="DT131" s="144"/>
      <c r="DU131" s="145"/>
      <c r="DV131" s="145"/>
      <c r="DW131" s="145"/>
      <c r="DX131" s="145"/>
      <c r="DY131" s="144"/>
      <c r="DZ131" s="144"/>
      <c r="EA131" s="144"/>
      <c r="EB131" s="144"/>
    </row>
    <row r="132" spans="2:132" s="241" customFormat="1" ht="12" customHeight="1">
      <c r="B132" s="74" t="s">
        <v>180</v>
      </c>
      <c r="C132" s="301"/>
      <c r="D132" s="301"/>
      <c r="E132" s="301"/>
      <c r="F132" s="301"/>
      <c r="G132" s="301"/>
      <c r="H132" s="301"/>
      <c r="I132" s="301"/>
      <c r="J132" s="242"/>
      <c r="K132" s="242"/>
      <c r="L132" s="242"/>
      <c r="M132" s="242"/>
      <c r="N132" s="301"/>
      <c r="O132" s="242"/>
      <c r="P132" s="242"/>
      <c r="Q132" s="242"/>
      <c r="R132" s="242"/>
      <c r="S132" s="301"/>
      <c r="T132" s="242"/>
      <c r="U132" s="242"/>
      <c r="V132" s="242"/>
      <c r="W132" s="242"/>
      <c r="X132" s="301"/>
      <c r="Y132" s="242"/>
      <c r="Z132" s="242"/>
      <c r="AA132" s="242"/>
      <c r="AB132" s="242"/>
      <c r="AC132" s="301"/>
      <c r="AD132" s="242"/>
      <c r="AE132" s="242"/>
      <c r="AF132" s="242"/>
      <c r="AG132" s="242"/>
      <c r="AH132" s="301"/>
      <c r="AI132" s="242"/>
      <c r="AJ132" s="242"/>
      <c r="AK132" s="242"/>
      <c r="AL132" s="242"/>
      <c r="AM132" s="301"/>
      <c r="AN132" s="242"/>
      <c r="AO132" s="242"/>
      <c r="AP132" s="242"/>
      <c r="AQ132" s="242"/>
      <c r="AR132" s="301"/>
      <c r="AS132" s="242"/>
      <c r="AT132" s="242"/>
      <c r="AU132" s="242"/>
      <c r="AV132" s="242"/>
      <c r="AW132" s="301"/>
      <c r="AX132" s="242"/>
      <c r="AY132" s="242"/>
      <c r="AZ132" s="242"/>
      <c r="BA132" s="242"/>
      <c r="BB132" s="301"/>
      <c r="BC132" s="242"/>
      <c r="BD132" s="242"/>
      <c r="BE132" s="242"/>
      <c r="BF132" s="242"/>
      <c r="BG132" s="301"/>
      <c r="BH132" s="145"/>
      <c r="BI132" s="145"/>
      <c r="BJ132" s="145"/>
      <c r="BK132" s="145"/>
      <c r="BL132" s="144"/>
      <c r="BM132" s="145"/>
      <c r="BN132" s="145"/>
      <c r="BO132" s="145"/>
      <c r="BP132" s="145"/>
      <c r="BQ132" s="144"/>
      <c r="BR132" s="145"/>
      <c r="BS132" s="145"/>
      <c r="BT132" s="145"/>
      <c r="BU132" s="145"/>
      <c r="BV132" s="144"/>
      <c r="BW132" s="145"/>
      <c r="BX132" s="145"/>
      <c r="BY132" s="145"/>
      <c r="BZ132" s="145"/>
      <c r="CA132" s="144"/>
      <c r="CB132" s="145"/>
      <c r="CC132" s="145"/>
      <c r="CD132" s="145"/>
      <c r="CE132" s="145"/>
      <c r="CF132" s="144"/>
      <c r="CG132" s="145"/>
      <c r="CH132" s="145"/>
      <c r="CI132" s="145"/>
      <c r="CJ132" s="145"/>
      <c r="CK132" s="144"/>
      <c r="CL132" s="145"/>
      <c r="CM132" s="145"/>
      <c r="CN132" s="145"/>
      <c r="CO132" s="145"/>
      <c r="CP132" s="144"/>
      <c r="CQ132" s="145"/>
      <c r="CR132" s="145"/>
      <c r="CS132" s="145"/>
      <c r="CT132" s="145"/>
      <c r="CU132" s="144"/>
      <c r="CV132" s="145"/>
      <c r="CW132" s="145"/>
      <c r="CX132" s="145"/>
      <c r="CY132" s="145"/>
      <c r="CZ132" s="144"/>
      <c r="DA132" s="145"/>
      <c r="DB132" s="145"/>
      <c r="DC132" s="145"/>
      <c r="DD132" s="145"/>
      <c r="DE132" s="144"/>
      <c r="DF132" s="145"/>
      <c r="DG132" s="145"/>
      <c r="DH132" s="145"/>
      <c r="DI132" s="145"/>
      <c r="DJ132" s="144"/>
      <c r="DK132" s="145"/>
      <c r="DL132" s="145"/>
      <c r="DM132" s="145"/>
      <c r="DN132" s="145"/>
      <c r="DO132" s="144"/>
      <c r="DP132" s="145"/>
      <c r="DQ132" s="145"/>
      <c r="DR132" s="145"/>
      <c r="DS132" s="145"/>
      <c r="DT132" s="144"/>
      <c r="DU132" s="145"/>
      <c r="DV132" s="145"/>
      <c r="DW132" s="145"/>
      <c r="DX132" s="145"/>
      <c r="DY132" s="144"/>
      <c r="DZ132" s="144"/>
      <c r="EA132" s="144"/>
      <c r="EB132" s="144"/>
    </row>
    <row r="133" spans="2:132" s="241" customFormat="1" ht="12" customHeight="1">
      <c r="B133" s="241" t="s">
        <v>105</v>
      </c>
      <c r="C133" s="301">
        <f t="shared" ref="C133:AH133" si="244">IF(ISERROR(C36/C82),"",C36/C82)</f>
        <v>0.58796943231441046</v>
      </c>
      <c r="D133" s="301">
        <f t="shared" si="244"/>
        <v>0.63299141646187274</v>
      </c>
      <c r="E133" s="301">
        <f t="shared" si="244"/>
        <v>0.66230407118100465</v>
      </c>
      <c r="F133" s="301">
        <f t="shared" si="244"/>
        <v>0.60737320005455853</v>
      </c>
      <c r="G133" s="301">
        <f t="shared" si="244"/>
        <v>0.60235746932884293</v>
      </c>
      <c r="H133" s="301">
        <f t="shared" si="244"/>
        <v>0.52501433353677707</v>
      </c>
      <c r="I133" s="301">
        <f t="shared" si="244"/>
        <v>0.44385461028028128</v>
      </c>
      <c r="J133" s="242">
        <f t="shared" si="244"/>
        <v>0.41129716799135735</v>
      </c>
      <c r="K133" s="242">
        <f t="shared" si="244"/>
        <v>0.43329767726161367</v>
      </c>
      <c r="L133" s="242">
        <f t="shared" si="244"/>
        <v>0.35264598540145986</v>
      </c>
      <c r="M133" s="242">
        <f t="shared" si="244"/>
        <v>0.40715039975863632</v>
      </c>
      <c r="N133" s="301">
        <f t="shared" si="244"/>
        <v>0.40103322721467105</v>
      </c>
      <c r="O133" s="242">
        <f t="shared" si="244"/>
        <v>0.39085239085239087</v>
      </c>
      <c r="P133" s="242">
        <f t="shared" si="244"/>
        <v>0.45288794250731967</v>
      </c>
      <c r="Q133" s="242">
        <f t="shared" si="244"/>
        <v>0.38902525932377863</v>
      </c>
      <c r="R133" s="242">
        <f t="shared" si="244"/>
        <v>0.4123653263854658</v>
      </c>
      <c r="S133" s="301">
        <f t="shared" si="244"/>
        <v>0.41300027349803992</v>
      </c>
      <c r="T133" s="242">
        <f t="shared" si="244"/>
        <v>0.49446158160403814</v>
      </c>
      <c r="U133" s="242">
        <f t="shared" si="244"/>
        <v>0.47464300013345789</v>
      </c>
      <c r="V133" s="242">
        <f t="shared" si="244"/>
        <v>0.45410136372888255</v>
      </c>
      <c r="W133" s="242">
        <f t="shared" si="244"/>
        <v>0.43361267886665528</v>
      </c>
      <c r="X133" s="301">
        <f t="shared" si="244"/>
        <v>0.46261986023078172</v>
      </c>
      <c r="Y133" s="242">
        <f t="shared" si="244"/>
        <v>0.49170191994793361</v>
      </c>
      <c r="Z133" s="242">
        <f t="shared" si="244"/>
        <v>0.51133427296217993</v>
      </c>
      <c r="AA133" s="242">
        <f t="shared" si="244"/>
        <v>0.49996972815886664</v>
      </c>
      <c r="AB133" s="242">
        <f t="shared" si="244"/>
        <v>0.50729530239743659</v>
      </c>
      <c r="AC133" s="301">
        <f t="shared" si="244"/>
        <v>0.50289966409086118</v>
      </c>
      <c r="AD133" s="242">
        <f t="shared" si="244"/>
        <v>0.51038148843026887</v>
      </c>
      <c r="AE133" s="242">
        <f t="shared" si="244"/>
        <v>0.50507015682112955</v>
      </c>
      <c r="AF133" s="242">
        <f t="shared" si="244"/>
        <v>0.45419472961485646</v>
      </c>
      <c r="AG133" s="242">
        <f t="shared" si="244"/>
        <v>0.36207984850875807</v>
      </c>
      <c r="AH133" s="301">
        <f t="shared" si="244"/>
        <v>0.46394392554047176</v>
      </c>
      <c r="AI133" s="242">
        <f t="shared" ref="AI133:BN133" si="245">IF(ISERROR(AI36/AI82),"",AI36/AI82)</f>
        <v>0.51836141073809239</v>
      </c>
      <c r="AJ133" s="242">
        <f t="shared" si="245"/>
        <v>0.49148886557071236</v>
      </c>
      <c r="AK133" s="242">
        <f t="shared" si="245"/>
        <v>0.4723753595397891</v>
      </c>
      <c r="AL133" s="242">
        <f t="shared" si="245"/>
        <v>0.51195852149188825</v>
      </c>
      <c r="AM133" s="301">
        <f t="shared" si="245"/>
        <v>0.49868924005213749</v>
      </c>
      <c r="AN133" s="242">
        <f t="shared" si="245"/>
        <v>0.49079915878023134</v>
      </c>
      <c r="AO133" s="242">
        <f t="shared" si="245"/>
        <v>0.47730045591729275</v>
      </c>
      <c r="AP133" s="242">
        <f t="shared" si="245"/>
        <v>0.51564802263216836</v>
      </c>
      <c r="AQ133" s="242">
        <f t="shared" si="245"/>
        <v>0.49450151057401814</v>
      </c>
      <c r="AR133" s="301">
        <f t="shared" si="245"/>
        <v>0.49503934314060899</v>
      </c>
      <c r="AS133" s="242">
        <f t="shared" si="245"/>
        <v>0.47739771965124078</v>
      </c>
      <c r="AT133" s="242">
        <f t="shared" si="245"/>
        <v>0.53454633379677208</v>
      </c>
      <c r="AU133" s="242">
        <f t="shared" si="245"/>
        <v>0.53675184746431992</v>
      </c>
      <c r="AV133" s="242">
        <f t="shared" si="245"/>
        <v>0.54691894656098183</v>
      </c>
      <c r="AW133" s="301">
        <f t="shared" si="245"/>
        <v>0.52623845202589659</v>
      </c>
      <c r="AX133" s="242">
        <f t="shared" si="245"/>
        <v>0.56425733890522622</v>
      </c>
      <c r="AY133" s="242">
        <f t="shared" si="245"/>
        <v>0.592001999500125</v>
      </c>
      <c r="AZ133" s="242">
        <f t="shared" si="245"/>
        <v>0.60905637744902041</v>
      </c>
      <c r="BA133" s="242">
        <f t="shared" si="245"/>
        <v>0.63496547394852476</v>
      </c>
      <c r="BB133" s="301">
        <f t="shared" si="245"/>
        <v>0.60132438982594438</v>
      </c>
      <c r="BC133" s="242">
        <f t="shared" si="245"/>
        <v>0.56581802784099933</v>
      </c>
      <c r="BD133" s="242">
        <f t="shared" si="245"/>
        <v>0.62452440980976387</v>
      </c>
      <c r="BE133" s="242">
        <f t="shared" si="245"/>
        <v>0.63203795752372349</v>
      </c>
      <c r="BF133" s="242">
        <f t="shared" si="245"/>
        <v>0.61720053982922229</v>
      </c>
      <c r="BG133" s="301">
        <f t="shared" si="245"/>
        <v>0.61162874192047634</v>
      </c>
      <c r="BH133" s="145">
        <f t="shared" si="245"/>
        <v>0.62237967261177618</v>
      </c>
      <c r="BI133" s="145">
        <f t="shared" si="245"/>
        <v>0.64885461555908375</v>
      </c>
      <c r="BJ133" s="145">
        <f t="shared" si="245"/>
        <v>0.67734611503531783</v>
      </c>
      <c r="BK133" s="145">
        <f t="shared" si="245"/>
        <v>0.68820500245218241</v>
      </c>
      <c r="BL133" s="144">
        <f t="shared" si="245"/>
        <v>0.66095943236156096</v>
      </c>
      <c r="BM133" s="145">
        <f t="shared" si="245"/>
        <v>0.69443315725314914</v>
      </c>
      <c r="BN133" s="145">
        <f t="shared" si="245"/>
        <v>0.68765024650613205</v>
      </c>
      <c r="BO133" s="145">
        <f t="shared" ref="BO133:CT133" si="246">IF(ISERROR(BO36/BO82),"",BO36/BO82)</f>
        <v>0.68443653526248593</v>
      </c>
      <c r="BP133" s="145">
        <f t="shared" si="246"/>
        <v>0.68289992788359566</v>
      </c>
      <c r="BQ133" s="144">
        <f t="shared" si="246"/>
        <v>0.68718396903676882</v>
      </c>
      <c r="BR133" s="145">
        <f t="shared" si="246"/>
        <v>0.56499646518204316</v>
      </c>
      <c r="BS133" s="145">
        <f t="shared" si="246"/>
        <v>0.63191274490002025</v>
      </c>
      <c r="BT133" s="145">
        <f t="shared" si="246"/>
        <v>0.6360364884090719</v>
      </c>
      <c r="BU133" s="145">
        <f t="shared" si="246"/>
        <v>0.61762432362793096</v>
      </c>
      <c r="BV133" s="144">
        <f t="shared" si="246"/>
        <v>0.61342271943830562</v>
      </c>
      <c r="BW133" s="145">
        <f t="shared" si="246"/>
        <v>0.58981831428441323</v>
      </c>
      <c r="BX133" s="145">
        <f t="shared" si="246"/>
        <v>0.61949590039477676</v>
      </c>
      <c r="BY133" s="145">
        <f t="shared" si="246"/>
        <v>0.63547042067456549</v>
      </c>
      <c r="BZ133" s="145">
        <f t="shared" si="246"/>
        <v>0.62123536536132418</v>
      </c>
      <c r="CA133" s="144">
        <f t="shared" si="246"/>
        <v>0.61713738630923887</v>
      </c>
      <c r="CB133" s="145">
        <f t="shared" si="246"/>
        <v>0.5536309982037465</v>
      </c>
      <c r="CC133" s="145">
        <f t="shared" si="246"/>
        <v>0.57515046582570695</v>
      </c>
      <c r="CD133" s="145">
        <f t="shared" si="246"/>
        <v>0.55957209894217763</v>
      </c>
      <c r="CE133" s="145">
        <f t="shared" si="246"/>
        <v>0.58328922762076141</v>
      </c>
      <c r="CF133" s="144">
        <f t="shared" si="246"/>
        <v>0.56858207995886356</v>
      </c>
      <c r="CG133" s="145">
        <f t="shared" si="246"/>
        <v>0.51586158746781863</v>
      </c>
      <c r="CH133" s="145">
        <f t="shared" si="246"/>
        <v>0.29979048949273063</v>
      </c>
      <c r="CI133" s="145">
        <f t="shared" si="246"/>
        <v>0.41286286286286289</v>
      </c>
      <c r="CJ133" s="145">
        <f t="shared" si="246"/>
        <v>0.41661548768912959</v>
      </c>
      <c r="CK133" s="144">
        <f t="shared" si="246"/>
        <v>0.42130905576091643</v>
      </c>
      <c r="CL133" s="145">
        <f t="shared" si="246"/>
        <v>0.36698604211024366</v>
      </c>
      <c r="CM133" s="145">
        <f t="shared" si="246"/>
        <v>0.13830778351825188</v>
      </c>
      <c r="CN133" s="145">
        <f t="shared" si="246"/>
        <v>0.25433198953249875</v>
      </c>
      <c r="CO133" s="145">
        <f t="shared" si="246"/>
        <v>0.30893883951907997</v>
      </c>
      <c r="CP133" s="144">
        <f t="shared" si="246"/>
        <v>0.27789813955087866</v>
      </c>
      <c r="CQ133" s="145">
        <f t="shared" si="246"/>
        <v>0.28054149963856212</v>
      </c>
      <c r="CR133" s="145">
        <f t="shared" si="246"/>
        <v>0.35386516060713025</v>
      </c>
      <c r="CS133" s="145">
        <f t="shared" si="246"/>
        <v>0.29185757298075665</v>
      </c>
      <c r="CT133" s="145">
        <f t="shared" si="246"/>
        <v>0.32109781653484754</v>
      </c>
      <c r="CU133" s="144">
        <f t="shared" ref="CU133:EB133" si="247">IF(ISERROR(CU36/CU82),"",CU36/CU82)</f>
        <v>0.3129595735799377</v>
      </c>
      <c r="CV133" s="145">
        <f t="shared" si="247"/>
        <v>0.29740547494818098</v>
      </c>
      <c r="CW133" s="145">
        <f t="shared" si="247"/>
        <v>0.37281937533720999</v>
      </c>
      <c r="CX133" s="145">
        <f t="shared" si="247"/>
        <v>0.39251692153421908</v>
      </c>
      <c r="CY133" s="145">
        <f t="shared" si="247"/>
        <v>0.46166166166166167</v>
      </c>
      <c r="CZ133" s="144">
        <f t="shared" si="247"/>
        <v>0.38834674513571943</v>
      </c>
      <c r="DA133" s="145">
        <f t="shared" si="247"/>
        <v>0.37408626750739354</v>
      </c>
      <c r="DB133" s="145">
        <f t="shared" si="247"/>
        <v>0.447572274821528</v>
      </c>
      <c r="DC133" s="145">
        <f t="shared" si="247"/>
        <v>0.43504197967300046</v>
      </c>
      <c r="DD133" s="145">
        <f t="shared" si="247"/>
        <v>0.47601962031065492</v>
      </c>
      <c r="DE133" s="144">
        <f t="shared" si="247"/>
        <v>0.43577910892870914</v>
      </c>
      <c r="DF133" s="145">
        <f t="shared" si="247"/>
        <v>0.28082563824008688</v>
      </c>
      <c r="DG133" s="145">
        <f t="shared" si="247"/>
        <v>0.35592315901814303</v>
      </c>
      <c r="DH133" s="145">
        <f t="shared" si="247"/>
        <v>0.41720852017937221</v>
      </c>
      <c r="DI133" s="145">
        <f t="shared" si="247"/>
        <v>0.31242619078861039</v>
      </c>
      <c r="DJ133" s="144">
        <f t="shared" si="247"/>
        <v>0.34368657636393701</v>
      </c>
      <c r="DK133" s="145">
        <f t="shared" si="247"/>
        <v>0.41788059089043905</v>
      </c>
      <c r="DL133" s="145">
        <f t="shared" si="247"/>
        <v>0.47799903292452417</v>
      </c>
      <c r="DM133" s="145">
        <f t="shared" si="247"/>
        <v>0.47675118177911474</v>
      </c>
      <c r="DN133" s="145">
        <f t="shared" si="247"/>
        <v>0.4751545014197428</v>
      </c>
      <c r="DO133" s="144">
        <f t="shared" si="247"/>
        <v>0.46381185518035389</v>
      </c>
      <c r="DP133" s="145">
        <f t="shared" si="247"/>
        <v>0.41423234460098124</v>
      </c>
      <c r="DQ133" s="145">
        <f t="shared" si="247"/>
        <v>0.47846091205211727</v>
      </c>
      <c r="DR133" s="145">
        <f t="shared" si="247"/>
        <v>0.47580788177411837</v>
      </c>
      <c r="DS133" s="145">
        <f t="shared" si="247"/>
        <v>0.48851815878700955</v>
      </c>
      <c r="DT133" s="144">
        <f t="shared" si="247"/>
        <v>0.46581300258218572</v>
      </c>
      <c r="DU133" s="145">
        <f t="shared" si="247"/>
        <v>0.46818021046613167</v>
      </c>
      <c r="DV133" s="145">
        <f t="shared" si="247"/>
        <v>0.51425224901126854</v>
      </c>
      <c r="DW133" s="145">
        <f t="shared" si="247"/>
        <v>0.52290948020991923</v>
      </c>
      <c r="DX133" s="145">
        <f t="shared" si="247"/>
        <v>0.55143464676582454</v>
      </c>
      <c r="DY133" s="144">
        <f t="shared" si="247"/>
        <v>0.51642436317361906</v>
      </c>
      <c r="DZ133" s="144">
        <f t="shared" si="247"/>
        <v>0.54218884644526555</v>
      </c>
      <c r="EA133" s="144">
        <f t="shared" si="247"/>
        <v>0.56707314543210119</v>
      </c>
      <c r="EB133" s="144">
        <f t="shared" si="247"/>
        <v>0.57663790709806229</v>
      </c>
    </row>
    <row r="134" spans="2:132" s="241" customFormat="1" ht="12" hidden="1" customHeight="1">
      <c r="B134" s="324" t="s">
        <v>106</v>
      </c>
      <c r="C134" s="325"/>
      <c r="D134" s="325"/>
      <c r="E134" s="325"/>
      <c r="F134" s="325"/>
      <c r="G134" s="325"/>
      <c r="H134" s="325"/>
      <c r="I134" s="325"/>
      <c r="J134" s="326"/>
      <c r="K134" s="326"/>
      <c r="L134" s="326"/>
      <c r="M134" s="326"/>
      <c r="N134" s="325"/>
      <c r="O134" s="326"/>
      <c r="P134" s="326"/>
      <c r="Q134" s="326"/>
      <c r="R134" s="326"/>
      <c r="S134" s="325">
        <f t="shared" ref="S134:AX134" si="248">IF(ISERROR(S38/S82),"",S38/S82)</f>
        <v>0.24633056796426292</v>
      </c>
      <c r="T134" s="326">
        <f t="shared" si="248"/>
        <v>0.22062535053280988</v>
      </c>
      <c r="U134" s="326">
        <f t="shared" si="248"/>
        <v>0.227612438275724</v>
      </c>
      <c r="V134" s="326">
        <f t="shared" si="248"/>
        <v>0.23570120089558314</v>
      </c>
      <c r="W134" s="326">
        <f t="shared" si="248"/>
        <v>0.24616612507838778</v>
      </c>
      <c r="X134" s="325">
        <f t="shared" si="248"/>
        <v>0.23321956769055746</v>
      </c>
      <c r="Y134" s="326">
        <f t="shared" si="248"/>
        <v>0.2135372600065083</v>
      </c>
      <c r="Z134" s="326">
        <f t="shared" si="248"/>
        <v>0.20096311956777074</v>
      </c>
      <c r="AA134" s="326">
        <f t="shared" si="248"/>
        <v>0.20342677241629836</v>
      </c>
      <c r="AB134" s="326">
        <f t="shared" si="248"/>
        <v>0.20724380614521942</v>
      </c>
      <c r="AC134" s="325">
        <f t="shared" si="248"/>
        <v>0.20613975627758446</v>
      </c>
      <c r="AD134" s="326">
        <f t="shared" si="248"/>
        <v>0.20025015634771731</v>
      </c>
      <c r="AE134" s="326">
        <f t="shared" si="248"/>
        <v>0.19248909326730337</v>
      </c>
      <c r="AF134" s="326">
        <f t="shared" si="248"/>
        <v>0.24697574053488525</v>
      </c>
      <c r="AG134" s="326">
        <f t="shared" si="248"/>
        <v>0.24980274577875966</v>
      </c>
      <c r="AH134" s="325">
        <f t="shared" si="248"/>
        <v>0.22012836717608628</v>
      </c>
      <c r="AI134" s="326">
        <f t="shared" si="248"/>
        <v>0.18240213307477882</v>
      </c>
      <c r="AJ134" s="326">
        <f t="shared" si="248"/>
        <v>0.19604756908009793</v>
      </c>
      <c r="AK134" s="326">
        <f t="shared" si="248"/>
        <v>0.23675695110258868</v>
      </c>
      <c r="AL134" s="326">
        <f t="shared" si="248"/>
        <v>0.20811729943691809</v>
      </c>
      <c r="AM134" s="325">
        <f t="shared" si="248"/>
        <v>0.2058698613084167</v>
      </c>
      <c r="AN134" s="326">
        <f t="shared" si="248"/>
        <v>0.21299947423764459</v>
      </c>
      <c r="AO134" s="326">
        <f t="shared" si="248"/>
        <v>0.22988505747126436</v>
      </c>
      <c r="AP134" s="326">
        <f t="shared" si="248"/>
        <v>0.22337478634997349</v>
      </c>
      <c r="AQ134" s="326">
        <f t="shared" si="248"/>
        <v>0.21915407854984895</v>
      </c>
      <c r="AR134" s="325">
        <f t="shared" si="248"/>
        <v>0.22141013280253788</v>
      </c>
      <c r="AS134" s="326">
        <f t="shared" si="248"/>
        <v>0.22749832327297115</v>
      </c>
      <c r="AT134" s="326">
        <f t="shared" si="248"/>
        <v>0.22015353926131898</v>
      </c>
      <c r="AU134" s="326">
        <f t="shared" si="248"/>
        <v>0.22361369662097366</v>
      </c>
      <c r="AV134" s="326">
        <f t="shared" si="248"/>
        <v>0.20194323702377909</v>
      </c>
      <c r="AW134" s="325">
        <f t="shared" si="248"/>
        <v>0.21745835455008367</v>
      </c>
      <c r="AX134" s="326">
        <f t="shared" si="248"/>
        <v>0.22225661662281382</v>
      </c>
      <c r="AY134" s="326">
        <f t="shared" ref="AY134:CD134" si="249">IF(ISERROR(AY38/AY82),"",AY38/AY82)</f>
        <v>0.20644838790302425</v>
      </c>
      <c r="AZ134" s="326">
        <f t="shared" si="249"/>
        <v>0.18937425029988006</v>
      </c>
      <c r="BA134" s="326">
        <f t="shared" si="249"/>
        <v>0.18639583893821182</v>
      </c>
      <c r="BB134" s="325">
        <f t="shared" si="249"/>
        <v>0.20054346495630249</v>
      </c>
      <c r="BC134" s="326">
        <f t="shared" si="249"/>
        <v>0.21748795850314931</v>
      </c>
      <c r="BD134" s="326">
        <f t="shared" si="249"/>
        <v>0.17827183130873253</v>
      </c>
      <c r="BE134" s="326">
        <f t="shared" si="249"/>
        <v>0.16009941256213286</v>
      </c>
      <c r="BF134" s="326">
        <f t="shared" si="249"/>
        <v>0.18477799313021068</v>
      </c>
      <c r="BG134" s="325">
        <f t="shared" si="249"/>
        <v>0.18396897832338413</v>
      </c>
      <c r="BH134" s="609">
        <f t="shared" si="249"/>
        <v>0.16897141461031029</v>
      </c>
      <c r="BI134" s="609">
        <f t="shared" si="249"/>
        <v>0.15980948060784758</v>
      </c>
      <c r="BJ134" s="609">
        <f t="shared" si="249"/>
        <v>0.14871342078708374</v>
      </c>
      <c r="BK134" s="609">
        <f t="shared" si="249"/>
        <v>0.12232303416707536</v>
      </c>
      <c r="BL134" s="610">
        <f t="shared" si="249"/>
        <v>0.14886185848703201</v>
      </c>
      <c r="BM134" s="609">
        <f t="shared" si="249"/>
        <v>0.12388821165741117</v>
      </c>
      <c r="BN134" s="609">
        <f t="shared" si="249"/>
        <v>0.14211791549525324</v>
      </c>
      <c r="BO134" s="609">
        <f t="shared" si="249"/>
        <v>0.15671786142597394</v>
      </c>
      <c r="BP134" s="609">
        <f t="shared" si="249"/>
        <v>0.13570610444152209</v>
      </c>
      <c r="BQ134" s="610">
        <f t="shared" si="249"/>
        <v>0.1402709282726762</v>
      </c>
      <c r="BR134" s="609">
        <f t="shared" si="249"/>
        <v>0.16167373630258042</v>
      </c>
      <c r="BS134" s="609">
        <f t="shared" si="249"/>
        <v>0.12033932538881034</v>
      </c>
      <c r="BT134" s="609">
        <f t="shared" si="249"/>
        <v>0.13641308896141938</v>
      </c>
      <c r="BU134" s="609">
        <f t="shared" si="249"/>
        <v>0.11238512410890664</v>
      </c>
      <c r="BV134" s="610">
        <f t="shared" si="249"/>
        <v>0.13233443656089075</v>
      </c>
      <c r="BW134" s="609">
        <f t="shared" si="249"/>
        <v>0.12003096398160375</v>
      </c>
      <c r="BX134" s="609">
        <f t="shared" si="249"/>
        <v>0.12598151923994622</v>
      </c>
      <c r="BY134" s="609">
        <f t="shared" si="249"/>
        <v>0</v>
      </c>
      <c r="BZ134" s="609">
        <f t="shared" si="249"/>
        <v>0</v>
      </c>
      <c r="CA134" s="610">
        <f t="shared" si="249"/>
        <v>5.8933035476836336E-2</v>
      </c>
      <c r="CB134" s="609">
        <f t="shared" si="249"/>
        <v>0</v>
      </c>
      <c r="CC134" s="609">
        <f t="shared" si="249"/>
        <v>0</v>
      </c>
      <c r="CD134" s="609">
        <f t="shared" si="249"/>
        <v>0</v>
      </c>
      <c r="CE134" s="609">
        <f t="shared" ref="CE134:DJ134" si="250">IF(ISERROR(CE38/CE82),"",CE38/CE82)</f>
        <v>0</v>
      </c>
      <c r="CF134" s="610">
        <f t="shared" si="250"/>
        <v>0</v>
      </c>
      <c r="CG134" s="609">
        <f t="shared" si="250"/>
        <v>0</v>
      </c>
      <c r="CH134" s="609">
        <f t="shared" si="250"/>
        <v>0</v>
      </c>
      <c r="CI134" s="609">
        <f t="shared" si="250"/>
        <v>0</v>
      </c>
      <c r="CJ134" s="609">
        <f t="shared" si="250"/>
        <v>0</v>
      </c>
      <c r="CK134" s="610">
        <f t="shared" si="250"/>
        <v>0</v>
      </c>
      <c r="CL134" s="609">
        <f t="shared" si="250"/>
        <v>0</v>
      </c>
      <c r="CM134" s="609">
        <f t="shared" si="250"/>
        <v>0</v>
      </c>
      <c r="CN134" s="609">
        <f t="shared" si="250"/>
        <v>0</v>
      </c>
      <c r="CO134" s="609">
        <f t="shared" si="250"/>
        <v>0</v>
      </c>
      <c r="CP134" s="610">
        <f t="shared" si="250"/>
        <v>0</v>
      </c>
      <c r="CQ134" s="609">
        <f t="shared" si="250"/>
        <v>0</v>
      </c>
      <c r="CR134" s="609">
        <f t="shared" si="250"/>
        <v>0</v>
      </c>
      <c r="CS134" s="609">
        <f t="shared" si="250"/>
        <v>0</v>
      </c>
      <c r="CT134" s="609">
        <f t="shared" si="250"/>
        <v>0</v>
      </c>
      <c r="CU134" s="610">
        <f t="shared" si="250"/>
        <v>0</v>
      </c>
      <c r="CV134" s="609">
        <f t="shared" si="250"/>
        <v>0</v>
      </c>
      <c r="CW134" s="609">
        <f t="shared" si="250"/>
        <v>0</v>
      </c>
      <c r="CX134" s="609">
        <f t="shared" si="250"/>
        <v>0</v>
      </c>
      <c r="CY134" s="609">
        <f t="shared" si="250"/>
        <v>0</v>
      </c>
      <c r="CZ134" s="610">
        <f t="shared" si="250"/>
        <v>0</v>
      </c>
      <c r="DA134" s="609">
        <f t="shared" si="250"/>
        <v>0</v>
      </c>
      <c r="DB134" s="609">
        <f t="shared" si="250"/>
        <v>0</v>
      </c>
      <c r="DC134" s="609">
        <f t="shared" si="250"/>
        <v>0</v>
      </c>
      <c r="DD134" s="609">
        <f t="shared" si="250"/>
        <v>0</v>
      </c>
      <c r="DE134" s="610">
        <f t="shared" si="250"/>
        <v>0</v>
      </c>
      <c r="DF134" s="609">
        <f t="shared" si="250"/>
        <v>0</v>
      </c>
      <c r="DG134" s="609">
        <f t="shared" si="250"/>
        <v>0</v>
      </c>
      <c r="DH134" s="609">
        <f t="shared" si="250"/>
        <v>0</v>
      </c>
      <c r="DI134" s="609">
        <f t="shared" si="250"/>
        <v>0</v>
      </c>
      <c r="DJ134" s="610">
        <f t="shared" si="250"/>
        <v>0</v>
      </c>
      <c r="DK134" s="609">
        <f t="shared" ref="DK134:EB134" si="251">IF(ISERROR(DK38/DK82),"",DK38/DK82)</f>
        <v>0</v>
      </c>
      <c r="DL134" s="609">
        <f t="shared" si="251"/>
        <v>0</v>
      </c>
      <c r="DM134" s="609">
        <f t="shared" si="251"/>
        <v>0</v>
      </c>
      <c r="DN134" s="609">
        <f t="shared" si="251"/>
        <v>0</v>
      </c>
      <c r="DO134" s="610">
        <f t="shared" si="251"/>
        <v>0</v>
      </c>
      <c r="DP134" s="609">
        <f t="shared" si="251"/>
        <v>0</v>
      </c>
      <c r="DQ134" s="609">
        <f t="shared" si="251"/>
        <v>0</v>
      </c>
      <c r="DR134" s="609">
        <f t="shared" si="251"/>
        <v>0</v>
      </c>
      <c r="DS134" s="609">
        <f t="shared" si="251"/>
        <v>0</v>
      </c>
      <c r="DT134" s="610">
        <f t="shared" si="251"/>
        <v>0</v>
      </c>
      <c r="DU134" s="609">
        <f t="shared" si="251"/>
        <v>0</v>
      </c>
      <c r="DV134" s="609">
        <f t="shared" si="251"/>
        <v>0</v>
      </c>
      <c r="DW134" s="609">
        <f t="shared" si="251"/>
        <v>0</v>
      </c>
      <c r="DX134" s="609">
        <f t="shared" si="251"/>
        <v>0</v>
      </c>
      <c r="DY134" s="610">
        <f t="shared" si="251"/>
        <v>0</v>
      </c>
      <c r="DZ134" s="610">
        <f t="shared" si="251"/>
        <v>0</v>
      </c>
      <c r="EA134" s="610">
        <f t="shared" si="251"/>
        <v>0</v>
      </c>
      <c r="EB134" s="610">
        <f t="shared" si="251"/>
        <v>0</v>
      </c>
    </row>
    <row r="135" spans="2:132" s="241" customFormat="1" ht="12" hidden="1" customHeight="1">
      <c r="B135" s="311" t="s">
        <v>107</v>
      </c>
      <c r="C135" s="301"/>
      <c r="D135" s="301"/>
      <c r="E135" s="301"/>
      <c r="F135" s="301"/>
      <c r="G135" s="301"/>
      <c r="H135" s="301"/>
      <c r="I135" s="301"/>
      <c r="J135" s="242"/>
      <c r="K135" s="242"/>
      <c r="L135" s="242"/>
      <c r="M135" s="242"/>
      <c r="N135" s="301"/>
      <c r="O135" s="242"/>
      <c r="P135" s="242"/>
      <c r="Q135" s="242"/>
      <c r="R135" s="242"/>
      <c r="S135" s="301">
        <f t="shared" ref="S135:AX135" si="252">IF(ISERROR(S39/S82),"",S39/S82)</f>
        <v>0.22342966542073114</v>
      </c>
      <c r="T135" s="242">
        <f t="shared" si="252"/>
        <v>0.19293325855300056</v>
      </c>
      <c r="U135" s="242">
        <f t="shared" si="252"/>
        <v>0.19665020685973575</v>
      </c>
      <c r="V135" s="242">
        <f t="shared" si="252"/>
        <v>0.19377162629757785</v>
      </c>
      <c r="W135" s="242">
        <f t="shared" si="252"/>
        <v>0.19525682686277862</v>
      </c>
      <c r="X135" s="301">
        <f t="shared" si="252"/>
        <v>0.19470177149358037</v>
      </c>
      <c r="Y135" s="242">
        <f t="shared" si="252"/>
        <v>0.185876993166287</v>
      </c>
      <c r="Z135" s="242">
        <f t="shared" si="252"/>
        <v>0.17283298097251584</v>
      </c>
      <c r="AA135" s="242">
        <f t="shared" si="252"/>
        <v>0.18199430889386692</v>
      </c>
      <c r="AB135" s="242">
        <f t="shared" si="252"/>
        <v>0.16541740573324942</v>
      </c>
      <c r="AC135" s="301">
        <f t="shared" si="252"/>
        <v>0.17617907120369952</v>
      </c>
      <c r="AD135" s="242">
        <f t="shared" si="252"/>
        <v>0.16848030018761725</v>
      </c>
      <c r="AE135" s="242">
        <f t="shared" si="252"/>
        <v>0.16531069449357388</v>
      </c>
      <c r="AF135" s="242">
        <f t="shared" si="252"/>
        <v>0.1951219512195122</v>
      </c>
      <c r="AG135" s="242">
        <f t="shared" si="252"/>
        <v>0.22636894429540791</v>
      </c>
      <c r="AH135" s="301">
        <f t="shared" si="252"/>
        <v>0.1863293882040086</v>
      </c>
      <c r="AI135" s="242">
        <f t="shared" si="252"/>
        <v>0.16228335959277662</v>
      </c>
      <c r="AJ135" s="242">
        <f t="shared" si="252"/>
        <v>0.18089075434301038</v>
      </c>
      <c r="AK135" s="242">
        <f t="shared" si="252"/>
        <v>0.16245206136145734</v>
      </c>
      <c r="AL135" s="242">
        <f t="shared" si="252"/>
        <v>0.13296537882589063</v>
      </c>
      <c r="AM135" s="301">
        <f t="shared" si="252"/>
        <v>0.15929760841229626</v>
      </c>
      <c r="AN135" s="242">
        <f t="shared" si="252"/>
        <v>0.15266824395373291</v>
      </c>
      <c r="AO135" s="242">
        <f t="shared" si="252"/>
        <v>0.15115905734283697</v>
      </c>
      <c r="AP135" s="242">
        <f t="shared" si="252"/>
        <v>0.13815052749454823</v>
      </c>
      <c r="AQ135" s="242">
        <f t="shared" si="252"/>
        <v>0.14706948640483383</v>
      </c>
      <c r="AR135" s="301">
        <f t="shared" si="252"/>
        <v>0.14703138120859641</v>
      </c>
      <c r="AS135" s="242">
        <f t="shared" si="252"/>
        <v>0.15754527162977866</v>
      </c>
      <c r="AT135" s="242">
        <f t="shared" si="252"/>
        <v>0.12579338693102823</v>
      </c>
      <c r="AU135" s="242">
        <f t="shared" si="252"/>
        <v>0.12839171884695663</v>
      </c>
      <c r="AV135" s="242">
        <f t="shared" si="252"/>
        <v>0.10058808488877526</v>
      </c>
      <c r="AW135" s="301">
        <f t="shared" si="252"/>
        <v>0.12618025751072962</v>
      </c>
      <c r="AX135" s="242">
        <f t="shared" si="252"/>
        <v>9.2606923592839091E-2</v>
      </c>
      <c r="AY135" s="242">
        <f t="shared" ref="AY135:CD135" si="253">IF(ISERROR(AY39/AY82),"",AY39/AY82)</f>
        <v>9.4326418395401151E-2</v>
      </c>
      <c r="AZ135" s="242">
        <f t="shared" si="253"/>
        <v>9.9460215913634548E-2</v>
      </c>
      <c r="BA135" s="242">
        <f t="shared" si="253"/>
        <v>8.5732221325441671E-2</v>
      </c>
      <c r="BB135" s="301">
        <f t="shared" si="253"/>
        <v>9.2829689833288459E-2</v>
      </c>
      <c r="BC135" s="242">
        <f t="shared" si="253"/>
        <v>0.10374212671359763</v>
      </c>
      <c r="BD135" s="242">
        <f t="shared" si="253"/>
        <v>9.3926197570479028E-2</v>
      </c>
      <c r="BE135" s="242">
        <f t="shared" si="253"/>
        <v>0.1008133755083597</v>
      </c>
      <c r="BF135" s="242">
        <f t="shared" si="253"/>
        <v>9.5521183251840419E-2</v>
      </c>
      <c r="BG135" s="301">
        <f t="shared" si="253"/>
        <v>9.8264554686787506E-2</v>
      </c>
      <c r="BH135" s="145">
        <f t="shared" si="253"/>
        <v>9.1668702663083315E-2</v>
      </c>
      <c r="BI135" s="145">
        <f t="shared" si="253"/>
        <v>8.7094579269675662E-2</v>
      </c>
      <c r="BJ135" s="145">
        <f t="shared" si="253"/>
        <v>8.5225361587621937E-2</v>
      </c>
      <c r="BK135" s="145">
        <f t="shared" si="253"/>
        <v>8.9095962072911553E-2</v>
      </c>
      <c r="BL135" s="144">
        <f t="shared" si="253"/>
        <v>8.8175668231198073E-2</v>
      </c>
      <c r="BM135" s="145">
        <f t="shared" si="253"/>
        <v>7.8197661293963605E-2</v>
      </c>
      <c r="BN135" s="145">
        <f t="shared" si="253"/>
        <v>7.8963451900745635E-2</v>
      </c>
      <c r="BO135" s="145">
        <f t="shared" si="253"/>
        <v>8.2285581647259076E-2</v>
      </c>
      <c r="BP135" s="145">
        <f t="shared" si="253"/>
        <v>8.2891443600729642E-2</v>
      </c>
      <c r="BQ135" s="144">
        <f t="shared" si="253"/>
        <v>8.0643818798510097E-2</v>
      </c>
      <c r="BR135" s="145">
        <f t="shared" si="253"/>
        <v>7.6661364439731358E-2</v>
      </c>
      <c r="BS135" s="145">
        <f t="shared" si="253"/>
        <v>7.3116542112704505E-2</v>
      </c>
      <c r="BT135" s="145">
        <f t="shared" si="253"/>
        <v>7.1177504393673111E-2</v>
      </c>
      <c r="BU135" s="145">
        <f t="shared" si="253"/>
        <v>7.7299665034784845E-2</v>
      </c>
      <c r="BV135" s="144">
        <f t="shared" si="253"/>
        <v>7.4504869357414003E-2</v>
      </c>
      <c r="BW135" s="145">
        <f t="shared" si="253"/>
        <v>7.1217157688629851E-2</v>
      </c>
      <c r="BX135" s="145">
        <f t="shared" si="253"/>
        <v>7.262157823955577E-2</v>
      </c>
      <c r="BY135" s="145">
        <f t="shared" si="253"/>
        <v>0</v>
      </c>
      <c r="BZ135" s="145">
        <f t="shared" si="253"/>
        <v>0</v>
      </c>
      <c r="CA135" s="144">
        <f t="shared" si="253"/>
        <v>3.444497633104622E-2</v>
      </c>
      <c r="CB135" s="145">
        <f t="shared" si="253"/>
        <v>0</v>
      </c>
      <c r="CC135" s="145">
        <f t="shared" si="253"/>
        <v>0</v>
      </c>
      <c r="CD135" s="145">
        <f t="shared" si="253"/>
        <v>0</v>
      </c>
      <c r="CE135" s="145">
        <f t="shared" ref="CE135:DJ135" si="254">IF(ISERROR(CE39/CE82),"",CE39/CE82)</f>
        <v>0</v>
      </c>
      <c r="CF135" s="144">
        <f t="shared" si="254"/>
        <v>0</v>
      </c>
      <c r="CG135" s="145">
        <f t="shared" si="254"/>
        <v>0</v>
      </c>
      <c r="CH135" s="145">
        <f t="shared" si="254"/>
        <v>0</v>
      </c>
      <c r="CI135" s="145">
        <f t="shared" si="254"/>
        <v>0</v>
      </c>
      <c r="CJ135" s="145">
        <f t="shared" si="254"/>
        <v>0</v>
      </c>
      <c r="CK135" s="144">
        <f t="shared" si="254"/>
        <v>0</v>
      </c>
      <c r="CL135" s="145">
        <f t="shared" si="254"/>
        <v>0</v>
      </c>
      <c r="CM135" s="145">
        <f t="shared" si="254"/>
        <v>0</v>
      </c>
      <c r="CN135" s="145">
        <f t="shared" si="254"/>
        <v>0</v>
      </c>
      <c r="CO135" s="145">
        <f t="shared" si="254"/>
        <v>0</v>
      </c>
      <c r="CP135" s="144">
        <f t="shared" si="254"/>
        <v>0</v>
      </c>
      <c r="CQ135" s="145">
        <f t="shared" si="254"/>
        <v>0</v>
      </c>
      <c r="CR135" s="145">
        <f t="shared" si="254"/>
        <v>0</v>
      </c>
      <c r="CS135" s="145">
        <f t="shared" si="254"/>
        <v>0</v>
      </c>
      <c r="CT135" s="145">
        <f t="shared" si="254"/>
        <v>0</v>
      </c>
      <c r="CU135" s="144">
        <f t="shared" si="254"/>
        <v>0</v>
      </c>
      <c r="CV135" s="145">
        <f t="shared" si="254"/>
        <v>0</v>
      </c>
      <c r="CW135" s="145">
        <f t="shared" si="254"/>
        <v>0</v>
      </c>
      <c r="CX135" s="145">
        <f t="shared" si="254"/>
        <v>0</v>
      </c>
      <c r="CY135" s="145">
        <f t="shared" si="254"/>
        <v>0</v>
      </c>
      <c r="CZ135" s="144">
        <f t="shared" si="254"/>
        <v>0</v>
      </c>
      <c r="DA135" s="145">
        <f t="shared" si="254"/>
        <v>0</v>
      </c>
      <c r="DB135" s="145">
        <f t="shared" si="254"/>
        <v>0</v>
      </c>
      <c r="DC135" s="145">
        <f t="shared" si="254"/>
        <v>0</v>
      </c>
      <c r="DD135" s="145">
        <f t="shared" si="254"/>
        <v>0</v>
      </c>
      <c r="DE135" s="144">
        <f t="shared" si="254"/>
        <v>0</v>
      </c>
      <c r="DF135" s="145">
        <f t="shared" si="254"/>
        <v>0</v>
      </c>
      <c r="DG135" s="145">
        <f t="shared" si="254"/>
        <v>0</v>
      </c>
      <c r="DH135" s="145">
        <f t="shared" si="254"/>
        <v>0</v>
      </c>
      <c r="DI135" s="145">
        <f t="shared" si="254"/>
        <v>0</v>
      </c>
      <c r="DJ135" s="144">
        <f t="shared" si="254"/>
        <v>0</v>
      </c>
      <c r="DK135" s="145">
        <f t="shared" ref="DK135:EB135" si="255">IF(ISERROR(DK39/DK82),"",DK39/DK82)</f>
        <v>0</v>
      </c>
      <c r="DL135" s="145">
        <f t="shared" si="255"/>
        <v>0</v>
      </c>
      <c r="DM135" s="145">
        <f t="shared" si="255"/>
        <v>0</v>
      </c>
      <c r="DN135" s="145">
        <f t="shared" si="255"/>
        <v>0</v>
      </c>
      <c r="DO135" s="144">
        <f t="shared" si="255"/>
        <v>0</v>
      </c>
      <c r="DP135" s="145">
        <f t="shared" si="255"/>
        <v>0</v>
      </c>
      <c r="DQ135" s="145">
        <f t="shared" si="255"/>
        <v>0</v>
      </c>
      <c r="DR135" s="145">
        <f t="shared" si="255"/>
        <v>0</v>
      </c>
      <c r="DS135" s="145">
        <f t="shared" si="255"/>
        <v>0</v>
      </c>
      <c r="DT135" s="144">
        <f t="shared" si="255"/>
        <v>0</v>
      </c>
      <c r="DU135" s="145">
        <f t="shared" si="255"/>
        <v>0</v>
      </c>
      <c r="DV135" s="145">
        <f t="shared" si="255"/>
        <v>0</v>
      </c>
      <c r="DW135" s="145">
        <f t="shared" si="255"/>
        <v>0</v>
      </c>
      <c r="DX135" s="145">
        <f t="shared" si="255"/>
        <v>0</v>
      </c>
      <c r="DY135" s="144">
        <f t="shared" si="255"/>
        <v>0</v>
      </c>
      <c r="DZ135" s="144">
        <f t="shared" si="255"/>
        <v>0</v>
      </c>
      <c r="EA135" s="144">
        <f t="shared" si="255"/>
        <v>0</v>
      </c>
      <c r="EB135" s="144">
        <f t="shared" si="255"/>
        <v>0</v>
      </c>
    </row>
    <row r="136" spans="2:132" s="241" customFormat="1" ht="12" hidden="1" customHeight="1">
      <c r="B136" s="311" t="s">
        <v>108</v>
      </c>
      <c r="C136" s="229"/>
      <c r="D136" s="229"/>
      <c r="E136" s="229"/>
      <c r="F136" s="229"/>
      <c r="G136" s="229"/>
      <c r="H136" s="229"/>
      <c r="I136" s="229"/>
      <c r="J136" s="230"/>
      <c r="K136" s="230"/>
      <c r="L136" s="230"/>
      <c r="M136" s="230"/>
      <c r="N136" s="229"/>
      <c r="O136" s="230"/>
      <c r="P136" s="230"/>
      <c r="Q136" s="230"/>
      <c r="R136" s="230"/>
      <c r="S136" s="229">
        <f t="shared" ref="S136:AX136" si="256">IF(ISERROR(S40/S82),"",S40/S82)</f>
        <v>9.7401768620658219E-2</v>
      </c>
      <c r="T136" s="230">
        <f t="shared" si="256"/>
        <v>9.0227145260796407E-2</v>
      </c>
      <c r="U136" s="230">
        <f t="shared" si="256"/>
        <v>9.4488188976377951E-2</v>
      </c>
      <c r="V136" s="230">
        <f t="shared" si="256"/>
        <v>9.919261822376009E-2</v>
      </c>
      <c r="W136" s="230">
        <f t="shared" si="256"/>
        <v>0.11082606464853771</v>
      </c>
      <c r="X136" s="229">
        <f t="shared" si="256"/>
        <v>9.9284901673980172E-2</v>
      </c>
      <c r="Y136" s="230">
        <f t="shared" si="256"/>
        <v>0.10309144158802473</v>
      </c>
      <c r="Z136" s="230">
        <f t="shared" si="256"/>
        <v>9.4902513507164665E-2</v>
      </c>
      <c r="AA136" s="230">
        <f t="shared" si="256"/>
        <v>9.9412726282012476E-2</v>
      </c>
      <c r="AB136" s="230">
        <f t="shared" si="256"/>
        <v>0.10625393374148881</v>
      </c>
      <c r="AC136" s="229">
        <f t="shared" si="256"/>
        <v>0.10090831036196846</v>
      </c>
      <c r="AD136" s="230">
        <f t="shared" si="256"/>
        <v>0.10500312695434647</v>
      </c>
      <c r="AE136" s="230">
        <f t="shared" si="256"/>
        <v>0.10995165664426365</v>
      </c>
      <c r="AF136" s="230">
        <f t="shared" si="256"/>
        <v>0.11351598770679396</v>
      </c>
      <c r="AG136" s="230">
        <f t="shared" si="256"/>
        <v>0.15906580400820577</v>
      </c>
      <c r="AH136" s="229">
        <f t="shared" si="256"/>
        <v>0.11976559037410332</v>
      </c>
      <c r="AI136" s="230">
        <f t="shared" si="256"/>
        <v>0.12313658950430251</v>
      </c>
      <c r="AJ136" s="230">
        <f t="shared" si="256"/>
        <v>0.1273172437915355</v>
      </c>
      <c r="AK136" s="230">
        <f t="shared" si="256"/>
        <v>0.12476030680728667</v>
      </c>
      <c r="AL136" s="230">
        <f t="shared" si="256"/>
        <v>0.13541840887550871</v>
      </c>
      <c r="AM136" s="229">
        <f t="shared" si="256"/>
        <v>0.12781007893850413</v>
      </c>
      <c r="AN136" s="230">
        <f t="shared" si="256"/>
        <v>0.13466088328075709</v>
      </c>
      <c r="AO136" s="230">
        <f t="shared" si="256"/>
        <v>0.13157387786553651</v>
      </c>
      <c r="AP136" s="230">
        <f t="shared" si="256"/>
        <v>0.12070489774267697</v>
      </c>
      <c r="AQ136" s="230">
        <f t="shared" si="256"/>
        <v>0.1271299093655589</v>
      </c>
      <c r="AR136" s="229">
        <f t="shared" si="256"/>
        <v>0.12829284981183717</v>
      </c>
      <c r="AS136" s="230">
        <f t="shared" si="256"/>
        <v>0.12582159624413145</v>
      </c>
      <c r="AT136" s="230">
        <f t="shared" si="256"/>
        <v>0.11878135767394064</v>
      </c>
      <c r="AU136" s="230">
        <f t="shared" si="256"/>
        <v>0.11056580357646528</v>
      </c>
      <c r="AV136" s="230">
        <f t="shared" si="256"/>
        <v>0.13065712094093582</v>
      </c>
      <c r="AW136" s="229">
        <f t="shared" si="256"/>
        <v>0.12156834218374918</v>
      </c>
      <c r="AX136" s="230">
        <f t="shared" si="256"/>
        <v>0.10989010989010989</v>
      </c>
      <c r="AY136" s="230">
        <f t="shared" ref="AY136:CD136" si="257">IF(ISERROR(AY40/AY82),"",AY40/AY82)</f>
        <v>0.1087228192951762</v>
      </c>
      <c r="AZ136" s="230">
        <f t="shared" si="257"/>
        <v>0.10295881647341064</v>
      </c>
      <c r="BA136" s="230">
        <f t="shared" si="257"/>
        <v>0.10196394942157654</v>
      </c>
      <c r="BB136" s="229">
        <f t="shared" si="257"/>
        <v>0.1057431026463316</v>
      </c>
      <c r="BC136" s="230">
        <f t="shared" si="257"/>
        <v>0.1080294288890065</v>
      </c>
      <c r="BD136" s="230">
        <f t="shared" si="257"/>
        <v>0.10304836121934449</v>
      </c>
      <c r="BE136" s="230">
        <f t="shared" si="257"/>
        <v>0.10266606416629011</v>
      </c>
      <c r="BF136" s="230">
        <f t="shared" si="257"/>
        <v>9.1989590209078723E-2</v>
      </c>
      <c r="BG136" s="229">
        <f t="shared" si="257"/>
        <v>0.10100053911591915</v>
      </c>
      <c r="BH136" s="230">
        <f t="shared" si="257"/>
        <v>0.11233813828487661</v>
      </c>
      <c r="BI136" s="230">
        <f t="shared" si="257"/>
        <v>0.1045134951236108</v>
      </c>
      <c r="BJ136" s="230">
        <f t="shared" si="257"/>
        <v>9.8763874873864788E-2</v>
      </c>
      <c r="BK136" s="230">
        <f t="shared" si="257"/>
        <v>9.8700343305541935E-2</v>
      </c>
      <c r="BL136" s="229">
        <f t="shared" si="257"/>
        <v>0.10320398404618673</v>
      </c>
      <c r="BM136" s="230">
        <f t="shared" si="257"/>
        <v>0.10081719264978103</v>
      </c>
      <c r="BN136" s="230">
        <f t="shared" si="257"/>
        <v>8.6297518640752968E-2</v>
      </c>
      <c r="BO136" s="230">
        <f t="shared" si="257"/>
        <v>8.402646137181323E-2</v>
      </c>
      <c r="BP136" s="230">
        <f t="shared" si="257"/>
        <v>0.1116531625164383</v>
      </c>
      <c r="BQ136" s="229">
        <f t="shared" si="257"/>
        <v>9.5251472210083857E-2</v>
      </c>
      <c r="BR136" s="230">
        <f t="shared" si="257"/>
        <v>0.11320254506892895</v>
      </c>
      <c r="BS136" s="230">
        <f t="shared" si="257"/>
        <v>9.6344172894364769E-2</v>
      </c>
      <c r="BT136" s="230">
        <f t="shared" si="257"/>
        <v>0.10657795631433593</v>
      </c>
      <c r="BU136" s="230">
        <f t="shared" si="257"/>
        <v>0.10491282315554411</v>
      </c>
      <c r="BV136" s="229">
        <f t="shared" si="257"/>
        <v>0.10507449429529137</v>
      </c>
      <c r="BW136" s="230">
        <f t="shared" si="257"/>
        <v>0.10618824279404399</v>
      </c>
      <c r="BX136" s="230">
        <f t="shared" si="257"/>
        <v>0.10012580799097653</v>
      </c>
      <c r="BY136" s="230">
        <f t="shared" si="257"/>
        <v>0</v>
      </c>
      <c r="BZ136" s="230">
        <f t="shared" si="257"/>
        <v>0</v>
      </c>
      <c r="CA136" s="229">
        <f t="shared" si="257"/>
        <v>4.9359076644859314E-2</v>
      </c>
      <c r="CB136" s="230">
        <f t="shared" si="257"/>
        <v>0</v>
      </c>
      <c r="CC136" s="230">
        <f t="shared" si="257"/>
        <v>0</v>
      </c>
      <c r="CD136" s="230">
        <f t="shared" si="257"/>
        <v>0</v>
      </c>
      <c r="CE136" s="230">
        <f t="shared" ref="CE136:DJ136" si="258">IF(ISERROR(CE40/CE82),"",CE40/CE82)</f>
        <v>0</v>
      </c>
      <c r="CF136" s="229">
        <f t="shared" si="258"/>
        <v>0</v>
      </c>
      <c r="CG136" s="230">
        <f t="shared" si="258"/>
        <v>0</v>
      </c>
      <c r="CH136" s="230">
        <f t="shared" si="258"/>
        <v>0</v>
      </c>
      <c r="CI136" s="230">
        <f t="shared" si="258"/>
        <v>0</v>
      </c>
      <c r="CJ136" s="230">
        <f t="shared" si="258"/>
        <v>0</v>
      </c>
      <c r="CK136" s="229">
        <f t="shared" si="258"/>
        <v>0</v>
      </c>
      <c r="CL136" s="230">
        <f t="shared" si="258"/>
        <v>0</v>
      </c>
      <c r="CM136" s="230">
        <f t="shared" si="258"/>
        <v>0</v>
      </c>
      <c r="CN136" s="230">
        <f t="shared" si="258"/>
        <v>0</v>
      </c>
      <c r="CO136" s="230">
        <f t="shared" si="258"/>
        <v>0</v>
      </c>
      <c r="CP136" s="229">
        <f t="shared" si="258"/>
        <v>0</v>
      </c>
      <c r="CQ136" s="230">
        <f t="shared" si="258"/>
        <v>0</v>
      </c>
      <c r="CR136" s="230">
        <f t="shared" si="258"/>
        <v>0</v>
      </c>
      <c r="CS136" s="230">
        <f t="shared" si="258"/>
        <v>0</v>
      </c>
      <c r="CT136" s="230">
        <f t="shared" si="258"/>
        <v>0</v>
      </c>
      <c r="CU136" s="229">
        <f t="shared" si="258"/>
        <v>0</v>
      </c>
      <c r="CV136" s="230">
        <f t="shared" si="258"/>
        <v>0</v>
      </c>
      <c r="CW136" s="230">
        <f t="shared" si="258"/>
        <v>0</v>
      </c>
      <c r="CX136" s="230">
        <f t="shared" si="258"/>
        <v>0</v>
      </c>
      <c r="CY136" s="230">
        <f t="shared" si="258"/>
        <v>0</v>
      </c>
      <c r="CZ136" s="229">
        <f t="shared" si="258"/>
        <v>0</v>
      </c>
      <c r="DA136" s="230">
        <f t="shared" si="258"/>
        <v>0</v>
      </c>
      <c r="DB136" s="230">
        <f t="shared" si="258"/>
        <v>0</v>
      </c>
      <c r="DC136" s="230">
        <f t="shared" si="258"/>
        <v>0</v>
      </c>
      <c r="DD136" s="230">
        <f t="shared" si="258"/>
        <v>0</v>
      </c>
      <c r="DE136" s="229">
        <f t="shared" si="258"/>
        <v>0</v>
      </c>
      <c r="DF136" s="230">
        <f t="shared" si="258"/>
        <v>0</v>
      </c>
      <c r="DG136" s="230">
        <f t="shared" si="258"/>
        <v>0</v>
      </c>
      <c r="DH136" s="230">
        <f t="shared" si="258"/>
        <v>0</v>
      </c>
      <c r="DI136" s="230">
        <f t="shared" si="258"/>
        <v>0</v>
      </c>
      <c r="DJ136" s="229">
        <f t="shared" si="258"/>
        <v>0</v>
      </c>
      <c r="DK136" s="230">
        <f t="shared" ref="DK136:EB136" si="259">IF(ISERROR(DK40/DK82),"",DK40/DK82)</f>
        <v>0</v>
      </c>
      <c r="DL136" s="230">
        <f t="shared" si="259"/>
        <v>0</v>
      </c>
      <c r="DM136" s="230">
        <f t="shared" si="259"/>
        <v>0</v>
      </c>
      <c r="DN136" s="230">
        <f t="shared" si="259"/>
        <v>0</v>
      </c>
      <c r="DO136" s="229">
        <f t="shared" si="259"/>
        <v>0</v>
      </c>
      <c r="DP136" s="230">
        <f t="shared" si="259"/>
        <v>0</v>
      </c>
      <c r="DQ136" s="230">
        <f t="shared" si="259"/>
        <v>0</v>
      </c>
      <c r="DR136" s="230">
        <f t="shared" si="259"/>
        <v>0</v>
      </c>
      <c r="DS136" s="230">
        <f t="shared" si="259"/>
        <v>0</v>
      </c>
      <c r="DT136" s="229">
        <f t="shared" si="259"/>
        <v>0</v>
      </c>
      <c r="DU136" s="230">
        <f t="shared" si="259"/>
        <v>0</v>
      </c>
      <c r="DV136" s="230">
        <f t="shared" si="259"/>
        <v>0</v>
      </c>
      <c r="DW136" s="230">
        <f t="shared" si="259"/>
        <v>0</v>
      </c>
      <c r="DX136" s="230">
        <f t="shared" si="259"/>
        <v>0</v>
      </c>
      <c r="DY136" s="229">
        <f t="shared" si="259"/>
        <v>0</v>
      </c>
      <c r="DZ136" s="229">
        <f t="shared" si="259"/>
        <v>0</v>
      </c>
      <c r="EA136" s="229">
        <f t="shared" si="259"/>
        <v>0</v>
      </c>
      <c r="EB136" s="229">
        <f t="shared" si="259"/>
        <v>0</v>
      </c>
    </row>
    <row r="137" spans="2:132" s="241" customFormat="1" ht="12" hidden="1" customHeight="1">
      <c r="B137" s="324" t="s">
        <v>130</v>
      </c>
      <c r="C137" s="325"/>
      <c r="D137" s="325"/>
      <c r="E137" s="325"/>
      <c r="F137" s="325"/>
      <c r="G137" s="325">
        <f t="shared" ref="G137:S137" si="260">G41/G82</f>
        <v>0.16452455410838859</v>
      </c>
      <c r="H137" s="325">
        <f t="shared" si="260"/>
        <v>0.19547245186705875</v>
      </c>
      <c r="I137" s="325">
        <f t="shared" si="260"/>
        <v>0.2132514608299495</v>
      </c>
      <c r="J137" s="326">
        <f t="shared" si="260"/>
        <v>0.23311983949378809</v>
      </c>
      <c r="K137" s="326">
        <f t="shared" si="260"/>
        <v>0.20369804400977995</v>
      </c>
      <c r="L137" s="326">
        <f t="shared" si="260"/>
        <v>0.23395681265206814</v>
      </c>
      <c r="M137" s="326">
        <f t="shared" si="260"/>
        <v>0.19837079499170313</v>
      </c>
      <c r="N137" s="325">
        <f t="shared" si="260"/>
        <v>0.21720647387383954</v>
      </c>
      <c r="O137" s="326">
        <f t="shared" si="260"/>
        <v>0.20736120736120736</v>
      </c>
      <c r="P137" s="326">
        <f t="shared" si="260"/>
        <v>0.20481767367580517</v>
      </c>
      <c r="Q137" s="326">
        <f t="shared" si="260"/>
        <v>0.20381661255839734</v>
      </c>
      <c r="R137" s="326">
        <f t="shared" si="260"/>
        <v>0.2182240687275544</v>
      </c>
      <c r="S137" s="325">
        <f t="shared" si="260"/>
        <v>0.20866077126447261</v>
      </c>
      <c r="T137" s="249"/>
      <c r="U137" s="249"/>
      <c r="V137" s="249"/>
      <c r="W137" s="249"/>
      <c r="X137" s="248"/>
      <c r="Y137" s="249"/>
      <c r="Z137" s="249"/>
      <c r="AA137" s="249"/>
      <c r="AB137" s="249"/>
      <c r="AC137" s="248"/>
      <c r="AD137" s="249"/>
      <c r="AE137" s="249"/>
      <c r="AF137" s="249"/>
      <c r="AG137" s="249"/>
      <c r="AH137" s="248"/>
      <c r="AI137" s="249"/>
      <c r="AJ137" s="249"/>
      <c r="AK137" s="249"/>
      <c r="AL137" s="249"/>
      <c r="AM137" s="248"/>
      <c r="AN137" s="249"/>
      <c r="AO137" s="249"/>
      <c r="AP137" s="249"/>
      <c r="AQ137" s="249"/>
      <c r="AR137" s="248"/>
      <c r="AS137" s="249"/>
      <c r="AT137" s="249"/>
      <c r="AU137" s="249"/>
      <c r="AV137" s="249"/>
      <c r="AW137" s="248"/>
      <c r="AX137" s="249"/>
      <c r="AY137" s="249"/>
      <c r="AZ137" s="249"/>
      <c r="BA137" s="249"/>
      <c r="BB137" s="248"/>
      <c r="BC137" s="249"/>
      <c r="BD137" s="249"/>
      <c r="BE137" s="249"/>
      <c r="BF137" s="249"/>
      <c r="BG137" s="248"/>
      <c r="BH137" s="249"/>
      <c r="BI137" s="249"/>
      <c r="BJ137" s="249"/>
      <c r="BK137" s="249"/>
      <c r="BL137" s="248"/>
      <c r="BM137" s="249"/>
      <c r="BN137" s="249"/>
      <c r="BO137" s="249"/>
      <c r="BP137" s="249"/>
      <c r="BQ137" s="248"/>
      <c r="BR137" s="249"/>
      <c r="BS137" s="249"/>
      <c r="BT137" s="249"/>
      <c r="BU137" s="249"/>
      <c r="BV137" s="248"/>
      <c r="BW137" s="249"/>
      <c r="BX137" s="249"/>
      <c r="BY137" s="249"/>
      <c r="BZ137" s="249"/>
      <c r="CA137" s="248"/>
      <c r="CB137" s="249"/>
      <c r="CC137" s="249"/>
      <c r="CD137" s="249"/>
      <c r="CE137" s="249"/>
      <c r="CF137" s="248"/>
      <c r="CG137" s="249"/>
      <c r="CH137" s="249"/>
      <c r="CI137" s="249"/>
      <c r="CJ137" s="249"/>
      <c r="CK137" s="248"/>
      <c r="CL137" s="249"/>
      <c r="CM137" s="249"/>
      <c r="CN137" s="249"/>
      <c r="CO137" s="249"/>
      <c r="CP137" s="248"/>
      <c r="CQ137" s="249"/>
      <c r="CR137" s="249"/>
      <c r="CS137" s="249"/>
      <c r="CT137" s="249"/>
      <c r="CU137" s="248"/>
      <c r="CV137" s="249"/>
      <c r="CW137" s="249"/>
      <c r="CX137" s="249"/>
      <c r="CY137" s="249"/>
      <c r="CZ137" s="248"/>
      <c r="DA137" s="249"/>
      <c r="DB137" s="249"/>
      <c r="DC137" s="249"/>
      <c r="DD137" s="249"/>
      <c r="DE137" s="248"/>
      <c r="DF137" s="249"/>
      <c r="DG137" s="249"/>
      <c r="DH137" s="249"/>
      <c r="DI137" s="249"/>
      <c r="DJ137" s="248"/>
      <c r="DK137" s="249"/>
      <c r="DL137" s="249"/>
      <c r="DM137" s="249"/>
      <c r="DN137" s="249"/>
      <c r="DO137" s="248"/>
      <c r="DP137" s="249"/>
      <c r="DQ137" s="249"/>
      <c r="DR137" s="249"/>
      <c r="DS137" s="249"/>
      <c r="DT137" s="248"/>
      <c r="DU137" s="249"/>
      <c r="DV137" s="249"/>
      <c r="DW137" s="249"/>
      <c r="DX137" s="249"/>
      <c r="DY137" s="248"/>
      <c r="DZ137" s="248"/>
      <c r="EA137" s="248"/>
      <c r="EB137" s="248"/>
    </row>
    <row r="138" spans="2:132" s="241" customFormat="1" ht="12" hidden="1" customHeight="1">
      <c r="B138" s="311" t="s">
        <v>131</v>
      </c>
      <c r="C138" s="301"/>
      <c r="D138" s="301"/>
      <c r="E138" s="301"/>
      <c r="F138" s="301"/>
      <c r="G138" s="301">
        <f t="shared" ref="G138:S138" si="261">G42/G82</f>
        <v>0.10261521014467852</v>
      </c>
      <c r="H138" s="301">
        <f t="shared" si="261"/>
        <v>0.15004901144833455</v>
      </c>
      <c r="I138" s="301">
        <f t="shared" si="261"/>
        <v>0.185876993166287</v>
      </c>
      <c r="J138" s="242">
        <f t="shared" si="261"/>
        <v>0.19144995755845359</v>
      </c>
      <c r="K138" s="242">
        <f t="shared" si="261"/>
        <v>0.2082059902200489</v>
      </c>
      <c r="L138" s="242">
        <f t="shared" si="261"/>
        <v>0.24581812652068127</v>
      </c>
      <c r="M138" s="242">
        <f t="shared" si="261"/>
        <v>0.22575049027002564</v>
      </c>
      <c r="N138" s="301">
        <f t="shared" si="261"/>
        <v>0.21793087671807385</v>
      </c>
      <c r="O138" s="242">
        <f t="shared" si="261"/>
        <v>0.22160622160622159</v>
      </c>
      <c r="P138" s="242">
        <f t="shared" si="261"/>
        <v>0.18359063082246474</v>
      </c>
      <c r="Q138" s="242">
        <f t="shared" si="261"/>
        <v>0.21672341436376594</v>
      </c>
      <c r="R138" s="242">
        <f t="shared" si="261"/>
        <v>0.20350679529610591</v>
      </c>
      <c r="S138" s="301">
        <f t="shared" si="261"/>
        <v>0.20537879478530405</v>
      </c>
      <c r="T138" s="230"/>
      <c r="U138" s="230"/>
      <c r="V138" s="230"/>
      <c r="W138" s="230"/>
      <c r="X138" s="229"/>
      <c r="Y138" s="230"/>
      <c r="Z138" s="230"/>
      <c r="AA138" s="230"/>
      <c r="AB138" s="230"/>
      <c r="AC138" s="229"/>
      <c r="AD138" s="230"/>
      <c r="AE138" s="230"/>
      <c r="AF138" s="230"/>
      <c r="AG138" s="230"/>
      <c r="AH138" s="229"/>
      <c r="AI138" s="230"/>
      <c r="AJ138" s="230"/>
      <c r="AK138" s="230"/>
      <c r="AL138" s="230"/>
      <c r="AM138" s="229"/>
      <c r="AN138" s="230"/>
      <c r="AO138" s="230"/>
      <c r="AP138" s="230"/>
      <c r="AQ138" s="230"/>
      <c r="AR138" s="229"/>
      <c r="AS138" s="230"/>
      <c r="AT138" s="230"/>
      <c r="AU138" s="230"/>
      <c r="AV138" s="230"/>
      <c r="AW138" s="229"/>
      <c r="AX138" s="230"/>
      <c r="AY138" s="230"/>
      <c r="AZ138" s="230"/>
      <c r="BA138" s="230"/>
      <c r="BB138" s="229"/>
      <c r="BC138" s="230"/>
      <c r="BD138" s="230"/>
      <c r="BE138" s="230"/>
      <c r="BF138" s="230"/>
      <c r="BG138" s="229"/>
      <c r="BH138" s="230"/>
      <c r="BI138" s="230"/>
      <c r="BJ138" s="230"/>
      <c r="BK138" s="230"/>
      <c r="BL138" s="229"/>
      <c r="BM138" s="230"/>
      <c r="BN138" s="230"/>
      <c r="BO138" s="230"/>
      <c r="BP138" s="230"/>
      <c r="BQ138" s="229"/>
      <c r="BR138" s="230"/>
      <c r="BS138" s="230"/>
      <c r="BT138" s="230"/>
      <c r="BU138" s="230"/>
      <c r="BV138" s="229"/>
      <c r="BW138" s="230"/>
      <c r="BX138" s="230"/>
      <c r="BY138" s="230"/>
      <c r="BZ138" s="230"/>
      <c r="CA138" s="229"/>
      <c r="CB138" s="230"/>
      <c r="CC138" s="230"/>
      <c r="CD138" s="230"/>
      <c r="CE138" s="230"/>
      <c r="CF138" s="229"/>
      <c r="CG138" s="230"/>
      <c r="CH138" s="230"/>
      <c r="CI138" s="230"/>
      <c r="CJ138" s="230"/>
      <c r="CK138" s="229"/>
      <c r="CL138" s="230"/>
      <c r="CM138" s="230"/>
      <c r="CN138" s="230"/>
      <c r="CO138" s="230"/>
      <c r="CP138" s="229"/>
      <c r="CQ138" s="230"/>
      <c r="CR138" s="230"/>
      <c r="CS138" s="230"/>
      <c r="CT138" s="230"/>
      <c r="CU138" s="229"/>
      <c r="CV138" s="230"/>
      <c r="CW138" s="230"/>
      <c r="CX138" s="230"/>
      <c r="CY138" s="230"/>
      <c r="CZ138" s="229"/>
      <c r="DA138" s="230"/>
      <c r="DB138" s="230"/>
      <c r="DC138" s="230"/>
      <c r="DD138" s="230"/>
      <c r="DE138" s="229"/>
      <c r="DF138" s="230"/>
      <c r="DG138" s="230"/>
      <c r="DH138" s="230"/>
      <c r="DI138" s="230"/>
      <c r="DJ138" s="229"/>
      <c r="DK138" s="230"/>
      <c r="DL138" s="230"/>
      <c r="DM138" s="230"/>
      <c r="DN138" s="230"/>
      <c r="DO138" s="229"/>
      <c r="DP138" s="230"/>
      <c r="DQ138" s="230"/>
      <c r="DR138" s="230"/>
      <c r="DS138" s="230"/>
      <c r="DT138" s="229"/>
      <c r="DU138" s="230"/>
      <c r="DV138" s="230"/>
      <c r="DW138" s="230"/>
      <c r="DX138" s="230"/>
      <c r="DY138" s="229"/>
      <c r="DZ138" s="229"/>
      <c r="EA138" s="229"/>
      <c r="EB138" s="229"/>
    </row>
    <row r="139" spans="2:132" s="241" customFormat="1" ht="12" hidden="1" customHeight="1">
      <c r="B139" s="311" t="s">
        <v>125</v>
      </c>
      <c r="C139" s="301"/>
      <c r="D139" s="301"/>
      <c r="E139" s="301"/>
      <c r="F139" s="301"/>
      <c r="G139" s="301">
        <f t="shared" ref="G139:S139" si="262">G43/G82</f>
        <v>5.0362555414275402E-2</v>
      </c>
      <c r="H139" s="301">
        <f t="shared" si="262"/>
        <v>6.4436183395291197E-2</v>
      </c>
      <c r="I139" s="301">
        <f t="shared" si="262"/>
        <v>8.3569377042685952E-2</v>
      </c>
      <c r="J139" s="242">
        <f t="shared" si="262"/>
        <v>8.5423257967435759E-2</v>
      </c>
      <c r="K139" s="242">
        <f t="shared" si="262"/>
        <v>8.3970048899755498E-2</v>
      </c>
      <c r="L139" s="242">
        <f t="shared" si="262"/>
        <v>8.5690389294403896E-2</v>
      </c>
      <c r="M139" s="242">
        <f t="shared" si="262"/>
        <v>0.10084477296726505</v>
      </c>
      <c r="N139" s="301">
        <f t="shared" si="262"/>
        <v>8.9025296909849977E-2</v>
      </c>
      <c r="O139" s="242">
        <f t="shared" si="262"/>
        <v>9.0090090090090086E-2</v>
      </c>
      <c r="P139" s="242">
        <f t="shared" si="262"/>
        <v>7.8719723183391002E-2</v>
      </c>
      <c r="Q139" s="242">
        <f t="shared" si="262"/>
        <v>0.11093514925964051</v>
      </c>
      <c r="R139" s="242">
        <f t="shared" si="262"/>
        <v>0.11182311104851771</v>
      </c>
      <c r="S139" s="301">
        <f t="shared" si="262"/>
        <v>9.7401768620658219E-2</v>
      </c>
      <c r="T139" s="230"/>
      <c r="U139" s="230"/>
      <c r="V139" s="230"/>
      <c r="W139" s="230"/>
      <c r="X139" s="229"/>
      <c r="Y139" s="230"/>
      <c r="Z139" s="230"/>
      <c r="AA139" s="230"/>
      <c r="AB139" s="230"/>
      <c r="AC139" s="229"/>
      <c r="AD139" s="230"/>
      <c r="AE139" s="230"/>
      <c r="AF139" s="230"/>
      <c r="AG139" s="230"/>
      <c r="AH139" s="229"/>
      <c r="AI139" s="230"/>
      <c r="AJ139" s="230"/>
      <c r="AK139" s="230"/>
      <c r="AL139" s="230"/>
      <c r="AM139" s="229"/>
      <c r="AN139" s="230"/>
      <c r="AO139" s="230"/>
      <c r="AP139" s="230"/>
      <c r="AQ139" s="230"/>
      <c r="AR139" s="229"/>
      <c r="AS139" s="230"/>
      <c r="AT139" s="230"/>
      <c r="AU139" s="230"/>
      <c r="AV139" s="230"/>
      <c r="AW139" s="229"/>
      <c r="AX139" s="230"/>
      <c r="AY139" s="230"/>
      <c r="AZ139" s="230"/>
      <c r="BA139" s="230"/>
      <c r="BB139" s="229"/>
      <c r="BC139" s="230"/>
      <c r="BD139" s="230"/>
      <c r="BE139" s="230"/>
      <c r="BF139" s="230"/>
      <c r="BG139" s="229"/>
      <c r="BH139" s="230"/>
      <c r="BI139" s="230"/>
      <c r="BJ139" s="230"/>
      <c r="BK139" s="230"/>
      <c r="BL139" s="229"/>
      <c r="BM139" s="230"/>
      <c r="BN139" s="230"/>
      <c r="BO139" s="230"/>
      <c r="BP139" s="230"/>
      <c r="BQ139" s="229"/>
      <c r="BR139" s="230"/>
      <c r="BS139" s="230"/>
      <c r="BT139" s="230"/>
      <c r="BU139" s="230"/>
      <c r="BV139" s="229"/>
      <c r="BW139" s="230"/>
      <c r="BX139" s="230"/>
      <c r="BY139" s="230"/>
      <c r="BZ139" s="230"/>
      <c r="CA139" s="229"/>
      <c r="CB139" s="230"/>
      <c r="CC139" s="230"/>
      <c r="CD139" s="230"/>
      <c r="CE139" s="230"/>
      <c r="CF139" s="229"/>
      <c r="CG139" s="230"/>
      <c r="CH139" s="230"/>
      <c r="CI139" s="230"/>
      <c r="CJ139" s="230"/>
      <c r="CK139" s="229"/>
      <c r="CL139" s="230"/>
      <c r="CM139" s="230"/>
      <c r="CN139" s="230"/>
      <c r="CO139" s="230"/>
      <c r="CP139" s="229"/>
      <c r="CQ139" s="230"/>
      <c r="CR139" s="230"/>
      <c r="CS139" s="230"/>
      <c r="CT139" s="230"/>
      <c r="CU139" s="229"/>
      <c r="CV139" s="230"/>
      <c r="CW139" s="230"/>
      <c r="CX139" s="230"/>
      <c r="CY139" s="230"/>
      <c r="CZ139" s="229"/>
      <c r="DA139" s="230"/>
      <c r="DB139" s="230"/>
      <c r="DC139" s="230"/>
      <c r="DD139" s="230"/>
      <c r="DE139" s="229"/>
      <c r="DF139" s="230"/>
      <c r="DG139" s="230"/>
      <c r="DH139" s="230"/>
      <c r="DI139" s="230"/>
      <c r="DJ139" s="229"/>
      <c r="DK139" s="230"/>
      <c r="DL139" s="230"/>
      <c r="DM139" s="230"/>
      <c r="DN139" s="230"/>
      <c r="DO139" s="229"/>
      <c r="DP139" s="230"/>
      <c r="DQ139" s="230"/>
      <c r="DR139" s="230"/>
      <c r="DS139" s="230"/>
      <c r="DT139" s="229"/>
      <c r="DU139" s="230"/>
      <c r="DV139" s="230"/>
      <c r="DW139" s="230"/>
      <c r="DX139" s="230"/>
      <c r="DY139" s="229"/>
      <c r="DZ139" s="229"/>
      <c r="EA139" s="229"/>
      <c r="EB139" s="229"/>
    </row>
    <row r="140" spans="2:132" s="241" customFormat="1" ht="12" hidden="1" customHeight="1">
      <c r="B140" s="311" t="s">
        <v>132</v>
      </c>
      <c r="C140" s="301"/>
      <c r="D140" s="301"/>
      <c r="E140" s="301"/>
      <c r="F140" s="301"/>
      <c r="G140" s="301">
        <f t="shared" ref="G140:S140" si="263">G44/G82</f>
        <v>7.4521461218598581E-2</v>
      </c>
      <c r="H140" s="301">
        <f t="shared" si="263"/>
        <v>5.1619227283656068E-2</v>
      </c>
      <c r="I140" s="301">
        <f t="shared" si="263"/>
        <v>5.92651282559176E-2</v>
      </c>
      <c r="J140" s="242">
        <f t="shared" si="263"/>
        <v>6.2350490006944981E-2</v>
      </c>
      <c r="K140" s="242">
        <f t="shared" si="263"/>
        <v>5.1344743276283619E-2</v>
      </c>
      <c r="L140" s="242">
        <f t="shared" si="263"/>
        <v>6.25E-2</v>
      </c>
      <c r="M140" s="242">
        <f t="shared" si="263"/>
        <v>5.0309247246945243E-2</v>
      </c>
      <c r="N140" s="301">
        <f t="shared" si="263"/>
        <v>5.6598738013992414E-2</v>
      </c>
      <c r="O140" s="242">
        <f t="shared" si="263"/>
        <v>6.1754061754061756E-2</v>
      </c>
      <c r="P140" s="242">
        <f t="shared" si="263"/>
        <v>4.8043651849880221E-2</v>
      </c>
      <c r="Q140" s="242">
        <f t="shared" si="263"/>
        <v>5.2973315385224484E-2</v>
      </c>
      <c r="R140" s="242">
        <f t="shared" si="263"/>
        <v>3.8588831772410397E-2</v>
      </c>
      <c r="S140" s="328">
        <f t="shared" si="263"/>
        <v>4.9977208496672441E-2</v>
      </c>
      <c r="T140" s="230"/>
      <c r="U140" s="230"/>
      <c r="V140" s="230"/>
      <c r="W140" s="230"/>
      <c r="X140" s="229"/>
      <c r="Y140" s="230"/>
      <c r="Z140" s="230"/>
      <c r="AA140" s="230"/>
      <c r="AB140" s="230"/>
      <c r="AC140" s="229"/>
      <c r="AD140" s="230"/>
      <c r="AE140" s="230"/>
      <c r="AF140" s="230"/>
      <c r="AG140" s="230"/>
      <c r="AH140" s="229"/>
      <c r="AI140" s="230"/>
      <c r="AJ140" s="230"/>
      <c r="AK140" s="230"/>
      <c r="AL140" s="230"/>
      <c r="AM140" s="229"/>
      <c r="AN140" s="230"/>
      <c r="AO140" s="230"/>
      <c r="AP140" s="230"/>
      <c r="AQ140" s="230"/>
      <c r="AR140" s="229"/>
      <c r="AS140" s="230"/>
      <c r="AT140" s="230"/>
      <c r="AU140" s="230"/>
      <c r="AV140" s="230"/>
      <c r="AW140" s="229"/>
      <c r="AX140" s="230"/>
      <c r="AY140" s="230"/>
      <c r="AZ140" s="230"/>
      <c r="BA140" s="230"/>
      <c r="BB140" s="229"/>
      <c r="BC140" s="230"/>
      <c r="BD140" s="230"/>
      <c r="BE140" s="230"/>
      <c r="BF140" s="230"/>
      <c r="BG140" s="229"/>
      <c r="BH140" s="230"/>
      <c r="BI140" s="230"/>
      <c r="BJ140" s="230"/>
      <c r="BK140" s="230"/>
      <c r="BL140" s="229"/>
      <c r="BM140" s="230"/>
      <c r="BN140" s="230"/>
      <c r="BO140" s="230"/>
      <c r="BP140" s="230"/>
      <c r="BQ140" s="229"/>
      <c r="BR140" s="230"/>
      <c r="BS140" s="230"/>
      <c r="BT140" s="230"/>
      <c r="BU140" s="230"/>
      <c r="BV140" s="229"/>
      <c r="BW140" s="230"/>
      <c r="BX140" s="230"/>
      <c r="BY140" s="230"/>
      <c r="BZ140" s="230"/>
      <c r="CA140" s="229"/>
      <c r="CB140" s="230"/>
      <c r="CC140" s="230"/>
      <c r="CD140" s="230"/>
      <c r="CE140" s="230"/>
      <c r="CF140" s="229"/>
      <c r="CG140" s="230"/>
      <c r="CH140" s="230"/>
      <c r="CI140" s="230"/>
      <c r="CJ140" s="230"/>
      <c r="CK140" s="229"/>
      <c r="CL140" s="230"/>
      <c r="CM140" s="230"/>
      <c r="CN140" s="230"/>
      <c r="CO140" s="230"/>
      <c r="CP140" s="229"/>
      <c r="CQ140" s="230"/>
      <c r="CR140" s="230"/>
      <c r="CS140" s="230"/>
      <c r="CT140" s="230"/>
      <c r="CU140" s="229"/>
      <c r="CV140" s="230"/>
      <c r="CW140" s="230"/>
      <c r="CX140" s="230"/>
      <c r="CY140" s="230"/>
      <c r="CZ140" s="229"/>
      <c r="DA140" s="230"/>
      <c r="DB140" s="230"/>
      <c r="DC140" s="230"/>
      <c r="DD140" s="230"/>
      <c r="DE140" s="229"/>
      <c r="DF140" s="230"/>
      <c r="DG140" s="230"/>
      <c r="DH140" s="230"/>
      <c r="DI140" s="230"/>
      <c r="DJ140" s="229"/>
      <c r="DK140" s="230"/>
      <c r="DL140" s="230"/>
      <c r="DM140" s="230"/>
      <c r="DN140" s="230"/>
      <c r="DO140" s="229"/>
      <c r="DP140" s="230"/>
      <c r="DQ140" s="230"/>
      <c r="DR140" s="230"/>
      <c r="DS140" s="230"/>
      <c r="DT140" s="229"/>
      <c r="DU140" s="230"/>
      <c r="DV140" s="230"/>
      <c r="DW140" s="230"/>
      <c r="DX140" s="230"/>
      <c r="DY140" s="229"/>
      <c r="DZ140" s="229"/>
      <c r="EA140" s="229"/>
      <c r="EB140" s="229"/>
    </row>
    <row r="141" spans="2:132" s="241" customFormat="1" ht="12" hidden="1" customHeight="1">
      <c r="B141" s="324" t="s">
        <v>133</v>
      </c>
      <c r="C141" s="325"/>
      <c r="D141" s="325">
        <f>D45/D82</f>
        <v>0.23132813334757987</v>
      </c>
      <c r="E141" s="325">
        <f>E45/E82</f>
        <v>0.2107150863035194</v>
      </c>
      <c r="F141" s="325">
        <f>F45/F82</f>
        <v>0.23766099647317862</v>
      </c>
      <c r="G141" s="325">
        <f>G45/G82</f>
        <v>0.21394205986460016</v>
      </c>
      <c r="H141" s="325">
        <f>H45/H82</f>
        <v>0.2587434574340195</v>
      </c>
      <c r="I141" s="325"/>
      <c r="J141" s="326"/>
      <c r="K141" s="326"/>
      <c r="L141" s="326"/>
      <c r="M141" s="326"/>
      <c r="N141" s="325"/>
      <c r="O141" s="326"/>
      <c r="P141" s="326"/>
      <c r="Q141" s="326"/>
      <c r="R141" s="326"/>
      <c r="S141" s="325"/>
      <c r="T141" s="249"/>
      <c r="U141" s="249"/>
      <c r="V141" s="249"/>
      <c r="W141" s="249"/>
      <c r="X141" s="248"/>
      <c r="Y141" s="249"/>
      <c r="Z141" s="249"/>
      <c r="AA141" s="249"/>
      <c r="AB141" s="249"/>
      <c r="AC141" s="248"/>
      <c r="AD141" s="249"/>
      <c r="AE141" s="249"/>
      <c r="AF141" s="249"/>
      <c r="AG141" s="249"/>
      <c r="AH141" s="248"/>
      <c r="AI141" s="249"/>
      <c r="AJ141" s="249"/>
      <c r="AK141" s="249"/>
      <c r="AL141" s="249"/>
      <c r="AM141" s="248"/>
      <c r="AN141" s="249"/>
      <c r="AO141" s="249"/>
      <c r="AP141" s="249"/>
      <c r="AQ141" s="249"/>
      <c r="AR141" s="248"/>
      <c r="AS141" s="249"/>
      <c r="AT141" s="249"/>
      <c r="AU141" s="249"/>
      <c r="AV141" s="249"/>
      <c r="AW141" s="248"/>
      <c r="AX141" s="249"/>
      <c r="AY141" s="249"/>
      <c r="AZ141" s="249"/>
      <c r="BA141" s="249"/>
      <c r="BB141" s="248"/>
      <c r="BC141" s="249"/>
      <c r="BD141" s="249"/>
      <c r="BE141" s="249"/>
      <c r="BF141" s="249"/>
      <c r="BG141" s="248"/>
      <c r="BH141" s="249"/>
      <c r="BI141" s="249"/>
      <c r="BJ141" s="249"/>
      <c r="BK141" s="249"/>
      <c r="BL141" s="248"/>
      <c r="BM141" s="249"/>
      <c r="BN141" s="249"/>
      <c r="BO141" s="249"/>
      <c r="BP141" s="249"/>
      <c r="BQ141" s="248"/>
      <c r="BR141" s="249"/>
      <c r="BS141" s="249"/>
      <c r="BT141" s="249"/>
      <c r="BU141" s="249"/>
      <c r="BV141" s="248"/>
      <c r="BW141" s="249"/>
      <c r="BX141" s="249"/>
      <c r="BY141" s="249"/>
      <c r="BZ141" s="249"/>
      <c r="CA141" s="248"/>
      <c r="CB141" s="249"/>
      <c r="CC141" s="249"/>
      <c r="CD141" s="249"/>
      <c r="CE141" s="249"/>
      <c r="CF141" s="248"/>
      <c r="CG141" s="249"/>
      <c r="CH141" s="249"/>
      <c r="CI141" s="249"/>
      <c r="CJ141" s="249"/>
      <c r="CK141" s="248"/>
      <c r="CL141" s="249"/>
      <c r="CM141" s="249"/>
      <c r="CN141" s="249"/>
      <c r="CO141" s="249"/>
      <c r="CP141" s="248"/>
      <c r="CQ141" s="249"/>
      <c r="CR141" s="249"/>
      <c r="CS141" s="249"/>
      <c r="CT141" s="249"/>
      <c r="CU141" s="248"/>
      <c r="CV141" s="249"/>
      <c r="CW141" s="249"/>
      <c r="CX141" s="249"/>
      <c r="CY141" s="249"/>
      <c r="CZ141" s="248"/>
      <c r="DA141" s="249"/>
      <c r="DB141" s="249"/>
      <c r="DC141" s="249"/>
      <c r="DD141" s="249"/>
      <c r="DE141" s="248"/>
      <c r="DF141" s="249"/>
      <c r="DG141" s="249"/>
      <c r="DH141" s="249"/>
      <c r="DI141" s="249"/>
      <c r="DJ141" s="248"/>
      <c r="DK141" s="249"/>
      <c r="DL141" s="249"/>
      <c r="DM141" s="249"/>
      <c r="DN141" s="249"/>
      <c r="DO141" s="248"/>
      <c r="DP141" s="249"/>
      <c r="DQ141" s="249"/>
      <c r="DR141" s="249"/>
      <c r="DS141" s="249"/>
      <c r="DT141" s="248"/>
      <c r="DU141" s="249"/>
      <c r="DV141" s="249"/>
      <c r="DW141" s="249"/>
      <c r="DX141" s="249"/>
      <c r="DY141" s="248"/>
      <c r="DZ141" s="248"/>
      <c r="EA141" s="248"/>
      <c r="EB141" s="248"/>
    </row>
    <row r="142" spans="2:132" s="241" customFormat="1" ht="12" hidden="1" customHeight="1">
      <c r="B142" s="327" t="s">
        <v>134</v>
      </c>
      <c r="C142" s="328"/>
      <c r="D142" s="328">
        <f>D46/D82</f>
        <v>0.1226804858068882</v>
      </c>
      <c r="E142" s="328">
        <f>E46/E82</f>
        <v>0.11779007811287569</v>
      </c>
      <c r="F142" s="328">
        <f>F46/F82</f>
        <v>0.15664153075738976</v>
      </c>
      <c r="G142" s="328">
        <f>G46/G82</f>
        <v>0.17808172102134093</v>
      </c>
      <c r="H142" s="328">
        <f>H46/H82</f>
        <v>0.20283341656032108</v>
      </c>
      <c r="I142" s="328"/>
      <c r="J142" s="329"/>
      <c r="K142" s="329"/>
      <c r="L142" s="329"/>
      <c r="M142" s="329"/>
      <c r="N142" s="328"/>
      <c r="O142" s="329"/>
      <c r="P142" s="329"/>
      <c r="Q142" s="329"/>
      <c r="R142" s="329"/>
      <c r="S142" s="328"/>
      <c r="T142" s="234"/>
      <c r="U142" s="234"/>
      <c r="V142" s="234"/>
      <c r="W142" s="234"/>
      <c r="X142" s="233"/>
      <c r="Y142" s="234"/>
      <c r="Z142" s="234"/>
      <c r="AA142" s="234"/>
      <c r="AB142" s="234"/>
      <c r="AC142" s="233"/>
      <c r="AD142" s="234"/>
      <c r="AE142" s="234"/>
      <c r="AF142" s="234"/>
      <c r="AG142" s="234"/>
      <c r="AH142" s="233"/>
      <c r="AI142" s="234"/>
      <c r="AJ142" s="234"/>
      <c r="AK142" s="234"/>
      <c r="AL142" s="234"/>
      <c r="AM142" s="233"/>
      <c r="AN142" s="234"/>
      <c r="AO142" s="234"/>
      <c r="AP142" s="234"/>
      <c r="AQ142" s="234"/>
      <c r="AR142" s="233"/>
      <c r="AS142" s="234"/>
      <c r="AT142" s="234"/>
      <c r="AU142" s="234"/>
      <c r="AV142" s="234"/>
      <c r="AW142" s="233"/>
      <c r="AX142" s="234"/>
      <c r="AY142" s="234"/>
      <c r="AZ142" s="234"/>
      <c r="BA142" s="234"/>
      <c r="BB142" s="233"/>
      <c r="BC142" s="234"/>
      <c r="BD142" s="234"/>
      <c r="BE142" s="234"/>
      <c r="BF142" s="234"/>
      <c r="BG142" s="233"/>
      <c r="BH142" s="234"/>
      <c r="BI142" s="234"/>
      <c r="BJ142" s="234"/>
      <c r="BK142" s="234"/>
      <c r="BL142" s="233"/>
      <c r="BM142" s="234"/>
      <c r="BN142" s="234"/>
      <c r="BO142" s="234"/>
      <c r="BP142" s="234"/>
      <c r="BQ142" s="233"/>
      <c r="BR142" s="234"/>
      <c r="BS142" s="234"/>
      <c r="BT142" s="234"/>
      <c r="BU142" s="234"/>
      <c r="BV142" s="233"/>
      <c r="BW142" s="234"/>
      <c r="BX142" s="234"/>
      <c r="BY142" s="234"/>
      <c r="BZ142" s="234"/>
      <c r="CA142" s="233"/>
      <c r="CB142" s="234"/>
      <c r="CC142" s="234"/>
      <c r="CD142" s="234"/>
      <c r="CE142" s="234"/>
      <c r="CF142" s="233"/>
      <c r="CG142" s="234"/>
      <c r="CH142" s="234"/>
      <c r="CI142" s="234"/>
      <c r="CJ142" s="234"/>
      <c r="CK142" s="233"/>
      <c r="CL142" s="234"/>
      <c r="CM142" s="234"/>
      <c r="CN142" s="234"/>
      <c r="CO142" s="234"/>
      <c r="CP142" s="233"/>
      <c r="CQ142" s="234"/>
      <c r="CR142" s="234"/>
      <c r="CS142" s="234"/>
      <c r="CT142" s="234"/>
      <c r="CU142" s="233"/>
      <c r="CV142" s="234"/>
      <c r="CW142" s="234"/>
      <c r="CX142" s="234"/>
      <c r="CY142" s="234"/>
      <c r="CZ142" s="233"/>
      <c r="DA142" s="234"/>
      <c r="DB142" s="234"/>
      <c r="DC142" s="234"/>
      <c r="DD142" s="234"/>
      <c r="DE142" s="233"/>
      <c r="DF142" s="234"/>
      <c r="DG142" s="234"/>
      <c r="DH142" s="234"/>
      <c r="DI142" s="234"/>
      <c r="DJ142" s="233"/>
      <c r="DK142" s="234"/>
      <c r="DL142" s="234"/>
      <c r="DM142" s="234"/>
      <c r="DN142" s="234"/>
      <c r="DO142" s="233"/>
      <c r="DP142" s="234"/>
      <c r="DQ142" s="234"/>
      <c r="DR142" s="234"/>
      <c r="DS142" s="234"/>
      <c r="DT142" s="233"/>
      <c r="DU142" s="234"/>
      <c r="DV142" s="234"/>
      <c r="DW142" s="234"/>
      <c r="DX142" s="234"/>
      <c r="DY142" s="233"/>
      <c r="DZ142" s="233"/>
      <c r="EA142" s="233"/>
      <c r="EB142" s="233"/>
    </row>
    <row r="143" spans="2:132" s="241" customFormat="1" ht="12" customHeight="1">
      <c r="B143" s="121" t="s">
        <v>391</v>
      </c>
      <c r="C143" s="301">
        <f t="shared" ref="C143:R143" si="264">SUM(C137:C140)</f>
        <v>0</v>
      </c>
      <c r="D143" s="301">
        <f>SUM(D141:D142)</f>
        <v>0.35400861915446807</v>
      </c>
      <c r="E143" s="301">
        <f>SUM(E141:E142)</f>
        <v>0.3285051644163951</v>
      </c>
      <c r="F143" s="301">
        <f>SUM(F141:F142)</f>
        <v>0.39430252723056836</v>
      </c>
      <c r="G143" s="301">
        <f t="shared" si="264"/>
        <v>0.39202378088594114</v>
      </c>
      <c r="H143" s="301">
        <f t="shared" si="264"/>
        <v>0.46157687399434055</v>
      </c>
      <c r="I143" s="301">
        <f t="shared" si="264"/>
        <v>0.54196295929484006</v>
      </c>
      <c r="J143" s="242">
        <f t="shared" si="264"/>
        <v>0.57234354502662232</v>
      </c>
      <c r="K143" s="242">
        <f t="shared" si="264"/>
        <v>0.54721882640586794</v>
      </c>
      <c r="L143" s="242">
        <f t="shared" si="264"/>
        <v>0.62796532846715325</v>
      </c>
      <c r="M143" s="242">
        <f t="shared" si="264"/>
        <v>0.57527530547593897</v>
      </c>
      <c r="N143" s="301">
        <f t="shared" si="264"/>
        <v>0.58076138551575573</v>
      </c>
      <c r="O143" s="242">
        <f t="shared" si="264"/>
        <v>0.5808115808115808</v>
      </c>
      <c r="P143" s="242">
        <f t="shared" si="264"/>
        <v>0.51517167953154108</v>
      </c>
      <c r="Q143" s="242">
        <f t="shared" si="264"/>
        <v>0.58444849156702827</v>
      </c>
      <c r="R143" s="242">
        <f t="shared" si="264"/>
        <v>0.5721428068445884</v>
      </c>
      <c r="S143" s="301">
        <f>SUM(S137:S140)</f>
        <v>0.56141854316710726</v>
      </c>
      <c r="T143" s="242">
        <f t="shared" ref="T143:AA143" si="265">SUM(T134:T136)</f>
        <v>0.50378575434660688</v>
      </c>
      <c r="U143" s="242">
        <f t="shared" si="265"/>
        <v>0.51875083411183764</v>
      </c>
      <c r="V143" s="242">
        <f t="shared" si="265"/>
        <v>0.52866544541692106</v>
      </c>
      <c r="W143" s="242">
        <f t="shared" si="265"/>
        <v>0.55224901658970416</v>
      </c>
      <c r="X143" s="301">
        <f t="shared" si="265"/>
        <v>0.52720624085811796</v>
      </c>
      <c r="Y143" s="242">
        <f t="shared" si="265"/>
        <v>0.50250569476082008</v>
      </c>
      <c r="Z143" s="242">
        <f t="shared" si="265"/>
        <v>0.46869861404745122</v>
      </c>
      <c r="AA143" s="242">
        <f t="shared" si="265"/>
        <v>0.48483380759217776</v>
      </c>
      <c r="AB143" s="242">
        <f t="shared" ref="AB143:AW143" si="266">SUM(AB134:AB136)</f>
        <v>0.47891514561995763</v>
      </c>
      <c r="AC143" s="301">
        <f t="shared" si="266"/>
        <v>0.48322713784325244</v>
      </c>
      <c r="AD143" s="242">
        <f t="shared" si="266"/>
        <v>0.47373358348968098</v>
      </c>
      <c r="AE143" s="242">
        <f t="shared" si="266"/>
        <v>0.46775144440514094</v>
      </c>
      <c r="AF143" s="242">
        <f t="shared" si="266"/>
        <v>0.55561367946119145</v>
      </c>
      <c r="AG143" s="242">
        <f t="shared" si="266"/>
        <v>0.6352374940823734</v>
      </c>
      <c r="AH143" s="301">
        <f t="shared" si="266"/>
        <v>0.52622334575419816</v>
      </c>
      <c r="AI143" s="242">
        <f t="shared" si="266"/>
        <v>0.46782208217185794</v>
      </c>
      <c r="AJ143" s="242">
        <f t="shared" si="266"/>
        <v>0.50425556721464382</v>
      </c>
      <c r="AK143" s="242">
        <f t="shared" si="266"/>
        <v>0.52396931927133272</v>
      </c>
      <c r="AL143" s="242">
        <f t="shared" si="266"/>
        <v>0.4765010871383174</v>
      </c>
      <c r="AM143" s="301">
        <f t="shared" si="266"/>
        <v>0.49297754865921706</v>
      </c>
      <c r="AN143" s="242">
        <f>SUM(AN134:AN136)</f>
        <v>0.50032860147213465</v>
      </c>
      <c r="AO143" s="242">
        <f t="shared" si="266"/>
        <v>0.51261799267963781</v>
      </c>
      <c r="AP143" s="242">
        <f t="shared" si="266"/>
        <v>0.48223021158719864</v>
      </c>
      <c r="AQ143" s="242">
        <f t="shared" si="266"/>
        <v>0.49335347432024168</v>
      </c>
      <c r="AR143" s="301">
        <f t="shared" si="266"/>
        <v>0.49673436382297143</v>
      </c>
      <c r="AS143" s="242">
        <f t="shared" si="266"/>
        <v>0.51086519114688123</v>
      </c>
      <c r="AT143" s="242">
        <f t="shared" si="266"/>
        <v>0.46472828386628789</v>
      </c>
      <c r="AU143" s="242">
        <f t="shared" si="266"/>
        <v>0.46257121904439558</v>
      </c>
      <c r="AV143" s="242">
        <f t="shared" si="266"/>
        <v>0.43318844285349012</v>
      </c>
      <c r="AW143" s="301">
        <f t="shared" si="266"/>
        <v>0.46520695424456243</v>
      </c>
      <c r="AX143" s="242">
        <f>SUM(AX134:AX136)</f>
        <v>0.42475365010576277</v>
      </c>
      <c r="AY143" s="242">
        <f>SUM(AY134:AY136)</f>
        <v>0.40949762559360159</v>
      </c>
      <c r="AZ143" s="242">
        <f>SUM(AZ134:AZ136)</f>
        <v>0.39179328268692526</v>
      </c>
      <c r="BA143" s="242">
        <f>SUM(BA134:BA136)</f>
        <v>0.37409200968523004</v>
      </c>
      <c r="BB143" s="301">
        <f>SUM(BB134:BB136)</f>
        <v>0.39911625743592249</v>
      </c>
      <c r="BC143" s="242">
        <f t="shared" ref="BC143:BK143" si="267">SUM(BC134:BC136)</f>
        <v>0.42925951410575347</v>
      </c>
      <c r="BD143" s="242">
        <f t="shared" si="267"/>
        <v>0.37524639009855609</v>
      </c>
      <c r="BE143" s="242">
        <f t="shared" si="267"/>
        <v>0.36357885223678266</v>
      </c>
      <c r="BF143" s="242">
        <f t="shared" si="267"/>
        <v>0.3722887665911298</v>
      </c>
      <c r="BG143" s="301">
        <f>SUM(BG134:BG136)</f>
        <v>0.38323407212609079</v>
      </c>
      <c r="BH143" s="145">
        <f t="shared" si="267"/>
        <v>0.37297825555827019</v>
      </c>
      <c r="BI143" s="145">
        <f t="shared" si="267"/>
        <v>0.35141755500113403</v>
      </c>
      <c r="BJ143" s="145">
        <f t="shared" si="267"/>
        <v>0.33270265724857045</v>
      </c>
      <c r="BK143" s="145">
        <f t="shared" si="267"/>
        <v>0.31011933954552884</v>
      </c>
      <c r="BL143" s="144">
        <f>SUM(BL134:BL136)</f>
        <v>0.34024151076441683</v>
      </c>
      <c r="BM143" s="145">
        <f t="shared" ref="BM143:BP143" si="268">SUM(BM134:BM136)</f>
        <v>0.30290306560115576</v>
      </c>
      <c r="BN143" s="145">
        <f t="shared" ref="BN143" si="269">SUM(BN134:BN136)</f>
        <v>0.30737888603675184</v>
      </c>
      <c r="BO143" s="145">
        <f t="shared" si="268"/>
        <v>0.32302990444504626</v>
      </c>
      <c r="BP143" s="145">
        <f t="shared" si="268"/>
        <v>0.33025071055869004</v>
      </c>
      <c r="BQ143" s="144">
        <f>SUM(BQ134:BQ136)</f>
        <v>0.31616621928127014</v>
      </c>
      <c r="BR143" s="145">
        <f t="shared" ref="BR143:CW143" si="270">IF(ISERROR(BR69/BR82),"",BR69/BR82)</f>
        <v>0.27112053729232943</v>
      </c>
      <c r="BS143" s="145">
        <f t="shared" si="270"/>
        <v>0.21789537467178346</v>
      </c>
      <c r="BT143" s="145">
        <f t="shared" si="270"/>
        <v>0.24064775295003765</v>
      </c>
      <c r="BU143" s="145">
        <f t="shared" si="270"/>
        <v>0.22683157261874087</v>
      </c>
      <c r="BV143" s="144">
        <f t="shared" si="270"/>
        <v>0.23858265218724556</v>
      </c>
      <c r="BW143" s="145">
        <f t="shared" si="270"/>
        <v>0.23277628523291288</v>
      </c>
      <c r="BX143" s="145">
        <f t="shared" si="270"/>
        <v>0.22307058262114443</v>
      </c>
      <c r="BY143" s="145">
        <f t="shared" si="270"/>
        <v>0.20847954423481815</v>
      </c>
      <c r="BZ143" s="145">
        <f t="shared" si="270"/>
        <v>0.2122325393621316</v>
      </c>
      <c r="CA143" s="144">
        <f t="shared" si="270"/>
        <v>0.21872240838253285</v>
      </c>
      <c r="CB143" s="145">
        <f t="shared" si="270"/>
        <v>0.27717902660165938</v>
      </c>
      <c r="CC143" s="145">
        <f t="shared" si="270"/>
        <v>0.25146343474317751</v>
      </c>
      <c r="CD143" s="145">
        <f t="shared" si="270"/>
        <v>0.27586892547522468</v>
      </c>
      <c r="CE143" s="145">
        <f t="shared" si="270"/>
        <v>0.24254613457535021</v>
      </c>
      <c r="CF143" s="144">
        <f t="shared" si="270"/>
        <v>0.26097876927032343</v>
      </c>
      <c r="CG143" s="145">
        <f t="shared" si="270"/>
        <v>0.28847580398830563</v>
      </c>
      <c r="CH143" s="145">
        <f t="shared" si="270"/>
        <v>0.41978287092882993</v>
      </c>
      <c r="CI143" s="145">
        <f t="shared" si="270"/>
        <v>0.35045045045045042</v>
      </c>
      <c r="CJ143" s="145">
        <f t="shared" si="270"/>
        <v>0.33286806990117807</v>
      </c>
      <c r="CK143" s="144">
        <f t="shared" si="270"/>
        <v>0.34204992228216147</v>
      </c>
      <c r="CL143" s="145">
        <f t="shared" si="270"/>
        <v>0.35734563520227114</v>
      </c>
      <c r="CM143" s="145">
        <f t="shared" si="270"/>
        <v>0.55797408317100028</v>
      </c>
      <c r="CN143" s="145">
        <f t="shared" si="270"/>
        <v>0.48433411132329018</v>
      </c>
      <c r="CO143" s="145">
        <f t="shared" si="270"/>
        <v>0.44295608991113433</v>
      </c>
      <c r="CP143" s="144">
        <f t="shared" si="270"/>
        <v>0.45147701090133774</v>
      </c>
      <c r="CQ143" s="145">
        <f t="shared" si="270"/>
        <v>0.47216928435302624</v>
      </c>
      <c r="CR143" s="145">
        <f t="shared" si="270"/>
        <v>0.40451817860924816</v>
      </c>
      <c r="CS143" s="145">
        <f t="shared" si="270"/>
        <v>0.4331064275428721</v>
      </c>
      <c r="CT143" s="145">
        <f t="shared" si="270"/>
        <v>0.39626850537416347</v>
      </c>
      <c r="CU143" s="144">
        <f t="shared" si="270"/>
        <v>0.42609896284879428</v>
      </c>
      <c r="CV143" s="145">
        <f t="shared" si="270"/>
        <v>0.39189478950754059</v>
      </c>
      <c r="CW143" s="145">
        <f t="shared" si="270"/>
        <v>0.37114081889574968</v>
      </c>
      <c r="CX143" s="145">
        <f t="shared" ref="CX143:EB143" si="271">IF(ISERROR(CX69/CX82),"",CX69/CX82)</f>
        <v>0.33260215592880421</v>
      </c>
      <c r="CY143" s="145">
        <f t="shared" si="271"/>
        <v>0.30935935935935938</v>
      </c>
      <c r="CZ143" s="144">
        <f t="shared" si="271"/>
        <v>0.34773600768676433</v>
      </c>
      <c r="DA143" s="145">
        <f t="shared" si="271"/>
        <v>0.36487919200937446</v>
      </c>
      <c r="DB143" s="145">
        <f t="shared" si="271"/>
        <v>0.31223735507062933</v>
      </c>
      <c r="DC143" s="145">
        <f t="shared" si="271"/>
        <v>0.3027507733097658</v>
      </c>
      <c r="DD143" s="145">
        <f t="shared" si="271"/>
        <v>0.30638568444000364</v>
      </c>
      <c r="DE143" s="144">
        <f t="shared" si="271"/>
        <v>0.320500295652621</v>
      </c>
      <c r="DF143" s="145">
        <f t="shared" si="271"/>
        <v>0.41945802402076166</v>
      </c>
      <c r="DG143" s="145">
        <f t="shared" si="271"/>
        <v>0.35699039487726786</v>
      </c>
      <c r="DH143" s="145">
        <f t="shared" si="271"/>
        <v>0.31031390134529147</v>
      </c>
      <c r="DI143" s="145">
        <f t="shared" si="271"/>
        <v>0.35500590473691118</v>
      </c>
      <c r="DJ143" s="144">
        <f t="shared" si="271"/>
        <v>0.35957725092833409</v>
      </c>
      <c r="DK143" s="145">
        <f t="shared" si="271"/>
        <v>0.32304062371768566</v>
      </c>
      <c r="DL143" s="145">
        <f t="shared" si="271"/>
        <v>0.29086992834849884</v>
      </c>
      <c r="DM143" s="145">
        <f t="shared" si="271"/>
        <v>0.29660507090674687</v>
      </c>
      <c r="DN143" s="145">
        <f t="shared" si="271"/>
        <v>0.30971271087355939</v>
      </c>
      <c r="DO143" s="144">
        <f t="shared" si="271"/>
        <v>0.30441635089366553</v>
      </c>
      <c r="DP143" s="145">
        <f t="shared" si="271"/>
        <v>0.34203537831390379</v>
      </c>
      <c r="DQ143" s="145">
        <f t="shared" si="271"/>
        <v>0.30468241042345279</v>
      </c>
      <c r="DR143" s="145">
        <f t="shared" si="271"/>
        <v>0.31191940982701544</v>
      </c>
      <c r="DS143" s="145">
        <f t="shared" si="271"/>
        <v>0.30700943519070056</v>
      </c>
      <c r="DT143" s="144">
        <f t="shared" si="271"/>
        <v>0.31565744117110178</v>
      </c>
      <c r="DU143" s="145">
        <f t="shared" si="271"/>
        <v>0.3161866269594617</v>
      </c>
      <c r="DV143" s="145">
        <f t="shared" si="271"/>
        <v>0.28667591042520479</v>
      </c>
      <c r="DW143" s="145">
        <f t="shared" si="271"/>
        <v>0.28010883377679963</v>
      </c>
      <c r="DX143" s="145">
        <f t="shared" si="271"/>
        <v>0.27007107345108949</v>
      </c>
      <c r="DY143" s="144">
        <f t="shared" si="271"/>
        <v>0.28702525826914133</v>
      </c>
      <c r="DZ143" s="144">
        <f t="shared" si="271"/>
        <v>0.2736207627543365</v>
      </c>
      <c r="EA143" s="144">
        <f t="shared" si="271"/>
        <v>0.26052536388560266</v>
      </c>
      <c r="EB143" s="144">
        <f t="shared" si="271"/>
        <v>0.25553099143909452</v>
      </c>
    </row>
    <row r="144" spans="2:132" s="241" customFormat="1" ht="12" customHeight="1">
      <c r="B144" s="121" t="s">
        <v>575</v>
      </c>
      <c r="C144" s="301"/>
      <c r="D144" s="301"/>
      <c r="E144" s="301"/>
      <c r="F144" s="301"/>
      <c r="G144" s="301"/>
      <c r="H144" s="301"/>
      <c r="I144" s="301"/>
      <c r="J144" s="242"/>
      <c r="K144" s="242"/>
      <c r="L144" s="242"/>
      <c r="M144" s="242"/>
      <c r="N144" s="301"/>
      <c r="O144" s="242"/>
      <c r="P144" s="242"/>
      <c r="Q144" s="242"/>
      <c r="R144" s="242"/>
      <c r="S144" s="301"/>
      <c r="T144" s="242"/>
      <c r="U144" s="242"/>
      <c r="V144" s="242"/>
      <c r="W144" s="242"/>
      <c r="X144" s="301"/>
      <c r="Y144" s="242"/>
      <c r="Z144" s="242"/>
      <c r="AA144" s="242"/>
      <c r="AB144" s="242"/>
      <c r="AC144" s="301"/>
      <c r="AD144" s="242"/>
      <c r="AE144" s="242"/>
      <c r="AF144" s="242"/>
      <c r="AG144" s="242"/>
      <c r="AH144" s="301"/>
      <c r="AI144" s="242"/>
      <c r="AJ144" s="242"/>
      <c r="AK144" s="242"/>
      <c r="AL144" s="242"/>
      <c r="AM144" s="301"/>
      <c r="AN144" s="242"/>
      <c r="AO144" s="242"/>
      <c r="AP144" s="242"/>
      <c r="AQ144" s="242"/>
      <c r="AR144" s="301"/>
      <c r="AS144" s="242"/>
      <c r="AT144" s="242"/>
      <c r="AU144" s="242"/>
      <c r="AV144" s="242"/>
      <c r="AW144" s="301"/>
      <c r="AX144" s="242"/>
      <c r="AY144" s="242"/>
      <c r="AZ144" s="242"/>
      <c r="BA144" s="242"/>
      <c r="BB144" s="301"/>
      <c r="BC144" s="242"/>
      <c r="BD144" s="242"/>
      <c r="BE144" s="242"/>
      <c r="BF144" s="242"/>
      <c r="BG144" s="301"/>
      <c r="BH144" s="145"/>
      <c r="BI144" s="145"/>
      <c r="BJ144" s="145"/>
      <c r="BK144" s="145"/>
      <c r="BL144" s="144"/>
      <c r="BM144" s="145"/>
      <c r="BN144" s="145"/>
      <c r="BO144" s="145"/>
      <c r="BP144" s="145"/>
      <c r="BQ144" s="144"/>
      <c r="BR144" s="145">
        <f t="shared" ref="BR144:CW144" si="272">IF(ISERROR(BR74/BR82),"",BR74/BR82)</f>
        <v>0.15115765288087663</v>
      </c>
      <c r="BS144" s="145">
        <f t="shared" si="272"/>
        <v>0.14465764492021813</v>
      </c>
      <c r="BT144" s="145">
        <f t="shared" si="272"/>
        <v>0.14670683739225041</v>
      </c>
      <c r="BU144" s="145">
        <f t="shared" si="272"/>
        <v>0.14674053079103325</v>
      </c>
      <c r="BV144" s="144">
        <f t="shared" si="272"/>
        <v>0.14724386968521005</v>
      </c>
      <c r="BW144" s="145">
        <f t="shared" si="272"/>
        <v>0.16634033058603889</v>
      </c>
      <c r="BX144" s="145">
        <f t="shared" si="272"/>
        <v>0.15409309791332262</v>
      </c>
      <c r="BY144" s="145">
        <f t="shared" si="272"/>
        <v>0.14775213639928994</v>
      </c>
      <c r="BZ144" s="145">
        <f t="shared" si="272"/>
        <v>0.15329027048849414</v>
      </c>
      <c r="CA144" s="144">
        <f t="shared" si="272"/>
        <v>0.1551087708100633</v>
      </c>
      <c r="CB144" s="145">
        <f t="shared" si="272"/>
        <v>0.16893336754768626</v>
      </c>
      <c r="CC144" s="145">
        <f t="shared" si="272"/>
        <v>0.16889273641685218</v>
      </c>
      <c r="CD144" s="145">
        <f t="shared" si="272"/>
        <v>0.16308756859937962</v>
      </c>
      <c r="CE144" s="145">
        <f t="shared" si="272"/>
        <v>0.17317666984227797</v>
      </c>
      <c r="CF144" s="144">
        <f t="shared" si="272"/>
        <v>0.16865921069546214</v>
      </c>
      <c r="CG144" s="145">
        <f t="shared" si="272"/>
        <v>0.20155343195008071</v>
      </c>
      <c r="CH144" s="145">
        <f t="shared" si="272"/>
        <v>0.28842613167417941</v>
      </c>
      <c r="CI144" s="145">
        <f t="shared" si="272"/>
        <v>0.23313313313313314</v>
      </c>
      <c r="CJ144" s="145">
        <f t="shared" si="272"/>
        <v>0.25950533191893249</v>
      </c>
      <c r="CK144" s="144">
        <f t="shared" si="272"/>
        <v>0.24122572133909795</v>
      </c>
      <c r="CL144" s="145">
        <f t="shared" si="272"/>
        <v>0.27371658386562575</v>
      </c>
      <c r="CM144" s="145">
        <f t="shared" si="272"/>
        <v>0.2954179723892606</v>
      </c>
      <c r="CN144" s="145">
        <f t="shared" si="272"/>
        <v>0.26126317278449679</v>
      </c>
      <c r="CO144" s="145">
        <f t="shared" si="272"/>
        <v>0.24392315734448511</v>
      </c>
      <c r="CP144" s="144">
        <f t="shared" si="272"/>
        <v>0.26725471990095945</v>
      </c>
      <c r="CQ144" s="145">
        <f t="shared" si="272"/>
        <v>0.24636919235066043</v>
      </c>
      <c r="CR144" s="145">
        <f t="shared" si="272"/>
        <v>0.23926344275797154</v>
      </c>
      <c r="CS144" s="145">
        <f t="shared" si="272"/>
        <v>0.27627961775101451</v>
      </c>
      <c r="CT144" s="145">
        <f t="shared" si="272"/>
        <v>0.29006962752653281</v>
      </c>
      <c r="CU144" s="144">
        <f t="shared" si="272"/>
        <v>0.26214558648813535</v>
      </c>
      <c r="CV144" s="145">
        <f t="shared" si="272"/>
        <v>0.30834107640626118</v>
      </c>
      <c r="CW144" s="145">
        <f t="shared" si="272"/>
        <v>0.25765841376416282</v>
      </c>
      <c r="CX144" s="145">
        <f t="shared" ref="CX144:DZ144" si="273">IF(ISERROR(CX74/CX82),"",CX74/CX82)</f>
        <v>0.27776385058912006</v>
      </c>
      <c r="CY144" s="145">
        <f t="shared" si="273"/>
        <v>0.22857857857857858</v>
      </c>
      <c r="CZ144" s="144">
        <f t="shared" si="273"/>
        <v>0.2643976699495556</v>
      </c>
      <c r="DA144" s="145">
        <f t="shared" si="273"/>
        <v>0.26337815970090955</v>
      </c>
      <c r="DB144" s="145">
        <f t="shared" si="273"/>
        <v>0.24029163080350363</v>
      </c>
      <c r="DC144" s="145">
        <f t="shared" si="273"/>
        <v>0.26579761378700839</v>
      </c>
      <c r="DD144" s="145">
        <f t="shared" si="273"/>
        <v>0.22022890362430739</v>
      </c>
      <c r="DE144" s="144">
        <f t="shared" si="273"/>
        <v>0.24586729053654524</v>
      </c>
      <c r="DF144" s="145">
        <f t="shared" si="273"/>
        <v>0.30448427786830828</v>
      </c>
      <c r="DG144" s="145">
        <f t="shared" si="273"/>
        <v>0.28987311751452627</v>
      </c>
      <c r="DH144" s="145">
        <f t="shared" si="273"/>
        <v>0.27471973094170404</v>
      </c>
      <c r="DI144" s="145">
        <f t="shared" si="273"/>
        <v>0.33584831386957092</v>
      </c>
      <c r="DJ144" s="144">
        <f t="shared" si="273"/>
        <v>0.29998346287415245</v>
      </c>
      <c r="DK144" s="145">
        <f t="shared" si="273"/>
        <v>0.25969429626590068</v>
      </c>
      <c r="DL144" s="145">
        <f t="shared" si="273"/>
        <v>0.23214207217899688</v>
      </c>
      <c r="DM144" s="145">
        <f t="shared" si="273"/>
        <v>0.23076923076923078</v>
      </c>
      <c r="DN144" s="145">
        <f t="shared" si="273"/>
        <v>0.21751294471354601</v>
      </c>
      <c r="DO144" s="144">
        <f t="shared" si="273"/>
        <v>0.23387322133172372</v>
      </c>
      <c r="DP144" s="145">
        <f t="shared" ref="DP144" si="274">IF(ISERROR(DP74/DP82),"",DP74/DP82)</f>
        <v>0.2417068010982581</v>
      </c>
      <c r="DQ144" s="145">
        <f t="shared" si="273"/>
        <v>0.21758957654723127</v>
      </c>
      <c r="DR144" s="145">
        <f t="shared" si="273"/>
        <v>0.21515354990213187</v>
      </c>
      <c r="DS144" s="145">
        <f t="shared" si="273"/>
        <v>0.20753821207797646</v>
      </c>
      <c r="DT144" s="144">
        <f t="shared" si="273"/>
        <v>0.21979538247991756</v>
      </c>
      <c r="DU144" s="145">
        <f t="shared" ref="DU144:DY144" si="275">IF(ISERROR(DU74/DU82),"",DU74/DU82)</f>
        <v>0.21637201359295311</v>
      </c>
      <c r="DV144" s="145">
        <f t="shared" si="275"/>
        <v>0.20008381052460905</v>
      </c>
      <c r="DW144" s="145">
        <f t="shared" si="275"/>
        <v>0.19941131703050619</v>
      </c>
      <c r="DX144" s="145">
        <f t="shared" si="275"/>
        <v>0.18107779553236963</v>
      </c>
      <c r="DY144" s="144">
        <f t="shared" si="275"/>
        <v>0.1982994460109129</v>
      </c>
      <c r="DZ144" s="144">
        <f t="shared" si="273"/>
        <v>0.18581807466285535</v>
      </c>
      <c r="EA144" s="144">
        <f t="shared" ref="EA144:EB144" si="276">IF(ISERROR(EA74/EA82),"",EA74/EA82)</f>
        <v>0.17391347453903666</v>
      </c>
      <c r="EB144" s="144">
        <f t="shared" si="276"/>
        <v>0.16929101302801641</v>
      </c>
    </row>
    <row r="145" spans="2:132" s="241" customFormat="1" ht="12" hidden="1" customHeight="1" outlineLevel="1">
      <c r="B145" s="241" t="s">
        <v>144</v>
      </c>
      <c r="C145" s="301">
        <f t="shared" ref="C145:AH145" si="277">IF(ISERROR(C79/C82),"",C79/C82)</f>
        <v>1.62882096069869E-2</v>
      </c>
      <c r="D145" s="301">
        <f t="shared" si="277"/>
        <v>1.2999964383659223E-2</v>
      </c>
      <c r="E145" s="301">
        <f t="shared" si="277"/>
        <v>1.4432776369561844E-2</v>
      </c>
      <c r="F145" s="301">
        <f t="shared" si="277"/>
        <v>1.4769782350304943E-2</v>
      </c>
      <c r="G145" s="301">
        <f t="shared" si="277"/>
        <v>1.4828688271074607E-2</v>
      </c>
      <c r="H145" s="301">
        <f t="shared" si="277"/>
        <v>1.8383916846991807E-2</v>
      </c>
      <c r="I145" s="301">
        <f t="shared" si="277"/>
        <v>2.4185401604436961E-2</v>
      </c>
      <c r="J145" s="242">
        <f t="shared" si="277"/>
        <v>2.3690099544717957E-2</v>
      </c>
      <c r="K145" s="242">
        <f t="shared" si="277"/>
        <v>1.7496943765281173E-2</v>
      </c>
      <c r="L145" s="242">
        <f t="shared" si="277"/>
        <v>1.9236618004866181E-2</v>
      </c>
      <c r="M145" s="242">
        <f t="shared" si="277"/>
        <v>1.2822446824558758E-2</v>
      </c>
      <c r="N145" s="301">
        <f t="shared" si="277"/>
        <v>1.8281640200545207E-2</v>
      </c>
      <c r="O145" s="242">
        <f t="shared" si="277"/>
        <v>1.8249018249018249E-2</v>
      </c>
      <c r="P145" s="242">
        <f t="shared" si="277"/>
        <v>1.7567207878626565E-2</v>
      </c>
      <c r="Q145" s="242">
        <f t="shared" si="277"/>
        <v>1.821205162720722E-2</v>
      </c>
      <c r="R145" s="242">
        <f t="shared" si="277"/>
        <v>1.6548130413351174E-2</v>
      </c>
      <c r="S145" s="301">
        <f t="shared" si="277"/>
        <v>1.7613273771537971E-2</v>
      </c>
      <c r="T145" s="242">
        <f t="shared" si="277"/>
        <v>1.6615255187885584E-2</v>
      </c>
      <c r="U145" s="242">
        <f t="shared" si="277"/>
        <v>1.6215134125183505E-2</v>
      </c>
      <c r="V145" s="242">
        <f t="shared" si="277"/>
        <v>2.0625551258565709E-2</v>
      </c>
      <c r="W145" s="242">
        <f t="shared" si="277"/>
        <v>1.3739239496037853E-2</v>
      </c>
      <c r="X145" s="301">
        <f t="shared" si="277"/>
        <v>1.6658540549325532E-2</v>
      </c>
      <c r="Y145" s="242">
        <f t="shared" si="277"/>
        <v>1.3862674910510901E-2</v>
      </c>
      <c r="Z145" s="242">
        <f t="shared" si="277"/>
        <v>1.227390180878553E-2</v>
      </c>
      <c r="AA145" s="242">
        <f t="shared" si="277"/>
        <v>1.1927105406550826E-2</v>
      </c>
      <c r="AB145" s="242">
        <f t="shared" si="277"/>
        <v>1.1214739371745722E-2</v>
      </c>
      <c r="AC145" s="301">
        <f t="shared" si="277"/>
        <v>1.2276499917152454E-2</v>
      </c>
      <c r="AD145" s="242">
        <f t="shared" si="277"/>
        <v>1.1569731081926203E-2</v>
      </c>
      <c r="AE145" s="242">
        <f t="shared" si="277"/>
        <v>1.0553000825374366E-2</v>
      </c>
      <c r="AF145" s="242">
        <f t="shared" si="277"/>
        <v>1.1181586346694566E-2</v>
      </c>
      <c r="AG145" s="242">
        <f t="shared" si="277"/>
        <v>1.3255483667350481E-2</v>
      </c>
      <c r="AH145" s="301">
        <f t="shared" si="277"/>
        <v>1.1539913655838081E-2</v>
      </c>
      <c r="AI145" s="242">
        <f t="shared" ref="AI145:BR145" si="278">IF(ISERROR(AI79/AI82),"",AI79/AI82)</f>
        <v>9.8775905950793837E-3</v>
      </c>
      <c r="AJ145" s="242">
        <f t="shared" si="278"/>
        <v>9.735338696513933E-3</v>
      </c>
      <c r="AK145" s="242">
        <f t="shared" si="278"/>
        <v>9.9472674976030673E-3</v>
      </c>
      <c r="AL145" s="242">
        <f t="shared" si="278"/>
        <v>9.1431120031220375E-3</v>
      </c>
      <c r="AM145" s="301">
        <f t="shared" si="278"/>
        <v>9.6659392803268851E-3</v>
      </c>
      <c r="AN145" s="242">
        <f t="shared" si="278"/>
        <v>1.0646687697160883E-2</v>
      </c>
      <c r="AO145" s="242">
        <f t="shared" si="278"/>
        <v>1.0402619919090734E-2</v>
      </c>
      <c r="AP145" s="242">
        <f t="shared" si="278"/>
        <v>1.0019449519655802E-2</v>
      </c>
      <c r="AQ145" s="242">
        <f t="shared" si="278"/>
        <v>8.7613293051359512E-3</v>
      </c>
      <c r="AR145" s="301">
        <f t="shared" si="278"/>
        <v>9.9368643672441137E-3</v>
      </c>
      <c r="AS145" s="242">
        <f t="shared" si="278"/>
        <v>9.5908786049631115E-3</v>
      </c>
      <c r="AT145" s="242">
        <f t="shared" si="278"/>
        <v>8.8859336275161696E-3</v>
      </c>
      <c r="AU145" s="242">
        <f t="shared" si="278"/>
        <v>7.1078016584870535E-3</v>
      </c>
      <c r="AV145" s="242">
        <f t="shared" si="278"/>
        <v>5.9319867041677321E-3</v>
      </c>
      <c r="AW145" s="301">
        <f t="shared" si="278"/>
        <v>7.7398705172037532E-3</v>
      </c>
      <c r="AX145" s="242">
        <f t="shared" si="278"/>
        <v>6.4489501109219419E-3</v>
      </c>
      <c r="AY145" s="242">
        <f t="shared" si="278"/>
        <v>4.9487628092976755E-3</v>
      </c>
      <c r="AZ145" s="242">
        <f t="shared" si="278"/>
        <v>5.0479808076769293E-3</v>
      </c>
      <c r="BA145" s="242">
        <f t="shared" si="278"/>
        <v>5.2013272352255399E-3</v>
      </c>
      <c r="BB145" s="301">
        <f t="shared" si="278"/>
        <v>5.3979289578692255E-3</v>
      </c>
      <c r="BC145" s="242">
        <f t="shared" si="278"/>
        <v>5.5576139310855874E-3</v>
      </c>
      <c r="BD145" s="242">
        <f t="shared" si="278"/>
        <v>4.7673619069447627E-3</v>
      </c>
      <c r="BE145" s="242">
        <f t="shared" si="278"/>
        <v>4.2476276547672841E-3</v>
      </c>
      <c r="BF145" s="242">
        <f t="shared" si="278"/>
        <v>4.4144913034521328E-3</v>
      </c>
      <c r="BG145" s="301">
        <f t="shared" si="278"/>
        <v>4.7100491438215814E-3</v>
      </c>
      <c r="BH145" s="145">
        <f t="shared" si="278"/>
        <v>4.0068409479599313E-3</v>
      </c>
      <c r="BI145" s="145">
        <f t="shared" si="278"/>
        <v>4.0825584032660464E-3</v>
      </c>
      <c r="BJ145" s="145">
        <f t="shared" si="278"/>
        <v>3.8261015808947192E-3</v>
      </c>
      <c r="BK145" s="145">
        <f t="shared" si="278"/>
        <v>6.2530652280529675E-3</v>
      </c>
      <c r="BL145" s="144">
        <f t="shared" si="278"/>
        <v>4.583415967034662E-3</v>
      </c>
      <c r="BM145" s="145">
        <f t="shared" si="278"/>
        <v>3.8827938055894171E-3</v>
      </c>
      <c r="BN145" s="145">
        <f t="shared" si="278"/>
        <v>4.6856537505602413E-3</v>
      </c>
      <c r="BO145" s="145">
        <f t="shared" si="278"/>
        <v>4.410228635537158E-3</v>
      </c>
      <c r="BP145" s="145">
        <f t="shared" si="278"/>
        <v>4.1572986043354682E-3</v>
      </c>
      <c r="BQ145" s="144">
        <f t="shared" si="278"/>
        <v>4.2969806687891462E-3</v>
      </c>
      <c r="BR145" s="145">
        <f t="shared" si="278"/>
        <v>2.8278543655001769E-3</v>
      </c>
      <c r="BS145" s="145">
        <f t="shared" ref="BS145:CF145" si="279">IF(ISERROR(BS79/BS82),"",BS79/BS82)</f>
        <v>3.3932538881034134E-3</v>
      </c>
      <c r="BT145" s="145">
        <f t="shared" si="279"/>
        <v>2.6362038664323375E-3</v>
      </c>
      <c r="BU145" s="145">
        <f t="shared" si="279"/>
        <v>3.7361504766812675E-3</v>
      </c>
      <c r="BV145" s="144">
        <f t="shared" si="279"/>
        <v>3.1510716815937234E-3</v>
      </c>
      <c r="BW145" s="145">
        <f t="shared" si="279"/>
        <v>4.1892445699194024E-3</v>
      </c>
      <c r="BX145" s="145">
        <f t="shared" si="279"/>
        <v>3.1235087414862696E-3</v>
      </c>
      <c r="BY145" s="145">
        <f t="shared" si="279"/>
        <v>2.8898154646410435E-3</v>
      </c>
      <c r="BZ145" s="145">
        <f t="shared" si="279"/>
        <v>2.9471134436818733E-3</v>
      </c>
      <c r="CA145" s="144">
        <f t="shared" si="279"/>
        <v>3.2657837349077175E-3</v>
      </c>
      <c r="CB145" s="145">
        <f t="shared" si="279"/>
        <v>2.7799161748353436E-3</v>
      </c>
      <c r="CC145" s="145">
        <f t="shared" si="279"/>
        <v>2.968093000247341E-3</v>
      </c>
      <c r="CD145" s="145">
        <f t="shared" si="279"/>
        <v>3.0621172353455816E-3</v>
      </c>
      <c r="CE145" s="145">
        <f t="shared" si="279"/>
        <v>2.1170742034508309E-3</v>
      </c>
      <c r="CF145" s="144">
        <f t="shared" si="279"/>
        <v>2.7094643369228793E-3</v>
      </c>
      <c r="CG145" s="145">
        <f t="shared" ref="CG145:CK145" si="280">IF(ISERROR(CG79/CG82),"",CG79/CG82)</f>
        <v>2.8799581097002226E-3</v>
      </c>
      <c r="CH145" s="145">
        <f t="shared" si="280"/>
        <v>4.761602437940448E-3</v>
      </c>
      <c r="CI145" s="145">
        <f t="shared" si="280"/>
        <v>3.3033033033033031E-3</v>
      </c>
      <c r="CJ145" s="145">
        <f t="shared" si="280"/>
        <v>2.0657696387694712E-3</v>
      </c>
      <c r="CK145" s="144">
        <f t="shared" si="280"/>
        <v>3.1870844708002978E-3</v>
      </c>
      <c r="CL145" s="145">
        <f t="shared" ref="CL145:CP145" si="281">IF(ISERROR(CL79/CL82),"",CL79/CL82)</f>
        <v>3.8443340430565414E-3</v>
      </c>
      <c r="CM145" s="145">
        <f t="shared" si="281"/>
        <v>5.8439908528838827E-3</v>
      </c>
      <c r="CN145" s="145">
        <f t="shared" si="281"/>
        <v>5.0215715397128506E-3</v>
      </c>
      <c r="CO145" s="145">
        <f t="shared" si="281"/>
        <v>3.6591740721380033E-3</v>
      </c>
      <c r="CP145" s="144">
        <f t="shared" si="281"/>
        <v>4.487774682760755E-3</v>
      </c>
      <c r="CQ145" s="145">
        <f t="shared" ref="CQ145:CV145" si="282">IF(ISERROR(CQ79/CQ82),"",CQ79/CQ82)</f>
        <v>3.942958533219426E-3</v>
      </c>
      <c r="CR145" s="145">
        <f t="shared" si="282"/>
        <v>4.5887751500176491E-3</v>
      </c>
      <c r="CS145" s="145">
        <f t="shared" si="282"/>
        <v>4.6472051315617231E-3</v>
      </c>
      <c r="CT145" s="145">
        <f t="shared" si="282"/>
        <v>4.2587710403569259E-3</v>
      </c>
      <c r="CU145" s="144">
        <f t="shared" si="282"/>
        <v>4.36695244517227E-3</v>
      </c>
      <c r="CV145" s="145">
        <f t="shared" si="282"/>
        <v>3.2878278893574441E-3</v>
      </c>
      <c r="CW145" s="145">
        <f t="shared" ref="CW145:CZ145" si="283">IF(ISERROR(CW79/CW82),"",CW79/CW82)</f>
        <v>3.1173191055692104E-3</v>
      </c>
      <c r="CX145" s="145">
        <f t="shared" si="283"/>
        <v>3.2589621459012284E-3</v>
      </c>
      <c r="CY145" s="145">
        <f t="shared" si="283"/>
        <v>2.4524524524524526E-3</v>
      </c>
      <c r="CZ145" s="144">
        <f t="shared" si="283"/>
        <v>2.9876291136199857E-3</v>
      </c>
      <c r="DA145" s="145">
        <f t="shared" ref="DA145:DE145" si="284">IF(ISERROR(DA79/DA82),"",DA79/DA82)</f>
        <v>0</v>
      </c>
      <c r="DB145" s="145">
        <f t="shared" si="284"/>
        <v>0</v>
      </c>
      <c r="DC145" s="145">
        <f t="shared" si="284"/>
        <v>0</v>
      </c>
      <c r="DD145" s="145">
        <f t="shared" si="284"/>
        <v>0</v>
      </c>
      <c r="DE145" s="144">
        <f t="shared" si="284"/>
        <v>0</v>
      </c>
      <c r="DF145" s="145">
        <f t="shared" ref="DF145:DI145" si="285">IF(ISERROR(DF79/DF82),"",DF79/DF82)</f>
        <v>0</v>
      </c>
      <c r="DG145" s="145">
        <f t="shared" si="285"/>
        <v>0</v>
      </c>
      <c r="DH145" s="145">
        <f t="shared" si="285"/>
        <v>0</v>
      </c>
      <c r="DI145" s="145">
        <f t="shared" si="285"/>
        <v>0</v>
      </c>
      <c r="DJ145" s="144">
        <f t="shared" ref="DJ145:DN145" si="286">IF(ISERROR(DJ79/DJ82),"",DJ79/DJ82)</f>
        <v>0</v>
      </c>
      <c r="DK145" s="145">
        <f t="shared" si="286"/>
        <v>0</v>
      </c>
      <c r="DL145" s="145">
        <f t="shared" si="286"/>
        <v>0</v>
      </c>
      <c r="DM145" s="145">
        <f t="shared" si="286"/>
        <v>0</v>
      </c>
      <c r="DN145" s="145">
        <f t="shared" si="286"/>
        <v>0</v>
      </c>
      <c r="DO145" s="144">
        <f t="shared" ref="DO145:DS145" si="287">IF(ISERROR(DO79/DO82),"",DO79/DO82)</f>
        <v>0</v>
      </c>
      <c r="DP145" s="145">
        <f t="shared" si="287"/>
        <v>0</v>
      </c>
      <c r="DQ145" s="145">
        <f t="shared" si="287"/>
        <v>0</v>
      </c>
      <c r="DR145" s="145">
        <f t="shared" si="287"/>
        <v>0</v>
      </c>
      <c r="DS145" s="145">
        <f t="shared" si="287"/>
        <v>0</v>
      </c>
      <c r="DT145" s="144">
        <f t="shared" ref="DT145:DX145" si="288">IF(ISERROR(DT79/DT82),"",DT79/DT82)</f>
        <v>0</v>
      </c>
      <c r="DU145" s="145">
        <f t="shared" si="288"/>
        <v>0</v>
      </c>
      <c r="DV145" s="145">
        <f t="shared" si="288"/>
        <v>0</v>
      </c>
      <c r="DW145" s="145">
        <f t="shared" si="288"/>
        <v>0</v>
      </c>
      <c r="DX145" s="145">
        <f t="shared" si="288"/>
        <v>0</v>
      </c>
      <c r="DY145" s="144">
        <f t="shared" ref="DY145" si="289">IF(ISERROR(DY79/DY82),"",DY79/DY82)</f>
        <v>0</v>
      </c>
      <c r="DZ145" s="144">
        <f t="shared" ref="DZ145:EB145" si="290">IF(ISERROR(DZ79/DZ82),"",DZ79/DZ82)</f>
        <v>0</v>
      </c>
      <c r="EA145" s="144">
        <f t="shared" si="290"/>
        <v>0</v>
      </c>
      <c r="EB145" s="144">
        <f t="shared" si="290"/>
        <v>0</v>
      </c>
    </row>
    <row r="146" spans="2:132" s="241" customFormat="1" ht="12" customHeight="1" collapsed="1">
      <c r="B146" s="241" t="s">
        <v>320</v>
      </c>
      <c r="C146" s="301">
        <f t="shared" ref="C146:R146" si="291">IF(ISERROR((C80+C81)/C82),"",(C80+C81)/C82)</f>
        <v>0</v>
      </c>
      <c r="D146" s="301">
        <f t="shared" si="291"/>
        <v>0</v>
      </c>
      <c r="E146" s="301">
        <f t="shared" si="291"/>
        <v>-5.2420119669615295E-3</v>
      </c>
      <c r="F146" s="301">
        <f t="shared" si="291"/>
        <v>-1.6445509635431888E-2</v>
      </c>
      <c r="G146" s="301">
        <f t="shared" si="291"/>
        <v>-9.2099384858586198E-3</v>
      </c>
      <c r="H146" s="301">
        <f t="shared" si="291"/>
        <v>-4.9751243781094526E-3</v>
      </c>
      <c r="I146" s="301">
        <f t="shared" si="291"/>
        <v>-1.0002971179558284E-2</v>
      </c>
      <c r="J146" s="242">
        <f t="shared" si="291"/>
        <v>-7.330812562697739E-3</v>
      </c>
      <c r="K146" s="242">
        <f t="shared" si="291"/>
        <v>1.9865525672371639E-3</v>
      </c>
      <c r="L146" s="242">
        <f t="shared" si="291"/>
        <v>1.5206812652068127E-4</v>
      </c>
      <c r="M146" s="242">
        <f t="shared" si="291"/>
        <v>4.7518479408658922E-3</v>
      </c>
      <c r="N146" s="301">
        <f t="shared" si="291"/>
        <v>-7.6252930972034233E-5</v>
      </c>
      <c r="O146" s="242">
        <f t="shared" si="291"/>
        <v>1.0087010087010087E-2</v>
      </c>
      <c r="P146" s="242">
        <f t="shared" si="291"/>
        <v>1.4373170082512644E-2</v>
      </c>
      <c r="Q146" s="242">
        <f t="shared" si="291"/>
        <v>8.3141974819859049E-3</v>
      </c>
      <c r="R146" s="242">
        <f t="shared" si="291"/>
        <v>-1.0562636434053941E-3</v>
      </c>
      <c r="S146" s="301">
        <f t="shared" ref="S146:AA146" si="292">IF(ISERROR((S80+S81)/S82),"",(S80+S81)/S82)</f>
        <v>7.9679095633147963E-3</v>
      </c>
      <c r="T146" s="242">
        <f t="shared" si="292"/>
        <v>-1.4862591138530567E-2</v>
      </c>
      <c r="U146" s="242">
        <f t="shared" si="292"/>
        <v>-9.6089683704791134E-3</v>
      </c>
      <c r="V146" s="242">
        <f t="shared" si="292"/>
        <v>-3.3923604043693601E-3</v>
      </c>
      <c r="W146" s="242">
        <f t="shared" si="292"/>
        <v>3.9906504760275923E-4</v>
      </c>
      <c r="X146" s="301">
        <f t="shared" si="292"/>
        <v>-6.4846416382252558E-3</v>
      </c>
      <c r="Y146" s="242">
        <f t="shared" si="292"/>
        <v>-8.0702896192645628E-3</v>
      </c>
      <c r="Z146" s="242">
        <f t="shared" si="292"/>
        <v>7.6932111815832746E-3</v>
      </c>
      <c r="AA146" s="242">
        <f t="shared" si="292"/>
        <v>3.2693588424047952E-3</v>
      </c>
      <c r="AB146" s="242">
        <f t="shared" ref="AB146:BL146" si="293">IF(ISERROR((AB80+AB81)/AB82),"",(AB80+AB81)/AB82)</f>
        <v>2.5748126108599873E-3</v>
      </c>
      <c r="AC146" s="301">
        <f t="shared" si="293"/>
        <v>1.5966981487339389E-3</v>
      </c>
      <c r="AD146" s="242">
        <f t="shared" si="293"/>
        <v>4.3151969981238278E-3</v>
      </c>
      <c r="AE146" s="242">
        <f t="shared" si="293"/>
        <v>1.6625397948355148E-2</v>
      </c>
      <c r="AF146" s="242">
        <f t="shared" si="293"/>
        <v>-2.0989995422742432E-2</v>
      </c>
      <c r="AG146" s="242">
        <f t="shared" si="293"/>
        <v>-1.0572826258481931E-2</v>
      </c>
      <c r="AH146" s="301">
        <f t="shared" si="293"/>
        <v>-1.7071849505080517E-3</v>
      </c>
      <c r="AI146" s="242">
        <f t="shared" si="293"/>
        <v>3.9389164949703067E-3</v>
      </c>
      <c r="AJ146" s="242">
        <f t="shared" si="293"/>
        <v>-5.4797714818701181E-3</v>
      </c>
      <c r="AK146" s="242">
        <f t="shared" si="293"/>
        <v>-6.2919463087248318E-3</v>
      </c>
      <c r="AL146" s="242">
        <f t="shared" si="293"/>
        <v>2.3972793666722416E-3</v>
      </c>
      <c r="AM146" s="301">
        <f t="shared" si="293"/>
        <v>-1.3327279916814341E-3</v>
      </c>
      <c r="AN146" s="242">
        <f>IF(ISERROR((AN80+AN81)/AN82),"",(AN80+AN81)/AN82)</f>
        <v>-1.7744479495268139E-3</v>
      </c>
      <c r="AO146" s="242">
        <f t="shared" si="293"/>
        <v>-3.2106851602131897E-4</v>
      </c>
      <c r="AP146" s="242">
        <f t="shared" si="293"/>
        <v>-7.8976837390228091E-3</v>
      </c>
      <c r="AQ146" s="242">
        <f t="shared" si="293"/>
        <v>3.3836858006042296E-3</v>
      </c>
      <c r="AR146" s="301">
        <f t="shared" si="293"/>
        <v>-1.7105713308244953E-3</v>
      </c>
      <c r="AS146" s="242">
        <f t="shared" si="293"/>
        <v>2.1462105969148222E-3</v>
      </c>
      <c r="AT146" s="242">
        <f t="shared" si="293"/>
        <v>-8.1605512905760739E-3</v>
      </c>
      <c r="AU146" s="242">
        <f t="shared" si="293"/>
        <v>-6.4308681672025723E-3</v>
      </c>
      <c r="AV146" s="242">
        <f t="shared" si="293"/>
        <v>1.3960623881360266E-2</v>
      </c>
      <c r="AW146" s="301">
        <f t="shared" si="293"/>
        <v>8.1472321233723726E-4</v>
      </c>
      <c r="AX146" s="242">
        <f>IF(ISERROR((AX80+AX81)/AX82),"",(AX80+AX81)/AX82)</f>
        <v>4.5400608780890471E-3</v>
      </c>
      <c r="AY146" s="242">
        <f>IF(ISERROR((AY80+AY81)/AY82),"",(AY80+AY81)/AY82)</f>
        <v>-6.4483879030242438E-3</v>
      </c>
      <c r="AZ146" s="242">
        <f>IF(ISERROR((AZ80+AZ81)/AZ82),"",(AZ80+AZ81)/AZ82)</f>
        <v>-5.8976409436225508E-3</v>
      </c>
      <c r="BA146" s="242">
        <f>IF(ISERROR((BA80+BA81)/BA82),"",(BA80+BA81)/BA82)</f>
        <v>-1.425881086898036E-2</v>
      </c>
      <c r="BB146" s="301">
        <f t="shared" si="293"/>
        <v>-5.8385762197361015E-3</v>
      </c>
      <c r="BC146" s="242">
        <f>IF(ISERROR((BC80+BC81)/BC82),"",(BC80+BC81)/BC82)</f>
        <v>-6.3515587783835278E-4</v>
      </c>
      <c r="BD146" s="242">
        <f>IF(ISERROR((BD80+BD81)/BD82),"",(BD80+BD81)/BD82)</f>
        <v>-4.5381618152647261E-3</v>
      </c>
      <c r="BE146" s="242">
        <f>IF(ISERROR((BE80+BE81)/BE82),"",(BE80+BE81)/BE82)</f>
        <v>1.3556258472661545E-4</v>
      </c>
      <c r="BF146" s="242">
        <f>IF(ISERROR((BF80+BF81)/BF82),"",(BF80+BF81)/BF82)</f>
        <v>6.0962022761958017E-3</v>
      </c>
      <c r="BG146" s="301">
        <f t="shared" si="293"/>
        <v>4.2713680961127087E-4</v>
      </c>
      <c r="BH146" s="145">
        <f>IF(ISERROR((BH80+BH81)/BH82),"",(BH80+BH81)/BH82)</f>
        <v>6.3523088199364769E-4</v>
      </c>
      <c r="BI146" s="145">
        <f>IF(ISERROR((BI80+BI81)/BI82),"",(BI80+BI81)/BI82)</f>
        <v>-4.3547289634837828E-3</v>
      </c>
      <c r="BJ146" s="145">
        <f>IF(ISERROR((BJ80+BJ81)/BJ82),"",(BJ80+BJ81)/BJ82)</f>
        <v>-1.3874873864783047E-2</v>
      </c>
      <c r="BK146" s="145">
        <f>IF(ISERROR((BK80+BK81)/BK82),"",(BK80+BK81)/BK82)</f>
        <v>-4.5774072257642635E-3</v>
      </c>
      <c r="BL146" s="144">
        <f t="shared" si="293"/>
        <v>-5.7843590930124946E-3</v>
      </c>
      <c r="BM146" s="145">
        <f>IF(ISERROR((BM80+BM81)/BM82),"",(BM80+BM81)/BM82)</f>
        <v>-1.2190166598943519E-3</v>
      </c>
      <c r="BN146" s="145">
        <f>IF(ISERROR((BN80+BN81)/BN82),"",(BN80+BN81)/BN82)</f>
        <v>2.8521370655584078E-4</v>
      </c>
      <c r="BO146" s="145">
        <f>IF(ISERROR((BO80+BO81)/BO82),"",(BO80+BO81)/BO82)</f>
        <v>-1.1876668343069365E-2</v>
      </c>
      <c r="BP146" s="145">
        <f>IF(ISERROR((BP80+BP81)/BP82),"",(BP80+BP81)/BP82)</f>
        <v>-1.7307937046621133E-2</v>
      </c>
      <c r="BQ146" s="144">
        <f t="shared" ref="BQ146" si="294">IF(ISERROR((BQ80+BQ81)/BQ82),"",(BQ80+BQ81)/BQ82)</f>
        <v>-7.647168986828142E-3</v>
      </c>
      <c r="BR146" s="145">
        <f>IF(ISERROR((BR80+BR81)/BR82),"",(BR80+BR81)/BR82)</f>
        <v>9.8974902792506193E-3</v>
      </c>
      <c r="BS146" s="145">
        <f t="shared" ref="BS146:CF146" si="295">IF(ISERROR((BS80+BS81)/BS82),"",(BS80+BS81)/BS82)</f>
        <v>2.1409816198747727E-3</v>
      </c>
      <c r="BT146" s="145">
        <f t="shared" si="295"/>
        <v>-2.6027282617792285E-2</v>
      </c>
      <c r="BU146" s="145">
        <f t="shared" si="295"/>
        <v>5.0674224856136737E-3</v>
      </c>
      <c r="BV146" s="144">
        <f t="shared" si="295"/>
        <v>-2.4003129923549503E-3</v>
      </c>
      <c r="BW146" s="145">
        <f t="shared" si="295"/>
        <v>6.8758253267155412E-3</v>
      </c>
      <c r="BX146" s="145">
        <f t="shared" si="295"/>
        <v>2.1691032926987984E-4</v>
      </c>
      <c r="BY146" s="145">
        <f t="shared" si="295"/>
        <v>5.4080832266853816E-3</v>
      </c>
      <c r="BZ146" s="145">
        <f t="shared" si="295"/>
        <v>1.0294711344368187E-2</v>
      </c>
      <c r="CA146" s="144">
        <f t="shared" si="295"/>
        <v>5.7656507632572731E-3</v>
      </c>
      <c r="CB146" s="145">
        <f t="shared" si="295"/>
        <v>-2.5233085279274658E-3</v>
      </c>
      <c r="CC146" s="145">
        <f t="shared" si="295"/>
        <v>1.5252700140159948E-3</v>
      </c>
      <c r="CD146" s="145">
        <f t="shared" si="295"/>
        <v>-1.5907102521275751E-3</v>
      </c>
      <c r="CE146" s="145">
        <f t="shared" si="295"/>
        <v>-1.1291062418404432E-3</v>
      </c>
      <c r="CF146" s="144">
        <f t="shared" si="295"/>
        <v>-9.2952426157208261E-4</v>
      </c>
      <c r="CG146" s="145">
        <f t="shared" ref="CG146:CK146" si="296">IF(ISERROR((CG80+CG81)/CG82),"",(CG80+CG81)/CG82)</f>
        <v>-8.7707815159052231E-3</v>
      </c>
      <c r="CH146" s="145">
        <f t="shared" si="296"/>
        <v>-1.2761094533680401E-2</v>
      </c>
      <c r="CI146" s="145">
        <f t="shared" si="296"/>
        <v>2.5025025025025025E-4</v>
      </c>
      <c r="CJ146" s="145">
        <f t="shared" si="296"/>
        <v>-1.1054659148009603E-2</v>
      </c>
      <c r="CK146" s="144">
        <f t="shared" si="296"/>
        <v>-7.7717838529761359E-3</v>
      </c>
      <c r="CL146" s="145">
        <f t="shared" ref="CL146:CP146" si="297">IF(ISERROR((CL80+CL81)/CL82),"",(CL80+CL81)/CL82)</f>
        <v>-1.8925952211970665E-3</v>
      </c>
      <c r="CM146" s="145">
        <f t="shared" si="297"/>
        <v>2.456170068603371E-3</v>
      </c>
      <c r="CN146" s="145">
        <f t="shared" si="297"/>
        <v>-4.9508451799985852E-3</v>
      </c>
      <c r="CO146" s="145">
        <f t="shared" si="297"/>
        <v>5.2273915316257186E-4</v>
      </c>
      <c r="CP146" s="144">
        <f t="shared" si="297"/>
        <v>-1.1176450359365866E-3</v>
      </c>
      <c r="CQ146" s="145">
        <f t="shared" ref="CQ146:CV146" si="298">IF(ISERROR((CQ80+CQ81)/CQ82),"",(CQ80+CQ81)/CQ82)</f>
        <v>-3.0229348754682262E-3</v>
      </c>
      <c r="CR146" s="145">
        <f t="shared" si="298"/>
        <v>-2.2355571243675727E-3</v>
      </c>
      <c r="CS146" s="145">
        <f t="shared" si="298"/>
        <v>-5.890823406205001E-3</v>
      </c>
      <c r="CT146" s="145">
        <f t="shared" si="298"/>
        <v>-1.1694720475900764E-2</v>
      </c>
      <c r="CU146" s="144">
        <f t="shared" si="298"/>
        <v>-5.571075362039624E-3</v>
      </c>
      <c r="CV146" s="145">
        <f t="shared" si="298"/>
        <v>-9.2916875134014729E-4</v>
      </c>
      <c r="CW146" s="145">
        <f t="shared" ref="CW146:CZ146" si="299">IF(ISERROR((CW80+CW81)/CW82),"",(CW80+CW81)/CW82)</f>
        <v>-4.735927102691685E-3</v>
      </c>
      <c r="CX146" s="145">
        <f t="shared" si="299"/>
        <v>-6.1418901980446229E-3</v>
      </c>
      <c r="CY146" s="145">
        <f t="shared" si="299"/>
        <v>-2.0520520520520519E-3</v>
      </c>
      <c r="CZ146" s="144">
        <f t="shared" si="299"/>
        <v>-3.4680518856593802E-3</v>
      </c>
      <c r="DA146" s="145">
        <f t="shared" ref="DA146:DE146" si="300">IF(ISERROR((DA80+DA81)/DA82),"",(DA80+DA81)/DA82)</f>
        <v>-2.3436192176775851E-3</v>
      </c>
      <c r="DB146" s="145">
        <f t="shared" si="300"/>
        <v>-1.012606956609792E-4</v>
      </c>
      <c r="DC146" s="145">
        <f t="shared" si="300"/>
        <v>-3.5903667697746353E-3</v>
      </c>
      <c r="DD146" s="145">
        <f t="shared" si="300"/>
        <v>-2.6342083749659371E-3</v>
      </c>
      <c r="DE146" s="144">
        <f t="shared" si="300"/>
        <v>-2.1466951178754144E-3</v>
      </c>
      <c r="DF146" s="145">
        <f t="shared" ref="DF146:DI146" si="301">IF(ISERROR((DF80+DF81)/DF82),"",(DF80+DF81)/DF82)</f>
        <v>-4.7679401291568588E-3</v>
      </c>
      <c r="DG146" s="145">
        <f t="shared" si="301"/>
        <v>-2.7866714099371516E-3</v>
      </c>
      <c r="DH146" s="145">
        <f t="shared" si="301"/>
        <v>-2.242152466367713E-3</v>
      </c>
      <c r="DI146" s="145">
        <f t="shared" si="301"/>
        <v>-3.2804093950925075E-3</v>
      </c>
      <c r="DJ146" s="144">
        <f t="shared" ref="DJ146:DN146" si="302">IF(ISERROR((DJ80+DJ81)/DJ82),"",(DJ80+DJ81)/DJ82)</f>
        <v>-3.2472901664236209E-3</v>
      </c>
      <c r="DK146" s="145">
        <f t="shared" si="302"/>
        <v>-6.155108740254411E-4</v>
      </c>
      <c r="DL146" s="145">
        <f t="shared" si="302"/>
        <v>-1.011033452019869E-3</v>
      </c>
      <c r="DM146" s="145">
        <f t="shared" si="302"/>
        <v>-4.1254834550923936E-3</v>
      </c>
      <c r="DN146" s="145">
        <f t="shared" si="302"/>
        <v>-2.3801570068481708E-3</v>
      </c>
      <c r="DO146" s="144">
        <f t="shared" ref="DO146:DS146" si="303">IF(ISERROR((DO80+DO81)/DO82),"",(DO80+DO81)/DO82)</f>
        <v>-2.1014274057431564E-3</v>
      </c>
      <c r="DP146" s="145">
        <f t="shared" si="303"/>
        <v>2.0254759868569114E-3</v>
      </c>
      <c r="DQ146" s="145">
        <f t="shared" si="303"/>
        <v>-7.3289902280130291E-4</v>
      </c>
      <c r="DR146" s="145">
        <f t="shared" si="303"/>
        <v>-2.8808415032656755E-3</v>
      </c>
      <c r="DS146" s="145">
        <f t="shared" si="303"/>
        <v>-3.0658060556866137E-3</v>
      </c>
      <c r="DT146" s="144">
        <f t="shared" ref="DT146:DX146" si="304">IF(ISERROR((DT80+DT81)/DT82),"",(DT80+DT81)/DT82)</f>
        <v>-1.2658262332050046E-3</v>
      </c>
      <c r="DU146" s="145">
        <f t="shared" si="304"/>
        <v>-7.3885101854643588E-4</v>
      </c>
      <c r="DV146" s="145">
        <f t="shared" si="304"/>
        <v>-1.0119699610823191E-3</v>
      </c>
      <c r="DW146" s="145">
        <f t="shared" si="304"/>
        <v>-2.4296310172251044E-3</v>
      </c>
      <c r="DX146" s="145">
        <f t="shared" si="304"/>
        <v>-2.5835157492836956E-3</v>
      </c>
      <c r="DY146" s="144">
        <f t="shared" ref="DY146" si="305">IF(ISERROR((DY80+DY81)/DY82),"",(DY80+DY81)/DY82)</f>
        <v>-1.7490674536733372E-3</v>
      </c>
      <c r="DZ146" s="144">
        <f t="shared" ref="DZ146:EB146" si="306">IF(ISERROR((DZ80+DZ81)/DZ82),"",(DZ80+DZ81)/DZ82)</f>
        <v>-1.6276838624573653E-3</v>
      </c>
      <c r="EA146" s="144">
        <f t="shared" si="306"/>
        <v>-1.5119838567405346E-3</v>
      </c>
      <c r="EB146" s="144">
        <f t="shared" si="306"/>
        <v>-1.4599115651733187E-3</v>
      </c>
    </row>
    <row r="147" spans="2:132" s="74" customFormat="1" ht="12" customHeight="1">
      <c r="B147" s="32" t="s">
        <v>297</v>
      </c>
      <c r="C147" s="30">
        <f t="shared" ref="C147:R147" si="307">C146+C145+C143+C133</f>
        <v>0.6042576419213973</v>
      </c>
      <c r="D147" s="30">
        <f t="shared" si="307"/>
        <v>1</v>
      </c>
      <c r="E147" s="30">
        <f t="shared" si="307"/>
        <v>1</v>
      </c>
      <c r="F147" s="30">
        <f t="shared" si="307"/>
        <v>1</v>
      </c>
      <c r="G147" s="30">
        <f t="shared" si="307"/>
        <v>1</v>
      </c>
      <c r="H147" s="30">
        <f t="shared" si="307"/>
        <v>1</v>
      </c>
      <c r="I147" s="30">
        <f t="shared" si="307"/>
        <v>1</v>
      </c>
      <c r="J147" s="29">
        <f t="shared" si="307"/>
        <v>1</v>
      </c>
      <c r="K147" s="29">
        <f t="shared" si="307"/>
        <v>1</v>
      </c>
      <c r="L147" s="29">
        <f t="shared" si="307"/>
        <v>1</v>
      </c>
      <c r="M147" s="29">
        <f t="shared" si="307"/>
        <v>0.99999999999999989</v>
      </c>
      <c r="N147" s="30">
        <f t="shared" si="307"/>
        <v>1</v>
      </c>
      <c r="O147" s="29">
        <f t="shared" si="307"/>
        <v>1</v>
      </c>
      <c r="P147" s="29">
        <f t="shared" si="307"/>
        <v>1</v>
      </c>
      <c r="Q147" s="29">
        <f t="shared" si="307"/>
        <v>1</v>
      </c>
      <c r="R147" s="29">
        <f t="shared" si="307"/>
        <v>1</v>
      </c>
      <c r="S147" s="30">
        <f t="shared" ref="S147:BL147" si="308">S146+S145+S143+S133</f>
        <v>1</v>
      </c>
      <c r="T147" s="29">
        <f t="shared" si="308"/>
        <v>1</v>
      </c>
      <c r="U147" s="29">
        <f t="shared" si="308"/>
        <v>1</v>
      </c>
      <c r="V147" s="29">
        <f t="shared" si="308"/>
        <v>1</v>
      </c>
      <c r="W147" s="29">
        <f t="shared" si="308"/>
        <v>1</v>
      </c>
      <c r="X147" s="30">
        <f t="shared" si="308"/>
        <v>1</v>
      </c>
      <c r="Y147" s="29">
        <f t="shared" si="308"/>
        <v>1</v>
      </c>
      <c r="Z147" s="29">
        <f t="shared" si="308"/>
        <v>1</v>
      </c>
      <c r="AA147" s="29">
        <f t="shared" si="308"/>
        <v>1</v>
      </c>
      <c r="AB147" s="29">
        <f t="shared" si="308"/>
        <v>1</v>
      </c>
      <c r="AC147" s="30">
        <f t="shared" si="308"/>
        <v>1</v>
      </c>
      <c r="AD147" s="29">
        <f t="shared" si="308"/>
        <v>0.99999999999999989</v>
      </c>
      <c r="AE147" s="29">
        <f t="shared" si="308"/>
        <v>1</v>
      </c>
      <c r="AF147" s="29">
        <f t="shared" si="308"/>
        <v>1</v>
      </c>
      <c r="AG147" s="29">
        <f t="shared" si="308"/>
        <v>1</v>
      </c>
      <c r="AH147" s="30">
        <f t="shared" si="308"/>
        <v>1</v>
      </c>
      <c r="AI147" s="29">
        <f t="shared" si="308"/>
        <v>1</v>
      </c>
      <c r="AJ147" s="29">
        <f t="shared" si="308"/>
        <v>1</v>
      </c>
      <c r="AK147" s="29">
        <f t="shared" si="308"/>
        <v>1</v>
      </c>
      <c r="AL147" s="29">
        <f t="shared" si="308"/>
        <v>1</v>
      </c>
      <c r="AM147" s="30">
        <f t="shared" si="308"/>
        <v>1</v>
      </c>
      <c r="AN147" s="29">
        <f t="shared" si="308"/>
        <v>1</v>
      </c>
      <c r="AO147" s="29">
        <f t="shared" si="308"/>
        <v>1</v>
      </c>
      <c r="AP147" s="29">
        <f t="shared" si="308"/>
        <v>1</v>
      </c>
      <c r="AQ147" s="29">
        <f t="shared" si="308"/>
        <v>1</v>
      </c>
      <c r="AR147" s="30">
        <f t="shared" si="308"/>
        <v>1</v>
      </c>
      <c r="AS147" s="29">
        <f t="shared" si="308"/>
        <v>0.99999999999999989</v>
      </c>
      <c r="AT147" s="29">
        <f t="shared" si="308"/>
        <v>1</v>
      </c>
      <c r="AU147" s="29">
        <f t="shared" si="308"/>
        <v>1</v>
      </c>
      <c r="AV147" s="29">
        <f t="shared" si="308"/>
        <v>1</v>
      </c>
      <c r="AW147" s="30">
        <f t="shared" si="308"/>
        <v>1</v>
      </c>
      <c r="AX147" s="29">
        <f>AX146+AX145+AX143+AX133</f>
        <v>1</v>
      </c>
      <c r="AY147" s="29">
        <f>AY146+AY145+AY143+AY133</f>
        <v>1</v>
      </c>
      <c r="AZ147" s="29">
        <f>AZ146+AZ145+AZ143+AZ133</f>
        <v>1</v>
      </c>
      <c r="BA147" s="29">
        <f>BA146+BA145+BA143+BA133</f>
        <v>1</v>
      </c>
      <c r="BB147" s="30">
        <f t="shared" si="308"/>
        <v>1</v>
      </c>
      <c r="BC147" s="29">
        <f>BC146+BC145+BC143+BC133</f>
        <v>1</v>
      </c>
      <c r="BD147" s="29">
        <f>BD146+BD145+BD143+BD133</f>
        <v>1</v>
      </c>
      <c r="BE147" s="29">
        <f>BE146+BE145+BE143+BE133</f>
        <v>1</v>
      </c>
      <c r="BF147" s="29">
        <f>BF146+BF145+BF143+BF133</f>
        <v>1</v>
      </c>
      <c r="BG147" s="30">
        <f t="shared" si="308"/>
        <v>1</v>
      </c>
      <c r="BH147" s="29">
        <f>BH146+BH145+BH143+BH133</f>
        <v>1</v>
      </c>
      <c r="BI147" s="29">
        <f>BI146+BI145+BI143+BI133</f>
        <v>1</v>
      </c>
      <c r="BJ147" s="29">
        <f>BJ146+BJ145+BJ143+BJ133</f>
        <v>1</v>
      </c>
      <c r="BK147" s="29">
        <f>BK146+BK145+BK143+BK133</f>
        <v>1</v>
      </c>
      <c r="BL147" s="30">
        <f t="shared" si="308"/>
        <v>1</v>
      </c>
      <c r="BM147" s="29">
        <f>BM146+BM145+BM143+BM133</f>
        <v>1</v>
      </c>
      <c r="BN147" s="29">
        <f>BN146+BN145+BN143+BN133</f>
        <v>1</v>
      </c>
      <c r="BO147" s="29">
        <f>BO146+BO145+BO143+BO133</f>
        <v>1</v>
      </c>
      <c r="BP147" s="29">
        <f>BP146+BP145+BP143+BP133</f>
        <v>1</v>
      </c>
      <c r="BQ147" s="30">
        <f t="shared" ref="BQ147" si="309">BQ146+BQ145+BQ143+BQ133</f>
        <v>1</v>
      </c>
      <c r="BR147" s="29">
        <f t="shared" ref="BR147" si="310">BR146+BR145+BR143+BR133+BR144</f>
        <v>1</v>
      </c>
      <c r="BS147" s="29">
        <f t="shared" ref="BS147" si="311">BS146+BS145+BS143+BS133+BS144</f>
        <v>1</v>
      </c>
      <c r="BT147" s="29">
        <f t="shared" ref="BT147" si="312">BT146+BT145+BT143+BT133+BT144</f>
        <v>1</v>
      </c>
      <c r="BU147" s="29">
        <f t="shared" ref="BU147" si="313">BU146+BU145+BU143+BU133+BU144</f>
        <v>1</v>
      </c>
      <c r="BV147" s="30">
        <f t="shared" ref="BV147" si="314">BV146+BV145+BV143+BV133+BV144</f>
        <v>1</v>
      </c>
      <c r="BW147" s="29">
        <f t="shared" ref="BW147" si="315">BW146+BW145+BW143+BW133+BW144</f>
        <v>1</v>
      </c>
      <c r="BX147" s="29">
        <f t="shared" ref="BX147" si="316">BX146+BX145+BX143+BX133+BX144</f>
        <v>1</v>
      </c>
      <c r="BY147" s="29">
        <f t="shared" ref="BY147" si="317">BY146+BY145+BY143+BY133+BY144</f>
        <v>1</v>
      </c>
      <c r="BZ147" s="29">
        <f t="shared" ref="BZ147" si="318">BZ146+BZ145+BZ143+BZ133+BZ144</f>
        <v>1</v>
      </c>
      <c r="CA147" s="30">
        <f t="shared" ref="CA147" si="319">CA146+CA145+CA143+CA133+CA144</f>
        <v>1</v>
      </c>
      <c r="CB147" s="29">
        <f t="shared" ref="CB147" si="320">CB146+CB145+CB143+CB133+CB144</f>
        <v>1</v>
      </c>
      <c r="CC147" s="29">
        <f t="shared" ref="CC147" si="321">CC146+CC145+CC143+CC133+CC144</f>
        <v>1</v>
      </c>
      <c r="CD147" s="29">
        <f t="shared" ref="CD147" si="322">CD146+CD145+CD143+CD133+CD144</f>
        <v>1</v>
      </c>
      <c r="CE147" s="29">
        <f t="shared" ref="CE147:CK147" si="323">CE146+CE145+CE143+CE133+CE144</f>
        <v>1</v>
      </c>
      <c r="CF147" s="30">
        <f t="shared" ref="CF147" si="324">CF146+CF145+CF143+CF133+CF144</f>
        <v>1</v>
      </c>
      <c r="CG147" s="29">
        <f t="shared" si="323"/>
        <v>1</v>
      </c>
      <c r="CH147" s="29">
        <f t="shared" si="323"/>
        <v>1</v>
      </c>
      <c r="CI147" s="29">
        <f t="shared" si="323"/>
        <v>1</v>
      </c>
      <c r="CJ147" s="29">
        <f t="shared" si="323"/>
        <v>1</v>
      </c>
      <c r="CK147" s="30">
        <f t="shared" si="323"/>
        <v>1</v>
      </c>
      <c r="CL147" s="29">
        <f t="shared" ref="CL147:CP147" si="325">CL146+CL145+CL143+CL133+CL144</f>
        <v>1</v>
      </c>
      <c r="CM147" s="29">
        <f t="shared" si="325"/>
        <v>1</v>
      </c>
      <c r="CN147" s="29">
        <f t="shared" si="325"/>
        <v>1</v>
      </c>
      <c r="CO147" s="29">
        <f t="shared" si="325"/>
        <v>1</v>
      </c>
      <c r="CP147" s="30">
        <f t="shared" si="325"/>
        <v>1</v>
      </c>
      <c r="CQ147" s="29">
        <f t="shared" ref="CQ147:CV147" si="326">CQ146+CQ145+CQ143+CQ133+CQ144</f>
        <v>1</v>
      </c>
      <c r="CR147" s="29">
        <f t="shared" si="326"/>
        <v>1</v>
      </c>
      <c r="CS147" s="29">
        <f t="shared" si="326"/>
        <v>1</v>
      </c>
      <c r="CT147" s="29">
        <f t="shared" si="326"/>
        <v>1</v>
      </c>
      <c r="CU147" s="30">
        <f t="shared" si="326"/>
        <v>1</v>
      </c>
      <c r="CV147" s="29">
        <f t="shared" si="326"/>
        <v>1</v>
      </c>
      <c r="CW147" s="29">
        <f t="shared" ref="CW147:CZ147" si="327">CW146+CW145+CW143+CW133+CW144</f>
        <v>1</v>
      </c>
      <c r="CX147" s="29">
        <f t="shared" si="327"/>
        <v>1</v>
      </c>
      <c r="CY147" s="29">
        <f t="shared" si="327"/>
        <v>1</v>
      </c>
      <c r="CZ147" s="30">
        <f t="shared" si="327"/>
        <v>1</v>
      </c>
      <c r="DA147" s="29">
        <f t="shared" ref="DA147:DE147" si="328">DA146+DA145+DA143+DA133+DA144</f>
        <v>1</v>
      </c>
      <c r="DB147" s="29">
        <f t="shared" si="328"/>
        <v>1</v>
      </c>
      <c r="DC147" s="29">
        <f t="shared" si="328"/>
        <v>1</v>
      </c>
      <c r="DD147" s="29">
        <f t="shared" si="328"/>
        <v>1</v>
      </c>
      <c r="DE147" s="30">
        <f t="shared" si="328"/>
        <v>0.99999999999999989</v>
      </c>
      <c r="DF147" s="29">
        <f t="shared" ref="DF147:DI147" si="329">DF146+DF145+DF143+DF133+DF144</f>
        <v>1</v>
      </c>
      <c r="DG147" s="29">
        <f t="shared" si="329"/>
        <v>1</v>
      </c>
      <c r="DH147" s="29">
        <f t="shared" si="329"/>
        <v>1</v>
      </c>
      <c r="DI147" s="29">
        <f t="shared" si="329"/>
        <v>1</v>
      </c>
      <c r="DJ147" s="30">
        <f t="shared" ref="DJ147:DN147" si="330">DJ146+DJ145+DJ143+DJ133+DJ144</f>
        <v>1</v>
      </c>
      <c r="DK147" s="29">
        <f t="shared" si="330"/>
        <v>0.99999999999999989</v>
      </c>
      <c r="DL147" s="29">
        <f t="shared" si="330"/>
        <v>1</v>
      </c>
      <c r="DM147" s="29">
        <f t="shared" si="330"/>
        <v>1</v>
      </c>
      <c r="DN147" s="29">
        <f t="shared" si="330"/>
        <v>1</v>
      </c>
      <c r="DO147" s="30">
        <f t="shared" ref="DO147:DS147" si="331">DO146+DO145+DO143+DO133+DO144</f>
        <v>1</v>
      </c>
      <c r="DP147" s="29">
        <f t="shared" si="331"/>
        <v>1</v>
      </c>
      <c r="DQ147" s="29">
        <f t="shared" si="331"/>
        <v>1</v>
      </c>
      <c r="DR147" s="29">
        <f t="shared" si="331"/>
        <v>1</v>
      </c>
      <c r="DS147" s="29">
        <f t="shared" si="331"/>
        <v>1</v>
      </c>
      <c r="DT147" s="30">
        <f t="shared" ref="DT147:DX147" si="332">DT146+DT145+DT143+DT133+DT144</f>
        <v>1</v>
      </c>
      <c r="DU147" s="29">
        <f t="shared" si="332"/>
        <v>1</v>
      </c>
      <c r="DV147" s="29">
        <f t="shared" si="332"/>
        <v>1</v>
      </c>
      <c r="DW147" s="29">
        <f t="shared" si="332"/>
        <v>0.99999999999999989</v>
      </c>
      <c r="DX147" s="29">
        <f t="shared" si="332"/>
        <v>1</v>
      </c>
      <c r="DY147" s="30">
        <f t="shared" ref="DY147" si="333">DY146+DY145+DY143+DY133+DY144</f>
        <v>1</v>
      </c>
      <c r="DZ147" s="30">
        <f t="shared" ref="DZ147:EB147" si="334">DZ146+DZ145+DZ143+DZ133+DZ144</f>
        <v>1</v>
      </c>
      <c r="EA147" s="30">
        <f t="shared" si="334"/>
        <v>1</v>
      </c>
      <c r="EB147" s="30">
        <f t="shared" si="334"/>
        <v>0.99999999999999989</v>
      </c>
    </row>
    <row r="148" spans="2:132" s="241" customFormat="1" ht="12" hidden="1" customHeight="1" outlineLevel="1">
      <c r="B148" s="300"/>
      <c r="C148" s="301"/>
      <c r="D148" s="301"/>
      <c r="E148" s="301"/>
      <c r="F148" s="301"/>
      <c r="G148" s="301"/>
      <c r="H148" s="301"/>
      <c r="I148" s="301"/>
      <c r="J148" s="302"/>
      <c r="K148" s="302"/>
      <c r="L148" s="302"/>
      <c r="M148" s="302"/>
      <c r="N148" s="301"/>
      <c r="O148" s="302"/>
      <c r="P148" s="302"/>
      <c r="Q148" s="302"/>
      <c r="R148" s="302"/>
      <c r="S148" s="301"/>
      <c r="T148" s="302"/>
      <c r="U148" s="302"/>
      <c r="V148" s="302"/>
      <c r="W148" s="302"/>
      <c r="X148" s="301"/>
      <c r="Y148" s="302"/>
      <c r="Z148" s="302"/>
      <c r="AA148" s="302"/>
      <c r="AB148" s="302"/>
      <c r="AC148" s="301"/>
      <c r="AD148" s="302"/>
      <c r="AE148" s="302"/>
      <c r="AF148" s="302"/>
      <c r="AG148" s="302"/>
      <c r="AH148" s="301"/>
      <c r="AI148" s="302"/>
      <c r="AJ148" s="302"/>
      <c r="AK148" s="302"/>
      <c r="AL148" s="302"/>
      <c r="AM148" s="301"/>
      <c r="AN148" s="302"/>
      <c r="AO148" s="302"/>
      <c r="AP148" s="302"/>
      <c r="AQ148" s="302"/>
      <c r="AR148" s="301"/>
      <c r="AS148" s="302"/>
      <c r="AT148" s="302"/>
      <c r="AU148" s="302"/>
      <c r="AV148" s="302"/>
      <c r="AW148" s="301"/>
      <c r="AX148" s="302"/>
      <c r="AY148" s="302"/>
      <c r="AZ148" s="302"/>
      <c r="BA148" s="302"/>
      <c r="BB148" s="301"/>
      <c r="BC148" s="302"/>
      <c r="BD148" s="302"/>
      <c r="BE148" s="302"/>
      <c r="BF148" s="302"/>
      <c r="BG148" s="301"/>
      <c r="BH148" s="469"/>
      <c r="BI148" s="469"/>
      <c r="BJ148" s="469"/>
      <c r="BK148" s="469"/>
      <c r="BL148" s="144"/>
      <c r="BM148" s="469"/>
      <c r="BN148" s="469"/>
      <c r="BO148" s="469"/>
      <c r="BP148" s="469"/>
      <c r="BQ148" s="144"/>
      <c r="BR148" s="469"/>
      <c r="BS148" s="469"/>
      <c r="BT148" s="469"/>
      <c r="BU148" s="469"/>
      <c r="BV148" s="144"/>
      <c r="BW148" s="469"/>
      <c r="BX148" s="469"/>
      <c r="BY148" s="469"/>
      <c r="BZ148" s="469"/>
      <c r="CA148" s="144"/>
      <c r="CB148" s="469"/>
      <c r="CC148" s="469"/>
      <c r="CD148" s="469"/>
      <c r="CE148" s="469"/>
      <c r="CF148" s="144"/>
      <c r="CG148" s="469"/>
      <c r="CH148" s="469"/>
      <c r="CI148" s="469"/>
      <c r="CJ148" s="469"/>
      <c r="CK148" s="144"/>
      <c r="CL148" s="469"/>
      <c r="CM148" s="469"/>
      <c r="CN148" s="469"/>
      <c r="CO148" s="469"/>
      <c r="CP148" s="144"/>
      <c r="CQ148" s="469"/>
      <c r="CR148" s="469"/>
      <c r="CS148" s="469"/>
      <c r="CT148" s="469"/>
      <c r="CU148" s="144"/>
      <c r="CV148" s="469"/>
      <c r="CW148" s="469"/>
      <c r="CX148" s="469"/>
      <c r="CY148" s="469"/>
      <c r="CZ148" s="144"/>
      <c r="DA148" s="469"/>
      <c r="DB148" s="469"/>
      <c r="DC148" s="469"/>
      <c r="DD148" s="469"/>
      <c r="DE148" s="144"/>
      <c r="DF148" s="469"/>
      <c r="DG148" s="469"/>
      <c r="DH148" s="469"/>
      <c r="DI148" s="469"/>
      <c r="DJ148" s="144"/>
      <c r="DK148" s="469"/>
      <c r="DL148" s="469"/>
      <c r="DM148" s="469"/>
      <c r="DN148" s="469"/>
      <c r="DO148" s="144"/>
      <c r="DP148" s="469"/>
      <c r="DQ148" s="469"/>
      <c r="DR148" s="469"/>
      <c r="DS148" s="469"/>
      <c r="DT148" s="144"/>
      <c r="DU148" s="469"/>
      <c r="DV148" s="469"/>
      <c r="DW148" s="469"/>
      <c r="DX148" s="469"/>
      <c r="DY148" s="144"/>
      <c r="DZ148" s="144"/>
      <c r="EA148" s="144"/>
      <c r="EB148" s="144"/>
    </row>
    <row r="149" spans="2:132" s="241" customFormat="1" ht="12" hidden="1" customHeight="1" outlineLevel="1">
      <c r="B149" s="74" t="s">
        <v>183</v>
      </c>
      <c r="C149" s="301"/>
      <c r="D149" s="301"/>
      <c r="E149" s="301"/>
      <c r="F149" s="301"/>
      <c r="G149" s="301"/>
      <c r="H149" s="301"/>
      <c r="I149" s="301"/>
      <c r="J149" s="242"/>
      <c r="K149" s="242"/>
      <c r="L149" s="242"/>
      <c r="M149" s="242"/>
      <c r="N149" s="301"/>
      <c r="O149" s="242"/>
      <c r="P149" s="242"/>
      <c r="Q149" s="242"/>
      <c r="R149" s="242"/>
      <c r="S149" s="301"/>
      <c r="T149" s="242"/>
      <c r="U149" s="242"/>
      <c r="V149" s="242"/>
      <c r="W149" s="242"/>
      <c r="X149" s="301"/>
      <c r="Y149" s="242"/>
      <c r="Z149" s="242"/>
      <c r="AA149" s="242"/>
      <c r="AB149" s="242"/>
      <c r="AC149" s="301"/>
      <c r="AD149" s="242"/>
      <c r="AE149" s="242"/>
      <c r="AF149" s="242"/>
      <c r="AG149" s="242"/>
      <c r="AH149" s="301"/>
      <c r="AI149" s="242"/>
      <c r="AJ149" s="242"/>
      <c r="AK149" s="242"/>
      <c r="AL149" s="242"/>
      <c r="AM149" s="301"/>
      <c r="AN149" s="242"/>
      <c r="AO149" s="242"/>
      <c r="AP149" s="242"/>
      <c r="AQ149" s="242"/>
      <c r="AR149" s="301"/>
      <c r="AS149" s="242"/>
      <c r="AT149" s="242"/>
      <c r="AU149" s="242"/>
      <c r="AV149" s="242"/>
      <c r="AW149" s="301"/>
      <c r="AX149" s="242"/>
      <c r="AY149" s="242"/>
      <c r="AZ149" s="242"/>
      <c r="BA149" s="242"/>
      <c r="BB149" s="301"/>
      <c r="BC149" s="242"/>
      <c r="BD149" s="242"/>
      <c r="BE149" s="242"/>
      <c r="BF149" s="242"/>
      <c r="BG149" s="301"/>
      <c r="BH149" s="145"/>
      <c r="BI149" s="145"/>
      <c r="BJ149" s="145"/>
      <c r="BK149" s="145"/>
      <c r="BL149" s="144"/>
      <c r="BM149" s="145"/>
      <c r="BN149" s="145"/>
      <c r="BO149" s="145"/>
      <c r="BP149" s="145"/>
      <c r="BQ149" s="144"/>
      <c r="BR149" s="145"/>
      <c r="BS149" s="145"/>
      <c r="BT149" s="145"/>
      <c r="BU149" s="145"/>
      <c r="BV149" s="144"/>
      <c r="BW149" s="145"/>
      <c r="BX149" s="145"/>
      <c r="BY149" s="145"/>
      <c r="BZ149" s="145"/>
      <c r="CA149" s="144"/>
      <c r="CB149" s="145"/>
      <c r="CC149" s="145"/>
      <c r="CD149" s="145"/>
      <c r="CE149" s="145"/>
      <c r="CF149" s="144"/>
      <c r="CG149" s="145"/>
      <c r="CH149" s="145"/>
      <c r="CI149" s="145"/>
      <c r="CJ149" s="145"/>
      <c r="CK149" s="144"/>
      <c r="CL149" s="145"/>
      <c r="CM149" s="145"/>
      <c r="CN149" s="145"/>
      <c r="CO149" s="145"/>
      <c r="CP149" s="144"/>
      <c r="CQ149" s="145"/>
      <c r="CR149" s="145"/>
      <c r="CS149" s="145"/>
      <c r="CT149" s="145"/>
      <c r="CU149" s="144"/>
      <c r="CV149" s="145"/>
      <c r="CW149" s="145"/>
      <c r="CX149" s="145"/>
      <c r="CY149" s="145"/>
      <c r="CZ149" s="144"/>
      <c r="DA149" s="145"/>
      <c r="DB149" s="145"/>
      <c r="DC149" s="145"/>
      <c r="DD149" s="145"/>
      <c r="DE149" s="144"/>
      <c r="DF149" s="145"/>
      <c r="DG149" s="145"/>
      <c r="DH149" s="145"/>
      <c r="DI149" s="145"/>
      <c r="DJ149" s="144"/>
      <c r="DK149" s="145"/>
      <c r="DL149" s="145"/>
      <c r="DM149" s="145"/>
      <c r="DN149" s="145"/>
      <c r="DO149" s="144"/>
      <c r="DP149" s="145"/>
      <c r="DQ149" s="145"/>
      <c r="DR149" s="145"/>
      <c r="DS149" s="145"/>
      <c r="DT149" s="144"/>
      <c r="DU149" s="145"/>
      <c r="DV149" s="145"/>
      <c r="DW149" s="145"/>
      <c r="DX149" s="145"/>
      <c r="DY149" s="144"/>
      <c r="DZ149" s="144"/>
      <c r="EA149" s="144"/>
      <c r="EB149" s="144"/>
    </row>
    <row r="150" spans="2:132" s="241" customFormat="1" ht="12" hidden="1" customHeight="1" outlineLevel="1">
      <c r="B150" s="241" t="s">
        <v>105</v>
      </c>
      <c r="C150" s="301"/>
      <c r="D150" s="301"/>
      <c r="E150" s="301"/>
      <c r="F150" s="301"/>
      <c r="G150" s="301"/>
      <c r="H150" s="301"/>
      <c r="I150" s="301"/>
      <c r="J150" s="242"/>
      <c r="K150" s="242">
        <f>IF(ISERROR(K36/J36-1),"",K36/J36-1)</f>
        <v>6.3977485928705446E-2</v>
      </c>
      <c r="L150" s="242">
        <f>IF(ISERROR(L36/K36-1),"",L36/K36-1)</f>
        <v>-0.182154822782578</v>
      </c>
      <c r="M150" s="242">
        <f>IF(ISERROR(M36/L36-1),"",M36/L36-1)</f>
        <v>0.16386373436826229</v>
      </c>
      <c r="N150" s="301"/>
      <c r="O150" s="242">
        <f>IF(ISERROR(O36/M36-1),"",O36/M36-1)</f>
        <v>-5.9651722860318612E-2</v>
      </c>
      <c r="P150" s="242">
        <f>IF(ISERROR(P36/O36-1),"",P36/O36-1)</f>
        <v>0.34081954294720251</v>
      </c>
      <c r="Q150" s="242">
        <f>IF(ISERROR(Q36/P36-1),"",Q36/P36-1)</f>
        <v>-0.27813693799588601</v>
      </c>
      <c r="R150" s="242">
        <f>IF(ISERROR(R36/Q36-1),"",R36/Q36-1)</f>
        <v>0.19193975167921851</v>
      </c>
      <c r="S150" s="301"/>
      <c r="T150" s="242">
        <f>IF(ISERROR(T36/R36-1),"",T36/R36-1)</f>
        <v>0.20440573770491799</v>
      </c>
      <c r="U150" s="242">
        <f>IF(ISERROR(U36/T36-1),"",U36/T36-1)</f>
        <v>8.5070182900892632E-3</v>
      </c>
      <c r="V150" s="242">
        <f>IF(ISERROR(V36/U36-1),"",V36/U36-1)</f>
        <v>-5.9046815689582477E-2</v>
      </c>
      <c r="W150" s="242">
        <f>IF(ISERROR(W36/V36-1),"",W36/V36-1)</f>
        <v>0.13641117585537121</v>
      </c>
      <c r="X150" s="301"/>
      <c r="Y150" s="242">
        <f>IF(ISERROR(Y36/W36-1),"",Y36/W36-1)</f>
        <v>-6.7052327110176391E-3</v>
      </c>
      <c r="Z150" s="242">
        <f>IF(ISERROR(Z36/Y36-1),"",Z36/Y36-1)</f>
        <v>0.15248180013236268</v>
      </c>
      <c r="AA150" s="242">
        <f>IF(ISERROR(AA36/Z36-1),"",AA36/Z36-1)</f>
        <v>-5.1567704146089355E-2</v>
      </c>
      <c r="AB150" s="242">
        <f>IF(ISERROR(AB36/AA36-1),"",AB36/AA36-1)</f>
        <v>7.3625575199806281E-2</v>
      </c>
      <c r="AC150" s="301"/>
      <c r="AD150" s="242">
        <f>IF(ISERROR(AD36/AB36-1),"",AD36/AB36-1)</f>
        <v>-7.9517256936611824E-2</v>
      </c>
      <c r="AE150" s="242">
        <f>IF(ISERROR(AE36/AD36-1),"",AE36/AD36-1)</f>
        <v>4.9748805293468923E-2</v>
      </c>
      <c r="AF150" s="242">
        <f>IF(ISERROR(AF36/AE36-1),"",AF36/AE36-1)</f>
        <v>-0.18921442745418471</v>
      </c>
      <c r="AG150" s="242">
        <f>IF(ISERROR(AG36/AF36-1),"",AG36/AF36-1)</f>
        <v>-0.33933198963432187</v>
      </c>
      <c r="AH150" s="301"/>
      <c r="AI150" s="242">
        <f>IF(ISERROR(AI36/AG36-1),"",AI36/AG36-1)</f>
        <v>0.86402266288951846</v>
      </c>
      <c r="AJ150" s="242">
        <f>IF(ISERROR(AJ36/AI36-1),"",AJ36/AI36-1)</f>
        <v>-1.4379237783493148E-2</v>
      </c>
      <c r="AK150" s="242">
        <f>IF(ISERROR(AK36/AJ36-1),"",AK36/AJ36-1)</f>
        <v>-6.4998220851618993E-2</v>
      </c>
      <c r="AL150" s="242">
        <f>IF(ISERROR(AL36/AK36-1),"",AL36/AK36-1)</f>
        <v>0.16491183559558542</v>
      </c>
      <c r="AM150" s="301"/>
      <c r="AN150" s="242">
        <f>IF(ISERROR(AN36/AL36-1),"",AN36/AL36-1)</f>
        <v>-0.1867581400413808</v>
      </c>
      <c r="AO150" s="242">
        <f>IF(ISERROR(AO36/AN36-1),"",AO36/AN36-1)</f>
        <v>-4.6866630958757316E-3</v>
      </c>
      <c r="AP150" s="242">
        <f>IF(ISERROR(AP36/AO36-1),"",AP36/AO36-1)</f>
        <v>0.17704829812996103</v>
      </c>
      <c r="AQ150" s="242">
        <f>IF(ISERROR(AQ36/AP36-1),"",AQ36/AP36-1)</f>
        <v>-6.457880900674362E-2</v>
      </c>
      <c r="AR150" s="301"/>
      <c r="AS150" s="242"/>
      <c r="AT150" s="242"/>
      <c r="AU150" s="242"/>
      <c r="AV150" s="242"/>
      <c r="AW150" s="301"/>
      <c r="AX150" s="242"/>
      <c r="AY150" s="242"/>
      <c r="AZ150" s="242"/>
      <c r="BA150" s="242"/>
      <c r="BB150" s="301"/>
      <c r="BC150" s="242"/>
      <c r="BD150" s="242"/>
      <c r="BE150" s="242"/>
      <c r="BF150" s="242"/>
      <c r="BG150" s="301"/>
      <c r="BH150" s="145"/>
      <c r="BI150" s="145"/>
      <c r="BJ150" s="145"/>
      <c r="BK150" s="145"/>
      <c r="BL150" s="144"/>
      <c r="BM150" s="145"/>
      <c r="BN150" s="145"/>
      <c r="BO150" s="145"/>
      <c r="BP150" s="145"/>
      <c r="BQ150" s="144"/>
      <c r="BR150" s="145"/>
      <c r="BS150" s="145"/>
      <c r="BT150" s="145"/>
      <c r="BU150" s="145"/>
      <c r="BV150" s="144"/>
      <c r="BW150" s="145"/>
      <c r="BX150" s="145"/>
      <c r="BY150" s="145"/>
      <c r="BZ150" s="145"/>
      <c r="CA150" s="144"/>
      <c r="CB150" s="145"/>
      <c r="CC150" s="145"/>
      <c r="CD150" s="145"/>
      <c r="CE150" s="145"/>
      <c r="CF150" s="144"/>
      <c r="CG150" s="145"/>
      <c r="CH150" s="145"/>
      <c r="CI150" s="145"/>
      <c r="CJ150" s="145"/>
      <c r="CK150" s="144"/>
      <c r="CL150" s="145"/>
      <c r="CM150" s="145"/>
      <c r="CN150" s="145"/>
      <c r="CO150" s="145"/>
      <c r="CP150" s="144"/>
      <c r="CQ150" s="145"/>
      <c r="CR150" s="145"/>
      <c r="CS150" s="145"/>
      <c r="CT150" s="145"/>
      <c r="CU150" s="144"/>
      <c r="CV150" s="145"/>
      <c r="CW150" s="145"/>
      <c r="CX150" s="145"/>
      <c r="CY150" s="145"/>
      <c r="CZ150" s="144"/>
      <c r="DA150" s="145"/>
      <c r="DB150" s="145"/>
      <c r="DC150" s="145"/>
      <c r="DD150" s="145"/>
      <c r="DE150" s="144"/>
      <c r="DF150" s="145"/>
      <c r="DG150" s="145"/>
      <c r="DH150" s="145"/>
      <c r="DI150" s="145"/>
      <c r="DJ150" s="144"/>
      <c r="DK150" s="145"/>
      <c r="DL150" s="145"/>
      <c r="DM150" s="145"/>
      <c r="DN150" s="145"/>
      <c r="DO150" s="144"/>
      <c r="DP150" s="145"/>
      <c r="DQ150" s="145"/>
      <c r="DR150" s="145"/>
      <c r="DS150" s="145"/>
      <c r="DT150" s="144"/>
      <c r="DU150" s="145"/>
      <c r="DV150" s="145"/>
      <c r="DW150" s="145"/>
      <c r="DX150" s="145"/>
      <c r="DY150" s="144"/>
      <c r="DZ150" s="144"/>
      <c r="EA150" s="144"/>
      <c r="EB150" s="144"/>
    </row>
    <row r="151" spans="2:132" s="241" customFormat="1" ht="12" hidden="1" customHeight="1" outlineLevel="1">
      <c r="B151" s="311" t="s">
        <v>106</v>
      </c>
      <c r="C151" s="301"/>
      <c r="D151" s="301"/>
      <c r="E151" s="301"/>
      <c r="F151" s="301"/>
      <c r="G151" s="301"/>
      <c r="H151" s="301"/>
      <c r="I151" s="301"/>
      <c r="J151" s="242"/>
      <c r="K151" s="242"/>
      <c r="L151" s="242"/>
      <c r="M151" s="242"/>
      <c r="N151" s="301"/>
      <c r="O151" s="242" t="str">
        <f>IF(ISERROR(O38/M38-1),"",(O38/M38-1))</f>
        <v/>
      </c>
      <c r="P151" s="242">
        <f>IF(ISERROR(P38/O38-1),"",(P38/O38-1))</f>
        <v>9.2408214063472327E-2</v>
      </c>
      <c r="Q151" s="242">
        <f>IF(ISERROR(Q38/P38-1),"",(Q38/P38-1))</f>
        <v>-0.13671318712617486</v>
      </c>
      <c r="R151" s="242">
        <f>IF(ISERROR(R38/Q38-1),"",(R38/Q38-1))</f>
        <v>0.23853513691850869</v>
      </c>
      <c r="S151" s="301"/>
      <c r="T151" s="242">
        <f>IF(ISERROR(T38/R38-1),"",(T38/R38-1))</f>
        <v>-0.16169419286094833</v>
      </c>
      <c r="U151" s="242">
        <f>IF(ISERROR(U38/T38-1),"",(U38/T38-1))</f>
        <v>8.3889418493803714E-2</v>
      </c>
      <c r="V151" s="242">
        <f>IF(ISERROR(V38/U38-1),"",(V38/U38-1))</f>
        <v>1.846965699208436E-2</v>
      </c>
      <c r="W151" s="242">
        <f>IF(ISERROR(W38/V38-1),"",(W38/V38-1))</f>
        <v>0.24294761082325844</v>
      </c>
      <c r="X151" s="301"/>
      <c r="Y151" s="242">
        <f>IF(ISERROR(Y38/W38-1),"",(Y38/W38-1))</f>
        <v>-0.24015748031496065</v>
      </c>
      <c r="Z151" s="242">
        <f>IF(ISERROR(Z38/Y38-1),"",(Z38/Y38-1))</f>
        <v>4.2974702834501777E-2</v>
      </c>
      <c r="AA151" s="242">
        <f>IF(ISERROR(AA38/Z38-1),"",(AA38/Z38-1))</f>
        <v>-1.8118059614260718E-2</v>
      </c>
      <c r="AB151" s="242">
        <f>IF(ISERROR(AB38/AA38-1),"",(AB38/AA38-1))</f>
        <v>7.7976190476190421E-2</v>
      </c>
      <c r="AC151" s="301"/>
      <c r="AD151" s="242">
        <f>IF(ISERROR(AD38/AB38-1),"",(AD38/AB38-1))</f>
        <v>-0.1159580342352291</v>
      </c>
      <c r="AE151" s="242">
        <f>IF(ISERROR(AE38/AD38-1),"",(AE38/AD38-1))</f>
        <v>1.9675202998126196E-2</v>
      </c>
      <c r="AF151" s="242">
        <f>IF(ISERROR(AF38/AE38-1),"",(AF38/AE38-1))</f>
        <v>0.15681470137825415</v>
      </c>
      <c r="AG151" s="242">
        <f>IF(ISERROR(AG38/AF38-1),"",(AG38/AF38-1))</f>
        <v>-0.16176859941752719</v>
      </c>
      <c r="AH151" s="301"/>
      <c r="AI151" s="242">
        <f>IF(ISERROR(AI38/AG38-1),"",(AI38/AG38-1))</f>
        <v>-4.9273531269740989E-2</v>
      </c>
      <c r="AJ151" s="242">
        <f>IF(ISERROR(AJ38/AI38-1),"",(AJ38/AI38-1))</f>
        <v>0.11727574750830572</v>
      </c>
      <c r="AK151" s="242">
        <f>IF(ISERROR(AK38/AJ38-1),"",(AK38/AJ38-1))</f>
        <v>0.17484388938447815</v>
      </c>
      <c r="AL151" s="242">
        <f>IF(ISERROR(AL38/AK38-1),"",(AL38/AK38-1))</f>
        <v>-5.5175904834219192E-2</v>
      </c>
      <c r="AM151" s="301"/>
      <c r="AN151" s="242">
        <f>IF(ISERROR(AN38/AL38-1),"",(AN38/AL38-1))</f>
        <v>-0.13179748191802843</v>
      </c>
      <c r="AO151" s="242">
        <f>IF(ISERROR(AO38/AN38-1),"",(AO38/AN38-1))</f>
        <v>0.10459734649799435</v>
      </c>
      <c r="AP151" s="242">
        <f>IF(ISERROR(AP38/AO38-1),"",(AP38/AO38-1))</f>
        <v>5.8659217877095049E-2</v>
      </c>
      <c r="AQ151" s="242">
        <f>IF(ISERROR(AQ38/AP38-1),"",(AQ38/AP38-1))</f>
        <v>-4.300791556728234E-2</v>
      </c>
      <c r="AR151" s="301"/>
      <c r="AS151" s="242"/>
      <c r="AT151" s="242"/>
      <c r="AU151" s="242"/>
      <c r="AV151" s="242"/>
      <c r="AW151" s="301"/>
      <c r="AX151" s="242"/>
      <c r="AY151" s="242"/>
      <c r="AZ151" s="242"/>
      <c r="BA151" s="242"/>
      <c r="BB151" s="301"/>
      <c r="BC151" s="242"/>
      <c r="BD151" s="242"/>
      <c r="BE151" s="242"/>
      <c r="BF151" s="242"/>
      <c r="BG151" s="301"/>
      <c r="BH151" s="145"/>
      <c r="BI151" s="145"/>
      <c r="BJ151" s="145"/>
      <c r="BK151" s="145"/>
      <c r="BL151" s="144"/>
      <c r="BM151" s="145"/>
      <c r="BN151" s="145"/>
      <c r="BO151" s="145"/>
      <c r="BP151" s="145"/>
      <c r="BQ151" s="144"/>
      <c r="BR151" s="145"/>
      <c r="BS151" s="145"/>
      <c r="BT151" s="145"/>
      <c r="BU151" s="145"/>
      <c r="BV151" s="144"/>
      <c r="BW151" s="145"/>
      <c r="BX151" s="145"/>
      <c r="BY151" s="145"/>
      <c r="BZ151" s="145"/>
      <c r="CA151" s="144"/>
      <c r="CB151" s="145"/>
      <c r="CC151" s="145"/>
      <c r="CD151" s="145"/>
      <c r="CE151" s="145"/>
      <c r="CF151" s="144"/>
      <c r="CG151" s="145"/>
      <c r="CH151" s="145"/>
      <c r="CI151" s="145"/>
      <c r="CJ151" s="145"/>
      <c r="CK151" s="144"/>
      <c r="CL151" s="145"/>
      <c r="CM151" s="145"/>
      <c r="CN151" s="145"/>
      <c r="CO151" s="145"/>
      <c r="CP151" s="144"/>
      <c r="CQ151" s="145"/>
      <c r="CR151" s="145"/>
      <c r="CS151" s="145"/>
      <c r="CT151" s="145"/>
      <c r="CU151" s="144"/>
      <c r="CV151" s="145"/>
      <c r="CW151" s="145"/>
      <c r="CX151" s="145"/>
      <c r="CY151" s="145"/>
      <c r="CZ151" s="144"/>
      <c r="DA151" s="145"/>
      <c r="DB151" s="145"/>
      <c r="DC151" s="145"/>
      <c r="DD151" s="145"/>
      <c r="DE151" s="144"/>
      <c r="DF151" s="145"/>
      <c r="DG151" s="145"/>
      <c r="DH151" s="145"/>
      <c r="DI151" s="145"/>
      <c r="DJ151" s="144"/>
      <c r="DK151" s="145"/>
      <c r="DL151" s="145"/>
      <c r="DM151" s="145"/>
      <c r="DN151" s="145"/>
      <c r="DO151" s="144"/>
      <c r="DP151" s="145"/>
      <c r="DQ151" s="145"/>
      <c r="DR151" s="145"/>
      <c r="DS151" s="145"/>
      <c r="DT151" s="144"/>
      <c r="DU151" s="145"/>
      <c r="DV151" s="145"/>
      <c r="DW151" s="145"/>
      <c r="DX151" s="145"/>
      <c r="DY151" s="144"/>
      <c r="DZ151" s="144"/>
      <c r="EA151" s="144"/>
      <c r="EB151" s="144"/>
    </row>
    <row r="152" spans="2:132" s="241" customFormat="1" ht="12" hidden="1" customHeight="1" outlineLevel="1">
      <c r="B152" s="311" t="s">
        <v>107</v>
      </c>
      <c r="C152" s="301"/>
      <c r="D152" s="301"/>
      <c r="E152" s="301"/>
      <c r="F152" s="301"/>
      <c r="G152" s="301"/>
      <c r="H152" s="301"/>
      <c r="I152" s="301"/>
      <c r="J152" s="242"/>
      <c r="K152" s="242"/>
      <c r="L152" s="242"/>
      <c r="M152" s="242"/>
      <c r="N152" s="301"/>
      <c r="O152" s="242" t="str">
        <f>IF(ISERROR(O39/M39-1),"",O39/M39-1)</f>
        <v/>
      </c>
      <c r="P152" s="242">
        <f>IF(ISERROR(P39/O39-1),"",P39/O39-1)</f>
        <v>-3.4761018001241428E-2</v>
      </c>
      <c r="Q152" s="242">
        <f>IF(ISERROR(Q39/P39-1),"",Q39/P39-1)</f>
        <v>-2.3794212218649524E-2</v>
      </c>
      <c r="R152" s="242">
        <f>IF(ISERROR(R39/Q39-1),"",R39/Q39-1)</f>
        <v>-4.9407114624505977E-2</v>
      </c>
      <c r="S152" s="301"/>
      <c r="T152" s="242">
        <f>IF(ISERROR(T39/R39-1),"",T39/R39-1)</f>
        <v>-4.6431046431046452E-2</v>
      </c>
      <c r="U152" s="242">
        <f>IF(ISERROR(U39/T39-1),"",U39/T39-1)</f>
        <v>7.0857558139534982E-2</v>
      </c>
      <c r="V152" s="242">
        <f>IF(ISERROR(V39/U39-1),"",V39/U39-1)</f>
        <v>-3.0878859857482177E-2</v>
      </c>
      <c r="W152" s="242">
        <f>IF(ISERROR(W39/V39-1),"",W39/V39-1)</f>
        <v>0.19922969187675066</v>
      </c>
      <c r="X152" s="301"/>
      <c r="Y152" s="242">
        <f>IF(ISERROR(Y39/W39-1),"",Y39/W39-1)</f>
        <v>-0.1661313868613139</v>
      </c>
      <c r="Z152" s="242">
        <f>IF(ISERROR(Z39/Y39-1),"",Z39/Y39-1)</f>
        <v>3.0462184873949472E-2</v>
      </c>
      <c r="AA152" s="242">
        <f>IF(ISERROR(AA39/Z39-1),"",AA39/Z39-1)</f>
        <v>2.1406727828746197E-2</v>
      </c>
      <c r="AB152" s="242">
        <f>IF(ISERROR(AB39/AA39-1),"",AB39/AA39-1)</f>
        <v>-3.8256819693945454E-2</v>
      </c>
      <c r="AC152" s="301"/>
      <c r="AD152" s="242">
        <f>IF(ISERROR(AD39/AB39-1),"",AD39/AB39-1)</f>
        <v>-6.8142511241784831E-2</v>
      </c>
      <c r="AE152" s="242">
        <f>IF(ISERROR(AE39/AD39-1),"",AE39/AD39-1)</f>
        <v>4.0831477357089918E-2</v>
      </c>
      <c r="AF152" s="242">
        <f>IF(ISERROR(AF39/AE39-1),"",AF39/AE39-1)</f>
        <v>6.419400855920121E-2</v>
      </c>
      <c r="AG152" s="242">
        <f>IF(ISERROR(AG39/AF39-1),"",AG39/AF39-1)</f>
        <v>-3.8538873994638068E-2</v>
      </c>
      <c r="AH152" s="301"/>
      <c r="AI152" s="242">
        <f>IF(ISERROR(AI39/AG39-1),"",AI39/AG39-1)</f>
        <v>-6.6573719065876613E-2</v>
      </c>
      <c r="AJ152" s="242">
        <f>IF(ISERROR(AJ39/AI39-1),"",AJ39/AI39-1)</f>
        <v>0.15870052277819258</v>
      </c>
      <c r="AK152" s="242">
        <f>IF(ISERROR(AK39/AJ39-1),"",AK39/AJ39-1)</f>
        <v>-0.12632935868514339</v>
      </c>
      <c r="AL152" s="242">
        <f>IF(ISERROR(AL39/AK39-1),"",AL39/AK39-1)</f>
        <v>-0.12025082995204717</v>
      </c>
      <c r="AM152" s="301"/>
      <c r="AN152" s="242">
        <f>IF(ISERROR(AN39/AL39-1),"",AN39/AL39-1)</f>
        <v>-2.5995807127882631E-2</v>
      </c>
      <c r="AO152" s="242">
        <f>IF(ISERROR(AO39/AN39-1),"",AO39/AN39-1)</f>
        <v>1.334481274214383E-2</v>
      </c>
      <c r="AP152" s="242">
        <f>IF(ISERROR(AP39/AO39-1),"",AP39/AO39-1)</f>
        <v>-4.2480883602379338E-3</v>
      </c>
      <c r="AQ152" s="242">
        <f>IF(ISERROR(AQ39/AP39-1),"",AQ39/AP39-1)</f>
        <v>3.8395904436860029E-2</v>
      </c>
      <c r="AR152" s="301"/>
      <c r="AS152" s="242"/>
      <c r="AT152" s="242"/>
      <c r="AU152" s="242"/>
      <c r="AV152" s="242"/>
      <c r="AW152" s="301"/>
      <c r="AX152" s="242"/>
      <c r="AY152" s="242"/>
      <c r="AZ152" s="242"/>
      <c r="BA152" s="242"/>
      <c r="BB152" s="301"/>
      <c r="BC152" s="242"/>
      <c r="BD152" s="242"/>
      <c r="BE152" s="242"/>
      <c r="BF152" s="242"/>
      <c r="BG152" s="301"/>
      <c r="BH152" s="145"/>
      <c r="BI152" s="145"/>
      <c r="BJ152" s="145"/>
      <c r="BK152" s="145"/>
      <c r="BL152" s="144"/>
      <c r="BM152" s="145"/>
      <c r="BN152" s="145"/>
      <c r="BO152" s="145"/>
      <c r="BP152" s="145"/>
      <c r="BQ152" s="144"/>
      <c r="BR152" s="145"/>
      <c r="BS152" s="145"/>
      <c r="BT152" s="145"/>
      <c r="BU152" s="145"/>
      <c r="BV152" s="144"/>
      <c r="BW152" s="145"/>
      <c r="BX152" s="145"/>
      <c r="BY152" s="145"/>
      <c r="BZ152" s="145"/>
      <c r="CA152" s="144"/>
      <c r="CB152" s="145"/>
      <c r="CC152" s="145"/>
      <c r="CD152" s="145"/>
      <c r="CE152" s="145"/>
      <c r="CF152" s="144"/>
      <c r="CG152" s="145"/>
      <c r="CH152" s="145"/>
      <c r="CI152" s="145"/>
      <c r="CJ152" s="145"/>
      <c r="CK152" s="144"/>
      <c r="CL152" s="145"/>
      <c r="CM152" s="145"/>
      <c r="CN152" s="145"/>
      <c r="CO152" s="145"/>
      <c r="CP152" s="144"/>
      <c r="CQ152" s="145"/>
      <c r="CR152" s="145"/>
      <c r="CS152" s="145"/>
      <c r="CT152" s="145"/>
      <c r="CU152" s="144"/>
      <c r="CV152" s="145"/>
      <c r="CW152" s="145"/>
      <c r="CX152" s="145"/>
      <c r="CY152" s="145"/>
      <c r="CZ152" s="144"/>
      <c r="DA152" s="145"/>
      <c r="DB152" s="145"/>
      <c r="DC152" s="145"/>
      <c r="DD152" s="145"/>
      <c r="DE152" s="144"/>
      <c r="DF152" s="145"/>
      <c r="DG152" s="145"/>
      <c r="DH152" s="145"/>
      <c r="DI152" s="145"/>
      <c r="DJ152" s="144"/>
      <c r="DK152" s="145"/>
      <c r="DL152" s="145"/>
      <c r="DM152" s="145"/>
      <c r="DN152" s="145"/>
      <c r="DO152" s="144"/>
      <c r="DP152" s="145"/>
      <c r="DQ152" s="145"/>
      <c r="DR152" s="145"/>
      <c r="DS152" s="145"/>
      <c r="DT152" s="144"/>
      <c r="DU152" s="145"/>
      <c r="DV152" s="145"/>
      <c r="DW152" s="145"/>
      <c r="DX152" s="145"/>
      <c r="DY152" s="144"/>
      <c r="DZ152" s="144"/>
      <c r="EA152" s="144"/>
      <c r="EB152" s="144"/>
    </row>
    <row r="153" spans="2:132" s="241" customFormat="1" ht="12" hidden="1" customHeight="1" outlineLevel="1">
      <c r="B153" s="311" t="s">
        <v>108</v>
      </c>
      <c r="C153" s="229"/>
      <c r="D153" s="229"/>
      <c r="E153" s="229"/>
      <c r="F153" s="229"/>
      <c r="G153" s="229"/>
      <c r="H153" s="229"/>
      <c r="I153" s="229"/>
      <c r="J153" s="230"/>
      <c r="K153" s="230"/>
      <c r="L153" s="230"/>
      <c r="M153" s="230"/>
      <c r="N153" s="229"/>
      <c r="O153" s="230" t="str">
        <f>IF(ISERROR(O40/M40-1),"",(O40/M40-1))</f>
        <v/>
      </c>
      <c r="P153" s="230">
        <f>IF(ISERROR(P40/O40-1),"",(P40/O40-1))</f>
        <v>1.1111111111111072E-2</v>
      </c>
      <c r="Q153" s="230">
        <f>IF(ISERROR(Q40/P40-1),"",(Q40/P40-1))</f>
        <v>0.18427726120033805</v>
      </c>
      <c r="R153" s="230">
        <f>IF(ISERROR(R40/Q40-1),"",(R40/Q40-1))</f>
        <v>0.13347608850820847</v>
      </c>
      <c r="S153" s="229"/>
      <c r="T153" s="230">
        <f>IF(ISERROR(T40/R40-1),"",(T40/R40-1))</f>
        <v>-0.18954659949622166</v>
      </c>
      <c r="U153" s="230">
        <f>IF(ISERROR(U40/T40-1),"",(U40/T40-1))</f>
        <v>0.10023310023310028</v>
      </c>
      <c r="V153" s="230">
        <f>IF(ISERROR(V40/U40-1),"",(V40/U40-1))</f>
        <v>3.2485875706214751E-2</v>
      </c>
      <c r="W153" s="230">
        <f>IF(ISERROR(W40/V40-1),"",(W40/V40-1))</f>
        <v>0.3296853625170999</v>
      </c>
      <c r="X153" s="229"/>
      <c r="Y153" s="230">
        <f>IF(ISERROR(Y40/W40-1),"",(Y40/W40-1))</f>
        <v>-0.18518518518518523</v>
      </c>
      <c r="Z153" s="230">
        <f>IF(ISERROR(Z40/Y40-1),"",(Z40/Y40-1))</f>
        <v>2.020202020202011E-2</v>
      </c>
      <c r="AA153" s="230">
        <f>IF(ISERROR(AA40/Z40-1),"",(AA40/Z40-1))</f>
        <v>1.6089108910890992E-2</v>
      </c>
      <c r="AB153" s="230">
        <f>IF(ISERROR(AB40/AA40-1),"",(AB40/AA40-1))</f>
        <v>0.13093788063337386</v>
      </c>
      <c r="AC153" s="229"/>
      <c r="AD153" s="230">
        <f>IF(ISERROR(AD40/AB40-1),"",(AD40/AB40-1))</f>
        <v>-9.5853527194399546E-2</v>
      </c>
      <c r="AE153" s="230">
        <f>IF(ISERROR(AE40/AD40-1),"",(AE40/AD40-1))</f>
        <v>0.11078022632519358</v>
      </c>
      <c r="AF153" s="230">
        <f>IF(ISERROR(AF40/AE40-1),"",(AF40/AE40-1))</f>
        <v>-6.9168900804289501E-2</v>
      </c>
      <c r="AG153" s="230">
        <f>IF(ISERROR(AG40/AF40-1),"",(AG40/AF40-1))</f>
        <v>0.16129032258064524</v>
      </c>
      <c r="AH153" s="229"/>
      <c r="AI153" s="230">
        <f>IF(ISERROR(AI40/AG40-1),"",(AI40/AG40-1))</f>
        <v>7.9365079365079083E-3</v>
      </c>
      <c r="AJ153" s="230">
        <f>IF(ISERROR(AJ40/AI40-1),"",(AJ40/AI40-1))</f>
        <v>7.4803149606299302E-2</v>
      </c>
      <c r="AK153" s="230">
        <f>IF(ISERROR(AK40/AJ40-1),"",(AK40/AJ40-1))</f>
        <v>-4.6703296703296648E-2</v>
      </c>
      <c r="AL153" s="230">
        <f>IF(ISERROR(AL40/AK40-1),"",(AL40/AK40-1))</f>
        <v>0.16666666666666674</v>
      </c>
      <c r="AM153" s="229"/>
      <c r="AN153" s="230">
        <f>IF(ISERROR(AN40/AL40-1),"",(AN40/AL40-1))</f>
        <v>-0.15644298065047346</v>
      </c>
      <c r="AO153" s="230">
        <f>IF(ISERROR(AO40/AN40-1),"",(AO40/AN40-1))</f>
        <v>0</v>
      </c>
      <c r="AP153" s="230">
        <f>IF(ISERROR(AP40/AO40-1),"",(AP40/AO40-1))</f>
        <v>-4.8804294777937685E-4</v>
      </c>
      <c r="AQ153" s="230">
        <f>IF(ISERROR(AQ40/AP40-1),"",(AQ40/AP40-1))</f>
        <v>2.734375E-2</v>
      </c>
      <c r="AR153" s="301"/>
      <c r="AS153" s="242"/>
      <c r="AT153" s="242"/>
      <c r="AU153" s="242"/>
      <c r="AV153" s="242"/>
      <c r="AW153" s="301"/>
      <c r="AX153" s="242"/>
      <c r="AY153" s="242"/>
      <c r="AZ153" s="242"/>
      <c r="BA153" s="242"/>
      <c r="BB153" s="301"/>
      <c r="BC153" s="242"/>
      <c r="BD153" s="242"/>
      <c r="BE153" s="242"/>
      <c r="BF153" s="242"/>
      <c r="BG153" s="301"/>
      <c r="BH153" s="145"/>
      <c r="BI153" s="145"/>
      <c r="BJ153" s="145"/>
      <c r="BK153" s="145"/>
      <c r="BL153" s="144"/>
      <c r="BM153" s="145"/>
      <c r="BN153" s="145"/>
      <c r="BO153" s="145"/>
      <c r="BP153" s="145"/>
      <c r="BQ153" s="144"/>
      <c r="BR153" s="145"/>
      <c r="BS153" s="145"/>
      <c r="BT153" s="145"/>
      <c r="BU153" s="145"/>
      <c r="BV153" s="144"/>
      <c r="BW153" s="145"/>
      <c r="BX153" s="145"/>
      <c r="BY153" s="145"/>
      <c r="BZ153" s="145"/>
      <c r="CA153" s="144"/>
      <c r="CB153" s="145"/>
      <c r="CC153" s="145"/>
      <c r="CD153" s="145"/>
      <c r="CE153" s="145"/>
      <c r="CF153" s="144"/>
      <c r="CG153" s="145"/>
      <c r="CH153" s="145"/>
      <c r="CI153" s="145"/>
      <c r="CJ153" s="145"/>
      <c r="CK153" s="144"/>
      <c r="CL153" s="145"/>
      <c r="CM153" s="145"/>
      <c r="CN153" s="145"/>
      <c r="CO153" s="145"/>
      <c r="CP153" s="144"/>
      <c r="CQ153" s="145"/>
      <c r="CR153" s="145"/>
      <c r="CS153" s="145"/>
      <c r="CT153" s="145"/>
      <c r="CU153" s="144"/>
      <c r="CV153" s="145"/>
      <c r="CW153" s="145"/>
      <c r="CX153" s="145"/>
      <c r="CY153" s="145"/>
      <c r="CZ153" s="144"/>
      <c r="DA153" s="145"/>
      <c r="DB153" s="145"/>
      <c r="DC153" s="145"/>
      <c r="DD153" s="145"/>
      <c r="DE153" s="144"/>
      <c r="DF153" s="145"/>
      <c r="DG153" s="145"/>
      <c r="DH153" s="145"/>
      <c r="DI153" s="145"/>
      <c r="DJ153" s="144"/>
      <c r="DK153" s="145"/>
      <c r="DL153" s="145"/>
      <c r="DM153" s="145"/>
      <c r="DN153" s="145"/>
      <c r="DO153" s="144"/>
      <c r="DP153" s="145"/>
      <c r="DQ153" s="145"/>
      <c r="DR153" s="145"/>
      <c r="DS153" s="145"/>
      <c r="DT153" s="144"/>
      <c r="DU153" s="145"/>
      <c r="DV153" s="145"/>
      <c r="DW153" s="145"/>
      <c r="DX153" s="145"/>
      <c r="DY153" s="144"/>
      <c r="DZ153" s="144"/>
      <c r="EA153" s="144"/>
      <c r="EB153" s="144"/>
    </row>
    <row r="154" spans="2:132" s="241" customFormat="1" ht="12" hidden="1" customHeight="1" outlineLevel="1">
      <c r="B154" s="241" t="s">
        <v>390</v>
      </c>
      <c r="C154" s="301"/>
      <c r="D154" s="301"/>
      <c r="E154" s="301"/>
      <c r="F154" s="301"/>
      <c r="G154" s="301"/>
      <c r="H154" s="301"/>
      <c r="I154" s="301"/>
      <c r="J154" s="242"/>
      <c r="K154" s="242">
        <f>IF(ISERROR(K69/J69-1),"",(K69/J69-1))</f>
        <v>-3.4380477281919952E-2</v>
      </c>
      <c r="L154" s="242">
        <f>IF(ISERROR(L69/K69-1),"",(L69/K69-1))</f>
        <v>0.15316950572465782</v>
      </c>
      <c r="M154" s="242">
        <f>IF(ISERROR(M69/L69-1),"",(M69/L69-1))</f>
        <v>-7.6522581426322844E-2</v>
      </c>
      <c r="N154" s="301"/>
      <c r="O154" s="242">
        <f>IF(ISERROR(O69/M69-1),"",(O69/M69-1))</f>
        <v>-1.1013504654516892E-2</v>
      </c>
      <c r="P154" s="242">
        <f>IF(ISERROR(P69/O69-1),"",(P69/O69-1))</f>
        <v>2.6382076097043683E-2</v>
      </c>
      <c r="Q154" s="242">
        <f>IF(ISERROR(Q69/P69-1),"",(Q69/P69-1))</f>
        <v>-4.6628778093515844E-2</v>
      </c>
      <c r="R154" s="242">
        <f>IF(ISERROR(R69/Q69-1),"",(R69/Q69-1))</f>
        <v>0.10079934968161486</v>
      </c>
      <c r="S154" s="301"/>
      <c r="T154" s="242">
        <f>IF(ISERROR(T69/R69-1),"",(T69/R69-1))</f>
        <v>-0.11556923076923076</v>
      </c>
      <c r="U154" s="242">
        <f>IF(ISERROR(U69/T69-1),"",(U69/T69-1))</f>
        <v>8.1825772335095914E-2</v>
      </c>
      <c r="V154" s="242">
        <f>IF(ISERROR(V69/U69-1),"",(V69/U69-1))</f>
        <v>2.315410342166091E-3</v>
      </c>
      <c r="W154" s="242">
        <f>IF(ISERROR(W69/V69-1),"",(W69/V69-1))</f>
        <v>0.2431981519507187</v>
      </c>
      <c r="X154" s="301"/>
      <c r="Y154" s="242">
        <f>IF(ISERROR(Y69/W69-1),"",(Y69/W69-1))</f>
        <v>-0.20295241044699086</v>
      </c>
      <c r="Z154" s="242">
        <f>IF(ISERROR(Z69/Y69-1),"",(Z69/Y69-1))</f>
        <v>3.3674394508483418E-2</v>
      </c>
      <c r="AA154" s="242">
        <f>IF(ISERROR(AA69/Z69-1),"",(AA69/Z69-1))</f>
        <v>3.383034707430177E-3</v>
      </c>
      <c r="AB154" s="242">
        <f>IF(ISERROR(AB69/AA69-1),"",(AB69/AA69-1))</f>
        <v>4.5204795204795145E-2</v>
      </c>
      <c r="AC154" s="301"/>
      <c r="AD154" s="242">
        <f>IF(ISERROR(AD69/AB69-1),"",(AD69/AB69-1))</f>
        <v>-9.4982078853046548E-2</v>
      </c>
      <c r="AE154" s="242">
        <f>IF(ISERROR(AE69/AD69-1),"",(AE69/AD69-1))</f>
        <v>4.7392739273927287E-2</v>
      </c>
      <c r="AF154" s="242">
        <f>IF(ISERROR(AF69/AE69-1),"",(AF69/AE69-1))</f>
        <v>7.0960423493824143E-2</v>
      </c>
      <c r="AG154" s="242">
        <f>IF(ISERROR(AG69/AF69-1),"",(AG69/AF69-1))</f>
        <v>-5.2489113804872312E-2</v>
      </c>
      <c r="AH154" s="301"/>
      <c r="AI154" s="242">
        <f>IF(ISERROR(AI69/AG69-1),"",(AI69/AG69-1))</f>
        <v>-4.1112905229164109E-2</v>
      </c>
      <c r="AJ154" s="242">
        <f>IF(ISERROR(AJ69/AI69-1),"",(AJ69/AI69-1))</f>
        <v>0.1204663212435233</v>
      </c>
      <c r="AK154" s="242">
        <f>IF(ISERROR(AK69/AJ69-1),"",(AK69/AJ69-1))</f>
        <v>1.0867052023121326E-2</v>
      </c>
      <c r="AL154" s="242">
        <f>IF(ISERROR(AL69/AK69-1),"",(AL69/AK69-1))</f>
        <v>-2.2529734675205804E-2</v>
      </c>
      <c r="AM154" s="301"/>
      <c r="AN154" s="242">
        <f>IF(ISERROR(AN69/AL69-1),"",(AN69/AL69-1))</f>
        <v>-0.10927810927810933</v>
      </c>
      <c r="AO154" s="242">
        <f>IF(ISERROR(AO69/AN69-1),"",(AO69/AN69-1))</f>
        <v>4.8601077104952095E-2</v>
      </c>
      <c r="AP154" s="242">
        <f>IF(ISERROR(AP69/AO69-1),"",(AP69/AO69-1))</f>
        <v>2.4927971940373217E-2</v>
      </c>
      <c r="AQ154" s="242">
        <f>IF(ISERROR(AQ69/AP69-1),"",(AQ69/AP69-1))</f>
        <v>-2.0777316059643613E-3</v>
      </c>
      <c r="AR154" s="301"/>
      <c r="AS154" s="242"/>
      <c r="AT154" s="242"/>
      <c r="AU154" s="242"/>
      <c r="AV154" s="242"/>
      <c r="AW154" s="301"/>
      <c r="AX154" s="242"/>
      <c r="AY154" s="242"/>
      <c r="AZ154" s="242"/>
      <c r="BA154" s="242"/>
      <c r="BB154" s="301"/>
      <c r="BC154" s="242"/>
      <c r="BD154" s="242"/>
      <c r="BE154" s="242"/>
      <c r="BF154" s="242"/>
      <c r="BG154" s="301"/>
      <c r="BH154" s="145"/>
      <c r="BI154" s="145"/>
      <c r="BJ154" s="145"/>
      <c r="BK154" s="145"/>
      <c r="BL154" s="144"/>
      <c r="BM154" s="145"/>
      <c r="BN154" s="145"/>
      <c r="BO154" s="145"/>
      <c r="BP154" s="145"/>
      <c r="BQ154" s="144"/>
      <c r="BR154" s="145"/>
      <c r="BS154" s="145"/>
      <c r="BT154" s="145"/>
      <c r="BU154" s="145"/>
      <c r="BV154" s="144"/>
      <c r="BW154" s="145"/>
      <c r="BX154" s="145"/>
      <c r="BY154" s="145"/>
      <c r="BZ154" s="145"/>
      <c r="CA154" s="144"/>
      <c r="CB154" s="145"/>
      <c r="CC154" s="145"/>
      <c r="CD154" s="145"/>
      <c r="CE154" s="145"/>
      <c r="CF154" s="144"/>
      <c r="CG154" s="145"/>
      <c r="CH154" s="145"/>
      <c r="CI154" s="145"/>
      <c r="CJ154" s="145"/>
      <c r="CK154" s="144"/>
      <c r="CL154" s="145"/>
      <c r="CM154" s="145"/>
      <c r="CN154" s="145"/>
      <c r="CO154" s="145"/>
      <c r="CP154" s="144"/>
      <c r="CQ154" s="145"/>
      <c r="CR154" s="145"/>
      <c r="CS154" s="145"/>
      <c r="CT154" s="145"/>
      <c r="CU154" s="144"/>
      <c r="CV154" s="145"/>
      <c r="CW154" s="145"/>
      <c r="CX154" s="145"/>
      <c r="CY154" s="145"/>
      <c r="CZ154" s="144"/>
      <c r="DA154" s="145"/>
      <c r="DB154" s="145"/>
      <c r="DC154" s="145"/>
      <c r="DD154" s="145"/>
      <c r="DE154" s="144"/>
      <c r="DF154" s="145"/>
      <c r="DG154" s="145"/>
      <c r="DH154" s="145"/>
      <c r="DI154" s="145"/>
      <c r="DJ154" s="144"/>
      <c r="DK154" s="145"/>
      <c r="DL154" s="145"/>
      <c r="DM154" s="145"/>
      <c r="DN154" s="145"/>
      <c r="DO154" s="144"/>
      <c r="DP154" s="145"/>
      <c r="DQ154" s="145"/>
      <c r="DR154" s="145"/>
      <c r="DS154" s="145"/>
      <c r="DT154" s="144"/>
      <c r="DU154" s="145"/>
      <c r="DV154" s="145"/>
      <c r="DW154" s="145"/>
      <c r="DX154" s="145"/>
      <c r="DY154" s="144"/>
      <c r="DZ154" s="144"/>
      <c r="EA154" s="144"/>
      <c r="EB154" s="144"/>
    </row>
    <row r="155" spans="2:132" s="241" customFormat="1" ht="12" hidden="1" customHeight="1" outlineLevel="1">
      <c r="B155" s="241" t="s">
        <v>144</v>
      </c>
      <c r="C155" s="301"/>
      <c r="D155" s="301"/>
      <c r="E155" s="301"/>
      <c r="F155" s="301"/>
      <c r="G155" s="301"/>
      <c r="H155" s="301"/>
      <c r="I155" s="301"/>
      <c r="J155" s="242"/>
      <c r="K155" s="242">
        <f>IF(ISERROR(K79/J79-1),"",(K79/J79-1))</f>
        <v>-0.25407166123778502</v>
      </c>
      <c r="L155" s="242">
        <f>IF(ISERROR(L79/K79-1),"",(L79/K79-1))</f>
        <v>0.10480349344978168</v>
      </c>
      <c r="M155" s="242">
        <f>IF(ISERROR(M79/L79-1),"",(M79/L79-1))</f>
        <v>-0.32806324110671936</v>
      </c>
      <c r="N155" s="301"/>
      <c r="O155" s="242">
        <f>IF(ISERROR(O79/M79-1),"",(O79/M79-1))</f>
        <v>0.39411764705882346</v>
      </c>
      <c r="P155" s="242">
        <f>IF(ISERROR(P79/O79-1),"",(P79/O79-1))</f>
        <v>0.11392405063291133</v>
      </c>
      <c r="Q155" s="242">
        <f>IF(ISERROR(Q79/P79-1),"",(Q79/P79-1))</f>
        <v>-0.12878787878787878</v>
      </c>
      <c r="R155" s="242">
        <f>IF(ISERROR(R79/Q79-1),"",(R79/Q79-1))</f>
        <v>2.1739130434782705E-2</v>
      </c>
      <c r="S155" s="301"/>
      <c r="T155" s="242">
        <f>IF(ISERROR(T79/R79-1),"",(T79/R79-1))</f>
        <v>8.5106382978723527E-3</v>
      </c>
      <c r="U155" s="242">
        <f>IF(ISERROR(U79/T79-1),"",(U79/T79-1))</f>
        <v>2.5316455696202445E-2</v>
      </c>
      <c r="V155" s="242">
        <f>IF(ISERROR(V79/U79-1),"",(V79/U79-1))</f>
        <v>0.25102880658436222</v>
      </c>
      <c r="W155" s="242">
        <f>IF(ISERROR(W79/V79-1),"",(W79/V79-1))</f>
        <v>-0.20723684210526316</v>
      </c>
      <c r="X155" s="301"/>
      <c r="Y155" s="242">
        <f>IF(ISERROR(Y79/W79-1),"",(Y79/W79-1))</f>
        <v>-0.11618257261410792</v>
      </c>
      <c r="Z155" s="242">
        <f>IF(ISERROR(Z79/Y79-1),"",(Z79/Y79-1))</f>
        <v>-1.8779342723004744E-2</v>
      </c>
      <c r="AA155" s="242">
        <f>IF(ISERROR(AA79/Z79-1),"",(AA79/Z79-1))</f>
        <v>-5.7416267942583699E-2</v>
      </c>
      <c r="AB155" s="242">
        <f>IF(ISERROR(AB79/AA79-1),"",(AB79/AA79-1))</f>
        <v>-5.0761421319797106E-3</v>
      </c>
      <c r="AC155" s="301"/>
      <c r="AD155" s="242">
        <f>IF(ISERROR(AD79/AB79-1),"",(AD79/AB79-1))</f>
        <v>-5.6122448979591844E-2</v>
      </c>
      <c r="AE155" s="242">
        <f>IF(ISERROR(AE79/AD79-1),"",(AE79/AD79-1))</f>
        <v>-3.2432432432432434E-2</v>
      </c>
      <c r="AF155" s="242">
        <f>IF(ISERROR(AF79/AE79-1),"",(AF79/AE79-1))</f>
        <v>-4.4692737430167551E-2</v>
      </c>
      <c r="AG155" s="242">
        <f>IF(ISERROR(AG79/AF79-1),"",(AG79/AF79-1))</f>
        <v>-1.7543859649122862E-2</v>
      </c>
      <c r="AH155" s="301"/>
      <c r="AI155" s="242">
        <f>IF(ISERROR(AI79/AG79-1),"",(AI79/AG79-1))</f>
        <v>-2.9761904761904767E-2</v>
      </c>
      <c r="AJ155" s="242">
        <f>IF(ISERROR(AJ79/AI79-1),"",(AJ79/AI79-1))</f>
        <v>2.4539877300613577E-2</v>
      </c>
      <c r="AK155" s="242">
        <f>IF(ISERROR(AK79/AJ79-1),"",(AK79/AJ79-1))</f>
        <v>-5.9880239520958556E-3</v>
      </c>
      <c r="AL155" s="242">
        <f>IF(ISERROR(AL79/AK79-1),"",(AL79/AK79-1))</f>
        <v>-1.2048192771084376E-2</v>
      </c>
      <c r="AM155" s="301"/>
      <c r="AN155" s="242">
        <f>IF(ISERROR(AN79/AL79-1),"",(AN79/AL79-1))</f>
        <v>-1.2195121951219523E-2</v>
      </c>
      <c r="AO155" s="242">
        <f>IF(ISERROR(AO79/AN79-1),"",(AO79/AN79-1))</f>
        <v>0</v>
      </c>
      <c r="AP155" s="242">
        <f>IF(ISERROR(AP79/AO79-1),"",(AP79/AO79-1))</f>
        <v>4.9382716049382713E-2</v>
      </c>
      <c r="AQ155" s="242">
        <f>IF(ISERROR(AQ79/AP79-1),"",(AQ79/AP79-1))</f>
        <v>-0.1470588235294118</v>
      </c>
      <c r="AR155" s="301"/>
      <c r="AS155" s="242"/>
      <c r="AT155" s="242"/>
      <c r="AU155" s="242"/>
      <c r="AV155" s="242"/>
      <c r="AW155" s="301"/>
      <c r="AX155" s="242"/>
      <c r="AY155" s="242"/>
      <c r="AZ155" s="242"/>
      <c r="BA155" s="242"/>
      <c r="BB155" s="301"/>
      <c r="BC155" s="242"/>
      <c r="BD155" s="242"/>
      <c r="BE155" s="242"/>
      <c r="BF155" s="242"/>
      <c r="BG155" s="301"/>
      <c r="BH155" s="145"/>
      <c r="BI155" s="145"/>
      <c r="BJ155" s="145"/>
      <c r="BK155" s="145"/>
      <c r="BL155" s="144"/>
      <c r="BM155" s="145"/>
      <c r="BN155" s="145"/>
      <c r="BO155" s="145"/>
      <c r="BP155" s="145"/>
      <c r="BQ155" s="144"/>
      <c r="BR155" s="145"/>
      <c r="BS155" s="145"/>
      <c r="BT155" s="145"/>
      <c r="BU155" s="145"/>
      <c r="BV155" s="144"/>
      <c r="BW155" s="145"/>
      <c r="BX155" s="145"/>
      <c r="BY155" s="145"/>
      <c r="BZ155" s="145"/>
      <c r="CA155" s="144"/>
      <c r="CB155" s="145"/>
      <c r="CC155" s="145"/>
      <c r="CD155" s="145"/>
      <c r="CE155" s="145"/>
      <c r="CF155" s="144"/>
      <c r="CG155" s="145"/>
      <c r="CH155" s="145"/>
      <c r="CI155" s="145"/>
      <c r="CJ155" s="145"/>
      <c r="CK155" s="144"/>
      <c r="CL155" s="145"/>
      <c r="CM155" s="145"/>
      <c r="CN155" s="145"/>
      <c r="CO155" s="145"/>
      <c r="CP155" s="144"/>
      <c r="CQ155" s="145"/>
      <c r="CR155" s="145"/>
      <c r="CS155" s="145"/>
      <c r="CT155" s="145"/>
      <c r="CU155" s="144"/>
      <c r="CV155" s="145"/>
      <c r="CW155" s="145"/>
      <c r="CX155" s="145"/>
      <c r="CY155" s="145"/>
      <c r="CZ155" s="144"/>
      <c r="DA155" s="145"/>
      <c r="DB155" s="145"/>
      <c r="DC155" s="145"/>
      <c r="DD155" s="145"/>
      <c r="DE155" s="144"/>
      <c r="DF155" s="145"/>
      <c r="DG155" s="145"/>
      <c r="DH155" s="145"/>
      <c r="DI155" s="145"/>
      <c r="DJ155" s="144"/>
      <c r="DK155" s="145"/>
      <c r="DL155" s="145"/>
      <c r="DM155" s="145"/>
      <c r="DN155" s="145"/>
      <c r="DO155" s="144"/>
      <c r="DP155" s="145"/>
      <c r="DQ155" s="145"/>
      <c r="DR155" s="145"/>
      <c r="DS155" s="145"/>
      <c r="DT155" s="144"/>
      <c r="DU155" s="145"/>
      <c r="DV155" s="145"/>
      <c r="DW155" s="145"/>
      <c r="DX155" s="145"/>
      <c r="DY155" s="144"/>
      <c r="DZ155" s="144"/>
      <c r="EA155" s="144"/>
      <c r="EB155" s="144"/>
    </row>
    <row r="156" spans="2:132" s="74" customFormat="1" ht="12" hidden="1" customHeight="1" outlineLevel="1">
      <c r="B156" s="32" t="s">
        <v>297</v>
      </c>
      <c r="C156" s="30"/>
      <c r="D156" s="30"/>
      <c r="E156" s="30"/>
      <c r="F156" s="30"/>
      <c r="G156" s="30"/>
      <c r="H156" s="30"/>
      <c r="I156" s="30"/>
      <c r="J156" s="29"/>
      <c r="K156" s="29">
        <f>IF(ISERROR(K82/J82-1),"",(K82/J82-1))</f>
        <v>9.9544717956632223E-3</v>
      </c>
      <c r="L156" s="29">
        <f>IF(ISERROR(L82/K82-1),"",(L82/K82-1))</f>
        <v>4.8899755501221609E-3</v>
      </c>
      <c r="M156" s="29">
        <f>IF(ISERROR(M82/L82-1),"",(M82/L82-1))</f>
        <v>8.0596107055961319E-3</v>
      </c>
      <c r="N156" s="30"/>
      <c r="O156" s="29">
        <f>IF(ISERROR(O82/M82-1),"",(O82/M82-1))</f>
        <v>-2.0440488761502507E-2</v>
      </c>
      <c r="P156" s="29">
        <f>IF(ISERROR(P82/O82-1),"",(P82/O82-1))</f>
        <v>0.15715715715715706</v>
      </c>
      <c r="Q156" s="29">
        <f>IF(ISERROR(Q82/P82-1),"",(Q82/P82-1))</f>
        <v>-0.15963534735161033</v>
      </c>
      <c r="R156" s="29">
        <f>IF(ISERROR(R82/Q82-1),"",(R82/Q82-1))</f>
        <v>0.12447541373030324</v>
      </c>
      <c r="S156" s="30"/>
      <c r="T156" s="29">
        <f>IF(ISERROR(T82/R82-1),"",(T82/R82-1))</f>
        <v>4.4363073023026001E-3</v>
      </c>
      <c r="U156" s="29">
        <f>IF(ISERROR(U82/T82-1),"",(U82/T82-1))</f>
        <v>5.0616937745372903E-2</v>
      </c>
      <c r="V156" s="29">
        <f>IF(ISERROR(V82/U82-1),"",(V82/U82-1))</f>
        <v>-1.6482049913252417E-2</v>
      </c>
      <c r="W156" s="29">
        <f>IF(ISERROR(W82/V82-1),"",(W82/V82-1))</f>
        <v>0.19010787706085885</v>
      </c>
      <c r="X156" s="30"/>
      <c r="Y156" s="29">
        <f>IF(ISERROR(Y82/W82-1),"",(Y82/W82-1))</f>
        <v>-0.12405222051194342</v>
      </c>
      <c r="Z156" s="29">
        <f>IF(ISERROR(Z82/Y82-1),"",(Z82/Y82-1))</f>
        <v>0.10823299707126588</v>
      </c>
      <c r="AA156" s="29">
        <f>IF(ISERROR(AA82/Z82-1),"",(AA82/Z82-1))</f>
        <v>-3.0009396288466106E-2</v>
      </c>
      <c r="AB156" s="29">
        <f>IF(ISERROR(AB82/AA82-1),"",(AB82/AA82-1))</f>
        <v>5.812193497608531E-2</v>
      </c>
      <c r="AC156" s="30"/>
      <c r="AD156" s="29">
        <f>IF(ISERROR(AD82/AB82-1),"",(AD82/AB82-1))</f>
        <v>-8.508325227441782E-2</v>
      </c>
      <c r="AE156" s="29">
        <f>IF(ISERROR(AE82/AD82-1),"",(AE82/AD82-1))</f>
        <v>6.078799249530964E-2</v>
      </c>
      <c r="AF156" s="29">
        <f>IF(ISERROR(AF82/AE82-1),"",(AF82/AE82-1))</f>
        <v>-9.8396415517038038E-2</v>
      </c>
      <c r="AG156" s="29">
        <f>IF(ISERROR(AG82/AF82-1),"",(AG82/AF82-1))</f>
        <v>-0.17125482246779578</v>
      </c>
      <c r="AH156" s="30"/>
      <c r="AI156" s="29">
        <f>IF(ISERROR(AI82/AG82-1),"",(AI82/AG82-1))</f>
        <v>0.30203566356320022</v>
      </c>
      <c r="AJ156" s="29">
        <f>IF(ISERROR(AJ82/AI82-1),"",(AJ82/AI82-1))</f>
        <v>3.9510362380317465E-2</v>
      </c>
      <c r="AK156" s="29">
        <f>IF(ISERROR(AK82/AJ82-1),"",(AK82/AJ82-1))</f>
        <v>-2.7165675644164611E-2</v>
      </c>
      <c r="AL156" s="29">
        <f>IF(ISERROR(AL82/AK82-1),"",(AL82/AK82-1))</f>
        <v>7.4844199424736413E-2</v>
      </c>
      <c r="AM156" s="30"/>
      <c r="AN156" s="29">
        <f>IF(ISERROR(AN82/AL82-1),"",(AN82/AL82-1))</f>
        <v>-0.15169760829570167</v>
      </c>
      <c r="AO156" s="29">
        <f>IF(ISERROR(AO82/AN82-1),"",(AO82/AN82-1))</f>
        <v>2.3462145110410004E-2</v>
      </c>
      <c r="AP156" s="29">
        <f>IF(ISERROR(AP82/AO82-1),"",(AP82/AO82-1))</f>
        <v>8.9513902266743717E-2</v>
      </c>
      <c r="AQ156" s="29">
        <f>IF(ISERROR(AQ82/AP82-1),"",(AQ82/AP82-1))</f>
        <v>-2.4577120292332166E-2</v>
      </c>
      <c r="AR156" s="30"/>
      <c r="AS156" s="29"/>
      <c r="AT156" s="29"/>
      <c r="AU156" s="29"/>
      <c r="AV156" s="29"/>
      <c r="AW156" s="30"/>
      <c r="AX156" s="29"/>
      <c r="AY156" s="29"/>
      <c r="AZ156" s="29"/>
      <c r="BA156" s="29"/>
      <c r="BB156" s="30"/>
      <c r="BC156" s="29"/>
      <c r="BD156" s="29"/>
      <c r="BE156" s="29"/>
      <c r="BF156" s="29"/>
      <c r="BG156" s="30"/>
      <c r="BH156" s="29"/>
      <c r="BI156" s="29"/>
      <c r="BJ156" s="29"/>
      <c r="BK156" s="29"/>
      <c r="BL156" s="30"/>
      <c r="BM156" s="29"/>
      <c r="BN156" s="29"/>
      <c r="BO156" s="29"/>
      <c r="BP156" s="29"/>
      <c r="BQ156" s="30"/>
      <c r="BR156" s="29"/>
      <c r="BS156" s="29"/>
      <c r="BT156" s="29"/>
      <c r="BU156" s="29"/>
      <c r="BV156" s="30"/>
      <c r="BW156" s="29"/>
      <c r="BX156" s="29"/>
      <c r="BY156" s="29"/>
      <c r="BZ156" s="29"/>
      <c r="CA156" s="30"/>
      <c r="CB156" s="29"/>
      <c r="CC156" s="29"/>
      <c r="CD156" s="29"/>
      <c r="CE156" s="29"/>
      <c r="CF156" s="30"/>
      <c r="CG156" s="29"/>
      <c r="CH156" s="29"/>
      <c r="CI156" s="29"/>
      <c r="CJ156" s="29"/>
      <c r="CK156" s="30"/>
      <c r="CL156" s="29"/>
      <c r="CM156" s="29"/>
      <c r="CN156" s="29"/>
      <c r="CO156" s="29"/>
      <c r="CP156" s="30"/>
      <c r="CQ156" s="29"/>
      <c r="CR156" s="29"/>
      <c r="CS156" s="29"/>
      <c r="CT156" s="29"/>
      <c r="CU156" s="30"/>
      <c r="CV156" s="29"/>
      <c r="CW156" s="29"/>
      <c r="CX156" s="29"/>
      <c r="CY156" s="29"/>
      <c r="CZ156" s="30"/>
      <c r="DA156" s="29"/>
      <c r="DB156" s="29"/>
      <c r="DC156" s="29"/>
      <c r="DD156" s="29"/>
      <c r="DE156" s="30"/>
      <c r="DF156" s="29"/>
      <c r="DG156" s="29"/>
      <c r="DH156" s="29"/>
      <c r="DI156" s="29"/>
      <c r="DJ156" s="30"/>
      <c r="DK156" s="29"/>
      <c r="DL156" s="29"/>
      <c r="DM156" s="29"/>
      <c r="DN156" s="29"/>
      <c r="DO156" s="30"/>
      <c r="DP156" s="29"/>
      <c r="DQ156" s="29"/>
      <c r="DR156" s="29"/>
      <c r="DS156" s="29"/>
      <c r="DT156" s="30"/>
      <c r="DU156" s="29"/>
      <c r="DV156" s="29"/>
      <c r="DW156" s="29"/>
      <c r="DX156" s="29"/>
      <c r="DY156" s="30"/>
      <c r="DZ156" s="30"/>
      <c r="EA156" s="30"/>
      <c r="EB156" s="30"/>
    </row>
    <row r="157" spans="2:132" s="241" customFormat="1" ht="12" hidden="1" customHeight="1" outlineLevel="1">
      <c r="B157" s="300"/>
      <c r="C157" s="301"/>
      <c r="D157" s="301"/>
      <c r="E157" s="301"/>
      <c r="F157" s="301"/>
      <c r="G157" s="301"/>
      <c r="H157" s="301"/>
      <c r="I157" s="301"/>
      <c r="J157" s="302"/>
      <c r="K157" s="302"/>
      <c r="L157" s="302"/>
      <c r="M157" s="302"/>
      <c r="N157" s="301"/>
      <c r="O157" s="302"/>
      <c r="P157" s="302"/>
      <c r="Q157" s="302"/>
      <c r="R157" s="302"/>
      <c r="S157" s="301"/>
      <c r="T157" s="302"/>
      <c r="U157" s="302"/>
      <c r="V157" s="302"/>
      <c r="W157" s="302"/>
      <c r="X157" s="301"/>
      <c r="Y157" s="302"/>
      <c r="Z157" s="302"/>
      <c r="AA157" s="302"/>
      <c r="AB157" s="302"/>
      <c r="AC157" s="301"/>
      <c r="AD157" s="302"/>
      <c r="AE157" s="302"/>
      <c r="AF157" s="302"/>
      <c r="AG157" s="302"/>
      <c r="AH157" s="301"/>
      <c r="AI157" s="302"/>
      <c r="AJ157" s="302"/>
      <c r="AK157" s="302"/>
      <c r="AL157" s="302"/>
      <c r="AM157" s="301"/>
      <c r="AN157" s="302"/>
      <c r="AO157" s="302"/>
      <c r="AP157" s="302"/>
      <c r="AQ157" s="302"/>
      <c r="AR157" s="301"/>
      <c r="AS157" s="302"/>
      <c r="AT157" s="302"/>
      <c r="AU157" s="302"/>
      <c r="AV157" s="302"/>
      <c r="AW157" s="301"/>
      <c r="AX157" s="302"/>
      <c r="AY157" s="302"/>
      <c r="AZ157" s="302"/>
      <c r="BA157" s="302"/>
      <c r="BB157" s="301"/>
      <c r="BC157" s="302"/>
      <c r="BD157" s="302"/>
      <c r="BE157" s="302"/>
      <c r="BF157" s="302"/>
      <c r="BG157" s="301"/>
      <c r="BH157" s="469"/>
      <c r="BI157" s="469"/>
      <c r="BJ157" s="469"/>
      <c r="BK157" s="469"/>
      <c r="BL157" s="144"/>
      <c r="BM157" s="469"/>
      <c r="BN157" s="469"/>
      <c r="BO157" s="469"/>
      <c r="BP157" s="469"/>
      <c r="BQ157" s="144"/>
      <c r="BR157" s="469"/>
      <c r="BS157" s="469"/>
      <c r="BT157" s="469"/>
      <c r="BU157" s="469"/>
      <c r="BV157" s="144"/>
      <c r="BW157" s="469"/>
      <c r="BX157" s="469"/>
      <c r="BY157" s="469"/>
      <c r="BZ157" s="469"/>
      <c r="CA157" s="144"/>
      <c r="CB157" s="469"/>
      <c r="CC157" s="469"/>
      <c r="CD157" s="469"/>
      <c r="CE157" s="469"/>
      <c r="CF157" s="144"/>
      <c r="CG157" s="469"/>
      <c r="CH157" s="469"/>
      <c r="CI157" s="469"/>
      <c r="CJ157" s="469"/>
      <c r="CK157" s="144"/>
      <c r="CL157" s="469"/>
      <c r="CM157" s="469"/>
      <c r="CN157" s="469"/>
      <c r="CO157" s="469"/>
      <c r="CP157" s="144"/>
      <c r="CQ157" s="469"/>
      <c r="CR157" s="469"/>
      <c r="CS157" s="469"/>
      <c r="CT157" s="469"/>
      <c r="CU157" s="144"/>
      <c r="CV157" s="469"/>
      <c r="CW157" s="469"/>
      <c r="CX157" s="469"/>
      <c r="CY157" s="469"/>
      <c r="CZ157" s="144"/>
      <c r="DA157" s="469"/>
      <c r="DB157" s="469"/>
      <c r="DC157" s="469"/>
      <c r="DD157" s="469"/>
      <c r="DE157" s="144"/>
      <c r="DF157" s="469"/>
      <c r="DG157" s="469"/>
      <c r="DH157" s="469"/>
      <c r="DI157" s="469"/>
      <c r="DJ157" s="144"/>
      <c r="DK157" s="469"/>
      <c r="DL157" s="469"/>
      <c r="DM157" s="469"/>
      <c r="DN157" s="469"/>
      <c r="DO157" s="144"/>
      <c r="DP157" s="469"/>
      <c r="DQ157" s="469"/>
      <c r="DR157" s="469"/>
      <c r="DS157" s="469"/>
      <c r="DT157" s="144"/>
      <c r="DU157" s="469"/>
      <c r="DV157" s="469"/>
      <c r="DW157" s="469"/>
      <c r="DX157" s="469"/>
      <c r="DY157" s="144"/>
      <c r="DZ157" s="144"/>
      <c r="EA157" s="144"/>
      <c r="EB157" s="144"/>
    </row>
    <row r="158" spans="2:132" s="241" customFormat="1" ht="12" hidden="1" customHeight="1" outlineLevel="1">
      <c r="B158" s="74" t="s">
        <v>294</v>
      </c>
      <c r="C158" s="301"/>
      <c r="D158" s="301"/>
      <c r="E158" s="301"/>
      <c r="F158" s="301"/>
      <c r="G158" s="301"/>
      <c r="H158" s="301"/>
      <c r="I158" s="301"/>
      <c r="J158" s="242"/>
      <c r="K158" s="242"/>
      <c r="L158" s="242"/>
      <c r="M158" s="242"/>
      <c r="N158" s="301"/>
      <c r="O158" s="242"/>
      <c r="P158" s="242"/>
      <c r="Q158" s="242"/>
      <c r="R158" s="242"/>
      <c r="S158" s="301"/>
      <c r="T158" s="242"/>
      <c r="U158" s="242"/>
      <c r="V158" s="242"/>
      <c r="W158" s="242"/>
      <c r="X158" s="301"/>
      <c r="Y158" s="242"/>
      <c r="Z158" s="242"/>
      <c r="AA158" s="242"/>
      <c r="AB158" s="242"/>
      <c r="AC158" s="301"/>
      <c r="AD158" s="242"/>
      <c r="AE158" s="242"/>
      <c r="AF158" s="242"/>
      <c r="AG158" s="242"/>
      <c r="AH158" s="301"/>
      <c r="AI158" s="242"/>
      <c r="AJ158" s="242"/>
      <c r="AK158" s="242"/>
      <c r="AL158" s="242"/>
      <c r="AM158" s="301"/>
      <c r="AN158" s="242"/>
      <c r="AO158" s="242"/>
      <c r="AP158" s="242"/>
      <c r="AQ158" s="242"/>
      <c r="AR158" s="301"/>
      <c r="AS158" s="242"/>
      <c r="AT158" s="242"/>
      <c r="AU158" s="242"/>
      <c r="AV158" s="242"/>
      <c r="AW158" s="301"/>
      <c r="AX158" s="242"/>
      <c r="AY158" s="242"/>
      <c r="AZ158" s="242"/>
      <c r="BA158" s="242"/>
      <c r="BB158" s="301"/>
      <c r="BC158" s="242"/>
      <c r="BD158" s="242"/>
      <c r="BE158" s="242"/>
      <c r="BF158" s="242"/>
      <c r="BG158" s="301"/>
      <c r="BH158" s="145"/>
      <c r="BI158" s="145"/>
      <c r="BJ158" s="145"/>
      <c r="BK158" s="145"/>
      <c r="BL158" s="144"/>
      <c r="BM158" s="145"/>
      <c r="BN158" s="145"/>
      <c r="BO158" s="145"/>
      <c r="BP158" s="145"/>
      <c r="BQ158" s="144"/>
      <c r="BR158" s="145"/>
      <c r="BS158" s="145"/>
      <c r="BT158" s="145"/>
      <c r="BU158" s="145"/>
      <c r="BV158" s="144"/>
      <c r="BW158" s="145"/>
      <c r="BX158" s="145"/>
      <c r="BY158" s="145"/>
      <c r="BZ158" s="145"/>
      <c r="CA158" s="144"/>
      <c r="CB158" s="145"/>
      <c r="CC158" s="145"/>
      <c r="CD158" s="145"/>
      <c r="CE158" s="145"/>
      <c r="CF158" s="144"/>
      <c r="CG158" s="145"/>
      <c r="CH158" s="145"/>
      <c r="CI158" s="145"/>
      <c r="CJ158" s="145"/>
      <c r="CK158" s="144"/>
      <c r="CL158" s="145"/>
      <c r="CM158" s="145"/>
      <c r="CN158" s="145"/>
      <c r="CO158" s="145"/>
      <c r="CP158" s="144"/>
      <c r="CQ158" s="145"/>
      <c r="CR158" s="145"/>
      <c r="CS158" s="145"/>
      <c r="CT158" s="145"/>
      <c r="CU158" s="144"/>
      <c r="CV158" s="145"/>
      <c r="CW158" s="145"/>
      <c r="CX158" s="145"/>
      <c r="CY158" s="145"/>
      <c r="CZ158" s="144"/>
      <c r="DA158" s="145"/>
      <c r="DB158" s="145"/>
      <c r="DC158" s="145"/>
      <c r="DD158" s="145"/>
      <c r="DE158" s="144"/>
      <c r="DF158" s="145"/>
      <c r="DG158" s="145"/>
      <c r="DH158" s="145"/>
      <c r="DI158" s="145"/>
      <c r="DJ158" s="144"/>
      <c r="DK158" s="145"/>
      <c r="DL158" s="145"/>
      <c r="DM158" s="145"/>
      <c r="DN158" s="145"/>
      <c r="DO158" s="144"/>
      <c r="DP158" s="145"/>
      <c r="DQ158" s="145"/>
      <c r="DR158" s="145"/>
      <c r="DS158" s="145"/>
      <c r="DT158" s="144"/>
      <c r="DU158" s="145"/>
      <c r="DV158" s="145"/>
      <c r="DW158" s="145"/>
      <c r="DX158" s="145"/>
      <c r="DY158" s="144"/>
      <c r="DZ158" s="144"/>
      <c r="EA158" s="144"/>
      <c r="EB158" s="144"/>
    </row>
    <row r="159" spans="2:132" s="241" customFormat="1" ht="12" hidden="1" customHeight="1" outlineLevel="1">
      <c r="B159" s="241" t="s">
        <v>105</v>
      </c>
      <c r="C159" s="301"/>
      <c r="D159" s="301"/>
      <c r="E159" s="301"/>
      <c r="F159" s="301"/>
      <c r="G159" s="301"/>
      <c r="H159" s="301"/>
      <c r="I159" s="301"/>
      <c r="J159" s="242">
        <f>IF(ISERROR(J36/N36),"",J36/N36)</f>
        <v>0.25336312211817275</v>
      </c>
      <c r="K159" s="242">
        <f>IF(ISERROR(K36/N36),"",K36/N36)</f>
        <v>0.26957265769834104</v>
      </c>
      <c r="L159" s="242">
        <f>IF(ISERROR(L36/N36),"",L36/N36)</f>
        <v>0.22046869800827115</v>
      </c>
      <c r="M159" s="242">
        <f>IF(ISERROR(M36/N36),"",M36/N36)</f>
        <v>0.25659552217521508</v>
      </c>
      <c r="N159" s="301"/>
      <c r="O159" s="242">
        <f>IF(ISERROR(O36/S36),"",O36/S36)</f>
        <v>0.22409606639883448</v>
      </c>
      <c r="P159" s="242">
        <f>IF(ISERROR(P36/S36),"",P36/S36)</f>
        <v>0.30047238532515119</v>
      </c>
      <c r="Q159" s="242">
        <f>IF(ISERROR(Q36/S36),"",Q36/S36)</f>
        <v>0.21689991611849366</v>
      </c>
      <c r="R159" s="242">
        <f>IF(ISERROR(R36/S36),"",R36/S36)</f>
        <v>0.25853163215752062</v>
      </c>
      <c r="S159" s="301"/>
      <c r="T159" s="242">
        <f>IF(ISERROR(T36/X36),"",T36/X36)</f>
        <v>0.2477779729492359</v>
      </c>
      <c r="U159" s="242">
        <f>IF(ISERROR(U36/X36),"",U36/X36)</f>
        <v>0.2498858246969963</v>
      </c>
      <c r="V159" s="242">
        <f>IF(ISERROR(V36/X36),"",V36/X36)</f>
        <v>0.23513086246267345</v>
      </c>
      <c r="W159" s="242">
        <f>IF(ISERROR(W36/X36),"",W36/X36)</f>
        <v>0.26720533989109435</v>
      </c>
      <c r="X159" s="301"/>
      <c r="Y159" s="242">
        <f>IF(ISERROR(Y36/AC36),"",Y36/AC36)</f>
        <v>0.22629245791649194</v>
      </c>
      <c r="Z159" s="242">
        <f>IF(ISERROR(Z36/AC36),"",Z36/AC36)</f>
        <v>0.26079793925597555</v>
      </c>
      <c r="AA159" s="242">
        <f>IF(ISERROR(AA36/AC36),"",AA36/AC36)</f>
        <v>0.24734918828251362</v>
      </c>
      <c r="AB159" s="242">
        <f>IF(ISERROR(AB36/AC36),"",AB36/AC36)</f>
        <v>0.26556041454501889</v>
      </c>
      <c r="AC159" s="301"/>
      <c r="AD159" s="242">
        <f>IF(ISERROR(AD36/AH36),"",AD36/AH36)</f>
        <v>0.28875207868945263</v>
      </c>
      <c r="AE159" s="242">
        <f>IF(ISERROR(AE36/AH36),"",AE36/AH36)</f>
        <v>0.30311714963025865</v>
      </c>
      <c r="AF159" s="242">
        <f>IF(ISERROR(AF36/AH36),"",AF36/AH36)</f>
        <v>0.24576301171142484</v>
      </c>
      <c r="AG159" s="242">
        <f>IF(ISERROR(AG36/AH36),"",AG36/AH36)</f>
        <v>0.16236775996886388</v>
      </c>
      <c r="AH159" s="301"/>
      <c r="AI159" s="242">
        <f>IF(ISERROR(AI36/AM36),"",AI36/AM36)</f>
        <v>0.25121141816686737</v>
      </c>
      <c r="AJ159" s="242">
        <f>IF(ISERROR(AJ36/AM36),"",AJ36/AM36)</f>
        <v>0.24759918945111745</v>
      </c>
      <c r="AK159" s="242">
        <f>IF(ISERROR(AK36/AM36),"",AK36/AM36)</f>
        <v>0.23150568265249186</v>
      </c>
      <c r="AL159" s="242">
        <f>IF(ISERROR(AL36/AM36),"",AL36/AM36)</f>
        <v>0.26968370972952338</v>
      </c>
      <c r="AM159" s="301"/>
      <c r="AN159" s="242">
        <f>IF(ISERROR(AN36/AR36),"",AN36/AR36)</f>
        <v>0.23459194571841427</v>
      </c>
      <c r="AO159" s="242">
        <f>IF(ISERROR(AO36/AR36),"",AO36/AR36)</f>
        <v>0.2334924923038261</v>
      </c>
      <c r="AP159" s="242">
        <f>IF(ISERROR(AP36/AR36),"",AP36/AR36)</f>
        <v>0.27483194069234151</v>
      </c>
      <c r="AQ159" s="242">
        <f>IF(ISERROR(AQ36/AR36),"",AQ36/AR36)</f>
        <v>0.25708362128541812</v>
      </c>
      <c r="AR159" s="301"/>
      <c r="AS159" s="242"/>
      <c r="AT159" s="242"/>
      <c r="AU159" s="242"/>
      <c r="AV159" s="242"/>
      <c r="AW159" s="301"/>
      <c r="AX159" s="242"/>
      <c r="AY159" s="242"/>
      <c r="AZ159" s="242"/>
      <c r="BA159" s="242"/>
      <c r="BB159" s="301"/>
      <c r="BC159" s="242"/>
      <c r="BD159" s="242"/>
      <c r="BE159" s="242"/>
      <c r="BF159" s="242"/>
      <c r="BG159" s="301"/>
      <c r="BH159" s="145"/>
      <c r="BI159" s="145"/>
      <c r="BJ159" s="145"/>
      <c r="BK159" s="145"/>
      <c r="BL159" s="144"/>
      <c r="BM159" s="145"/>
      <c r="BN159" s="145"/>
      <c r="BO159" s="145"/>
      <c r="BP159" s="145"/>
      <c r="BQ159" s="144"/>
      <c r="BR159" s="145"/>
      <c r="BS159" s="145"/>
      <c r="BT159" s="145"/>
      <c r="BU159" s="145"/>
      <c r="BV159" s="144"/>
      <c r="BW159" s="145"/>
      <c r="BX159" s="145"/>
      <c r="BY159" s="145"/>
      <c r="BZ159" s="145"/>
      <c r="CA159" s="144"/>
      <c r="CB159" s="145"/>
      <c r="CC159" s="145"/>
      <c r="CD159" s="145"/>
      <c r="CE159" s="145"/>
      <c r="CF159" s="144"/>
      <c r="CG159" s="145"/>
      <c r="CH159" s="145"/>
      <c r="CI159" s="145"/>
      <c r="CJ159" s="145"/>
      <c r="CK159" s="144"/>
      <c r="CL159" s="145"/>
      <c r="CM159" s="145"/>
      <c r="CN159" s="145"/>
      <c r="CO159" s="145"/>
      <c r="CP159" s="144"/>
      <c r="CQ159" s="145"/>
      <c r="CR159" s="145"/>
      <c r="CS159" s="145"/>
      <c r="CT159" s="145"/>
      <c r="CU159" s="144"/>
      <c r="CV159" s="145"/>
      <c r="CW159" s="145"/>
      <c r="CX159" s="145"/>
      <c r="CY159" s="145"/>
      <c r="CZ159" s="144"/>
      <c r="DA159" s="145"/>
      <c r="DB159" s="145"/>
      <c r="DC159" s="145"/>
      <c r="DD159" s="145"/>
      <c r="DE159" s="144"/>
      <c r="DF159" s="145"/>
      <c r="DG159" s="145"/>
      <c r="DH159" s="145"/>
      <c r="DI159" s="145"/>
      <c r="DJ159" s="144"/>
      <c r="DK159" s="145"/>
      <c r="DL159" s="145"/>
      <c r="DM159" s="145"/>
      <c r="DN159" s="145"/>
      <c r="DO159" s="144"/>
      <c r="DP159" s="145"/>
      <c r="DQ159" s="145"/>
      <c r="DR159" s="145"/>
      <c r="DS159" s="145"/>
      <c r="DT159" s="144"/>
      <c r="DU159" s="145"/>
      <c r="DV159" s="145"/>
      <c r="DW159" s="145"/>
      <c r="DX159" s="145"/>
      <c r="DY159" s="144"/>
      <c r="DZ159" s="144"/>
      <c r="EA159" s="144"/>
      <c r="EB159" s="144"/>
    </row>
    <row r="160" spans="2:132" s="241" customFormat="1" ht="12" hidden="1" customHeight="1" outlineLevel="1">
      <c r="B160" s="311" t="s">
        <v>106</v>
      </c>
      <c r="C160" s="301"/>
      <c r="D160" s="301"/>
      <c r="E160" s="301"/>
      <c r="F160" s="301"/>
      <c r="G160" s="301"/>
      <c r="H160" s="301"/>
      <c r="I160" s="301"/>
      <c r="J160" s="242"/>
      <c r="K160" s="242"/>
      <c r="L160" s="242"/>
      <c r="M160" s="242"/>
      <c r="N160" s="301"/>
      <c r="O160" s="242">
        <f>IF(ISERROR(O38/S38),"",O38/S38)</f>
        <v>0.2378978534418949</v>
      </c>
      <c r="P160" s="242">
        <f>IF(ISERROR(P38/S38),"",P38/S38)</f>
        <v>0.2598815692079941</v>
      </c>
      <c r="Q160" s="242">
        <f>IF(ISERROR(Q38/S38),"",Q38/S38)</f>
        <v>0.22435233160621762</v>
      </c>
      <c r="R160" s="242">
        <f>IF(ISERROR(R38/S38),"",R38/S38)</f>
        <v>0.27786824574389341</v>
      </c>
      <c r="S160" s="301"/>
      <c r="T160" s="242">
        <f>IF(ISERROR(T38/X38),"",T38/X38)</f>
        <v>0.21930313588850175</v>
      </c>
      <c r="U160" s="242">
        <f>IF(ISERROR(U38/X38),"",U38/X38)</f>
        <v>0.23770034843205576</v>
      </c>
      <c r="V160" s="242">
        <f>IF(ISERROR(V38/X38),"",V38/X38)</f>
        <v>0.24209059233449479</v>
      </c>
      <c r="W160" s="242">
        <f>IF(ISERROR(W38/X38),"",W38/X38)</f>
        <v>0.30090592334494776</v>
      </c>
      <c r="X160" s="301"/>
      <c r="Y160" s="242">
        <f>IF(ISERROR(Y38/AC38),"",Y38/AC38)</f>
        <v>0.23975155279503105</v>
      </c>
      <c r="Z160" s="242">
        <f>IF(ISERROR(Z38/AC38),"",Z38/AC38)</f>
        <v>0.25005480453050788</v>
      </c>
      <c r="AA160" s="242">
        <f>IF(ISERROR(AA38/AC38),"",AA38/AC38)</f>
        <v>0.24552429667519182</v>
      </c>
      <c r="AB160" s="242">
        <f>IF(ISERROR(AB38/AC38),"",AB38/AC38)</f>
        <v>0.26466934599926928</v>
      </c>
      <c r="AC160" s="301"/>
      <c r="AD160" s="242">
        <f>IF(ISERROR(AD38/AH38),"",AD38/AH38)</f>
        <v>0.23877703206562267</v>
      </c>
      <c r="AE160" s="242">
        <f>IF(ISERROR(AE38/AH38),"",AE38/AH38)</f>
        <v>0.24347501864280388</v>
      </c>
      <c r="AF160" s="242">
        <f>IF(ISERROR(AF38/AH38),"",AF38/AH38)</f>
        <v>0.28165548098434007</v>
      </c>
      <c r="AG160" s="242">
        <f>IF(ISERROR(AG38/AH38),"",AG38/AH38)</f>
        <v>0.23609246830723341</v>
      </c>
      <c r="AH160" s="301"/>
      <c r="AI160" s="242">
        <f>IF(ISERROR(AI38/AM38),"",AI38/AM38)</f>
        <v>0.21412819235967845</v>
      </c>
      <c r="AJ160" s="242">
        <f>IF(ISERROR(AJ38/AM38),"",AJ38/AM38)</f>
        <v>0.239240236181262</v>
      </c>
      <c r="AK160" s="242">
        <f>IF(ISERROR(AK38/AM38),"",AK38/AM38)</f>
        <v>0.28106992957245502</v>
      </c>
      <c r="AL160" s="242">
        <f>IF(ISERROR(AL38/AM38),"",AL38/AM38)</f>
        <v>0.26556164188660453</v>
      </c>
      <c r="AM160" s="301"/>
      <c r="AN160" s="242">
        <f>IF(ISERROR(AN38/AR38),"",AN38/AR38)</f>
        <v>0.22763028515240905</v>
      </c>
      <c r="AO160" s="242">
        <f>IF(ISERROR(AO38/AR38),"",AO38/AR38)</f>
        <v>0.25143980896193285</v>
      </c>
      <c r="AP160" s="242">
        <f>IF(ISERROR(AP38/AR38),"",AP38/AR38)</f>
        <v>0.266189071498806</v>
      </c>
      <c r="AQ160" s="242">
        <f>IF(ISERROR(AQ38/AR38),"",AQ38/AR38)</f>
        <v>0.25474083438685208</v>
      </c>
      <c r="AR160" s="301"/>
      <c r="AS160" s="242"/>
      <c r="AT160" s="242"/>
      <c r="AU160" s="242"/>
      <c r="AV160" s="242"/>
      <c r="AW160" s="301"/>
      <c r="AX160" s="242"/>
      <c r="AY160" s="242"/>
      <c r="AZ160" s="242"/>
      <c r="BA160" s="242"/>
      <c r="BB160" s="301"/>
      <c r="BC160" s="242"/>
      <c r="BD160" s="242"/>
      <c r="BE160" s="242"/>
      <c r="BF160" s="242"/>
      <c r="BG160" s="301"/>
      <c r="BH160" s="145"/>
      <c r="BI160" s="145"/>
      <c r="BJ160" s="145"/>
      <c r="BK160" s="145"/>
      <c r="BL160" s="144"/>
      <c r="BM160" s="145"/>
      <c r="BN160" s="145"/>
      <c r="BO160" s="145"/>
      <c r="BP160" s="145"/>
      <c r="BQ160" s="144"/>
      <c r="BR160" s="145"/>
      <c r="BS160" s="145"/>
      <c r="BT160" s="145"/>
      <c r="BU160" s="145"/>
      <c r="BV160" s="144"/>
      <c r="BW160" s="145"/>
      <c r="BX160" s="145"/>
      <c r="BY160" s="145"/>
      <c r="BZ160" s="145"/>
      <c r="CA160" s="144"/>
      <c r="CB160" s="145"/>
      <c r="CC160" s="145"/>
      <c r="CD160" s="145"/>
      <c r="CE160" s="145"/>
      <c r="CF160" s="144"/>
      <c r="CG160" s="145"/>
      <c r="CH160" s="145"/>
      <c r="CI160" s="145"/>
      <c r="CJ160" s="145"/>
      <c r="CK160" s="144"/>
      <c r="CL160" s="145"/>
      <c r="CM160" s="145"/>
      <c r="CN160" s="145"/>
      <c r="CO160" s="145"/>
      <c r="CP160" s="144"/>
      <c r="CQ160" s="145"/>
      <c r="CR160" s="145"/>
      <c r="CS160" s="145"/>
      <c r="CT160" s="145"/>
      <c r="CU160" s="144"/>
      <c r="CV160" s="145"/>
      <c r="CW160" s="145"/>
      <c r="CX160" s="145"/>
      <c r="CY160" s="145"/>
      <c r="CZ160" s="144"/>
      <c r="DA160" s="145"/>
      <c r="DB160" s="145"/>
      <c r="DC160" s="145"/>
      <c r="DD160" s="145"/>
      <c r="DE160" s="144"/>
      <c r="DF160" s="145"/>
      <c r="DG160" s="145"/>
      <c r="DH160" s="145"/>
      <c r="DI160" s="145"/>
      <c r="DJ160" s="144"/>
      <c r="DK160" s="145"/>
      <c r="DL160" s="145"/>
      <c r="DM160" s="145"/>
      <c r="DN160" s="145"/>
      <c r="DO160" s="144"/>
      <c r="DP160" s="145"/>
      <c r="DQ160" s="145"/>
      <c r="DR160" s="145"/>
      <c r="DS160" s="145"/>
      <c r="DT160" s="144"/>
      <c r="DU160" s="145"/>
      <c r="DV160" s="145"/>
      <c r="DW160" s="145"/>
      <c r="DX160" s="145"/>
      <c r="DY160" s="144"/>
      <c r="DZ160" s="144"/>
      <c r="EA160" s="144"/>
      <c r="EB160" s="144"/>
    </row>
    <row r="161" spans="2:132" s="241" customFormat="1" ht="12" hidden="1" customHeight="1" outlineLevel="1">
      <c r="B161" s="311" t="s">
        <v>107</v>
      </c>
      <c r="C161" s="301"/>
      <c r="D161" s="301"/>
      <c r="E161" s="301"/>
      <c r="F161" s="301"/>
      <c r="G161" s="301"/>
      <c r="H161" s="301"/>
      <c r="I161" s="301"/>
      <c r="J161" s="242"/>
      <c r="K161" s="242"/>
      <c r="L161" s="242"/>
      <c r="M161" s="242"/>
      <c r="N161" s="301"/>
      <c r="O161" s="242">
        <f>IF(ISERROR(O39/S39),"",O39/S39)</f>
        <v>0.26293455198302595</v>
      </c>
      <c r="P161" s="242">
        <f>IF(ISERROR(P39/S39),"",P39/S39)</f>
        <v>0.25379467928839561</v>
      </c>
      <c r="Q161" s="242">
        <f>IF(ISERROR(Q39/S39),"",Q39/S39)</f>
        <v>0.24775583482944344</v>
      </c>
      <c r="R161" s="242">
        <f>IF(ISERROR(R39/S39),"",R39/S39)</f>
        <v>0.23551493389913497</v>
      </c>
      <c r="S161" s="301"/>
      <c r="T161" s="242">
        <f>IF(ISERROR(T39/X39),"",T39/X39)</f>
        <v>0.2297161936560935</v>
      </c>
      <c r="U161" s="242">
        <f>IF(ISERROR(U39/X39),"",U39/X39)</f>
        <v>0.24599332220367279</v>
      </c>
      <c r="V161" s="242">
        <f>IF(ISERROR(V39/X39),"",V39/X39)</f>
        <v>0.23839732888146911</v>
      </c>
      <c r="W161" s="242">
        <f>IF(ISERROR(W39/X39),"",W39/X39)</f>
        <v>0.28589315525876463</v>
      </c>
      <c r="X161" s="301"/>
      <c r="Y161" s="242">
        <f>IF(ISERROR(Y39/AC39),"",Y39/AC39)</f>
        <v>0.2441860465116279</v>
      </c>
      <c r="Z161" s="242">
        <f>IF(ISERROR(Z39/AC39),"",Z39/AC39)</f>
        <v>0.25162448700410395</v>
      </c>
      <c r="AA161" s="242">
        <f>IF(ISERROR(AA39/AC39),"",AA39/AC39)</f>
        <v>0.25701094391244872</v>
      </c>
      <c r="AB161" s="242">
        <f>IF(ISERROR(AB39/AC39),"",AB39/AC39)</f>
        <v>0.24717852257181944</v>
      </c>
      <c r="AC161" s="301"/>
      <c r="AD161" s="242">
        <f>IF(ISERROR(AD39/AH39),"",AD39/AH39)</f>
        <v>0.23733591754030481</v>
      </c>
      <c r="AE161" s="242">
        <f>IF(ISERROR(AE39/AH39),"",AE39/AH39)</f>
        <v>0.2470266936833759</v>
      </c>
      <c r="AF161" s="242">
        <f>IF(ISERROR(AF39/AH39),"",AF39/AH39)</f>
        <v>0.26288432737203771</v>
      </c>
      <c r="AG161" s="242">
        <f>IF(ISERROR(AG39/AH39),"",AG39/AH39)</f>
        <v>0.25275306140428155</v>
      </c>
      <c r="AH161" s="301"/>
      <c r="AI161" s="242">
        <f>IF(ISERROR(AI39/AM39),"",AI39/AM39)</f>
        <v>0.24620759400570011</v>
      </c>
      <c r="AJ161" s="242">
        <f>IF(ISERROR(AJ39/AM39),"",AJ39/AM39)</f>
        <v>0.28528086788636575</v>
      </c>
      <c r="AK161" s="242">
        <f>IF(ISERROR(AK39/AM39),"",AK39/AM39)</f>
        <v>0.24924151880114001</v>
      </c>
      <c r="AL161" s="242">
        <f>IF(ISERROR(AL39/AM39),"",AL39/AM39)</f>
        <v>0.21927001930679416</v>
      </c>
      <c r="AM161" s="301"/>
      <c r="AN161" s="242">
        <f>IF(ISERROR(AN39/AR39),"",AN39/AR39)</f>
        <v>0.24569011105235325</v>
      </c>
      <c r="AO161" s="242">
        <f>IF(ISERROR(AO39/AR39),"",AO39/AR39)</f>
        <v>0.24896879957694343</v>
      </c>
      <c r="AP161" s="242">
        <f>IF(ISERROR(AP39/AR39),"",AP39/AR39)</f>
        <v>0.24791115811739819</v>
      </c>
      <c r="AQ161" s="242">
        <f>IF(ISERROR(AQ39/AR39),"",AQ39/AR39)</f>
        <v>0.25742993125330516</v>
      </c>
      <c r="AR161" s="301"/>
      <c r="AS161" s="242"/>
      <c r="AT161" s="242"/>
      <c r="AU161" s="242"/>
      <c r="AV161" s="242"/>
      <c r="AW161" s="301"/>
      <c r="AX161" s="242"/>
      <c r="AY161" s="242"/>
      <c r="AZ161" s="242"/>
      <c r="BA161" s="242"/>
      <c r="BB161" s="301"/>
      <c r="BC161" s="242"/>
      <c r="BD161" s="242"/>
      <c r="BE161" s="242"/>
      <c r="BF161" s="242"/>
      <c r="BG161" s="301"/>
      <c r="BH161" s="145"/>
      <c r="BI161" s="145"/>
      <c r="BJ161" s="145"/>
      <c r="BK161" s="145"/>
      <c r="BL161" s="144"/>
      <c r="BM161" s="145"/>
      <c r="BN161" s="145"/>
      <c r="BO161" s="145"/>
      <c r="BP161" s="145"/>
      <c r="BQ161" s="144"/>
      <c r="BR161" s="145"/>
      <c r="BS161" s="145"/>
      <c r="BT161" s="145"/>
      <c r="BU161" s="145"/>
      <c r="BV161" s="144"/>
      <c r="BW161" s="145"/>
      <c r="BX161" s="145"/>
      <c r="BY161" s="145"/>
      <c r="BZ161" s="145"/>
      <c r="CA161" s="144"/>
      <c r="CB161" s="145"/>
      <c r="CC161" s="145"/>
      <c r="CD161" s="145"/>
      <c r="CE161" s="145"/>
      <c r="CF161" s="144"/>
      <c r="CG161" s="145"/>
      <c r="CH161" s="145"/>
      <c r="CI161" s="145"/>
      <c r="CJ161" s="145"/>
      <c r="CK161" s="144"/>
      <c r="CL161" s="145"/>
      <c r="CM161" s="145"/>
      <c r="CN161" s="145"/>
      <c r="CO161" s="145"/>
      <c r="CP161" s="144"/>
      <c r="CQ161" s="145"/>
      <c r="CR161" s="145"/>
      <c r="CS161" s="145"/>
      <c r="CT161" s="145"/>
      <c r="CU161" s="144"/>
      <c r="CV161" s="145"/>
      <c r="CW161" s="145"/>
      <c r="CX161" s="145"/>
      <c r="CY161" s="145"/>
      <c r="CZ161" s="144"/>
      <c r="DA161" s="145"/>
      <c r="DB161" s="145"/>
      <c r="DC161" s="145"/>
      <c r="DD161" s="145"/>
      <c r="DE161" s="144"/>
      <c r="DF161" s="145"/>
      <c r="DG161" s="145"/>
      <c r="DH161" s="145"/>
      <c r="DI161" s="145"/>
      <c r="DJ161" s="144"/>
      <c r="DK161" s="145"/>
      <c r="DL161" s="145"/>
      <c r="DM161" s="145"/>
      <c r="DN161" s="145"/>
      <c r="DO161" s="144"/>
      <c r="DP161" s="145"/>
      <c r="DQ161" s="145"/>
      <c r="DR161" s="145"/>
      <c r="DS161" s="145"/>
      <c r="DT161" s="144"/>
      <c r="DU161" s="145"/>
      <c r="DV161" s="145"/>
      <c r="DW161" s="145"/>
      <c r="DX161" s="145"/>
      <c r="DY161" s="144"/>
      <c r="DZ161" s="144"/>
      <c r="EA161" s="144"/>
      <c r="EB161" s="144"/>
    </row>
    <row r="162" spans="2:132" s="241" customFormat="1" ht="12" hidden="1" customHeight="1" outlineLevel="1">
      <c r="B162" s="311" t="s">
        <v>108</v>
      </c>
      <c r="C162" s="229"/>
      <c r="D162" s="229"/>
      <c r="E162" s="229"/>
      <c r="F162" s="229"/>
      <c r="G162" s="229"/>
      <c r="H162" s="229"/>
      <c r="I162" s="229"/>
      <c r="J162" s="230"/>
      <c r="K162" s="230"/>
      <c r="L162" s="230"/>
      <c r="M162" s="230"/>
      <c r="N162" s="229"/>
      <c r="O162" s="230">
        <f>IF(ISERROR(O40/S40),"",O40/S40)</f>
        <v>0.21901909397229502</v>
      </c>
      <c r="P162" s="230">
        <f>IF(ISERROR(P40/S40),"",P40/S40)</f>
        <v>0.22145263946087607</v>
      </c>
      <c r="Q162" s="230">
        <f>IF(ISERROR(Q40/S40),"",Q40/S40)</f>
        <v>0.26226132534631225</v>
      </c>
      <c r="R162" s="230">
        <f>IF(ISERROR(R40/S40),"",R40/S40)</f>
        <v>0.29726694122051667</v>
      </c>
      <c r="S162" s="229"/>
      <c r="T162" s="230">
        <f>IF(ISERROR(T40/X40),"",T40/X40)</f>
        <v>0.2106727778687183</v>
      </c>
      <c r="U162" s="230">
        <f>IF(ISERROR(U40/X40),"",U40/X40)</f>
        <v>0.23178916352921919</v>
      </c>
      <c r="V162" s="230">
        <f>IF(ISERROR(V40/X40),"",V40/X40)</f>
        <v>0.23931903748567687</v>
      </c>
      <c r="W162" s="230">
        <f>IF(ISERROR(W40/X40),"",W40/X40)</f>
        <v>0.31821902111638567</v>
      </c>
      <c r="X162" s="229"/>
      <c r="Y162" s="230">
        <f>IF(ISERROR(Y40/AC40),"",Y40/AC40)</f>
        <v>0.23645320197044334</v>
      </c>
      <c r="Z162" s="230">
        <f>IF(ISERROR(Z40/AC40),"",Z40/AC40)</f>
        <v>0.24123003433348261</v>
      </c>
      <c r="AA162" s="230">
        <f>IF(ISERROR(AA40/AC40),"",AA40/AC40)</f>
        <v>0.24511121062845201</v>
      </c>
      <c r="AB162" s="230">
        <f>IF(ISERROR(AB40/AC40),"",AB40/AC40)</f>
        <v>0.27720555306762201</v>
      </c>
      <c r="AC162" s="229"/>
      <c r="AD162" s="230">
        <f>IF(ISERROR(AD40/AH40),"",AD40/AH40)</f>
        <v>0.23012609649122806</v>
      </c>
      <c r="AE162" s="230">
        <f>IF(ISERROR(AE40/AH40),"",AE40/AH40)</f>
        <v>0.25561951754385964</v>
      </c>
      <c r="AF162" s="230">
        <f>IF(ISERROR(AF40/AH40),"",AF40/AH40)</f>
        <v>0.23793859649122806</v>
      </c>
      <c r="AG162" s="230">
        <f>IF(ISERROR(AG40/AH40),"",AG40/AH40)</f>
        <v>0.27631578947368424</v>
      </c>
      <c r="AH162" s="229"/>
      <c r="AI162" s="230">
        <f>IF(ISERROR(AI40/AM40),"",AI40/AM40)</f>
        <v>0.2328406096023834</v>
      </c>
      <c r="AJ162" s="230">
        <f>IF(ISERROR(AJ40/AM40),"",AJ40/AM40)</f>
        <v>0.25025782055689239</v>
      </c>
      <c r="AK162" s="230">
        <f>IF(ISERROR(AK40/AM40),"",AK40/AM40)</f>
        <v>0.23856995531110348</v>
      </c>
      <c r="AL162" s="230">
        <f>IF(ISERROR(AL40/AM40),"",AL40/AM40)</f>
        <v>0.27833161452962074</v>
      </c>
      <c r="AM162" s="229"/>
      <c r="AN162" s="230">
        <f>IF(ISERROR(AN40/AR40),"",AN40/AR40)</f>
        <v>0.24836363636363637</v>
      </c>
      <c r="AO162" s="230">
        <f>IF(ISERROR(AO40/AR40),"",AO40/AR40)</f>
        <v>0.24836363636363637</v>
      </c>
      <c r="AP162" s="230">
        <f>IF(ISERROR(AP40/AR40),"",AP40/AR40)</f>
        <v>0.24824242424242424</v>
      </c>
      <c r="AQ162" s="230">
        <f>IF(ISERROR(AQ40/AR40),"",AQ40/AR40)</f>
        <v>0.25503030303030305</v>
      </c>
      <c r="AR162" s="301"/>
      <c r="AS162" s="242"/>
      <c r="AT162" s="242"/>
      <c r="AU162" s="242"/>
      <c r="AV162" s="242"/>
      <c r="AW162" s="301"/>
      <c r="AX162" s="242"/>
      <c r="AY162" s="242"/>
      <c r="AZ162" s="242"/>
      <c r="BA162" s="242"/>
      <c r="BB162" s="301"/>
      <c r="BC162" s="242"/>
      <c r="BD162" s="242"/>
      <c r="BE162" s="242"/>
      <c r="BF162" s="242"/>
      <c r="BG162" s="301"/>
      <c r="BH162" s="145"/>
      <c r="BI162" s="145"/>
      <c r="BJ162" s="145"/>
      <c r="BK162" s="145"/>
      <c r="BL162" s="144"/>
      <c r="BM162" s="145"/>
      <c r="BN162" s="145"/>
      <c r="BO162" s="145"/>
      <c r="BP162" s="145"/>
      <c r="BQ162" s="144"/>
      <c r="BR162" s="145"/>
      <c r="BS162" s="145"/>
      <c r="BT162" s="145"/>
      <c r="BU162" s="145"/>
      <c r="BV162" s="144"/>
      <c r="BW162" s="145"/>
      <c r="BX162" s="145"/>
      <c r="BY162" s="145"/>
      <c r="BZ162" s="145"/>
      <c r="CA162" s="144"/>
      <c r="CB162" s="145"/>
      <c r="CC162" s="145"/>
      <c r="CD162" s="145"/>
      <c r="CE162" s="145"/>
      <c r="CF162" s="144"/>
      <c r="CG162" s="145"/>
      <c r="CH162" s="145"/>
      <c r="CI162" s="145"/>
      <c r="CJ162" s="145"/>
      <c r="CK162" s="144"/>
      <c r="CL162" s="145"/>
      <c r="CM162" s="145"/>
      <c r="CN162" s="145"/>
      <c r="CO162" s="145"/>
      <c r="CP162" s="144"/>
      <c r="CQ162" s="145"/>
      <c r="CR162" s="145"/>
      <c r="CS162" s="145"/>
      <c r="CT162" s="145"/>
      <c r="CU162" s="144"/>
      <c r="CV162" s="145"/>
      <c r="CW162" s="145"/>
      <c r="CX162" s="145"/>
      <c r="CY162" s="145"/>
      <c r="CZ162" s="144"/>
      <c r="DA162" s="145"/>
      <c r="DB162" s="145"/>
      <c r="DC162" s="145"/>
      <c r="DD162" s="145"/>
      <c r="DE162" s="144"/>
      <c r="DF162" s="145"/>
      <c r="DG162" s="145"/>
      <c r="DH162" s="145"/>
      <c r="DI162" s="145"/>
      <c r="DJ162" s="144"/>
      <c r="DK162" s="145"/>
      <c r="DL162" s="145"/>
      <c r="DM162" s="145"/>
      <c r="DN162" s="145"/>
      <c r="DO162" s="144"/>
      <c r="DP162" s="145"/>
      <c r="DQ162" s="145"/>
      <c r="DR162" s="145"/>
      <c r="DS162" s="145"/>
      <c r="DT162" s="144"/>
      <c r="DU162" s="145"/>
      <c r="DV162" s="145"/>
      <c r="DW162" s="145"/>
      <c r="DX162" s="145"/>
      <c r="DY162" s="144"/>
      <c r="DZ162" s="144"/>
      <c r="EA162" s="144"/>
      <c r="EB162" s="144"/>
    </row>
    <row r="163" spans="2:132" s="241" customFormat="1" ht="12" hidden="1" customHeight="1" outlineLevel="1">
      <c r="B163" s="241" t="s">
        <v>390</v>
      </c>
      <c r="C163" s="301"/>
      <c r="D163" s="301"/>
      <c r="E163" s="301"/>
      <c r="F163" s="301"/>
      <c r="G163" s="301"/>
      <c r="H163" s="301"/>
      <c r="I163" s="301"/>
      <c r="J163" s="242">
        <f>IF(ISERROR(J69/N69),"",J69/N69)</f>
        <v>0.24345970786148038</v>
      </c>
      <c r="K163" s="242">
        <f>IF(ISERROR(K69/N69),"",K69/N69)</f>
        <v>0.23508944690628591</v>
      </c>
      <c r="L163" s="242">
        <f>IF(ISERROR(L69/N69),"",L69/N69)</f>
        <v>0.2710979812900049</v>
      </c>
      <c r="M163" s="242">
        <f>IF(ISERROR(M69/N69),"",M69/N69)</f>
        <v>0.25035286394222878</v>
      </c>
      <c r="N163" s="301"/>
      <c r="O163" s="242">
        <f>IF(ISERROR(O69/S69),"",O69/S69)</f>
        <v>0.24497418076710728</v>
      </c>
      <c r="P163" s="242">
        <f>IF(ISERROR(P69/S69),"",P69/S69)</f>
        <v>0.25143710824591603</v>
      </c>
      <c r="Q163" s="242">
        <f>IF(ISERROR(Q69/S69),"",Q69/S69)</f>
        <v>0.23971290312104188</v>
      </c>
      <c r="R163" s="242">
        <f>IF(ISERROR(R69/S69),"",R69/S69)</f>
        <v>0.26387580786593484</v>
      </c>
      <c r="S163" s="301"/>
      <c r="T163" s="242">
        <f>IF(ISERROR(T69/X69),"",T69/X69)</f>
        <v>0.22152347482968032</v>
      </c>
      <c r="U163" s="242">
        <f>IF(ISERROR(U69/X69),"",U69/X69)</f>
        <v>0.23964980424797311</v>
      </c>
      <c r="V163" s="242">
        <f>IF(ISERROR(V69/X69),"",V69/X69)</f>
        <v>0.24020469188322699</v>
      </c>
      <c r="W163" s="242">
        <f>IF(ISERROR(W69/X69),"",W69/X69)</f>
        <v>0.29862202903911955</v>
      </c>
      <c r="X163" s="301"/>
      <c r="Y163" s="242">
        <f>IF(ISERROR(Y69/AC69),"",Y69/AC69)</f>
        <v>0.24067955112219452</v>
      </c>
      <c r="Z163" s="242">
        <f>IF(ISERROR(Z69/AC69),"",Z69/AC69)</f>
        <v>0.24878428927680798</v>
      </c>
      <c r="AA163" s="242">
        <f>IF(ISERROR(AA69/AC69),"",AA69/AC69)</f>
        <v>0.24962593516209478</v>
      </c>
      <c r="AB163" s="242">
        <f>IF(ISERROR(AB69/AC69),"",AB69/AC69)</f>
        <v>0.26091022443890272</v>
      </c>
      <c r="AC163" s="301"/>
      <c r="AD163" s="242">
        <f>IF(ISERROR(AD69/AH69),"",AD69/AH69)</f>
        <v>0.23629784446454752</v>
      </c>
      <c r="AE163" s="242">
        <f>IF(ISERROR(AE69/AH69),"",AE69/AH69)</f>
        <v>0.24749664659824688</v>
      </c>
      <c r="AF163" s="242">
        <f>IF(ISERROR(AF69/AH69),"",AF69/AH69)</f>
        <v>0.26505911345415978</v>
      </c>
      <c r="AG163" s="242">
        <f>IF(ISERROR(AG69/AH69),"",AG69/AH69)</f>
        <v>0.25114639548304585</v>
      </c>
      <c r="AH163" s="301"/>
      <c r="AI163" s="242">
        <f>IF(ISERROR(AI69/AM69),"",AI69/AM69)</f>
        <v>0.22934553340661298</v>
      </c>
      <c r="AJ163" s="242">
        <f>IF(ISERROR(AJ69/AM69),"",AJ69/AM69)</f>
        <v>0.25697394610974122</v>
      </c>
      <c r="AK163" s="242">
        <f>IF(ISERROR(AK69/AM69),"",AK69/AM69)</f>
        <v>0.25976649535070262</v>
      </c>
      <c r="AL163" s="242">
        <f>IF(ISERROR(AL69/AM69),"",AL69/AM69)</f>
        <v>0.25391402513294314</v>
      </c>
      <c r="AM163" s="301"/>
      <c r="AN163" s="242">
        <f>IF(ISERROR(AN69/AR69),"",AN69/AR69)</f>
        <v>0.23833077669598973</v>
      </c>
      <c r="AO163" s="242">
        <f>IF(ISERROR(AO69/AR69),"",AO69/AR69)</f>
        <v>0.24991390915067463</v>
      </c>
      <c r="AP163" s="242">
        <f>IF(ISERROR(AP69/AR69),"",AP69/AR69)</f>
        <v>0.25614375606549167</v>
      </c>
      <c r="AQ163" s="242">
        <f>IF(ISERROR(AQ69/AR69),"",AQ69/AR69)</f>
        <v>0.25561155808784397</v>
      </c>
      <c r="AR163" s="301"/>
      <c r="AS163" s="242"/>
      <c r="AT163" s="242"/>
      <c r="AU163" s="242"/>
      <c r="AV163" s="242"/>
      <c r="AW163" s="301"/>
      <c r="AX163" s="242"/>
      <c r="AY163" s="242"/>
      <c r="AZ163" s="242"/>
      <c r="BA163" s="242"/>
      <c r="BB163" s="301"/>
      <c r="BC163" s="242"/>
      <c r="BD163" s="242"/>
      <c r="BE163" s="242"/>
      <c r="BF163" s="242"/>
      <c r="BG163" s="301"/>
      <c r="BH163" s="145"/>
      <c r="BI163" s="145"/>
      <c r="BJ163" s="145"/>
      <c r="BK163" s="145"/>
      <c r="BL163" s="144"/>
      <c r="BM163" s="145"/>
      <c r="BN163" s="145"/>
      <c r="BO163" s="145"/>
      <c r="BP163" s="145"/>
      <c r="BQ163" s="144"/>
      <c r="BR163" s="145"/>
      <c r="BS163" s="145"/>
      <c r="BT163" s="145"/>
      <c r="BU163" s="145"/>
      <c r="BV163" s="144"/>
      <c r="BW163" s="145"/>
      <c r="BX163" s="145"/>
      <c r="BY163" s="145"/>
      <c r="BZ163" s="145"/>
      <c r="CA163" s="144"/>
      <c r="CB163" s="145"/>
      <c r="CC163" s="145"/>
      <c r="CD163" s="145"/>
      <c r="CE163" s="145"/>
      <c r="CF163" s="144"/>
      <c r="CG163" s="145"/>
      <c r="CH163" s="145"/>
      <c r="CI163" s="145"/>
      <c r="CJ163" s="145"/>
      <c r="CK163" s="144"/>
      <c r="CL163" s="145"/>
      <c r="CM163" s="145"/>
      <c r="CN163" s="145"/>
      <c r="CO163" s="145"/>
      <c r="CP163" s="144"/>
      <c r="CQ163" s="145"/>
      <c r="CR163" s="145"/>
      <c r="CS163" s="145"/>
      <c r="CT163" s="145"/>
      <c r="CU163" s="144"/>
      <c r="CV163" s="145"/>
      <c r="CW163" s="145"/>
      <c r="CX163" s="145"/>
      <c r="CY163" s="145"/>
      <c r="CZ163" s="144"/>
      <c r="DA163" s="145"/>
      <c r="DB163" s="145"/>
      <c r="DC163" s="145"/>
      <c r="DD163" s="145"/>
      <c r="DE163" s="144"/>
      <c r="DF163" s="145"/>
      <c r="DG163" s="145"/>
      <c r="DH163" s="145"/>
      <c r="DI163" s="145"/>
      <c r="DJ163" s="144"/>
      <c r="DK163" s="145"/>
      <c r="DL163" s="145"/>
      <c r="DM163" s="145"/>
      <c r="DN163" s="145"/>
      <c r="DO163" s="144"/>
      <c r="DP163" s="145"/>
      <c r="DQ163" s="145"/>
      <c r="DR163" s="145"/>
      <c r="DS163" s="145"/>
      <c r="DT163" s="144"/>
      <c r="DU163" s="145"/>
      <c r="DV163" s="145"/>
      <c r="DW163" s="145"/>
      <c r="DX163" s="145"/>
      <c r="DY163" s="144"/>
      <c r="DZ163" s="144"/>
      <c r="EA163" s="144"/>
      <c r="EB163" s="144"/>
    </row>
    <row r="164" spans="2:132" s="241" customFormat="1" ht="12" hidden="1" customHeight="1" outlineLevel="1">
      <c r="B164" s="241" t="s">
        <v>144</v>
      </c>
      <c r="C164" s="301"/>
      <c r="D164" s="301"/>
      <c r="E164" s="301"/>
      <c r="F164" s="301"/>
      <c r="G164" s="301"/>
      <c r="H164" s="301"/>
      <c r="I164" s="301"/>
      <c r="J164" s="242">
        <f>IF(ISERROR(J79/N79),"",J79/N79)</f>
        <v>0.32012513034410844</v>
      </c>
      <c r="K164" s="242">
        <f>IF(ISERROR(K79/N79),"",K79/N79)</f>
        <v>0.23879040667361837</v>
      </c>
      <c r="L164" s="242">
        <f>IF(ISERROR(L79/N79),"",L79/N79)</f>
        <v>0.26381647549530762</v>
      </c>
      <c r="M164" s="242">
        <f>IF(ISERROR(M79/N79),"",M79/N79)</f>
        <v>0.17726798748696559</v>
      </c>
      <c r="N164" s="301"/>
      <c r="O164" s="242">
        <f>IF(ISERROR(O79/S79),"",O79/S79)</f>
        <v>0.24534161490683229</v>
      </c>
      <c r="P164" s="242">
        <f>IF(ISERROR(P79/S79),"",P79/S79)</f>
        <v>0.27329192546583853</v>
      </c>
      <c r="Q164" s="242">
        <f>IF(ISERROR(Q79/S79),"",Q79/S79)</f>
        <v>0.23809523809523808</v>
      </c>
      <c r="R164" s="242">
        <f>IF(ISERROR(R79/S79),"",R79/S79)</f>
        <v>0.2432712215320911</v>
      </c>
      <c r="S164" s="301"/>
      <c r="T164" s="242">
        <f>IF(ISERROR(T79/X79),"",T79/X79)</f>
        <v>0.23121951219512196</v>
      </c>
      <c r="U164" s="242">
        <f>IF(ISERROR(U79/X79),"",U79/X79)</f>
        <v>0.23707317073170731</v>
      </c>
      <c r="V164" s="242">
        <f>IF(ISERROR(V79/X79),"",V79/X79)</f>
        <v>0.29658536585365852</v>
      </c>
      <c r="W164" s="242">
        <f>IF(ISERROR(W79/X79),"",W79/X79)</f>
        <v>0.23512195121951218</v>
      </c>
      <c r="X164" s="301"/>
      <c r="Y164" s="242">
        <f>IF(ISERROR(Y79/AC79),"",Y79/AC79)</f>
        <v>0.26134969325153373</v>
      </c>
      <c r="Z164" s="242">
        <f>IF(ISERROR(Z79/AC79),"",Z79/AC79)</f>
        <v>0.25644171779141106</v>
      </c>
      <c r="AA164" s="242">
        <f>IF(ISERROR(AA79/AC79),"",AA79/AC79)</f>
        <v>0.24171779141104294</v>
      </c>
      <c r="AB164" s="242">
        <f>IF(ISERROR(AB79/AC79),"",AB79/AC79)</f>
        <v>0.24049079754601227</v>
      </c>
      <c r="AC164" s="301"/>
      <c r="AD164" s="242">
        <f>IF(ISERROR(AD79/AH79),"",AD79/AH79)</f>
        <v>0.26315789473684209</v>
      </c>
      <c r="AE164" s="242">
        <f>IF(ISERROR(AE79/AH79),"",AE79/AH79)</f>
        <v>0.25462304409672831</v>
      </c>
      <c r="AF164" s="242">
        <f>IF(ISERROR(AF79/AH79),"",AF79/AH79)</f>
        <v>0.24324324324324326</v>
      </c>
      <c r="AG164" s="242">
        <f>IF(ISERROR(AG79/AH79),"",AG79/AH79)</f>
        <v>0.23897581792318634</v>
      </c>
      <c r="AH164" s="301"/>
      <c r="AI164" s="242">
        <f>IF(ISERROR(AI79/AM79),"",AI79/AM79)</f>
        <v>0.24696969696969698</v>
      </c>
      <c r="AJ164" s="242">
        <f>IF(ISERROR(AJ79/AM79),"",AJ79/AM79)</f>
        <v>0.25303030303030305</v>
      </c>
      <c r="AK164" s="242">
        <f>IF(ISERROR(AK79/AM79),"",AK79/AM79)</f>
        <v>0.25151515151515152</v>
      </c>
      <c r="AL164" s="242">
        <f>IF(ISERROR(AL79/AM79),"",AL79/AM79)</f>
        <v>0.24848484848484848</v>
      </c>
      <c r="AM164" s="301"/>
      <c r="AN164" s="242">
        <f>IF(ISERROR(AN79/AR79),"",AN79/AR79)</f>
        <v>0.25352112676056338</v>
      </c>
      <c r="AO164" s="242">
        <f>IF(ISERROR(AO79/AR79),"",AO79/AR79)</f>
        <v>0.25352112676056338</v>
      </c>
      <c r="AP164" s="242">
        <f>IF(ISERROR(AP79/AR79),"",AP79/AR79)</f>
        <v>0.26604068857589985</v>
      </c>
      <c r="AQ164" s="242">
        <f>IF(ISERROR(AQ79/AR79),"",AQ79/AR79)</f>
        <v>0.2269170579029734</v>
      </c>
      <c r="AR164" s="301"/>
      <c r="AS164" s="242"/>
      <c r="AT164" s="242"/>
      <c r="AU164" s="242"/>
      <c r="AV164" s="242"/>
      <c r="AW164" s="301"/>
      <c r="AX164" s="242"/>
      <c r="AY164" s="242"/>
      <c r="AZ164" s="242"/>
      <c r="BA164" s="242"/>
      <c r="BB164" s="301"/>
      <c r="BC164" s="242"/>
      <c r="BD164" s="242"/>
      <c r="BE164" s="242"/>
      <c r="BF164" s="242"/>
      <c r="BG164" s="301"/>
      <c r="BH164" s="145"/>
      <c r="BI164" s="145"/>
      <c r="BJ164" s="145"/>
      <c r="BK164" s="145"/>
      <c r="BL164" s="144"/>
      <c r="BM164" s="145"/>
      <c r="BN164" s="145"/>
      <c r="BO164" s="145"/>
      <c r="BP164" s="145"/>
      <c r="BQ164" s="144"/>
      <c r="BR164" s="145"/>
      <c r="BS164" s="145"/>
      <c r="BT164" s="145"/>
      <c r="BU164" s="145"/>
      <c r="BV164" s="144"/>
      <c r="BW164" s="145"/>
      <c r="BX164" s="145"/>
      <c r="BY164" s="145"/>
      <c r="BZ164" s="145"/>
      <c r="CA164" s="144"/>
      <c r="CB164" s="145"/>
      <c r="CC164" s="145"/>
      <c r="CD164" s="145"/>
      <c r="CE164" s="145"/>
      <c r="CF164" s="144"/>
      <c r="CG164" s="145"/>
      <c r="CH164" s="145"/>
      <c r="CI164" s="145"/>
      <c r="CJ164" s="145"/>
      <c r="CK164" s="144"/>
      <c r="CL164" s="145"/>
      <c r="CM164" s="145"/>
      <c r="CN164" s="145"/>
      <c r="CO164" s="145"/>
      <c r="CP164" s="144"/>
      <c r="CQ164" s="145"/>
      <c r="CR164" s="145"/>
      <c r="CS164" s="145"/>
      <c r="CT164" s="145"/>
      <c r="CU164" s="144"/>
      <c r="CV164" s="145"/>
      <c r="CW164" s="145"/>
      <c r="CX164" s="145"/>
      <c r="CY164" s="145"/>
      <c r="CZ164" s="144"/>
      <c r="DA164" s="145"/>
      <c r="DB164" s="145"/>
      <c r="DC164" s="145"/>
      <c r="DD164" s="145"/>
      <c r="DE164" s="144"/>
      <c r="DF164" s="145"/>
      <c r="DG164" s="145"/>
      <c r="DH164" s="145"/>
      <c r="DI164" s="145"/>
      <c r="DJ164" s="144"/>
      <c r="DK164" s="145"/>
      <c r="DL164" s="145"/>
      <c r="DM164" s="145"/>
      <c r="DN164" s="145"/>
      <c r="DO164" s="144"/>
      <c r="DP164" s="145"/>
      <c r="DQ164" s="145"/>
      <c r="DR164" s="145"/>
      <c r="DS164" s="145"/>
      <c r="DT164" s="144"/>
      <c r="DU164" s="145"/>
      <c r="DV164" s="145"/>
      <c r="DW164" s="145"/>
      <c r="DX164" s="145"/>
      <c r="DY164" s="144"/>
      <c r="DZ164" s="144"/>
      <c r="EA164" s="144"/>
      <c r="EB164" s="144"/>
    </row>
    <row r="165" spans="2:132" s="74" customFormat="1" ht="12" hidden="1" customHeight="1" outlineLevel="1">
      <c r="B165" s="32" t="s">
        <v>297</v>
      </c>
      <c r="C165" s="30"/>
      <c r="D165" s="30"/>
      <c r="E165" s="30"/>
      <c r="F165" s="30"/>
      <c r="G165" s="30"/>
      <c r="H165" s="30"/>
      <c r="I165" s="30"/>
      <c r="J165" s="29">
        <f>IF(ISERROR(J82/N82),"",J82/N82)</f>
        <v>0.24704043311664792</v>
      </c>
      <c r="K165" s="29">
        <f>IF(ISERROR(K82/N82),"",K82/N82)</f>
        <v>0.24949959014049602</v>
      </c>
      <c r="L165" s="29">
        <f>IF(ISERROR(L82/N82),"",L82/N82)</f>
        <v>0.25071963703604855</v>
      </c>
      <c r="M165" s="29">
        <f>IF(ISERROR(M82/N82),"",M82/N82)</f>
        <v>0.25274033970680748</v>
      </c>
      <c r="N165" s="30"/>
      <c r="O165" s="29">
        <f>IF(ISERROR(O82/S82),"",O82/S82)</f>
        <v>0.23679460297201205</v>
      </c>
      <c r="P165" s="29">
        <f>IF(ISERROR(P82/S82),"",P82/S82)</f>
        <v>0.27400856960525116</v>
      </c>
      <c r="Q165" s="29">
        <f>IF(ISERROR(Q82/S82),"",Q82/S82)</f>
        <v>0.230267116418999</v>
      </c>
      <c r="R165" s="29">
        <f>IF(ISERROR(R82/S82),"",R82/S82)</f>
        <v>0.25892971100373779</v>
      </c>
      <c r="S165" s="30"/>
      <c r="T165" s="29">
        <f>IF(ISERROR(T82/X82),"",T82/X82)</f>
        <v>0.23182187550788233</v>
      </c>
      <c r="U165" s="29">
        <f>IF(ISERROR(U82/X82),"",U82/X82)</f>
        <v>0.24355598894848041</v>
      </c>
      <c r="V165" s="29">
        <f>IF(ISERROR(V82/X82),"",V82/X82)</f>
        <v>0.23954168698196002</v>
      </c>
      <c r="W165" s="29">
        <f>IF(ISERROR(W82/X82),"",W82/X82)</f>
        <v>0.28508044856167725</v>
      </c>
      <c r="X165" s="30"/>
      <c r="Y165" s="29">
        <f>IF(ISERROR(Y82/AC82),"",Y82/AC82)</f>
        <v>0.23144591561600916</v>
      </c>
      <c r="Z165" s="29">
        <f>IF(ISERROR(Z82/AC82),"",Z82/AC82)</f>
        <v>0.25649600072303314</v>
      </c>
      <c r="AA165" s="29">
        <f>IF(ISERROR(AA82/AC82),"",AA82/AC82)</f>
        <v>0.24879871059092895</v>
      </c>
      <c r="AB165" s="29">
        <f>IF(ISERROR(AB82/AC82),"",AB82/AC82)</f>
        <v>0.26325937307002878</v>
      </c>
      <c r="AC165" s="30"/>
      <c r="AD165" s="29">
        <f>IF(ISERROR(AD82/AH82),"",AD82/AH82)</f>
        <v>0.26247968614061296</v>
      </c>
      <c r="AE165" s="29">
        <f>IF(ISERROR(AE82/AH82),"",AE82/AH82)</f>
        <v>0.27843529933189975</v>
      </c>
      <c r="AF165" s="29">
        <f>IF(ISERROR(AF82/AH82),"",AF82/AH82)</f>
        <v>0.25103826392422723</v>
      </c>
      <c r="AG165" s="29">
        <f>IF(ISERROR(AG82/AH82),"",AG82/AH82)</f>
        <v>0.20804675060326006</v>
      </c>
      <c r="AH165" s="30"/>
      <c r="AI165" s="29">
        <f>IF(ISERROR(AI82/AM82),"",AI82/AM82)</f>
        <v>0.24167777273326402</v>
      </c>
      <c r="AJ165" s="29">
        <f>IF(ISERROR(AJ82/AM82),"",AJ82/AM82)</f>
        <v>0.25122654911322329</v>
      </c>
      <c r="AK165" s="29">
        <f>IF(ISERROR(AK82/AM82),"",AK82/AM82)</f>
        <v>0.24440181016681067</v>
      </c>
      <c r="AL165" s="29">
        <f>IF(ISERROR(AL82/AM82),"",AL82/AM82)</f>
        <v>0.26269386798670202</v>
      </c>
      <c r="AM165" s="30"/>
      <c r="AN165" s="29">
        <f>IF(ISERROR(AN82/AR82),"",AN82/AR82)</f>
        <v>0.23661866699841383</v>
      </c>
      <c r="AO165" s="29">
        <f>IF(ISERROR(AO82/AR82),"",AO82/AR82)</f>
        <v>0.24217024849936242</v>
      </c>
      <c r="AP165" s="29">
        <f>IF(ISERROR(AP82/AR82),"",AP82/AR82)</f>
        <v>0.2638478524554474</v>
      </c>
      <c r="AQ165" s="29">
        <f>IF(ISERROR(AQ82/AR82),"",AQ82/AR82)</f>
        <v>0.25736323204677636</v>
      </c>
      <c r="AR165" s="30"/>
      <c r="AS165" s="29"/>
      <c r="AT165" s="29"/>
      <c r="AU165" s="29"/>
      <c r="AV165" s="29"/>
      <c r="AW165" s="30"/>
      <c r="AX165" s="29"/>
      <c r="AY165" s="29"/>
      <c r="AZ165" s="29"/>
      <c r="BA165" s="29"/>
      <c r="BB165" s="30"/>
      <c r="BC165" s="29"/>
      <c r="BD165" s="29"/>
      <c r="BE165" s="29"/>
      <c r="BF165" s="29"/>
      <c r="BG165" s="30"/>
      <c r="BH165" s="29">
        <f>BH82/$BL$82</f>
        <v>0.22547982635904895</v>
      </c>
      <c r="BI165" s="29">
        <f t="shared" ref="BI165:BK165" si="335">BI82/$BL$82</f>
        <v>0.24288799277230558</v>
      </c>
      <c r="BJ165" s="29">
        <f t="shared" si="335"/>
        <v>0.26204799365373171</v>
      </c>
      <c r="BK165" s="29">
        <f t="shared" si="335"/>
        <v>0.26958418721491373</v>
      </c>
      <c r="BL165" s="30"/>
      <c r="BM165" s="29">
        <f>BM82/BQ82</f>
        <v>0.23044509644796804</v>
      </c>
      <c r="BN165" s="29">
        <f>BN82/BQ82</f>
        <v>0.25535301829077972</v>
      </c>
      <c r="BO165" s="29">
        <f>BO82/BQ82</f>
        <v>0.26894104917077638</v>
      </c>
      <c r="BP165" s="29">
        <f>BP82/BQ82</f>
        <v>0.24526083609047589</v>
      </c>
      <c r="BQ165" s="30"/>
      <c r="BR165" s="29">
        <f>BR82/BV82</f>
        <v>0.2393122627443931</v>
      </c>
      <c r="BS165" s="29">
        <f>BS82/BV82</f>
        <v>0.26176100495923699</v>
      </c>
      <c r="BT165" s="29">
        <f>BT82/BV82</f>
        <v>0.25269903035814362</v>
      </c>
      <c r="BU165" s="29">
        <f>BU82/BV82</f>
        <v>0.2462277019382263</v>
      </c>
      <c r="BV165" s="30"/>
      <c r="BW165" s="29">
        <f>BW82/CA82</f>
        <v>0.23361523323227487</v>
      </c>
      <c r="BX165" s="29">
        <f>BX82/CA82</f>
        <v>0.24521036115100261</v>
      </c>
      <c r="BY165" s="29">
        <f>BY82/CA82</f>
        <v>0.2576777830966438</v>
      </c>
      <c r="BZ165" s="29">
        <f>BZ82/CA82</f>
        <v>0.26349662252007872</v>
      </c>
      <c r="CA165" s="30"/>
      <c r="CB165" s="29">
        <f>CB82/CF82</f>
        <v>0.23121421578806847</v>
      </c>
      <c r="CC165" s="29">
        <f>CC82/CF82</f>
        <v>0.23987659082144233</v>
      </c>
      <c r="CD165" s="29">
        <f>CD82/CF82</f>
        <v>0.24865762852650627</v>
      </c>
      <c r="CE165" s="29">
        <f>CE82/CF82</f>
        <v>0.28025156486398289</v>
      </c>
      <c r="CF165" s="30"/>
      <c r="CG165" s="29">
        <f>CG82/CK82</f>
        <v>0.2993377656447968</v>
      </c>
      <c r="CH165" s="29">
        <f>CH82/CK82</f>
        <v>0.20573675204744055</v>
      </c>
      <c r="CI165" s="29">
        <f>CI82/CK82</f>
        <v>0.26097519560077848</v>
      </c>
      <c r="CJ165" s="29">
        <f>CJ82/CK82</f>
        <v>0.23395028670698415</v>
      </c>
      <c r="CK165" s="30"/>
      <c r="CL165" s="29">
        <f>CL82/CP82</f>
        <v>0.29072526565562778</v>
      </c>
      <c r="CM165" s="29">
        <f>CM82/CP82</f>
        <v>0.20301592214312733</v>
      </c>
      <c r="CN165" s="29">
        <f>CN82/CP82</f>
        <v>0.24311358712472919</v>
      </c>
      <c r="CO165" s="29">
        <f>CO82/CP82</f>
        <v>0.26314522507651572</v>
      </c>
      <c r="CP165" s="30"/>
      <c r="CQ165" s="29">
        <f>CQ82/CU82</f>
        <v>0.24430851234627365</v>
      </c>
      <c r="CR165" s="29">
        <f>CR82/CU82</f>
        <v>0.27290241787881708</v>
      </c>
      <c r="CS165" s="29">
        <f>CS82/CU82</f>
        <v>0.24528786565199243</v>
      </c>
      <c r="CT165" s="29">
        <f>CT82/CU82</f>
        <v>0.23750120412291686</v>
      </c>
      <c r="CU165" s="30"/>
      <c r="CV165" s="29">
        <f>CV82/CZ82</f>
        <v>0.21004984386259909</v>
      </c>
      <c r="CW165" s="29">
        <f>CW82/CZ82</f>
        <v>0.25043538313716068</v>
      </c>
      <c r="CX165" s="29">
        <f>CX82/CZ82</f>
        <v>0.23955080470814316</v>
      </c>
      <c r="CY165" s="29">
        <f>CY82/CZ82</f>
        <v>0.29996396829209704</v>
      </c>
      <c r="CZ165" s="30"/>
      <c r="DA165" s="29">
        <f>DA82/DE82</f>
        <v>0.230364809625421</v>
      </c>
      <c r="DB165" s="29">
        <f>DB82/DE82</f>
        <v>0.25388847468956477</v>
      </c>
      <c r="DC165" s="29">
        <f>DC82/DE82</f>
        <v>0.23271717613183537</v>
      </c>
      <c r="DD165" s="29">
        <f>DD82/DE82</f>
        <v>0.28302953955317889</v>
      </c>
      <c r="DE165" s="30"/>
      <c r="DF165" s="29">
        <f>DF82/DJ82</f>
        <v>0.2490942165160786</v>
      </c>
      <c r="DG165" s="29">
        <f>DG82/DJ82</f>
        <v>0.25355924049491108</v>
      </c>
      <c r="DH165" s="29">
        <f>DH82/DJ82</f>
        <v>0.26820211374535835</v>
      </c>
      <c r="DI165" s="29">
        <f>DI82/DJ82</f>
        <v>0.229144429243652</v>
      </c>
      <c r="DJ165" s="30"/>
      <c r="DK165" s="29">
        <f>DK82/DO82</f>
        <v>0.2179224930977052</v>
      </c>
      <c r="DL165" s="29">
        <f>DL82/DO82</f>
        <v>0.25428389390027162</v>
      </c>
      <c r="DM165" s="29">
        <f>DM82/DO82</f>
        <v>0.2601075304874641</v>
      </c>
      <c r="DN165" s="29">
        <f>DN82/DO82</f>
        <v>0.26768608251455911</v>
      </c>
      <c r="DO165" s="30"/>
      <c r="DP165" s="29">
        <f>DP82/DT82</f>
        <v>0.22864114978142755</v>
      </c>
      <c r="DQ165" s="29">
        <f>DQ82/DT82</f>
        <v>0.25275359583345458</v>
      </c>
      <c r="DR165" s="29">
        <f>DR82/DT82</f>
        <v>0.25006197404108449</v>
      </c>
      <c r="DS165" s="29">
        <f>DS82/DT82</f>
        <v>0.26854328034403352</v>
      </c>
      <c r="DT165" s="30"/>
      <c r="DU165" s="29">
        <f>DU82/DY82</f>
        <v>0.22489162757853598</v>
      </c>
      <c r="DV165" s="29">
        <f>DV82/DY82</f>
        <v>0.24197303569403894</v>
      </c>
      <c r="DW165" s="29">
        <f>DW82/DY82</f>
        <v>0.25556100562265205</v>
      </c>
      <c r="DX165" s="29">
        <f>DX82/DY82</f>
        <v>0.27757433110477303</v>
      </c>
      <c r="DY165" s="30"/>
      <c r="DZ165" s="30"/>
      <c r="EA165" s="30"/>
      <c r="EB165" s="30"/>
    </row>
    <row r="166" spans="2:132" s="241" customFormat="1" ht="12" customHeight="1" collapsed="1">
      <c r="C166" s="285"/>
      <c r="D166" s="285"/>
      <c r="E166" s="285"/>
      <c r="F166" s="285"/>
      <c r="G166" s="285"/>
      <c r="H166" s="285"/>
      <c r="I166" s="285"/>
      <c r="N166" s="285"/>
      <c r="S166" s="285"/>
      <c r="X166" s="285"/>
      <c r="AC166" s="285"/>
      <c r="AH166" s="285"/>
      <c r="AM166" s="285"/>
      <c r="AR166" s="285"/>
      <c r="AW166" s="285"/>
      <c r="BB166" s="285"/>
      <c r="BG166" s="285"/>
      <c r="BH166" s="121"/>
      <c r="BI166" s="121"/>
      <c r="BJ166" s="121"/>
      <c r="BK166" s="121"/>
      <c r="BL166" s="120"/>
      <c r="BM166" s="121"/>
      <c r="BN166" s="121"/>
      <c r="BO166" s="121"/>
      <c r="BP166" s="121"/>
      <c r="BQ166" s="120"/>
      <c r="BR166" s="121"/>
      <c r="BS166" s="121"/>
      <c r="BT166" s="121"/>
      <c r="BU166" s="121"/>
      <c r="BV166" s="120"/>
      <c r="BW166" s="121"/>
      <c r="BX166" s="121"/>
      <c r="BY166" s="121"/>
      <c r="BZ166" s="121"/>
      <c r="CA166" s="120"/>
      <c r="CB166" s="121"/>
      <c r="CC166" s="121"/>
      <c r="CD166" s="121"/>
      <c r="CE166" s="121"/>
      <c r="CF166" s="120"/>
      <c r="CG166" s="121"/>
      <c r="CH166" s="121"/>
      <c r="CI166" s="121"/>
      <c r="CJ166" s="121"/>
      <c r="CK166" s="120"/>
      <c r="CL166" s="121"/>
      <c r="CM166" s="121"/>
      <c r="CN166" s="121"/>
      <c r="CO166" s="121"/>
      <c r="CP166" s="120"/>
      <c r="CQ166" s="121"/>
      <c r="CR166" s="121"/>
      <c r="CS166" s="121"/>
      <c r="CT166" s="121"/>
      <c r="CU166" s="120"/>
      <c r="CV166" s="121"/>
      <c r="CW166" s="121"/>
      <c r="CX166" s="121"/>
      <c r="CY166" s="121"/>
      <c r="CZ166" s="120"/>
      <c r="DA166" s="121"/>
      <c r="DB166" s="121"/>
      <c r="DC166" s="121"/>
      <c r="DD166" s="121"/>
      <c r="DE166" s="120"/>
      <c r="DF166" s="121"/>
      <c r="DG166" s="121"/>
      <c r="DH166" s="121"/>
      <c r="DI166" s="121"/>
      <c r="DJ166" s="120"/>
      <c r="DK166" s="121"/>
      <c r="DL166" s="121"/>
      <c r="DM166" s="121"/>
      <c r="DN166" s="121"/>
      <c r="DO166" s="120"/>
      <c r="DP166" s="121"/>
      <c r="DQ166" s="121"/>
      <c r="DR166" s="121"/>
      <c r="DS166" s="121"/>
      <c r="DT166" s="120"/>
      <c r="DU166" s="121"/>
      <c r="DV166" s="121"/>
      <c r="DW166" s="121"/>
      <c r="DX166" s="121"/>
      <c r="DY166" s="120"/>
      <c r="DZ166" s="120"/>
      <c r="EA166" s="120"/>
      <c r="EB166" s="120"/>
    </row>
    <row r="167" spans="2:132" s="241" customFormat="1" ht="12" customHeight="1">
      <c r="B167" s="164" t="s">
        <v>111</v>
      </c>
      <c r="C167" s="285"/>
      <c r="D167" s="285"/>
      <c r="E167" s="285"/>
      <c r="F167" s="285"/>
      <c r="G167" s="285"/>
      <c r="H167" s="285"/>
      <c r="I167" s="285"/>
      <c r="N167" s="285"/>
      <c r="S167" s="285"/>
      <c r="X167" s="285"/>
      <c r="AC167" s="285"/>
      <c r="AH167" s="285"/>
      <c r="AM167" s="285"/>
      <c r="AR167" s="285"/>
      <c r="AW167" s="285"/>
      <c r="BB167" s="285"/>
      <c r="BG167" s="285"/>
      <c r="BH167" s="121"/>
      <c r="BI167" s="121"/>
      <c r="BJ167" s="121"/>
      <c r="BK167" s="121"/>
      <c r="BL167" s="120"/>
      <c r="BM167" s="121"/>
      <c r="BN167" s="121"/>
      <c r="BO167" s="121"/>
      <c r="BP167" s="121"/>
      <c r="BQ167" s="120"/>
      <c r="BR167" s="121"/>
      <c r="BS167" s="121"/>
      <c r="BT167" s="121"/>
      <c r="BU167" s="121"/>
      <c r="BV167" s="120"/>
      <c r="BW167" s="121"/>
      <c r="BX167" s="121"/>
      <c r="BY167" s="121"/>
      <c r="BZ167" s="121"/>
      <c r="CA167" s="120"/>
      <c r="CB167" s="121"/>
      <c r="CC167" s="121"/>
      <c r="CD167" s="121"/>
      <c r="CE167" s="121"/>
      <c r="CF167" s="120"/>
      <c r="CG167" s="121"/>
      <c r="CH167" s="121"/>
      <c r="CI167" s="121"/>
      <c r="CJ167" s="121"/>
      <c r="CK167" s="120"/>
      <c r="CL167" s="121"/>
      <c r="CM167" s="121"/>
      <c r="CN167" s="121"/>
      <c r="CO167" s="121"/>
      <c r="CP167" s="120"/>
      <c r="CQ167" s="121"/>
      <c r="CR167" s="121"/>
      <c r="CS167" s="121"/>
      <c r="CT167" s="121"/>
      <c r="CU167" s="120"/>
      <c r="CV167" s="121"/>
      <c r="CW167" s="121"/>
      <c r="CX167" s="121"/>
      <c r="CY167" s="121"/>
      <c r="CZ167" s="120"/>
      <c r="DA167" s="121"/>
      <c r="DB167" s="121"/>
      <c r="DC167" s="121"/>
      <c r="DD167" s="121"/>
      <c r="DE167" s="120"/>
      <c r="DF167" s="121"/>
      <c r="DG167" s="121"/>
      <c r="DH167" s="121"/>
      <c r="DI167" s="121"/>
      <c r="DJ167" s="120"/>
      <c r="DK167" s="121"/>
      <c r="DL167" s="121"/>
      <c r="DM167" s="121"/>
      <c r="DN167" s="121"/>
      <c r="DO167" s="120"/>
      <c r="DP167" s="121"/>
      <c r="DQ167" s="121"/>
      <c r="DR167" s="121"/>
      <c r="DS167" s="121"/>
      <c r="DT167" s="120"/>
      <c r="DU167" s="121"/>
      <c r="DV167" s="121"/>
      <c r="DW167" s="121"/>
      <c r="DX167" s="121"/>
      <c r="DY167" s="120"/>
      <c r="DZ167" s="120"/>
      <c r="EA167" s="120"/>
      <c r="EB167" s="120"/>
    </row>
    <row r="168" spans="2:132" s="241" customFormat="1" ht="12" customHeight="1">
      <c r="B168" s="241" t="s">
        <v>105</v>
      </c>
      <c r="C168" s="314">
        <f>Data!C170</f>
        <v>-1837</v>
      </c>
      <c r="D168" s="314">
        <f>Data!D170</f>
        <v>63</v>
      </c>
      <c r="E168" s="314">
        <f>Data!E170</f>
        <v>2016</v>
      </c>
      <c r="F168" s="314">
        <f>Data!F170</f>
        <v>2736</v>
      </c>
      <c r="G168" s="314">
        <f>Data!G170</f>
        <v>2632</v>
      </c>
      <c r="H168" s="314">
        <f>Data!H170</f>
        <v>2847</v>
      </c>
      <c r="I168" s="314">
        <f>Data!I170</f>
        <v>707</v>
      </c>
      <c r="J168" s="315">
        <f>Data!J170</f>
        <v>352</v>
      </c>
      <c r="K168" s="315">
        <f>Data!K170</f>
        <v>382</v>
      </c>
      <c r="L168" s="315">
        <f>Data!L170</f>
        <v>168</v>
      </c>
      <c r="M168" s="315">
        <f>Data!M170</f>
        <v>-149</v>
      </c>
      <c r="N168" s="314">
        <f>SUM(J168:M168)</f>
        <v>753</v>
      </c>
      <c r="O168" s="315">
        <f>Data!O170</f>
        <v>389</v>
      </c>
      <c r="P168" s="315">
        <f>Data!P170</f>
        <v>475</v>
      </c>
      <c r="Q168" s="315">
        <f>Data!Q170</f>
        <v>238</v>
      </c>
      <c r="R168" s="315">
        <f>Data!R170</f>
        <v>330</v>
      </c>
      <c r="S168" s="314">
        <f t="shared" ref="S168:S175" si="336">SUM(O168:R168)</f>
        <v>1432</v>
      </c>
      <c r="T168" s="315">
        <f>Data!T170</f>
        <v>703</v>
      </c>
      <c r="U168" s="315">
        <f>Data!U170</f>
        <v>719</v>
      </c>
      <c r="V168" s="315">
        <f>Data!V170</f>
        <v>646</v>
      </c>
      <c r="W168" s="315">
        <f>Data!W170</f>
        <v>665</v>
      </c>
      <c r="X168" s="314">
        <f>SUM(T168:W168)</f>
        <v>2733</v>
      </c>
      <c r="Y168" s="315">
        <f>Data!Y170</f>
        <v>706</v>
      </c>
      <c r="Z168" s="315">
        <f>Data!Z170</f>
        <v>960</v>
      </c>
      <c r="AA168" s="315">
        <f>Data!AA170</f>
        <v>945</v>
      </c>
      <c r="AB168" s="315">
        <f>Data!AB170</f>
        <v>973</v>
      </c>
      <c r="AC168" s="314">
        <f>SUM(Y168:AB168)</f>
        <v>3584</v>
      </c>
      <c r="AD168" s="315">
        <f>Data!AD170</f>
        <v>983</v>
      </c>
      <c r="AE168" s="315">
        <f>Data!AE170</f>
        <v>777</v>
      </c>
      <c r="AF168" s="315">
        <f>Data!AF170</f>
        <v>394</v>
      </c>
      <c r="AG168" s="315">
        <f>Data!AG170</f>
        <v>-968</v>
      </c>
      <c r="AH168" s="314">
        <f>SUM(AD168:AG168)</f>
        <v>1186</v>
      </c>
      <c r="AI168" s="315">
        <f>Data!AI170</f>
        <v>417</v>
      </c>
      <c r="AJ168" s="315">
        <f>Data!AJ170</f>
        <v>817</v>
      </c>
      <c r="AK168" s="315">
        <f>Data!AK170</f>
        <v>-2837</v>
      </c>
      <c r="AL168" s="315">
        <f>Data!AL170</f>
        <v>1020</v>
      </c>
      <c r="AM168" s="285">
        <f>SUM(AI168:AL168)</f>
        <v>-583</v>
      </c>
      <c r="AN168" s="241">
        <f>Data!AN170</f>
        <v>679</v>
      </c>
      <c r="AO168" s="241">
        <f>Data!AO170</f>
        <v>683</v>
      </c>
      <c r="AP168" s="241">
        <f>Data!AP170</f>
        <v>1017</v>
      </c>
      <c r="AQ168" s="241">
        <f>Data!AQ170</f>
        <v>627</v>
      </c>
      <c r="AR168" s="285">
        <f>SUM(AN168:AQ168)</f>
        <v>3006</v>
      </c>
      <c r="AS168" s="241">
        <f>Data!AS170</f>
        <v>509</v>
      </c>
      <c r="AT168" s="241">
        <f>Data!AT170</f>
        <v>920</v>
      </c>
      <c r="AU168" s="241">
        <f>Data!AU170</f>
        <v>1085</v>
      </c>
      <c r="AV168" s="241">
        <f>Data!AV170</f>
        <v>981</v>
      </c>
      <c r="AW168" s="285">
        <f>SUM(AS168:AV168)</f>
        <v>3495</v>
      </c>
      <c r="AX168" s="121">
        <f>Data!AX170</f>
        <v>1081</v>
      </c>
      <c r="AY168" s="121">
        <f>Data!AY170</f>
        <v>1211</v>
      </c>
      <c r="AZ168" s="121">
        <f>Data!AZ170</f>
        <v>1153</v>
      </c>
      <c r="BA168" s="121">
        <f>Data!BA170</f>
        <v>1266</v>
      </c>
      <c r="BB168" s="285">
        <f>SUM(AX168:BA168)</f>
        <v>4711</v>
      </c>
      <c r="BC168" s="121">
        <f>Data!BC170</f>
        <v>1219</v>
      </c>
      <c r="BD168" s="121">
        <f>Data!BD170</f>
        <v>1453</v>
      </c>
      <c r="BE168" s="121">
        <f>Data!BE170</f>
        <v>1617</v>
      </c>
      <c r="BF168" s="121">
        <f>Data!BF170</f>
        <v>1506.3</v>
      </c>
      <c r="BG168" s="120">
        <f>SUM(BC168:BF168)</f>
        <v>5795.3</v>
      </c>
      <c r="BH168" s="121">
        <f>Data!BH170</f>
        <v>1502</v>
      </c>
      <c r="BI168" s="121">
        <f>Data!BI170</f>
        <v>1550</v>
      </c>
      <c r="BJ168" s="121">
        <f>Data!BJ170</f>
        <v>1797</v>
      </c>
      <c r="BK168" s="121">
        <f>Data!BK170</f>
        <v>1562</v>
      </c>
      <c r="BL168" s="120">
        <f>SUM(BH168:BK168)</f>
        <v>6411</v>
      </c>
      <c r="BM168" s="121">
        <f>Data!BM170</f>
        <v>1617</v>
      </c>
      <c r="BN168" s="121">
        <f>Data!BN170</f>
        <v>1206</v>
      </c>
      <c r="BO168" s="121">
        <f>Data!BO170</f>
        <v>1768</v>
      </c>
      <c r="BP168" s="121">
        <f>Data!BP170</f>
        <v>566</v>
      </c>
      <c r="BQ168" s="120">
        <f>SUM(BM168:BP168)</f>
        <v>5157</v>
      </c>
      <c r="BR168" s="121">
        <f>Data!BR168</f>
        <v>792</v>
      </c>
      <c r="BS168" s="121">
        <f>Data!BS168</f>
        <v>-1281</v>
      </c>
      <c r="BT168" s="121">
        <f>Data!BT168</f>
        <v>1293</v>
      </c>
      <c r="BU168" s="121">
        <f>Data!BU168</f>
        <v>1191</v>
      </c>
      <c r="BV168" s="120">
        <f>SUM(BR168:BU168)</f>
        <v>1995</v>
      </c>
      <c r="BW168" s="121">
        <f>Data!BW168</f>
        <v>870</v>
      </c>
      <c r="BX168" s="121">
        <f>Data!BX168</f>
        <v>1282</v>
      </c>
      <c r="BY168" s="121">
        <f>Data!BY168</f>
        <v>1513</v>
      </c>
      <c r="BZ168" s="121">
        <f>Data!BZ168</f>
        <v>1787</v>
      </c>
      <c r="CA168" s="120">
        <f>SUM(BW168:BZ168)</f>
        <v>5452</v>
      </c>
      <c r="CB168" s="121">
        <f>Data!CB168</f>
        <v>1412</v>
      </c>
      <c r="CC168" s="121">
        <f>Data!CC168</f>
        <v>1785</v>
      </c>
      <c r="CD168" s="121">
        <f>Data!CD168</f>
        <v>2033</v>
      </c>
      <c r="CE168" s="121">
        <f>Data!CE168</f>
        <v>2600</v>
      </c>
      <c r="CF168" s="120">
        <f>SUM(CB168:CE168)</f>
        <v>7830</v>
      </c>
      <c r="CG168" s="121">
        <f>Data!CG168</f>
        <v>1173</v>
      </c>
      <c r="CH168" s="121">
        <f>Data!CH168</f>
        <v>-4946</v>
      </c>
      <c r="CI168" s="121">
        <f>Data!CI168</f>
        <v>-40</v>
      </c>
      <c r="CJ168" s="121">
        <f>Data!CJ168</f>
        <v>-2844</v>
      </c>
      <c r="CK168" s="120">
        <f>SUM(CG168:CJ168)</f>
        <v>-6657</v>
      </c>
      <c r="CL168" s="121">
        <f>Data!CL168</f>
        <v>-2068</v>
      </c>
      <c r="CM168" s="121">
        <f>Data!CM168</f>
        <v>-2762</v>
      </c>
      <c r="CN168" s="121">
        <f>Data!CN168</f>
        <v>-1369</v>
      </c>
      <c r="CO168" s="121">
        <f>Data!CO168</f>
        <v>-7648</v>
      </c>
      <c r="CP168" s="120">
        <f>SUM(CL168:CO168)</f>
        <v>-13847</v>
      </c>
      <c r="CQ168" s="121">
        <f>Data!CQ168</f>
        <v>-856</v>
      </c>
      <c r="CR168" s="121">
        <f>Data!CR168</f>
        <v>-472</v>
      </c>
      <c r="CS168" s="121">
        <f>Data!CS168</f>
        <v>-693</v>
      </c>
      <c r="CT168" s="121">
        <f>Data!CT168</f>
        <v>-4454</v>
      </c>
      <c r="CU168" s="120">
        <f>SUM(CQ168:CT168)</f>
        <v>-6475</v>
      </c>
      <c r="CV168" s="121">
        <f>Data!CV168</f>
        <v>-859</v>
      </c>
      <c r="CW168" s="121">
        <f>Data!CW168</f>
        <v>-242</v>
      </c>
      <c r="CX168" s="121">
        <f>Data!CX168</f>
        <v>-643</v>
      </c>
      <c r="CY168" s="121">
        <f>Data!CY168</f>
        <v>-626</v>
      </c>
      <c r="CZ168" s="120">
        <f>SUM(CV168:CY168)</f>
        <v>-2370</v>
      </c>
      <c r="DA168" s="121">
        <f>Data!DA168</f>
        <v>-615</v>
      </c>
      <c r="DB168" s="121">
        <f>Data!DB168</f>
        <v>-383</v>
      </c>
      <c r="DC168" s="121">
        <f>Data!DC168</f>
        <v>-678</v>
      </c>
      <c r="DD168" s="121">
        <f>Data!DD168</f>
        <v>41</v>
      </c>
      <c r="DE168" s="120">
        <f>SUM(DA168:DD168)</f>
        <v>-1635</v>
      </c>
      <c r="DF168" s="121">
        <f>Data!DF168</f>
        <v>-1143</v>
      </c>
      <c r="DG168" s="121">
        <f>Data!DG168</f>
        <v>-715</v>
      </c>
      <c r="DH168" s="121">
        <f>Data!DH168</f>
        <v>-4021</v>
      </c>
      <c r="DI168" s="121">
        <f>Data!DI168</f>
        <v>-2090</v>
      </c>
      <c r="DJ168" s="120">
        <f>SUM(DF168:DI168)</f>
        <v>-7969</v>
      </c>
      <c r="DK168" s="121">
        <f>Data!DK168</f>
        <v>-537</v>
      </c>
      <c r="DL168" s="121">
        <f>Data!DL168</f>
        <v>-557</v>
      </c>
      <c r="DM168" s="121">
        <f>Data!DM168</f>
        <v>-5353</v>
      </c>
      <c r="DN168" s="121">
        <f>Data!DN168</f>
        <v>-632</v>
      </c>
      <c r="DO168" s="120">
        <f>SUM(DK168:DN168)</f>
        <v>-7079</v>
      </c>
      <c r="DP168" s="121">
        <f>Data!DP168</f>
        <v>-563</v>
      </c>
      <c r="DQ168" s="121">
        <f>Data!DQ168</f>
        <v>-322</v>
      </c>
      <c r="DR168" s="124">
        <f>DR36*DR221</f>
        <v>-346.84190386488649</v>
      </c>
      <c r="DS168" s="124">
        <f>DS36*DS221</f>
        <v>0</v>
      </c>
      <c r="DT168" s="120">
        <f>SUM(DP168:DS168)</f>
        <v>-1231.8419038648865</v>
      </c>
      <c r="DU168" s="124">
        <f>DU36*DU221</f>
        <v>-385.26517635912001</v>
      </c>
      <c r="DV168" s="124">
        <f>DV36*DV221</f>
        <v>256.11741797600246</v>
      </c>
      <c r="DW168" s="124">
        <f>DW36*DW221</f>
        <v>672.35279949689493</v>
      </c>
      <c r="DX168" s="124">
        <f>DX36*DX221</f>
        <v>1085.1467597728974</v>
      </c>
      <c r="DY168" s="120">
        <f>SUM(DU168:DX168)</f>
        <v>1628.3518008866749</v>
      </c>
      <c r="DZ168" s="125">
        <f>DZ36*DZ221</f>
        <v>4848.3362414717967</v>
      </c>
      <c r="EA168" s="125">
        <f>EA36*EA221</f>
        <v>8269.9049999999988</v>
      </c>
      <c r="EB168" s="125">
        <f>EB36*EB221</f>
        <v>12228.624</v>
      </c>
    </row>
    <row r="169" spans="2:132" s="241" customFormat="1" ht="12" hidden="1" customHeight="1">
      <c r="B169" s="324" t="s">
        <v>106</v>
      </c>
      <c r="C169" s="331">
        <f>Data!C171</f>
        <v>0</v>
      </c>
      <c r="D169" s="331">
        <f>Data!D171</f>
        <v>0</v>
      </c>
      <c r="E169" s="331">
        <f>Data!E171</f>
        <v>0</v>
      </c>
      <c r="F169" s="331">
        <f>Data!F171</f>
        <v>0</v>
      </c>
      <c r="G169" s="331">
        <f>Data!G171</f>
        <v>0</v>
      </c>
      <c r="H169" s="331">
        <f>Data!H171</f>
        <v>0</v>
      </c>
      <c r="I169" s="331">
        <f>Data!I171</f>
        <v>0</v>
      </c>
      <c r="J169" s="332">
        <f>Data!J171</f>
        <v>0</v>
      </c>
      <c r="K169" s="332">
        <f>Data!K171</f>
        <v>0</v>
      </c>
      <c r="L169" s="332">
        <f>Data!L171</f>
        <v>0</v>
      </c>
      <c r="M169" s="332">
        <f>Data!M171</f>
        <v>0</v>
      </c>
      <c r="N169" s="331">
        <f>Data!N171</f>
        <v>1697</v>
      </c>
      <c r="O169" s="332">
        <f>Data!O171</f>
        <v>384</v>
      </c>
      <c r="P169" s="332">
        <f>Data!P171</f>
        <v>443</v>
      </c>
      <c r="Q169" s="332">
        <f>Data!Q171</f>
        <v>407</v>
      </c>
      <c r="R169" s="332">
        <f>Data!R171</f>
        <v>521</v>
      </c>
      <c r="S169" s="331">
        <f t="shared" si="336"/>
        <v>1755</v>
      </c>
      <c r="T169" s="332">
        <f>Data!T171</f>
        <v>475</v>
      </c>
      <c r="U169" s="332">
        <f>Data!U171</f>
        <v>-5</v>
      </c>
      <c r="V169" s="332">
        <f>Data!V171</f>
        <v>472</v>
      </c>
      <c r="W169" s="332">
        <f>Data!W171</f>
        <v>296</v>
      </c>
      <c r="X169" s="331">
        <f>SUM(T169:W169)</f>
        <v>1238</v>
      </c>
      <c r="Y169" s="332">
        <f>Data!Y171</f>
        <v>422</v>
      </c>
      <c r="Z169" s="332">
        <f>Data!Z171</f>
        <v>406</v>
      </c>
      <c r="AA169" s="332">
        <f>Data!AA171</f>
        <v>404</v>
      </c>
      <c r="AB169" s="332">
        <f>Data!AB171</f>
        <v>397</v>
      </c>
      <c r="AC169" s="331">
        <f>SUM(Y169:AB169)</f>
        <v>1629</v>
      </c>
      <c r="AD169" s="332">
        <f>Data!AD171</f>
        <v>384</v>
      </c>
      <c r="AE169" s="332">
        <f>Data!AE171</f>
        <v>157</v>
      </c>
      <c r="AF169" s="332">
        <f>Data!AF171</f>
        <v>373</v>
      </c>
      <c r="AG169" s="332">
        <f>Data!AG171</f>
        <v>362</v>
      </c>
      <c r="AH169" s="331">
        <f>SUM(AD169:AG169)</f>
        <v>1276</v>
      </c>
      <c r="AI169" s="332">
        <f>Data!AI171</f>
        <v>282</v>
      </c>
      <c r="AJ169" s="332">
        <f>Data!AJ171</f>
        <v>392</v>
      </c>
      <c r="AK169" s="332">
        <f>Data!AK171</f>
        <v>486</v>
      </c>
      <c r="AL169" s="332">
        <f>Data!AL171</f>
        <v>353</v>
      </c>
      <c r="AM169" s="333">
        <f>SUM(AI169:AL169)</f>
        <v>1513</v>
      </c>
      <c r="AN169" s="334">
        <f>Data!AN171</f>
        <v>267</v>
      </c>
      <c r="AO169" s="334">
        <f>Data!AO171</f>
        <v>356</v>
      </c>
      <c r="AP169" s="334">
        <f>Data!AP171</f>
        <v>312</v>
      </c>
      <c r="AQ169" s="334">
        <f>Data!AQ171</f>
        <v>323</v>
      </c>
      <c r="AR169" s="333">
        <f>SUM(AN169:AQ169)</f>
        <v>1258</v>
      </c>
      <c r="AS169" s="334">
        <f>Data!AS171</f>
        <v>369</v>
      </c>
      <c r="AT169" s="334">
        <f>Data!AT171</f>
        <v>386</v>
      </c>
      <c r="AU169" s="581">
        <f>Data!AU171</f>
        <v>397</v>
      </c>
      <c r="AV169" s="581">
        <f>Data!AV171</f>
        <v>374</v>
      </c>
      <c r="AW169" s="333">
        <f>SUM(AS169:AV169)</f>
        <v>1526</v>
      </c>
      <c r="AX169" s="581">
        <f>Data!AX171</f>
        <v>437</v>
      </c>
      <c r="AY169" s="581">
        <f>Data!AY171</f>
        <v>363</v>
      </c>
      <c r="AZ169" s="581">
        <f>Data!AZ171</f>
        <v>445</v>
      </c>
      <c r="BA169" s="581">
        <f>Data!BA171</f>
        <v>336</v>
      </c>
      <c r="BB169" s="333">
        <f>SUM(AX169:BA169)</f>
        <v>1581</v>
      </c>
      <c r="BC169" s="581">
        <f>Data!BC171</f>
        <v>430</v>
      </c>
      <c r="BD169" s="581">
        <f>Data!BD171</f>
        <v>373</v>
      </c>
      <c r="BE169" s="581">
        <f>Data!BE171</f>
        <v>221</v>
      </c>
      <c r="BF169" s="581">
        <f>Data!BF171</f>
        <v>441</v>
      </c>
      <c r="BG169" s="572">
        <f>SUM(BC169:BF169)</f>
        <v>1465</v>
      </c>
      <c r="BH169" s="581">
        <f>Data!BH171</f>
        <v>332</v>
      </c>
      <c r="BI169" s="581">
        <f>Data!BI171</f>
        <v>165</v>
      </c>
      <c r="BJ169" s="581">
        <f>Data!BJ171</f>
        <v>440</v>
      </c>
      <c r="BK169" s="581">
        <f>Data!BK171</f>
        <v>367</v>
      </c>
      <c r="BL169" s="572">
        <f>SUM(BH169:BK169)</f>
        <v>1304</v>
      </c>
      <c r="BM169" s="581">
        <f>Data!BM171</f>
        <v>261</v>
      </c>
      <c r="BN169" s="581">
        <f>Data!BN171</f>
        <v>123</v>
      </c>
      <c r="BO169" s="581">
        <f>Data!BO171</f>
        <v>496</v>
      </c>
      <c r="BP169" s="581">
        <f>Data!BP171</f>
        <v>438</v>
      </c>
      <c r="BQ169" s="572">
        <f>SUM(BM169:BP169)</f>
        <v>1318</v>
      </c>
      <c r="BR169" s="581">
        <f>Data!BR171</f>
        <v>334</v>
      </c>
      <c r="BS169" s="581">
        <f>Data!BS171</f>
        <v>175</v>
      </c>
      <c r="BT169" s="581">
        <f>Data!BT171</f>
        <v>434</v>
      </c>
      <c r="BU169" s="581">
        <f>Data!BU171</f>
        <v>288</v>
      </c>
      <c r="BV169" s="572">
        <f>SUM(BR169:BU169)</f>
        <v>1231</v>
      </c>
      <c r="BW169" s="581">
        <f>Data!BW171</f>
        <v>321</v>
      </c>
      <c r="BX169" s="581">
        <f>Data!BX171</f>
        <v>382</v>
      </c>
      <c r="BY169" s="851"/>
      <c r="BZ169" s="851"/>
      <c r="CA169" s="572"/>
      <c r="CB169" s="851"/>
      <c r="CC169" s="851"/>
      <c r="CD169" s="851"/>
      <c r="CE169" s="581"/>
      <c r="CF169" s="572"/>
      <c r="CG169" s="851"/>
      <c r="CH169" s="851"/>
      <c r="CI169" s="851"/>
      <c r="CJ169" s="851"/>
      <c r="CK169" s="572"/>
      <c r="CL169" s="851"/>
      <c r="CM169" s="851"/>
      <c r="CN169" s="851"/>
      <c r="CO169" s="851"/>
      <c r="CP169" s="572"/>
      <c r="CQ169" s="851"/>
      <c r="CR169" s="851"/>
      <c r="CS169" s="851"/>
      <c r="CT169" s="851"/>
      <c r="CU169" s="572"/>
      <c r="CV169" s="851"/>
      <c r="CW169" s="851"/>
      <c r="CX169" s="851"/>
      <c r="CY169" s="851"/>
      <c r="CZ169" s="572"/>
      <c r="DA169" s="851"/>
      <c r="DB169" s="581"/>
      <c r="DC169" s="851"/>
      <c r="DD169" s="851"/>
      <c r="DE169" s="572"/>
      <c r="DF169" s="851"/>
      <c r="DG169" s="851"/>
      <c r="DH169" s="851"/>
      <c r="DI169" s="851"/>
      <c r="DJ169" s="572"/>
      <c r="DK169" s="851"/>
      <c r="DL169" s="851"/>
      <c r="DM169" s="851"/>
      <c r="DN169" s="851"/>
      <c r="DO169" s="572"/>
      <c r="DP169" s="851"/>
      <c r="DQ169" s="851"/>
      <c r="DR169" s="851"/>
      <c r="DS169" s="851"/>
      <c r="DT169" s="572"/>
      <c r="DU169" s="851"/>
      <c r="DV169" s="851"/>
      <c r="DW169" s="851"/>
      <c r="DX169" s="851"/>
      <c r="DY169" s="572"/>
      <c r="DZ169" s="852"/>
      <c r="EA169" s="852"/>
      <c r="EB169" s="852"/>
    </row>
    <row r="170" spans="2:132" s="241" customFormat="1" ht="12" hidden="1" customHeight="1">
      <c r="B170" s="311" t="s">
        <v>107</v>
      </c>
      <c r="C170" s="314">
        <f>Data!C172</f>
        <v>0</v>
      </c>
      <c r="D170" s="314">
        <f>Data!D172</f>
        <v>0</v>
      </c>
      <c r="E170" s="314">
        <f>Data!E172</f>
        <v>0</v>
      </c>
      <c r="F170" s="314">
        <f>Data!F172</f>
        <v>0</v>
      </c>
      <c r="G170" s="314">
        <f>Data!G172</f>
        <v>0</v>
      </c>
      <c r="H170" s="314">
        <f>Data!H172</f>
        <v>0</v>
      </c>
      <c r="I170" s="314">
        <f>Data!I172</f>
        <v>0</v>
      </c>
      <c r="J170" s="315">
        <f>Data!J172</f>
        <v>0</v>
      </c>
      <c r="K170" s="315">
        <f>Data!K172</f>
        <v>0</v>
      </c>
      <c r="L170" s="315">
        <f>Data!L172</f>
        <v>0</v>
      </c>
      <c r="M170" s="315">
        <f>Data!M172</f>
        <v>0</v>
      </c>
      <c r="N170" s="314">
        <f>Data!N172</f>
        <v>577</v>
      </c>
      <c r="O170" s="315">
        <f>Data!O172</f>
        <v>296</v>
      </c>
      <c r="P170" s="315">
        <f>Data!P172</f>
        <v>200</v>
      </c>
      <c r="Q170" s="315">
        <f>Data!Q172</f>
        <v>712</v>
      </c>
      <c r="R170" s="315">
        <f>Data!R172</f>
        <v>191</v>
      </c>
      <c r="S170" s="314">
        <f t="shared" si="336"/>
        <v>1399</v>
      </c>
      <c r="T170" s="315">
        <f>Data!T172</f>
        <v>152</v>
      </c>
      <c r="U170" s="315">
        <f>Data!U172</f>
        <v>109</v>
      </c>
      <c r="V170" s="315">
        <f>Data!V172</f>
        <v>228</v>
      </c>
      <c r="W170" s="315">
        <f>Data!W172</f>
        <v>469</v>
      </c>
      <c r="X170" s="314">
        <f>SUM(T170:W170)</f>
        <v>958</v>
      </c>
      <c r="Y170" s="315">
        <f>Data!Y172</f>
        <v>162</v>
      </c>
      <c r="Z170" s="315">
        <f>Data!Z172</f>
        <v>256</v>
      </c>
      <c r="AA170" s="315">
        <f>Data!AA172</f>
        <v>178</v>
      </c>
      <c r="AB170" s="315">
        <f>Data!AB172</f>
        <v>295</v>
      </c>
      <c r="AC170" s="314">
        <f>SUM(Y170:AB170)</f>
        <v>891</v>
      </c>
      <c r="AD170" s="315">
        <f>Data!AD172</f>
        <v>267</v>
      </c>
      <c r="AE170" s="315">
        <f>Data!AE172</f>
        <v>237</v>
      </c>
      <c r="AF170" s="315">
        <f>Data!AF172</f>
        <v>301</v>
      </c>
      <c r="AG170" s="315">
        <f>Data!AG172</f>
        <v>228</v>
      </c>
      <c r="AH170" s="314">
        <f>SUM(AD170:AG170)</f>
        <v>1033</v>
      </c>
      <c r="AI170" s="315">
        <f>Data!AI172</f>
        <v>207</v>
      </c>
      <c r="AJ170" s="315">
        <f>Data!AJ172</f>
        <v>239</v>
      </c>
      <c r="AK170" s="315">
        <f>Data!AK172</f>
        <v>252</v>
      </c>
      <c r="AL170" s="315">
        <f>Data!AL172</f>
        <v>141</v>
      </c>
      <c r="AM170" s="285">
        <f>SUM(AI170:AL170)</f>
        <v>839</v>
      </c>
      <c r="AN170" s="241">
        <f>Data!AN172</f>
        <v>174</v>
      </c>
      <c r="AO170" s="241">
        <f>Data!AO172</f>
        <v>167</v>
      </c>
      <c r="AP170" s="241">
        <f>Data!AP172</f>
        <v>152</v>
      </c>
      <c r="AQ170" s="241">
        <f>Data!AQ172</f>
        <v>218</v>
      </c>
      <c r="AR170" s="285">
        <f>SUM(AN170:AQ170)</f>
        <v>711</v>
      </c>
      <c r="AS170" s="241">
        <f>Data!AS172</f>
        <v>143</v>
      </c>
      <c r="AT170" s="241">
        <f>Data!AT172</f>
        <v>198</v>
      </c>
      <c r="AU170" s="121">
        <f>Data!AU172</f>
        <v>179</v>
      </c>
      <c r="AV170" s="121">
        <f>Data!AV172</f>
        <v>170</v>
      </c>
      <c r="AW170" s="285">
        <f>SUM(AS170:AV170)</f>
        <v>690</v>
      </c>
      <c r="AX170" s="121">
        <f>Data!AX172</f>
        <v>73</v>
      </c>
      <c r="AY170" s="121">
        <f>Data!AY172</f>
        <v>126</v>
      </c>
      <c r="AZ170" s="121">
        <f>Data!AZ172</f>
        <v>161</v>
      </c>
      <c r="BA170" s="121">
        <f>Data!BA172</f>
        <v>118</v>
      </c>
      <c r="BB170" s="285">
        <f>SUM(AX170:BA170)</f>
        <v>478</v>
      </c>
      <c r="BC170" s="121">
        <f>Data!BC172</f>
        <v>156</v>
      </c>
      <c r="BD170" s="121">
        <f>Data!BD172</f>
        <v>137</v>
      </c>
      <c r="BE170" s="121">
        <f>Data!BE172</f>
        <v>193</v>
      </c>
      <c r="BF170" s="121">
        <f>Data!BF172</f>
        <v>233</v>
      </c>
      <c r="BG170" s="120">
        <f>SUM(BC170:BF170)</f>
        <v>719</v>
      </c>
      <c r="BH170" s="121">
        <f>Data!BH172</f>
        <v>168</v>
      </c>
      <c r="BI170" s="121">
        <f>Data!BI172</f>
        <v>150</v>
      </c>
      <c r="BJ170" s="121">
        <f>Data!BJ172</f>
        <v>189</v>
      </c>
      <c r="BK170" s="121">
        <f>Data!BK172</f>
        <v>191</v>
      </c>
      <c r="BL170" s="120">
        <f>SUM(BH170:BK170)</f>
        <v>698</v>
      </c>
      <c r="BM170" s="121">
        <f>Data!BM172</f>
        <v>167</v>
      </c>
      <c r="BN170" s="121">
        <f>Data!BN172</f>
        <v>151</v>
      </c>
      <c r="BO170" s="121">
        <f>Data!BO172</f>
        <v>245</v>
      </c>
      <c r="BP170" s="121">
        <f>Data!BP172</f>
        <v>163</v>
      </c>
      <c r="BQ170" s="120">
        <f>SUM(BM170:BP170)</f>
        <v>726</v>
      </c>
      <c r="BR170" s="121">
        <f>Data!BR172</f>
        <v>148</v>
      </c>
      <c r="BS170" s="121">
        <f>Data!BS172</f>
        <v>153</v>
      </c>
      <c r="BT170" s="121">
        <f>Data!BT172</f>
        <v>35</v>
      </c>
      <c r="BU170" s="121">
        <f>Data!BU172</f>
        <v>157</v>
      </c>
      <c r="BV170" s="120">
        <f>SUM(BR170:BU170)</f>
        <v>493</v>
      </c>
      <c r="BW170" s="121">
        <f>Data!BW172</f>
        <v>98</v>
      </c>
      <c r="BX170" s="121">
        <f>Data!BX172</f>
        <v>152</v>
      </c>
      <c r="BY170" s="124"/>
      <c r="BZ170" s="124"/>
      <c r="CA170" s="120"/>
      <c r="CB170" s="124"/>
      <c r="CC170" s="124"/>
      <c r="CD170" s="124"/>
      <c r="CE170" s="121"/>
      <c r="CF170" s="120"/>
      <c r="CG170" s="124"/>
      <c r="CH170" s="124"/>
      <c r="CI170" s="124"/>
      <c r="CJ170" s="124"/>
      <c r="CK170" s="120"/>
      <c r="CL170" s="124"/>
      <c r="CM170" s="124"/>
      <c r="CN170" s="124"/>
      <c r="CO170" s="124"/>
      <c r="CP170" s="120"/>
      <c r="CQ170" s="124"/>
      <c r="CR170" s="124"/>
      <c r="CS170" s="124"/>
      <c r="CT170" s="124"/>
      <c r="CU170" s="120"/>
      <c r="CV170" s="124"/>
      <c r="CW170" s="124"/>
      <c r="CX170" s="124"/>
      <c r="CY170" s="124"/>
      <c r="CZ170" s="120"/>
      <c r="DA170" s="124"/>
      <c r="DB170" s="121"/>
      <c r="DC170" s="124"/>
      <c r="DD170" s="124"/>
      <c r="DE170" s="120"/>
      <c r="DF170" s="124"/>
      <c r="DG170" s="124"/>
      <c r="DH170" s="124"/>
      <c r="DI170" s="124"/>
      <c r="DJ170" s="120"/>
      <c r="DK170" s="124"/>
      <c r="DL170" s="124"/>
      <c r="DM170" s="124"/>
      <c r="DN170" s="124"/>
      <c r="DO170" s="120"/>
      <c r="DP170" s="124"/>
      <c r="DQ170" s="124"/>
      <c r="DR170" s="124"/>
      <c r="DS170" s="124"/>
      <c r="DT170" s="120"/>
      <c r="DU170" s="124"/>
      <c r="DV170" s="124"/>
      <c r="DW170" s="124"/>
      <c r="DX170" s="124"/>
      <c r="DY170" s="120"/>
      <c r="DZ170" s="125"/>
      <c r="EA170" s="125"/>
      <c r="EB170" s="125"/>
    </row>
    <row r="171" spans="2:132" s="241" customFormat="1" ht="12" hidden="1" customHeight="1">
      <c r="B171" s="312" t="s">
        <v>108</v>
      </c>
      <c r="C171" s="314">
        <f>Data!C173</f>
        <v>0</v>
      </c>
      <c r="D171" s="314">
        <f>Data!D173</f>
        <v>0</v>
      </c>
      <c r="E171" s="314">
        <f>Data!E173</f>
        <v>0</v>
      </c>
      <c r="F171" s="314">
        <f>Data!F173</f>
        <v>0</v>
      </c>
      <c r="G171" s="314">
        <f>Data!G173</f>
        <v>0</v>
      </c>
      <c r="H171" s="314">
        <f>Data!H173</f>
        <v>0</v>
      </c>
      <c r="I171" s="314">
        <f>Data!I173</f>
        <v>0</v>
      </c>
      <c r="J171" s="315">
        <f>Data!J173</f>
        <v>0</v>
      </c>
      <c r="K171" s="315">
        <f>Data!K173</f>
        <v>0</v>
      </c>
      <c r="L171" s="315">
        <f>Data!L173</f>
        <v>0</v>
      </c>
      <c r="M171" s="315">
        <f>Data!M173</f>
        <v>0</v>
      </c>
      <c r="N171" s="314">
        <f>Data!N173</f>
        <v>662</v>
      </c>
      <c r="O171" s="315">
        <f>Data!O173</f>
        <v>170</v>
      </c>
      <c r="P171" s="315">
        <f>Data!P173</f>
        <v>178</v>
      </c>
      <c r="Q171" s="315">
        <f>Data!Q173</f>
        <v>192</v>
      </c>
      <c r="R171" s="315">
        <f>Data!R173</f>
        <v>225</v>
      </c>
      <c r="S171" s="314">
        <f t="shared" si="336"/>
        <v>765</v>
      </c>
      <c r="T171" s="315">
        <f>Data!T173</f>
        <v>190</v>
      </c>
      <c r="U171" s="315">
        <f>Data!U173</f>
        <v>205</v>
      </c>
      <c r="V171" s="315">
        <f>Data!V173</f>
        <v>179</v>
      </c>
      <c r="W171" s="315">
        <f>Data!W173</f>
        <v>262</v>
      </c>
      <c r="X171" s="314">
        <f>SUM(T171:W171)</f>
        <v>836</v>
      </c>
      <c r="Y171" s="315">
        <f>Data!Y173</f>
        <v>200</v>
      </c>
      <c r="Z171" s="315">
        <f>Data!Z173</f>
        <v>192</v>
      </c>
      <c r="AA171" s="315">
        <f>Data!AA173</f>
        <v>242</v>
      </c>
      <c r="AB171" s="315">
        <f>Data!AB173</f>
        <v>286</v>
      </c>
      <c r="AC171" s="314">
        <f>SUM(Y171:AB171)</f>
        <v>920</v>
      </c>
      <c r="AD171" s="315">
        <f>Data!AD173</f>
        <v>209</v>
      </c>
      <c r="AE171" s="315">
        <f>Data!AE173</f>
        <v>243</v>
      </c>
      <c r="AF171" s="315">
        <f>Data!AF173</f>
        <v>180</v>
      </c>
      <c r="AG171" s="315">
        <f>Data!AG173</f>
        <v>291</v>
      </c>
      <c r="AH171" s="314">
        <f>SUM(AD171:AG171)</f>
        <v>923</v>
      </c>
      <c r="AI171" s="315">
        <f>Data!AI173</f>
        <v>220</v>
      </c>
      <c r="AJ171" s="315">
        <f>Data!AJ173</f>
        <v>245</v>
      </c>
      <c r="AK171" s="315">
        <f>Data!AK173</f>
        <v>147</v>
      </c>
      <c r="AL171" s="315">
        <f>Data!AL173</f>
        <v>335</v>
      </c>
      <c r="AM171" s="69">
        <f>SUM(AI171:AL171)</f>
        <v>947</v>
      </c>
      <c r="AN171" s="271">
        <f>Data!AN173</f>
        <v>223</v>
      </c>
      <c r="AO171" s="271">
        <f>Data!AO173</f>
        <v>188</v>
      </c>
      <c r="AP171" s="271">
        <f>Data!AP173</f>
        <v>220</v>
      </c>
      <c r="AQ171" s="271">
        <f>Data!AQ173</f>
        <v>275</v>
      </c>
      <c r="AR171" s="69">
        <f>SUM(AN171:AQ171)</f>
        <v>906</v>
      </c>
      <c r="AS171" s="271">
        <f>Data!AS173</f>
        <v>159</v>
      </c>
      <c r="AT171" s="271">
        <f>Data!AT173</f>
        <v>214</v>
      </c>
      <c r="AU171" s="271">
        <f>Data!AU173</f>
        <v>248</v>
      </c>
      <c r="AV171" s="271">
        <f>Data!AV173</f>
        <v>321</v>
      </c>
      <c r="AW171" s="69">
        <f>SUM(AS171:AV171)</f>
        <v>942</v>
      </c>
      <c r="AX171" s="271">
        <f>Data!AX173</f>
        <v>232</v>
      </c>
      <c r="AY171" s="271">
        <f>Data!AY173</f>
        <v>259</v>
      </c>
      <c r="AZ171" s="271">
        <f>Data!AZ173</f>
        <v>221</v>
      </c>
      <c r="BA171" s="271">
        <f>Data!BA173</f>
        <v>297</v>
      </c>
      <c r="BB171" s="69">
        <f>SUM(AX171:BA171)</f>
        <v>1009</v>
      </c>
      <c r="BC171" s="271">
        <f>Data!BC173</f>
        <v>246</v>
      </c>
      <c r="BD171" s="271">
        <f>Data!BD173</f>
        <v>266</v>
      </c>
      <c r="BE171" s="271">
        <f>Data!BE173</f>
        <v>259</v>
      </c>
      <c r="BF171" s="271">
        <f>Data!BF173</f>
        <v>280</v>
      </c>
      <c r="BG171" s="69">
        <f>SUM(BC171:BF171)</f>
        <v>1051</v>
      </c>
      <c r="BH171" s="271">
        <f>Data!BH173</f>
        <v>278</v>
      </c>
      <c r="BI171" s="271">
        <f>Data!BI173</f>
        <v>267</v>
      </c>
      <c r="BJ171" s="271">
        <f>Data!BJ173</f>
        <v>227</v>
      </c>
      <c r="BK171" s="271">
        <f>Data!BK173</f>
        <v>359</v>
      </c>
      <c r="BL171" s="69">
        <f>SUM(BH171:BK171)</f>
        <v>1131</v>
      </c>
      <c r="BM171" s="271">
        <f>Data!BM173</f>
        <v>315</v>
      </c>
      <c r="BN171" s="271">
        <f>Data!BN173</f>
        <v>272</v>
      </c>
      <c r="BO171" s="271">
        <f>Data!BO173</f>
        <v>281</v>
      </c>
      <c r="BP171" s="271">
        <f>Data!BP173</f>
        <v>362</v>
      </c>
      <c r="BQ171" s="69">
        <f>SUM(BM171:BP171)</f>
        <v>1230</v>
      </c>
      <c r="BR171" s="271">
        <f>Data!BR173</f>
        <v>340</v>
      </c>
      <c r="BS171" s="271">
        <f>Data!BS173</f>
        <v>265</v>
      </c>
      <c r="BT171" s="271">
        <f>Data!BT173</f>
        <v>315</v>
      </c>
      <c r="BU171" s="271">
        <f>Data!BU173</f>
        <v>364</v>
      </c>
      <c r="BV171" s="69">
        <f>SUM(BR171:BU171)</f>
        <v>1284</v>
      </c>
      <c r="BW171" s="271">
        <f>Data!BW173</f>
        <v>318</v>
      </c>
      <c r="BX171" s="271">
        <f>Data!BX173</f>
        <v>356</v>
      </c>
      <c r="BY171" s="251"/>
      <c r="BZ171" s="251"/>
      <c r="CA171" s="69"/>
      <c r="CB171" s="251"/>
      <c r="CC171" s="251"/>
      <c r="CD171" s="251"/>
      <c r="CE171" s="271"/>
      <c r="CF171" s="69"/>
      <c r="CG171" s="251"/>
      <c r="CH171" s="251"/>
      <c r="CI171" s="251"/>
      <c r="CJ171" s="251"/>
      <c r="CK171" s="69"/>
      <c r="CL171" s="251"/>
      <c r="CM171" s="251"/>
      <c r="CN171" s="251"/>
      <c r="CO171" s="251"/>
      <c r="CP171" s="69"/>
      <c r="CQ171" s="251"/>
      <c r="CR171" s="251"/>
      <c r="CS171" s="251"/>
      <c r="CT171" s="251"/>
      <c r="CU171" s="69"/>
      <c r="CV171" s="251"/>
      <c r="CW171" s="251"/>
      <c r="CX171" s="251"/>
      <c r="CY171" s="251"/>
      <c r="CZ171" s="69"/>
      <c r="DA171" s="251"/>
      <c r="DB171" s="271"/>
      <c r="DC171" s="251"/>
      <c r="DD171" s="251"/>
      <c r="DE171" s="69"/>
      <c r="DF171" s="251"/>
      <c r="DG171" s="251"/>
      <c r="DH171" s="251"/>
      <c r="DI171" s="251"/>
      <c r="DJ171" s="69"/>
      <c r="DK171" s="251"/>
      <c r="DL171" s="251"/>
      <c r="DM171" s="251"/>
      <c r="DN171" s="251"/>
      <c r="DO171" s="69"/>
      <c r="DP171" s="251"/>
      <c r="DQ171" s="251"/>
      <c r="DR171" s="251"/>
      <c r="DS171" s="251"/>
      <c r="DT171" s="69"/>
      <c r="DU171" s="251"/>
      <c r="DV171" s="251"/>
      <c r="DW171" s="251"/>
      <c r="DX171" s="251"/>
      <c r="DY171" s="69"/>
      <c r="DZ171" s="197"/>
      <c r="EA171" s="197"/>
      <c r="EB171" s="197"/>
    </row>
    <row r="172" spans="2:132" s="241" customFormat="1" ht="12" hidden="1" customHeight="1">
      <c r="B172" s="330" t="s">
        <v>130</v>
      </c>
      <c r="C172" s="331"/>
      <c r="D172" s="331"/>
      <c r="E172" s="331"/>
      <c r="F172" s="331"/>
      <c r="G172" s="331">
        <f>Data!G174</f>
        <v>1032</v>
      </c>
      <c r="H172" s="331">
        <f>Data!H174</f>
        <v>1269</v>
      </c>
      <c r="I172" s="331">
        <f>Data!I174</f>
        <v>1422</v>
      </c>
      <c r="J172" s="332">
        <f>Data!J174</f>
        <v>476</v>
      </c>
      <c r="K172" s="332">
        <f>Data!K174</f>
        <v>384</v>
      </c>
      <c r="L172" s="332">
        <f>Data!L174</f>
        <v>484</v>
      </c>
      <c r="M172" s="332">
        <f>Data!M174</f>
        <v>292</v>
      </c>
      <c r="N172" s="331">
        <f>SUM(J172:M172)</f>
        <v>1636</v>
      </c>
      <c r="O172" s="332">
        <f>Data!O174</f>
        <v>370</v>
      </c>
      <c r="P172" s="332">
        <f>Data!P174</f>
        <v>441</v>
      </c>
      <c r="Q172" s="332">
        <f>Data!Q174</f>
        <v>385</v>
      </c>
      <c r="R172" s="332">
        <f>Data!R174</f>
        <v>511</v>
      </c>
      <c r="S172" s="331">
        <f t="shared" si="336"/>
        <v>1707</v>
      </c>
      <c r="T172" s="332"/>
      <c r="U172" s="332"/>
      <c r="V172" s="332"/>
      <c r="W172" s="332"/>
      <c r="X172" s="331"/>
      <c r="Y172" s="332"/>
      <c r="Z172" s="332"/>
      <c r="AA172" s="332"/>
      <c r="AB172" s="332"/>
      <c r="AC172" s="331"/>
      <c r="AD172" s="332"/>
      <c r="AE172" s="332"/>
      <c r="AF172" s="332"/>
      <c r="AG172" s="332"/>
      <c r="AH172" s="331"/>
      <c r="AI172" s="332"/>
      <c r="AJ172" s="332"/>
      <c r="AK172" s="332"/>
      <c r="AL172" s="332"/>
      <c r="AM172" s="333"/>
      <c r="AN172" s="334"/>
      <c r="AO172" s="334"/>
      <c r="AP172" s="334"/>
      <c r="AQ172" s="334"/>
      <c r="AR172" s="333"/>
      <c r="AS172" s="334"/>
      <c r="AT172" s="334"/>
      <c r="AU172" s="334"/>
      <c r="AV172" s="334"/>
      <c r="AW172" s="333"/>
      <c r="AX172" s="334"/>
      <c r="AY172" s="334"/>
      <c r="AZ172" s="581"/>
      <c r="BA172" s="581"/>
      <c r="BB172" s="333"/>
      <c r="BC172" s="334"/>
      <c r="BD172" s="334"/>
      <c r="BE172" s="334"/>
      <c r="BF172" s="334"/>
      <c r="BG172" s="572"/>
      <c r="BH172" s="581"/>
      <c r="BI172" s="581"/>
      <c r="BJ172" s="581"/>
      <c r="BK172" s="581"/>
      <c r="BL172" s="572"/>
      <c r="BM172" s="581"/>
      <c r="BN172" s="581"/>
      <c r="BO172" s="581"/>
      <c r="BP172" s="581"/>
      <c r="BQ172" s="572"/>
      <c r="BR172" s="581"/>
      <c r="BS172" s="581"/>
      <c r="BT172" s="581"/>
      <c r="BU172" s="581"/>
      <c r="BV172" s="572"/>
      <c r="BW172" s="581"/>
      <c r="BX172" s="581"/>
      <c r="BY172" s="581"/>
      <c r="BZ172" s="581"/>
      <c r="CA172" s="572"/>
      <c r="CB172" s="581"/>
      <c r="CC172" s="581"/>
      <c r="CD172" s="581"/>
      <c r="CE172" s="581"/>
      <c r="CF172" s="572"/>
      <c r="CG172" s="581"/>
      <c r="CH172" s="581"/>
      <c r="CI172" s="581"/>
      <c r="CJ172" s="581"/>
      <c r="CK172" s="572"/>
      <c r="CL172" s="581"/>
      <c r="CM172" s="581"/>
      <c r="CN172" s="581"/>
      <c r="CO172" s="581"/>
      <c r="CP172" s="572"/>
      <c r="CQ172" s="581"/>
      <c r="CR172" s="581"/>
      <c r="CS172" s="581"/>
      <c r="CT172" s="581"/>
      <c r="CU172" s="572"/>
      <c r="CV172" s="581"/>
      <c r="CW172" s="581"/>
      <c r="CX172" s="581"/>
      <c r="CY172" s="581"/>
      <c r="CZ172" s="572"/>
      <c r="DA172" s="581"/>
      <c r="DB172" s="581"/>
      <c r="DC172" s="581"/>
      <c r="DD172" s="581"/>
      <c r="DE172" s="572"/>
      <c r="DF172" s="581"/>
      <c r="DG172" s="581"/>
      <c r="DH172" s="581"/>
      <c r="DI172" s="581"/>
      <c r="DJ172" s="572"/>
      <c r="DK172" s="581"/>
      <c r="DL172" s="581"/>
      <c r="DM172" s="581"/>
      <c r="DN172" s="581"/>
      <c r="DO172" s="572"/>
      <c r="DP172" s="581"/>
      <c r="DQ172" s="581"/>
      <c r="DR172" s="581"/>
      <c r="DS172" s="581"/>
      <c r="DT172" s="572"/>
      <c r="DU172" s="581"/>
      <c r="DV172" s="581"/>
      <c r="DW172" s="581"/>
      <c r="DX172" s="581"/>
      <c r="DY172" s="572"/>
      <c r="DZ172" s="572"/>
      <c r="EA172" s="572"/>
      <c r="EB172" s="572"/>
    </row>
    <row r="173" spans="2:132" s="241" customFormat="1" ht="12" hidden="1" customHeight="1">
      <c r="B173" s="335" t="s">
        <v>131</v>
      </c>
      <c r="C173" s="314"/>
      <c r="D173" s="314"/>
      <c r="E173" s="314"/>
      <c r="F173" s="314"/>
      <c r="G173" s="314">
        <f>Data!G175</f>
        <v>482</v>
      </c>
      <c r="H173" s="314">
        <f>Data!H175</f>
        <v>546</v>
      </c>
      <c r="I173" s="314">
        <f>Data!I175</f>
        <v>626</v>
      </c>
      <c r="J173" s="315">
        <f>Data!J175</f>
        <v>181</v>
      </c>
      <c r="K173" s="315">
        <f>Data!K175</f>
        <v>225</v>
      </c>
      <c r="L173" s="315">
        <f>Data!L175</f>
        <v>303</v>
      </c>
      <c r="M173" s="315">
        <f>Data!M175</f>
        <v>284</v>
      </c>
      <c r="N173" s="314">
        <f>SUM(J173:M173)</f>
        <v>993</v>
      </c>
      <c r="O173" s="315">
        <f>Data!O175</f>
        <v>213</v>
      </c>
      <c r="P173" s="315">
        <f>Data!P175</f>
        <v>167</v>
      </c>
      <c r="Q173" s="315">
        <f>Data!Q175</f>
        <v>93</v>
      </c>
      <c r="R173" s="315">
        <f>Data!R175</f>
        <v>165</v>
      </c>
      <c r="S173" s="314">
        <f t="shared" si="336"/>
        <v>638</v>
      </c>
      <c r="T173" s="315"/>
      <c r="U173" s="315"/>
      <c r="V173" s="315"/>
      <c r="W173" s="315"/>
      <c r="X173" s="314"/>
      <c r="Y173" s="315"/>
      <c r="Z173" s="315"/>
      <c r="AA173" s="315"/>
      <c r="AB173" s="315"/>
      <c r="AC173" s="314"/>
      <c r="AD173" s="315"/>
      <c r="AE173" s="315"/>
      <c r="AF173" s="315"/>
      <c r="AG173" s="315"/>
      <c r="AH173" s="314"/>
      <c r="AI173" s="315"/>
      <c r="AJ173" s="315"/>
      <c r="AK173" s="315"/>
      <c r="AL173" s="315"/>
      <c r="AM173" s="285"/>
      <c r="AN173" s="300"/>
      <c r="AO173" s="300"/>
      <c r="AP173" s="300"/>
      <c r="AQ173" s="300"/>
      <c r="AR173" s="285"/>
      <c r="AS173" s="300"/>
      <c r="AT173" s="300"/>
      <c r="AU173" s="300"/>
      <c r="AV173" s="300"/>
      <c r="AW173" s="285"/>
      <c r="AX173" s="300"/>
      <c r="AY173" s="300"/>
      <c r="AZ173" s="437"/>
      <c r="BA173" s="437"/>
      <c r="BB173" s="285"/>
      <c r="BC173" s="300"/>
      <c r="BD173" s="300"/>
      <c r="BE173" s="300"/>
      <c r="BF173" s="300"/>
      <c r="BG173" s="120"/>
      <c r="BH173" s="437"/>
      <c r="BI173" s="437"/>
      <c r="BJ173" s="437"/>
      <c r="BK173" s="437"/>
      <c r="BL173" s="120"/>
      <c r="BM173" s="437"/>
      <c r="BN173" s="437"/>
      <c r="BO173" s="437"/>
      <c r="BP173" s="437"/>
      <c r="BQ173" s="120"/>
      <c r="BR173" s="437"/>
      <c r="BS173" s="437"/>
      <c r="BT173" s="437"/>
      <c r="BU173" s="437"/>
      <c r="BV173" s="120"/>
      <c r="BW173" s="437"/>
      <c r="BX173" s="437"/>
      <c r="BY173" s="437"/>
      <c r="BZ173" s="437"/>
      <c r="CA173" s="120"/>
      <c r="CB173" s="437"/>
      <c r="CC173" s="437"/>
      <c r="CD173" s="437"/>
      <c r="CE173" s="437"/>
      <c r="CF173" s="120"/>
      <c r="CG173" s="437"/>
      <c r="CH173" s="437"/>
      <c r="CI173" s="437"/>
      <c r="CJ173" s="437"/>
      <c r="CK173" s="120"/>
      <c r="CL173" s="437"/>
      <c r="CM173" s="437"/>
      <c r="CN173" s="437"/>
      <c r="CO173" s="437"/>
      <c r="CP173" s="120"/>
      <c r="CQ173" s="437"/>
      <c r="CR173" s="437"/>
      <c r="CS173" s="437"/>
      <c r="CT173" s="437"/>
      <c r="CU173" s="120"/>
      <c r="CV173" s="437"/>
      <c r="CW173" s="437"/>
      <c r="CX173" s="437"/>
      <c r="CY173" s="437"/>
      <c r="CZ173" s="120"/>
      <c r="DA173" s="437"/>
      <c r="DB173" s="437"/>
      <c r="DC173" s="437"/>
      <c r="DD173" s="437"/>
      <c r="DE173" s="120"/>
      <c r="DF173" s="437"/>
      <c r="DG173" s="437"/>
      <c r="DH173" s="437"/>
      <c r="DI173" s="437"/>
      <c r="DJ173" s="120"/>
      <c r="DK173" s="437"/>
      <c r="DL173" s="437"/>
      <c r="DM173" s="437"/>
      <c r="DN173" s="437"/>
      <c r="DO173" s="120"/>
      <c r="DP173" s="437"/>
      <c r="DQ173" s="437"/>
      <c r="DR173" s="437"/>
      <c r="DS173" s="437"/>
      <c r="DT173" s="120"/>
      <c r="DU173" s="437"/>
      <c r="DV173" s="437"/>
      <c r="DW173" s="437"/>
      <c r="DX173" s="437"/>
      <c r="DY173" s="120"/>
      <c r="DZ173" s="120"/>
      <c r="EA173" s="120"/>
      <c r="EB173" s="120"/>
    </row>
    <row r="174" spans="2:132" s="241" customFormat="1" ht="12" hidden="1" customHeight="1">
      <c r="B174" s="335" t="s">
        <v>125</v>
      </c>
      <c r="C174" s="314"/>
      <c r="D174" s="314"/>
      <c r="E174" s="314"/>
      <c r="F174" s="314"/>
      <c r="G174" s="314">
        <f>Data!G176</f>
        <v>304</v>
      </c>
      <c r="H174" s="314">
        <f>Data!H176</f>
        <v>376</v>
      </c>
      <c r="I174" s="314">
        <f>Data!I176</f>
        <v>472</v>
      </c>
      <c r="J174" s="315">
        <f>Data!J176</f>
        <v>144</v>
      </c>
      <c r="K174" s="315">
        <f>Data!K176</f>
        <v>137</v>
      </c>
      <c r="L174" s="315">
        <f>Data!L176</f>
        <v>182</v>
      </c>
      <c r="M174" s="315">
        <f>Data!M176</f>
        <v>175</v>
      </c>
      <c r="N174" s="314">
        <f>SUM(J174:M174)</f>
        <v>638</v>
      </c>
      <c r="O174" s="315">
        <f>Data!O176</f>
        <v>169</v>
      </c>
      <c r="P174" s="315">
        <f>Data!P176</f>
        <v>179</v>
      </c>
      <c r="Q174" s="315">
        <f>Data!Q176</f>
        <v>192</v>
      </c>
      <c r="R174" s="315">
        <f>Data!R176</f>
        <v>225</v>
      </c>
      <c r="S174" s="314">
        <f t="shared" si="336"/>
        <v>765</v>
      </c>
      <c r="T174" s="315"/>
      <c r="U174" s="315"/>
      <c r="V174" s="315"/>
      <c r="W174" s="315"/>
      <c r="X174" s="314"/>
      <c r="Y174" s="315"/>
      <c r="Z174" s="315"/>
      <c r="AA174" s="315"/>
      <c r="AB174" s="315"/>
      <c r="AC174" s="314"/>
      <c r="AD174" s="315"/>
      <c r="AE174" s="315"/>
      <c r="AF174" s="315"/>
      <c r="AG174" s="315"/>
      <c r="AH174" s="314"/>
      <c r="AI174" s="315"/>
      <c r="AJ174" s="315"/>
      <c r="AK174" s="315"/>
      <c r="AL174" s="315"/>
      <c r="AM174" s="285"/>
      <c r="AN174" s="300"/>
      <c r="AO174" s="300"/>
      <c r="AP174" s="300"/>
      <c r="AQ174" s="300"/>
      <c r="AR174" s="285"/>
      <c r="AS174" s="300"/>
      <c r="AT174" s="300"/>
      <c r="AU174" s="300"/>
      <c r="AV174" s="300"/>
      <c r="AW174" s="285"/>
      <c r="AX174" s="300"/>
      <c r="AY174" s="300"/>
      <c r="AZ174" s="437"/>
      <c r="BA174" s="437"/>
      <c r="BB174" s="285"/>
      <c r="BC174" s="300"/>
      <c r="BD174" s="300"/>
      <c r="BE174" s="300"/>
      <c r="BF174" s="300"/>
      <c r="BG174" s="120"/>
      <c r="BH174" s="437"/>
      <c r="BI174" s="437"/>
      <c r="BJ174" s="437"/>
      <c r="BK174" s="437"/>
      <c r="BL174" s="120"/>
      <c r="BM174" s="437"/>
      <c r="BN174" s="437"/>
      <c r="BO174" s="437"/>
      <c r="BP174" s="437"/>
      <c r="BQ174" s="120"/>
      <c r="BR174" s="437"/>
      <c r="BS174" s="437"/>
      <c r="BT174" s="437"/>
      <c r="BU174" s="437"/>
      <c r="BV174" s="120"/>
      <c r="BW174" s="437"/>
      <c r="BX174" s="437"/>
      <c r="BY174" s="437"/>
      <c r="BZ174" s="437"/>
      <c r="CA174" s="120"/>
      <c r="CB174" s="437"/>
      <c r="CC174" s="437"/>
      <c r="CD174" s="437"/>
      <c r="CE174" s="437"/>
      <c r="CF174" s="120"/>
      <c r="CG174" s="437"/>
      <c r="CH174" s="437"/>
      <c r="CI174" s="437"/>
      <c r="CJ174" s="437"/>
      <c r="CK174" s="120"/>
      <c r="CL174" s="437"/>
      <c r="CM174" s="437"/>
      <c r="CN174" s="437"/>
      <c r="CO174" s="437"/>
      <c r="CP174" s="120"/>
      <c r="CQ174" s="437"/>
      <c r="CR174" s="437"/>
      <c r="CS174" s="437"/>
      <c r="CT174" s="437"/>
      <c r="CU174" s="120"/>
      <c r="CV174" s="437"/>
      <c r="CW174" s="437"/>
      <c r="CX174" s="437"/>
      <c r="CY174" s="437"/>
      <c r="CZ174" s="120"/>
      <c r="DA174" s="437"/>
      <c r="DB174" s="437"/>
      <c r="DC174" s="437"/>
      <c r="DD174" s="437"/>
      <c r="DE174" s="120"/>
      <c r="DF174" s="437"/>
      <c r="DG174" s="437"/>
      <c r="DH174" s="437"/>
      <c r="DI174" s="437"/>
      <c r="DJ174" s="120"/>
      <c r="DK174" s="437"/>
      <c r="DL174" s="437"/>
      <c r="DM174" s="437"/>
      <c r="DN174" s="437"/>
      <c r="DO174" s="120"/>
      <c r="DP174" s="437"/>
      <c r="DQ174" s="437"/>
      <c r="DR174" s="437"/>
      <c r="DS174" s="437"/>
      <c r="DT174" s="120"/>
      <c r="DU174" s="437"/>
      <c r="DV174" s="437"/>
      <c r="DW174" s="437"/>
      <c r="DX174" s="437"/>
      <c r="DY174" s="120"/>
      <c r="DZ174" s="120"/>
      <c r="EA174" s="120"/>
      <c r="EB174" s="120"/>
    </row>
    <row r="175" spans="2:132" s="241" customFormat="1" ht="12" hidden="1" customHeight="1">
      <c r="B175" s="318" t="s">
        <v>132</v>
      </c>
      <c r="C175" s="321"/>
      <c r="D175" s="321"/>
      <c r="E175" s="321"/>
      <c r="F175" s="321"/>
      <c r="G175" s="321">
        <f>Data!G177</f>
        <v>147</v>
      </c>
      <c r="H175" s="321">
        <f>Data!H177</f>
        <v>-182</v>
      </c>
      <c r="I175" s="321">
        <f>Data!I177</f>
        <v>-1754</v>
      </c>
      <c r="J175" s="322">
        <f>Data!J177</f>
        <v>-63</v>
      </c>
      <c r="K175" s="322">
        <f>Data!K177</f>
        <v>-50</v>
      </c>
      <c r="L175" s="322">
        <f>Data!L177</f>
        <v>-153</v>
      </c>
      <c r="M175" s="322">
        <f>Data!M177</f>
        <v>-76</v>
      </c>
      <c r="N175" s="321">
        <f>SUM(J175:M175)</f>
        <v>-342</v>
      </c>
      <c r="O175" s="322">
        <f>Data!O177</f>
        <v>95</v>
      </c>
      <c r="P175" s="322">
        <f>Data!P177</f>
        <v>29</v>
      </c>
      <c r="Q175" s="322">
        <f>Data!Q177</f>
        <v>633</v>
      </c>
      <c r="R175" s="322">
        <f>Data!R177</f>
        <v>23</v>
      </c>
      <c r="S175" s="321">
        <f t="shared" si="336"/>
        <v>780</v>
      </c>
      <c r="T175" s="322"/>
      <c r="U175" s="322"/>
      <c r="V175" s="322"/>
      <c r="W175" s="322"/>
      <c r="X175" s="321"/>
      <c r="Y175" s="322"/>
      <c r="Z175" s="322"/>
      <c r="AA175" s="322"/>
      <c r="AB175" s="322"/>
      <c r="AC175" s="321"/>
      <c r="AD175" s="322"/>
      <c r="AE175" s="322"/>
      <c r="AF175" s="322"/>
      <c r="AG175" s="322"/>
      <c r="AH175" s="321"/>
      <c r="AI175" s="322"/>
      <c r="AJ175" s="322"/>
      <c r="AK175" s="322"/>
      <c r="AL175" s="322"/>
      <c r="AM175" s="319"/>
      <c r="AN175" s="320"/>
      <c r="AO175" s="177"/>
      <c r="AP175" s="177"/>
      <c r="AQ175" s="177"/>
      <c r="AR175" s="319"/>
      <c r="AS175" s="177"/>
      <c r="AT175" s="177"/>
      <c r="AU175" s="177"/>
      <c r="AV175" s="177"/>
      <c r="AW175" s="319"/>
      <c r="AX175" s="177"/>
      <c r="AY175" s="177"/>
      <c r="AZ175" s="550"/>
      <c r="BA175" s="550"/>
      <c r="BB175" s="178"/>
      <c r="BC175" s="177"/>
      <c r="BD175" s="177"/>
      <c r="BE175" s="177"/>
      <c r="BF175" s="177"/>
      <c r="BG175" s="573"/>
      <c r="BH175" s="642"/>
      <c r="BI175" s="642"/>
      <c r="BJ175" s="642"/>
      <c r="BK175" s="642"/>
      <c r="BL175" s="573"/>
      <c r="BM175" s="642"/>
      <c r="BN175" s="642"/>
      <c r="BO175" s="642"/>
      <c r="BP175" s="642"/>
      <c r="BQ175" s="573"/>
      <c r="BR175" s="642"/>
      <c r="BS175" s="642"/>
      <c r="BT175" s="642"/>
      <c r="BU175" s="642"/>
      <c r="BV175" s="573"/>
      <c r="BW175" s="642"/>
      <c r="BX175" s="642"/>
      <c r="BY175" s="642"/>
      <c r="BZ175" s="642"/>
      <c r="CA175" s="643"/>
      <c r="CB175" s="642"/>
      <c r="CC175" s="642"/>
      <c r="CD175" s="642"/>
      <c r="CE175" s="550"/>
      <c r="CF175" s="643"/>
      <c r="CG175" s="642"/>
      <c r="CH175" s="642"/>
      <c r="CI175" s="642"/>
      <c r="CJ175" s="642"/>
      <c r="CK175" s="573"/>
      <c r="CL175" s="642"/>
      <c r="CM175" s="642"/>
      <c r="CN175" s="642"/>
      <c r="CO175" s="642"/>
      <c r="CP175" s="573"/>
      <c r="CQ175" s="642"/>
      <c r="CR175" s="642"/>
      <c r="CS175" s="642"/>
      <c r="CT175" s="642"/>
      <c r="CU175" s="573"/>
      <c r="CV175" s="642"/>
      <c r="CW175" s="642"/>
      <c r="CX175" s="642"/>
      <c r="CY175" s="642"/>
      <c r="CZ175" s="573"/>
      <c r="DA175" s="642"/>
      <c r="DB175" s="550"/>
      <c r="DC175" s="642"/>
      <c r="DD175" s="642"/>
      <c r="DE175" s="573"/>
      <c r="DF175" s="642"/>
      <c r="DG175" s="642"/>
      <c r="DH175" s="642"/>
      <c r="DI175" s="642"/>
      <c r="DJ175" s="573"/>
      <c r="DK175" s="642"/>
      <c r="DL175" s="642"/>
      <c r="DM175" s="642"/>
      <c r="DN175" s="642"/>
      <c r="DO175" s="573"/>
      <c r="DP175" s="642"/>
      <c r="DQ175" s="642"/>
      <c r="DR175" s="642"/>
      <c r="DS175" s="642"/>
      <c r="DT175" s="573"/>
      <c r="DU175" s="642"/>
      <c r="DV175" s="642"/>
      <c r="DW175" s="642"/>
      <c r="DX175" s="642"/>
      <c r="DY175" s="573"/>
      <c r="DZ175" s="643"/>
      <c r="EA175" s="643"/>
      <c r="EB175" s="643"/>
    </row>
    <row r="176" spans="2:132" s="241" customFormat="1" ht="12" hidden="1" customHeight="1">
      <c r="B176" s="335" t="s">
        <v>133</v>
      </c>
      <c r="C176" s="314">
        <f>Data!C178</f>
        <v>0</v>
      </c>
      <c r="D176" s="314">
        <f>Data!D178</f>
        <v>1283</v>
      </c>
      <c r="E176" s="314">
        <f>Data!E178</f>
        <v>1193</v>
      </c>
      <c r="F176" s="314">
        <f>Data!F178</f>
        <v>1271</v>
      </c>
      <c r="G176" s="314">
        <f>Data!G178</f>
        <v>1346</v>
      </c>
      <c r="H176" s="314">
        <f>Data!H178</f>
        <v>1652</v>
      </c>
      <c r="I176" s="314"/>
      <c r="J176" s="315"/>
      <c r="K176" s="315"/>
      <c r="L176" s="315"/>
      <c r="M176" s="315"/>
      <c r="N176" s="314"/>
      <c r="O176" s="315"/>
      <c r="P176" s="315"/>
      <c r="Q176" s="315"/>
      <c r="R176" s="315"/>
      <c r="S176" s="314"/>
      <c r="T176" s="315"/>
      <c r="U176" s="315"/>
      <c r="V176" s="315"/>
      <c r="W176" s="315"/>
      <c r="X176" s="314"/>
      <c r="Y176" s="315"/>
      <c r="Z176" s="315"/>
      <c r="AA176" s="315"/>
      <c r="AB176" s="315"/>
      <c r="AC176" s="314"/>
      <c r="AD176" s="315"/>
      <c r="AE176" s="315"/>
      <c r="AF176" s="315"/>
      <c r="AG176" s="315"/>
      <c r="AH176" s="314"/>
      <c r="AI176" s="315"/>
      <c r="AJ176" s="315"/>
      <c r="AK176" s="315"/>
      <c r="AL176" s="315"/>
      <c r="AM176" s="285"/>
      <c r="AN176" s="300"/>
      <c r="AO176" s="300"/>
      <c r="AP176" s="300"/>
      <c r="AQ176" s="300"/>
      <c r="AR176" s="285"/>
      <c r="AS176" s="300"/>
      <c r="AT176" s="300"/>
      <c r="AU176" s="300"/>
      <c r="AV176" s="300"/>
      <c r="AW176" s="285"/>
      <c r="AX176" s="300"/>
      <c r="AY176" s="300"/>
      <c r="AZ176" s="437"/>
      <c r="BA176" s="437"/>
      <c r="BB176" s="285"/>
      <c r="BC176" s="300"/>
      <c r="BD176" s="300"/>
      <c r="BE176" s="300"/>
      <c r="BF176" s="300"/>
      <c r="BG176" s="120"/>
      <c r="BH176" s="437"/>
      <c r="BI176" s="437"/>
      <c r="BJ176" s="437"/>
      <c r="BK176" s="437"/>
      <c r="BL176" s="120"/>
      <c r="BM176" s="437"/>
      <c r="BN176" s="437"/>
      <c r="BO176" s="437"/>
      <c r="BP176" s="437"/>
      <c r="BQ176" s="120"/>
      <c r="BR176" s="437"/>
      <c r="BS176" s="437"/>
      <c r="BT176" s="437"/>
      <c r="BU176" s="437"/>
      <c r="BV176" s="120"/>
      <c r="BW176" s="437"/>
      <c r="BX176" s="437"/>
      <c r="BY176" s="437"/>
      <c r="BZ176" s="437"/>
      <c r="CA176" s="120"/>
      <c r="CB176" s="437"/>
      <c r="CC176" s="437"/>
      <c r="CD176" s="437"/>
      <c r="CE176" s="437"/>
      <c r="CF176" s="120"/>
      <c r="CG176" s="437"/>
      <c r="CH176" s="437"/>
      <c r="CI176" s="437"/>
      <c r="CJ176" s="437"/>
      <c r="CK176" s="120"/>
      <c r="CL176" s="437"/>
      <c r="CM176" s="437"/>
      <c r="CN176" s="437"/>
      <c r="CO176" s="437"/>
      <c r="CP176" s="120"/>
      <c r="CQ176" s="437"/>
      <c r="CR176" s="437"/>
      <c r="CS176" s="437"/>
      <c r="CT176" s="437"/>
      <c r="CU176" s="120"/>
      <c r="CV176" s="437"/>
      <c r="CW176" s="437"/>
      <c r="CX176" s="437"/>
      <c r="CY176" s="437"/>
      <c r="CZ176" s="120"/>
      <c r="DA176" s="437"/>
      <c r="DB176" s="437"/>
      <c r="DC176" s="437"/>
      <c r="DD176" s="437"/>
      <c r="DE176" s="120"/>
      <c r="DF176" s="437"/>
      <c r="DG176" s="437"/>
      <c r="DH176" s="437"/>
      <c r="DI176" s="437"/>
      <c r="DJ176" s="120"/>
      <c r="DK176" s="437"/>
      <c r="DL176" s="437"/>
      <c r="DM176" s="437"/>
      <c r="DN176" s="437"/>
      <c r="DO176" s="120"/>
      <c r="DP176" s="437"/>
      <c r="DQ176" s="437"/>
      <c r="DR176" s="437"/>
      <c r="DS176" s="437"/>
      <c r="DT176" s="120"/>
      <c r="DU176" s="437"/>
      <c r="DV176" s="437"/>
      <c r="DW176" s="437"/>
      <c r="DX176" s="437"/>
      <c r="DY176" s="120"/>
      <c r="DZ176" s="120"/>
      <c r="EA176" s="120"/>
      <c r="EB176" s="120"/>
    </row>
    <row r="177" spans="1:132" s="241" customFormat="1" ht="12" hidden="1" customHeight="1">
      <c r="B177" s="318" t="s">
        <v>134</v>
      </c>
      <c r="C177" s="321">
        <f>Data!C179</f>
        <v>0</v>
      </c>
      <c r="D177" s="321">
        <f>Data!D179</f>
        <v>248</v>
      </c>
      <c r="E177" s="321">
        <f>Data!E179</f>
        <v>415</v>
      </c>
      <c r="F177" s="321">
        <f>Data!F179</f>
        <v>-323</v>
      </c>
      <c r="G177" s="321">
        <f>Data!G179</f>
        <v>619</v>
      </c>
      <c r="H177" s="321">
        <f>Data!H179</f>
        <v>357</v>
      </c>
      <c r="I177" s="321"/>
      <c r="J177" s="322"/>
      <c r="K177" s="322"/>
      <c r="L177" s="322"/>
      <c r="M177" s="322"/>
      <c r="N177" s="321"/>
      <c r="O177" s="322"/>
      <c r="P177" s="322"/>
      <c r="Q177" s="322"/>
      <c r="R177" s="322"/>
      <c r="S177" s="321"/>
      <c r="T177" s="322"/>
      <c r="U177" s="322"/>
      <c r="V177" s="322"/>
      <c r="W177" s="322"/>
      <c r="X177" s="321"/>
      <c r="Y177" s="322"/>
      <c r="Z177" s="322"/>
      <c r="AA177" s="322"/>
      <c r="AB177" s="322"/>
      <c r="AC177" s="321"/>
      <c r="AD177" s="322"/>
      <c r="AE177" s="322"/>
      <c r="AF177" s="322"/>
      <c r="AG177" s="322"/>
      <c r="AH177" s="321"/>
      <c r="AI177" s="322"/>
      <c r="AJ177" s="322"/>
      <c r="AK177" s="322"/>
      <c r="AL177" s="322"/>
      <c r="AM177" s="319"/>
      <c r="AN177" s="320"/>
      <c r="AO177" s="177"/>
      <c r="AP177" s="177"/>
      <c r="AQ177" s="177"/>
      <c r="AR177" s="319"/>
      <c r="AS177" s="177"/>
      <c r="AT177" s="177"/>
      <c r="AU177" s="177"/>
      <c r="AV177" s="177"/>
      <c r="AW177" s="319"/>
      <c r="AX177" s="177"/>
      <c r="AY177" s="177"/>
      <c r="AZ177" s="550"/>
      <c r="BA177" s="550"/>
      <c r="BB177" s="178"/>
      <c r="BC177" s="177"/>
      <c r="BD177" s="177"/>
      <c r="BE177" s="177"/>
      <c r="BF177" s="177"/>
      <c r="BG177" s="573"/>
      <c r="BH177" s="642"/>
      <c r="BI177" s="642"/>
      <c r="BJ177" s="642"/>
      <c r="BK177" s="642"/>
      <c r="BL177" s="573"/>
      <c r="BM177" s="642"/>
      <c r="BN177" s="642"/>
      <c r="BO177" s="642"/>
      <c r="BP177" s="642"/>
      <c r="BQ177" s="573"/>
      <c r="BR177" s="642"/>
      <c r="BS177" s="642"/>
      <c r="BT177" s="642"/>
      <c r="BU177" s="642"/>
      <c r="BV177" s="573"/>
      <c r="BW177" s="642"/>
      <c r="BX177" s="642"/>
      <c r="BY177" s="642"/>
      <c r="BZ177" s="642"/>
      <c r="CA177" s="643"/>
      <c r="CB177" s="642"/>
      <c r="CC177" s="642"/>
      <c r="CD177" s="642"/>
      <c r="CE177" s="550"/>
      <c r="CF177" s="643"/>
      <c r="CG177" s="642"/>
      <c r="CH177" s="642"/>
      <c r="CI177" s="642"/>
      <c r="CJ177" s="642"/>
      <c r="CK177" s="573"/>
      <c r="CL177" s="642"/>
      <c r="CM177" s="642"/>
      <c r="CN177" s="642"/>
      <c r="CO177" s="642"/>
      <c r="CP177" s="573"/>
      <c r="CQ177" s="642"/>
      <c r="CR177" s="642"/>
      <c r="CS177" s="642"/>
      <c r="CT177" s="642"/>
      <c r="CU177" s="573"/>
      <c r="CV177" s="642"/>
      <c r="CW177" s="642"/>
      <c r="CX177" s="642"/>
      <c r="CY177" s="642"/>
      <c r="CZ177" s="573"/>
      <c r="DA177" s="642"/>
      <c r="DB177" s="550"/>
      <c r="DC177" s="642"/>
      <c r="DD177" s="642"/>
      <c r="DE177" s="573"/>
      <c r="DF177" s="642"/>
      <c r="DG177" s="642"/>
      <c r="DH177" s="642"/>
      <c r="DI177" s="642"/>
      <c r="DJ177" s="573"/>
      <c r="DK177" s="642"/>
      <c r="DL177" s="642"/>
      <c r="DM177" s="642"/>
      <c r="DN177" s="642"/>
      <c r="DO177" s="573"/>
      <c r="DP177" s="642"/>
      <c r="DQ177" s="642"/>
      <c r="DR177" s="642"/>
      <c r="DS177" s="642"/>
      <c r="DT177" s="573"/>
      <c r="DU177" s="642"/>
      <c r="DV177" s="642"/>
      <c r="DW177" s="642"/>
      <c r="DX177" s="642"/>
      <c r="DY177" s="573"/>
      <c r="DZ177" s="643"/>
      <c r="EA177" s="643"/>
      <c r="EB177" s="643"/>
    </row>
    <row r="178" spans="1:132" s="241" customFormat="1" ht="12" customHeight="1">
      <c r="B178" s="121" t="s">
        <v>391</v>
      </c>
      <c r="C178" s="314">
        <f>Data!C180</f>
        <v>1317</v>
      </c>
      <c r="D178" s="314">
        <f>SUM(D176:D177)</f>
        <v>1531</v>
      </c>
      <c r="E178" s="314">
        <f>SUM(E176:E177)</f>
        <v>1608</v>
      </c>
      <c r="F178" s="314">
        <f>SUM(F176:F177)</f>
        <v>948</v>
      </c>
      <c r="G178" s="314">
        <f>SUM(G172:G175)</f>
        <v>1965</v>
      </c>
      <c r="H178" s="314">
        <f t="shared" ref="H178:S178" si="337">SUM(H172:H175)</f>
        <v>2009</v>
      </c>
      <c r="I178" s="314">
        <f t="shared" si="337"/>
        <v>766</v>
      </c>
      <c r="J178" s="315">
        <f t="shared" si="337"/>
        <v>738</v>
      </c>
      <c r="K178" s="315">
        <f t="shared" si="337"/>
        <v>696</v>
      </c>
      <c r="L178" s="315">
        <f t="shared" si="337"/>
        <v>816</v>
      </c>
      <c r="M178" s="315">
        <f t="shared" si="337"/>
        <v>675</v>
      </c>
      <c r="N178" s="314">
        <f t="shared" si="337"/>
        <v>2925</v>
      </c>
      <c r="O178" s="315">
        <f t="shared" si="337"/>
        <v>847</v>
      </c>
      <c r="P178" s="315">
        <f t="shared" si="337"/>
        <v>816</v>
      </c>
      <c r="Q178" s="315">
        <f t="shared" si="337"/>
        <v>1303</v>
      </c>
      <c r="R178" s="315">
        <f t="shared" si="337"/>
        <v>924</v>
      </c>
      <c r="S178" s="314">
        <f t="shared" si="337"/>
        <v>3890</v>
      </c>
      <c r="T178" s="315">
        <f>SUM(T169:T171)</f>
        <v>817</v>
      </c>
      <c r="U178" s="315">
        <f t="shared" ref="U178:BB178" si="338">SUM(U169:U171)</f>
        <v>309</v>
      </c>
      <c r="V178" s="315">
        <f t="shared" si="338"/>
        <v>879</v>
      </c>
      <c r="W178" s="315">
        <f t="shared" si="338"/>
        <v>1027</v>
      </c>
      <c r="X178" s="314">
        <f t="shared" si="338"/>
        <v>3032</v>
      </c>
      <c r="Y178" s="315">
        <f t="shared" si="338"/>
        <v>784</v>
      </c>
      <c r="Z178" s="315">
        <f t="shared" si="338"/>
        <v>854</v>
      </c>
      <c r="AA178" s="315">
        <f t="shared" si="338"/>
        <v>824</v>
      </c>
      <c r="AB178" s="315">
        <f t="shared" si="338"/>
        <v>978</v>
      </c>
      <c r="AC178" s="314">
        <f t="shared" si="338"/>
        <v>3440</v>
      </c>
      <c r="AD178" s="315">
        <f t="shared" si="338"/>
        <v>860</v>
      </c>
      <c r="AE178" s="315">
        <f t="shared" si="338"/>
        <v>637</v>
      </c>
      <c r="AF178" s="315">
        <f t="shared" si="338"/>
        <v>854</v>
      </c>
      <c r="AG178" s="315">
        <f t="shared" si="338"/>
        <v>881</v>
      </c>
      <c r="AH178" s="314">
        <f t="shared" si="338"/>
        <v>3232</v>
      </c>
      <c r="AI178" s="315">
        <f t="shared" si="338"/>
        <v>709</v>
      </c>
      <c r="AJ178" s="315">
        <f t="shared" si="338"/>
        <v>876</v>
      </c>
      <c r="AK178" s="315">
        <f t="shared" si="338"/>
        <v>885</v>
      </c>
      <c r="AL178" s="315">
        <f>SUM(AL169:AL171)</f>
        <v>829</v>
      </c>
      <c r="AM178" s="285">
        <f t="shared" si="338"/>
        <v>3299</v>
      </c>
      <c r="AN178" s="241">
        <f>SUM(AN169:AN171)</f>
        <v>664</v>
      </c>
      <c r="AO178" s="241">
        <f t="shared" si="338"/>
        <v>711</v>
      </c>
      <c r="AP178" s="241">
        <f t="shared" si="338"/>
        <v>684</v>
      </c>
      <c r="AQ178" s="241">
        <f>SUM(AQ169:AQ171)</f>
        <v>816</v>
      </c>
      <c r="AR178" s="285">
        <f t="shared" si="338"/>
        <v>2875</v>
      </c>
      <c r="AS178" s="241">
        <f>SUM(AS169:AS171)</f>
        <v>671</v>
      </c>
      <c r="AT178" s="241">
        <f>SUM(AT169:AT171)</f>
        <v>798</v>
      </c>
      <c r="AU178" s="241">
        <f t="shared" si="338"/>
        <v>824</v>
      </c>
      <c r="AV178" s="241">
        <f>SUM(AV169:AV171)</f>
        <v>865</v>
      </c>
      <c r="AW178" s="285">
        <f t="shared" si="338"/>
        <v>3158</v>
      </c>
      <c r="AX178" s="241">
        <f>SUM(AX169:AX171)</f>
        <v>742</v>
      </c>
      <c r="AY178" s="241">
        <f>SUM(AY169:AY171)</f>
        <v>748</v>
      </c>
      <c r="AZ178" s="121">
        <f>SUM(AZ169:AZ171)</f>
        <v>827</v>
      </c>
      <c r="BA178" s="121">
        <f>SUM(BA169:BA171)</f>
        <v>751</v>
      </c>
      <c r="BB178" s="285">
        <f t="shared" si="338"/>
        <v>3068</v>
      </c>
      <c r="BC178" s="241">
        <f>SUM(BC169:BC171)</f>
        <v>832</v>
      </c>
      <c r="BD178" s="241">
        <f>SUM(BD169:BD171)</f>
        <v>776</v>
      </c>
      <c r="BE178" s="241">
        <f>SUM(BE169:BE171)</f>
        <v>673</v>
      </c>
      <c r="BF178" s="241">
        <f>SUM(BF169:BF171)</f>
        <v>954</v>
      </c>
      <c r="BG178" s="120">
        <f t="shared" ref="BG178:BK178" si="339">SUM(BG169:BG171)</f>
        <v>3235</v>
      </c>
      <c r="BH178" s="121">
        <f t="shared" si="339"/>
        <v>778</v>
      </c>
      <c r="BI178" s="121">
        <f t="shared" ref="BI178" si="340">SUM(BI169:BI171)</f>
        <v>582</v>
      </c>
      <c r="BJ178" s="121">
        <f t="shared" si="339"/>
        <v>856</v>
      </c>
      <c r="BK178" s="121">
        <f t="shared" si="339"/>
        <v>917</v>
      </c>
      <c r="BL178" s="120">
        <f>SUM(BL169:BL171)</f>
        <v>3133</v>
      </c>
      <c r="BM178" s="121">
        <f t="shared" ref="BM178:BP178" si="341">SUM(BM169:BM171)</f>
        <v>743</v>
      </c>
      <c r="BN178" s="121">
        <f t="shared" ref="BN178" si="342">SUM(BN169:BN171)</f>
        <v>546</v>
      </c>
      <c r="BO178" s="121">
        <f t="shared" si="341"/>
        <v>1022</v>
      </c>
      <c r="BP178" s="121">
        <f t="shared" si="341"/>
        <v>963</v>
      </c>
      <c r="BQ178" s="120">
        <f>SUM(BQ169:BQ171)</f>
        <v>3274</v>
      </c>
      <c r="BR178" s="121">
        <f>Data!BR169</f>
        <v>517</v>
      </c>
      <c r="BS178" s="547">
        <f>Data!BS169</f>
        <v>362</v>
      </c>
      <c r="BT178" s="121">
        <f>Data!BT169</f>
        <v>564</v>
      </c>
      <c r="BU178" s="121">
        <f>Data!BU169</f>
        <v>523</v>
      </c>
      <c r="BV178" s="120">
        <f>SUM(BR178:BU178)</f>
        <v>1966</v>
      </c>
      <c r="BW178" s="121">
        <f>Data!BW169</f>
        <v>549</v>
      </c>
      <c r="BX178" s="121">
        <f>Data!BX169</f>
        <v>614</v>
      </c>
      <c r="BY178" s="121">
        <f>Data!BY169</f>
        <v>486</v>
      </c>
      <c r="BZ178" s="121">
        <f>Data!BZ169</f>
        <v>544</v>
      </c>
      <c r="CA178" s="120">
        <f>SUM(BW178:BZ178)</f>
        <v>2193</v>
      </c>
      <c r="CB178" s="121">
        <f>Data!CB169</f>
        <v>757</v>
      </c>
      <c r="CC178" s="121">
        <f>Data!CC169</f>
        <v>376</v>
      </c>
      <c r="CD178" s="121">
        <f>Data!CD169</f>
        <v>-247</v>
      </c>
      <c r="CE178" s="121">
        <f>Data!CE169</f>
        <v>771</v>
      </c>
      <c r="CF178" s="120">
        <f>SUM(CB178:CE178)</f>
        <v>1657</v>
      </c>
      <c r="CG178" s="121">
        <f>Data!CG169</f>
        <v>847</v>
      </c>
      <c r="CH178" s="121">
        <f>Data!CH169</f>
        <v>975</v>
      </c>
      <c r="CI178" s="121">
        <f>Data!CI169</f>
        <v>754</v>
      </c>
      <c r="CJ178" s="121">
        <f>Data!CJ169</f>
        <v>31</v>
      </c>
      <c r="CK178" s="120">
        <f>SUM(CG178:CJ178)</f>
        <v>2607</v>
      </c>
      <c r="CL178" s="121">
        <f>Data!CL169</f>
        <v>-191</v>
      </c>
      <c r="CM178" s="121">
        <f>Data!CM169</f>
        <v>600</v>
      </c>
      <c r="CN178" s="121">
        <f>Data!CN169</f>
        <v>628</v>
      </c>
      <c r="CO178" s="121">
        <f>Data!CO169</f>
        <v>502</v>
      </c>
      <c r="CP178" s="120">
        <f>SUM(CL178:CO178)</f>
        <v>1539</v>
      </c>
      <c r="CQ178" s="121">
        <f>Data!CQ169</f>
        <v>405</v>
      </c>
      <c r="CR178" s="121">
        <f>Data!CR169</f>
        <v>958</v>
      </c>
      <c r="CS178" s="121">
        <f>Data!CS169</f>
        <v>436</v>
      </c>
      <c r="CT178" s="121">
        <f>Data!CT169</f>
        <v>-255</v>
      </c>
      <c r="CU178" s="120">
        <f>SUM(CQ178:CT178)</f>
        <v>1544</v>
      </c>
      <c r="CV178" s="121">
        <f>Data!CV169</f>
        <v>-929</v>
      </c>
      <c r="CW178" s="121">
        <f>Data!CW169</f>
        <v>71</v>
      </c>
      <c r="CX178" s="121">
        <f>Data!CX169</f>
        <v>-2798</v>
      </c>
      <c r="CY178" s="121">
        <f>Data!CY169</f>
        <v>112</v>
      </c>
      <c r="CZ178" s="120">
        <f>SUM(CV178:CY178)</f>
        <v>-3544</v>
      </c>
      <c r="DA178" s="121">
        <f>Data!DA169</f>
        <v>-212</v>
      </c>
      <c r="DB178" s="121">
        <f>Data!DB169</f>
        <v>-527</v>
      </c>
      <c r="DC178" s="121">
        <f>Data!DC169</f>
        <v>-924</v>
      </c>
      <c r="DD178" s="121">
        <f>Data!DD169</f>
        <v>-101</v>
      </c>
      <c r="DE178" s="120">
        <f>SUM(DA178:DD178)</f>
        <v>-1764</v>
      </c>
      <c r="DF178" s="121">
        <f>Data!DF169</f>
        <v>151</v>
      </c>
      <c r="DG178" s="121">
        <f>Data!DG169</f>
        <v>-913</v>
      </c>
      <c r="DH178" s="121">
        <f>Data!DH169</f>
        <v>-2384</v>
      </c>
      <c r="DI178" s="121">
        <f>Data!DI169</f>
        <v>-2267</v>
      </c>
      <c r="DJ178" s="120">
        <f>SUM(DF178:DI178)</f>
        <v>-5413</v>
      </c>
      <c r="DK178" s="121">
        <f>Data!DK169</f>
        <v>155</v>
      </c>
      <c r="DL178" s="121">
        <f>Data!DL169</f>
        <v>110</v>
      </c>
      <c r="DM178" s="121">
        <f>Data!DM169</f>
        <v>114</v>
      </c>
      <c r="DN178" s="121">
        <f>Data!DN169</f>
        <v>-507</v>
      </c>
      <c r="DO178" s="120">
        <f>SUM(DK178:DN178)</f>
        <v>-128</v>
      </c>
      <c r="DP178" s="121">
        <f>Data!DP169</f>
        <v>233</v>
      </c>
      <c r="DQ178" s="121">
        <f>Data!DQ169</f>
        <v>-15</v>
      </c>
      <c r="DR178" s="124">
        <f>DR69*DR231</f>
        <v>204.63732000000002</v>
      </c>
      <c r="DS178" s="124">
        <f>DS69*DS231</f>
        <v>288.40283999999997</v>
      </c>
      <c r="DT178" s="120">
        <f>SUM(DP178:DS178)</f>
        <v>711.04016000000001</v>
      </c>
      <c r="DU178" s="124">
        <f>DU69*DU231</f>
        <v>252.05883</v>
      </c>
      <c r="DV178" s="124">
        <f>DV69*DV231</f>
        <v>364.87108000000001</v>
      </c>
      <c r="DW178" s="124">
        <f>DW69*DW231</f>
        <v>433.83111840000009</v>
      </c>
      <c r="DX178" s="124">
        <f>DX69*DX231</f>
        <v>531.46234460000005</v>
      </c>
      <c r="DY178" s="120">
        <f>SUM(DU178:DX178)</f>
        <v>1582.2233730000003</v>
      </c>
      <c r="DZ178" s="125">
        <f>DZ69*DZ231</f>
        <v>2308.9134586350006</v>
      </c>
      <c r="EA178" s="125">
        <f>EA69*EA231</f>
        <v>3003.3105659707512</v>
      </c>
      <c r="EB178" s="125">
        <f>EB69*EB231</f>
        <v>3386.865891263401</v>
      </c>
    </row>
    <row r="179" spans="1:132" s="241" customFormat="1" ht="12" customHeight="1">
      <c r="B179" s="121" t="s">
        <v>575</v>
      </c>
      <c r="C179" s="314"/>
      <c r="D179" s="314"/>
      <c r="E179" s="314"/>
      <c r="F179" s="314"/>
      <c r="G179" s="314"/>
      <c r="H179" s="314"/>
      <c r="I179" s="314"/>
      <c r="J179" s="315"/>
      <c r="K179" s="315"/>
      <c r="L179" s="315"/>
      <c r="M179" s="315"/>
      <c r="N179" s="314"/>
      <c r="O179" s="315"/>
      <c r="P179" s="315"/>
      <c r="Q179" s="315"/>
      <c r="R179" s="315"/>
      <c r="S179" s="314"/>
      <c r="T179" s="315"/>
      <c r="U179" s="315"/>
      <c r="V179" s="315"/>
      <c r="W179" s="315"/>
      <c r="X179" s="314"/>
      <c r="Y179" s="315"/>
      <c r="Z179" s="315"/>
      <c r="AA179" s="315"/>
      <c r="AB179" s="315"/>
      <c r="AC179" s="314"/>
      <c r="AD179" s="315"/>
      <c r="AE179" s="315"/>
      <c r="AF179" s="315"/>
      <c r="AG179" s="315"/>
      <c r="AH179" s="314"/>
      <c r="AI179" s="315"/>
      <c r="AJ179" s="315"/>
      <c r="AK179" s="315"/>
      <c r="AL179" s="315"/>
      <c r="AM179" s="285"/>
      <c r="AR179" s="285"/>
      <c r="AW179" s="285"/>
      <c r="AZ179" s="121"/>
      <c r="BA179" s="121"/>
      <c r="BB179" s="285"/>
      <c r="BG179" s="120"/>
      <c r="BH179" s="121"/>
      <c r="BI179" s="121"/>
      <c r="BJ179" s="121"/>
      <c r="BK179" s="121"/>
      <c r="BL179" s="120"/>
      <c r="BM179" s="121"/>
      <c r="BN179" s="121"/>
      <c r="BO179" s="121"/>
      <c r="BP179" s="121"/>
      <c r="BQ179" s="120"/>
      <c r="BR179" s="121">
        <f>Data!BR181</f>
        <v>546</v>
      </c>
      <c r="BS179" s="121">
        <f>Data!BS181</f>
        <v>539</v>
      </c>
      <c r="BT179" s="121">
        <f>Data!BT181</f>
        <v>524</v>
      </c>
      <c r="BU179" s="121">
        <f>Data!BU181</f>
        <v>568</v>
      </c>
      <c r="BV179" s="120">
        <f t="shared" ref="BV179:BV185" si="343">SUM(BR179:BU179)</f>
        <v>2177</v>
      </c>
      <c r="BW179" s="121">
        <f>Data!BW181</f>
        <v>623</v>
      </c>
      <c r="BX179" s="121">
        <f>Data!BX181</f>
        <v>569</v>
      </c>
      <c r="BY179" s="121">
        <f>Data!BY181</f>
        <v>495</v>
      </c>
      <c r="BZ179" s="121">
        <f>Data!BZ181</f>
        <v>559</v>
      </c>
      <c r="CA179" s="120">
        <f t="shared" ref="CA179" si="344">SUM(BW179:BZ179)</f>
        <v>2246</v>
      </c>
      <c r="CB179" s="121">
        <f>Data!CB181</f>
        <v>647</v>
      </c>
      <c r="CC179" s="121">
        <f>Data!CC181</f>
        <v>604</v>
      </c>
      <c r="CD179" s="121">
        <f>Data!CD181</f>
        <v>548</v>
      </c>
      <c r="CE179" s="121">
        <f>Data!CE181</f>
        <v>737</v>
      </c>
      <c r="CF179" s="120">
        <f t="shared" ref="CF179" si="345">SUM(CB179:CE179)</f>
        <v>2536</v>
      </c>
      <c r="CG179" s="121">
        <f>Data!CG181</f>
        <v>653</v>
      </c>
      <c r="CH179" s="121">
        <f>Data!CH181</f>
        <v>687</v>
      </c>
      <c r="CI179" s="121">
        <f>Data!CI181</f>
        <v>673</v>
      </c>
      <c r="CJ179" s="121">
        <f>Data!CJ181</f>
        <v>684</v>
      </c>
      <c r="CK179" s="120">
        <f t="shared" ref="CK179" si="346">SUM(CG179:CJ179)</f>
        <v>2697</v>
      </c>
      <c r="CL179" s="121">
        <f>Data!CL181</f>
        <v>708</v>
      </c>
      <c r="CM179" s="121">
        <f>Data!CM181</f>
        <v>-672</v>
      </c>
      <c r="CN179" s="121">
        <f>Data!CN181</f>
        <v>271</v>
      </c>
      <c r="CO179" s="121">
        <f>Data!CO181</f>
        <v>143</v>
      </c>
      <c r="CP179" s="120">
        <f t="shared" ref="CP179" si="347">SUM(CL179:CO179)</f>
        <v>450</v>
      </c>
      <c r="CQ179" s="121">
        <f>Data!CQ181</f>
        <v>441</v>
      </c>
      <c r="CR179" s="121">
        <f>Data!CR181</f>
        <v>531</v>
      </c>
      <c r="CS179" s="121">
        <f>Data!CS181</f>
        <v>644</v>
      </c>
      <c r="CT179" s="121">
        <f>Data!CT181</f>
        <v>401</v>
      </c>
      <c r="CU179" s="120">
        <f t="shared" ref="CU179" si="348">SUM(CQ179:CT179)</f>
        <v>2017</v>
      </c>
      <c r="CV179" s="121">
        <f>Data!CV181</f>
        <v>632</v>
      </c>
      <c r="CW179" s="121">
        <f>Data!CW181</f>
        <v>728</v>
      </c>
      <c r="CX179" s="121">
        <f>Data!CX181</f>
        <v>733</v>
      </c>
      <c r="CY179" s="121">
        <f>Data!CY181</f>
        <v>634</v>
      </c>
      <c r="CZ179" s="120">
        <f t="shared" ref="CZ179" si="349">SUM(CV179:CY179)</f>
        <v>2727</v>
      </c>
      <c r="DA179" s="121">
        <f>Data!DA181</f>
        <v>847</v>
      </c>
      <c r="DB179" s="121">
        <f>Data!DB181</f>
        <v>856</v>
      </c>
      <c r="DC179" s="121">
        <f>Data!DC181</f>
        <v>784</v>
      </c>
      <c r="DD179" s="121">
        <f>Data!DD181</f>
        <v>842</v>
      </c>
      <c r="DE179" s="120">
        <f t="shared" ref="DE179" si="350">SUM(DA179:DD179)</f>
        <v>3329</v>
      </c>
      <c r="DF179" s="121">
        <f>Data!DF181</f>
        <v>916</v>
      </c>
      <c r="DG179" s="121">
        <f>Data!DG181</f>
        <v>870</v>
      </c>
      <c r="DH179" s="121">
        <f>Data!DH181</f>
        <v>834</v>
      </c>
      <c r="DI179" s="121">
        <f>Data!DI181</f>
        <v>998</v>
      </c>
      <c r="DJ179" s="120">
        <f t="shared" ref="DJ179" si="351">SUM(DF179:DI179)</f>
        <v>3618</v>
      </c>
      <c r="DK179" s="121">
        <f>Data!DK181</f>
        <v>943</v>
      </c>
      <c r="DL179" s="121">
        <f>Data!DL181</f>
        <v>1049</v>
      </c>
      <c r="DM179" s="121">
        <f>Data!DM181</f>
        <v>938</v>
      </c>
      <c r="DN179" s="121">
        <f>Data!DN181</f>
        <v>10544</v>
      </c>
      <c r="DO179" s="120">
        <f t="shared" ref="DO179" si="352">SUM(DK179:DN179)</f>
        <v>13474</v>
      </c>
      <c r="DP179" s="121">
        <f>Data!DP181</f>
        <v>971</v>
      </c>
      <c r="DQ179" s="121">
        <f>Data!DQ181</f>
        <v>968</v>
      </c>
      <c r="DR179" s="124">
        <f>DR74*DR232</f>
        <v>982.84501715988279</v>
      </c>
      <c r="DS179" s="124">
        <f>DS74*DS232</f>
        <v>1028.9564200364091</v>
      </c>
      <c r="DT179" s="120">
        <f t="shared" ref="DT179" si="353">SUM(DP179:DS179)</f>
        <v>3950.8014371962918</v>
      </c>
      <c r="DU179" s="124">
        <f>DU74*DU232</f>
        <v>1001.544652322073</v>
      </c>
      <c r="DV179" s="124">
        <f>DV74*DV232</f>
        <v>1029.7108859809318</v>
      </c>
      <c r="DW179" s="124">
        <f>DW74*DW232</f>
        <v>1107.1881481879745</v>
      </c>
      <c r="DX179" s="124">
        <f>DX74*DX232</f>
        <v>1103.4919425794342</v>
      </c>
      <c r="DY179" s="120">
        <f t="shared" ref="DY179" si="354">SUM(DU179:DX179)</f>
        <v>4241.9356290704136</v>
      </c>
      <c r="DZ179" s="125">
        <f>DZ74*DZ232</f>
        <v>4423.1693075478352</v>
      </c>
      <c r="EA179" s="125">
        <f t="shared" ref="EA179:EB179" si="355">EA74*EA232</f>
        <v>4613.587263291678</v>
      </c>
      <c r="EB179" s="125">
        <f t="shared" si="355"/>
        <v>4811.7507616042312</v>
      </c>
    </row>
    <row r="180" spans="1:132" s="241" customFormat="1" ht="12" customHeight="1">
      <c r="B180" s="241" t="s">
        <v>144</v>
      </c>
      <c r="C180" s="314">
        <f>Data!C182</f>
        <v>381</v>
      </c>
      <c r="D180" s="314">
        <f>Data!D182</f>
        <v>367</v>
      </c>
      <c r="E180" s="314">
        <f>Data!E182</f>
        <v>492</v>
      </c>
      <c r="F180" s="314">
        <f>Data!F182</f>
        <v>494</v>
      </c>
      <c r="G180" s="314">
        <f>Data!G182</f>
        <v>596</v>
      </c>
      <c r="H180" s="314">
        <f>Data!H182</f>
        <v>482</v>
      </c>
      <c r="I180" s="314">
        <f>Data!I182</f>
        <v>143</v>
      </c>
      <c r="J180" s="315">
        <f>Data!J182</f>
        <v>87</v>
      </c>
      <c r="K180" s="315">
        <f>Data!K182</f>
        <v>15</v>
      </c>
      <c r="L180" s="315">
        <f>Data!L182</f>
        <v>60</v>
      </c>
      <c r="M180" s="315">
        <f>Data!M182</f>
        <v>21</v>
      </c>
      <c r="N180" s="314">
        <f>SUM(J180:M180)</f>
        <v>183</v>
      </c>
      <c r="O180" s="315">
        <f>Data!O182</f>
        <v>44</v>
      </c>
      <c r="P180" s="315">
        <f>Data!P182</f>
        <v>112</v>
      </c>
      <c r="Q180" s="315">
        <f>Data!Q182</f>
        <v>28</v>
      </c>
      <c r="R180" s="315">
        <f>Data!R182</f>
        <v>48</v>
      </c>
      <c r="S180" s="314">
        <f t="shared" ref="S180:S186" si="356">SUM(O180:R180)</f>
        <v>232</v>
      </c>
      <c r="T180" s="315">
        <f>Data!T182</f>
        <v>70</v>
      </c>
      <c r="U180" s="315">
        <f>Data!U182</f>
        <v>62</v>
      </c>
      <c r="V180" s="315">
        <f>Data!V182</f>
        <v>122</v>
      </c>
      <c r="W180" s="315">
        <f>Data!W182</f>
        <v>37</v>
      </c>
      <c r="X180" s="314">
        <f t="shared" ref="X180:X186" si="357">SUM(T180:W180)</f>
        <v>291</v>
      </c>
      <c r="Y180" s="315">
        <f>Data!Y182</f>
        <v>73</v>
      </c>
      <c r="Z180" s="315">
        <f>Data!Z182</f>
        <v>70</v>
      </c>
      <c r="AA180" s="315">
        <f>Data!AA182</f>
        <v>61</v>
      </c>
      <c r="AB180" s="315">
        <f>Data!AB182</f>
        <v>30</v>
      </c>
      <c r="AC180" s="314">
        <f t="shared" ref="AC180:AC186" si="358">SUM(Y180:AB180)</f>
        <v>234</v>
      </c>
      <c r="AD180" s="315">
        <f>Data!AD182</f>
        <v>61</v>
      </c>
      <c r="AE180" s="315">
        <f>Data!AE182</f>
        <v>45</v>
      </c>
      <c r="AF180" s="315">
        <f>Data!AF182</f>
        <v>37</v>
      </c>
      <c r="AG180" s="315">
        <f>Data!AG182</f>
        <v>19</v>
      </c>
      <c r="AH180" s="314">
        <f t="shared" ref="AH180:AH186" si="359">SUM(AD180:AG180)</f>
        <v>162</v>
      </c>
      <c r="AI180" s="315">
        <f>Data!AI182</f>
        <v>37</v>
      </c>
      <c r="AJ180" s="315">
        <f>Data!AJ182</f>
        <v>36</v>
      </c>
      <c r="AK180" s="315">
        <f>Data!AK182</f>
        <v>39</v>
      </c>
      <c r="AL180" s="315">
        <f>Data!AL182</f>
        <v>14</v>
      </c>
      <c r="AM180" s="285">
        <f t="shared" ref="AM180:AM186" si="360">SUM(AI180:AL180)</f>
        <v>126</v>
      </c>
      <c r="AN180" s="241">
        <f>Data!AN182</f>
        <v>46</v>
      </c>
      <c r="AO180" s="241">
        <f>Data!AO182</f>
        <v>55</v>
      </c>
      <c r="AP180" s="241">
        <f>Data!AP182</f>
        <v>45</v>
      </c>
      <c r="AQ180" s="241">
        <f>Data!AQ182</f>
        <v>6</v>
      </c>
      <c r="AR180" s="285">
        <f t="shared" ref="AR180:AR186" si="361">SUM(AN180:AQ180)</f>
        <v>152</v>
      </c>
      <c r="AS180" s="241">
        <f>Data!AS182</f>
        <v>52</v>
      </c>
      <c r="AT180" s="241">
        <f>Data!AT182</f>
        <v>62</v>
      </c>
      <c r="AU180" s="241">
        <f>Data!AU182</f>
        <v>19</v>
      </c>
      <c r="AV180" s="241">
        <f>Data!AV182</f>
        <v>-8</v>
      </c>
      <c r="AW180" s="285">
        <f t="shared" ref="AW180:AW186" si="362">SUM(AS180:AV180)</f>
        <v>125</v>
      </c>
      <c r="AX180" s="121">
        <f>Data!AX182</f>
        <v>38</v>
      </c>
      <c r="AY180" s="121">
        <f>Data!AY182</f>
        <v>31</v>
      </c>
      <c r="AZ180" s="121">
        <f>Data!AZ182</f>
        <v>33</v>
      </c>
      <c r="BA180" s="121">
        <f>Data!BA182</f>
        <v>-20</v>
      </c>
      <c r="BB180" s="285">
        <f t="shared" ref="BB180:BB185" si="363">SUM(AX180:BA180)</f>
        <v>82</v>
      </c>
      <c r="BC180" s="121">
        <f>Data!BC182</f>
        <v>44</v>
      </c>
      <c r="BD180" s="121">
        <f>Data!BD182</f>
        <v>19</v>
      </c>
      <c r="BE180" s="121">
        <f>Data!BE182</f>
        <v>35</v>
      </c>
      <c r="BF180" s="121">
        <f>Data!BF182</f>
        <v>9</v>
      </c>
      <c r="BG180" s="120">
        <f t="shared" ref="BG180:BG185" si="364">SUM(BC180:BF180)</f>
        <v>107</v>
      </c>
      <c r="BH180" s="121">
        <f>Data!BH182</f>
        <v>44</v>
      </c>
      <c r="BI180" s="121">
        <f>Data!BI182</f>
        <v>33</v>
      </c>
      <c r="BJ180" s="121">
        <f>Data!BJ182</f>
        <v>-11</v>
      </c>
      <c r="BK180" s="121">
        <f>Data!BK182</f>
        <v>26</v>
      </c>
      <c r="BL180" s="120">
        <f t="shared" ref="BL180:BL185" si="365">SUM(BH180:BK180)</f>
        <v>92</v>
      </c>
      <c r="BM180" s="121">
        <f>Data!BM182</f>
        <v>20</v>
      </c>
      <c r="BN180" s="121">
        <f>Data!BN182</f>
        <v>11</v>
      </c>
      <c r="BO180" s="121">
        <f>Data!BO182</f>
        <v>10</v>
      </c>
      <c r="BP180" s="121">
        <f>Data!BP182</f>
        <v>9</v>
      </c>
      <c r="BQ180" s="120">
        <f t="shared" ref="BQ180:BQ185" si="366">SUM(BM180:BP180)</f>
        <v>50</v>
      </c>
      <c r="BR180" s="121">
        <f>Data!BR182</f>
        <v>5</v>
      </c>
      <c r="BS180" s="121">
        <f>Data!BS182</f>
        <v>18</v>
      </c>
      <c r="BT180" s="121">
        <f>Data!BT182</f>
        <v>13</v>
      </c>
      <c r="BU180" s="121">
        <f>Data!BU182</f>
        <v>23</v>
      </c>
      <c r="BV180" s="120">
        <f t="shared" si="343"/>
        <v>59</v>
      </c>
      <c r="BW180" s="121">
        <f>Data!BW182</f>
        <v>39</v>
      </c>
      <c r="BX180" s="121">
        <f>Data!BX182</f>
        <v>25</v>
      </c>
      <c r="BY180" s="121">
        <f>Data!BY182</f>
        <v>23</v>
      </c>
      <c r="BZ180" s="121">
        <f>Data!BZ182</f>
        <v>27</v>
      </c>
      <c r="CA180" s="120">
        <f t="shared" ref="CA180:CA185" si="367">SUM(BW180:BZ180)</f>
        <v>114</v>
      </c>
      <c r="CB180" s="121">
        <f>Data!CB182</f>
        <v>20</v>
      </c>
      <c r="CC180" s="121">
        <f>Data!CC182</f>
        <v>24</v>
      </c>
      <c r="CD180" s="121">
        <f>Data!CD182</f>
        <v>27</v>
      </c>
      <c r="CE180" s="121">
        <f>Data!CE182</f>
        <v>8</v>
      </c>
      <c r="CF180" s="120">
        <f>SUM(CB180:CE180)</f>
        <v>79</v>
      </c>
      <c r="CG180" s="121">
        <f>Data!CG182</f>
        <v>20</v>
      </c>
      <c r="CH180" s="121">
        <f>Data!CH182</f>
        <v>37</v>
      </c>
      <c r="CI180" s="121">
        <f>Data!CI182</f>
        <v>29</v>
      </c>
      <c r="CJ180" s="121">
        <f>Data!CJ182</f>
        <v>-58</v>
      </c>
      <c r="CK180" s="120">
        <f>SUM(CG180:CJ180)</f>
        <v>28</v>
      </c>
      <c r="CL180" s="121">
        <f>Data!CL182</f>
        <v>24</v>
      </c>
      <c r="CM180" s="121">
        <f>Data!CM182</f>
        <v>-7</v>
      </c>
      <c r="CN180" s="121">
        <f>Data!CN182</f>
        <v>30</v>
      </c>
      <c r="CO180" s="121">
        <f>Data!CO182</f>
        <v>16</v>
      </c>
      <c r="CP180" s="120">
        <f>SUM(CL180:CO180)</f>
        <v>63</v>
      </c>
      <c r="CQ180" s="121">
        <f>Data!CQ182</f>
        <v>21</v>
      </c>
      <c r="CR180" s="121">
        <f>Data!CR182</f>
        <v>36</v>
      </c>
      <c r="CS180" s="121">
        <f>Data!CS182</f>
        <v>42</v>
      </c>
      <c r="CT180" s="121">
        <f>Data!CT182</f>
        <v>7</v>
      </c>
      <c r="CU180" s="120">
        <f>SUM(CQ180:CT180)</f>
        <v>106</v>
      </c>
      <c r="CV180" s="121">
        <f>Data!CV182</f>
        <v>-36</v>
      </c>
      <c r="CW180" s="121">
        <f>Data!CW182</f>
        <v>27</v>
      </c>
      <c r="CX180" s="121">
        <f>Data!CX182</f>
        <v>23</v>
      </c>
      <c r="CY180" s="121">
        <f>Data!CY182</f>
        <v>15</v>
      </c>
      <c r="CZ180" s="120">
        <f>SUM(CV180:CY180)</f>
        <v>29</v>
      </c>
      <c r="DA180" s="121">
        <f>Data!DA182</f>
        <v>0</v>
      </c>
      <c r="DB180" s="121">
        <f>Data!DB182</f>
        <v>0</v>
      </c>
      <c r="DC180" s="121">
        <f>Data!DC182</f>
        <v>0</v>
      </c>
      <c r="DD180" s="121">
        <f>Data!DD182</f>
        <v>0</v>
      </c>
      <c r="DE180" s="120">
        <f>SUM(DA180:DD180)</f>
        <v>0</v>
      </c>
      <c r="DF180" s="121">
        <f>Data!DF182</f>
        <v>0</v>
      </c>
      <c r="DG180" s="121">
        <f>Data!DG182</f>
        <v>0</v>
      </c>
      <c r="DH180" s="121">
        <f>Data!DH182</f>
        <v>0</v>
      </c>
      <c r="DI180" s="121">
        <f>Data!DI182</f>
        <v>0</v>
      </c>
      <c r="DJ180" s="120">
        <f>SUM(DF180:DI180)</f>
        <v>0</v>
      </c>
      <c r="DK180" s="121">
        <f>Data!DK182</f>
        <v>0</v>
      </c>
      <c r="DL180" s="121">
        <f>Data!DL182</f>
        <v>0</v>
      </c>
      <c r="DM180" s="121">
        <f>Data!DM182</f>
        <v>0</v>
      </c>
      <c r="DN180" s="121">
        <f>Data!DN182</f>
        <v>0</v>
      </c>
      <c r="DO180" s="120">
        <f>SUM(DK180:DN180)</f>
        <v>0</v>
      </c>
      <c r="DP180" s="121">
        <f>Data!DP182</f>
        <v>0</v>
      </c>
      <c r="DQ180" s="121">
        <f>Data!DQ182</f>
        <v>0</v>
      </c>
      <c r="DR180" s="124">
        <f t="shared" ref="DR180:DS180" si="368">DR79*DR233</f>
        <v>0</v>
      </c>
      <c r="DS180" s="124">
        <f t="shared" si="368"/>
        <v>0</v>
      </c>
      <c r="DT180" s="120">
        <f>SUM(DP180:DS180)</f>
        <v>0</v>
      </c>
      <c r="DU180" s="124">
        <f t="shared" ref="DU180:DX180" si="369">DU79*DU233</f>
        <v>0</v>
      </c>
      <c r="DV180" s="124">
        <f t="shared" si="369"/>
        <v>0</v>
      </c>
      <c r="DW180" s="124">
        <f t="shared" si="369"/>
        <v>0</v>
      </c>
      <c r="DX180" s="124">
        <f t="shared" si="369"/>
        <v>0</v>
      </c>
      <c r="DY180" s="120">
        <f>SUM(DU180:DX180)</f>
        <v>0</v>
      </c>
      <c r="DZ180" s="125">
        <f t="shared" ref="DZ180:EB180" si="370">DZ79*DZ233</f>
        <v>0</v>
      </c>
      <c r="EA180" s="125">
        <f t="shared" si="370"/>
        <v>0</v>
      </c>
      <c r="EB180" s="125">
        <f t="shared" si="370"/>
        <v>0</v>
      </c>
    </row>
    <row r="181" spans="1:132" s="241" customFormat="1" ht="12" customHeight="1">
      <c r="B181" s="241" t="s">
        <v>93</v>
      </c>
      <c r="C181" s="314">
        <f>Data!C184</f>
        <v>0</v>
      </c>
      <c r="D181" s="314">
        <f>Data!D184</f>
        <v>0</v>
      </c>
      <c r="E181" s="314">
        <f>Data!E184</f>
        <v>0</v>
      </c>
      <c r="F181" s="314">
        <f>Data!F184</f>
        <v>0</v>
      </c>
      <c r="G181" s="314">
        <f>Data!G184</f>
        <v>-388</v>
      </c>
      <c r="H181" s="314">
        <f>Data!H184</f>
        <v>-424</v>
      </c>
      <c r="I181" s="314">
        <f>Data!I184</f>
        <v>-380</v>
      </c>
      <c r="J181" s="315">
        <f>Data!J184</f>
        <v>-104</v>
      </c>
      <c r="K181" s="315">
        <f>Data!K184</f>
        <v>-124</v>
      </c>
      <c r="L181" s="315">
        <f>Data!L184</f>
        <v>-145</v>
      </c>
      <c r="M181" s="315">
        <f>Data!M184</f>
        <v>-162</v>
      </c>
      <c r="N181" s="314">
        <f>SUM(J181:M181)</f>
        <v>-535</v>
      </c>
      <c r="O181" s="315">
        <f>Data!O184</f>
        <v>-72</v>
      </c>
      <c r="P181" s="315">
        <f>Data!P184</f>
        <v>-105</v>
      </c>
      <c r="Q181" s="315">
        <f>Data!Q184</f>
        <v>-97</v>
      </c>
      <c r="R181" s="315">
        <f>Data!R184</f>
        <v>-60</v>
      </c>
      <c r="S181" s="314">
        <f t="shared" si="356"/>
        <v>-334</v>
      </c>
      <c r="T181" s="315">
        <f>Data!T184</f>
        <v>-61</v>
      </c>
      <c r="U181" s="315">
        <f>Data!U184</f>
        <v>-90</v>
      </c>
      <c r="V181" s="315">
        <f>Data!V184</f>
        <v>-494</v>
      </c>
      <c r="W181" s="315">
        <f>Data!W184</f>
        <v>-93</v>
      </c>
      <c r="X181" s="314">
        <f t="shared" si="357"/>
        <v>-738</v>
      </c>
      <c r="Y181" s="315">
        <f>Data!Y184</f>
        <v>-2</v>
      </c>
      <c r="Z181" s="315">
        <f>Data!Z184</f>
        <v>-30</v>
      </c>
      <c r="AA181" s="315">
        <f>Data!AA184</f>
        <v>-46</v>
      </c>
      <c r="AB181" s="315">
        <f>Data!AB184</f>
        <v>-165</v>
      </c>
      <c r="AC181" s="314">
        <f t="shared" si="358"/>
        <v>-243</v>
      </c>
      <c r="AD181" s="315">
        <f>Data!AD184</f>
        <v>-50</v>
      </c>
      <c r="AE181" s="315">
        <f>Data!AE184</f>
        <v>-135</v>
      </c>
      <c r="AF181" s="315">
        <f>Data!AF184</f>
        <v>-48</v>
      </c>
      <c r="AG181" s="315">
        <f>Data!AG184</f>
        <v>-74</v>
      </c>
      <c r="AH181" s="314">
        <f t="shared" si="359"/>
        <v>-307</v>
      </c>
      <c r="AI181" s="315">
        <f>Data!AI184</f>
        <v>-23</v>
      </c>
      <c r="AJ181" s="315">
        <f>Data!AJ184</f>
        <v>-46</v>
      </c>
      <c r="AK181" s="315">
        <f>Data!AK184</f>
        <v>-36</v>
      </c>
      <c r="AL181" s="315">
        <f>Data!AL184</f>
        <v>-47</v>
      </c>
      <c r="AM181" s="285">
        <f t="shared" si="360"/>
        <v>-152</v>
      </c>
      <c r="AN181" s="241">
        <f>Data!AN184</f>
        <v>-50</v>
      </c>
      <c r="AO181" s="241">
        <f>Data!AO184</f>
        <v>-72</v>
      </c>
      <c r="AP181" s="241">
        <f>Data!AP184</f>
        <v>-132</v>
      </c>
      <c r="AQ181" s="241">
        <f>Data!AQ184</f>
        <v>-73</v>
      </c>
      <c r="AR181" s="285">
        <f t="shared" si="361"/>
        <v>-327</v>
      </c>
      <c r="AS181" s="241">
        <f>Data!AS184</f>
        <v>-22</v>
      </c>
      <c r="AT181" s="241">
        <f>Data!AT184</f>
        <v>-58</v>
      </c>
      <c r="AU181" s="241">
        <f>Data!AU184</f>
        <v>92</v>
      </c>
      <c r="AV181" s="241">
        <f>Data!AV184</f>
        <v>43</v>
      </c>
      <c r="AW181" s="285">
        <f t="shared" si="362"/>
        <v>55</v>
      </c>
      <c r="AX181" s="121">
        <f>Data!AX184</f>
        <v>-79</v>
      </c>
      <c r="AY181" s="121">
        <f>Data!AY184</f>
        <v>-50</v>
      </c>
      <c r="AZ181" s="121">
        <f>Data!AZ184</f>
        <v>-74</v>
      </c>
      <c r="BA181" s="121">
        <f>Data!BA184</f>
        <v>44</v>
      </c>
      <c r="BB181" s="285">
        <f t="shared" si="363"/>
        <v>-159</v>
      </c>
      <c r="BC181" s="121">
        <f>Data!BC184</f>
        <v>-58</v>
      </c>
      <c r="BD181" s="121">
        <f>Data!BD184</f>
        <v>-43</v>
      </c>
      <c r="BE181" s="121">
        <f>Data!BE184</f>
        <v>44</v>
      </c>
      <c r="BF181" s="121">
        <f>Data!BF184</f>
        <v>-99</v>
      </c>
      <c r="BG181" s="120">
        <f t="shared" si="364"/>
        <v>-156</v>
      </c>
      <c r="BH181" s="121">
        <f>Data!BH184</f>
        <v>-62</v>
      </c>
      <c r="BI181" s="121">
        <f>Data!BI184</f>
        <v>-48</v>
      </c>
      <c r="BJ181" s="121">
        <f>Data!BJ184</f>
        <v>-19</v>
      </c>
      <c r="BK181" s="121">
        <f>Data!BK184</f>
        <v>0</v>
      </c>
      <c r="BL181" s="120">
        <f t="shared" si="365"/>
        <v>-129</v>
      </c>
      <c r="BM181" s="121">
        <f>Data!BM184</f>
        <v>0</v>
      </c>
      <c r="BN181" s="121">
        <f>Data!BN184</f>
        <v>0</v>
      </c>
      <c r="BO181" s="121">
        <f>Data!BO184</f>
        <v>-21</v>
      </c>
      <c r="BP181" s="121">
        <f>Data!BP184</f>
        <v>0</v>
      </c>
      <c r="BQ181" s="120">
        <f t="shared" si="366"/>
        <v>-21</v>
      </c>
      <c r="BR181" s="121">
        <f>Data!BR184</f>
        <v>0</v>
      </c>
      <c r="BS181" s="121">
        <f>Data!BS184</f>
        <v>0</v>
      </c>
      <c r="BT181" s="121">
        <f>Data!BT184</f>
        <v>0</v>
      </c>
      <c r="BU181" s="121">
        <f>Data!BU184</f>
        <v>0</v>
      </c>
      <c r="BV181" s="120">
        <f t="shared" si="343"/>
        <v>0</v>
      </c>
      <c r="BW181" s="121">
        <f>Data!BW184</f>
        <v>0</v>
      </c>
      <c r="BX181" s="121">
        <f>Data!BX184</f>
        <v>0</v>
      </c>
      <c r="BY181" s="121">
        <f>Data!BY184</f>
        <v>0</v>
      </c>
      <c r="BZ181" s="121">
        <f>Data!BZ184</f>
        <v>0</v>
      </c>
      <c r="CA181" s="120">
        <f t="shared" si="367"/>
        <v>0</v>
      </c>
      <c r="CB181" s="121">
        <f>Data!CB184</f>
        <v>0</v>
      </c>
      <c r="CC181" s="121">
        <f>Data!CC184</f>
        <v>0</v>
      </c>
      <c r="CD181" s="121">
        <f>Data!CD184</f>
        <v>0</v>
      </c>
      <c r="CE181" s="121">
        <f>Data!CE184</f>
        <v>0</v>
      </c>
      <c r="CF181" s="120">
        <f t="shared" ref="CF181:CF185" si="371">SUM(CB181:CE181)</f>
        <v>0</v>
      </c>
      <c r="CG181" s="121">
        <f>Data!CG184</f>
        <v>0</v>
      </c>
      <c r="CH181" s="121">
        <f>Data!CH184</f>
        <v>0</v>
      </c>
      <c r="CI181" s="121">
        <f>Data!CI184</f>
        <v>0</v>
      </c>
      <c r="CJ181" s="121">
        <f>Data!CJ184</f>
        <v>0</v>
      </c>
      <c r="CK181" s="120">
        <f t="shared" ref="CK181:CK185" si="372">SUM(CG181:CJ181)</f>
        <v>0</v>
      </c>
      <c r="CL181" s="121">
        <f>Data!CL184</f>
        <v>0</v>
      </c>
      <c r="CM181" s="121">
        <f>Data!CM184</f>
        <v>0</v>
      </c>
      <c r="CN181" s="121">
        <f>Data!CN184</f>
        <v>0</v>
      </c>
      <c r="CO181" s="121">
        <f>Data!CO184</f>
        <v>0</v>
      </c>
      <c r="CP181" s="120">
        <f t="shared" ref="CP181:CP185" si="373">SUM(CL181:CO181)</f>
        <v>0</v>
      </c>
      <c r="CQ181" s="121">
        <f>Data!CQ184</f>
        <v>0</v>
      </c>
      <c r="CR181" s="121">
        <f>Data!CR184</f>
        <v>0</v>
      </c>
      <c r="CS181" s="121">
        <f>Data!CS184</f>
        <v>0</v>
      </c>
      <c r="CT181" s="121">
        <f>Data!CT184</f>
        <v>0</v>
      </c>
      <c r="CU181" s="120">
        <f t="shared" ref="CU181:CU185" si="374">SUM(CQ181:CT181)</f>
        <v>0</v>
      </c>
      <c r="CV181" s="121">
        <f>Data!CV184</f>
        <v>0</v>
      </c>
      <c r="CW181" s="121">
        <f>Data!CW184</f>
        <v>0</v>
      </c>
      <c r="CX181" s="121">
        <f>Data!CX184</f>
        <v>0</v>
      </c>
      <c r="CY181" s="121">
        <f>Data!CY184</f>
        <v>0</v>
      </c>
      <c r="CZ181" s="120">
        <f t="shared" ref="CZ181" si="375">SUM(CV181:CY181)</f>
        <v>0</v>
      </c>
      <c r="DA181" s="121">
        <f>Data!DA184</f>
        <v>0</v>
      </c>
      <c r="DB181" s="121">
        <f>Data!DB184</f>
        <v>0</v>
      </c>
      <c r="DC181" s="121">
        <f>Data!DC184</f>
        <v>0</v>
      </c>
      <c r="DD181" s="121">
        <f>Data!DD184</f>
        <v>0</v>
      </c>
      <c r="DE181" s="120">
        <f t="shared" ref="DE181" si="376">SUM(DA181:DD181)</f>
        <v>0</v>
      </c>
      <c r="DF181" s="121">
        <f>Data!DF184</f>
        <v>0</v>
      </c>
      <c r="DG181" s="121">
        <f>Data!DG184</f>
        <v>0</v>
      </c>
      <c r="DH181" s="121">
        <f>Data!DH184</f>
        <v>0</v>
      </c>
      <c r="DI181" s="121">
        <f>Data!DI184</f>
        <v>0</v>
      </c>
      <c r="DJ181" s="120">
        <f t="shared" ref="DJ181" si="377">SUM(DF181:DI181)</f>
        <v>0</v>
      </c>
      <c r="DK181" s="121">
        <f>Data!DK184</f>
        <v>0</v>
      </c>
      <c r="DL181" s="121">
        <f>Data!DL184</f>
        <v>0</v>
      </c>
      <c r="DM181" s="121">
        <f>Data!DM184</f>
        <v>0</v>
      </c>
      <c r="DN181" s="121">
        <f>Data!DN184</f>
        <v>0</v>
      </c>
      <c r="DO181" s="120">
        <f t="shared" ref="DO181" si="378">SUM(DK181:DN181)</f>
        <v>0</v>
      </c>
      <c r="DP181" s="121">
        <f>Data!DP184</f>
        <v>0</v>
      </c>
      <c r="DQ181" s="121">
        <f>Data!DQ184</f>
        <v>0</v>
      </c>
      <c r="DR181" s="122">
        <v>0</v>
      </c>
      <c r="DS181" s="122">
        <v>0</v>
      </c>
      <c r="DT181" s="120">
        <f t="shared" ref="DT181" si="379">SUM(DP181:DS181)</f>
        <v>0</v>
      </c>
      <c r="DU181" s="122">
        <v>0</v>
      </c>
      <c r="DV181" s="122">
        <v>0</v>
      </c>
      <c r="DW181" s="122">
        <v>0</v>
      </c>
      <c r="DX181" s="122">
        <v>0</v>
      </c>
      <c r="DY181" s="120">
        <f t="shared" ref="DY181" si="380">SUM(DU181:DX181)</f>
        <v>0</v>
      </c>
      <c r="DZ181" s="123">
        <v>0</v>
      </c>
      <c r="EA181" s="123">
        <v>0</v>
      </c>
      <c r="EB181" s="123">
        <v>0</v>
      </c>
    </row>
    <row r="182" spans="1:132" s="241" customFormat="1" ht="12" hidden="1" customHeight="1" outlineLevel="1">
      <c r="B182" s="311" t="s">
        <v>267</v>
      </c>
      <c r="C182" s="314">
        <f>Data!C185</f>
        <v>0</v>
      </c>
      <c r="D182" s="314">
        <f>Data!D185</f>
        <v>0</v>
      </c>
      <c r="E182" s="314">
        <f>Data!E185</f>
        <v>0</v>
      </c>
      <c r="F182" s="314">
        <f>Data!F185</f>
        <v>0</v>
      </c>
      <c r="G182" s="314">
        <f>Data!G185</f>
        <v>0</v>
      </c>
      <c r="H182" s="314">
        <f>Data!H185</f>
        <v>0</v>
      </c>
      <c r="I182" s="314">
        <f>Data!I185</f>
        <v>206</v>
      </c>
      <c r="J182" s="315">
        <f>Data!J185</f>
        <v>0</v>
      </c>
      <c r="K182" s="315">
        <f>Data!K185</f>
        <v>0</v>
      </c>
      <c r="L182" s="315">
        <f>Data!L185</f>
        <v>0</v>
      </c>
      <c r="M182" s="315">
        <f>Data!M185</f>
        <v>0</v>
      </c>
      <c r="N182" s="314">
        <f>Data!N185</f>
        <v>-258</v>
      </c>
      <c r="O182" s="315">
        <f>Data!O185</f>
        <v>-163</v>
      </c>
      <c r="P182" s="315">
        <f>Data!P185</f>
        <v>-94</v>
      </c>
      <c r="Q182" s="315">
        <f>Data!Q185</f>
        <v>-297</v>
      </c>
      <c r="R182" s="315">
        <f>Data!R185</f>
        <v>-297</v>
      </c>
      <c r="S182" s="314">
        <f t="shared" si="356"/>
        <v>-851</v>
      </c>
      <c r="T182" s="315">
        <f>Data!T185</f>
        <v>-118</v>
      </c>
      <c r="U182" s="315">
        <f>Data!U185</f>
        <v>-91</v>
      </c>
      <c r="V182" s="315">
        <f>Data!V185</f>
        <v>-153</v>
      </c>
      <c r="W182" s="315">
        <f>Data!W185</f>
        <v>-110</v>
      </c>
      <c r="X182" s="314">
        <f t="shared" si="357"/>
        <v>-472</v>
      </c>
      <c r="Y182" s="315">
        <f>Data!Y185</f>
        <v>-162</v>
      </c>
      <c r="Z182" s="315">
        <f>Data!Z185</f>
        <v>-168</v>
      </c>
      <c r="AA182" s="315">
        <f>Data!AA185</f>
        <v>-183</v>
      </c>
      <c r="AB182" s="315">
        <f>Data!AB185</f>
        <v>-173</v>
      </c>
      <c r="AC182" s="314">
        <f t="shared" si="358"/>
        <v>-686</v>
      </c>
      <c r="AD182" s="315">
        <f>Data!AD185</f>
        <v>-87</v>
      </c>
      <c r="AE182" s="315">
        <f>Data!AE185</f>
        <v>-96</v>
      </c>
      <c r="AF182" s="315">
        <f>Data!AF185</f>
        <v>-71</v>
      </c>
      <c r="AG182" s="315">
        <f>Data!AG185</f>
        <v>-33</v>
      </c>
      <c r="AH182" s="314">
        <f t="shared" si="359"/>
        <v>-287</v>
      </c>
      <c r="AI182" s="315">
        <f>Data!AI185</f>
        <v>0</v>
      </c>
      <c r="AJ182" s="315">
        <f>Data!AJ185</f>
        <v>1</v>
      </c>
      <c r="AK182" s="315">
        <f>Data!AK185</f>
        <v>7</v>
      </c>
      <c r="AL182" s="315">
        <f>Data!AL185</f>
        <v>9</v>
      </c>
      <c r="AM182" s="285">
        <f t="shared" si="360"/>
        <v>17</v>
      </c>
      <c r="AN182" s="241">
        <f>Data!AN185</f>
        <v>10</v>
      </c>
      <c r="AO182" s="241">
        <f>Data!AO185</f>
        <v>9</v>
      </c>
      <c r="AP182" s="241">
        <f>Data!AP185</f>
        <v>9</v>
      </c>
      <c r="AQ182" s="241">
        <f>Data!AQ185</f>
        <v>-33</v>
      </c>
      <c r="AR182" s="285">
        <f t="shared" si="361"/>
        <v>-5</v>
      </c>
      <c r="AS182" s="241">
        <f>Data!AS185</f>
        <v>-95</v>
      </c>
      <c r="AT182" s="241">
        <f>Data!AT185</f>
        <v>-77</v>
      </c>
      <c r="AU182" s="241">
        <f>Data!AU185</f>
        <v>-233</v>
      </c>
      <c r="AV182" s="241">
        <f>Data!AV185</f>
        <v>-93</v>
      </c>
      <c r="AW182" s="285">
        <f t="shared" si="362"/>
        <v>-498</v>
      </c>
      <c r="AX182" s="121">
        <f>Data!AX185</f>
        <v>-208</v>
      </c>
      <c r="AY182" s="121">
        <f>Data!AY185</f>
        <v>-245</v>
      </c>
      <c r="AZ182" s="121">
        <f>Data!AZ185</f>
        <v>-234</v>
      </c>
      <c r="BA182" s="121">
        <f>Data!BA185</f>
        <v>-212</v>
      </c>
      <c r="BB182" s="285">
        <f t="shared" si="363"/>
        <v>-899</v>
      </c>
      <c r="BC182" s="121">
        <f>Data!BC185</f>
        <v>-339</v>
      </c>
      <c r="BD182" s="121">
        <f>Data!BD185</f>
        <v>-312</v>
      </c>
      <c r="BE182" s="121">
        <f>Data!BE185</f>
        <v>-340</v>
      </c>
      <c r="BF182" s="121">
        <f>Data!BF185</f>
        <v>-323</v>
      </c>
      <c r="BG182" s="120">
        <f t="shared" si="364"/>
        <v>-1314</v>
      </c>
      <c r="BH182" s="121">
        <f>Data!BH185</f>
        <v>-553</v>
      </c>
      <c r="BI182" s="121">
        <f>Data!BI185</f>
        <v>-204</v>
      </c>
      <c r="BJ182" s="121">
        <f>Data!BJ185</f>
        <v>-311</v>
      </c>
      <c r="BK182" s="121">
        <f>Data!BK185</f>
        <v>-319</v>
      </c>
      <c r="BL182" s="120">
        <f t="shared" si="365"/>
        <v>-1387</v>
      </c>
      <c r="BM182" s="121">
        <f>Data!BM185</f>
        <v>-113</v>
      </c>
      <c r="BN182" s="121">
        <f>Data!BN185</f>
        <v>-30</v>
      </c>
      <c r="BO182" s="121">
        <f>Data!BO185</f>
        <v>-57</v>
      </c>
      <c r="BP182" s="121">
        <f>Data!BP185</f>
        <v>-98</v>
      </c>
      <c r="BQ182" s="120">
        <f t="shared" si="366"/>
        <v>-298</v>
      </c>
      <c r="BR182" s="121">
        <f>Data!BR185</f>
        <v>94</v>
      </c>
      <c r="BS182" s="121">
        <f>Data!BS185</f>
        <v>69</v>
      </c>
      <c r="BT182" s="121">
        <f>Data!BT185</f>
        <v>88</v>
      </c>
      <c r="BU182" s="121">
        <f>Data!BU185</f>
        <v>119</v>
      </c>
      <c r="BV182" s="120">
        <f t="shared" si="343"/>
        <v>370</v>
      </c>
      <c r="BW182" s="121"/>
      <c r="BX182" s="121"/>
      <c r="BY182" s="121"/>
      <c r="BZ182" s="121"/>
      <c r="CA182" s="120">
        <f t="shared" si="367"/>
        <v>0</v>
      </c>
      <c r="CB182" s="121"/>
      <c r="CC182" s="121"/>
      <c r="CD182" s="121"/>
      <c r="CE182" s="121"/>
      <c r="CF182" s="120"/>
      <c r="CG182" s="121"/>
      <c r="CH182" s="122"/>
      <c r="CI182" s="122"/>
      <c r="CJ182" s="122"/>
      <c r="CK182" s="120"/>
      <c r="CL182" s="122"/>
      <c r="CM182" s="122"/>
      <c r="CN182" s="122"/>
      <c r="CO182" s="122"/>
      <c r="CP182" s="120"/>
      <c r="CQ182" s="122"/>
      <c r="CR182" s="122"/>
      <c r="CS182" s="122"/>
      <c r="CT182" s="122"/>
      <c r="CU182" s="120"/>
      <c r="CV182" s="122"/>
      <c r="CW182" s="122"/>
      <c r="CX182" s="122"/>
      <c r="CY182" s="122"/>
      <c r="CZ182" s="120"/>
      <c r="DA182" s="122"/>
      <c r="DB182" s="121"/>
      <c r="DC182" s="122"/>
      <c r="DD182" s="122"/>
      <c r="DE182" s="120"/>
      <c r="DF182" s="122"/>
      <c r="DG182" s="122"/>
      <c r="DH182" s="122"/>
      <c r="DI182" s="122"/>
      <c r="DJ182" s="120"/>
      <c r="DK182" s="122"/>
      <c r="DL182" s="122"/>
      <c r="DM182" s="122"/>
      <c r="DN182" s="122"/>
      <c r="DO182" s="120"/>
      <c r="DP182" s="122"/>
      <c r="DQ182" s="122"/>
      <c r="DR182" s="122"/>
      <c r="DS182" s="122"/>
      <c r="DT182" s="120"/>
      <c r="DU182" s="122"/>
      <c r="DV182" s="122"/>
      <c r="DW182" s="122"/>
      <c r="DX182" s="122"/>
      <c r="DY182" s="120"/>
      <c r="DZ182" s="123"/>
      <c r="EA182" s="123"/>
      <c r="EB182" s="123"/>
    </row>
    <row r="183" spans="1:132" s="241" customFormat="1" ht="12" hidden="1" customHeight="1" outlineLevel="1">
      <c r="B183" s="311" t="s">
        <v>268</v>
      </c>
      <c r="C183" s="314">
        <f>Data!C186</f>
        <v>0</v>
      </c>
      <c r="D183" s="314">
        <f>Data!D186</f>
        <v>0</v>
      </c>
      <c r="E183" s="314">
        <f>Data!E186</f>
        <v>0</v>
      </c>
      <c r="F183" s="314">
        <f>Data!F186</f>
        <v>0</v>
      </c>
      <c r="G183" s="314">
        <f>Data!G186</f>
        <v>0</v>
      </c>
      <c r="H183" s="314">
        <f>Data!H186</f>
        <v>0</v>
      </c>
      <c r="I183" s="314">
        <f>Data!I186</f>
        <v>-456</v>
      </c>
      <c r="J183" s="315">
        <f>Data!J186</f>
        <v>-119</v>
      </c>
      <c r="K183" s="315">
        <f>Data!K186</f>
        <v>-164</v>
      </c>
      <c r="L183" s="315">
        <f>Data!L186</f>
        <v>-166</v>
      </c>
      <c r="M183" s="315">
        <f>Data!M186</f>
        <v>-127</v>
      </c>
      <c r="N183" s="314">
        <f>SUM(J183:M183)</f>
        <v>-576</v>
      </c>
      <c r="O183" s="315">
        <f>Data!O186</f>
        <v>-245</v>
      </c>
      <c r="P183" s="315">
        <f>Data!P186</f>
        <v>-250</v>
      </c>
      <c r="Q183" s="315">
        <f>Data!Q186</f>
        <v>-288</v>
      </c>
      <c r="R183" s="315">
        <f>Data!R186</f>
        <v>-69</v>
      </c>
      <c r="S183" s="314">
        <f t="shared" si="356"/>
        <v>-852</v>
      </c>
      <c r="T183" s="315">
        <f>Data!T186</f>
        <v>-202</v>
      </c>
      <c r="U183" s="315">
        <f>Data!U186</f>
        <v>-250</v>
      </c>
      <c r="V183" s="315">
        <f>Data!V186</f>
        <v>-101</v>
      </c>
      <c r="W183" s="315">
        <f>Data!W186</f>
        <v>-127</v>
      </c>
      <c r="X183" s="314">
        <f t="shared" si="357"/>
        <v>-680</v>
      </c>
      <c r="Y183" s="315">
        <f>Data!Y186</f>
        <v>-36</v>
      </c>
      <c r="Z183" s="315">
        <f>Data!Z186</f>
        <v>-133</v>
      </c>
      <c r="AA183" s="315">
        <f>Data!AA186</f>
        <v>-58</v>
      </c>
      <c r="AB183" s="315">
        <f>Data!AB186</f>
        <v>-6</v>
      </c>
      <c r="AC183" s="314">
        <f t="shared" si="358"/>
        <v>-233</v>
      </c>
      <c r="AD183" s="315">
        <f>Data!AD186</f>
        <v>-30</v>
      </c>
      <c r="AE183" s="315">
        <f>Data!AE186</f>
        <v>-15</v>
      </c>
      <c r="AF183" s="315">
        <f>Data!AF186</f>
        <v>-70</v>
      </c>
      <c r="AG183" s="315">
        <f>Data!AG186</f>
        <v>-34</v>
      </c>
      <c r="AH183" s="314">
        <f t="shared" si="359"/>
        <v>-149</v>
      </c>
      <c r="AI183" s="315">
        <f>Data!AI186</f>
        <v>-57</v>
      </c>
      <c r="AJ183" s="315">
        <f>Data!AJ186</f>
        <v>-59</v>
      </c>
      <c r="AK183" s="315">
        <f>Data!AK186</f>
        <v>-24</v>
      </c>
      <c r="AL183" s="315">
        <f>Data!AL186</f>
        <v>-49</v>
      </c>
      <c r="AM183" s="285">
        <f t="shared" si="360"/>
        <v>-189</v>
      </c>
      <c r="AN183" s="241">
        <f>Data!AN186</f>
        <v>-47</v>
      </c>
      <c r="AO183" s="241">
        <f>Data!AO186</f>
        <v>-43</v>
      </c>
      <c r="AP183" s="241">
        <f>Data!AP186</f>
        <v>-22</v>
      </c>
      <c r="AQ183" s="241">
        <f>Data!AQ186</f>
        <v>-24</v>
      </c>
      <c r="AR183" s="285">
        <f t="shared" si="361"/>
        <v>-136</v>
      </c>
      <c r="AS183" s="241">
        <f>Data!AS186</f>
        <v>-22</v>
      </c>
      <c r="AT183" s="241">
        <f>Data!AT186</f>
        <v>-22</v>
      </c>
      <c r="AU183" s="241">
        <f>Data!AU186</f>
        <v>-19</v>
      </c>
      <c r="AV183" s="241">
        <f>Data!AV186</f>
        <v>-20</v>
      </c>
      <c r="AW183" s="285">
        <f t="shared" si="362"/>
        <v>-83</v>
      </c>
      <c r="AX183" s="121">
        <f>Data!AX186</f>
        <v>-22</v>
      </c>
      <c r="AY183" s="121">
        <f>Data!AY186</f>
        <v>-19</v>
      </c>
      <c r="AZ183" s="121">
        <f>Data!AZ186</f>
        <v>-23</v>
      </c>
      <c r="BA183" s="121">
        <f>Data!BA186</f>
        <v>-17</v>
      </c>
      <c r="BB183" s="285">
        <f t="shared" si="363"/>
        <v>-81</v>
      </c>
      <c r="BC183" s="121">
        <f>Data!BC186</f>
        <v>-31</v>
      </c>
      <c r="BD183" s="121">
        <f>Data!BD186</f>
        <v>-22</v>
      </c>
      <c r="BE183" s="121">
        <f>Data!BE186</f>
        <v>-21</v>
      </c>
      <c r="BF183" s="121">
        <f>Data!BF186</f>
        <v>-21</v>
      </c>
      <c r="BG183" s="120">
        <f t="shared" si="364"/>
        <v>-95</v>
      </c>
      <c r="BH183" s="121">
        <f>Data!BH186</f>
        <v>-24</v>
      </c>
      <c r="BI183" s="121">
        <f>Data!BI186</f>
        <v>-20</v>
      </c>
      <c r="BJ183" s="121">
        <f>Data!BJ186</f>
        <v>-22</v>
      </c>
      <c r="BK183" s="121">
        <f>Data!BK186</f>
        <v>-1</v>
      </c>
      <c r="BL183" s="120">
        <f t="shared" si="365"/>
        <v>-67</v>
      </c>
      <c r="BM183" s="121">
        <f>Data!BM186</f>
        <v>-21</v>
      </c>
      <c r="BN183" s="121">
        <f>Data!BN186</f>
        <v>-16</v>
      </c>
      <c r="BO183" s="121">
        <f>Data!BO186</f>
        <v>-20</v>
      </c>
      <c r="BP183" s="121">
        <f>Data!BP186</f>
        <v>-19</v>
      </c>
      <c r="BQ183" s="120">
        <f t="shared" si="366"/>
        <v>-76</v>
      </c>
      <c r="BR183" s="121">
        <f>Data!BR186</f>
        <v>-23</v>
      </c>
      <c r="BS183" s="121">
        <f>Data!BS186</f>
        <v>-18</v>
      </c>
      <c r="BT183" s="121">
        <f>Data!BT186</f>
        <v>-9</v>
      </c>
      <c r="BU183" s="121">
        <f>Data!BU186</f>
        <v>-16</v>
      </c>
      <c r="BV183" s="120">
        <f t="shared" si="343"/>
        <v>-66</v>
      </c>
      <c r="BW183" s="121">
        <f>Data!BW186</f>
        <v>-21</v>
      </c>
      <c r="BX183" s="121">
        <f>Data!BX186</f>
        <v>-25</v>
      </c>
      <c r="BY183" s="121">
        <f>Data!BY186</f>
        <v>-21</v>
      </c>
      <c r="BZ183" s="121">
        <f>Data!BZ186</f>
        <v>-10</v>
      </c>
      <c r="CA183" s="120">
        <f t="shared" si="367"/>
        <v>-77</v>
      </c>
      <c r="CB183" s="121">
        <f>Data!CB186</f>
        <v>-18</v>
      </c>
      <c r="CC183" s="121">
        <f>Data!CC186</f>
        <v>-18</v>
      </c>
      <c r="CD183" s="121">
        <f>Data!CD186</f>
        <v>-24</v>
      </c>
      <c r="CE183" s="121">
        <f>Data!CE186</f>
        <v>-16</v>
      </c>
      <c r="CF183" s="120">
        <f t="shared" si="371"/>
        <v>-76</v>
      </c>
      <c r="CG183" s="121">
        <f>Data!CG186</f>
        <v>-14</v>
      </c>
      <c r="CH183" s="121">
        <f>Data!CH186</f>
        <v>-22</v>
      </c>
      <c r="CI183" s="121">
        <f>Data!CI186</f>
        <v>-21</v>
      </c>
      <c r="CJ183" s="121">
        <f>Data!CJ186</f>
        <v>-8</v>
      </c>
      <c r="CK183" s="120">
        <f t="shared" si="372"/>
        <v>-65</v>
      </c>
      <c r="CL183" s="121">
        <f>Data!CL186</f>
        <v>-18</v>
      </c>
      <c r="CM183" s="121">
        <f>Data!CM186</f>
        <v>-25</v>
      </c>
      <c r="CN183" s="121">
        <f>Data!CN186</f>
        <v>-37</v>
      </c>
      <c r="CO183" s="121">
        <f>Data!CO186</f>
        <v>-40</v>
      </c>
      <c r="CP183" s="120">
        <f t="shared" si="373"/>
        <v>-120</v>
      </c>
      <c r="CQ183" s="121">
        <f>Data!CQ186</f>
        <v>-128</v>
      </c>
      <c r="CR183" s="121">
        <f>Data!CR186</f>
        <v>-14</v>
      </c>
      <c r="CS183" s="121">
        <f>Data!CS186</f>
        <v>-29</v>
      </c>
      <c r="CT183" s="121">
        <f>Data!CT186</f>
        <v>-3</v>
      </c>
      <c r="CU183" s="120">
        <f t="shared" si="374"/>
        <v>-174</v>
      </c>
      <c r="CV183" s="121">
        <f>Data!CV186</f>
        <v>-83</v>
      </c>
      <c r="CW183" s="121">
        <f>Data!CW186</f>
        <v>-25</v>
      </c>
      <c r="CX183" s="121">
        <f>Data!CX186</f>
        <v>44</v>
      </c>
      <c r="CY183" s="121">
        <f>Data!CY186</f>
        <v>-50</v>
      </c>
      <c r="CZ183" s="120">
        <f t="shared" ref="CZ183:CZ185" si="381">SUM(CV183:CY183)</f>
        <v>-114</v>
      </c>
      <c r="DA183" s="121">
        <f>Data!DA186</f>
        <v>-52</v>
      </c>
      <c r="DB183" s="121">
        <f>Data!DB186</f>
        <v>14</v>
      </c>
      <c r="DC183" s="121">
        <f>Data!DC186</f>
        <v>5</v>
      </c>
      <c r="DD183" s="121">
        <f>Data!DD186</f>
        <v>95</v>
      </c>
      <c r="DE183" s="120">
        <f t="shared" ref="DE183:DE185" si="382">SUM(DA183:DD183)</f>
        <v>62</v>
      </c>
      <c r="DF183" s="121">
        <f>Data!DF186</f>
        <v>10</v>
      </c>
      <c r="DG183" s="121">
        <f>Data!DG186</f>
        <v>43</v>
      </c>
      <c r="DH183" s="121">
        <f>Data!DH186</f>
        <v>65</v>
      </c>
      <c r="DI183" s="121">
        <f>Data!DI186</f>
        <v>53</v>
      </c>
      <c r="DJ183" s="120">
        <f t="shared" ref="DJ183:DJ185" si="383">SUM(DF183:DI183)</f>
        <v>171</v>
      </c>
      <c r="DK183" s="121">
        <f>Data!DK186</f>
        <v>-30</v>
      </c>
      <c r="DL183" s="121">
        <f>Data!DL186</f>
        <v>-21</v>
      </c>
      <c r="DM183" s="121">
        <f>Data!DM186</f>
        <v>11</v>
      </c>
      <c r="DN183" s="121">
        <f>Data!DN186</f>
        <v>-9</v>
      </c>
      <c r="DO183" s="120">
        <f t="shared" ref="DO183:DO185" si="384">SUM(DK183:DN183)</f>
        <v>-49</v>
      </c>
      <c r="DP183" s="121">
        <f>Data!DP186</f>
        <v>-55</v>
      </c>
      <c r="DQ183" s="121">
        <f>Data!DQ186</f>
        <v>3</v>
      </c>
      <c r="DR183" s="122">
        <v>-25</v>
      </c>
      <c r="DS183" s="122">
        <v>-40</v>
      </c>
      <c r="DT183" s="120">
        <f t="shared" ref="DT183:DT185" si="385">SUM(DP183:DS183)</f>
        <v>-117</v>
      </c>
      <c r="DU183" s="122">
        <v>-5</v>
      </c>
      <c r="DV183" s="122">
        <v>-20</v>
      </c>
      <c r="DW183" s="122">
        <v>-25</v>
      </c>
      <c r="DX183" s="122">
        <v>-45</v>
      </c>
      <c r="DY183" s="120">
        <f t="shared" ref="DY183:DY185" si="386">SUM(DU183:DX183)</f>
        <v>-95</v>
      </c>
      <c r="DZ183" s="123">
        <v>-105</v>
      </c>
      <c r="EA183" s="123">
        <v>-110</v>
      </c>
      <c r="EB183" s="123">
        <v>-115</v>
      </c>
    </row>
    <row r="184" spans="1:132" s="241" customFormat="1" ht="12" hidden="1" customHeight="1" outlineLevel="1">
      <c r="B184" s="311" t="s">
        <v>269</v>
      </c>
      <c r="C184" s="314">
        <f>Data!C187</f>
        <v>0</v>
      </c>
      <c r="D184" s="314">
        <f>Data!D187</f>
        <v>0</v>
      </c>
      <c r="E184" s="314">
        <f>Data!E187</f>
        <v>0</v>
      </c>
      <c r="F184" s="314">
        <f>Data!F187</f>
        <v>0</v>
      </c>
      <c r="G184" s="314">
        <f>Data!G187</f>
        <v>0</v>
      </c>
      <c r="H184" s="314">
        <f>Data!H187</f>
        <v>0</v>
      </c>
      <c r="I184" s="314">
        <f>Data!I187</f>
        <v>-68</v>
      </c>
      <c r="J184" s="315">
        <f>Data!J187</f>
        <v>0</v>
      </c>
      <c r="K184" s="315">
        <f>Data!K187</f>
        <v>0</v>
      </c>
      <c r="L184" s="315">
        <f>Data!L187</f>
        <v>0</v>
      </c>
      <c r="M184" s="315">
        <f>Data!M187</f>
        <v>0</v>
      </c>
      <c r="N184" s="314">
        <f>Data!N187</f>
        <v>-72</v>
      </c>
      <c r="O184" s="315">
        <f>Data!O187</f>
        <v>-87</v>
      </c>
      <c r="P184" s="315">
        <f>Data!P187</f>
        <v>-47</v>
      </c>
      <c r="Q184" s="315">
        <f>Data!Q187</f>
        <v>-14</v>
      </c>
      <c r="R184" s="315">
        <f>Data!R187</f>
        <v>-117</v>
      </c>
      <c r="S184" s="314">
        <f t="shared" si="356"/>
        <v>-265</v>
      </c>
      <c r="T184" s="315">
        <f>Data!T187</f>
        <v>-109</v>
      </c>
      <c r="U184" s="315">
        <f>Data!U187</f>
        <v>-38</v>
      </c>
      <c r="V184" s="315">
        <f>Data!V187</f>
        <v>16</v>
      </c>
      <c r="W184" s="315">
        <f>Data!W187</f>
        <v>-80</v>
      </c>
      <c r="X184" s="314">
        <f t="shared" si="357"/>
        <v>-211</v>
      </c>
      <c r="Y184" s="315">
        <f>Data!Y187</f>
        <v>-10</v>
      </c>
      <c r="Z184" s="315">
        <f>Data!Z187</f>
        <v>-53</v>
      </c>
      <c r="AA184" s="315">
        <f>Data!AA187</f>
        <v>-54</v>
      </c>
      <c r="AB184" s="315">
        <f>Data!AB187</f>
        <v>66</v>
      </c>
      <c r="AC184" s="314">
        <f t="shared" si="358"/>
        <v>-51</v>
      </c>
      <c r="AD184" s="315">
        <f>Data!AD187</f>
        <v>61</v>
      </c>
      <c r="AE184" s="315">
        <f>Data!AE187</f>
        <v>20</v>
      </c>
      <c r="AF184" s="315">
        <f>Data!AF187</f>
        <v>55</v>
      </c>
      <c r="AG184" s="315">
        <f>Data!AG187</f>
        <v>87</v>
      </c>
      <c r="AH184" s="314">
        <f t="shared" si="359"/>
        <v>223</v>
      </c>
      <c r="AI184" s="315">
        <f>Data!AI187</f>
        <v>23</v>
      </c>
      <c r="AJ184" s="315">
        <f>Data!AJ187</f>
        <v>-69</v>
      </c>
      <c r="AK184" s="315">
        <f>Data!AK187</f>
        <v>-88</v>
      </c>
      <c r="AL184" s="315">
        <f>Data!AL187</f>
        <v>-24</v>
      </c>
      <c r="AM184" s="285">
        <f t="shared" si="360"/>
        <v>-158</v>
      </c>
      <c r="AN184" s="241">
        <f>Data!AN187</f>
        <v>-81</v>
      </c>
      <c r="AO184" s="241">
        <f>Data!AO187</f>
        <v>44</v>
      </c>
      <c r="AP184" s="241">
        <f>Data!AP187</f>
        <v>-47</v>
      </c>
      <c r="AQ184" s="241">
        <f>Data!AQ187</f>
        <v>-28</v>
      </c>
      <c r="AR184" s="285">
        <f t="shared" si="361"/>
        <v>-112</v>
      </c>
      <c r="AS184" s="241">
        <f>Data!AS187</f>
        <v>-50</v>
      </c>
      <c r="AT184" s="241">
        <f>Data!AT187</f>
        <v>-10</v>
      </c>
      <c r="AU184" s="241">
        <f>Data!AU187</f>
        <v>64</v>
      </c>
      <c r="AV184" s="241">
        <f>Data!AV187</f>
        <v>-65</v>
      </c>
      <c r="AW184" s="285">
        <f t="shared" si="362"/>
        <v>-61</v>
      </c>
      <c r="AX184" s="121">
        <f>Data!AX187</f>
        <v>-36</v>
      </c>
      <c r="AY184" s="121">
        <f>Data!AY187</f>
        <v>2</v>
      </c>
      <c r="AZ184" s="121">
        <f>Data!AZ187</f>
        <v>-15</v>
      </c>
      <c r="BA184" s="121">
        <f>Data!BA187</f>
        <v>-26</v>
      </c>
      <c r="BB184" s="285">
        <f t="shared" si="363"/>
        <v>-75</v>
      </c>
      <c r="BC184" s="121">
        <f>Data!BC187</f>
        <v>-56</v>
      </c>
      <c r="BD184" s="121">
        <f>Data!BD187</f>
        <v>-46</v>
      </c>
      <c r="BE184" s="121">
        <f>Data!BE187</f>
        <v>-63</v>
      </c>
      <c r="BF184" s="121">
        <f>Data!BF187</f>
        <v>-73</v>
      </c>
      <c r="BG184" s="120">
        <f t="shared" si="364"/>
        <v>-238</v>
      </c>
      <c r="BH184" s="121">
        <f>Data!BH187</f>
        <v>7</v>
      </c>
      <c r="BI184" s="121">
        <f>Data!BI187</f>
        <v>-26</v>
      </c>
      <c r="BJ184" s="121">
        <f>Data!BJ187</f>
        <v>-3</v>
      </c>
      <c r="BK184" s="121">
        <f>Data!BK187</f>
        <v>-22</v>
      </c>
      <c r="BL184" s="120">
        <f t="shared" si="365"/>
        <v>-44</v>
      </c>
      <c r="BM184" s="121">
        <f>Data!BM187</f>
        <v>-58</v>
      </c>
      <c r="BN184" s="121">
        <f>Data!BN187</f>
        <v>10</v>
      </c>
      <c r="BO184" s="121">
        <f>Data!BO187</f>
        <v>38</v>
      </c>
      <c r="BP184" s="121">
        <f>Data!BP187</f>
        <v>-53</v>
      </c>
      <c r="BQ184" s="120">
        <f t="shared" si="366"/>
        <v>-63</v>
      </c>
      <c r="BR184" s="121">
        <f>Data!BR187</f>
        <v>16</v>
      </c>
      <c r="BS184" s="121">
        <f>Data!BS187</f>
        <v>-21</v>
      </c>
      <c r="BT184" s="121">
        <f>Data!BT187</f>
        <v>-33</v>
      </c>
      <c r="BU184" s="121">
        <f>Data!BU187</f>
        <v>-8</v>
      </c>
      <c r="BV184" s="120">
        <f t="shared" si="343"/>
        <v>-46</v>
      </c>
      <c r="BW184" s="121">
        <f>Data!BW187</f>
        <v>-50</v>
      </c>
      <c r="BX184" s="121">
        <f>Data!BX187</f>
        <v>-46</v>
      </c>
      <c r="BY184" s="121">
        <f>Data!BY187</f>
        <v>-78</v>
      </c>
      <c r="BZ184" s="121">
        <f>Data!BZ187</f>
        <v>-66</v>
      </c>
      <c r="CA184" s="120">
        <f t="shared" si="367"/>
        <v>-240</v>
      </c>
      <c r="CB184" s="121">
        <f>Data!CB187</f>
        <v>-29</v>
      </c>
      <c r="CC184" s="121">
        <f>Data!CC187</f>
        <v>-27</v>
      </c>
      <c r="CD184" s="121">
        <f>Data!CD187</f>
        <v>-56</v>
      </c>
      <c r="CE184" s="121">
        <f>Data!CE187</f>
        <v>93</v>
      </c>
      <c r="CF184" s="120">
        <f t="shared" si="371"/>
        <v>-19</v>
      </c>
      <c r="CG184" s="121">
        <f>Data!CG187</f>
        <v>-102</v>
      </c>
      <c r="CH184" s="121">
        <f>Data!CH187</f>
        <v>-27</v>
      </c>
      <c r="CI184" s="121">
        <f>Data!CI187</f>
        <v>-25</v>
      </c>
      <c r="CJ184" s="121">
        <f>Data!CJ187</f>
        <v>-20</v>
      </c>
      <c r="CK184" s="120">
        <f t="shared" si="372"/>
        <v>-174</v>
      </c>
      <c r="CL184" s="121">
        <f>Data!CL187</f>
        <v>193</v>
      </c>
      <c r="CM184" s="121">
        <f>Data!CM187</f>
        <v>-120</v>
      </c>
      <c r="CN184" s="121">
        <f>Data!CN187</f>
        <v>-39</v>
      </c>
      <c r="CO184" s="121">
        <f>Data!CO187</f>
        <v>-127</v>
      </c>
      <c r="CP184" s="120">
        <f t="shared" si="373"/>
        <v>-93</v>
      </c>
      <c r="CQ184" s="121">
        <f>Data!CQ187</f>
        <v>-52</v>
      </c>
      <c r="CR184" s="121">
        <f>Data!CR187</f>
        <v>-42</v>
      </c>
      <c r="CS184" s="121">
        <f>Data!CS187</f>
        <v>8</v>
      </c>
      <c r="CT184" s="121">
        <f>Data!CT187</f>
        <v>-40</v>
      </c>
      <c r="CU184" s="120">
        <f t="shared" si="374"/>
        <v>-126</v>
      </c>
      <c r="CV184" s="121">
        <f>Data!CV187</f>
        <v>42</v>
      </c>
      <c r="CW184" s="121">
        <f>Data!CW187</f>
        <v>124</v>
      </c>
      <c r="CX184" s="121">
        <f>Data!CX187</f>
        <v>38</v>
      </c>
      <c r="CY184" s="121">
        <f>Data!CY187</f>
        <v>-87</v>
      </c>
      <c r="CZ184" s="120">
        <f t="shared" si="381"/>
        <v>117</v>
      </c>
      <c r="DA184" s="121">
        <f>Data!DA187</f>
        <v>-54</v>
      </c>
      <c r="DB184" s="121">
        <f>Data!DB187</f>
        <v>-42</v>
      </c>
      <c r="DC184" s="121">
        <f>Data!DC187</f>
        <v>25</v>
      </c>
      <c r="DD184" s="121">
        <f>Data!DD187</f>
        <v>-117</v>
      </c>
      <c r="DE184" s="120">
        <f t="shared" si="382"/>
        <v>-188</v>
      </c>
      <c r="DF184" s="121">
        <f>Data!DF187</f>
        <v>-30</v>
      </c>
      <c r="DG184" s="121">
        <f>Data!DG187</f>
        <v>-19</v>
      </c>
      <c r="DH184" s="121">
        <f>Data!DH187</f>
        <v>-51</v>
      </c>
      <c r="DI184" s="121">
        <f>Data!DI187</f>
        <v>-14</v>
      </c>
      <c r="DJ184" s="120">
        <f t="shared" si="383"/>
        <v>-114</v>
      </c>
      <c r="DK184" s="121">
        <f>Data!DK187</f>
        <v>5</v>
      </c>
      <c r="DL184" s="121">
        <f>Data!DL187</f>
        <v>-85</v>
      </c>
      <c r="DM184" s="121">
        <f>Data!DM187</f>
        <v>-70</v>
      </c>
      <c r="DN184" s="121">
        <f>Data!DN187</f>
        <v>-32</v>
      </c>
      <c r="DO184" s="120">
        <f t="shared" si="384"/>
        <v>-182</v>
      </c>
      <c r="DP184" s="121">
        <f>Data!DP187</f>
        <v>17</v>
      </c>
      <c r="DQ184" s="121">
        <f>Data!DQ187</f>
        <v>-124</v>
      </c>
      <c r="DR184" s="122">
        <v>-40</v>
      </c>
      <c r="DS184" s="122">
        <v>-50</v>
      </c>
      <c r="DT184" s="120">
        <f t="shared" si="385"/>
        <v>-197</v>
      </c>
      <c r="DU184" s="122">
        <v>-25</v>
      </c>
      <c r="DV184" s="122">
        <v>-35</v>
      </c>
      <c r="DW184" s="122">
        <v>-40</v>
      </c>
      <c r="DX184" s="122">
        <v>-80</v>
      </c>
      <c r="DY184" s="120">
        <f t="shared" si="386"/>
        <v>-180</v>
      </c>
      <c r="DZ184" s="123">
        <v>-190</v>
      </c>
      <c r="EA184" s="123">
        <v>-195</v>
      </c>
      <c r="EB184" s="123">
        <v>-200</v>
      </c>
    </row>
    <row r="185" spans="1:132" s="70" customFormat="1" ht="12" hidden="1" customHeight="1" outlineLevel="1">
      <c r="A185" s="241"/>
      <c r="B185" s="311" t="s">
        <v>270</v>
      </c>
      <c r="C185" s="244">
        <f>Data!C188</f>
        <v>0</v>
      </c>
      <c r="D185" s="244">
        <f>Data!D188</f>
        <v>0</v>
      </c>
      <c r="E185" s="244">
        <f>Data!E188</f>
        <v>0</v>
      </c>
      <c r="F185" s="244">
        <f>Data!F188</f>
        <v>0</v>
      </c>
      <c r="G185" s="244">
        <f>Data!G188</f>
        <v>0</v>
      </c>
      <c r="H185" s="244">
        <f>Data!H188</f>
        <v>0</v>
      </c>
      <c r="I185" s="244">
        <f>Data!I188</f>
        <v>-469</v>
      </c>
      <c r="J185" s="245">
        <f>Data!J188</f>
        <v>-116</v>
      </c>
      <c r="K185" s="245">
        <f>Data!K188</f>
        <v>-161</v>
      </c>
      <c r="L185" s="245">
        <f>Data!L188</f>
        <v>-222</v>
      </c>
      <c r="M185" s="245">
        <f>Data!M188</f>
        <v>86</v>
      </c>
      <c r="N185" s="244">
        <f>SUM(J185:M185)</f>
        <v>-413</v>
      </c>
      <c r="O185" s="245">
        <f>Data!O188</f>
        <v>-25</v>
      </c>
      <c r="P185" s="245">
        <f>Data!P188</f>
        <v>-97</v>
      </c>
      <c r="Q185" s="245">
        <f>Data!Q188</f>
        <v>-110</v>
      </c>
      <c r="R185" s="245">
        <f>Data!R188</f>
        <v>-208</v>
      </c>
      <c r="S185" s="244">
        <f t="shared" si="356"/>
        <v>-440</v>
      </c>
      <c r="T185" s="245">
        <f>Data!T188</f>
        <v>-141</v>
      </c>
      <c r="U185" s="245">
        <f>Data!U188</f>
        <v>-98</v>
      </c>
      <c r="V185" s="245">
        <f>Data!V188</f>
        <v>36</v>
      </c>
      <c r="W185" s="245">
        <f>Data!W188</f>
        <v>-167</v>
      </c>
      <c r="X185" s="244">
        <f t="shared" si="357"/>
        <v>-370</v>
      </c>
      <c r="Y185" s="245">
        <f>Data!Y188</f>
        <v>-44</v>
      </c>
      <c r="Z185" s="245">
        <f>Data!Z188</f>
        <v>6</v>
      </c>
      <c r="AA185" s="245">
        <f>Data!AA188</f>
        <v>10</v>
      </c>
      <c r="AB185" s="245">
        <f>Data!AB188</f>
        <v>-187</v>
      </c>
      <c r="AC185" s="244">
        <f t="shared" si="358"/>
        <v>-215</v>
      </c>
      <c r="AD185" s="245">
        <f>Data!AD188</f>
        <v>1</v>
      </c>
      <c r="AE185" s="245">
        <f>Data!AE188</f>
        <v>14</v>
      </c>
      <c r="AF185" s="245">
        <f>Data!AF188</f>
        <v>-4</v>
      </c>
      <c r="AG185" s="245">
        <f>Data!AG188</f>
        <v>-121</v>
      </c>
      <c r="AH185" s="244">
        <f t="shared" si="359"/>
        <v>-110</v>
      </c>
      <c r="AI185" s="245">
        <f>Data!AI188</f>
        <v>-81</v>
      </c>
      <c r="AJ185" s="245">
        <f>Data!AJ188</f>
        <v>-27</v>
      </c>
      <c r="AK185" s="245">
        <f>Data!AK188</f>
        <v>-97</v>
      </c>
      <c r="AL185" s="245">
        <f>Data!AL188</f>
        <v>-59</v>
      </c>
      <c r="AM185" s="69">
        <f t="shared" si="360"/>
        <v>-264</v>
      </c>
      <c r="AN185" s="70">
        <f>Data!AN188</f>
        <v>-47</v>
      </c>
      <c r="AO185" s="70">
        <f>Data!AO188</f>
        <v>-80</v>
      </c>
      <c r="AP185" s="70">
        <f>Data!AP188</f>
        <v>-167</v>
      </c>
      <c r="AQ185" s="70">
        <f>Data!AQ188</f>
        <v>-188</v>
      </c>
      <c r="AR185" s="69">
        <f t="shared" si="361"/>
        <v>-482</v>
      </c>
      <c r="AS185" s="70">
        <f>Data!AS188</f>
        <v>-43</v>
      </c>
      <c r="AT185" s="70">
        <f>Data!AT188</f>
        <v>-79</v>
      </c>
      <c r="AU185" s="70">
        <f>Data!AU188</f>
        <v>-118</v>
      </c>
      <c r="AV185" s="70">
        <f>Data!AV188</f>
        <v>-106</v>
      </c>
      <c r="AW185" s="69">
        <f t="shared" si="362"/>
        <v>-346</v>
      </c>
      <c r="AX185" s="70">
        <f>Data!AX188</f>
        <v>54</v>
      </c>
      <c r="AY185" s="70">
        <f>Data!AY188</f>
        <v>-130</v>
      </c>
      <c r="AZ185" s="70">
        <f>Data!AZ188</f>
        <v>-103</v>
      </c>
      <c r="BA185" s="70">
        <f>Data!BA188</f>
        <v>-157</v>
      </c>
      <c r="BB185" s="69">
        <f t="shared" si="363"/>
        <v>-336</v>
      </c>
      <c r="BC185" s="70">
        <f>Data!BC188</f>
        <v>-83</v>
      </c>
      <c r="BD185" s="70">
        <f>Data!BD188</f>
        <v>-109</v>
      </c>
      <c r="BE185" s="70">
        <f>Data!BE188</f>
        <v>-142</v>
      </c>
      <c r="BF185" s="70">
        <f>Data!BF188</f>
        <v>-438</v>
      </c>
      <c r="BG185" s="69">
        <f t="shared" si="364"/>
        <v>-772</v>
      </c>
      <c r="BH185" s="70">
        <f>Data!BH188</f>
        <v>-150</v>
      </c>
      <c r="BI185" s="70">
        <f>Data!BI188</f>
        <v>-80</v>
      </c>
      <c r="BJ185" s="70">
        <f>Data!BJ188</f>
        <v>-168</v>
      </c>
      <c r="BK185" s="70">
        <f>Data!BK188</f>
        <v>-138</v>
      </c>
      <c r="BL185" s="69">
        <f t="shared" si="365"/>
        <v>-536</v>
      </c>
      <c r="BM185" s="70">
        <f>Data!BM188</f>
        <v>-169</v>
      </c>
      <c r="BN185" s="70">
        <f>Data!BN188</f>
        <v>-44</v>
      </c>
      <c r="BO185" s="70">
        <f>Data!BO188</f>
        <v>-160</v>
      </c>
      <c r="BP185" s="70">
        <f>Data!BP188</f>
        <v>-207</v>
      </c>
      <c r="BQ185" s="69">
        <f t="shared" si="366"/>
        <v>-580</v>
      </c>
      <c r="BR185" s="70">
        <f>Data!BR188</f>
        <v>-159</v>
      </c>
      <c r="BS185" s="70">
        <f>Data!BS188</f>
        <v>-87</v>
      </c>
      <c r="BT185" s="70">
        <f>Data!BT188</f>
        <v>-158</v>
      </c>
      <c r="BU185" s="70">
        <f>Data!BU188</f>
        <v>-217</v>
      </c>
      <c r="BV185" s="69">
        <f t="shared" si="343"/>
        <v>-621</v>
      </c>
      <c r="BW185" s="70">
        <f>Data!BW188</f>
        <v>-150</v>
      </c>
      <c r="BX185" s="70">
        <f>Data!BX188</f>
        <v>-246</v>
      </c>
      <c r="BY185" s="70">
        <f>Data!BY188</f>
        <v>-134</v>
      </c>
      <c r="BZ185" s="70">
        <f>Data!BZ188</f>
        <v>-252</v>
      </c>
      <c r="CA185" s="69">
        <f t="shared" si="367"/>
        <v>-782</v>
      </c>
      <c r="CB185" s="70">
        <f>Data!CB188</f>
        <v>-279</v>
      </c>
      <c r="CC185" s="70">
        <f>Data!CC188</f>
        <v>-351</v>
      </c>
      <c r="CD185" s="70">
        <f>Data!CD188</f>
        <v>-391</v>
      </c>
      <c r="CE185" s="70">
        <f>Data!CE188</f>
        <v>-326</v>
      </c>
      <c r="CF185" s="69">
        <f t="shared" si="371"/>
        <v>-1347</v>
      </c>
      <c r="CG185" s="70">
        <f>Data!CG188</f>
        <v>-591</v>
      </c>
      <c r="CH185" s="70">
        <f>Data!CH188</f>
        <v>-449</v>
      </c>
      <c r="CI185" s="70">
        <f>Data!CI188</f>
        <v>-475</v>
      </c>
      <c r="CJ185" s="70">
        <f>Data!CJ188</f>
        <v>-311</v>
      </c>
      <c r="CK185" s="69">
        <f t="shared" si="372"/>
        <v>-1826</v>
      </c>
      <c r="CL185" s="70">
        <f>Data!CL188</f>
        <v>-348</v>
      </c>
      <c r="CM185" s="70">
        <f>Data!CM188</f>
        <v>-333</v>
      </c>
      <c r="CN185" s="70">
        <f>Data!CN188</f>
        <v>-238</v>
      </c>
      <c r="CO185" s="70">
        <f>Data!CO188</f>
        <v>-1223</v>
      </c>
      <c r="CP185" s="69">
        <f t="shared" si="373"/>
        <v>-2142</v>
      </c>
      <c r="CQ185" s="70">
        <f>Data!CQ188</f>
        <v>-184</v>
      </c>
      <c r="CR185" s="70">
        <f>Data!CR188</f>
        <v>-242</v>
      </c>
      <c r="CS185" s="70">
        <f>Data!CS188</f>
        <v>-349</v>
      </c>
      <c r="CT185" s="70">
        <f>Data!CT188</f>
        <v>-192</v>
      </c>
      <c r="CU185" s="69">
        <f t="shared" si="374"/>
        <v>-967</v>
      </c>
      <c r="CV185" s="70">
        <f>Data!CV188</f>
        <v>-219</v>
      </c>
      <c r="CW185" s="70">
        <f>Data!CW188</f>
        <v>-193</v>
      </c>
      <c r="CX185" s="70">
        <f>Data!CX188</f>
        <v>-475</v>
      </c>
      <c r="CY185" s="70">
        <f>Data!CY188</f>
        <v>-648</v>
      </c>
      <c r="CZ185" s="69">
        <f t="shared" si="381"/>
        <v>-1535</v>
      </c>
      <c r="DA185" s="70">
        <f>Data!DA188</f>
        <v>-354</v>
      </c>
      <c r="DB185" s="70">
        <f>Data!DB188</f>
        <v>-308</v>
      </c>
      <c r="DC185" s="70">
        <f>Data!DC188</f>
        <v>-301</v>
      </c>
      <c r="DD185" s="70">
        <f>Data!DD188</f>
        <v>-670</v>
      </c>
      <c r="DE185" s="69">
        <f t="shared" si="382"/>
        <v>-1633</v>
      </c>
      <c r="DF185" s="70">
        <f>Data!DF188</f>
        <v>-292</v>
      </c>
      <c r="DG185" s="70">
        <f>Data!DG188</f>
        <v>-658</v>
      </c>
      <c r="DH185" s="70">
        <f>Data!DH188</f>
        <v>-432</v>
      </c>
      <c r="DI185" s="70">
        <f>Data!DI188</f>
        <v>-722</v>
      </c>
      <c r="DJ185" s="69">
        <f t="shared" si="383"/>
        <v>-2104</v>
      </c>
      <c r="DK185" s="70">
        <f>Data!DK188</f>
        <v>-337</v>
      </c>
      <c r="DL185" s="70">
        <f>Data!DL188</f>
        <v>-929</v>
      </c>
      <c r="DM185" s="70">
        <f>Data!DM188</f>
        <v>-689</v>
      </c>
      <c r="DN185" s="70">
        <f>Data!DN188</f>
        <v>-845</v>
      </c>
      <c r="DO185" s="69">
        <f t="shared" si="384"/>
        <v>-2800</v>
      </c>
      <c r="DP185" s="70">
        <f>Data!DP188</f>
        <v>-310</v>
      </c>
      <c r="DQ185" s="70">
        <f>Data!DQ188</f>
        <v>-509</v>
      </c>
      <c r="DR185" s="194">
        <v>-380</v>
      </c>
      <c r="DS185" s="194">
        <v>-405</v>
      </c>
      <c r="DT185" s="69">
        <f t="shared" si="385"/>
        <v>-1604</v>
      </c>
      <c r="DU185" s="194">
        <v>-380</v>
      </c>
      <c r="DV185" s="194">
        <v>-450</v>
      </c>
      <c r="DW185" s="194">
        <v>-480</v>
      </c>
      <c r="DX185" s="194">
        <v>-500</v>
      </c>
      <c r="DY185" s="69">
        <f t="shared" si="386"/>
        <v>-1810</v>
      </c>
      <c r="DZ185" s="195">
        <v>-1890</v>
      </c>
      <c r="EA185" s="195">
        <v>-1940</v>
      </c>
      <c r="EB185" s="195">
        <v>-2000</v>
      </c>
    </row>
    <row r="186" spans="1:132" s="241" customFormat="1" ht="12" customHeight="1" collapsed="1">
      <c r="B186" s="241" t="s">
        <v>109</v>
      </c>
      <c r="C186" s="314">
        <f>Data!C189</f>
        <v>-216</v>
      </c>
      <c r="D186" s="314">
        <f>Data!D189</f>
        <v>-394</v>
      </c>
      <c r="E186" s="314">
        <f>Data!E189</f>
        <v>-946</v>
      </c>
      <c r="F186" s="314">
        <f>Data!F189</f>
        <v>-1120</v>
      </c>
      <c r="G186" s="314">
        <f>Data!G189</f>
        <v>-909</v>
      </c>
      <c r="H186" s="314">
        <f>Data!H189</f>
        <v>-1046</v>
      </c>
      <c r="I186" s="314">
        <f>Data!I189</f>
        <v>-787</v>
      </c>
      <c r="J186" s="315">
        <f>Data!J189</f>
        <v>-235</v>
      </c>
      <c r="K186" s="315">
        <f>Data!K189</f>
        <v>-325</v>
      </c>
      <c r="L186" s="315">
        <f>Data!L189</f>
        <v>-388</v>
      </c>
      <c r="M186" s="315">
        <f>Data!M189</f>
        <v>-371</v>
      </c>
      <c r="N186" s="314">
        <f>SUM(J186:M186)</f>
        <v>-1319</v>
      </c>
      <c r="O186" s="315">
        <f>Data!O189</f>
        <v>-520</v>
      </c>
      <c r="P186" s="315">
        <f>Data!P189</f>
        <v>-488</v>
      </c>
      <c r="Q186" s="315">
        <f>Data!Q189</f>
        <v>-709</v>
      </c>
      <c r="R186" s="315">
        <f>Data!R189</f>
        <v>-691</v>
      </c>
      <c r="S186" s="314">
        <f t="shared" si="356"/>
        <v>-2408</v>
      </c>
      <c r="T186" s="315">
        <f>Data!T189</f>
        <v>-570</v>
      </c>
      <c r="U186" s="315">
        <f>Data!U189</f>
        <v>-477</v>
      </c>
      <c r="V186" s="315">
        <f>Data!V189</f>
        <v>-202</v>
      </c>
      <c r="W186" s="315">
        <f>Data!W189</f>
        <v>-484</v>
      </c>
      <c r="X186" s="314">
        <f t="shared" si="357"/>
        <v>-1733</v>
      </c>
      <c r="Y186" s="315">
        <f>Data!Y189</f>
        <v>-252</v>
      </c>
      <c r="Z186" s="315">
        <f>Data!Z189</f>
        <v>-348</v>
      </c>
      <c r="AA186" s="315">
        <f>Data!AA189</f>
        <v>-285</v>
      </c>
      <c r="AB186" s="315">
        <f>Data!AB189</f>
        <v>-300</v>
      </c>
      <c r="AC186" s="314">
        <f t="shared" si="358"/>
        <v>-1185</v>
      </c>
      <c r="AD186" s="315">
        <f>Data!AD189</f>
        <v>-55</v>
      </c>
      <c r="AE186" s="315">
        <f>Data!AE189</f>
        <v>-77</v>
      </c>
      <c r="AF186" s="315">
        <f>Data!AF189</f>
        <v>-90</v>
      </c>
      <c r="AG186" s="315">
        <f>Data!AG189</f>
        <v>-101</v>
      </c>
      <c r="AH186" s="314">
        <f t="shared" si="359"/>
        <v>-323</v>
      </c>
      <c r="AI186" s="315">
        <f>SUM(AI182:AI185)</f>
        <v>-115</v>
      </c>
      <c r="AJ186" s="315">
        <f>SUM(AJ182:AJ185)</f>
        <v>-154</v>
      </c>
      <c r="AK186" s="315">
        <f>SUM(AK182:AK185)</f>
        <v>-202</v>
      </c>
      <c r="AL186" s="315">
        <f>SUM(AL182:AL185)</f>
        <v>-123</v>
      </c>
      <c r="AM186" s="285">
        <f t="shared" si="360"/>
        <v>-594</v>
      </c>
      <c r="AN186" s="241">
        <f>SUM(AN182:AN185)</f>
        <v>-165</v>
      </c>
      <c r="AO186" s="241">
        <f>SUM(AO182:AO185)</f>
        <v>-70</v>
      </c>
      <c r="AP186" s="241">
        <f>SUM(AP182:AP185)</f>
        <v>-227</v>
      </c>
      <c r="AQ186" s="241">
        <f>SUM(AQ182:AQ185)</f>
        <v>-273</v>
      </c>
      <c r="AR186" s="285">
        <f t="shared" si="361"/>
        <v>-735</v>
      </c>
      <c r="AS186" s="241">
        <f>SUM(AS182:AS185)</f>
        <v>-210</v>
      </c>
      <c r="AT186" s="241">
        <f>Data!AT189</f>
        <v>-188</v>
      </c>
      <c r="AU186" s="241">
        <f>Data!AU189</f>
        <v>-306</v>
      </c>
      <c r="AV186" s="241">
        <f>Data!AV189</f>
        <v>-284</v>
      </c>
      <c r="AW186" s="285">
        <f t="shared" si="362"/>
        <v>-988</v>
      </c>
      <c r="AX186" s="241">
        <f t="shared" ref="AX186:BG186" si="387">SUM(AX182:AX185)</f>
        <v>-212</v>
      </c>
      <c r="AY186" s="241">
        <f t="shared" si="387"/>
        <v>-392</v>
      </c>
      <c r="AZ186" s="121">
        <f t="shared" si="387"/>
        <v>-375</v>
      </c>
      <c r="BA186" s="121">
        <f>SUM(BA182:BA185)</f>
        <v>-412</v>
      </c>
      <c r="BB186" s="285">
        <f t="shared" si="387"/>
        <v>-1391</v>
      </c>
      <c r="BC186" s="241">
        <v>-509</v>
      </c>
      <c r="BD186" s="241">
        <f>SUM(BD182:BD185)</f>
        <v>-489</v>
      </c>
      <c r="BE186" s="241">
        <f>SUM(BE182:BE185)</f>
        <v>-566</v>
      </c>
      <c r="BF186" s="241">
        <f>SUM(BF182:BF185)</f>
        <v>-855</v>
      </c>
      <c r="BG186" s="120">
        <f t="shared" si="387"/>
        <v>-2419</v>
      </c>
      <c r="BH186" s="121">
        <f t="shared" ref="BH186:BQ186" si="388">SUM(BH182:BH185)</f>
        <v>-720</v>
      </c>
      <c r="BI186" s="121">
        <f t="shared" ref="BI186" si="389">SUM(BI182:BI185)</f>
        <v>-330</v>
      </c>
      <c r="BJ186" s="121">
        <f t="shared" si="388"/>
        <v>-504</v>
      </c>
      <c r="BK186" s="121">
        <f t="shared" si="388"/>
        <v>-480</v>
      </c>
      <c r="BL186" s="120">
        <f t="shared" si="388"/>
        <v>-2034</v>
      </c>
      <c r="BM186" s="121">
        <f t="shared" si="388"/>
        <v>-361</v>
      </c>
      <c r="BN186" s="121">
        <f t="shared" ref="BN186" si="390">SUM(BN182:BN185)</f>
        <v>-80</v>
      </c>
      <c r="BO186" s="121">
        <f t="shared" si="388"/>
        <v>-199</v>
      </c>
      <c r="BP186" s="121">
        <f t="shared" ref="BP186:BS186" si="391">SUM(BP182:BP185)</f>
        <v>-377</v>
      </c>
      <c r="BQ186" s="120">
        <f t="shared" si="388"/>
        <v>-1017</v>
      </c>
      <c r="BR186" s="121">
        <f t="shared" si="391"/>
        <v>-72</v>
      </c>
      <c r="BS186" s="121">
        <f t="shared" si="391"/>
        <v>-57</v>
      </c>
      <c r="BT186" s="121">
        <f t="shared" ref="BT186:BU186" si="392">SUM(BT182:BT185)</f>
        <v>-112</v>
      </c>
      <c r="BU186" s="121">
        <f t="shared" si="392"/>
        <v>-122</v>
      </c>
      <c r="BV186" s="120">
        <f t="shared" ref="BV186:CF186" si="393">SUM(BV182:BV185)</f>
        <v>-363</v>
      </c>
      <c r="BW186" s="121">
        <f t="shared" si="393"/>
        <v>-221</v>
      </c>
      <c r="BX186" s="121">
        <f t="shared" ref="BX186" si="394">SUM(BX182:BX185)</f>
        <v>-317</v>
      </c>
      <c r="BY186" s="121">
        <f t="shared" ref="BY186" si="395">SUM(BY182:BY185)</f>
        <v>-233</v>
      </c>
      <c r="BZ186" s="121">
        <f t="shared" si="393"/>
        <v>-328</v>
      </c>
      <c r="CA186" s="120">
        <f t="shared" ref="CA186:CB186" si="396">SUM(CA182:CA185)</f>
        <v>-1099</v>
      </c>
      <c r="CB186" s="121">
        <f t="shared" si="396"/>
        <v>-326</v>
      </c>
      <c r="CC186" s="121">
        <f>SUM(CC182:CC185)</f>
        <v>-396</v>
      </c>
      <c r="CD186" s="121">
        <f t="shared" si="393"/>
        <v>-471</v>
      </c>
      <c r="CE186" s="121">
        <f t="shared" ref="CE186:CG186" si="397">SUM(CE182:CE185)</f>
        <v>-249</v>
      </c>
      <c r="CF186" s="120">
        <f t="shared" si="393"/>
        <v>-1442</v>
      </c>
      <c r="CG186" s="121">
        <f t="shared" si="397"/>
        <v>-707</v>
      </c>
      <c r="CH186" s="121">
        <f t="shared" ref="CH186:CK186" si="398">SUM(CH182:CH185)</f>
        <v>-498</v>
      </c>
      <c r="CI186" s="121">
        <f t="shared" si="398"/>
        <v>-521</v>
      </c>
      <c r="CJ186" s="121">
        <f t="shared" si="398"/>
        <v>-339</v>
      </c>
      <c r="CK186" s="120">
        <f t="shared" si="398"/>
        <v>-2065</v>
      </c>
      <c r="CL186" s="121">
        <f t="shared" ref="CL186:CM186" si="399">SUM(CL182:CL185)</f>
        <v>-173</v>
      </c>
      <c r="CM186" s="121">
        <f t="shared" si="399"/>
        <v>-478</v>
      </c>
      <c r="CN186" s="121">
        <f t="shared" ref="CN186:CO186" si="400">SUM(CN182:CN185)</f>
        <v>-314</v>
      </c>
      <c r="CO186" s="121">
        <f t="shared" si="400"/>
        <v>-1390</v>
      </c>
      <c r="CP186" s="120">
        <f t="shared" ref="CP186:CQ186" si="401">SUM(CP182:CP185)</f>
        <v>-2355</v>
      </c>
      <c r="CQ186" s="121">
        <f t="shared" si="401"/>
        <v>-364</v>
      </c>
      <c r="CR186" s="121">
        <f t="shared" ref="CR186:CV186" si="402">SUM(CR182:CR185)</f>
        <v>-298</v>
      </c>
      <c r="CS186" s="121">
        <f t="shared" ref="CS186:CT186" si="403">SUM(CS182:CS185)</f>
        <v>-370</v>
      </c>
      <c r="CT186" s="121">
        <f t="shared" si="403"/>
        <v>-235</v>
      </c>
      <c r="CU186" s="120">
        <f t="shared" si="402"/>
        <v>-1267</v>
      </c>
      <c r="CV186" s="121">
        <f t="shared" si="402"/>
        <v>-260</v>
      </c>
      <c r="CW186" s="121">
        <f t="shared" ref="CW186:CX186" si="404">SUM(CW182:CW185)</f>
        <v>-94</v>
      </c>
      <c r="CX186" s="121">
        <f t="shared" si="404"/>
        <v>-393</v>
      </c>
      <c r="CY186" s="121">
        <f t="shared" ref="CY186" si="405">SUM(CY182:CY185)</f>
        <v>-785</v>
      </c>
      <c r="CZ186" s="120">
        <f t="shared" ref="CZ186:DB186" si="406">SUM(CZ182:CZ185)</f>
        <v>-1532</v>
      </c>
      <c r="DA186" s="121">
        <f t="shared" si="406"/>
        <v>-460</v>
      </c>
      <c r="DB186" s="121">
        <f t="shared" si="406"/>
        <v>-336</v>
      </c>
      <c r="DC186" s="121">
        <f t="shared" ref="DC186:DF186" si="407">SUM(DC182:DC185)</f>
        <v>-271</v>
      </c>
      <c r="DD186" s="121">
        <f t="shared" si="407"/>
        <v>-692</v>
      </c>
      <c r="DE186" s="120">
        <f t="shared" si="407"/>
        <v>-1759</v>
      </c>
      <c r="DF186" s="121">
        <f t="shared" si="407"/>
        <v>-312</v>
      </c>
      <c r="DG186" s="121">
        <f t="shared" ref="DG186:DK186" si="408">SUM(DG182:DG185)</f>
        <v>-634</v>
      </c>
      <c r="DH186" s="121">
        <f t="shared" si="408"/>
        <v>-418</v>
      </c>
      <c r="DI186" s="121">
        <f t="shared" si="408"/>
        <v>-683</v>
      </c>
      <c r="DJ186" s="120">
        <f t="shared" si="408"/>
        <v>-2047</v>
      </c>
      <c r="DK186" s="121">
        <f t="shared" si="408"/>
        <v>-362</v>
      </c>
      <c r="DL186" s="121">
        <f t="shared" ref="DL186:DN186" si="409">SUM(DL182:DL185)</f>
        <v>-1035</v>
      </c>
      <c r="DM186" s="121">
        <f t="shared" si="409"/>
        <v>-748</v>
      </c>
      <c r="DN186" s="121">
        <f t="shared" si="409"/>
        <v>-886</v>
      </c>
      <c r="DO186" s="120">
        <f t="shared" ref="DO186:DQ186" si="410">SUM(DO182:DO185)</f>
        <v>-3031</v>
      </c>
      <c r="DP186" s="121">
        <f t="shared" si="410"/>
        <v>-348</v>
      </c>
      <c r="DQ186" s="121">
        <f t="shared" si="410"/>
        <v>-630</v>
      </c>
      <c r="DR186" s="121">
        <f t="shared" ref="DR186:DU186" si="411">SUM(DR182:DR185)</f>
        <v>-445</v>
      </c>
      <c r="DS186" s="121">
        <f t="shared" si="411"/>
        <v>-495</v>
      </c>
      <c r="DT186" s="120">
        <f t="shared" si="411"/>
        <v>-1918</v>
      </c>
      <c r="DU186" s="121">
        <f t="shared" si="411"/>
        <v>-410</v>
      </c>
      <c r="DV186" s="121">
        <f t="shared" ref="DV186:DY186" si="412">SUM(DV182:DV185)</f>
        <v>-505</v>
      </c>
      <c r="DW186" s="121">
        <f t="shared" si="412"/>
        <v>-545</v>
      </c>
      <c r="DX186" s="121">
        <f t="shared" si="412"/>
        <v>-625</v>
      </c>
      <c r="DY186" s="120">
        <f t="shared" si="412"/>
        <v>-2085</v>
      </c>
      <c r="DZ186" s="120">
        <f t="shared" ref="DZ186:EB186" si="413">SUM(DZ182:DZ185)</f>
        <v>-2185</v>
      </c>
      <c r="EA186" s="120">
        <f t="shared" si="413"/>
        <v>-2245</v>
      </c>
      <c r="EB186" s="120">
        <f t="shared" si="413"/>
        <v>-2315</v>
      </c>
    </row>
    <row r="187" spans="1:132" s="241" customFormat="1" ht="12" customHeight="1">
      <c r="B187" s="241" t="s">
        <v>587</v>
      </c>
      <c r="C187" s="314"/>
      <c r="D187" s="314"/>
      <c r="E187" s="314"/>
      <c r="F187" s="314"/>
      <c r="G187" s="314"/>
      <c r="H187" s="314"/>
      <c r="I187" s="314"/>
      <c r="J187" s="315"/>
      <c r="K187" s="315"/>
      <c r="L187" s="315"/>
      <c r="M187" s="315"/>
      <c r="N187" s="314"/>
      <c r="O187" s="315"/>
      <c r="P187" s="315"/>
      <c r="Q187" s="315"/>
      <c r="R187" s="315"/>
      <c r="S187" s="314"/>
      <c r="T187" s="315"/>
      <c r="U187" s="315"/>
      <c r="V187" s="315"/>
      <c r="W187" s="315"/>
      <c r="X187" s="314"/>
      <c r="Y187" s="315"/>
      <c r="Z187" s="315"/>
      <c r="AA187" s="315"/>
      <c r="AB187" s="315"/>
      <c r="AC187" s="314"/>
      <c r="AD187" s="315"/>
      <c r="AE187" s="315"/>
      <c r="AF187" s="315"/>
      <c r="AG187" s="315"/>
      <c r="AH187" s="314"/>
      <c r="AI187" s="315"/>
      <c r="AJ187" s="315"/>
      <c r="AK187" s="315"/>
      <c r="AL187" s="315"/>
      <c r="AM187" s="285"/>
      <c r="AR187" s="285"/>
      <c r="AW187" s="285"/>
      <c r="AZ187" s="121"/>
      <c r="BA187" s="121"/>
      <c r="BB187" s="285"/>
      <c r="BG187" s="120"/>
      <c r="BH187" s="121"/>
      <c r="BI187" s="121"/>
      <c r="BJ187" s="121"/>
      <c r="BK187" s="121"/>
      <c r="BL187" s="120"/>
      <c r="BM187" s="121"/>
      <c r="BN187" s="121"/>
      <c r="BO187" s="121"/>
      <c r="BP187" s="121"/>
      <c r="BQ187" s="120"/>
      <c r="BR187" s="121"/>
      <c r="BS187" s="121"/>
      <c r="BT187" s="121"/>
      <c r="BU187" s="121"/>
      <c r="BV187" s="120"/>
      <c r="BW187" s="121">
        <f>Data!BW185</f>
        <v>346</v>
      </c>
      <c r="BX187" s="121">
        <f>Data!BX185</f>
        <v>357</v>
      </c>
      <c r="BY187" s="121">
        <f>Data!BY185</f>
        <v>346</v>
      </c>
      <c r="BZ187" s="121">
        <f>Data!BZ185</f>
        <v>389</v>
      </c>
      <c r="CA187" s="120">
        <f>SUM(BW187:BZ187)</f>
        <v>1438</v>
      </c>
      <c r="CB187" s="121">
        <f>Data!CB185</f>
        <v>365</v>
      </c>
      <c r="CC187" s="121">
        <f>Data!CC185</f>
        <v>317</v>
      </c>
      <c r="CD187" s="121">
        <f>Data!CD185</f>
        <v>337</v>
      </c>
      <c r="CE187" s="121">
        <f>Data!CE185</f>
        <v>308</v>
      </c>
      <c r="CF187" s="120">
        <f>SUM(CB187:CE187)</f>
        <v>1327</v>
      </c>
      <c r="CG187" s="121">
        <f>Data!CG185</f>
        <v>364</v>
      </c>
      <c r="CH187" s="121">
        <f>Data!CH185</f>
        <v>365</v>
      </c>
      <c r="CI187" s="121">
        <f>Data!CI185</f>
        <v>364</v>
      </c>
      <c r="CJ187" s="121">
        <f>Data!CJ185</f>
        <v>322</v>
      </c>
      <c r="CK187" s="120">
        <f>SUM(CG187:CJ187)</f>
        <v>1415</v>
      </c>
      <c r="CL187" s="121">
        <f>Data!CL185</f>
        <v>347</v>
      </c>
      <c r="CM187" s="121">
        <f>Data!CM185</f>
        <v>355</v>
      </c>
      <c r="CN187" s="121">
        <f>Data!CN185</f>
        <v>353</v>
      </c>
      <c r="CO187" s="121">
        <f>Data!CO185</f>
        <v>328</v>
      </c>
      <c r="CP187" s="120">
        <f>SUM(CL187:CO187)</f>
        <v>1383</v>
      </c>
      <c r="CQ187" s="121">
        <f>Data!CQ185</f>
        <v>270</v>
      </c>
      <c r="CR187" s="121">
        <f>Data!CR185</f>
        <v>268</v>
      </c>
      <c r="CS187" s="121">
        <f>Data!CS185</f>
        <v>270</v>
      </c>
      <c r="CT187" s="121">
        <f>Data!CT185</f>
        <v>365</v>
      </c>
      <c r="CU187" s="120">
        <f>SUM(CQ187:CT187)</f>
        <v>1173</v>
      </c>
      <c r="CV187" s="121">
        <f>Data!CV185</f>
        <v>283</v>
      </c>
      <c r="CW187" s="121">
        <f>Data!CW185</f>
        <v>284</v>
      </c>
      <c r="CX187" s="121">
        <f>Data!CX185</f>
        <v>279</v>
      </c>
      <c r="CY187" s="121">
        <f>Data!CY185</f>
        <v>297</v>
      </c>
      <c r="CZ187" s="120">
        <f>SUM(CV187:CY187)</f>
        <v>1143</v>
      </c>
      <c r="DA187" s="121">
        <f>Data!DA185</f>
        <v>291</v>
      </c>
      <c r="DB187" s="121">
        <f>Data!DB185</f>
        <v>291</v>
      </c>
      <c r="DC187" s="121">
        <f>Data!DC185</f>
        <v>281</v>
      </c>
      <c r="DD187" s="121">
        <f>Data!DD185</f>
        <v>193</v>
      </c>
      <c r="DE187" s="120">
        <f>SUM(DA187:DD187)</f>
        <v>1056</v>
      </c>
      <c r="DF187" s="121">
        <f>Data!DF185</f>
        <v>302</v>
      </c>
      <c r="DG187" s="121">
        <f>Data!DG185</f>
        <v>302</v>
      </c>
      <c r="DH187" s="121">
        <f>Data!DH185</f>
        <v>228</v>
      </c>
      <c r="DI187" s="121">
        <f>Data!DI185</f>
        <v>272</v>
      </c>
      <c r="DJ187" s="120">
        <f>SUM(DF187:DI187)</f>
        <v>1104</v>
      </c>
      <c r="DK187" s="121">
        <f>Data!DK185</f>
        <v>262</v>
      </c>
      <c r="DL187" s="121">
        <f>Data!DL185</f>
        <v>257</v>
      </c>
      <c r="DM187" s="121">
        <f>Data!DM185</f>
        <v>268</v>
      </c>
      <c r="DN187" s="121">
        <f>Data!DN185</f>
        <v>258</v>
      </c>
      <c r="DO187" s="120">
        <f>SUM(DK187:DN187)</f>
        <v>1045</v>
      </c>
      <c r="DP187" s="121">
        <f>Data!DP185</f>
        <v>155</v>
      </c>
      <c r="DQ187" s="121">
        <f>Data!DQ185</f>
        <v>155</v>
      </c>
      <c r="DR187" s="122">
        <v>155</v>
      </c>
      <c r="DS187" s="122">
        <v>155</v>
      </c>
      <c r="DT187" s="120">
        <f>SUM(DP187:DS187)</f>
        <v>620</v>
      </c>
      <c r="DU187" s="122">
        <v>150</v>
      </c>
      <c r="DV187" s="122">
        <v>150</v>
      </c>
      <c r="DW187" s="122">
        <v>150</v>
      </c>
      <c r="DX187" s="122">
        <v>150</v>
      </c>
      <c r="DY187" s="120">
        <f>SUM(DU187:DX187)</f>
        <v>600</v>
      </c>
      <c r="DZ187" s="123">
        <v>550</v>
      </c>
      <c r="EA187" s="123">
        <v>500</v>
      </c>
      <c r="EB187" s="123">
        <v>500</v>
      </c>
    </row>
    <row r="188" spans="1:132" s="74" customFormat="1" ht="12" customHeight="1">
      <c r="B188" s="165" t="s">
        <v>188</v>
      </c>
      <c r="C188" s="336">
        <f t="shared" ref="C188:AH188" si="414">C186+C180+C178+C168+C181</f>
        <v>-355</v>
      </c>
      <c r="D188" s="336">
        <f t="shared" si="414"/>
        <v>1567</v>
      </c>
      <c r="E188" s="336">
        <f t="shared" si="414"/>
        <v>3170</v>
      </c>
      <c r="F188" s="336">
        <f t="shared" si="414"/>
        <v>3058</v>
      </c>
      <c r="G188" s="336">
        <f t="shared" si="414"/>
        <v>3896</v>
      </c>
      <c r="H188" s="336">
        <f t="shared" si="414"/>
        <v>3868</v>
      </c>
      <c r="I188" s="336">
        <f t="shared" si="414"/>
        <v>449</v>
      </c>
      <c r="J188" s="337">
        <f t="shared" si="414"/>
        <v>838</v>
      </c>
      <c r="K188" s="337">
        <f t="shared" si="414"/>
        <v>644</v>
      </c>
      <c r="L188" s="337">
        <f t="shared" si="414"/>
        <v>511</v>
      </c>
      <c r="M188" s="337">
        <f t="shared" si="414"/>
        <v>14</v>
      </c>
      <c r="N188" s="336">
        <f t="shared" si="414"/>
        <v>2007</v>
      </c>
      <c r="O188" s="337">
        <f t="shared" si="414"/>
        <v>688</v>
      </c>
      <c r="P188" s="337">
        <f t="shared" si="414"/>
        <v>810</v>
      </c>
      <c r="Q188" s="337">
        <f t="shared" si="414"/>
        <v>763</v>
      </c>
      <c r="R188" s="337">
        <f t="shared" si="414"/>
        <v>551</v>
      </c>
      <c r="S188" s="336">
        <f t="shared" si="414"/>
        <v>2812</v>
      </c>
      <c r="T188" s="337">
        <f t="shared" si="414"/>
        <v>959</v>
      </c>
      <c r="U188" s="337">
        <f t="shared" si="414"/>
        <v>523</v>
      </c>
      <c r="V188" s="337">
        <f t="shared" si="414"/>
        <v>951</v>
      </c>
      <c r="W188" s="337">
        <f t="shared" si="414"/>
        <v>1152</v>
      </c>
      <c r="X188" s="336">
        <f t="shared" si="414"/>
        <v>3585</v>
      </c>
      <c r="Y188" s="337">
        <f t="shared" si="414"/>
        <v>1309</v>
      </c>
      <c r="Z188" s="337">
        <f t="shared" si="414"/>
        <v>1506</v>
      </c>
      <c r="AA188" s="337">
        <f t="shared" si="414"/>
        <v>1499</v>
      </c>
      <c r="AB188" s="337">
        <f t="shared" si="414"/>
        <v>1516</v>
      </c>
      <c r="AC188" s="336">
        <f t="shared" si="414"/>
        <v>5830</v>
      </c>
      <c r="AD188" s="337">
        <f t="shared" si="414"/>
        <v>1799</v>
      </c>
      <c r="AE188" s="337">
        <f t="shared" si="414"/>
        <v>1247</v>
      </c>
      <c r="AF188" s="337">
        <f t="shared" si="414"/>
        <v>1147</v>
      </c>
      <c r="AG188" s="337">
        <f t="shared" si="414"/>
        <v>-243</v>
      </c>
      <c r="AH188" s="336">
        <f t="shared" si="414"/>
        <v>3950</v>
      </c>
      <c r="AI188" s="338">
        <f>AI168+AI178+AI180+AI181+AI186</f>
        <v>1025</v>
      </c>
      <c r="AJ188" s="338">
        <f>AJ168+AJ178+AJ180+AJ181+AJ186</f>
        <v>1529</v>
      </c>
      <c r="AK188" s="338">
        <f>AK168+AK178+AK180+AK181+AK186</f>
        <v>-2151</v>
      </c>
      <c r="AL188" s="338">
        <f>AL168+AL178+AL180+AL181+AL186</f>
        <v>1693</v>
      </c>
      <c r="AM188" s="186">
        <f>AM186+AM180+AM178+AM168+AM181</f>
        <v>2096</v>
      </c>
      <c r="AN188" s="165">
        <f>AN168+AN178+AN180+AN181+AN186</f>
        <v>1174</v>
      </c>
      <c r="AO188" s="165">
        <f t="shared" ref="AO188:BG188" si="415">AO186+AO180+AO178+AO168+AO181</f>
        <v>1307</v>
      </c>
      <c r="AP188" s="165">
        <f t="shared" si="415"/>
        <v>1387</v>
      </c>
      <c r="AQ188" s="165">
        <f t="shared" si="415"/>
        <v>1103</v>
      </c>
      <c r="AR188" s="186">
        <f t="shared" si="415"/>
        <v>4971</v>
      </c>
      <c r="AS188" s="165">
        <f t="shared" si="415"/>
        <v>1000</v>
      </c>
      <c r="AT188" s="165">
        <f t="shared" si="415"/>
        <v>1534</v>
      </c>
      <c r="AU188" s="165">
        <f t="shared" si="415"/>
        <v>1714</v>
      </c>
      <c r="AV188" s="165">
        <f t="shared" si="415"/>
        <v>1597</v>
      </c>
      <c r="AW188" s="186">
        <f t="shared" si="415"/>
        <v>5845</v>
      </c>
      <c r="AX188" s="165">
        <f t="shared" si="415"/>
        <v>1570</v>
      </c>
      <c r="AY188" s="165">
        <f t="shared" si="415"/>
        <v>1548</v>
      </c>
      <c r="AZ188" s="165">
        <f t="shared" si="415"/>
        <v>1564</v>
      </c>
      <c r="BA188" s="165">
        <f>BA186+BA180+BA178+BA168+BA181</f>
        <v>1629</v>
      </c>
      <c r="BB188" s="186">
        <f t="shared" si="415"/>
        <v>6311</v>
      </c>
      <c r="BC188" s="165">
        <f>BC186+BC180+BC178+BC168+BC181</f>
        <v>1528</v>
      </c>
      <c r="BD188" s="165">
        <f t="shared" si="415"/>
        <v>1716</v>
      </c>
      <c r="BE188" s="165">
        <f t="shared" ref="BE188" si="416">BE186+BE180+BE178+BE168+BE181</f>
        <v>1803</v>
      </c>
      <c r="BF188" s="165">
        <f t="shared" si="415"/>
        <v>1515.3</v>
      </c>
      <c r="BG188" s="186">
        <f t="shared" si="415"/>
        <v>6562.3</v>
      </c>
      <c r="BH188" s="165">
        <f t="shared" ref="BH188:BQ188" si="417">BH186+BH180+BH178+BH168+BH181</f>
        <v>1542</v>
      </c>
      <c r="BI188" s="165">
        <f t="shared" si="417"/>
        <v>1787</v>
      </c>
      <c r="BJ188" s="165">
        <f t="shared" si="417"/>
        <v>2119</v>
      </c>
      <c r="BK188" s="165">
        <f t="shared" si="417"/>
        <v>2025</v>
      </c>
      <c r="BL188" s="186">
        <f t="shared" si="417"/>
        <v>7473</v>
      </c>
      <c r="BM188" s="165">
        <f t="shared" si="417"/>
        <v>2019</v>
      </c>
      <c r="BN188" s="165">
        <f t="shared" ref="BN188" si="418">BN186+BN180+BN178+BN168+BN181</f>
        <v>1683</v>
      </c>
      <c r="BO188" s="165">
        <f t="shared" si="417"/>
        <v>2580</v>
      </c>
      <c r="BP188" s="165">
        <f t="shared" ref="BP188" si="419">BP186+BP180+BP178+BP168+BP181</f>
        <v>1161</v>
      </c>
      <c r="BQ188" s="186">
        <f t="shared" si="417"/>
        <v>7443</v>
      </c>
      <c r="BR188" s="165">
        <f>BR186+BR180+BR178+BR168+BR181+BR179</f>
        <v>1788</v>
      </c>
      <c r="BS188" s="165">
        <f t="shared" ref="BS188:BV188" si="420">BS186+BS180+BS178+BS168+BS181+BS179</f>
        <v>-419</v>
      </c>
      <c r="BT188" s="165">
        <f t="shared" si="420"/>
        <v>2282</v>
      </c>
      <c r="BU188" s="165">
        <f t="shared" si="420"/>
        <v>2183</v>
      </c>
      <c r="BV188" s="186">
        <f t="shared" si="420"/>
        <v>5834</v>
      </c>
      <c r="BW188" s="165">
        <f>BW186+BW180+BW178+BW168+BW181+BW179+BW187</f>
        <v>2206</v>
      </c>
      <c r="BX188" s="165">
        <f t="shared" ref="BX188:BZ188" si="421">BX186+BX180+BX178+BX168+BX181+BX179+BX187</f>
        <v>2530</v>
      </c>
      <c r="BY188" s="165">
        <f t="shared" si="421"/>
        <v>2630</v>
      </c>
      <c r="BZ188" s="165">
        <f t="shared" si="421"/>
        <v>2978</v>
      </c>
      <c r="CA188" s="186">
        <f>CA186+CA180+CA178+CA168+CA181+CA179+CA187</f>
        <v>10344</v>
      </c>
      <c r="CB188" s="165">
        <f>CB186+CB180+CB178+CB168+CB181+CB179+CB187</f>
        <v>2875</v>
      </c>
      <c r="CC188" s="165">
        <f t="shared" ref="CC188" si="422">CC186+CC180+CC178+CC168+CC181+CC179+CC187</f>
        <v>2710</v>
      </c>
      <c r="CD188" s="165">
        <f t="shared" ref="CD188" si="423">CD186+CD180+CD178+CD168+CD181+CD179+CD187</f>
        <v>2227</v>
      </c>
      <c r="CE188" s="165">
        <f t="shared" ref="CE188:CJ188" si="424">CE186+CE180+CE178+CE168+CE181+CE179+CE187</f>
        <v>4175</v>
      </c>
      <c r="CF188" s="186">
        <f>CF186+CF180+CF178+CF168+CF181+CF179+CF187</f>
        <v>11987</v>
      </c>
      <c r="CG188" s="165">
        <f t="shared" ref="CG188" si="425">CG186+CG180+CG178+CG168+CG181+CG179+CG187</f>
        <v>2350</v>
      </c>
      <c r="CH188" s="165">
        <f t="shared" si="424"/>
        <v>-3380</v>
      </c>
      <c r="CI188" s="165">
        <f t="shared" si="424"/>
        <v>1259</v>
      </c>
      <c r="CJ188" s="165">
        <f t="shared" si="424"/>
        <v>-2204</v>
      </c>
      <c r="CK188" s="186">
        <f>CK186+CK180+CK178+CK168+CK181+CK179+CK187</f>
        <v>-1975</v>
      </c>
      <c r="CL188" s="165">
        <f t="shared" ref="CL188:CO188" si="426">CL186+CL180+CL178+CL168+CL181+CL179+CL187</f>
        <v>-1353</v>
      </c>
      <c r="CM188" s="165">
        <f t="shared" si="426"/>
        <v>-2964</v>
      </c>
      <c r="CN188" s="165">
        <f t="shared" ref="CN188" si="427">CN186+CN180+CN178+CN168+CN181+CN179+CN187</f>
        <v>-401</v>
      </c>
      <c r="CO188" s="165">
        <f t="shared" si="426"/>
        <v>-8049</v>
      </c>
      <c r="CP188" s="186">
        <f>CP186+CP180+CP178+CP168+CP181+CP179+CP187</f>
        <v>-12767</v>
      </c>
      <c r="CQ188" s="165">
        <f t="shared" ref="CQ188:CS188" si="428">CQ186+CQ180+CQ178+CQ168+CQ181+CQ179+CQ187</f>
        <v>-83</v>
      </c>
      <c r="CR188" s="165">
        <f t="shared" si="428"/>
        <v>1023</v>
      </c>
      <c r="CS188" s="165">
        <f t="shared" si="428"/>
        <v>329</v>
      </c>
      <c r="CT188" s="165">
        <f t="shared" ref="CT188" si="429">CT186+CT180+CT178+CT168+CT181+CT179+CT187</f>
        <v>-4171</v>
      </c>
      <c r="CU188" s="186">
        <f>CU186+CU180+CU178+CU168+CU181+CU179+CU187</f>
        <v>-2902</v>
      </c>
      <c r="CV188" s="165">
        <f t="shared" ref="CV188:CW188" si="430">CV186+CV180+CV178+CV168+CV181+CV179+CV187</f>
        <v>-1169</v>
      </c>
      <c r="CW188" s="165">
        <f t="shared" si="430"/>
        <v>774</v>
      </c>
      <c r="CX188" s="165">
        <f t="shared" ref="CX188" si="431">CX186+CX180+CX178+CX168+CX181+CX179+CX187</f>
        <v>-2799</v>
      </c>
      <c r="CY188" s="165">
        <f t="shared" ref="CY188" si="432">CY186+CY180+CY178+CY168+CY181+CY179+CY187</f>
        <v>-353</v>
      </c>
      <c r="CZ188" s="186">
        <f>CZ186+CZ180+CZ178+CZ168+CZ181+CZ179+CZ187</f>
        <v>-3547</v>
      </c>
      <c r="DA188" s="165">
        <f t="shared" ref="DA188:DD188" si="433">DA186+DA180+DA178+DA168+DA181+DA179+DA187</f>
        <v>-149</v>
      </c>
      <c r="DB188" s="165">
        <f t="shared" si="433"/>
        <v>-99</v>
      </c>
      <c r="DC188" s="165">
        <f t="shared" si="433"/>
        <v>-808</v>
      </c>
      <c r="DD188" s="165">
        <f t="shared" si="433"/>
        <v>283</v>
      </c>
      <c r="DE188" s="186">
        <f>DE186+DE180+DE178+DE168+DE181+DE179+DE187</f>
        <v>-773</v>
      </c>
      <c r="DF188" s="165">
        <f t="shared" ref="DF188:DI188" si="434">DF186+DF180+DF178+DF168+DF181+DF179+DF187</f>
        <v>-86</v>
      </c>
      <c r="DG188" s="165">
        <f t="shared" si="434"/>
        <v>-1090</v>
      </c>
      <c r="DH188" s="165">
        <f t="shared" si="434"/>
        <v>-5761</v>
      </c>
      <c r="DI188" s="165">
        <f t="shared" si="434"/>
        <v>-3770</v>
      </c>
      <c r="DJ188" s="186">
        <f>DJ186+DJ180+DJ178+DJ168+DJ181+DJ179+DJ187</f>
        <v>-10707</v>
      </c>
      <c r="DK188" s="165">
        <f t="shared" ref="DK188:DN188" si="435">DK186+DK180+DK178+DK168+DK181+DK179+DK187</f>
        <v>461</v>
      </c>
      <c r="DL188" s="165">
        <f t="shared" si="435"/>
        <v>-176</v>
      </c>
      <c r="DM188" s="165">
        <f t="shared" si="435"/>
        <v>-4781</v>
      </c>
      <c r="DN188" s="165">
        <f t="shared" si="435"/>
        <v>8777</v>
      </c>
      <c r="DO188" s="186">
        <f>DO186+DO180+DO178+DO168+DO181+DO179+DO187</f>
        <v>4281</v>
      </c>
      <c r="DP188" s="165">
        <f t="shared" ref="DP188:DQ188" si="436">DP186+DP180+DP178+DP168+DP181+DP179+DP187</f>
        <v>448</v>
      </c>
      <c r="DQ188" s="165">
        <f t="shared" si="436"/>
        <v>156</v>
      </c>
      <c r="DR188" s="165">
        <f t="shared" ref="DR188:DS188" si="437">DR186+DR180+DR178+DR168+DR181+DR179+DR187</f>
        <v>550.64043329499634</v>
      </c>
      <c r="DS188" s="165">
        <f t="shared" si="437"/>
        <v>977.35926003640907</v>
      </c>
      <c r="DT188" s="186">
        <f>DT186+DT180+DT178+DT168+DT181+DT179+DT187</f>
        <v>2131.9996933314051</v>
      </c>
      <c r="DU188" s="165">
        <f t="shared" ref="DU188:DX188" si="438">DU186+DU180+DU178+DU168+DU181+DU179+DU187</f>
        <v>608.33830596295297</v>
      </c>
      <c r="DV188" s="165">
        <f t="shared" si="438"/>
        <v>1295.6993839569343</v>
      </c>
      <c r="DW188" s="165">
        <f t="shared" si="438"/>
        <v>1818.3720660848696</v>
      </c>
      <c r="DX188" s="165">
        <f t="shared" si="438"/>
        <v>2245.1010469523317</v>
      </c>
      <c r="DY188" s="186">
        <f>DY186+DY180+DY178+DY168+DY181+DY179+DY187</f>
        <v>5967.5108029570893</v>
      </c>
      <c r="DZ188" s="186">
        <f t="shared" ref="DZ188:EB188" si="439">DZ186+DZ180+DZ178+DZ168+DZ181+DZ179+DZ187</f>
        <v>9945.4190076546329</v>
      </c>
      <c r="EA188" s="186">
        <f t="shared" si="439"/>
        <v>14141.802829262428</v>
      </c>
      <c r="EB188" s="186">
        <f t="shared" si="439"/>
        <v>18612.240652867633</v>
      </c>
    </row>
    <row r="189" spans="1:132" s="818" customFormat="1" ht="12" hidden="1" customHeight="1" outlineLevel="1">
      <c r="B189" s="817" t="s">
        <v>577</v>
      </c>
      <c r="C189" s="819">
        <v>3150</v>
      </c>
      <c r="D189" s="819">
        <v>1350</v>
      </c>
      <c r="E189" s="819">
        <v>0</v>
      </c>
      <c r="F189" s="819">
        <v>0</v>
      </c>
      <c r="G189" s="819">
        <v>0</v>
      </c>
      <c r="H189" s="819">
        <v>0</v>
      </c>
      <c r="I189" s="819">
        <v>600</v>
      </c>
      <c r="J189" s="820">
        <v>0</v>
      </c>
      <c r="K189" s="820">
        <v>0</v>
      </c>
      <c r="L189" s="820">
        <v>0</v>
      </c>
      <c r="M189" s="820">
        <v>475</v>
      </c>
      <c r="N189" s="819">
        <f>SUM(J189:M189)</f>
        <v>475</v>
      </c>
      <c r="O189" s="820">
        <v>0</v>
      </c>
      <c r="P189" s="820">
        <v>0</v>
      </c>
      <c r="Q189" s="820">
        <v>300</v>
      </c>
      <c r="R189" s="820">
        <v>200</v>
      </c>
      <c r="S189" s="819">
        <f>SUM(O189:R189)</f>
        <v>500</v>
      </c>
      <c r="T189" s="820">
        <v>0</v>
      </c>
      <c r="U189" s="820">
        <v>0</v>
      </c>
      <c r="V189" s="820">
        <v>0</v>
      </c>
      <c r="W189" s="820">
        <v>0</v>
      </c>
      <c r="X189" s="819">
        <f>SUM(T189:W189)</f>
        <v>0</v>
      </c>
      <c r="Y189" s="820">
        <v>0</v>
      </c>
      <c r="Z189" s="820">
        <v>0</v>
      </c>
      <c r="AA189" s="820">
        <v>0</v>
      </c>
      <c r="AB189" s="820">
        <v>0</v>
      </c>
      <c r="AC189" s="819">
        <f>SUM(Y189:AB189)</f>
        <v>0</v>
      </c>
      <c r="AD189" s="820">
        <v>0</v>
      </c>
      <c r="AE189" s="820">
        <v>0</v>
      </c>
      <c r="AF189" s="820">
        <v>0</v>
      </c>
      <c r="AG189" s="820">
        <v>685</v>
      </c>
      <c r="AH189" s="819">
        <f>SUM(AD189:AG189)</f>
        <v>685</v>
      </c>
      <c r="AI189" s="820">
        <v>347</v>
      </c>
      <c r="AJ189" s="820">
        <v>0</v>
      </c>
      <c r="AK189" s="820">
        <v>0</v>
      </c>
      <c r="AL189" s="820">
        <v>0</v>
      </c>
      <c r="AM189" s="819">
        <f>SUM(AI189:AL189)</f>
        <v>347</v>
      </c>
      <c r="AN189" s="820">
        <v>0</v>
      </c>
      <c r="AO189" s="820">
        <v>0</v>
      </c>
      <c r="AP189" s="820">
        <v>0</v>
      </c>
      <c r="AQ189" s="820">
        <v>0</v>
      </c>
      <c r="AR189" s="819">
        <f>SUM(AN189:AQ189)</f>
        <v>0</v>
      </c>
      <c r="AS189" s="820"/>
      <c r="AT189" s="820"/>
      <c r="AU189" s="820"/>
      <c r="AV189" s="820"/>
      <c r="AW189" s="819">
        <f>SUM(AS189:AV189)</f>
        <v>0</v>
      </c>
      <c r="AX189" s="820"/>
      <c r="AY189" s="820"/>
      <c r="AZ189" s="820"/>
      <c r="BA189" s="820"/>
      <c r="BB189" s="819">
        <f>SUM(AX189:BA189)</f>
        <v>0</v>
      </c>
      <c r="BC189" s="820"/>
      <c r="BD189" s="820"/>
      <c r="BE189" s="820"/>
      <c r="BF189" s="820"/>
      <c r="BG189" s="819">
        <f>SUM(BC189:BF189)</f>
        <v>0</v>
      </c>
      <c r="BH189" s="821">
        <v>0</v>
      </c>
      <c r="BI189" s="821">
        <v>238</v>
      </c>
      <c r="BJ189" s="821">
        <v>0</v>
      </c>
      <c r="BK189" s="821">
        <v>0</v>
      </c>
      <c r="BL189" s="819">
        <f>SUM(BH189:BK189)</f>
        <v>238</v>
      </c>
      <c r="BM189" s="821">
        <v>0</v>
      </c>
      <c r="BN189" s="821">
        <v>513</v>
      </c>
      <c r="BO189" s="821">
        <v>0</v>
      </c>
      <c r="BP189" s="821">
        <v>885</v>
      </c>
      <c r="BQ189" s="819">
        <f>SUM(BM189:BP189)</f>
        <v>1398</v>
      </c>
      <c r="BR189" s="821">
        <f>'BCA margin'!BR87</f>
        <v>232</v>
      </c>
      <c r="BS189" s="821">
        <f>'BCA margin'!BS87</f>
        <v>2777</v>
      </c>
      <c r="BT189" s="821">
        <f>'BCA margin'!BT87</f>
        <v>0</v>
      </c>
      <c r="BU189" s="821">
        <f>'BCA margin'!BU87</f>
        <v>243</v>
      </c>
      <c r="BV189" s="819">
        <f>SUM(BR189:BU189)</f>
        <v>3252</v>
      </c>
      <c r="BW189" s="821">
        <f>'BCA margin'!BW87</f>
        <v>120</v>
      </c>
      <c r="BX189" s="821">
        <v>0</v>
      </c>
      <c r="BY189" s="821">
        <v>256</v>
      </c>
      <c r="BZ189" s="821">
        <v>0</v>
      </c>
      <c r="CA189" s="819">
        <f>SUM(BW189:BZ189)</f>
        <v>376</v>
      </c>
      <c r="CB189" s="821">
        <v>0</v>
      </c>
      <c r="CC189" s="821">
        <v>307</v>
      </c>
      <c r="CD189" s="821">
        <v>112</v>
      </c>
      <c r="CE189" s="821">
        <v>0</v>
      </c>
      <c r="CF189" s="819">
        <f>SUM(CB189:CE189)</f>
        <v>419</v>
      </c>
      <c r="CG189" s="821">
        <v>0</v>
      </c>
      <c r="CH189" s="821">
        <v>5600</v>
      </c>
      <c r="CI189" s="821">
        <v>0</v>
      </c>
      <c r="CJ189" s="821">
        <v>2600</v>
      </c>
      <c r="CK189" s="822">
        <f>SUM(CG189:CJ189)</f>
        <v>8200</v>
      </c>
      <c r="CL189" s="821">
        <f>797+336+137</f>
        <v>1270</v>
      </c>
      <c r="CM189" s="821">
        <f>551+712+468+133</f>
        <v>1864</v>
      </c>
      <c r="CN189" s="821">
        <v>590</v>
      </c>
      <c r="CO189" s="821">
        <v>6500</v>
      </c>
      <c r="CP189" s="822">
        <f>SUM(CL189:CO189)</f>
        <v>10224</v>
      </c>
      <c r="CQ189" s="821">
        <v>568</v>
      </c>
      <c r="CR189" s="821">
        <f>1083-CQ189</f>
        <v>515</v>
      </c>
      <c r="CS189" s="821">
        <f>(1501-1083)+183</f>
        <v>601</v>
      </c>
      <c r="CT189" s="821">
        <f>3460+(1887-1501)+285</f>
        <v>4131</v>
      </c>
      <c r="CU189" s="822">
        <f>SUM(CQ189:CT189)</f>
        <v>5815</v>
      </c>
      <c r="CV189" s="821">
        <f>312+188</f>
        <v>500</v>
      </c>
      <c r="CW189" s="821">
        <f>283+102</f>
        <v>385</v>
      </c>
      <c r="CX189" s="821">
        <f>330+111</f>
        <v>441</v>
      </c>
      <c r="CY189" s="821">
        <f>350+112</f>
        <v>462</v>
      </c>
      <c r="CZ189" s="822">
        <f>SUM(CV189:CY189)</f>
        <v>1788</v>
      </c>
      <c r="DA189" s="1014"/>
      <c r="DB189" s="821"/>
      <c r="DC189" s="821"/>
      <c r="DD189" s="821"/>
      <c r="DE189" s="822">
        <f>SUM(DA189:DD189)</f>
        <v>0</v>
      </c>
      <c r="DF189" s="821"/>
      <c r="DG189" s="821"/>
      <c r="DH189" s="821"/>
      <c r="DI189" s="821"/>
      <c r="DJ189" s="822">
        <v>0</v>
      </c>
      <c r="DK189" s="821"/>
      <c r="DL189" s="821"/>
      <c r="DM189" s="821"/>
      <c r="DN189" s="821"/>
      <c r="DO189" s="822">
        <v>0</v>
      </c>
      <c r="DP189" s="821"/>
      <c r="DQ189" s="821"/>
      <c r="DR189" s="821"/>
      <c r="DS189" s="821"/>
      <c r="DT189" s="822">
        <v>0</v>
      </c>
      <c r="DU189" s="821"/>
      <c r="DV189" s="821"/>
      <c r="DW189" s="821"/>
      <c r="DX189" s="821"/>
      <c r="DY189" s="822">
        <v>0</v>
      </c>
      <c r="DZ189" s="822">
        <v>0</v>
      </c>
      <c r="EA189" s="822">
        <v>0</v>
      </c>
      <c r="EB189" s="822">
        <v>0</v>
      </c>
    </row>
    <row r="190" spans="1:132" s="163" customFormat="1" ht="12" hidden="1" customHeight="1" outlineLevel="1">
      <c r="B190" s="817" t="s">
        <v>576</v>
      </c>
      <c r="C190" s="415">
        <f>C168+C189</f>
        <v>1313</v>
      </c>
      <c r="D190" s="415">
        <f t="shared" ref="D190:BO190" si="440">D168+D189</f>
        <v>1413</v>
      </c>
      <c r="E190" s="415">
        <f t="shared" si="440"/>
        <v>2016</v>
      </c>
      <c r="F190" s="415">
        <f t="shared" si="440"/>
        <v>2736</v>
      </c>
      <c r="G190" s="415">
        <f t="shared" si="440"/>
        <v>2632</v>
      </c>
      <c r="H190" s="415">
        <f t="shared" si="440"/>
        <v>2847</v>
      </c>
      <c r="I190" s="415">
        <f t="shared" si="440"/>
        <v>1307</v>
      </c>
      <c r="J190" s="416">
        <f t="shared" si="440"/>
        <v>352</v>
      </c>
      <c r="K190" s="416">
        <f t="shared" si="440"/>
        <v>382</v>
      </c>
      <c r="L190" s="416">
        <f t="shared" si="440"/>
        <v>168</v>
      </c>
      <c r="M190" s="416">
        <f t="shared" si="440"/>
        <v>326</v>
      </c>
      <c r="N190" s="415">
        <f t="shared" si="440"/>
        <v>1228</v>
      </c>
      <c r="O190" s="416">
        <f t="shared" si="440"/>
        <v>389</v>
      </c>
      <c r="P190" s="416">
        <f t="shared" si="440"/>
        <v>475</v>
      </c>
      <c r="Q190" s="416">
        <f t="shared" si="440"/>
        <v>538</v>
      </c>
      <c r="R190" s="416">
        <f t="shared" si="440"/>
        <v>530</v>
      </c>
      <c r="S190" s="415">
        <f t="shared" si="440"/>
        <v>1932</v>
      </c>
      <c r="T190" s="416">
        <f t="shared" si="440"/>
        <v>703</v>
      </c>
      <c r="U190" s="416">
        <f t="shared" si="440"/>
        <v>719</v>
      </c>
      <c r="V190" s="416">
        <f t="shared" si="440"/>
        <v>646</v>
      </c>
      <c r="W190" s="416">
        <f t="shared" si="440"/>
        <v>665</v>
      </c>
      <c r="X190" s="415">
        <f t="shared" si="440"/>
        <v>2733</v>
      </c>
      <c r="Y190" s="416">
        <f t="shared" si="440"/>
        <v>706</v>
      </c>
      <c r="Z190" s="416">
        <f t="shared" si="440"/>
        <v>960</v>
      </c>
      <c r="AA190" s="416">
        <f t="shared" si="440"/>
        <v>945</v>
      </c>
      <c r="AB190" s="416">
        <f t="shared" si="440"/>
        <v>973</v>
      </c>
      <c r="AC190" s="415">
        <f t="shared" si="440"/>
        <v>3584</v>
      </c>
      <c r="AD190" s="416">
        <f t="shared" si="440"/>
        <v>983</v>
      </c>
      <c r="AE190" s="416">
        <f t="shared" si="440"/>
        <v>777</v>
      </c>
      <c r="AF190" s="416">
        <f t="shared" si="440"/>
        <v>394</v>
      </c>
      <c r="AG190" s="416">
        <f t="shared" si="440"/>
        <v>-283</v>
      </c>
      <c r="AH190" s="415">
        <f t="shared" si="440"/>
        <v>1871</v>
      </c>
      <c r="AI190" s="417">
        <f t="shared" si="440"/>
        <v>764</v>
      </c>
      <c r="AJ190" s="417">
        <f t="shared" si="440"/>
        <v>817</v>
      </c>
      <c r="AK190" s="417">
        <f t="shared" si="440"/>
        <v>-2837</v>
      </c>
      <c r="AL190" s="417">
        <f t="shared" si="440"/>
        <v>1020</v>
      </c>
      <c r="AM190" s="415">
        <f t="shared" si="440"/>
        <v>-236</v>
      </c>
      <c r="AN190" s="419">
        <f t="shared" si="440"/>
        <v>679</v>
      </c>
      <c r="AO190" s="419">
        <f t="shared" si="440"/>
        <v>683</v>
      </c>
      <c r="AP190" s="419">
        <f t="shared" si="440"/>
        <v>1017</v>
      </c>
      <c r="AQ190" s="419">
        <f t="shared" si="440"/>
        <v>627</v>
      </c>
      <c r="AR190" s="415">
        <f t="shared" si="440"/>
        <v>3006</v>
      </c>
      <c r="AS190" s="419">
        <f t="shared" si="440"/>
        <v>509</v>
      </c>
      <c r="AT190" s="419">
        <f t="shared" si="440"/>
        <v>920</v>
      </c>
      <c r="AU190" s="419">
        <f t="shared" si="440"/>
        <v>1085</v>
      </c>
      <c r="AV190" s="419">
        <f t="shared" si="440"/>
        <v>981</v>
      </c>
      <c r="AW190" s="415">
        <f t="shared" si="440"/>
        <v>3495</v>
      </c>
      <c r="AX190" s="419">
        <f t="shared" si="440"/>
        <v>1081</v>
      </c>
      <c r="AY190" s="419">
        <f t="shared" si="440"/>
        <v>1211</v>
      </c>
      <c r="AZ190" s="419">
        <f t="shared" si="440"/>
        <v>1153</v>
      </c>
      <c r="BA190" s="419">
        <f t="shared" si="440"/>
        <v>1266</v>
      </c>
      <c r="BB190" s="418">
        <f t="shared" si="440"/>
        <v>4711</v>
      </c>
      <c r="BC190" s="419">
        <f t="shared" si="440"/>
        <v>1219</v>
      </c>
      <c r="BD190" s="419">
        <f t="shared" si="440"/>
        <v>1453</v>
      </c>
      <c r="BE190" s="419">
        <f t="shared" si="440"/>
        <v>1617</v>
      </c>
      <c r="BF190" s="419">
        <f t="shared" si="440"/>
        <v>1506.3</v>
      </c>
      <c r="BG190" s="418">
        <f t="shared" si="440"/>
        <v>5795.3</v>
      </c>
      <c r="BH190" s="607">
        <f t="shared" si="440"/>
        <v>1502</v>
      </c>
      <c r="BI190" s="607">
        <f t="shared" si="440"/>
        <v>1788</v>
      </c>
      <c r="BJ190" s="607">
        <f t="shared" si="440"/>
        <v>1797</v>
      </c>
      <c r="BK190" s="607">
        <f t="shared" si="440"/>
        <v>1562</v>
      </c>
      <c r="BL190" s="608">
        <f t="shared" si="440"/>
        <v>6649</v>
      </c>
      <c r="BM190" s="607">
        <f t="shared" si="440"/>
        <v>1617</v>
      </c>
      <c r="BN190" s="607">
        <f t="shared" si="440"/>
        <v>1719</v>
      </c>
      <c r="BO190" s="607">
        <f t="shared" si="440"/>
        <v>1768</v>
      </c>
      <c r="BP190" s="607">
        <f t="shared" ref="BP190:CF190" si="441">BP168+BP189</f>
        <v>1451</v>
      </c>
      <c r="BQ190" s="608">
        <f t="shared" si="441"/>
        <v>6555</v>
      </c>
      <c r="BR190" s="607">
        <f t="shared" si="441"/>
        <v>1024</v>
      </c>
      <c r="BS190" s="607">
        <f t="shared" si="441"/>
        <v>1496</v>
      </c>
      <c r="BT190" s="607">
        <f t="shared" si="441"/>
        <v>1293</v>
      </c>
      <c r="BU190" s="607">
        <f t="shared" si="441"/>
        <v>1434</v>
      </c>
      <c r="BV190" s="608">
        <f t="shared" si="441"/>
        <v>5247</v>
      </c>
      <c r="BW190" s="607">
        <f t="shared" si="441"/>
        <v>990</v>
      </c>
      <c r="BX190" s="607">
        <f t="shared" si="441"/>
        <v>1282</v>
      </c>
      <c r="BY190" s="607">
        <f t="shared" si="441"/>
        <v>1769</v>
      </c>
      <c r="BZ190" s="607">
        <f t="shared" si="441"/>
        <v>1787</v>
      </c>
      <c r="CA190" s="608">
        <f t="shared" si="441"/>
        <v>5828</v>
      </c>
      <c r="CB190" s="607">
        <f t="shared" si="441"/>
        <v>1412</v>
      </c>
      <c r="CC190" s="607">
        <f t="shared" si="441"/>
        <v>2092</v>
      </c>
      <c r="CD190" s="607">
        <f t="shared" si="441"/>
        <v>2145</v>
      </c>
      <c r="CE190" s="607">
        <f t="shared" si="441"/>
        <v>2600</v>
      </c>
      <c r="CF190" s="608">
        <f t="shared" si="441"/>
        <v>8249</v>
      </c>
      <c r="CG190" s="607">
        <f t="shared" ref="CG190:CK190" si="442">CG168+CG189</f>
        <v>1173</v>
      </c>
      <c r="CH190" s="607">
        <f t="shared" si="442"/>
        <v>654</v>
      </c>
      <c r="CI190" s="607">
        <f t="shared" si="442"/>
        <v>-40</v>
      </c>
      <c r="CJ190" s="607">
        <f t="shared" si="442"/>
        <v>-244</v>
      </c>
      <c r="CK190" s="608">
        <f t="shared" si="442"/>
        <v>1543</v>
      </c>
      <c r="CL190" s="607">
        <f t="shared" ref="CL190:CP190" si="443">CL168+CL189</f>
        <v>-798</v>
      </c>
      <c r="CM190" s="607">
        <f t="shared" si="443"/>
        <v>-898</v>
      </c>
      <c r="CN190" s="607">
        <f t="shared" si="443"/>
        <v>-779</v>
      </c>
      <c r="CO190" s="607">
        <f t="shared" si="443"/>
        <v>-1148</v>
      </c>
      <c r="CP190" s="608">
        <f t="shared" si="443"/>
        <v>-3623</v>
      </c>
      <c r="CQ190" s="607">
        <f t="shared" ref="CQ190:CV190" si="444">CQ168+CQ189</f>
        <v>-288</v>
      </c>
      <c r="CR190" s="607">
        <f t="shared" si="444"/>
        <v>43</v>
      </c>
      <c r="CS190" s="607">
        <f t="shared" si="444"/>
        <v>-92</v>
      </c>
      <c r="CT190" s="607">
        <f t="shared" si="444"/>
        <v>-323</v>
      </c>
      <c r="CU190" s="608">
        <f t="shared" si="444"/>
        <v>-660</v>
      </c>
      <c r="CV190" s="607">
        <f t="shared" si="444"/>
        <v>-359</v>
      </c>
      <c r="CW190" s="607">
        <f t="shared" ref="CW190:CZ190" si="445">CW168+CW189</f>
        <v>143</v>
      </c>
      <c r="CX190" s="607">
        <f t="shared" si="445"/>
        <v>-202</v>
      </c>
      <c r="CY190" s="607">
        <f t="shared" si="445"/>
        <v>-164</v>
      </c>
      <c r="CZ190" s="608">
        <f t="shared" si="445"/>
        <v>-582</v>
      </c>
      <c r="DA190" s="607">
        <f t="shared" ref="DA190:DE190" si="446">DA168+DA189</f>
        <v>-615</v>
      </c>
      <c r="DB190" s="607">
        <f t="shared" si="446"/>
        <v>-383</v>
      </c>
      <c r="DC190" s="607">
        <f t="shared" si="446"/>
        <v>-678</v>
      </c>
      <c r="DD190" s="607">
        <f t="shared" si="446"/>
        <v>41</v>
      </c>
      <c r="DE190" s="608">
        <f t="shared" si="446"/>
        <v>-1635</v>
      </c>
      <c r="DF190" s="607">
        <f t="shared" ref="DF190:DI190" si="447">DF168+DF189</f>
        <v>-1143</v>
      </c>
      <c r="DG190" s="607">
        <f t="shared" si="447"/>
        <v>-715</v>
      </c>
      <c r="DH190" s="607">
        <f t="shared" si="447"/>
        <v>-4021</v>
      </c>
      <c r="DI190" s="607">
        <f t="shared" si="447"/>
        <v>-2090</v>
      </c>
      <c r="DJ190" s="608">
        <f t="shared" ref="DJ190:DN190" si="448">DJ168+DJ189</f>
        <v>-7969</v>
      </c>
      <c r="DK190" s="607">
        <f t="shared" si="448"/>
        <v>-537</v>
      </c>
      <c r="DL190" s="607">
        <f t="shared" si="448"/>
        <v>-557</v>
      </c>
      <c r="DM190" s="607">
        <f t="shared" si="448"/>
        <v>-5353</v>
      </c>
      <c r="DN190" s="607">
        <f t="shared" si="448"/>
        <v>-632</v>
      </c>
      <c r="DO190" s="608">
        <f t="shared" ref="DO190:DS190" si="449">DO168+DO189</f>
        <v>-7079</v>
      </c>
      <c r="DP190" s="607">
        <f t="shared" si="449"/>
        <v>-563</v>
      </c>
      <c r="DQ190" s="607">
        <f t="shared" si="449"/>
        <v>-322</v>
      </c>
      <c r="DR190" s="607">
        <f t="shared" si="449"/>
        <v>-346.84190386488649</v>
      </c>
      <c r="DS190" s="607">
        <f t="shared" si="449"/>
        <v>0</v>
      </c>
      <c r="DT190" s="608">
        <f t="shared" ref="DT190:DX190" si="450">DT168+DT189</f>
        <v>-1231.8419038648865</v>
      </c>
      <c r="DU190" s="607">
        <f t="shared" si="450"/>
        <v>-385.26517635912001</v>
      </c>
      <c r="DV190" s="607">
        <f t="shared" si="450"/>
        <v>256.11741797600246</v>
      </c>
      <c r="DW190" s="607">
        <f t="shared" si="450"/>
        <v>672.35279949689493</v>
      </c>
      <c r="DX190" s="607">
        <f t="shared" si="450"/>
        <v>1085.1467597728974</v>
      </c>
      <c r="DY190" s="608">
        <f t="shared" ref="DY190" si="451">DY168+DY189</f>
        <v>1628.3518008866749</v>
      </c>
      <c r="DZ190" s="608">
        <f t="shared" ref="DZ190:EB190" si="452">DZ168+DZ189</f>
        <v>4848.3362414717967</v>
      </c>
      <c r="EA190" s="608">
        <f t="shared" si="452"/>
        <v>8269.9049999999988</v>
      </c>
      <c r="EB190" s="608">
        <f t="shared" si="452"/>
        <v>12228.624</v>
      </c>
    </row>
    <row r="191" spans="1:132" s="823" customFormat="1" ht="12" hidden="1" customHeight="1" outlineLevel="1">
      <c r="B191" s="817" t="s">
        <v>573</v>
      </c>
      <c r="C191" s="824">
        <f t="shared" ref="C191:AH191" si="453">C190/C36</f>
        <v>4.8757844702736829E-2</v>
      </c>
      <c r="D191" s="824">
        <f t="shared" si="453"/>
        <v>3.9752426501617665E-2</v>
      </c>
      <c r="E191" s="824">
        <f t="shared" si="453"/>
        <v>5.2487698195735372E-2</v>
      </c>
      <c r="F191" s="824">
        <f t="shared" si="453"/>
        <v>8.7773892399987161E-2</v>
      </c>
      <c r="G191" s="824">
        <f t="shared" si="453"/>
        <v>7.5079872204472847E-2</v>
      </c>
      <c r="H191" s="824">
        <f t="shared" si="453"/>
        <v>0.10029238736041146</v>
      </c>
      <c r="I191" s="824">
        <f t="shared" si="453"/>
        <v>5.8327383077472331E-2</v>
      </c>
      <c r="J191" s="825">
        <f t="shared" si="453"/>
        <v>6.6041275797373358E-2</v>
      </c>
      <c r="K191" s="825">
        <f t="shared" si="453"/>
        <v>6.7360253923470281E-2</v>
      </c>
      <c r="L191" s="825">
        <f t="shared" si="453"/>
        <v>3.6222509702457953E-2</v>
      </c>
      <c r="M191" s="825">
        <f t="shared" si="453"/>
        <v>6.0392738051130046E-2</v>
      </c>
      <c r="N191" s="824">
        <f t="shared" si="453"/>
        <v>5.8373342206588394E-2</v>
      </c>
      <c r="O191" s="825">
        <f t="shared" si="453"/>
        <v>7.6635145784081954E-2</v>
      </c>
      <c r="P191" s="825">
        <f t="shared" si="453"/>
        <v>6.9791360564208052E-2</v>
      </c>
      <c r="Q191" s="825">
        <f t="shared" si="453"/>
        <v>0.10950539385304295</v>
      </c>
      <c r="R191" s="825">
        <f t="shared" si="453"/>
        <v>9.050546448087432E-2</v>
      </c>
      <c r="S191" s="824">
        <f t="shared" si="453"/>
        <v>8.5294247494591857E-2</v>
      </c>
      <c r="T191" s="825">
        <f t="shared" si="453"/>
        <v>9.9673897632213238E-2</v>
      </c>
      <c r="U191" s="825">
        <f t="shared" si="453"/>
        <v>0.10108252495430901</v>
      </c>
      <c r="V191" s="825">
        <f t="shared" si="453"/>
        <v>9.6518750933811445E-2</v>
      </c>
      <c r="W191" s="825">
        <f t="shared" si="453"/>
        <v>8.7430975545621875E-2</v>
      </c>
      <c r="X191" s="824">
        <f t="shared" si="453"/>
        <v>9.6012647110486557E-2</v>
      </c>
      <c r="Y191" s="825">
        <f t="shared" si="453"/>
        <v>9.3448047650562541E-2</v>
      </c>
      <c r="Z191" s="825">
        <f t="shared" si="453"/>
        <v>0.11025611576892155</v>
      </c>
      <c r="AA191" s="825">
        <f t="shared" si="453"/>
        <v>0.1144344877694357</v>
      </c>
      <c r="AB191" s="825">
        <f t="shared" si="453"/>
        <v>0.10974509361606136</v>
      </c>
      <c r="AC191" s="824">
        <f t="shared" si="453"/>
        <v>0.10735038638950459</v>
      </c>
      <c r="AD191" s="825">
        <f t="shared" si="453"/>
        <v>0.12045092513172405</v>
      </c>
      <c r="AE191" s="825">
        <f t="shared" si="453"/>
        <v>9.0696860044356245E-2</v>
      </c>
      <c r="AF191" s="825">
        <f t="shared" si="453"/>
        <v>5.6723293982147996E-2</v>
      </c>
      <c r="AG191" s="825">
        <f t="shared" si="453"/>
        <v>-6.1669208977990844E-2</v>
      </c>
      <c r="AH191" s="824">
        <f t="shared" si="453"/>
        <v>6.6199624951349817E-2</v>
      </c>
      <c r="AI191" s="825">
        <f t="shared" ref="AI191:BN191" si="454">AI190/AI36</f>
        <v>8.9314940378770163E-2</v>
      </c>
      <c r="AJ191" s="825">
        <f t="shared" si="454"/>
        <v>9.6904281817103546E-2</v>
      </c>
      <c r="AK191" s="825">
        <f t="shared" si="454"/>
        <v>-0.35988836737282759</v>
      </c>
      <c r="AL191" s="825">
        <f t="shared" si="454"/>
        <v>0.11107481215289121</v>
      </c>
      <c r="AM191" s="824">
        <f t="shared" si="454"/>
        <v>-6.9307803001380282E-3</v>
      </c>
      <c r="AN191" s="825">
        <f t="shared" si="454"/>
        <v>9.0921264059989293E-2</v>
      </c>
      <c r="AO191" s="825">
        <f t="shared" si="454"/>
        <v>9.1887528588725953E-2</v>
      </c>
      <c r="AP191" s="825">
        <f t="shared" si="454"/>
        <v>0.11624185621213853</v>
      </c>
      <c r="AQ191" s="825">
        <f t="shared" si="454"/>
        <v>7.6612903225806453E-2</v>
      </c>
      <c r="AR191" s="824">
        <f t="shared" si="454"/>
        <v>9.4427341835773074E-2</v>
      </c>
      <c r="AS191" s="825">
        <f t="shared" si="454"/>
        <v>7.1508850800786741E-2</v>
      </c>
      <c r="AT191" s="825">
        <f t="shared" si="454"/>
        <v>0.10403709148479023</v>
      </c>
      <c r="AU191" s="825">
        <f t="shared" si="454"/>
        <v>0.11403047819232791</v>
      </c>
      <c r="AV191" s="825">
        <f t="shared" si="454"/>
        <v>9.1725105189340808E-2</v>
      </c>
      <c r="AW191" s="824">
        <f t="shared" si="454"/>
        <v>9.6624367587293689E-2</v>
      </c>
      <c r="AX191" s="825">
        <f t="shared" si="454"/>
        <v>9.8838804059614149E-2</v>
      </c>
      <c r="AY191" s="825">
        <f t="shared" si="454"/>
        <v>0.10225449632694418</v>
      </c>
      <c r="AZ191" s="825">
        <f t="shared" si="454"/>
        <v>9.4616773346463151E-2</v>
      </c>
      <c r="BA191" s="825">
        <f t="shared" si="454"/>
        <v>8.9400466068780451E-2</v>
      </c>
      <c r="BB191" s="824">
        <f t="shared" si="454"/>
        <v>9.5894314735277958E-2</v>
      </c>
      <c r="BC191" s="825">
        <f t="shared" si="454"/>
        <v>0.11403180542563143</v>
      </c>
      <c r="BD191" s="825">
        <f t="shared" si="454"/>
        <v>0.10665002935995302</v>
      </c>
      <c r="BE191" s="825">
        <f t="shared" si="454"/>
        <v>0.11560734968184742</v>
      </c>
      <c r="BF191" s="825">
        <f t="shared" si="454"/>
        <v>0.10260689495446279</v>
      </c>
      <c r="BG191" s="824">
        <f t="shared" si="454"/>
        <v>0.10938387695281165</v>
      </c>
      <c r="BH191" s="825">
        <f t="shared" si="454"/>
        <v>0.1179241579649839</v>
      </c>
      <c r="BI191" s="825">
        <f t="shared" si="454"/>
        <v>0.125</v>
      </c>
      <c r="BJ191" s="825">
        <f t="shared" si="454"/>
        <v>0.11154562383612662</v>
      </c>
      <c r="BK191" s="825">
        <f t="shared" si="454"/>
        <v>9.2760852782231729E-2</v>
      </c>
      <c r="BL191" s="824">
        <f t="shared" si="454"/>
        <v>0.11083513918986498</v>
      </c>
      <c r="BM191" s="825">
        <f t="shared" si="454"/>
        <v>0.10512970548078798</v>
      </c>
      <c r="BN191" s="825">
        <f t="shared" si="454"/>
        <v>0.10185459501096167</v>
      </c>
      <c r="BO191" s="825">
        <f t="shared" ref="BO191:CG191" si="455">BO190/BO36</f>
        <v>9.9932172733438837E-2</v>
      </c>
      <c r="BP191" s="825">
        <f t="shared" si="455"/>
        <v>9.0135420549136536E-2</v>
      </c>
      <c r="BQ191" s="824">
        <f t="shared" si="455"/>
        <v>9.9246002906976744E-2</v>
      </c>
      <c r="BR191" s="825">
        <f t="shared" si="455"/>
        <v>8.0081332603425356E-2</v>
      </c>
      <c r="BS191" s="825">
        <f t="shared" si="455"/>
        <v>9.56338298280381E-2</v>
      </c>
      <c r="BT191" s="825">
        <f t="shared" si="455"/>
        <v>8.5065789473684206E-2</v>
      </c>
      <c r="BU191" s="825">
        <f t="shared" si="455"/>
        <v>9.9707968293700461E-2</v>
      </c>
      <c r="BV191" s="824">
        <f t="shared" si="455"/>
        <v>9.0446804109494586E-2</v>
      </c>
      <c r="BW191" s="825">
        <f t="shared" si="455"/>
        <v>7.6430170616845525E-2</v>
      </c>
      <c r="BX191" s="825">
        <f t="shared" si="455"/>
        <v>8.9775910364145659E-2</v>
      </c>
      <c r="BY191" s="825">
        <f t="shared" si="455"/>
        <v>0.11492236730981616</v>
      </c>
      <c r="BZ191" s="825">
        <f t="shared" si="455"/>
        <v>0.11612945152066545</v>
      </c>
      <c r="CA191" s="824">
        <f t="shared" si="455"/>
        <v>0.100458510014824</v>
      </c>
      <c r="CB191" s="825">
        <f t="shared" si="455"/>
        <v>0.10907686365392043</v>
      </c>
      <c r="CC191" s="825">
        <f t="shared" si="455"/>
        <v>0.14994266055045871</v>
      </c>
      <c r="CD191" s="825">
        <f t="shared" si="455"/>
        <v>0.15244119110226709</v>
      </c>
      <c r="CE191" s="825">
        <f t="shared" si="455"/>
        <v>0.15728026132720344</v>
      </c>
      <c r="CF191" s="824">
        <f t="shared" si="455"/>
        <v>0.14346336458025358</v>
      </c>
      <c r="CG191" s="825">
        <f t="shared" si="455"/>
        <v>9.9221789883268477E-2</v>
      </c>
      <c r="CH191" s="825">
        <f>CH190/(CH36+5600)</f>
        <v>6.3359813989536912E-2</v>
      </c>
      <c r="CI191" s="825">
        <f t="shared" ref="CI191:EB191" si="456">CI190/CI36</f>
        <v>-4.8490726148624078E-3</v>
      </c>
      <c r="CJ191" s="825">
        <f t="shared" si="456"/>
        <v>-3.2699008308764405E-2</v>
      </c>
      <c r="CK191" s="824">
        <f t="shared" si="456"/>
        <v>4.7837544566733843E-2</v>
      </c>
      <c r="CL191" s="825">
        <f t="shared" si="456"/>
        <v>-0.12860596293311846</v>
      </c>
      <c r="CM191" s="825">
        <f t="shared" si="456"/>
        <v>-0.5499081445192896</v>
      </c>
      <c r="CN191" s="825">
        <f t="shared" si="456"/>
        <v>-0.21662958843159066</v>
      </c>
      <c r="CO191" s="825">
        <f t="shared" si="456"/>
        <v>-0.2428087986463621</v>
      </c>
      <c r="CP191" s="824">
        <f t="shared" si="456"/>
        <v>-0.22416780101472589</v>
      </c>
      <c r="CQ191" s="825">
        <f t="shared" si="456"/>
        <v>-6.7463106113843985E-2</v>
      </c>
      <c r="CR191" s="825">
        <f t="shared" si="456"/>
        <v>7.1487946799667496E-3</v>
      </c>
      <c r="CS191" s="825">
        <f t="shared" si="456"/>
        <v>-2.0632428795694102E-2</v>
      </c>
      <c r="CT191" s="825">
        <f t="shared" si="456"/>
        <v>-6.8000000000000005E-2</v>
      </c>
      <c r="CU191" s="824">
        <f t="shared" si="456"/>
        <v>-3.3858308110603808E-2</v>
      </c>
      <c r="CV191" s="825">
        <f t="shared" si="456"/>
        <v>-8.6277337178562841E-2</v>
      </c>
      <c r="CW191" s="825">
        <f t="shared" si="456"/>
        <v>2.2994050490432544E-2</v>
      </c>
      <c r="CX191" s="825">
        <f t="shared" si="456"/>
        <v>-3.2252913939006866E-2</v>
      </c>
      <c r="CY191" s="825">
        <f t="shared" si="456"/>
        <v>-1.7779705117085862E-2</v>
      </c>
      <c r="CZ191" s="824">
        <f t="shared" si="456"/>
        <v>-2.2499710055282791E-2</v>
      </c>
      <c r="DA191" s="825">
        <f t="shared" si="456"/>
        <v>-9.1736276849642001E-2</v>
      </c>
      <c r="DB191" s="825">
        <f t="shared" si="456"/>
        <v>-4.3325791855203619E-2</v>
      </c>
      <c r="DC191" s="825">
        <f t="shared" si="456"/>
        <v>-8.6084306754697817E-2</v>
      </c>
      <c r="DD191" s="825">
        <f t="shared" si="456"/>
        <v>3.9118404732372868E-3</v>
      </c>
      <c r="DE191" s="824">
        <f t="shared" si="456"/>
        <v>-4.8228665821067225E-2</v>
      </c>
      <c r="DF191" s="825">
        <f t="shared" si="456"/>
        <v>-0.24564796905222436</v>
      </c>
      <c r="DG191" s="825">
        <f t="shared" si="456"/>
        <v>-0.11910711311011161</v>
      </c>
      <c r="DH191" s="825">
        <f t="shared" si="456"/>
        <v>-0.5402391508800215</v>
      </c>
      <c r="DI191" s="825">
        <f t="shared" si="456"/>
        <v>-0.43889122217555648</v>
      </c>
      <c r="DJ191" s="824">
        <f t="shared" si="456"/>
        <v>-0.34858492629368792</v>
      </c>
      <c r="DK191" s="825">
        <f t="shared" si="456"/>
        <v>-6.5913833312875911E-2</v>
      </c>
      <c r="DL191" s="825">
        <f t="shared" si="456"/>
        <v>-5.1223100974802281E-2</v>
      </c>
      <c r="DM191" s="825">
        <f t="shared" si="456"/>
        <v>-0.4825130701279971</v>
      </c>
      <c r="DN191" s="825">
        <f t="shared" si="456"/>
        <v>-5.5540908691449162E-2</v>
      </c>
      <c r="DO191" s="824">
        <f t="shared" si="456"/>
        <v>-0.17060297874391478</v>
      </c>
      <c r="DP191" s="825">
        <f t="shared" si="456"/>
        <v>-6.117570357492122E-2</v>
      </c>
      <c r="DQ191" s="825">
        <f t="shared" si="456"/>
        <v>-2.740192324057527E-2</v>
      </c>
      <c r="DR191" s="825">
        <f t="shared" si="456"/>
        <v>-0.03</v>
      </c>
      <c r="DS191" s="825">
        <f t="shared" si="456"/>
        <v>0</v>
      </c>
      <c r="DT191" s="824">
        <f t="shared" si="456"/>
        <v>-2.7215251167550702E-2</v>
      </c>
      <c r="DU191" s="825">
        <f t="shared" si="456"/>
        <v>-3.2000000000000001E-2</v>
      </c>
      <c r="DV191" s="825">
        <f t="shared" si="456"/>
        <v>1.7999999999999999E-2</v>
      </c>
      <c r="DW191" s="825">
        <f t="shared" si="456"/>
        <v>4.3999999999999997E-2</v>
      </c>
      <c r="DX191" s="825">
        <f t="shared" si="456"/>
        <v>6.1999999999999993E-2</v>
      </c>
      <c r="DY191" s="824">
        <f t="shared" si="456"/>
        <v>2.7575162416415031E-2</v>
      </c>
      <c r="DZ191" s="824">
        <f t="shared" si="456"/>
        <v>7.0999999999999994E-2</v>
      </c>
      <c r="EA191" s="824">
        <f t="shared" si="456"/>
        <v>0.10499999999999998</v>
      </c>
      <c r="EB191" s="824">
        <f t="shared" si="456"/>
        <v>0.14399999999999999</v>
      </c>
    </row>
    <row r="192" spans="1:132" s="823" customFormat="1" ht="6" hidden="1" customHeight="1" outlineLevel="1">
      <c r="B192" s="817"/>
      <c r="C192" s="824"/>
      <c r="D192" s="824"/>
      <c r="E192" s="824"/>
      <c r="F192" s="824"/>
      <c r="G192" s="824"/>
      <c r="H192" s="824"/>
      <c r="I192" s="824"/>
      <c r="J192" s="825"/>
      <c r="K192" s="825"/>
      <c r="L192" s="825"/>
      <c r="M192" s="825"/>
      <c r="N192" s="824"/>
      <c r="O192" s="825"/>
      <c r="P192" s="825"/>
      <c r="Q192" s="825"/>
      <c r="R192" s="825"/>
      <c r="S192" s="824"/>
      <c r="T192" s="825"/>
      <c r="U192" s="825"/>
      <c r="V192" s="825"/>
      <c r="W192" s="825"/>
      <c r="X192" s="824"/>
      <c r="Y192" s="825"/>
      <c r="Z192" s="825"/>
      <c r="AA192" s="825"/>
      <c r="AB192" s="825"/>
      <c r="AC192" s="824"/>
      <c r="AD192" s="825"/>
      <c r="AE192" s="825"/>
      <c r="AF192" s="825"/>
      <c r="AG192" s="825"/>
      <c r="AH192" s="824"/>
      <c r="AI192" s="825"/>
      <c r="AJ192" s="825"/>
      <c r="AK192" s="825"/>
      <c r="AL192" s="825"/>
      <c r="AM192" s="824"/>
      <c r="AN192" s="825"/>
      <c r="AO192" s="825"/>
      <c r="AP192" s="825"/>
      <c r="AQ192" s="825"/>
      <c r="AR192" s="824"/>
      <c r="AS192" s="825"/>
      <c r="AT192" s="825"/>
      <c r="AU192" s="825"/>
      <c r="AV192" s="825"/>
      <c r="AW192" s="824"/>
      <c r="AX192" s="825"/>
      <c r="AY192" s="825"/>
      <c r="AZ192" s="825"/>
      <c r="BA192" s="825"/>
      <c r="BB192" s="824"/>
      <c r="BC192" s="825"/>
      <c r="BD192" s="825"/>
      <c r="BE192" s="825"/>
      <c r="BF192" s="825"/>
      <c r="BG192" s="824"/>
      <c r="BH192" s="825"/>
      <c r="BI192" s="825"/>
      <c r="BJ192" s="825"/>
      <c r="BK192" s="825"/>
      <c r="BL192" s="824"/>
      <c r="BM192" s="825"/>
      <c r="BN192" s="825"/>
      <c r="BO192" s="825"/>
      <c r="BP192" s="825"/>
      <c r="BQ192" s="824"/>
      <c r="BR192" s="825"/>
      <c r="BS192" s="825"/>
      <c r="BT192" s="825"/>
      <c r="BU192" s="825"/>
      <c r="BV192" s="824"/>
      <c r="BW192" s="825"/>
      <c r="BX192" s="825"/>
      <c r="BY192" s="825"/>
      <c r="BZ192" s="825"/>
      <c r="CA192" s="824"/>
      <c r="CB192" s="825"/>
      <c r="CC192" s="825"/>
      <c r="CD192" s="825"/>
      <c r="CE192" s="825"/>
      <c r="CF192" s="824"/>
      <c r="CG192" s="825"/>
      <c r="CH192" s="825"/>
      <c r="CI192" s="825"/>
      <c r="CJ192" s="825"/>
      <c r="CK192" s="824"/>
      <c r="CL192" s="825"/>
      <c r="CM192" s="825"/>
      <c r="CN192" s="825"/>
      <c r="CO192" s="825"/>
      <c r="CP192" s="824"/>
      <c r="CQ192" s="825"/>
      <c r="CR192" s="825"/>
      <c r="CS192" s="825"/>
      <c r="CT192" s="825"/>
      <c r="CU192" s="824"/>
      <c r="CV192" s="825"/>
      <c r="CW192" s="825"/>
      <c r="CX192" s="825"/>
      <c r="CY192" s="825"/>
      <c r="CZ192" s="824"/>
      <c r="DA192" s="825"/>
      <c r="DB192" s="825"/>
      <c r="DC192" s="825"/>
      <c r="DD192" s="825"/>
      <c r="DE192" s="824"/>
      <c r="DF192" s="825"/>
      <c r="DG192" s="825"/>
      <c r="DH192" s="825"/>
      <c r="DI192" s="825"/>
      <c r="DJ192" s="824"/>
      <c r="DK192" s="825"/>
      <c r="DL192" s="825"/>
      <c r="DM192" s="825"/>
      <c r="DN192" s="825"/>
      <c r="DO192" s="824"/>
      <c r="DP192" s="825"/>
      <c r="DQ192" s="825"/>
      <c r="DR192" s="825"/>
      <c r="DS192" s="825"/>
      <c r="DT192" s="824"/>
      <c r="DU192" s="825"/>
      <c r="DV192" s="825"/>
      <c r="DW192" s="825"/>
      <c r="DX192" s="825"/>
      <c r="DY192" s="824"/>
      <c r="DZ192" s="824"/>
      <c r="EA192" s="824"/>
      <c r="EB192" s="824"/>
    </row>
    <row r="193" spans="2:132" s="818" customFormat="1" ht="12" hidden="1" customHeight="1" outlineLevel="1">
      <c r="B193" s="817" t="s">
        <v>603</v>
      </c>
      <c r="C193" s="819"/>
      <c r="D193" s="819"/>
      <c r="E193" s="819"/>
      <c r="F193" s="819"/>
      <c r="G193" s="819"/>
      <c r="H193" s="819"/>
      <c r="I193" s="819"/>
      <c r="J193" s="820"/>
      <c r="K193" s="820"/>
      <c r="L193" s="820"/>
      <c r="M193" s="820"/>
      <c r="N193" s="819"/>
      <c r="O193" s="820"/>
      <c r="P193" s="820"/>
      <c r="Q193" s="820"/>
      <c r="R193" s="820"/>
      <c r="S193" s="819"/>
      <c r="T193" s="820"/>
      <c r="U193" s="820"/>
      <c r="V193" s="820"/>
      <c r="W193" s="820"/>
      <c r="X193" s="819"/>
      <c r="Y193" s="820"/>
      <c r="Z193" s="820"/>
      <c r="AA193" s="820"/>
      <c r="AB193" s="820"/>
      <c r="AC193" s="819"/>
      <c r="AD193" s="820"/>
      <c r="AE193" s="820"/>
      <c r="AF193" s="820"/>
      <c r="AG193" s="820"/>
      <c r="AH193" s="819"/>
      <c r="AI193" s="820"/>
      <c r="AJ193" s="820"/>
      <c r="AK193" s="820"/>
      <c r="AL193" s="820"/>
      <c r="AM193" s="819"/>
      <c r="AN193" s="820"/>
      <c r="AO193" s="820"/>
      <c r="AP193" s="820"/>
      <c r="AQ193" s="820"/>
      <c r="AR193" s="819"/>
      <c r="AS193" s="820"/>
      <c r="AT193" s="820"/>
      <c r="AU193" s="820"/>
      <c r="AV193" s="820"/>
      <c r="AW193" s="819"/>
      <c r="AX193" s="820"/>
      <c r="AY193" s="820"/>
      <c r="AZ193" s="820"/>
      <c r="BA193" s="820"/>
      <c r="BB193" s="819"/>
      <c r="BC193" s="820"/>
      <c r="BD193" s="820"/>
      <c r="BE193" s="820"/>
      <c r="BF193" s="820"/>
      <c r="BG193" s="819"/>
      <c r="BH193" s="821"/>
      <c r="BI193" s="821"/>
      <c r="BJ193" s="821"/>
      <c r="BK193" s="821"/>
      <c r="BL193" s="819"/>
      <c r="BM193" s="821"/>
      <c r="BN193" s="821"/>
      <c r="BO193" s="821"/>
      <c r="BP193" s="821"/>
      <c r="BQ193" s="819"/>
      <c r="BR193" s="821">
        <v>81</v>
      </c>
      <c r="BS193" s="821">
        <v>219</v>
      </c>
      <c r="BT193" s="821">
        <v>0</v>
      </c>
      <c r="BU193" s="821">
        <v>69</v>
      </c>
      <c r="BV193" s="819">
        <f>SUM(BR193:BU193)</f>
        <v>369</v>
      </c>
      <c r="BW193" s="821">
        <v>0</v>
      </c>
      <c r="BX193" s="821">
        <v>0</v>
      </c>
      <c r="BY193" s="821">
        <v>73</v>
      </c>
      <c r="BZ193" s="821">
        <v>0</v>
      </c>
      <c r="CA193" s="819">
        <f>SUM(BW193:BZ193)</f>
        <v>73</v>
      </c>
      <c r="CB193" s="821">
        <v>0</v>
      </c>
      <c r="CC193" s="821">
        <v>111</v>
      </c>
      <c r="CD193" s="821">
        <f>691+64</f>
        <v>755</v>
      </c>
      <c r="CE193" s="821">
        <v>0</v>
      </c>
      <c r="CF193" s="819">
        <f>SUM(CB193:CE193)</f>
        <v>866</v>
      </c>
      <c r="CG193" s="821">
        <v>-108</v>
      </c>
      <c r="CH193" s="821">
        <v>-192</v>
      </c>
      <c r="CI193" s="821">
        <v>0</v>
      </c>
      <c r="CJ193" s="821">
        <v>410</v>
      </c>
      <c r="CK193" s="822">
        <f>SUM(CG193:CJ193)</f>
        <v>110</v>
      </c>
      <c r="CL193" s="821">
        <v>827</v>
      </c>
      <c r="CM193" s="821">
        <v>151</v>
      </c>
      <c r="CN193" s="821">
        <v>67</v>
      </c>
      <c r="CO193" s="821">
        <v>275</v>
      </c>
      <c r="CP193" s="822">
        <f>SUM(CL193:CO193)</f>
        <v>1320</v>
      </c>
      <c r="CQ193" s="821">
        <v>318</v>
      </c>
      <c r="CR193" s="821">
        <v>0</v>
      </c>
      <c r="CS193" s="821">
        <v>185</v>
      </c>
      <c r="CT193" s="821">
        <v>402</v>
      </c>
      <c r="CU193" s="822">
        <f>SUM(CQ193:CT193)</f>
        <v>905</v>
      </c>
      <c r="CV193" s="821">
        <f>660+367+300</f>
        <v>1327</v>
      </c>
      <c r="CW193" s="821">
        <f>147+93</f>
        <v>240</v>
      </c>
      <c r="CX193" s="821">
        <v>2800</v>
      </c>
      <c r="CY193" s="821">
        <v>0</v>
      </c>
      <c r="CZ193" s="822">
        <f>SUM(CV193:CY193)</f>
        <v>4367</v>
      </c>
      <c r="DA193" s="1014"/>
      <c r="DB193" s="821"/>
      <c r="DC193" s="821"/>
      <c r="DD193" s="821"/>
      <c r="DE193" s="822">
        <f>SUM(DA193:DD193)</f>
        <v>0</v>
      </c>
      <c r="DF193" s="821"/>
      <c r="DG193" s="821"/>
      <c r="DH193" s="821"/>
      <c r="DI193" s="821"/>
      <c r="DJ193" s="822"/>
      <c r="DK193" s="821"/>
      <c r="DL193" s="821"/>
      <c r="DM193" s="821"/>
      <c r="DN193" s="821"/>
      <c r="DO193" s="822"/>
      <c r="DP193" s="821"/>
      <c r="DQ193" s="821"/>
      <c r="DR193" s="821"/>
      <c r="DS193" s="821"/>
      <c r="DT193" s="822"/>
      <c r="DU193" s="821"/>
      <c r="DV193" s="821"/>
      <c r="DW193" s="821"/>
      <c r="DX193" s="821"/>
      <c r="DY193" s="822"/>
      <c r="DZ193" s="822"/>
      <c r="EA193" s="822"/>
      <c r="EB193" s="822"/>
    </row>
    <row r="194" spans="2:132" s="163" customFormat="1" ht="12" hidden="1" customHeight="1" outlineLevel="1">
      <c r="B194" s="817" t="s">
        <v>604</v>
      </c>
      <c r="C194" s="415"/>
      <c r="D194" s="415"/>
      <c r="E194" s="415"/>
      <c r="F194" s="415"/>
      <c r="G194" s="415"/>
      <c r="H194" s="415"/>
      <c r="I194" s="415"/>
      <c r="J194" s="416"/>
      <c r="K194" s="416"/>
      <c r="L194" s="416"/>
      <c r="M194" s="416"/>
      <c r="N194" s="415"/>
      <c r="O194" s="416"/>
      <c r="P194" s="416"/>
      <c r="Q194" s="416"/>
      <c r="R194" s="416"/>
      <c r="S194" s="415"/>
      <c r="T194" s="416"/>
      <c r="U194" s="416"/>
      <c r="V194" s="416"/>
      <c r="W194" s="416"/>
      <c r="X194" s="415"/>
      <c r="Y194" s="416"/>
      <c r="Z194" s="416"/>
      <c r="AA194" s="416"/>
      <c r="AB194" s="416"/>
      <c r="AC194" s="415"/>
      <c r="AD194" s="416"/>
      <c r="AE194" s="416"/>
      <c r="AF194" s="416"/>
      <c r="AG194" s="416"/>
      <c r="AH194" s="415"/>
      <c r="AI194" s="417"/>
      <c r="AJ194" s="417"/>
      <c r="AK194" s="417"/>
      <c r="AL194" s="417"/>
      <c r="AM194" s="415"/>
      <c r="AN194" s="419"/>
      <c r="AO194" s="419"/>
      <c r="AP194" s="419"/>
      <c r="AQ194" s="419"/>
      <c r="AR194" s="415"/>
      <c r="AS194" s="419"/>
      <c r="AT194" s="419"/>
      <c r="AU194" s="419"/>
      <c r="AV194" s="419"/>
      <c r="AW194" s="415"/>
      <c r="AX194" s="419"/>
      <c r="AY194" s="419"/>
      <c r="AZ194" s="419"/>
      <c r="BA194" s="419"/>
      <c r="BB194" s="418"/>
      <c r="BC194" s="419"/>
      <c r="BD194" s="419"/>
      <c r="BE194" s="419"/>
      <c r="BF194" s="419"/>
      <c r="BG194" s="418"/>
      <c r="BH194" s="607"/>
      <c r="BI194" s="607"/>
      <c r="BJ194" s="607"/>
      <c r="BK194" s="607"/>
      <c r="BL194" s="608"/>
      <c r="BM194" s="607"/>
      <c r="BN194" s="607"/>
      <c r="BO194" s="607"/>
      <c r="BP194" s="607"/>
      <c r="BQ194" s="608"/>
      <c r="BR194" s="607">
        <f t="shared" ref="BR194" si="457">BR178+BR193</f>
        <v>598</v>
      </c>
      <c r="BS194" s="607">
        <f t="shared" ref="BS194" si="458">BS178+BS193</f>
        <v>581</v>
      </c>
      <c r="BT194" s="607">
        <f t="shared" ref="BT194" si="459">BT178+BT193</f>
        <v>564</v>
      </c>
      <c r="BU194" s="607">
        <f t="shared" ref="BU194" si="460">BU178+BU193</f>
        <v>592</v>
      </c>
      <c r="BV194" s="608">
        <f t="shared" ref="BV194" si="461">BV178+BV193</f>
        <v>2335</v>
      </c>
      <c r="BW194" s="607">
        <f t="shared" ref="BW194:CC194" si="462">BW178+BW193</f>
        <v>549</v>
      </c>
      <c r="BX194" s="607">
        <f t="shared" si="462"/>
        <v>614</v>
      </c>
      <c r="BY194" s="607">
        <f t="shared" si="462"/>
        <v>559</v>
      </c>
      <c r="BZ194" s="607">
        <f t="shared" si="462"/>
        <v>544</v>
      </c>
      <c r="CA194" s="608">
        <f t="shared" si="462"/>
        <v>2266</v>
      </c>
      <c r="CB194" s="607">
        <f t="shared" si="462"/>
        <v>757</v>
      </c>
      <c r="CC194" s="607">
        <f t="shared" si="462"/>
        <v>487</v>
      </c>
      <c r="CD194" s="607">
        <f>CD178+CD193</f>
        <v>508</v>
      </c>
      <c r="CE194" s="607">
        <f t="shared" ref="CE194:CK194" si="463">CE178+CE193</f>
        <v>771</v>
      </c>
      <c r="CF194" s="608">
        <f t="shared" si="463"/>
        <v>2523</v>
      </c>
      <c r="CG194" s="607">
        <f t="shared" si="463"/>
        <v>739</v>
      </c>
      <c r="CH194" s="607">
        <f t="shared" si="463"/>
        <v>783</v>
      </c>
      <c r="CI194" s="607">
        <f t="shared" si="463"/>
        <v>754</v>
      </c>
      <c r="CJ194" s="607">
        <f t="shared" si="463"/>
        <v>441</v>
      </c>
      <c r="CK194" s="608">
        <f t="shared" si="463"/>
        <v>2717</v>
      </c>
      <c r="CL194" s="607">
        <f t="shared" ref="CL194:CP194" si="464">CL178+CL193</f>
        <v>636</v>
      </c>
      <c r="CM194" s="607">
        <f t="shared" si="464"/>
        <v>751</v>
      </c>
      <c r="CN194" s="607">
        <f t="shared" si="464"/>
        <v>695</v>
      </c>
      <c r="CO194" s="607">
        <f t="shared" si="464"/>
        <v>777</v>
      </c>
      <c r="CP194" s="608">
        <f t="shared" si="464"/>
        <v>2859</v>
      </c>
      <c r="CQ194" s="607">
        <f t="shared" ref="CQ194:CV194" si="465">CQ178+CQ193</f>
        <v>723</v>
      </c>
      <c r="CR194" s="607">
        <f t="shared" si="465"/>
        <v>958</v>
      </c>
      <c r="CS194" s="607">
        <f t="shared" si="465"/>
        <v>621</v>
      </c>
      <c r="CT194" s="607">
        <f t="shared" si="465"/>
        <v>147</v>
      </c>
      <c r="CU194" s="608">
        <f t="shared" si="465"/>
        <v>2449</v>
      </c>
      <c r="CV194" s="607">
        <f t="shared" si="465"/>
        <v>398</v>
      </c>
      <c r="CW194" s="607">
        <f t="shared" ref="CW194:CZ194" si="466">CW178+CW193</f>
        <v>311</v>
      </c>
      <c r="CX194" s="607">
        <f t="shared" si="466"/>
        <v>2</v>
      </c>
      <c r="CY194" s="607">
        <f t="shared" si="466"/>
        <v>112</v>
      </c>
      <c r="CZ194" s="608">
        <f t="shared" si="466"/>
        <v>823</v>
      </c>
      <c r="DA194" s="607">
        <f t="shared" ref="DA194:DE194" si="467">DA178+DA193</f>
        <v>-212</v>
      </c>
      <c r="DB194" s="607">
        <f t="shared" si="467"/>
        <v>-527</v>
      </c>
      <c r="DC194" s="607">
        <f t="shared" si="467"/>
        <v>-924</v>
      </c>
      <c r="DD194" s="607">
        <f t="shared" si="467"/>
        <v>-101</v>
      </c>
      <c r="DE194" s="608">
        <f t="shared" si="467"/>
        <v>-1764</v>
      </c>
      <c r="DF194" s="607">
        <f t="shared" ref="DF194:DI194" si="468">DF178+DF193</f>
        <v>151</v>
      </c>
      <c r="DG194" s="607">
        <f t="shared" si="468"/>
        <v>-913</v>
      </c>
      <c r="DH194" s="607">
        <f t="shared" si="468"/>
        <v>-2384</v>
      </c>
      <c r="DI194" s="607">
        <f t="shared" si="468"/>
        <v>-2267</v>
      </c>
      <c r="DJ194" s="608">
        <f t="shared" ref="DJ194:DN194" si="469">DJ178+DJ193</f>
        <v>-5413</v>
      </c>
      <c r="DK194" s="607">
        <f t="shared" si="469"/>
        <v>155</v>
      </c>
      <c r="DL194" s="607">
        <f t="shared" si="469"/>
        <v>110</v>
      </c>
      <c r="DM194" s="607">
        <f t="shared" si="469"/>
        <v>114</v>
      </c>
      <c r="DN194" s="607">
        <f t="shared" si="469"/>
        <v>-507</v>
      </c>
      <c r="DO194" s="608">
        <f t="shared" ref="DO194:DS194" si="470">DO178+DO193</f>
        <v>-128</v>
      </c>
      <c r="DP194" s="607">
        <f t="shared" si="470"/>
        <v>233</v>
      </c>
      <c r="DQ194" s="607">
        <f t="shared" si="470"/>
        <v>-15</v>
      </c>
      <c r="DR194" s="607">
        <f t="shared" si="470"/>
        <v>204.63732000000002</v>
      </c>
      <c r="DS194" s="607">
        <f t="shared" si="470"/>
        <v>288.40283999999997</v>
      </c>
      <c r="DT194" s="608">
        <f t="shared" ref="DT194:DX194" si="471">DT178+DT193</f>
        <v>711.04016000000001</v>
      </c>
      <c r="DU194" s="607">
        <f t="shared" si="471"/>
        <v>252.05883</v>
      </c>
      <c r="DV194" s="607">
        <f t="shared" si="471"/>
        <v>364.87108000000001</v>
      </c>
      <c r="DW194" s="607">
        <f t="shared" si="471"/>
        <v>433.83111840000009</v>
      </c>
      <c r="DX194" s="607">
        <f t="shared" si="471"/>
        <v>531.46234460000005</v>
      </c>
      <c r="DY194" s="608">
        <f t="shared" ref="DY194" si="472">DY178+DY193</f>
        <v>1582.2233730000003</v>
      </c>
      <c r="DZ194" s="608">
        <f t="shared" ref="DZ194:EB194" si="473">DZ178+DZ193</f>
        <v>2308.9134586350006</v>
      </c>
      <c r="EA194" s="608">
        <f t="shared" si="473"/>
        <v>3003.3105659707512</v>
      </c>
      <c r="EB194" s="608">
        <f t="shared" si="473"/>
        <v>3386.865891263401</v>
      </c>
    </row>
    <row r="195" spans="2:132" s="823" customFormat="1" ht="12" hidden="1" customHeight="1" outlineLevel="1">
      <c r="B195" s="817" t="s">
        <v>573</v>
      </c>
      <c r="C195" s="824"/>
      <c r="D195" s="824"/>
      <c r="E195" s="824"/>
      <c r="F195" s="824"/>
      <c r="G195" s="824"/>
      <c r="H195" s="824"/>
      <c r="I195" s="824"/>
      <c r="J195" s="825"/>
      <c r="K195" s="825"/>
      <c r="L195" s="825"/>
      <c r="M195" s="825"/>
      <c r="N195" s="824"/>
      <c r="O195" s="825"/>
      <c r="P195" s="825"/>
      <c r="Q195" s="825"/>
      <c r="R195" s="825"/>
      <c r="S195" s="824"/>
      <c r="T195" s="825"/>
      <c r="U195" s="825"/>
      <c r="V195" s="825"/>
      <c r="W195" s="825"/>
      <c r="X195" s="824"/>
      <c r="Y195" s="825"/>
      <c r="Z195" s="825"/>
      <c r="AA195" s="825"/>
      <c r="AB195" s="825"/>
      <c r="AC195" s="824"/>
      <c r="AD195" s="825"/>
      <c r="AE195" s="825"/>
      <c r="AF195" s="825"/>
      <c r="AG195" s="825"/>
      <c r="AH195" s="824"/>
      <c r="AI195" s="825"/>
      <c r="AJ195" s="825"/>
      <c r="AK195" s="825"/>
      <c r="AL195" s="825"/>
      <c r="AM195" s="824"/>
      <c r="AN195" s="825"/>
      <c r="AO195" s="825"/>
      <c r="AP195" s="825"/>
      <c r="AQ195" s="825"/>
      <c r="AR195" s="824"/>
      <c r="AS195" s="825"/>
      <c r="AT195" s="825"/>
      <c r="AU195" s="825"/>
      <c r="AV195" s="825"/>
      <c r="AW195" s="824"/>
      <c r="AX195" s="825"/>
      <c r="AY195" s="825"/>
      <c r="AZ195" s="825"/>
      <c r="BA195" s="825"/>
      <c r="BB195" s="824"/>
      <c r="BC195" s="825"/>
      <c r="BD195" s="825"/>
      <c r="BE195" s="825"/>
      <c r="BF195" s="825"/>
      <c r="BG195" s="824"/>
      <c r="BH195" s="825"/>
      <c r="BI195" s="825"/>
      <c r="BJ195" s="825"/>
      <c r="BK195" s="825"/>
      <c r="BL195" s="824"/>
      <c r="BM195" s="825"/>
      <c r="BN195" s="825"/>
      <c r="BO195" s="825"/>
      <c r="BP195" s="825"/>
      <c r="BQ195" s="824"/>
      <c r="BR195" s="825">
        <f t="shared" ref="BR195:CW195" si="474">BR194/BR69</f>
        <v>9.7457627118644072E-2</v>
      </c>
      <c r="BS195" s="825">
        <f t="shared" si="474"/>
        <v>0.10771227289581016</v>
      </c>
      <c r="BT195" s="825">
        <f t="shared" si="474"/>
        <v>9.80699008868023E-2</v>
      </c>
      <c r="BU195" s="825">
        <f t="shared" si="474"/>
        <v>0.11207875804619462</v>
      </c>
      <c r="BV195" s="824">
        <f t="shared" si="474"/>
        <v>0.10348801134600895</v>
      </c>
      <c r="BW195" s="825">
        <f t="shared" si="474"/>
        <v>0.10739436619718309</v>
      </c>
      <c r="BX195" s="825">
        <f t="shared" si="474"/>
        <v>0.11940879035394789</v>
      </c>
      <c r="BY195" s="825">
        <f t="shared" si="474"/>
        <v>0.11069306930693069</v>
      </c>
      <c r="BZ195" s="825">
        <f t="shared" si="474"/>
        <v>0.10348107285524064</v>
      </c>
      <c r="CA195" s="824">
        <f t="shared" si="474"/>
        <v>0.11020864743932689</v>
      </c>
      <c r="CB195" s="825">
        <f t="shared" si="474"/>
        <v>0.11680296250578615</v>
      </c>
      <c r="CC195" s="825">
        <f t="shared" si="474"/>
        <v>7.9836065573770487E-2</v>
      </c>
      <c r="CD195" s="825">
        <f t="shared" si="474"/>
        <v>7.3230503099322469E-2</v>
      </c>
      <c r="CE195" s="825">
        <f t="shared" si="474"/>
        <v>0.11216176898457958</v>
      </c>
      <c r="CF195" s="824">
        <f t="shared" si="474"/>
        <v>9.5597150651712634E-2</v>
      </c>
      <c r="CG195" s="825">
        <f t="shared" si="474"/>
        <v>0.11178339131750113</v>
      </c>
      <c r="CH195" s="825">
        <f t="shared" si="474"/>
        <v>0.11842105263157894</v>
      </c>
      <c r="CI195" s="825">
        <f t="shared" si="474"/>
        <v>0.10768351899457299</v>
      </c>
      <c r="CJ195" s="825">
        <f t="shared" si="474"/>
        <v>7.3968466957396853E-2</v>
      </c>
      <c r="CK195" s="824">
        <f t="shared" si="474"/>
        <v>0.10375377095505403</v>
      </c>
      <c r="CL195" s="825">
        <f t="shared" si="474"/>
        <v>0.10526315789473684</v>
      </c>
      <c r="CM195" s="825">
        <f t="shared" si="474"/>
        <v>0.11399514268366727</v>
      </c>
      <c r="CN195" s="825">
        <f t="shared" si="474"/>
        <v>0.10148948598130841</v>
      </c>
      <c r="CO195" s="825">
        <f t="shared" si="474"/>
        <v>0.11461867532084379</v>
      </c>
      <c r="CP195" s="824">
        <f t="shared" si="474"/>
        <v>0.108885249647713</v>
      </c>
      <c r="CQ195" s="825">
        <f t="shared" si="474"/>
        <v>0.10062630480167015</v>
      </c>
      <c r="CR195" s="825">
        <f t="shared" si="474"/>
        <v>0.13932518906340896</v>
      </c>
      <c r="CS195" s="825">
        <f t="shared" si="474"/>
        <v>9.3849176363911144E-2</v>
      </c>
      <c r="CT195" s="825">
        <f t="shared" si="474"/>
        <v>2.5076765609007165E-2</v>
      </c>
      <c r="CU195" s="824">
        <f t="shared" si="474"/>
        <v>9.227581009796533E-2</v>
      </c>
      <c r="CV195" s="825">
        <f t="shared" si="474"/>
        <v>7.2587999270472367E-2</v>
      </c>
      <c r="CW195" s="825">
        <f t="shared" si="474"/>
        <v>5.0234210951381038E-2</v>
      </c>
      <c r="CX195" s="825">
        <f t="shared" ref="CX195:EB195" si="475">CX194/CX69</f>
        <v>3.768607499528924E-4</v>
      </c>
      <c r="CY195" s="825">
        <f t="shared" si="475"/>
        <v>1.8120045300113252E-2</v>
      </c>
      <c r="CZ195" s="824">
        <f t="shared" si="475"/>
        <v>3.5532337449270354E-2</v>
      </c>
      <c r="DA195" s="825">
        <f t="shared" si="475"/>
        <v>-3.2420859458632816E-2</v>
      </c>
      <c r="DB195" s="825">
        <f t="shared" si="475"/>
        <v>-8.5454840278903849E-2</v>
      </c>
      <c r="DC195" s="825">
        <f t="shared" si="475"/>
        <v>-0.16858237547892721</v>
      </c>
      <c r="DD195" s="825">
        <f t="shared" si="475"/>
        <v>-1.4971835161577232E-2</v>
      </c>
      <c r="DE195" s="824">
        <f t="shared" si="475"/>
        <v>-7.0749608951991338E-2</v>
      </c>
      <c r="DF195" s="825">
        <f t="shared" si="475"/>
        <v>2.172661870503597E-2</v>
      </c>
      <c r="DG195" s="825">
        <f t="shared" si="475"/>
        <v>-0.15163594087360904</v>
      </c>
      <c r="DH195" s="825">
        <f t="shared" si="475"/>
        <v>-0.430635838150289</v>
      </c>
      <c r="DI195" s="825">
        <f t="shared" si="475"/>
        <v>-0.41896137497689889</v>
      </c>
      <c r="DJ195" s="824">
        <f t="shared" si="475"/>
        <v>-0.22631490927335063</v>
      </c>
      <c r="DK195" s="825">
        <f t="shared" si="475"/>
        <v>2.461098761511591E-2</v>
      </c>
      <c r="DL195" s="825">
        <f t="shared" si="475"/>
        <v>1.6623847665105034E-2</v>
      </c>
      <c r="DM195" s="825">
        <f t="shared" si="475"/>
        <v>1.65169516082295E-2</v>
      </c>
      <c r="DN195" s="825">
        <f t="shared" si="475"/>
        <v>-6.8356478360523124E-2</v>
      </c>
      <c r="DO195" s="824">
        <f t="shared" si="475"/>
        <v>-4.700007343761475E-3</v>
      </c>
      <c r="DP195" s="825">
        <f t="shared" si="475"/>
        <v>3.0661929201210684E-2</v>
      </c>
      <c r="DQ195" s="825">
        <f t="shared" si="475"/>
        <v>-2.0045436322330616E-3</v>
      </c>
      <c r="DR195" s="825">
        <f t="shared" si="475"/>
        <v>2.7E-2</v>
      </c>
      <c r="DS195" s="825">
        <f t="shared" si="475"/>
        <v>3.5999999999999997E-2</v>
      </c>
      <c r="DT195" s="824">
        <f t="shared" si="475"/>
        <v>2.3181795982375006E-2</v>
      </c>
      <c r="DU195" s="825">
        <f t="shared" si="475"/>
        <v>3.1E-2</v>
      </c>
      <c r="DV195" s="825">
        <f t="shared" si="475"/>
        <v>4.5999999999999999E-2</v>
      </c>
      <c r="DW195" s="825">
        <f t="shared" si="475"/>
        <v>5.2999999999999999E-2</v>
      </c>
      <c r="DX195" s="825">
        <f t="shared" si="475"/>
        <v>6.1999999999999993E-2</v>
      </c>
      <c r="DY195" s="824">
        <f t="shared" si="475"/>
        <v>4.8208569218681191E-2</v>
      </c>
      <c r="DZ195" s="824">
        <f t="shared" si="475"/>
        <v>6.7000000000000004E-2</v>
      </c>
      <c r="EA195" s="824">
        <f t="shared" si="475"/>
        <v>8.3000000000000004E-2</v>
      </c>
      <c r="EB195" s="824">
        <f t="shared" si="475"/>
        <v>0.09</v>
      </c>
    </row>
    <row r="196" spans="2:132" s="823" customFormat="1" ht="6" hidden="1" customHeight="1" outlineLevel="1">
      <c r="B196" s="817"/>
      <c r="C196" s="824"/>
      <c r="D196" s="824"/>
      <c r="E196" s="824"/>
      <c r="F196" s="824"/>
      <c r="G196" s="824"/>
      <c r="H196" s="824"/>
      <c r="I196" s="824"/>
      <c r="J196" s="825"/>
      <c r="K196" s="825"/>
      <c r="L196" s="825"/>
      <c r="M196" s="825"/>
      <c r="N196" s="824"/>
      <c r="O196" s="825"/>
      <c r="P196" s="825"/>
      <c r="Q196" s="825"/>
      <c r="R196" s="825"/>
      <c r="S196" s="824"/>
      <c r="T196" s="825"/>
      <c r="U196" s="825"/>
      <c r="V196" s="825"/>
      <c r="W196" s="825"/>
      <c r="X196" s="824"/>
      <c r="Y196" s="825"/>
      <c r="Z196" s="825"/>
      <c r="AA196" s="825"/>
      <c r="AB196" s="825"/>
      <c r="AC196" s="824"/>
      <c r="AD196" s="825"/>
      <c r="AE196" s="825"/>
      <c r="AF196" s="825"/>
      <c r="AG196" s="825"/>
      <c r="AH196" s="824"/>
      <c r="AI196" s="825"/>
      <c r="AJ196" s="825"/>
      <c r="AK196" s="825"/>
      <c r="AL196" s="825"/>
      <c r="AM196" s="824"/>
      <c r="AN196" s="825"/>
      <c r="AO196" s="825"/>
      <c r="AP196" s="825"/>
      <c r="AQ196" s="825"/>
      <c r="AR196" s="824"/>
      <c r="AS196" s="825"/>
      <c r="AT196" s="825"/>
      <c r="AU196" s="825"/>
      <c r="AV196" s="825"/>
      <c r="AW196" s="824"/>
      <c r="AX196" s="825"/>
      <c r="AY196" s="825"/>
      <c r="AZ196" s="825"/>
      <c r="BA196" s="825"/>
      <c r="BB196" s="824"/>
      <c r="BC196" s="825"/>
      <c r="BD196" s="825"/>
      <c r="BE196" s="825"/>
      <c r="BF196" s="825"/>
      <c r="BG196" s="824"/>
      <c r="BH196" s="825"/>
      <c r="BI196" s="825"/>
      <c r="BJ196" s="825"/>
      <c r="BK196" s="825"/>
      <c r="BL196" s="824"/>
      <c r="BM196" s="825"/>
      <c r="BN196" s="825"/>
      <c r="BO196" s="825"/>
      <c r="BP196" s="825"/>
      <c r="BQ196" s="824"/>
      <c r="BR196" s="825"/>
      <c r="BS196" s="825"/>
      <c r="BT196" s="825"/>
      <c r="BU196" s="825"/>
      <c r="BV196" s="824"/>
      <c r="BW196" s="825"/>
      <c r="BX196" s="825"/>
      <c r="BY196" s="825"/>
      <c r="BZ196" s="825"/>
      <c r="CA196" s="824"/>
      <c r="CB196" s="825"/>
      <c r="CC196" s="825"/>
      <c r="CD196" s="825"/>
      <c r="CE196" s="825"/>
      <c r="CF196" s="824"/>
      <c r="CG196" s="825"/>
      <c r="CH196" s="825"/>
      <c r="CI196" s="825"/>
      <c r="CJ196" s="825"/>
      <c r="CK196" s="824"/>
      <c r="CL196" s="825"/>
      <c r="CM196" s="825"/>
      <c r="CN196" s="825"/>
      <c r="CO196" s="825"/>
      <c r="CP196" s="824"/>
      <c r="CQ196" s="825"/>
      <c r="CR196" s="825"/>
      <c r="CS196" s="825"/>
      <c r="CT196" s="825"/>
      <c r="CU196" s="824"/>
      <c r="CV196" s="825"/>
      <c r="CW196" s="825"/>
      <c r="CX196" s="825"/>
      <c r="CY196" s="825"/>
      <c r="CZ196" s="824"/>
      <c r="DA196" s="825"/>
      <c r="DB196" s="825"/>
      <c r="DC196" s="825"/>
      <c r="DD196" s="825"/>
      <c r="DE196" s="824"/>
      <c r="DF196" s="825"/>
      <c r="DG196" s="825"/>
      <c r="DH196" s="825"/>
      <c r="DI196" s="825"/>
      <c r="DJ196" s="824"/>
      <c r="DK196" s="825"/>
      <c r="DL196" s="825"/>
      <c r="DM196" s="825"/>
      <c r="DN196" s="825"/>
      <c r="DO196" s="824"/>
      <c r="DP196" s="825"/>
      <c r="DQ196" s="825"/>
      <c r="DR196" s="825"/>
      <c r="DS196" s="825"/>
      <c r="DT196" s="824"/>
      <c r="DU196" s="825"/>
      <c r="DV196" s="825"/>
      <c r="DW196" s="825"/>
      <c r="DX196" s="825"/>
      <c r="DY196" s="824"/>
      <c r="DZ196" s="824"/>
      <c r="EA196" s="824"/>
      <c r="EB196" s="824"/>
    </row>
    <row r="197" spans="2:132" s="818" customFormat="1" ht="12" hidden="1" customHeight="1" outlineLevel="1">
      <c r="B197" s="817" t="s">
        <v>647</v>
      </c>
      <c r="C197" s="819"/>
      <c r="D197" s="819"/>
      <c r="E197" s="819"/>
      <c r="F197" s="819"/>
      <c r="G197" s="819"/>
      <c r="H197" s="819"/>
      <c r="I197" s="819"/>
      <c r="J197" s="820"/>
      <c r="K197" s="820"/>
      <c r="L197" s="820"/>
      <c r="M197" s="820"/>
      <c r="N197" s="819"/>
      <c r="O197" s="820"/>
      <c r="P197" s="820"/>
      <c r="Q197" s="820"/>
      <c r="R197" s="820"/>
      <c r="S197" s="819"/>
      <c r="T197" s="820"/>
      <c r="U197" s="820"/>
      <c r="V197" s="820"/>
      <c r="W197" s="820"/>
      <c r="X197" s="819"/>
      <c r="Y197" s="820"/>
      <c r="Z197" s="820"/>
      <c r="AA197" s="820"/>
      <c r="AB197" s="820"/>
      <c r="AC197" s="819"/>
      <c r="AD197" s="820"/>
      <c r="AE197" s="820"/>
      <c r="AF197" s="820"/>
      <c r="AG197" s="820"/>
      <c r="AH197" s="819"/>
      <c r="AI197" s="820"/>
      <c r="AJ197" s="820"/>
      <c r="AK197" s="820"/>
      <c r="AL197" s="820"/>
      <c r="AM197" s="819"/>
      <c r="AN197" s="820"/>
      <c r="AO197" s="820"/>
      <c r="AP197" s="820"/>
      <c r="AQ197" s="820"/>
      <c r="AR197" s="819"/>
      <c r="AS197" s="820"/>
      <c r="AT197" s="820"/>
      <c r="AU197" s="820"/>
      <c r="AV197" s="820"/>
      <c r="AW197" s="819"/>
      <c r="AX197" s="820"/>
      <c r="AY197" s="820"/>
      <c r="AZ197" s="820"/>
      <c r="BA197" s="820"/>
      <c r="BB197" s="819"/>
      <c r="BC197" s="820"/>
      <c r="BD197" s="820"/>
      <c r="BE197" s="820"/>
      <c r="BF197" s="820"/>
      <c r="BG197" s="819"/>
      <c r="BH197" s="821"/>
      <c r="BI197" s="821"/>
      <c r="BJ197" s="821"/>
      <c r="BK197" s="821"/>
      <c r="BL197" s="819"/>
      <c r="BM197" s="821"/>
      <c r="BN197" s="821"/>
      <c r="BO197" s="821"/>
      <c r="BP197" s="821"/>
      <c r="BQ197" s="819"/>
      <c r="BR197" s="821"/>
      <c r="BS197" s="821"/>
      <c r="BT197" s="821"/>
      <c r="BU197" s="821"/>
      <c r="BV197" s="819"/>
      <c r="BW197" s="821"/>
      <c r="BX197" s="821"/>
      <c r="BY197" s="821"/>
      <c r="BZ197" s="821"/>
      <c r="CA197" s="819"/>
      <c r="CB197" s="821"/>
      <c r="CC197" s="821"/>
      <c r="CD197" s="821"/>
      <c r="CE197" s="821"/>
      <c r="CF197" s="819"/>
      <c r="CG197" s="821"/>
      <c r="CH197" s="821"/>
      <c r="CI197" s="821"/>
      <c r="CJ197" s="821"/>
      <c r="CK197" s="822"/>
      <c r="CL197" s="821"/>
      <c r="CM197" s="821">
        <v>923</v>
      </c>
      <c r="CN197" s="821"/>
      <c r="CO197" s="821">
        <v>290</v>
      </c>
      <c r="CP197" s="822">
        <f>SUM(CL197:CO197)</f>
        <v>1213</v>
      </c>
      <c r="CQ197" s="821">
        <v>0</v>
      </c>
      <c r="CR197" s="821">
        <v>0</v>
      </c>
      <c r="CS197" s="821">
        <v>0</v>
      </c>
      <c r="CT197" s="821">
        <v>220</v>
      </c>
      <c r="CU197" s="822">
        <f>SUM(CQ197:CT197)</f>
        <v>220</v>
      </c>
      <c r="CV197" s="821">
        <v>0</v>
      </c>
      <c r="CW197" s="821">
        <v>0</v>
      </c>
      <c r="CX197" s="821">
        <v>0</v>
      </c>
      <c r="CY197" s="821">
        <v>0</v>
      </c>
      <c r="CZ197" s="822">
        <f>SUM(CV197:CY197)</f>
        <v>0</v>
      </c>
      <c r="DA197" s="821"/>
      <c r="DB197" s="821"/>
      <c r="DC197" s="821"/>
      <c r="DD197" s="821"/>
      <c r="DE197" s="822">
        <f>SUM(DA197:DD197)</f>
        <v>0</v>
      </c>
      <c r="DF197" s="821"/>
      <c r="DG197" s="821"/>
      <c r="DH197" s="821"/>
      <c r="DI197" s="821"/>
      <c r="DJ197" s="822"/>
      <c r="DK197" s="821"/>
      <c r="DL197" s="821"/>
      <c r="DM197" s="821"/>
      <c r="DN197" s="821"/>
      <c r="DO197" s="822"/>
      <c r="DP197" s="821"/>
      <c r="DQ197" s="821"/>
      <c r="DR197" s="821"/>
      <c r="DS197" s="821"/>
      <c r="DT197" s="822"/>
      <c r="DU197" s="821"/>
      <c r="DV197" s="821"/>
      <c r="DW197" s="821"/>
      <c r="DX197" s="821"/>
      <c r="DY197" s="822"/>
      <c r="DZ197" s="822"/>
      <c r="EA197" s="822"/>
      <c r="EB197" s="822"/>
    </row>
    <row r="198" spans="2:132" s="163" customFormat="1" ht="12" hidden="1" customHeight="1" outlineLevel="1">
      <c r="B198" s="817" t="s">
        <v>648</v>
      </c>
      <c r="C198" s="415"/>
      <c r="D198" s="415"/>
      <c r="E198" s="415"/>
      <c r="F198" s="415"/>
      <c r="G198" s="415"/>
      <c r="H198" s="415"/>
      <c r="I198" s="415"/>
      <c r="J198" s="416"/>
      <c r="K198" s="416"/>
      <c r="L198" s="416"/>
      <c r="M198" s="416"/>
      <c r="N198" s="415"/>
      <c r="O198" s="416"/>
      <c r="P198" s="416"/>
      <c r="Q198" s="416"/>
      <c r="R198" s="416"/>
      <c r="S198" s="415"/>
      <c r="T198" s="416"/>
      <c r="U198" s="416"/>
      <c r="V198" s="416"/>
      <c r="W198" s="416"/>
      <c r="X198" s="415"/>
      <c r="Y198" s="416"/>
      <c r="Z198" s="416"/>
      <c r="AA198" s="416"/>
      <c r="AB198" s="416"/>
      <c r="AC198" s="415"/>
      <c r="AD198" s="416"/>
      <c r="AE198" s="416"/>
      <c r="AF198" s="416"/>
      <c r="AG198" s="416"/>
      <c r="AH198" s="415"/>
      <c r="AI198" s="417"/>
      <c r="AJ198" s="417"/>
      <c r="AK198" s="417"/>
      <c r="AL198" s="417"/>
      <c r="AM198" s="415"/>
      <c r="AN198" s="419"/>
      <c r="AO198" s="419"/>
      <c r="AP198" s="419"/>
      <c r="AQ198" s="419"/>
      <c r="AR198" s="415"/>
      <c r="AS198" s="419"/>
      <c r="AT198" s="419"/>
      <c r="AU198" s="419"/>
      <c r="AV198" s="419"/>
      <c r="AW198" s="415"/>
      <c r="AX198" s="419"/>
      <c r="AY198" s="419"/>
      <c r="AZ198" s="419"/>
      <c r="BA198" s="419"/>
      <c r="BB198" s="418"/>
      <c r="BC198" s="419"/>
      <c r="BD198" s="419"/>
      <c r="BE198" s="419"/>
      <c r="BF198" s="419"/>
      <c r="BG198" s="418"/>
      <c r="BH198" s="607"/>
      <c r="BI198" s="607"/>
      <c r="BJ198" s="607"/>
      <c r="BK198" s="607"/>
      <c r="BL198" s="608"/>
      <c r="BM198" s="607"/>
      <c r="BN198" s="607"/>
      <c r="BO198" s="607"/>
      <c r="BP198" s="607"/>
      <c r="BQ198" s="608"/>
      <c r="BR198" s="607"/>
      <c r="BS198" s="607"/>
      <c r="BT198" s="607"/>
      <c r="BU198" s="607"/>
      <c r="BV198" s="608"/>
      <c r="BW198" s="607"/>
      <c r="BX198" s="607"/>
      <c r="BY198" s="607"/>
      <c r="BZ198" s="607"/>
      <c r="CA198" s="608"/>
      <c r="CB198" s="607"/>
      <c r="CC198" s="607"/>
      <c r="CD198" s="607"/>
      <c r="CE198" s="607"/>
      <c r="CF198" s="608"/>
      <c r="CG198" s="607">
        <f t="shared" ref="CG198:CL198" si="476">CG179+CG197</f>
        <v>653</v>
      </c>
      <c r="CH198" s="607">
        <f t="shared" si="476"/>
        <v>687</v>
      </c>
      <c r="CI198" s="607">
        <f t="shared" si="476"/>
        <v>673</v>
      </c>
      <c r="CJ198" s="607">
        <f t="shared" si="476"/>
        <v>684</v>
      </c>
      <c r="CK198" s="608">
        <f t="shared" si="476"/>
        <v>2697</v>
      </c>
      <c r="CL198" s="607">
        <f t="shared" si="476"/>
        <v>708</v>
      </c>
      <c r="CM198" s="607">
        <f>CM179+CM197</f>
        <v>251</v>
      </c>
      <c r="CN198" s="607">
        <f t="shared" ref="CN198:CP198" si="477">CN179+CN197</f>
        <v>271</v>
      </c>
      <c r="CO198" s="607">
        <f t="shared" si="477"/>
        <v>433</v>
      </c>
      <c r="CP198" s="608">
        <f t="shared" si="477"/>
        <v>1663</v>
      </c>
      <c r="CQ198" s="607">
        <f t="shared" ref="CQ198:CV198" si="478">CQ179+CQ197</f>
        <v>441</v>
      </c>
      <c r="CR198" s="607">
        <f t="shared" si="478"/>
        <v>531</v>
      </c>
      <c r="CS198" s="607">
        <f t="shared" si="478"/>
        <v>644</v>
      </c>
      <c r="CT198" s="607">
        <f t="shared" si="478"/>
        <v>621</v>
      </c>
      <c r="CU198" s="608">
        <f t="shared" si="478"/>
        <v>2237</v>
      </c>
      <c r="CV198" s="607">
        <f t="shared" si="478"/>
        <v>632</v>
      </c>
      <c r="CW198" s="607">
        <f t="shared" ref="CW198:CZ198" si="479">CW179+CW197</f>
        <v>728</v>
      </c>
      <c r="CX198" s="607">
        <f t="shared" si="479"/>
        <v>733</v>
      </c>
      <c r="CY198" s="607">
        <f t="shared" si="479"/>
        <v>634</v>
      </c>
      <c r="CZ198" s="608">
        <f t="shared" si="479"/>
        <v>2727</v>
      </c>
      <c r="DA198" s="607">
        <f t="shared" ref="DA198:DE198" si="480">DA179+DA197</f>
        <v>847</v>
      </c>
      <c r="DB198" s="607">
        <f t="shared" si="480"/>
        <v>856</v>
      </c>
      <c r="DC198" s="607">
        <f t="shared" si="480"/>
        <v>784</v>
      </c>
      <c r="DD198" s="607">
        <f t="shared" si="480"/>
        <v>842</v>
      </c>
      <c r="DE198" s="608">
        <f t="shared" si="480"/>
        <v>3329</v>
      </c>
      <c r="DF198" s="607">
        <f t="shared" ref="DF198:DI198" si="481">DF179+DF197</f>
        <v>916</v>
      </c>
      <c r="DG198" s="607">
        <f t="shared" si="481"/>
        <v>870</v>
      </c>
      <c r="DH198" s="607">
        <f t="shared" si="481"/>
        <v>834</v>
      </c>
      <c r="DI198" s="607">
        <f t="shared" si="481"/>
        <v>998</v>
      </c>
      <c r="DJ198" s="608">
        <f t="shared" ref="DJ198:DN198" si="482">DJ179+DJ197</f>
        <v>3618</v>
      </c>
      <c r="DK198" s="607">
        <f t="shared" si="482"/>
        <v>943</v>
      </c>
      <c r="DL198" s="607">
        <f t="shared" si="482"/>
        <v>1049</v>
      </c>
      <c r="DM198" s="607">
        <f t="shared" si="482"/>
        <v>938</v>
      </c>
      <c r="DN198" s="607">
        <f t="shared" si="482"/>
        <v>10544</v>
      </c>
      <c r="DO198" s="608">
        <f t="shared" ref="DO198:DS198" si="483">DO179+DO197</f>
        <v>13474</v>
      </c>
      <c r="DP198" s="607">
        <f t="shared" si="483"/>
        <v>971</v>
      </c>
      <c r="DQ198" s="607">
        <f t="shared" si="483"/>
        <v>968</v>
      </c>
      <c r="DR198" s="607">
        <f t="shared" si="483"/>
        <v>982.84501715988279</v>
      </c>
      <c r="DS198" s="607">
        <f t="shared" si="483"/>
        <v>1028.9564200364091</v>
      </c>
      <c r="DT198" s="608">
        <f t="shared" ref="DT198:DX198" si="484">DT179+DT197</f>
        <v>3950.8014371962918</v>
      </c>
      <c r="DU198" s="607">
        <f t="shared" si="484"/>
        <v>1001.544652322073</v>
      </c>
      <c r="DV198" s="607">
        <f t="shared" si="484"/>
        <v>1029.7108859809318</v>
      </c>
      <c r="DW198" s="607">
        <f t="shared" si="484"/>
        <v>1107.1881481879745</v>
      </c>
      <c r="DX198" s="607">
        <f t="shared" si="484"/>
        <v>1103.4919425794342</v>
      </c>
      <c r="DY198" s="608">
        <f t="shared" ref="DY198" si="485">DY179+DY197</f>
        <v>4241.9356290704136</v>
      </c>
      <c r="DZ198" s="608">
        <f t="shared" ref="DZ198:EB198" si="486">DZ179+DZ197</f>
        <v>4423.1693075478352</v>
      </c>
      <c r="EA198" s="608">
        <f t="shared" si="486"/>
        <v>4613.587263291678</v>
      </c>
      <c r="EB198" s="608">
        <f t="shared" si="486"/>
        <v>4811.7507616042312</v>
      </c>
    </row>
    <row r="199" spans="2:132" s="823" customFormat="1" ht="12" hidden="1" customHeight="1" outlineLevel="1">
      <c r="B199" s="817" t="s">
        <v>573</v>
      </c>
      <c r="C199" s="824"/>
      <c r="D199" s="824"/>
      <c r="E199" s="824"/>
      <c r="F199" s="824"/>
      <c r="G199" s="824"/>
      <c r="H199" s="824"/>
      <c r="I199" s="824"/>
      <c r="J199" s="825"/>
      <c r="K199" s="825"/>
      <c r="L199" s="825"/>
      <c r="M199" s="825"/>
      <c r="N199" s="824"/>
      <c r="O199" s="825"/>
      <c r="P199" s="825"/>
      <c r="Q199" s="825"/>
      <c r="R199" s="825"/>
      <c r="S199" s="824"/>
      <c r="T199" s="825"/>
      <c r="U199" s="825"/>
      <c r="V199" s="825"/>
      <c r="W199" s="825"/>
      <c r="X199" s="824"/>
      <c r="Y199" s="825"/>
      <c r="Z199" s="825"/>
      <c r="AA199" s="825"/>
      <c r="AB199" s="825"/>
      <c r="AC199" s="824"/>
      <c r="AD199" s="825"/>
      <c r="AE199" s="825"/>
      <c r="AF199" s="825"/>
      <c r="AG199" s="825"/>
      <c r="AH199" s="824"/>
      <c r="AI199" s="825"/>
      <c r="AJ199" s="825"/>
      <c r="AK199" s="825"/>
      <c r="AL199" s="825"/>
      <c r="AM199" s="824"/>
      <c r="AN199" s="825"/>
      <c r="AO199" s="825"/>
      <c r="AP199" s="825"/>
      <c r="AQ199" s="825"/>
      <c r="AR199" s="824"/>
      <c r="AS199" s="825"/>
      <c r="AT199" s="825"/>
      <c r="AU199" s="825"/>
      <c r="AV199" s="825"/>
      <c r="AW199" s="824"/>
      <c r="AX199" s="825"/>
      <c r="AY199" s="825"/>
      <c r="AZ199" s="825"/>
      <c r="BA199" s="825"/>
      <c r="BB199" s="824"/>
      <c r="BC199" s="825"/>
      <c r="BD199" s="825"/>
      <c r="BE199" s="825"/>
      <c r="BF199" s="825"/>
      <c r="BG199" s="824"/>
      <c r="BH199" s="825"/>
      <c r="BI199" s="825"/>
      <c r="BJ199" s="825"/>
      <c r="BK199" s="825"/>
      <c r="BL199" s="824"/>
      <c r="BM199" s="825"/>
      <c r="BN199" s="825"/>
      <c r="BO199" s="825"/>
      <c r="BP199" s="825"/>
      <c r="BQ199" s="824"/>
      <c r="BR199" s="825"/>
      <c r="BS199" s="825"/>
      <c r="BT199" s="825"/>
      <c r="BU199" s="825"/>
      <c r="BV199" s="824"/>
      <c r="BW199" s="825"/>
      <c r="BX199" s="825"/>
      <c r="BY199" s="825"/>
      <c r="BZ199" s="825"/>
      <c r="CA199" s="824"/>
      <c r="CB199" s="825"/>
      <c r="CC199" s="825"/>
      <c r="CD199" s="825"/>
      <c r="CE199" s="825"/>
      <c r="CF199" s="824"/>
      <c r="CG199" s="825">
        <f t="shared" ref="CG199:DZ199" si="487">CG198/CG74</f>
        <v>0.14137259147001516</v>
      </c>
      <c r="CH199" s="825">
        <f t="shared" si="487"/>
        <v>0.15122165969623597</v>
      </c>
      <c r="CI199" s="825">
        <f t="shared" si="487"/>
        <v>0.14448261056247316</v>
      </c>
      <c r="CJ199" s="825">
        <f t="shared" si="487"/>
        <v>0.14716006884681584</v>
      </c>
      <c r="CK199" s="824">
        <f t="shared" si="487"/>
        <v>0.14603638726445745</v>
      </c>
      <c r="CL199" s="825">
        <f t="shared" si="487"/>
        <v>0.15298184961106309</v>
      </c>
      <c r="CM199" s="825">
        <f t="shared" si="487"/>
        <v>7.1961009174311932E-2</v>
      </c>
      <c r="CN199" s="825">
        <f t="shared" si="487"/>
        <v>7.3362208987547375E-2</v>
      </c>
      <c r="CO199" s="825">
        <f t="shared" si="487"/>
        <v>0.11599249933029734</v>
      </c>
      <c r="CP199" s="824">
        <f t="shared" si="487"/>
        <v>0.1069935018979605</v>
      </c>
      <c r="CQ199" s="825">
        <f t="shared" si="487"/>
        <v>0.11763136836489731</v>
      </c>
      <c r="CR199" s="825">
        <f t="shared" si="487"/>
        <v>0.13056306860093436</v>
      </c>
      <c r="CS199" s="825">
        <f t="shared" si="487"/>
        <v>0.15257048092868988</v>
      </c>
      <c r="CT199" s="825">
        <f t="shared" si="487"/>
        <v>0.14472151013749709</v>
      </c>
      <c r="CU199" s="824">
        <f t="shared" si="487"/>
        <v>0.13700391964723174</v>
      </c>
      <c r="CV199" s="825">
        <f t="shared" si="487"/>
        <v>0.14649976819656932</v>
      </c>
      <c r="CW199" s="825">
        <f t="shared" si="487"/>
        <v>0.16938110749185667</v>
      </c>
      <c r="CX199" s="825">
        <f t="shared" si="487"/>
        <v>0.16538808664259927</v>
      </c>
      <c r="CY199" s="825">
        <f t="shared" si="487"/>
        <v>0.13882198379680316</v>
      </c>
      <c r="CZ199" s="824">
        <f t="shared" si="487"/>
        <v>0.15484640281642156</v>
      </c>
      <c r="DA199" s="825">
        <f t="shared" si="487"/>
        <v>0.17944915254237287</v>
      </c>
      <c r="DB199" s="825">
        <f t="shared" si="487"/>
        <v>0.18036241045090604</v>
      </c>
      <c r="DC199" s="825">
        <f t="shared" si="487"/>
        <v>0.1629260182876143</v>
      </c>
      <c r="DD199" s="825">
        <f t="shared" si="487"/>
        <v>0.17364405031965355</v>
      </c>
      <c r="DE199" s="824">
        <f t="shared" si="487"/>
        <v>0.1740471584670884</v>
      </c>
      <c r="DF199" s="825">
        <f t="shared" si="487"/>
        <v>0.18156590683845392</v>
      </c>
      <c r="DG199" s="825">
        <f t="shared" si="487"/>
        <v>0.17795050112497443</v>
      </c>
      <c r="DH199" s="825">
        <f t="shared" si="487"/>
        <v>0.17016935319322588</v>
      </c>
      <c r="DI199" s="825">
        <f t="shared" si="487"/>
        <v>0.19495995311584294</v>
      </c>
      <c r="DJ199" s="824">
        <f t="shared" si="487"/>
        <v>0.18131702916708428</v>
      </c>
      <c r="DK199" s="825">
        <f t="shared" si="487"/>
        <v>0.18625320955954969</v>
      </c>
      <c r="DL199" s="825">
        <f t="shared" si="487"/>
        <v>0.19863662185192199</v>
      </c>
      <c r="DM199" s="825">
        <f t="shared" si="487"/>
        <v>0.17467411545623837</v>
      </c>
      <c r="DN199" s="825">
        <f t="shared" si="487"/>
        <v>2.0241889038203111</v>
      </c>
      <c r="DO199" s="824">
        <f t="shared" si="487"/>
        <v>0.6439803087511351</v>
      </c>
      <c r="DP199" s="825">
        <f t="shared" ref="DP199" si="488">DP198/DP74</f>
        <v>0.18081936685288641</v>
      </c>
      <c r="DQ199" s="825">
        <f t="shared" si="487"/>
        <v>0.18113772455089822</v>
      </c>
      <c r="DR199" s="825">
        <f t="shared" si="487"/>
        <v>0.188</v>
      </c>
      <c r="DS199" s="825">
        <f t="shared" si="487"/>
        <v>0.18999999999999997</v>
      </c>
      <c r="DT199" s="824">
        <f t="shared" si="487"/>
        <v>0.18498461884495043</v>
      </c>
      <c r="DU199" s="825">
        <f t="shared" ref="DU199:DY199" si="489">DU198/DU74</f>
        <v>0.18</v>
      </c>
      <c r="DV199" s="825">
        <f t="shared" si="489"/>
        <v>0.18600000000000003</v>
      </c>
      <c r="DW199" s="825">
        <f t="shared" si="489"/>
        <v>0.19</v>
      </c>
      <c r="DX199" s="825">
        <f t="shared" si="489"/>
        <v>0.192</v>
      </c>
      <c r="DY199" s="824">
        <f t="shared" si="489"/>
        <v>0.18707645680906454</v>
      </c>
      <c r="DZ199" s="824">
        <f t="shared" si="487"/>
        <v>0.189</v>
      </c>
      <c r="EA199" s="824">
        <f t="shared" ref="EA199:EB199" si="490">EA198/EA74</f>
        <v>0.191</v>
      </c>
      <c r="EB199" s="824">
        <f t="shared" si="490"/>
        <v>0.19300000000000003</v>
      </c>
    </row>
    <row r="200" spans="2:132" s="241" customFormat="1" ht="12" customHeight="1" collapsed="1">
      <c r="C200" s="285"/>
      <c r="D200" s="285"/>
      <c r="E200" s="285"/>
      <c r="F200" s="285"/>
      <c r="G200" s="285"/>
      <c r="H200" s="285"/>
      <c r="I200" s="285"/>
      <c r="N200" s="285"/>
      <c r="S200" s="285"/>
      <c r="X200" s="285"/>
      <c r="AC200" s="285"/>
      <c r="AH200" s="285"/>
      <c r="AM200" s="285"/>
      <c r="AR200" s="285"/>
      <c r="AW200" s="285"/>
      <c r="BB200" s="285"/>
      <c r="BG200" s="285"/>
      <c r="BH200" s="121"/>
      <c r="BI200" s="121"/>
      <c r="BJ200" s="121"/>
      <c r="BK200" s="121"/>
      <c r="BL200" s="120"/>
      <c r="BM200" s="121"/>
      <c r="BN200" s="121"/>
      <c r="BO200" s="121"/>
      <c r="BP200" s="121"/>
      <c r="BQ200" s="120"/>
      <c r="BR200" s="121"/>
      <c r="BS200" s="121"/>
      <c r="BT200" s="121"/>
      <c r="BU200" s="121"/>
      <c r="BV200" s="826"/>
      <c r="BW200" s="121"/>
      <c r="BX200" s="121"/>
      <c r="BY200" s="121"/>
      <c r="BZ200" s="121"/>
      <c r="CA200" s="826"/>
      <c r="CB200" s="121"/>
      <c r="CC200" s="825"/>
      <c r="CD200" s="121"/>
      <c r="CE200" s="121"/>
      <c r="CF200" s="120"/>
      <c r="CG200" s="121"/>
      <c r="CH200" s="121"/>
      <c r="CI200" s="121"/>
      <c r="CJ200" s="121"/>
      <c r="CK200" s="120"/>
      <c r="CL200" s="121"/>
      <c r="CM200" s="121"/>
      <c r="CN200" s="121"/>
      <c r="CO200" s="121"/>
      <c r="CP200" s="120"/>
      <c r="CQ200" s="121"/>
      <c r="CR200" s="121"/>
      <c r="CS200" s="121"/>
      <c r="CT200" s="121"/>
      <c r="CU200" s="120"/>
      <c r="CV200" s="121"/>
      <c r="CW200" s="121"/>
      <c r="CX200" s="121"/>
      <c r="CY200" s="121"/>
      <c r="CZ200" s="120"/>
      <c r="DA200" s="121"/>
      <c r="DB200" s="121"/>
      <c r="DC200" s="121"/>
      <c r="DD200" s="121"/>
      <c r="DE200" s="120"/>
      <c r="DF200" s="121"/>
      <c r="DG200" s="121"/>
      <c r="DH200" s="121"/>
      <c r="DI200" s="121"/>
      <c r="DJ200" s="120"/>
      <c r="DK200" s="121"/>
      <c r="DL200" s="121"/>
      <c r="DM200" s="121"/>
      <c r="DN200" s="121"/>
      <c r="DO200" s="120"/>
      <c r="DP200" s="121"/>
      <c r="DQ200" s="121"/>
      <c r="DR200" s="121"/>
      <c r="DS200" s="121"/>
      <c r="DT200" s="120"/>
      <c r="DU200" s="121"/>
      <c r="DV200" s="121"/>
      <c r="DW200" s="121"/>
      <c r="DX200" s="121"/>
      <c r="DY200" s="120"/>
      <c r="DZ200" s="120"/>
      <c r="EA200" s="120"/>
      <c r="EB200" s="120"/>
    </row>
    <row r="201" spans="2:132" s="241" customFormat="1" ht="12" customHeight="1">
      <c r="B201" s="74" t="s">
        <v>184</v>
      </c>
      <c r="C201" s="285"/>
      <c r="D201" s="285"/>
      <c r="E201" s="285"/>
      <c r="F201" s="285"/>
      <c r="G201" s="285"/>
      <c r="H201" s="285"/>
      <c r="I201" s="285"/>
      <c r="N201" s="285"/>
      <c r="S201" s="285"/>
      <c r="X201" s="285"/>
      <c r="AC201" s="285"/>
      <c r="AH201" s="285"/>
      <c r="AM201" s="285"/>
      <c r="AR201" s="285"/>
      <c r="AW201" s="285"/>
      <c r="BB201" s="285"/>
      <c r="BG201" s="285"/>
      <c r="BH201" s="121"/>
      <c r="BI201" s="121"/>
      <c r="BJ201" s="121"/>
      <c r="BK201" s="121"/>
      <c r="BL201" s="120"/>
      <c r="BM201" s="121"/>
      <c r="BN201" s="121"/>
      <c r="BO201" s="121"/>
      <c r="BP201" s="121"/>
      <c r="BQ201" s="120"/>
      <c r="BR201" s="121"/>
      <c r="BS201" s="121"/>
      <c r="BT201" s="121"/>
      <c r="BU201" s="121"/>
      <c r="BV201" s="120"/>
      <c r="BW201" s="121"/>
      <c r="BX201" s="121"/>
      <c r="BY201" s="121"/>
      <c r="BZ201" s="121"/>
      <c r="CA201" s="120"/>
      <c r="CB201" s="121"/>
      <c r="CC201" s="121"/>
      <c r="CD201" s="121"/>
      <c r="CE201" s="121"/>
      <c r="CF201" s="120"/>
      <c r="CG201" s="121"/>
      <c r="CH201" s="121"/>
      <c r="CI201" s="121"/>
      <c r="CJ201" s="121"/>
      <c r="CK201" s="120"/>
      <c r="CL201" s="121"/>
      <c r="CM201" s="121"/>
      <c r="CN201" s="121"/>
      <c r="CO201" s="121"/>
      <c r="CP201" s="120"/>
      <c r="CQ201" s="121"/>
      <c r="CR201" s="121"/>
      <c r="CS201" s="121"/>
      <c r="CT201" s="121"/>
      <c r="CU201" s="120"/>
      <c r="CV201" s="121"/>
      <c r="CW201" s="121"/>
      <c r="CX201" s="121"/>
      <c r="CY201" s="121"/>
      <c r="CZ201" s="120"/>
      <c r="DA201" s="121"/>
      <c r="DB201" s="121"/>
      <c r="DC201" s="121"/>
      <c r="DD201" s="121"/>
      <c r="DE201" s="120"/>
      <c r="DF201" s="121"/>
      <c r="DG201" s="121"/>
      <c r="DH201" s="121"/>
      <c r="DI201" s="121"/>
      <c r="DJ201" s="120"/>
      <c r="DK201" s="121"/>
      <c r="DL201" s="121"/>
      <c r="DM201" s="121"/>
      <c r="DN201" s="121"/>
      <c r="DO201" s="120"/>
      <c r="DP201" s="121"/>
      <c r="DQ201" s="121"/>
      <c r="DR201" s="121"/>
      <c r="DS201" s="121"/>
      <c r="DT201" s="120"/>
      <c r="DU201" s="121"/>
      <c r="DV201" s="121"/>
      <c r="DW201" s="121"/>
      <c r="DX201" s="121"/>
      <c r="DY201" s="120"/>
      <c r="DZ201" s="120"/>
      <c r="EA201" s="120"/>
      <c r="EB201" s="120"/>
    </row>
    <row r="202" spans="2:132" s="241" customFormat="1" ht="12" customHeight="1">
      <c r="B202" s="241" t="s">
        <v>105</v>
      </c>
      <c r="C202" s="301">
        <f t="shared" ref="C202:AH202" si="491">IF(ISERROR(C168/C$188),"",(C168/C$188))</f>
        <v>5.1746478873239434</v>
      </c>
      <c r="D202" s="301">
        <f t="shared" si="491"/>
        <v>4.0204211869814932E-2</v>
      </c>
      <c r="E202" s="301">
        <f t="shared" si="491"/>
        <v>0.63596214511041005</v>
      </c>
      <c r="F202" s="301">
        <f t="shared" si="491"/>
        <v>0.89470241988227595</v>
      </c>
      <c r="G202" s="301">
        <f t="shared" si="491"/>
        <v>0.67556468172484596</v>
      </c>
      <c r="H202" s="301">
        <f t="shared" si="491"/>
        <v>0.73603929679420887</v>
      </c>
      <c r="I202" s="301">
        <f t="shared" si="491"/>
        <v>1.5746102449888641</v>
      </c>
      <c r="J202" s="242">
        <f t="shared" si="491"/>
        <v>0.42004773269689738</v>
      </c>
      <c r="K202" s="242">
        <f t="shared" si="491"/>
        <v>0.59316770186335399</v>
      </c>
      <c r="L202" s="242">
        <f t="shared" si="491"/>
        <v>0.32876712328767121</v>
      </c>
      <c r="M202" s="242">
        <f t="shared" si="491"/>
        <v>-10.642857142857142</v>
      </c>
      <c r="N202" s="301">
        <f t="shared" si="491"/>
        <v>0.37518684603886399</v>
      </c>
      <c r="O202" s="242">
        <f t="shared" si="491"/>
        <v>0.56540697674418605</v>
      </c>
      <c r="P202" s="242">
        <f t="shared" si="491"/>
        <v>0.5864197530864198</v>
      </c>
      <c r="Q202" s="242">
        <f t="shared" si="491"/>
        <v>0.31192660550458717</v>
      </c>
      <c r="R202" s="242">
        <f t="shared" si="491"/>
        <v>0.59891107078039929</v>
      </c>
      <c r="S202" s="301">
        <f t="shared" si="491"/>
        <v>0.50924608819345663</v>
      </c>
      <c r="T202" s="242">
        <f t="shared" si="491"/>
        <v>0.73305526590198122</v>
      </c>
      <c r="U202" s="242">
        <f t="shared" si="491"/>
        <v>1.3747609942638623</v>
      </c>
      <c r="V202" s="242">
        <f t="shared" si="491"/>
        <v>0.67928496319663512</v>
      </c>
      <c r="W202" s="242">
        <f t="shared" si="491"/>
        <v>0.57725694444444442</v>
      </c>
      <c r="X202" s="301">
        <f t="shared" si="491"/>
        <v>0.76234309623430963</v>
      </c>
      <c r="Y202" s="242">
        <f t="shared" si="491"/>
        <v>0.53934300993124518</v>
      </c>
      <c r="Z202" s="242">
        <f t="shared" si="491"/>
        <v>0.63745019920318724</v>
      </c>
      <c r="AA202" s="242">
        <f t="shared" si="491"/>
        <v>0.63042028018679119</v>
      </c>
      <c r="AB202" s="242">
        <f t="shared" si="491"/>
        <v>0.64182058047493407</v>
      </c>
      <c r="AC202" s="301">
        <f t="shared" si="491"/>
        <v>0.61475128644939969</v>
      </c>
      <c r="AD202" s="242">
        <f t="shared" si="491"/>
        <v>0.54641467481934403</v>
      </c>
      <c r="AE202" s="242">
        <f t="shared" si="491"/>
        <v>0.62309542902967119</v>
      </c>
      <c r="AF202" s="242">
        <f t="shared" si="491"/>
        <v>0.34350479511769832</v>
      </c>
      <c r="AG202" s="242">
        <f t="shared" si="491"/>
        <v>3.9835390946502058</v>
      </c>
      <c r="AH202" s="301">
        <f t="shared" si="491"/>
        <v>0.30025316455696205</v>
      </c>
      <c r="AI202" s="242">
        <f t="shared" ref="AI202:BP202" si="492">IF(ISERROR(AI168/AI$188),"",(AI168/AI$188))</f>
        <v>0.4068292682926829</v>
      </c>
      <c r="AJ202" s="242">
        <f t="shared" si="492"/>
        <v>0.53433616742969259</v>
      </c>
      <c r="AK202" s="242">
        <f t="shared" si="492"/>
        <v>1.3189214318921432</v>
      </c>
      <c r="AL202" s="242">
        <f t="shared" si="492"/>
        <v>0.60248080330773779</v>
      </c>
      <c r="AM202" s="301">
        <f t="shared" si="492"/>
        <v>-0.27814885496183206</v>
      </c>
      <c r="AN202" s="242">
        <f>IF(ISERROR(AN168/AN$188),"",(AN168/AN$188))</f>
        <v>0.57836456558773419</v>
      </c>
      <c r="AO202" s="242">
        <f t="shared" si="492"/>
        <v>0.52257077276205055</v>
      </c>
      <c r="AP202" s="242">
        <f t="shared" si="492"/>
        <v>0.73323720259552994</v>
      </c>
      <c r="AQ202" s="242">
        <f t="shared" si="492"/>
        <v>0.5684496826835902</v>
      </c>
      <c r="AR202" s="301">
        <f t="shared" si="492"/>
        <v>0.60470730235365122</v>
      </c>
      <c r="AS202" s="242">
        <f t="shared" si="492"/>
        <v>0.50900000000000001</v>
      </c>
      <c r="AT202" s="242">
        <f t="shared" si="492"/>
        <v>0.59973924380704047</v>
      </c>
      <c r="AU202" s="242">
        <f t="shared" si="492"/>
        <v>0.63302217036172692</v>
      </c>
      <c r="AV202" s="242">
        <f t="shared" si="492"/>
        <v>0.61427676894176586</v>
      </c>
      <c r="AW202" s="301">
        <f t="shared" si="492"/>
        <v>0.59794696321642427</v>
      </c>
      <c r="AX202" s="242">
        <f t="shared" ref="AX202:BA205" si="493">IF(ISERROR(AX168/AX$188),"",(AX168/AX$188))</f>
        <v>0.68853503184713372</v>
      </c>
      <c r="AY202" s="242">
        <f t="shared" si="493"/>
        <v>0.78229974160206717</v>
      </c>
      <c r="AZ202" s="242">
        <f t="shared" si="493"/>
        <v>0.73721227621483376</v>
      </c>
      <c r="BA202" s="242">
        <f t="shared" si="493"/>
        <v>0.77716390423572745</v>
      </c>
      <c r="BB202" s="301">
        <f t="shared" si="492"/>
        <v>0.7464744097607352</v>
      </c>
      <c r="BC202" s="242">
        <f t="shared" si="492"/>
        <v>0.79777486910994766</v>
      </c>
      <c r="BD202" s="242">
        <f t="shared" si="492"/>
        <v>0.84673659673659674</v>
      </c>
      <c r="BE202" s="242">
        <f t="shared" si="492"/>
        <v>0.8968386023294509</v>
      </c>
      <c r="BF202" s="242">
        <f t="shared" si="492"/>
        <v>0.99406058206295778</v>
      </c>
      <c r="BG202" s="301">
        <f t="shared" si="492"/>
        <v>0.8831202474742087</v>
      </c>
      <c r="BH202" s="145">
        <f t="shared" ref="BH202:BK205" si="494">IF(ISERROR(BH168/BH$188),"",(BH168/BH$188))</f>
        <v>0.97405966277561606</v>
      </c>
      <c r="BI202" s="145">
        <f t="shared" si="494"/>
        <v>0.86737548964745381</v>
      </c>
      <c r="BJ202" s="145">
        <f t="shared" si="494"/>
        <v>0.84804152902312413</v>
      </c>
      <c r="BK202" s="145">
        <f t="shared" si="494"/>
        <v>0.77135802469135806</v>
      </c>
      <c r="BL202" s="144">
        <f t="shared" si="492"/>
        <v>0.85788839823364116</v>
      </c>
      <c r="BM202" s="145">
        <f t="shared" si="492"/>
        <v>0.80089153046062411</v>
      </c>
      <c r="BN202" s="145">
        <f t="shared" ref="BN202" si="495">IF(ISERROR(BN168/BN$188),"",(BN168/BN$188))</f>
        <v>0.71657754010695185</v>
      </c>
      <c r="BO202" s="145">
        <f t="shared" si="492"/>
        <v>0.68527131782945738</v>
      </c>
      <c r="BP202" s="145">
        <f t="shared" si="492"/>
        <v>0.48751076658053405</v>
      </c>
      <c r="BQ202" s="144">
        <f t="shared" ref="BQ202:BS202" si="496">IF(ISERROR(BQ168/BQ$188),"",(BQ168/BQ$188))</f>
        <v>0.69286577992744858</v>
      </c>
      <c r="BR202" s="145">
        <f t="shared" si="496"/>
        <v>0.44295302013422821</v>
      </c>
      <c r="BS202" s="145">
        <f t="shared" si="496"/>
        <v>3.0572792362768495</v>
      </c>
      <c r="BT202" s="145">
        <f t="shared" ref="BT202:BX202" si="497">IF(ISERROR(BT168/BT$188),"",(BT168/BT$188))</f>
        <v>0.5666082383873795</v>
      </c>
      <c r="BU202" s="145">
        <f t="shared" si="497"/>
        <v>0.54557947778286764</v>
      </c>
      <c r="BV202" s="144">
        <f t="shared" si="497"/>
        <v>0.34196091875214263</v>
      </c>
      <c r="BW202" s="145">
        <f t="shared" si="497"/>
        <v>0.39437896645512238</v>
      </c>
      <c r="BX202" s="145">
        <f t="shared" si="497"/>
        <v>0.50671936758893277</v>
      </c>
      <c r="BY202" s="145">
        <f t="shared" ref="BY202:CA202" si="498">IF(ISERROR(BY168/BY$188),"",(BY168/BY$188))</f>
        <v>0.57528517110266164</v>
      </c>
      <c r="BZ202" s="145">
        <f t="shared" si="498"/>
        <v>0.6000671591672263</v>
      </c>
      <c r="CA202" s="144">
        <f t="shared" si="498"/>
        <v>0.52706883217324052</v>
      </c>
      <c r="CB202" s="145">
        <f t="shared" ref="CB202:CE202" si="499">IF(ISERROR(CB168/CB$188),"",(CB168/CB$188))</f>
        <v>0.4911304347826087</v>
      </c>
      <c r="CC202" s="145">
        <f t="shared" si="499"/>
        <v>0.65867158671586712</v>
      </c>
      <c r="CD202" s="145">
        <f t="shared" si="499"/>
        <v>0.91288729232150878</v>
      </c>
      <c r="CE202" s="145">
        <f t="shared" si="499"/>
        <v>0.6227544910179641</v>
      </c>
      <c r="CF202" s="144">
        <f t="shared" ref="CF202:CJ202" si="500">IF(ISERROR(CF168/CF$188),"",(CF168/CF$188))</f>
        <v>0.65320764161174605</v>
      </c>
      <c r="CG202" s="145">
        <f t="shared" si="500"/>
        <v>0.49914893617021278</v>
      </c>
      <c r="CH202" s="145">
        <f t="shared" si="500"/>
        <v>1.4633136094674557</v>
      </c>
      <c r="CI202" s="145">
        <f t="shared" si="500"/>
        <v>-3.1771247021445591E-2</v>
      </c>
      <c r="CJ202" s="145">
        <f t="shared" si="500"/>
        <v>1.2903811252268602</v>
      </c>
      <c r="CK202" s="144">
        <f t="shared" ref="CK202:CO202" si="501">IF(ISERROR(CK168/CK$188),"",(CK168/CK$188))</f>
        <v>3.3706329113924052</v>
      </c>
      <c r="CL202" s="145">
        <f t="shared" si="501"/>
        <v>1.5284552845528456</v>
      </c>
      <c r="CM202" s="145">
        <f t="shared" si="501"/>
        <v>0.93184885290148445</v>
      </c>
      <c r="CN202" s="145">
        <f t="shared" si="501"/>
        <v>3.4139650872817957</v>
      </c>
      <c r="CO202" s="145">
        <f t="shared" si="501"/>
        <v>0.9501801466020624</v>
      </c>
      <c r="CP202" s="144">
        <f t="shared" ref="CP202:CT202" si="502">IF(ISERROR(CP168/CP$188),"",(CP168/CP$188))</f>
        <v>1.0845930915641888</v>
      </c>
      <c r="CQ202" s="145">
        <f t="shared" si="502"/>
        <v>10.313253012048193</v>
      </c>
      <c r="CR202" s="145">
        <f t="shared" si="502"/>
        <v>-0.46138807429130008</v>
      </c>
      <c r="CS202" s="145">
        <f t="shared" si="502"/>
        <v>-2.1063829787234041</v>
      </c>
      <c r="CT202" s="145">
        <f t="shared" si="502"/>
        <v>1.0678494365859506</v>
      </c>
      <c r="CU202" s="144">
        <f t="shared" ref="CU202:CV202" si="503">IF(ISERROR(CU168/CU$188),"",(CU168/CU$188))</f>
        <v>2.2312198483804271</v>
      </c>
      <c r="CV202" s="145">
        <f t="shared" si="503"/>
        <v>0.73481608212147131</v>
      </c>
      <c r="CW202" s="145">
        <f t="shared" ref="CW202:DA202" si="504">IF(ISERROR(CW168/CW$188),"",(CW168/CW$188))</f>
        <v>-0.31266149870801035</v>
      </c>
      <c r="CX202" s="145">
        <f t="shared" si="504"/>
        <v>0.22972490175062521</v>
      </c>
      <c r="CY202" s="145">
        <f t="shared" si="504"/>
        <v>1.773371104815864</v>
      </c>
      <c r="CZ202" s="144">
        <f t="shared" si="504"/>
        <v>0.66817028474767404</v>
      </c>
      <c r="DA202" s="145">
        <f t="shared" si="504"/>
        <v>4.1275167785234901</v>
      </c>
      <c r="DB202" s="145">
        <f t="shared" ref="DB202:DE202" si="505">IF(ISERROR(DB168/DB$188),"",(DB168/DB$188))</f>
        <v>3.8686868686868685</v>
      </c>
      <c r="DC202" s="145">
        <f t="shared" si="505"/>
        <v>0.83910891089108908</v>
      </c>
      <c r="DD202" s="145">
        <f t="shared" si="505"/>
        <v>0.14487632508833923</v>
      </c>
      <c r="DE202" s="144">
        <f t="shared" si="505"/>
        <v>2.1151358344113844</v>
      </c>
      <c r="DF202" s="145">
        <f t="shared" ref="DF202:DI202" si="506">IF(ISERROR(DF168/DF$188),"",(DF168/DF$188))</f>
        <v>13.290697674418604</v>
      </c>
      <c r="DG202" s="145">
        <f t="shared" si="506"/>
        <v>0.65596330275229353</v>
      </c>
      <c r="DH202" s="145">
        <f t="shared" si="506"/>
        <v>0.69796910258635658</v>
      </c>
      <c r="DI202" s="145">
        <f t="shared" si="506"/>
        <v>0.55437665782493373</v>
      </c>
      <c r="DJ202" s="144">
        <f t="shared" ref="DJ202:DN202" si="507">IF(ISERROR(DJ168/DJ$188),"",(DJ168/DJ$188))</f>
        <v>0.74427944335481466</v>
      </c>
      <c r="DK202" s="145">
        <f t="shared" si="507"/>
        <v>-1.1648590021691974</v>
      </c>
      <c r="DL202" s="145">
        <f t="shared" si="507"/>
        <v>3.1647727272727271</v>
      </c>
      <c r="DM202" s="145">
        <f t="shared" si="507"/>
        <v>1.1196402426270655</v>
      </c>
      <c r="DN202" s="145">
        <f t="shared" si="507"/>
        <v>-7.2006380312179555E-2</v>
      </c>
      <c r="DO202" s="144">
        <f t="shared" ref="DO202:DS202" si="508">IF(ISERROR(DO168/DO$188),"",(DO168/DO$188))</f>
        <v>-1.6535856108385891</v>
      </c>
      <c r="DP202" s="145">
        <f t="shared" si="508"/>
        <v>-1.2566964285714286</v>
      </c>
      <c r="DQ202" s="145">
        <f t="shared" si="508"/>
        <v>-2.0641025641025643</v>
      </c>
      <c r="DR202" s="145">
        <f t="shared" si="508"/>
        <v>-0.62988818636039356</v>
      </c>
      <c r="DS202" s="145">
        <f t="shared" si="508"/>
        <v>0</v>
      </c>
      <c r="DT202" s="144">
        <f t="shared" ref="DT202:DX202" si="509">IF(ISERROR(DT168/DT$188),"",(DT168/DT$188))</f>
        <v>-0.57778709242684911</v>
      </c>
      <c r="DU202" s="145">
        <f t="shared" si="509"/>
        <v>-0.63330744189990584</v>
      </c>
      <c r="DV202" s="145">
        <f t="shared" si="509"/>
        <v>0.19766731477007105</v>
      </c>
      <c r="DW202" s="145">
        <f t="shared" si="509"/>
        <v>0.36975534987431663</v>
      </c>
      <c r="DX202" s="145">
        <f t="shared" si="509"/>
        <v>0.48333983062631275</v>
      </c>
      <c r="DY202" s="144">
        <f t="shared" ref="DY202" si="510">IF(ISERROR(DY168/DY$188),"",(DY168/DY$188))</f>
        <v>0.27286951874134446</v>
      </c>
      <c r="DZ202" s="144">
        <f t="shared" ref="DZ202:EB202" si="511">IF(ISERROR(DZ168/DZ$188),"",(DZ168/DZ$188))</f>
        <v>0.48749441705173063</v>
      </c>
      <c r="EA202" s="144">
        <f t="shared" si="511"/>
        <v>0.5847843517438801</v>
      </c>
      <c r="EB202" s="144">
        <f t="shared" si="511"/>
        <v>0.65702051827467134</v>
      </c>
    </row>
    <row r="203" spans="2:132" s="241" customFormat="1" ht="12" hidden="1" customHeight="1">
      <c r="B203" s="324" t="s">
        <v>106</v>
      </c>
      <c r="C203" s="325"/>
      <c r="D203" s="325"/>
      <c r="E203" s="325"/>
      <c r="F203" s="325"/>
      <c r="G203" s="325"/>
      <c r="H203" s="325"/>
      <c r="I203" s="325"/>
      <c r="J203" s="326"/>
      <c r="K203" s="326"/>
      <c r="L203" s="326"/>
      <c r="M203" s="326"/>
      <c r="N203" s="325">
        <f t="shared" ref="N203:AH203" si="512">IF(ISERROR(N169/N$188),"",(N169/N$188))</f>
        <v>0.84554060787244645</v>
      </c>
      <c r="O203" s="326">
        <f t="shared" si="512"/>
        <v>0.55813953488372092</v>
      </c>
      <c r="P203" s="326">
        <f t="shared" si="512"/>
        <v>0.54691358024691361</v>
      </c>
      <c r="Q203" s="326">
        <f t="shared" si="512"/>
        <v>0.53342070773263439</v>
      </c>
      <c r="R203" s="326">
        <f t="shared" si="512"/>
        <v>0.94555353901996375</v>
      </c>
      <c r="S203" s="325">
        <f t="shared" si="512"/>
        <v>0.62411095305832143</v>
      </c>
      <c r="T203" s="326">
        <f t="shared" si="512"/>
        <v>0.49530761209593327</v>
      </c>
      <c r="U203" s="326">
        <f t="shared" si="512"/>
        <v>-9.5602294455066923E-3</v>
      </c>
      <c r="V203" s="326">
        <f t="shared" si="512"/>
        <v>0.49631966351209256</v>
      </c>
      <c r="W203" s="326">
        <f t="shared" si="512"/>
        <v>0.25694444444444442</v>
      </c>
      <c r="X203" s="325">
        <f t="shared" si="512"/>
        <v>0.34532775453277548</v>
      </c>
      <c r="Y203" s="326">
        <f t="shared" si="512"/>
        <v>0.32238349885408707</v>
      </c>
      <c r="Z203" s="326">
        <f t="shared" si="512"/>
        <v>0.26958831341301459</v>
      </c>
      <c r="AA203" s="326">
        <f t="shared" si="512"/>
        <v>0.26951300867244832</v>
      </c>
      <c r="AB203" s="326">
        <f t="shared" si="512"/>
        <v>0.26187335092348285</v>
      </c>
      <c r="AC203" s="325">
        <f t="shared" si="512"/>
        <v>0.27941680960548887</v>
      </c>
      <c r="AD203" s="326">
        <f t="shared" si="512"/>
        <v>0.21345191773207337</v>
      </c>
      <c r="AE203" s="326">
        <f t="shared" si="512"/>
        <v>0.12590216519647154</v>
      </c>
      <c r="AF203" s="326">
        <f t="shared" si="512"/>
        <v>0.32519616390584133</v>
      </c>
      <c r="AG203" s="326">
        <f t="shared" si="512"/>
        <v>-1.4897119341563787</v>
      </c>
      <c r="AH203" s="325">
        <f t="shared" si="512"/>
        <v>0.32303797468354428</v>
      </c>
      <c r="AI203" s="326">
        <f t="shared" ref="AI203:BP203" si="513">IF(ISERROR(AI169/AI$188),"",(AI169/AI$188))</f>
        <v>0.27512195121951222</v>
      </c>
      <c r="AJ203" s="326">
        <f t="shared" si="513"/>
        <v>0.25637671680837149</v>
      </c>
      <c r="AK203" s="326">
        <f t="shared" si="513"/>
        <v>-0.22594142259414227</v>
      </c>
      <c r="AL203" s="326">
        <f t="shared" si="513"/>
        <v>0.20850561134081513</v>
      </c>
      <c r="AM203" s="325">
        <f t="shared" si="513"/>
        <v>0.72185114503816794</v>
      </c>
      <c r="AN203" s="326">
        <f>IF(ISERROR(AN169/AN$188),"",(AN169/AN$188))</f>
        <v>0.22742759795570699</v>
      </c>
      <c r="AO203" s="326">
        <f t="shared" si="513"/>
        <v>0.27237949502677888</v>
      </c>
      <c r="AP203" s="326">
        <f t="shared" si="513"/>
        <v>0.22494592645998557</v>
      </c>
      <c r="AQ203" s="326">
        <f t="shared" si="513"/>
        <v>0.29283771532184949</v>
      </c>
      <c r="AR203" s="325">
        <f t="shared" si="513"/>
        <v>0.25306779320056327</v>
      </c>
      <c r="AS203" s="326">
        <f t="shared" si="513"/>
        <v>0.36899999999999999</v>
      </c>
      <c r="AT203" s="326">
        <f t="shared" si="513"/>
        <v>0.25162972620599738</v>
      </c>
      <c r="AU203" s="326">
        <f t="shared" si="513"/>
        <v>0.23162193698949826</v>
      </c>
      <c r="AV203" s="326">
        <f t="shared" si="513"/>
        <v>0.23418910457107076</v>
      </c>
      <c r="AW203" s="325">
        <f t="shared" si="513"/>
        <v>0.26107784431137726</v>
      </c>
      <c r="AX203" s="326">
        <f t="shared" si="493"/>
        <v>0.27834394904458598</v>
      </c>
      <c r="AY203" s="326">
        <f t="shared" si="493"/>
        <v>0.23449612403100775</v>
      </c>
      <c r="AZ203" s="326">
        <f t="shared" si="493"/>
        <v>0.28452685421994883</v>
      </c>
      <c r="BA203" s="326">
        <f t="shared" si="493"/>
        <v>0.20626151012891344</v>
      </c>
      <c r="BB203" s="325">
        <f t="shared" si="513"/>
        <v>0.25051497385517352</v>
      </c>
      <c r="BC203" s="326">
        <f t="shared" si="513"/>
        <v>0.281413612565445</v>
      </c>
      <c r="BD203" s="326">
        <f t="shared" si="513"/>
        <v>0.21736596736596736</v>
      </c>
      <c r="BE203" s="326">
        <f t="shared" si="513"/>
        <v>0.12257348863006101</v>
      </c>
      <c r="BF203" s="326">
        <f t="shared" si="513"/>
        <v>0.29103147891506631</v>
      </c>
      <c r="BG203" s="325">
        <f t="shared" si="513"/>
        <v>0.22324489889215671</v>
      </c>
      <c r="BH203" s="609">
        <f t="shared" si="494"/>
        <v>0.21530479896238652</v>
      </c>
      <c r="BI203" s="609">
        <f t="shared" si="494"/>
        <v>9.2333519865696698E-2</v>
      </c>
      <c r="BJ203" s="609">
        <f t="shared" si="494"/>
        <v>0.20764511562057575</v>
      </c>
      <c r="BK203" s="609">
        <f t="shared" si="494"/>
        <v>0.18123456790123457</v>
      </c>
      <c r="BL203" s="610">
        <f t="shared" si="513"/>
        <v>0.17449484811989829</v>
      </c>
      <c r="BM203" s="609">
        <f t="shared" si="513"/>
        <v>0.12927191679049035</v>
      </c>
      <c r="BN203" s="609">
        <f t="shared" ref="BN203" si="514">IF(ISERROR(BN169/BN$188),"",(BN169/BN$188))</f>
        <v>7.3083778966131913E-2</v>
      </c>
      <c r="BO203" s="609">
        <f t="shared" si="513"/>
        <v>0.19224806201550387</v>
      </c>
      <c r="BP203" s="609">
        <f t="shared" si="513"/>
        <v>0.37726098191214469</v>
      </c>
      <c r="BQ203" s="610">
        <f t="shared" ref="BQ203:BS203" si="515">IF(ISERROR(BQ169/BQ$188),"",(BQ169/BQ$188))</f>
        <v>0.17707913475749026</v>
      </c>
      <c r="BR203" s="609">
        <f t="shared" si="515"/>
        <v>0.18680089485458612</v>
      </c>
      <c r="BS203" s="609">
        <f t="shared" si="515"/>
        <v>-0.41766109785202865</v>
      </c>
      <c r="BT203" s="609">
        <f t="shared" ref="BT203:BX203" si="516">IF(ISERROR(BT169/BT$188),"",(BT169/BT$188))</f>
        <v>0.19018404907975461</v>
      </c>
      <c r="BU203" s="609">
        <f t="shared" si="516"/>
        <v>0.13192853870819973</v>
      </c>
      <c r="BV203" s="610">
        <f t="shared" si="516"/>
        <v>0.2110044566335276</v>
      </c>
      <c r="BW203" s="609">
        <f t="shared" si="516"/>
        <v>0.14551223934723481</v>
      </c>
      <c r="BX203" s="609">
        <f t="shared" si="516"/>
        <v>0.15098814229249011</v>
      </c>
      <c r="BY203" s="609"/>
      <c r="BZ203" s="609"/>
      <c r="CA203" s="610"/>
      <c r="CB203" s="609"/>
      <c r="CC203" s="609"/>
      <c r="CD203" s="609"/>
      <c r="CE203" s="609"/>
      <c r="CF203" s="610"/>
      <c r="CG203" s="609"/>
      <c r="CH203" s="609"/>
      <c r="CI203" s="609"/>
      <c r="CJ203" s="609"/>
      <c r="CK203" s="610"/>
      <c r="CL203" s="609"/>
      <c r="CM203" s="609"/>
      <c r="CN203" s="609"/>
      <c r="CO203" s="609"/>
      <c r="CP203" s="610"/>
      <c r="CQ203" s="609"/>
      <c r="CR203" s="609"/>
      <c r="CS203" s="609"/>
      <c r="CT203" s="609"/>
      <c r="CU203" s="610"/>
      <c r="CV203" s="609"/>
      <c r="CW203" s="609"/>
      <c r="CX203" s="609"/>
      <c r="CY203" s="609"/>
      <c r="CZ203" s="610"/>
      <c r="DA203" s="609"/>
      <c r="DB203" s="609"/>
      <c r="DC203" s="609"/>
      <c r="DD203" s="609"/>
      <c r="DE203" s="610"/>
      <c r="DF203" s="609"/>
      <c r="DG203" s="609"/>
      <c r="DH203" s="609"/>
      <c r="DI203" s="609"/>
      <c r="DJ203" s="610"/>
      <c r="DK203" s="609"/>
      <c r="DL203" s="609"/>
      <c r="DM203" s="609"/>
      <c r="DN203" s="609"/>
      <c r="DO203" s="610"/>
      <c r="DP203" s="609"/>
      <c r="DQ203" s="609"/>
      <c r="DR203" s="609"/>
      <c r="DS203" s="609"/>
      <c r="DT203" s="610"/>
      <c r="DU203" s="609"/>
      <c r="DV203" s="609"/>
      <c r="DW203" s="609"/>
      <c r="DX203" s="609"/>
      <c r="DY203" s="610"/>
      <c r="DZ203" s="610"/>
      <c r="EA203" s="610"/>
      <c r="EB203" s="610"/>
    </row>
    <row r="204" spans="2:132" s="241" customFormat="1" ht="12" hidden="1" customHeight="1">
      <c r="B204" s="311" t="s">
        <v>107</v>
      </c>
      <c r="C204" s="301"/>
      <c r="D204" s="301"/>
      <c r="E204" s="301"/>
      <c r="F204" s="301"/>
      <c r="G204" s="301"/>
      <c r="H204" s="301"/>
      <c r="I204" s="301"/>
      <c r="J204" s="242"/>
      <c r="K204" s="242"/>
      <c r="L204" s="242"/>
      <c r="M204" s="242"/>
      <c r="N204" s="301">
        <f t="shared" ref="N204:AH204" si="517">IF(ISERROR(N170/N$188),"",(N170/N$188))</f>
        <v>0.28749377179870456</v>
      </c>
      <c r="O204" s="242">
        <f t="shared" si="517"/>
        <v>0.43023255813953487</v>
      </c>
      <c r="P204" s="242">
        <f t="shared" si="517"/>
        <v>0.24691358024691357</v>
      </c>
      <c r="Q204" s="242">
        <f t="shared" si="517"/>
        <v>0.93315858453473133</v>
      </c>
      <c r="R204" s="242">
        <f t="shared" si="517"/>
        <v>0.34664246823956441</v>
      </c>
      <c r="S204" s="301">
        <f t="shared" si="517"/>
        <v>0.49751066856330012</v>
      </c>
      <c r="T204" s="242">
        <f t="shared" si="517"/>
        <v>0.15849843587069865</v>
      </c>
      <c r="U204" s="242">
        <f t="shared" si="517"/>
        <v>0.2084130019120459</v>
      </c>
      <c r="V204" s="242">
        <f t="shared" si="517"/>
        <v>0.23974763406940064</v>
      </c>
      <c r="W204" s="242">
        <f t="shared" si="517"/>
        <v>0.40711805555555558</v>
      </c>
      <c r="X204" s="301">
        <f t="shared" si="517"/>
        <v>0.26722454672245466</v>
      </c>
      <c r="Y204" s="242">
        <f t="shared" si="517"/>
        <v>0.12375859434682965</v>
      </c>
      <c r="Z204" s="242">
        <f t="shared" si="517"/>
        <v>0.16998671978751659</v>
      </c>
      <c r="AA204" s="242">
        <f t="shared" si="517"/>
        <v>0.11874583055370247</v>
      </c>
      <c r="AB204" s="242">
        <f t="shared" si="517"/>
        <v>0.1945910290237467</v>
      </c>
      <c r="AC204" s="301">
        <f t="shared" si="517"/>
        <v>0.15283018867924528</v>
      </c>
      <c r="AD204" s="242">
        <f t="shared" si="517"/>
        <v>0.14841578654808227</v>
      </c>
      <c r="AE204" s="242">
        <f t="shared" si="517"/>
        <v>0.19005613472333602</v>
      </c>
      <c r="AF204" s="242">
        <f t="shared" si="517"/>
        <v>0.26242371403661724</v>
      </c>
      <c r="AG204" s="242">
        <f t="shared" si="517"/>
        <v>-0.93827160493827155</v>
      </c>
      <c r="AH204" s="301">
        <f t="shared" si="517"/>
        <v>0.26151898734177215</v>
      </c>
      <c r="AI204" s="242">
        <f t="shared" ref="AI204:BP204" si="518">IF(ISERROR(AI170/AI$188),"",(AI170/AI$188))</f>
        <v>0.20195121951219513</v>
      </c>
      <c r="AJ204" s="242">
        <f t="shared" si="518"/>
        <v>0.15631131458469588</v>
      </c>
      <c r="AK204" s="242">
        <f t="shared" si="518"/>
        <v>-0.11715481171548117</v>
      </c>
      <c r="AL204" s="242">
        <f t="shared" si="518"/>
        <v>8.328411104548139E-2</v>
      </c>
      <c r="AM204" s="301">
        <f t="shared" si="518"/>
        <v>0.40028625954198471</v>
      </c>
      <c r="AN204" s="242">
        <f>IF(ISERROR(AN170/AN$188),"",(AN170/AN$188))</f>
        <v>0.14821124361158433</v>
      </c>
      <c r="AO204" s="242">
        <f t="shared" si="518"/>
        <v>0.12777352716143842</v>
      </c>
      <c r="AP204" s="242">
        <f t="shared" si="518"/>
        <v>0.1095890410958904</v>
      </c>
      <c r="AQ204" s="242">
        <f t="shared" si="518"/>
        <v>0.19764279238440616</v>
      </c>
      <c r="AR204" s="301">
        <f t="shared" si="518"/>
        <v>0.14302957151478576</v>
      </c>
      <c r="AS204" s="242">
        <f t="shared" si="518"/>
        <v>0.14299999999999999</v>
      </c>
      <c r="AT204" s="242">
        <f t="shared" si="518"/>
        <v>0.12907431551499349</v>
      </c>
      <c r="AU204" s="242">
        <f t="shared" si="518"/>
        <v>0.1044340723453909</v>
      </c>
      <c r="AV204" s="242">
        <f t="shared" si="518"/>
        <v>0.10644959298685035</v>
      </c>
      <c r="AW204" s="301">
        <f t="shared" si="518"/>
        <v>0.11804961505560307</v>
      </c>
      <c r="AX204" s="242">
        <f t="shared" si="493"/>
        <v>4.64968152866242E-2</v>
      </c>
      <c r="AY204" s="242">
        <f t="shared" si="493"/>
        <v>8.1395348837209308E-2</v>
      </c>
      <c r="AZ204" s="242">
        <f t="shared" si="493"/>
        <v>0.10294117647058823</v>
      </c>
      <c r="BA204" s="242">
        <f t="shared" si="493"/>
        <v>7.2437077961939836E-2</v>
      </c>
      <c r="BB204" s="301">
        <f t="shared" si="518"/>
        <v>7.5740770083980349E-2</v>
      </c>
      <c r="BC204" s="242">
        <f t="shared" si="518"/>
        <v>0.10209424083769633</v>
      </c>
      <c r="BD204" s="242">
        <f t="shared" si="518"/>
        <v>7.983682983682984E-2</v>
      </c>
      <c r="BE204" s="242">
        <f t="shared" si="518"/>
        <v>0.10704381586245147</v>
      </c>
      <c r="BF204" s="242">
        <f t="shared" si="518"/>
        <v>0.1537649310367584</v>
      </c>
      <c r="BG204" s="301">
        <f t="shared" si="518"/>
        <v>0.10956524389314722</v>
      </c>
      <c r="BH204" s="145">
        <f t="shared" si="494"/>
        <v>0.10894941634241245</v>
      </c>
      <c r="BI204" s="145">
        <f t="shared" si="494"/>
        <v>8.3939563514269733E-2</v>
      </c>
      <c r="BJ204" s="145">
        <f t="shared" si="494"/>
        <v>8.9193015573383674E-2</v>
      </c>
      <c r="BK204" s="145">
        <f t="shared" si="494"/>
        <v>9.4320987654320981E-2</v>
      </c>
      <c r="BL204" s="144">
        <f t="shared" si="518"/>
        <v>9.3402917168473168E-2</v>
      </c>
      <c r="BM204" s="145">
        <f t="shared" si="518"/>
        <v>8.2714214957899948E-2</v>
      </c>
      <c r="BN204" s="145">
        <f t="shared" ref="BN204" si="519">IF(ISERROR(BN170/BN$188),"",(BN170/BN$188))</f>
        <v>8.9720736779560314E-2</v>
      </c>
      <c r="BO204" s="145">
        <f t="shared" si="518"/>
        <v>9.4961240310077522E-2</v>
      </c>
      <c r="BP204" s="145">
        <f t="shared" si="518"/>
        <v>0.14039621016365203</v>
      </c>
      <c r="BQ204" s="144">
        <f t="shared" ref="BQ204:BS204" si="520">IF(ISERROR(BQ170/BQ$188),"",(BQ170/BQ$188))</f>
        <v>9.7541313986295855E-2</v>
      </c>
      <c r="BR204" s="145">
        <f t="shared" si="520"/>
        <v>8.2774049217002238E-2</v>
      </c>
      <c r="BS204" s="145">
        <f t="shared" si="520"/>
        <v>-0.36515513126491644</v>
      </c>
      <c r="BT204" s="145">
        <f t="shared" ref="BT204:BX204" si="521">IF(ISERROR(BT170/BT$188),"",(BT170/BT$188))</f>
        <v>1.5337423312883436E-2</v>
      </c>
      <c r="BU204" s="145">
        <f t="shared" si="521"/>
        <v>7.1919377004122764E-2</v>
      </c>
      <c r="BV204" s="144">
        <f t="shared" si="521"/>
        <v>8.4504628042509425E-2</v>
      </c>
      <c r="BW204" s="145">
        <f t="shared" si="521"/>
        <v>4.4424297370806894E-2</v>
      </c>
      <c r="BX204" s="145">
        <f t="shared" si="521"/>
        <v>6.007905138339921E-2</v>
      </c>
      <c r="BY204" s="145"/>
      <c r="BZ204" s="145"/>
      <c r="CA204" s="144"/>
      <c r="CB204" s="145"/>
      <c r="CC204" s="145"/>
      <c r="CD204" s="145"/>
      <c r="CE204" s="145"/>
      <c r="CF204" s="144"/>
      <c r="CG204" s="145"/>
      <c r="CH204" s="145"/>
      <c r="CI204" s="145"/>
      <c r="CJ204" s="145"/>
      <c r="CK204" s="144"/>
      <c r="CL204" s="145"/>
      <c r="CM204" s="145"/>
      <c r="CN204" s="145"/>
      <c r="CO204" s="145"/>
      <c r="CP204" s="144"/>
      <c r="CQ204" s="145"/>
      <c r="CR204" s="145"/>
      <c r="CS204" s="145"/>
      <c r="CT204" s="145"/>
      <c r="CU204" s="144"/>
      <c r="CV204" s="145"/>
      <c r="CW204" s="145"/>
      <c r="CX204" s="145"/>
      <c r="CY204" s="145"/>
      <c r="CZ204" s="144"/>
      <c r="DA204" s="145"/>
      <c r="DB204" s="145"/>
      <c r="DC204" s="145"/>
      <c r="DD204" s="145"/>
      <c r="DE204" s="144"/>
      <c r="DF204" s="145"/>
      <c r="DG204" s="145"/>
      <c r="DH204" s="145"/>
      <c r="DI204" s="145"/>
      <c r="DJ204" s="144"/>
      <c r="DK204" s="145"/>
      <c r="DL204" s="145"/>
      <c r="DM204" s="145"/>
      <c r="DN204" s="145"/>
      <c r="DO204" s="144"/>
      <c r="DP204" s="145"/>
      <c r="DQ204" s="145"/>
      <c r="DR204" s="145"/>
      <c r="DS204" s="145"/>
      <c r="DT204" s="144"/>
      <c r="DU204" s="145"/>
      <c r="DV204" s="145"/>
      <c r="DW204" s="145"/>
      <c r="DX204" s="145"/>
      <c r="DY204" s="144"/>
      <c r="DZ204" s="144"/>
      <c r="EA204" s="144"/>
      <c r="EB204" s="144"/>
    </row>
    <row r="205" spans="2:132" s="241" customFormat="1" ht="12" hidden="1" customHeight="1">
      <c r="B205" s="312" t="s">
        <v>108</v>
      </c>
      <c r="C205" s="229"/>
      <c r="D205" s="229"/>
      <c r="E205" s="229"/>
      <c r="F205" s="229"/>
      <c r="G205" s="229"/>
      <c r="H205" s="229"/>
      <c r="I205" s="229"/>
      <c r="J205" s="250"/>
      <c r="K205" s="250"/>
      <c r="L205" s="250"/>
      <c r="M205" s="250"/>
      <c r="N205" s="229">
        <f t="shared" ref="N205:AH205" si="522">IF(ISERROR(N171/N$188),"",(N171/N$188))</f>
        <v>0.32984554060787247</v>
      </c>
      <c r="O205" s="250">
        <f t="shared" si="522"/>
        <v>0.24709302325581395</v>
      </c>
      <c r="P205" s="250">
        <f t="shared" si="522"/>
        <v>0.21975308641975308</v>
      </c>
      <c r="Q205" s="250">
        <f t="shared" si="522"/>
        <v>0.25163826998689381</v>
      </c>
      <c r="R205" s="250">
        <f t="shared" si="522"/>
        <v>0.40834845735027225</v>
      </c>
      <c r="S205" s="229">
        <f t="shared" si="522"/>
        <v>0.27204836415362732</v>
      </c>
      <c r="T205" s="250">
        <f t="shared" si="522"/>
        <v>0.19812304483837331</v>
      </c>
      <c r="U205" s="250">
        <f t="shared" si="522"/>
        <v>0.39196940726577439</v>
      </c>
      <c r="V205" s="250">
        <f t="shared" si="522"/>
        <v>0.1882229232386961</v>
      </c>
      <c r="W205" s="250">
        <f t="shared" si="522"/>
        <v>0.22743055555555555</v>
      </c>
      <c r="X205" s="229">
        <f t="shared" si="522"/>
        <v>0.23319386331938632</v>
      </c>
      <c r="Y205" s="250">
        <f t="shared" si="522"/>
        <v>0.15278838808250572</v>
      </c>
      <c r="Z205" s="250">
        <f t="shared" si="522"/>
        <v>0.12749003984063745</v>
      </c>
      <c r="AA205" s="250">
        <f t="shared" si="522"/>
        <v>0.16144096064042696</v>
      </c>
      <c r="AB205" s="250">
        <f t="shared" si="522"/>
        <v>0.18865435356200527</v>
      </c>
      <c r="AC205" s="229">
        <f t="shared" si="522"/>
        <v>0.15780445969125215</v>
      </c>
      <c r="AD205" s="250">
        <f t="shared" si="522"/>
        <v>0.11617565314063369</v>
      </c>
      <c r="AE205" s="250">
        <f t="shared" si="522"/>
        <v>0.19486768243785085</v>
      </c>
      <c r="AF205" s="250">
        <f t="shared" si="522"/>
        <v>0.15693112467306017</v>
      </c>
      <c r="AG205" s="250">
        <f t="shared" si="522"/>
        <v>-1.1975308641975309</v>
      </c>
      <c r="AH205" s="229">
        <f t="shared" si="522"/>
        <v>0.23367088607594938</v>
      </c>
      <c r="AI205" s="250">
        <f t="shared" ref="AI205:BP205" si="523">IF(ISERROR(AI171/AI$188),"",(AI171/AI$188))</f>
        <v>0.21463414634146341</v>
      </c>
      <c r="AJ205" s="250">
        <f t="shared" si="523"/>
        <v>0.16023544800523218</v>
      </c>
      <c r="AK205" s="250">
        <f t="shared" si="523"/>
        <v>-6.8340306834030681E-2</v>
      </c>
      <c r="AL205" s="250">
        <f t="shared" si="523"/>
        <v>0.19787359716479622</v>
      </c>
      <c r="AM205" s="229">
        <f t="shared" si="523"/>
        <v>0.45181297709923662</v>
      </c>
      <c r="AN205" s="250">
        <f>IF(ISERROR(AN171/AN$188),"",(AN171/AN$188))</f>
        <v>0.1899488926746167</v>
      </c>
      <c r="AO205" s="250">
        <f t="shared" si="523"/>
        <v>0.14384085692425402</v>
      </c>
      <c r="AP205" s="250">
        <f t="shared" si="523"/>
        <v>0.15861571737563085</v>
      </c>
      <c r="AQ205" s="250">
        <f t="shared" si="523"/>
        <v>0.24932003626473254</v>
      </c>
      <c r="AR205" s="229">
        <f t="shared" si="523"/>
        <v>0.18225709112854557</v>
      </c>
      <c r="AS205" s="250">
        <f t="shared" si="523"/>
        <v>0.159</v>
      </c>
      <c r="AT205" s="250">
        <f t="shared" si="523"/>
        <v>0.13950456323337679</v>
      </c>
      <c r="AU205" s="250">
        <f t="shared" si="523"/>
        <v>0.14469078179696615</v>
      </c>
      <c r="AV205" s="250">
        <f t="shared" si="523"/>
        <v>0.20100187852222917</v>
      </c>
      <c r="AW205" s="229">
        <f t="shared" si="523"/>
        <v>0.1611633875106929</v>
      </c>
      <c r="AX205" s="250">
        <f t="shared" si="493"/>
        <v>0.14777070063694267</v>
      </c>
      <c r="AY205" s="250">
        <f t="shared" si="493"/>
        <v>0.16731266149870802</v>
      </c>
      <c r="AZ205" s="250">
        <f t="shared" si="493"/>
        <v>0.14130434782608695</v>
      </c>
      <c r="BA205" s="250">
        <f t="shared" si="493"/>
        <v>0.18232044198895028</v>
      </c>
      <c r="BB205" s="229">
        <f t="shared" si="523"/>
        <v>0.15987957534463634</v>
      </c>
      <c r="BC205" s="250">
        <f t="shared" si="523"/>
        <v>0.16099476439790575</v>
      </c>
      <c r="BD205" s="250">
        <f t="shared" si="523"/>
        <v>0.15501165501165501</v>
      </c>
      <c r="BE205" s="250">
        <f t="shared" si="523"/>
        <v>0.14364947310038825</v>
      </c>
      <c r="BF205" s="250">
        <f t="shared" si="523"/>
        <v>0.18478189137464529</v>
      </c>
      <c r="BG205" s="229">
        <f t="shared" si="523"/>
        <v>0.16015726193560184</v>
      </c>
      <c r="BH205" s="250">
        <f t="shared" si="494"/>
        <v>0.18028534370946822</v>
      </c>
      <c r="BI205" s="250">
        <f t="shared" si="494"/>
        <v>0.14941242305540012</v>
      </c>
      <c r="BJ205" s="250">
        <f t="shared" si="494"/>
        <v>0.10712600283152431</v>
      </c>
      <c r="BK205" s="250">
        <f t="shared" si="494"/>
        <v>0.17728395061728394</v>
      </c>
      <c r="BL205" s="229">
        <f t="shared" si="523"/>
        <v>0.15134484142914492</v>
      </c>
      <c r="BM205" s="250">
        <f t="shared" si="523"/>
        <v>0.15601783060921248</v>
      </c>
      <c r="BN205" s="250">
        <f t="shared" ref="BN205" si="524">IF(ISERROR(BN171/BN$188),"",(BN171/BN$188))</f>
        <v>0.16161616161616163</v>
      </c>
      <c r="BO205" s="250">
        <f t="shared" si="523"/>
        <v>0.10891472868217054</v>
      </c>
      <c r="BP205" s="250">
        <f t="shared" si="523"/>
        <v>0.31180017226528856</v>
      </c>
      <c r="BQ205" s="229">
        <f t="shared" ref="BQ205:BS205" si="525">IF(ISERROR(BQ171/BQ$188),"",(BQ171/BQ$188))</f>
        <v>0.16525594518339379</v>
      </c>
      <c r="BR205" s="250">
        <f t="shared" si="525"/>
        <v>0.19015659955257272</v>
      </c>
      <c r="BS205" s="250">
        <f t="shared" si="525"/>
        <v>-0.63245823389021483</v>
      </c>
      <c r="BT205" s="250">
        <f t="shared" ref="BT205:BX205" si="526">IF(ISERROR(BT171/BT$188),"",(BT171/BT$188))</f>
        <v>0.13803680981595093</v>
      </c>
      <c r="BU205" s="250">
        <f t="shared" si="526"/>
        <v>0.16674301420064133</v>
      </c>
      <c r="BV205" s="229">
        <f t="shared" si="526"/>
        <v>0.22008913267055194</v>
      </c>
      <c r="BW205" s="250">
        <f t="shared" si="526"/>
        <v>0.14415231187669991</v>
      </c>
      <c r="BX205" s="250">
        <f t="shared" si="526"/>
        <v>0.14071146245059288</v>
      </c>
      <c r="BY205" s="250"/>
      <c r="BZ205" s="250"/>
      <c r="CA205" s="229"/>
      <c r="CB205" s="250"/>
      <c r="CC205" s="250"/>
      <c r="CD205" s="250"/>
      <c r="CE205" s="250"/>
      <c r="CF205" s="229"/>
      <c r="CG205" s="250"/>
      <c r="CH205" s="250"/>
      <c r="CI205" s="250"/>
      <c r="CJ205" s="250"/>
      <c r="CK205" s="229"/>
      <c r="CL205" s="250"/>
      <c r="CM205" s="250"/>
      <c r="CN205" s="250"/>
      <c r="CO205" s="250"/>
      <c r="CP205" s="229"/>
      <c r="CQ205" s="250"/>
      <c r="CR205" s="250"/>
      <c r="CS205" s="250"/>
      <c r="CT205" s="250"/>
      <c r="CU205" s="229"/>
      <c r="CV205" s="250"/>
      <c r="CW205" s="250"/>
      <c r="CX205" s="250"/>
      <c r="CY205" s="250"/>
      <c r="CZ205" s="229"/>
      <c r="DA205" s="250"/>
      <c r="DB205" s="250"/>
      <c r="DC205" s="250"/>
      <c r="DD205" s="250"/>
      <c r="DE205" s="229"/>
      <c r="DF205" s="250"/>
      <c r="DG205" s="250"/>
      <c r="DH205" s="250"/>
      <c r="DI205" s="250"/>
      <c r="DJ205" s="229"/>
      <c r="DK205" s="250"/>
      <c r="DL205" s="250"/>
      <c r="DM205" s="250"/>
      <c r="DN205" s="250"/>
      <c r="DO205" s="229"/>
      <c r="DP205" s="250"/>
      <c r="DQ205" s="250"/>
      <c r="DR205" s="250"/>
      <c r="DS205" s="250"/>
      <c r="DT205" s="229"/>
      <c r="DU205" s="250"/>
      <c r="DV205" s="250"/>
      <c r="DW205" s="250"/>
      <c r="DX205" s="250"/>
      <c r="DY205" s="229"/>
      <c r="DZ205" s="229"/>
      <c r="EA205" s="229"/>
      <c r="EB205" s="229"/>
    </row>
    <row r="206" spans="2:132" s="241" customFormat="1" ht="12" hidden="1" customHeight="1">
      <c r="B206" s="330" t="s">
        <v>130</v>
      </c>
      <c r="C206" s="325"/>
      <c r="D206" s="325"/>
      <c r="E206" s="325"/>
      <c r="F206" s="325"/>
      <c r="G206" s="325">
        <f t="shared" ref="G206:S206" si="527">IF(ISERROR(G172/G$188),"",(G172/G$188))</f>
        <v>0.26488706365503079</v>
      </c>
      <c r="H206" s="325">
        <f t="shared" si="527"/>
        <v>0.328076525336091</v>
      </c>
      <c r="I206" s="325">
        <f t="shared" si="527"/>
        <v>3.1670378619153676</v>
      </c>
      <c r="J206" s="326">
        <f t="shared" si="527"/>
        <v>0.56801909307875897</v>
      </c>
      <c r="K206" s="326">
        <f t="shared" si="527"/>
        <v>0.59627329192546585</v>
      </c>
      <c r="L206" s="326">
        <f t="shared" si="527"/>
        <v>0.94716242661448136</v>
      </c>
      <c r="M206" s="326">
        <f t="shared" si="527"/>
        <v>20.857142857142858</v>
      </c>
      <c r="N206" s="325">
        <f t="shared" si="527"/>
        <v>0.81514698555057297</v>
      </c>
      <c r="O206" s="326">
        <f t="shared" si="527"/>
        <v>0.53779069767441856</v>
      </c>
      <c r="P206" s="326">
        <f t="shared" si="527"/>
        <v>0.5444444444444444</v>
      </c>
      <c r="Q206" s="326">
        <f t="shared" si="527"/>
        <v>0.50458715596330272</v>
      </c>
      <c r="R206" s="326">
        <f t="shared" si="527"/>
        <v>0.92740471869328489</v>
      </c>
      <c r="S206" s="325">
        <f t="shared" si="527"/>
        <v>0.60704125177809387</v>
      </c>
      <c r="T206" s="326"/>
      <c r="U206" s="326"/>
      <c r="V206" s="326"/>
      <c r="W206" s="326"/>
      <c r="X206" s="325"/>
      <c r="Y206" s="326"/>
      <c r="Z206" s="326"/>
      <c r="AA206" s="326"/>
      <c r="AB206" s="326"/>
      <c r="AC206" s="325"/>
      <c r="AD206" s="326"/>
      <c r="AE206" s="326"/>
      <c r="AF206" s="326"/>
      <c r="AG206" s="326"/>
      <c r="AH206" s="325"/>
      <c r="AI206" s="326"/>
      <c r="AJ206" s="326"/>
      <c r="AK206" s="326"/>
      <c r="AL206" s="326"/>
      <c r="AM206" s="325"/>
      <c r="AN206" s="326"/>
      <c r="AO206" s="326"/>
      <c r="AP206" s="326"/>
      <c r="AQ206" s="326"/>
      <c r="AR206" s="325"/>
      <c r="AS206" s="326"/>
      <c r="AT206" s="326"/>
      <c r="AU206" s="326"/>
      <c r="AV206" s="326"/>
      <c r="AW206" s="325"/>
      <c r="AX206" s="326"/>
      <c r="AY206" s="326"/>
      <c r="AZ206" s="326"/>
      <c r="BA206" s="326"/>
      <c r="BB206" s="325"/>
      <c r="BC206" s="326"/>
      <c r="BD206" s="326"/>
      <c r="BE206" s="326"/>
      <c r="BF206" s="326"/>
      <c r="BG206" s="325"/>
      <c r="BH206" s="609"/>
      <c r="BI206" s="609"/>
      <c r="BJ206" s="609"/>
      <c r="BK206" s="609"/>
      <c r="BL206" s="610"/>
      <c r="BM206" s="609"/>
      <c r="BN206" s="609"/>
      <c r="BO206" s="609"/>
      <c r="BP206" s="609"/>
      <c r="BQ206" s="610"/>
      <c r="BR206" s="609"/>
      <c r="BS206" s="609"/>
      <c r="BT206" s="609"/>
      <c r="BU206" s="609"/>
      <c r="BV206" s="610"/>
      <c r="BW206" s="609"/>
      <c r="BX206" s="609"/>
      <c r="BY206" s="609"/>
      <c r="BZ206" s="609"/>
      <c r="CA206" s="610"/>
      <c r="CB206" s="609"/>
      <c r="CC206" s="609"/>
      <c r="CD206" s="609"/>
      <c r="CE206" s="609"/>
      <c r="CF206" s="610"/>
      <c r="CG206" s="609"/>
      <c r="CH206" s="609"/>
      <c r="CI206" s="609"/>
      <c r="CJ206" s="609"/>
      <c r="CK206" s="610"/>
      <c r="CL206" s="609"/>
      <c r="CM206" s="609"/>
      <c r="CN206" s="609"/>
      <c r="CO206" s="609"/>
      <c r="CP206" s="610"/>
      <c r="CQ206" s="609"/>
      <c r="CR206" s="609"/>
      <c r="CS206" s="609"/>
      <c r="CT206" s="609"/>
      <c r="CU206" s="610"/>
      <c r="CV206" s="609"/>
      <c r="CW206" s="609"/>
      <c r="CX206" s="609"/>
      <c r="CY206" s="609"/>
      <c r="CZ206" s="610"/>
      <c r="DA206" s="609"/>
      <c r="DB206" s="609"/>
      <c r="DC206" s="609"/>
      <c r="DD206" s="609"/>
      <c r="DE206" s="610"/>
      <c r="DF206" s="609"/>
      <c r="DG206" s="609"/>
      <c r="DH206" s="609"/>
      <c r="DI206" s="609"/>
      <c r="DJ206" s="610"/>
      <c r="DK206" s="609"/>
      <c r="DL206" s="609"/>
      <c r="DM206" s="609"/>
      <c r="DN206" s="609"/>
      <c r="DO206" s="610"/>
      <c r="DP206" s="609"/>
      <c r="DQ206" s="609"/>
      <c r="DR206" s="609"/>
      <c r="DS206" s="609"/>
      <c r="DT206" s="610"/>
      <c r="DU206" s="609"/>
      <c r="DV206" s="609"/>
      <c r="DW206" s="609"/>
      <c r="DX206" s="609"/>
      <c r="DY206" s="610"/>
      <c r="DZ206" s="610"/>
      <c r="EA206" s="610"/>
      <c r="EB206" s="610"/>
    </row>
    <row r="207" spans="2:132" s="241" customFormat="1" ht="12" hidden="1" customHeight="1">
      <c r="B207" s="317" t="s">
        <v>131</v>
      </c>
      <c r="C207" s="301"/>
      <c r="D207" s="301"/>
      <c r="E207" s="301"/>
      <c r="F207" s="301"/>
      <c r="G207" s="301">
        <f t="shared" ref="G207:S207" si="528">IF(ISERROR(G173/G$188),"",(G173/G$188))</f>
        <v>0.12371663244353183</v>
      </c>
      <c r="H207" s="301">
        <f t="shared" si="528"/>
        <v>0.14115822130299896</v>
      </c>
      <c r="I207" s="301">
        <f t="shared" si="528"/>
        <v>1.3942093541202674</v>
      </c>
      <c r="J207" s="242">
        <f t="shared" si="528"/>
        <v>0.21599045346062051</v>
      </c>
      <c r="K207" s="242">
        <f t="shared" si="528"/>
        <v>0.34937888198757766</v>
      </c>
      <c r="L207" s="242">
        <f t="shared" si="528"/>
        <v>0.59295499021526421</v>
      </c>
      <c r="M207" s="242">
        <f t="shared" si="528"/>
        <v>20.285714285714285</v>
      </c>
      <c r="N207" s="301">
        <f t="shared" si="528"/>
        <v>0.49476831091180867</v>
      </c>
      <c r="O207" s="242">
        <f t="shared" si="528"/>
        <v>0.30959302325581395</v>
      </c>
      <c r="P207" s="242">
        <f t="shared" si="528"/>
        <v>0.20617283950617285</v>
      </c>
      <c r="Q207" s="242">
        <f t="shared" si="528"/>
        <v>0.1218872870249017</v>
      </c>
      <c r="R207" s="242">
        <f t="shared" si="528"/>
        <v>0.29945553539019965</v>
      </c>
      <c r="S207" s="301">
        <f t="shared" si="528"/>
        <v>0.22688477951635846</v>
      </c>
      <c r="T207" s="242"/>
      <c r="U207" s="242"/>
      <c r="V207" s="242"/>
      <c r="W207" s="242"/>
      <c r="X207" s="301"/>
      <c r="Y207" s="242"/>
      <c r="Z207" s="242"/>
      <c r="AA207" s="242"/>
      <c r="AB207" s="242"/>
      <c r="AC207" s="301"/>
      <c r="AD207" s="242"/>
      <c r="AE207" s="242"/>
      <c r="AF207" s="242"/>
      <c r="AG207" s="242"/>
      <c r="AH207" s="301"/>
      <c r="AI207" s="242"/>
      <c r="AJ207" s="242"/>
      <c r="AK207" s="242"/>
      <c r="AL207" s="242"/>
      <c r="AM207" s="301"/>
      <c r="AN207" s="242"/>
      <c r="AO207" s="242"/>
      <c r="AP207" s="242"/>
      <c r="AQ207" s="242"/>
      <c r="AR207" s="301"/>
      <c r="AS207" s="242"/>
      <c r="AT207" s="242"/>
      <c r="AU207" s="242"/>
      <c r="AV207" s="242"/>
      <c r="AW207" s="301"/>
      <c r="AX207" s="242"/>
      <c r="AY207" s="242"/>
      <c r="AZ207" s="242"/>
      <c r="BA207" s="242"/>
      <c r="BB207" s="301"/>
      <c r="BC207" s="242"/>
      <c r="BD207" s="242"/>
      <c r="BE207" s="242"/>
      <c r="BF207" s="242"/>
      <c r="BG207" s="301"/>
      <c r="BH207" s="145"/>
      <c r="BI207" s="145"/>
      <c r="BJ207" s="145"/>
      <c r="BK207" s="145"/>
      <c r="BL207" s="144"/>
      <c r="BM207" s="145"/>
      <c r="BN207" s="145"/>
      <c r="BO207" s="145"/>
      <c r="BP207" s="145"/>
      <c r="BQ207" s="144"/>
      <c r="BR207" s="145"/>
      <c r="BS207" s="145"/>
      <c r="BT207" s="145"/>
      <c r="BU207" s="145"/>
      <c r="BV207" s="144"/>
      <c r="BW207" s="145"/>
      <c r="BX207" s="145"/>
      <c r="BY207" s="145"/>
      <c r="BZ207" s="145"/>
      <c r="CA207" s="144"/>
      <c r="CB207" s="145"/>
      <c r="CC207" s="145"/>
      <c r="CD207" s="145"/>
      <c r="CE207" s="145"/>
      <c r="CF207" s="144"/>
      <c r="CG207" s="145"/>
      <c r="CH207" s="145"/>
      <c r="CI207" s="145"/>
      <c r="CJ207" s="145"/>
      <c r="CK207" s="144"/>
      <c r="CL207" s="145"/>
      <c r="CM207" s="145"/>
      <c r="CN207" s="145"/>
      <c r="CO207" s="145"/>
      <c r="CP207" s="144"/>
      <c r="CQ207" s="145"/>
      <c r="CR207" s="145"/>
      <c r="CS207" s="145"/>
      <c r="CT207" s="145"/>
      <c r="CU207" s="144"/>
      <c r="CV207" s="145"/>
      <c r="CW207" s="145"/>
      <c r="CX207" s="145"/>
      <c r="CY207" s="145"/>
      <c r="CZ207" s="144"/>
      <c r="DA207" s="145"/>
      <c r="DB207" s="145"/>
      <c r="DC207" s="145"/>
      <c r="DD207" s="145"/>
      <c r="DE207" s="144"/>
      <c r="DF207" s="145"/>
      <c r="DG207" s="145"/>
      <c r="DH207" s="145"/>
      <c r="DI207" s="145"/>
      <c r="DJ207" s="144"/>
      <c r="DK207" s="145"/>
      <c r="DL207" s="145"/>
      <c r="DM207" s="145"/>
      <c r="DN207" s="145"/>
      <c r="DO207" s="144"/>
      <c r="DP207" s="145"/>
      <c r="DQ207" s="145"/>
      <c r="DR207" s="145"/>
      <c r="DS207" s="145"/>
      <c r="DT207" s="144"/>
      <c r="DU207" s="145"/>
      <c r="DV207" s="145"/>
      <c r="DW207" s="145"/>
      <c r="DX207" s="145"/>
      <c r="DY207" s="144"/>
      <c r="DZ207" s="144"/>
      <c r="EA207" s="144"/>
      <c r="EB207" s="144"/>
    </row>
    <row r="208" spans="2:132" s="241" customFormat="1" ht="12" hidden="1" customHeight="1">
      <c r="B208" s="317" t="s">
        <v>125</v>
      </c>
      <c r="C208" s="301"/>
      <c r="D208" s="301"/>
      <c r="E208" s="301"/>
      <c r="F208" s="301"/>
      <c r="G208" s="301">
        <f t="shared" ref="G208:S208" si="529">IF(ISERROR(G174/G$188),"",(G174/G$188))</f>
        <v>7.8028747433264892E-2</v>
      </c>
      <c r="H208" s="301">
        <f t="shared" si="529"/>
        <v>9.7207859358841783E-2</v>
      </c>
      <c r="I208" s="301">
        <f t="shared" si="529"/>
        <v>1.0512249443207127</v>
      </c>
      <c r="J208" s="242">
        <f t="shared" si="529"/>
        <v>0.17183770883054891</v>
      </c>
      <c r="K208" s="242">
        <f t="shared" si="529"/>
        <v>0.2127329192546584</v>
      </c>
      <c r="L208" s="242">
        <f t="shared" si="529"/>
        <v>0.35616438356164382</v>
      </c>
      <c r="M208" s="242">
        <f t="shared" si="529"/>
        <v>12.5</v>
      </c>
      <c r="N208" s="301">
        <f t="shared" si="529"/>
        <v>0.31788739412057798</v>
      </c>
      <c r="O208" s="242">
        <f t="shared" si="529"/>
        <v>0.24563953488372092</v>
      </c>
      <c r="P208" s="242">
        <f t="shared" si="529"/>
        <v>0.22098765432098766</v>
      </c>
      <c r="Q208" s="242">
        <f t="shared" si="529"/>
        <v>0.25163826998689381</v>
      </c>
      <c r="R208" s="242">
        <f t="shared" si="529"/>
        <v>0.40834845735027225</v>
      </c>
      <c r="S208" s="301">
        <f t="shared" si="529"/>
        <v>0.27204836415362732</v>
      </c>
      <c r="T208" s="242"/>
      <c r="U208" s="242"/>
      <c r="V208" s="242"/>
      <c r="W208" s="242"/>
      <c r="X208" s="301"/>
      <c r="Y208" s="242"/>
      <c r="Z208" s="242"/>
      <c r="AA208" s="242"/>
      <c r="AB208" s="242"/>
      <c r="AC208" s="301"/>
      <c r="AD208" s="242"/>
      <c r="AE208" s="242"/>
      <c r="AF208" s="242"/>
      <c r="AG208" s="242"/>
      <c r="AH208" s="301"/>
      <c r="AI208" s="242"/>
      <c r="AJ208" s="242"/>
      <c r="AK208" s="242"/>
      <c r="AL208" s="242"/>
      <c r="AM208" s="301"/>
      <c r="AN208" s="242"/>
      <c r="AO208" s="242"/>
      <c r="AP208" s="242"/>
      <c r="AQ208" s="242"/>
      <c r="AR208" s="301"/>
      <c r="AS208" s="242"/>
      <c r="AT208" s="242"/>
      <c r="AU208" s="242"/>
      <c r="AV208" s="242"/>
      <c r="AW208" s="301"/>
      <c r="AX208" s="242"/>
      <c r="AY208" s="242"/>
      <c r="AZ208" s="242"/>
      <c r="BA208" s="242"/>
      <c r="BB208" s="301"/>
      <c r="BC208" s="242"/>
      <c r="BD208" s="242"/>
      <c r="BE208" s="242"/>
      <c r="BF208" s="242"/>
      <c r="BG208" s="301"/>
      <c r="BH208" s="145"/>
      <c r="BI208" s="145"/>
      <c r="BJ208" s="145"/>
      <c r="BK208" s="145"/>
      <c r="BL208" s="144"/>
      <c r="BM208" s="145"/>
      <c r="BN208" s="145"/>
      <c r="BO208" s="145"/>
      <c r="BP208" s="145"/>
      <c r="BQ208" s="144"/>
      <c r="BR208" s="145"/>
      <c r="BS208" s="145"/>
      <c r="BT208" s="145"/>
      <c r="BU208" s="145"/>
      <c r="BV208" s="144"/>
      <c r="BW208" s="145"/>
      <c r="BX208" s="145"/>
      <c r="BY208" s="145"/>
      <c r="BZ208" s="145"/>
      <c r="CA208" s="144"/>
      <c r="CB208" s="145"/>
      <c r="CC208" s="145"/>
      <c r="CD208" s="145"/>
      <c r="CE208" s="145"/>
      <c r="CF208" s="144"/>
      <c r="CG208" s="145"/>
      <c r="CH208" s="145"/>
      <c r="CI208" s="145"/>
      <c r="CJ208" s="145"/>
      <c r="CK208" s="144"/>
      <c r="CL208" s="145"/>
      <c r="CM208" s="145"/>
      <c r="CN208" s="145"/>
      <c r="CO208" s="145"/>
      <c r="CP208" s="144"/>
      <c r="CQ208" s="145"/>
      <c r="CR208" s="145"/>
      <c r="CS208" s="145"/>
      <c r="CT208" s="145"/>
      <c r="CU208" s="144"/>
      <c r="CV208" s="145"/>
      <c r="CW208" s="145"/>
      <c r="CX208" s="145"/>
      <c r="CY208" s="145"/>
      <c r="CZ208" s="144"/>
      <c r="DA208" s="145"/>
      <c r="DB208" s="145"/>
      <c r="DC208" s="145"/>
      <c r="DD208" s="145"/>
      <c r="DE208" s="144"/>
      <c r="DF208" s="145"/>
      <c r="DG208" s="145"/>
      <c r="DH208" s="145"/>
      <c r="DI208" s="145"/>
      <c r="DJ208" s="144"/>
      <c r="DK208" s="145"/>
      <c r="DL208" s="145"/>
      <c r="DM208" s="145"/>
      <c r="DN208" s="145"/>
      <c r="DO208" s="144"/>
      <c r="DP208" s="145"/>
      <c r="DQ208" s="145"/>
      <c r="DR208" s="145"/>
      <c r="DS208" s="145"/>
      <c r="DT208" s="144"/>
      <c r="DU208" s="145"/>
      <c r="DV208" s="145"/>
      <c r="DW208" s="145"/>
      <c r="DX208" s="145"/>
      <c r="DY208" s="144"/>
      <c r="DZ208" s="144"/>
      <c r="EA208" s="144"/>
      <c r="EB208" s="144"/>
    </row>
    <row r="209" spans="2:132" s="241" customFormat="1" ht="12" hidden="1" customHeight="1">
      <c r="B209" s="318" t="s">
        <v>132</v>
      </c>
      <c r="C209" s="328"/>
      <c r="D209" s="328"/>
      <c r="E209" s="328"/>
      <c r="F209" s="328"/>
      <c r="G209" s="328">
        <f t="shared" ref="G209:S209" si="530">IF(ISERROR(G175/G$188),"",(G175/G$188))</f>
        <v>3.7731006160164268E-2</v>
      </c>
      <c r="H209" s="328">
        <f t="shared" si="530"/>
        <v>-4.7052740434332989E-2</v>
      </c>
      <c r="I209" s="328">
        <f t="shared" si="530"/>
        <v>-3.9064587973273941</v>
      </c>
      <c r="J209" s="329">
        <f t="shared" si="530"/>
        <v>-7.5178997613365162E-2</v>
      </c>
      <c r="K209" s="329">
        <f t="shared" si="530"/>
        <v>-7.7639751552795025E-2</v>
      </c>
      <c r="L209" s="329">
        <f t="shared" si="530"/>
        <v>-0.299412915851272</v>
      </c>
      <c r="M209" s="329">
        <f t="shared" si="530"/>
        <v>-5.4285714285714288</v>
      </c>
      <c r="N209" s="328">
        <f t="shared" si="530"/>
        <v>-0.17040358744394618</v>
      </c>
      <c r="O209" s="329">
        <f t="shared" si="530"/>
        <v>0.1380813953488372</v>
      </c>
      <c r="P209" s="329">
        <f t="shared" si="530"/>
        <v>3.580246913580247E-2</v>
      </c>
      <c r="Q209" s="329">
        <f t="shared" si="530"/>
        <v>0.82961992136304064</v>
      </c>
      <c r="R209" s="329">
        <f t="shared" si="530"/>
        <v>4.1742286751361164E-2</v>
      </c>
      <c r="S209" s="328">
        <f t="shared" si="530"/>
        <v>0.27738264580369842</v>
      </c>
      <c r="T209" s="329"/>
      <c r="U209" s="329"/>
      <c r="V209" s="329"/>
      <c r="W209" s="329"/>
      <c r="X209" s="328"/>
      <c r="Y209" s="329"/>
      <c r="Z209" s="329"/>
      <c r="AA209" s="329"/>
      <c r="AB209" s="329"/>
      <c r="AC209" s="328"/>
      <c r="AD209" s="329"/>
      <c r="AE209" s="329"/>
      <c r="AF209" s="329"/>
      <c r="AG209" s="329"/>
      <c r="AH209" s="328"/>
      <c r="AI209" s="329"/>
      <c r="AJ209" s="329"/>
      <c r="AK209" s="329"/>
      <c r="AL209" s="329"/>
      <c r="AM209" s="328"/>
      <c r="AN209" s="329"/>
      <c r="AO209" s="329"/>
      <c r="AP209" s="329"/>
      <c r="AQ209" s="329"/>
      <c r="AR209" s="328"/>
      <c r="AS209" s="329"/>
      <c r="AT209" s="329"/>
      <c r="AU209" s="329"/>
      <c r="AV209" s="329"/>
      <c r="AW209" s="328"/>
      <c r="AX209" s="329"/>
      <c r="AY209" s="329"/>
      <c r="AZ209" s="329"/>
      <c r="BA209" s="329"/>
      <c r="BB209" s="328"/>
      <c r="BC209" s="329"/>
      <c r="BD209" s="329"/>
      <c r="BE209" s="329"/>
      <c r="BF209" s="329"/>
      <c r="BG209" s="328"/>
      <c r="BH209" s="611"/>
      <c r="BI209" s="611"/>
      <c r="BJ209" s="611"/>
      <c r="BK209" s="611"/>
      <c r="BL209" s="612"/>
      <c r="BM209" s="611"/>
      <c r="BN209" s="611"/>
      <c r="BO209" s="611"/>
      <c r="BP209" s="611"/>
      <c r="BQ209" s="612"/>
      <c r="BR209" s="611"/>
      <c r="BS209" s="611"/>
      <c r="BT209" s="611"/>
      <c r="BU209" s="611"/>
      <c r="BV209" s="612"/>
      <c r="BW209" s="611"/>
      <c r="BX209" s="611"/>
      <c r="BY209" s="611"/>
      <c r="BZ209" s="611"/>
      <c r="CA209" s="612"/>
      <c r="CB209" s="611"/>
      <c r="CC209" s="611"/>
      <c r="CD209" s="611"/>
      <c r="CE209" s="611"/>
      <c r="CF209" s="612"/>
      <c r="CG209" s="611"/>
      <c r="CH209" s="611"/>
      <c r="CI209" s="611"/>
      <c r="CJ209" s="611"/>
      <c r="CK209" s="612"/>
      <c r="CL209" s="611"/>
      <c r="CM209" s="611"/>
      <c r="CN209" s="611"/>
      <c r="CO209" s="611"/>
      <c r="CP209" s="612"/>
      <c r="CQ209" s="611"/>
      <c r="CR209" s="611"/>
      <c r="CS209" s="611"/>
      <c r="CT209" s="611"/>
      <c r="CU209" s="612"/>
      <c r="CV209" s="611"/>
      <c r="CW209" s="611"/>
      <c r="CX209" s="611"/>
      <c r="CY209" s="611"/>
      <c r="CZ209" s="612"/>
      <c r="DA209" s="611"/>
      <c r="DB209" s="611"/>
      <c r="DC209" s="611"/>
      <c r="DD209" s="611"/>
      <c r="DE209" s="612"/>
      <c r="DF209" s="611"/>
      <c r="DG209" s="611"/>
      <c r="DH209" s="611"/>
      <c r="DI209" s="611"/>
      <c r="DJ209" s="612"/>
      <c r="DK209" s="611"/>
      <c r="DL209" s="611"/>
      <c r="DM209" s="611"/>
      <c r="DN209" s="611"/>
      <c r="DO209" s="612"/>
      <c r="DP209" s="611"/>
      <c r="DQ209" s="611"/>
      <c r="DR209" s="611"/>
      <c r="DS209" s="611"/>
      <c r="DT209" s="612"/>
      <c r="DU209" s="611"/>
      <c r="DV209" s="611"/>
      <c r="DW209" s="611"/>
      <c r="DX209" s="611"/>
      <c r="DY209" s="612"/>
      <c r="DZ209" s="612"/>
      <c r="EA209" s="612"/>
      <c r="EB209" s="612"/>
    </row>
    <row r="210" spans="2:132" s="241" customFormat="1" ht="12" hidden="1" customHeight="1">
      <c r="B210" s="317" t="s">
        <v>133</v>
      </c>
      <c r="C210" s="301"/>
      <c r="D210" s="301">
        <f t="shared" ref="D210:H212" si="531">IF(ISERROR(D176/D$188),"",(D176/D$188))</f>
        <v>0.81876196553924696</v>
      </c>
      <c r="E210" s="301">
        <f t="shared" si="531"/>
        <v>0.37634069400630915</v>
      </c>
      <c r="F210" s="301">
        <f t="shared" si="531"/>
        <v>0.41563113145846958</v>
      </c>
      <c r="G210" s="301">
        <f t="shared" si="531"/>
        <v>0.34548254620123203</v>
      </c>
      <c r="H210" s="301">
        <f t="shared" si="531"/>
        <v>0.42709410548086868</v>
      </c>
      <c r="I210" s="301"/>
      <c r="J210" s="242"/>
      <c r="K210" s="242"/>
      <c r="L210" s="242"/>
      <c r="M210" s="242"/>
      <c r="N210" s="301"/>
      <c r="O210" s="242"/>
      <c r="P210" s="242"/>
      <c r="Q210" s="242"/>
      <c r="R210" s="242"/>
      <c r="S210" s="301"/>
      <c r="T210" s="242"/>
      <c r="U210" s="242"/>
      <c r="V210" s="242"/>
      <c r="W210" s="242"/>
      <c r="X210" s="301"/>
      <c r="Y210" s="242"/>
      <c r="Z210" s="242"/>
      <c r="AA210" s="242"/>
      <c r="AB210" s="242"/>
      <c r="AC210" s="301"/>
      <c r="AD210" s="242"/>
      <c r="AE210" s="242"/>
      <c r="AF210" s="242"/>
      <c r="AG210" s="242"/>
      <c r="AH210" s="301"/>
      <c r="AI210" s="242"/>
      <c r="AJ210" s="242"/>
      <c r="AK210" s="242"/>
      <c r="AL210" s="242"/>
      <c r="AM210" s="301"/>
      <c r="AN210" s="242"/>
      <c r="AO210" s="242"/>
      <c r="AP210" s="242"/>
      <c r="AQ210" s="242"/>
      <c r="AR210" s="301"/>
      <c r="AS210" s="242"/>
      <c r="AT210" s="242"/>
      <c r="AU210" s="242"/>
      <c r="AV210" s="242"/>
      <c r="AW210" s="301"/>
      <c r="AX210" s="242"/>
      <c r="AY210" s="242"/>
      <c r="AZ210" s="242"/>
      <c r="BA210" s="242"/>
      <c r="BB210" s="301"/>
      <c r="BC210" s="242"/>
      <c r="BD210" s="242"/>
      <c r="BE210" s="242"/>
      <c r="BF210" s="242"/>
      <c r="BG210" s="301"/>
      <c r="BH210" s="145"/>
      <c r="BI210" s="145"/>
      <c r="BJ210" s="145"/>
      <c r="BK210" s="145"/>
      <c r="BL210" s="144"/>
      <c r="BM210" s="145"/>
      <c r="BN210" s="145"/>
      <c r="BO210" s="145"/>
      <c r="BP210" s="145"/>
      <c r="BQ210" s="144"/>
      <c r="BR210" s="145"/>
      <c r="BS210" s="145"/>
      <c r="BT210" s="145"/>
      <c r="BU210" s="145"/>
      <c r="BV210" s="144"/>
      <c r="BW210" s="145"/>
      <c r="BX210" s="145"/>
      <c r="BY210" s="145"/>
      <c r="BZ210" s="145"/>
      <c r="CA210" s="144"/>
      <c r="CB210" s="145"/>
      <c r="CC210" s="145"/>
      <c r="CD210" s="145"/>
      <c r="CE210" s="145"/>
      <c r="CF210" s="144"/>
      <c r="CG210" s="145"/>
      <c r="CH210" s="145"/>
      <c r="CI210" s="145"/>
      <c r="CJ210" s="145"/>
      <c r="CK210" s="144"/>
      <c r="CL210" s="145"/>
      <c r="CM210" s="145"/>
      <c r="CN210" s="145"/>
      <c r="CO210" s="145"/>
      <c r="CP210" s="144"/>
      <c r="CQ210" s="145"/>
      <c r="CR210" s="145"/>
      <c r="CS210" s="145"/>
      <c r="CT210" s="145"/>
      <c r="CU210" s="144"/>
      <c r="CV210" s="145"/>
      <c r="CW210" s="145"/>
      <c r="CX210" s="145"/>
      <c r="CY210" s="145"/>
      <c r="CZ210" s="144"/>
      <c r="DA210" s="145"/>
      <c r="DB210" s="145"/>
      <c r="DC210" s="145"/>
      <c r="DD210" s="145"/>
      <c r="DE210" s="144"/>
      <c r="DF210" s="145"/>
      <c r="DG210" s="145"/>
      <c r="DH210" s="145"/>
      <c r="DI210" s="145"/>
      <c r="DJ210" s="144"/>
      <c r="DK210" s="145"/>
      <c r="DL210" s="145"/>
      <c r="DM210" s="145"/>
      <c r="DN210" s="145"/>
      <c r="DO210" s="144"/>
      <c r="DP210" s="145"/>
      <c r="DQ210" s="145"/>
      <c r="DR210" s="145"/>
      <c r="DS210" s="145"/>
      <c r="DT210" s="144"/>
      <c r="DU210" s="145"/>
      <c r="DV210" s="145"/>
      <c r="DW210" s="145"/>
      <c r="DX210" s="145"/>
      <c r="DY210" s="144"/>
      <c r="DZ210" s="144"/>
      <c r="EA210" s="144"/>
      <c r="EB210" s="144"/>
    </row>
    <row r="211" spans="2:132" s="241" customFormat="1" ht="12" hidden="1" customHeight="1">
      <c r="B211" s="318" t="s">
        <v>134</v>
      </c>
      <c r="C211" s="328"/>
      <c r="D211" s="328">
        <f t="shared" si="531"/>
        <v>0.15826419910657308</v>
      </c>
      <c r="E211" s="328">
        <f t="shared" si="531"/>
        <v>0.1309148264984227</v>
      </c>
      <c r="F211" s="328">
        <f t="shared" si="531"/>
        <v>-0.10562459123610203</v>
      </c>
      <c r="G211" s="328">
        <f t="shared" si="531"/>
        <v>0.15888090349075976</v>
      </c>
      <c r="H211" s="328">
        <f t="shared" si="531"/>
        <v>9.2295760082730091E-2</v>
      </c>
      <c r="I211" s="328"/>
      <c r="J211" s="329"/>
      <c r="K211" s="329"/>
      <c r="L211" s="329"/>
      <c r="M211" s="329"/>
      <c r="N211" s="328"/>
      <c r="O211" s="329"/>
      <c r="P211" s="329"/>
      <c r="Q211" s="329"/>
      <c r="R211" s="329"/>
      <c r="S211" s="328"/>
      <c r="T211" s="329"/>
      <c r="U211" s="329"/>
      <c r="V211" s="329"/>
      <c r="W211" s="329"/>
      <c r="X211" s="328"/>
      <c r="Y211" s="329"/>
      <c r="Z211" s="329"/>
      <c r="AA211" s="329"/>
      <c r="AB211" s="329"/>
      <c r="AC211" s="328"/>
      <c r="AD211" s="329"/>
      <c r="AE211" s="329"/>
      <c r="AF211" s="329"/>
      <c r="AG211" s="329"/>
      <c r="AH211" s="328"/>
      <c r="AI211" s="329"/>
      <c r="AJ211" s="329"/>
      <c r="AK211" s="329"/>
      <c r="AL211" s="329"/>
      <c r="AM211" s="328"/>
      <c r="AN211" s="329"/>
      <c r="AO211" s="329"/>
      <c r="AP211" s="329"/>
      <c r="AQ211" s="329"/>
      <c r="AR211" s="328"/>
      <c r="AS211" s="329"/>
      <c r="AT211" s="329"/>
      <c r="AU211" s="329"/>
      <c r="AV211" s="329"/>
      <c r="AW211" s="328"/>
      <c r="AX211" s="329"/>
      <c r="AY211" s="329"/>
      <c r="AZ211" s="329"/>
      <c r="BA211" s="329"/>
      <c r="BB211" s="328"/>
      <c r="BC211" s="329"/>
      <c r="BD211" s="329"/>
      <c r="BE211" s="329"/>
      <c r="BF211" s="329"/>
      <c r="BG211" s="328"/>
      <c r="BH211" s="611"/>
      <c r="BI211" s="611"/>
      <c r="BJ211" s="611"/>
      <c r="BK211" s="611"/>
      <c r="BL211" s="612"/>
      <c r="BM211" s="611"/>
      <c r="BN211" s="611"/>
      <c r="BO211" s="611"/>
      <c r="BP211" s="611"/>
      <c r="BQ211" s="612"/>
      <c r="BR211" s="611"/>
      <c r="BS211" s="611"/>
      <c r="BT211" s="611"/>
      <c r="BU211" s="611"/>
      <c r="BV211" s="612"/>
      <c r="BW211" s="611"/>
      <c r="BX211" s="611"/>
      <c r="BY211" s="611"/>
      <c r="BZ211" s="611"/>
      <c r="CA211" s="612"/>
      <c r="CB211" s="611"/>
      <c r="CC211" s="611"/>
      <c r="CD211" s="611"/>
      <c r="CE211" s="611"/>
      <c r="CF211" s="612"/>
      <c r="CG211" s="611"/>
      <c r="CH211" s="611"/>
      <c r="CI211" s="611"/>
      <c r="CJ211" s="611"/>
      <c r="CK211" s="612"/>
      <c r="CL211" s="611"/>
      <c r="CM211" s="611"/>
      <c r="CN211" s="611"/>
      <c r="CO211" s="611"/>
      <c r="CP211" s="612"/>
      <c r="CQ211" s="611"/>
      <c r="CR211" s="611"/>
      <c r="CS211" s="611"/>
      <c r="CT211" s="611"/>
      <c r="CU211" s="612"/>
      <c r="CV211" s="611"/>
      <c r="CW211" s="611"/>
      <c r="CX211" s="611"/>
      <c r="CY211" s="611"/>
      <c r="CZ211" s="612"/>
      <c r="DA211" s="611"/>
      <c r="DB211" s="611"/>
      <c r="DC211" s="611"/>
      <c r="DD211" s="611"/>
      <c r="DE211" s="612"/>
      <c r="DF211" s="611"/>
      <c r="DG211" s="611"/>
      <c r="DH211" s="611"/>
      <c r="DI211" s="611"/>
      <c r="DJ211" s="612"/>
      <c r="DK211" s="611"/>
      <c r="DL211" s="611"/>
      <c r="DM211" s="611"/>
      <c r="DN211" s="611"/>
      <c r="DO211" s="612"/>
      <c r="DP211" s="611"/>
      <c r="DQ211" s="611"/>
      <c r="DR211" s="611"/>
      <c r="DS211" s="611"/>
      <c r="DT211" s="612"/>
      <c r="DU211" s="611"/>
      <c r="DV211" s="611"/>
      <c r="DW211" s="611"/>
      <c r="DX211" s="611"/>
      <c r="DY211" s="612"/>
      <c r="DZ211" s="612"/>
      <c r="EA211" s="612"/>
      <c r="EB211" s="612"/>
    </row>
    <row r="212" spans="2:132" s="241" customFormat="1" ht="12" customHeight="1" collapsed="1">
      <c r="B212" s="437" t="s">
        <v>391</v>
      </c>
      <c r="C212" s="301">
        <f>IF(ISERROR(C178/C$188),"",(C178/C$188))</f>
        <v>-3.7098591549295774</v>
      </c>
      <c r="D212" s="301">
        <f t="shared" si="531"/>
        <v>0.97702616464582004</v>
      </c>
      <c r="E212" s="301">
        <f t="shared" si="531"/>
        <v>0.50725552050473188</v>
      </c>
      <c r="F212" s="301">
        <f t="shared" si="531"/>
        <v>0.31000654022236757</v>
      </c>
      <c r="G212" s="301">
        <f t="shared" si="531"/>
        <v>0.50436344969199176</v>
      </c>
      <c r="H212" s="301">
        <f t="shared" si="531"/>
        <v>0.51938986556359878</v>
      </c>
      <c r="I212" s="301">
        <f t="shared" ref="I212:AN212" si="532">IF(ISERROR(I178/I$188),"",(I178/I$188))</f>
        <v>1.7060133630289531</v>
      </c>
      <c r="J212" s="302">
        <f t="shared" si="532"/>
        <v>0.88066825775656321</v>
      </c>
      <c r="K212" s="302">
        <f t="shared" si="532"/>
        <v>1.0807453416149069</v>
      </c>
      <c r="L212" s="302">
        <f t="shared" si="532"/>
        <v>1.5968688845401173</v>
      </c>
      <c r="M212" s="302">
        <f t="shared" si="532"/>
        <v>48.214285714285715</v>
      </c>
      <c r="N212" s="301">
        <f t="shared" si="532"/>
        <v>1.4573991031390134</v>
      </c>
      <c r="O212" s="302">
        <f t="shared" si="532"/>
        <v>1.2311046511627908</v>
      </c>
      <c r="P212" s="302">
        <f t="shared" si="532"/>
        <v>1.0074074074074073</v>
      </c>
      <c r="Q212" s="302">
        <f t="shared" si="532"/>
        <v>1.7077326343381389</v>
      </c>
      <c r="R212" s="302">
        <f t="shared" si="532"/>
        <v>1.6769509981851181</v>
      </c>
      <c r="S212" s="301">
        <f t="shared" si="532"/>
        <v>1.3833570412517782</v>
      </c>
      <c r="T212" s="302">
        <f t="shared" si="532"/>
        <v>0.85192909280500517</v>
      </c>
      <c r="U212" s="302">
        <f t="shared" si="532"/>
        <v>0.59082217973231355</v>
      </c>
      <c r="V212" s="302">
        <f t="shared" si="532"/>
        <v>0.9242902208201893</v>
      </c>
      <c r="W212" s="302">
        <f t="shared" si="532"/>
        <v>0.89149305555555558</v>
      </c>
      <c r="X212" s="301">
        <f t="shared" si="532"/>
        <v>0.84574616457461649</v>
      </c>
      <c r="Y212" s="302">
        <f t="shared" si="532"/>
        <v>0.59893048128342241</v>
      </c>
      <c r="Z212" s="302">
        <f t="shared" si="532"/>
        <v>0.56706507304116871</v>
      </c>
      <c r="AA212" s="302">
        <f t="shared" si="532"/>
        <v>0.54969979986657769</v>
      </c>
      <c r="AB212" s="302">
        <f t="shared" si="532"/>
        <v>0.64511873350923488</v>
      </c>
      <c r="AC212" s="301">
        <f t="shared" si="532"/>
        <v>0.59005145797598624</v>
      </c>
      <c r="AD212" s="302">
        <f t="shared" si="532"/>
        <v>0.47804335742078935</v>
      </c>
      <c r="AE212" s="302">
        <f t="shared" si="532"/>
        <v>0.51082598235765841</v>
      </c>
      <c r="AF212" s="302">
        <f t="shared" si="532"/>
        <v>0.74455100261551876</v>
      </c>
      <c r="AG212" s="302">
        <f t="shared" si="532"/>
        <v>-3.6255144032921809</v>
      </c>
      <c r="AH212" s="301">
        <f t="shared" si="532"/>
        <v>0.81822784810126581</v>
      </c>
      <c r="AI212" s="302">
        <f t="shared" si="532"/>
        <v>0.69170731707317068</v>
      </c>
      <c r="AJ212" s="302">
        <f t="shared" si="532"/>
        <v>0.57292347939829957</v>
      </c>
      <c r="AK212" s="302">
        <f t="shared" si="532"/>
        <v>-0.41143654114365413</v>
      </c>
      <c r="AL212" s="302">
        <f t="shared" si="532"/>
        <v>0.48966331955109271</v>
      </c>
      <c r="AM212" s="301">
        <f t="shared" si="532"/>
        <v>1.5739503816793894</v>
      </c>
      <c r="AN212" s="302">
        <f t="shared" si="532"/>
        <v>0.565587734241908</v>
      </c>
      <c r="AO212" s="302">
        <f t="shared" ref="AO212:BL212" si="533">IF(ISERROR(AO178/AO$188),"",(AO178/AO$188))</f>
        <v>0.54399387911247132</v>
      </c>
      <c r="AP212" s="302">
        <f t="shared" si="533"/>
        <v>0.49315068493150682</v>
      </c>
      <c r="AQ212" s="302">
        <f t="shared" si="533"/>
        <v>0.73980054397098827</v>
      </c>
      <c r="AR212" s="301">
        <f t="shared" si="533"/>
        <v>0.57835445584389455</v>
      </c>
      <c r="AS212" s="302">
        <f t="shared" si="533"/>
        <v>0.67100000000000004</v>
      </c>
      <c r="AT212" s="302">
        <f t="shared" si="533"/>
        <v>0.52020860495436771</v>
      </c>
      <c r="AU212" s="302">
        <f t="shared" si="533"/>
        <v>0.48074679113185531</v>
      </c>
      <c r="AV212" s="302">
        <f t="shared" si="533"/>
        <v>0.54164057608015026</v>
      </c>
      <c r="AW212" s="301">
        <f t="shared" si="533"/>
        <v>0.54029084687767326</v>
      </c>
      <c r="AX212" s="302">
        <f t="shared" si="533"/>
        <v>0.47261146496815287</v>
      </c>
      <c r="AY212" s="302">
        <f t="shared" si="533"/>
        <v>0.48320413436692505</v>
      </c>
      <c r="AZ212" s="302">
        <f t="shared" si="533"/>
        <v>0.52877237851662406</v>
      </c>
      <c r="BA212" s="302">
        <f t="shared" si="533"/>
        <v>0.46101903007980355</v>
      </c>
      <c r="BB212" s="301">
        <f t="shared" si="533"/>
        <v>0.48613531928379022</v>
      </c>
      <c r="BC212" s="302">
        <f t="shared" si="533"/>
        <v>0.54450261780104714</v>
      </c>
      <c r="BD212" s="302">
        <f t="shared" si="533"/>
        <v>0.45221445221445222</v>
      </c>
      <c r="BE212" s="302">
        <f t="shared" si="533"/>
        <v>0.37326677759290072</v>
      </c>
      <c r="BF212" s="302">
        <f t="shared" si="533"/>
        <v>0.62957830132647008</v>
      </c>
      <c r="BG212" s="301">
        <f t="shared" si="533"/>
        <v>0.49296740472090578</v>
      </c>
      <c r="BH212" s="469">
        <f t="shared" si="533"/>
        <v>0.50453955901426717</v>
      </c>
      <c r="BI212" s="469">
        <f t="shared" si="533"/>
        <v>0.32568550643536653</v>
      </c>
      <c r="BJ212" s="469">
        <f t="shared" si="533"/>
        <v>0.4039641340254837</v>
      </c>
      <c r="BK212" s="469">
        <f t="shared" si="533"/>
        <v>0.45283950617283952</v>
      </c>
      <c r="BL212" s="144">
        <f t="shared" si="533"/>
        <v>0.4192426067175164</v>
      </c>
      <c r="BM212" s="469">
        <f t="shared" ref="BM212:BP212" si="534">IF(ISERROR(BM178/BM$188),"",(BM178/BM$188))</f>
        <v>0.3680039623576028</v>
      </c>
      <c r="BN212" s="469">
        <f t="shared" ref="BN212" si="535">IF(ISERROR(BN178/BN$188),"",(BN178/BN$188))</f>
        <v>0.32442067736185382</v>
      </c>
      <c r="BO212" s="469">
        <f t="shared" si="534"/>
        <v>0.39612403100775195</v>
      </c>
      <c r="BP212" s="469">
        <f t="shared" si="534"/>
        <v>0.8294573643410853</v>
      </c>
      <c r="BQ212" s="144">
        <f>IF(ISERROR(BQ178/BQ$188),"",(BQ178/BQ$188))</f>
        <v>0.43987639392717992</v>
      </c>
      <c r="BR212" s="469">
        <f>IF(ISERROR(BR178/BR$188),"",(BR178/BR$188))</f>
        <v>0.28914988814317671</v>
      </c>
      <c r="BS212" s="469">
        <f t="shared" ref="BS212" si="536">IF(ISERROR(BS178/BS$188),"",(BS178/BS$188))</f>
        <v>-0.86396181384248205</v>
      </c>
      <c r="BT212" s="469">
        <f t="shared" ref="BT212:BU212" si="537">IF(ISERROR(BT178/BT$188),"",(BT178/BT$188))</f>
        <v>0.24715162138475022</v>
      </c>
      <c r="BU212" s="469">
        <f t="shared" si="537"/>
        <v>0.23957856161245991</v>
      </c>
      <c r="BV212" s="144">
        <f>IF(ISERROR(BV178/BV$188),"",(BV178/BV$188))</f>
        <v>0.33699005827905382</v>
      </c>
      <c r="BW212" s="469">
        <f t="shared" ref="BW212:BZ212" si="538">IF(ISERROR(BW178/BW$188),"",(BW178/BW$188))</f>
        <v>0.24886672710788757</v>
      </c>
      <c r="BX212" s="469">
        <f t="shared" si="538"/>
        <v>0.24268774703557311</v>
      </c>
      <c r="BY212" s="469">
        <f t="shared" si="538"/>
        <v>0.18479087452471482</v>
      </c>
      <c r="BZ212" s="469">
        <f t="shared" si="538"/>
        <v>0.18267293485560779</v>
      </c>
      <c r="CA212" s="144">
        <f>IF(ISERROR(CA178/CA$188),"",(CA178/CA$188))</f>
        <v>0.21200696055684454</v>
      </c>
      <c r="CB212" s="469">
        <f t="shared" ref="CB212:CE212" si="539">IF(ISERROR(CB178/CB$188),"",(CB178/CB$188))</f>
        <v>0.26330434782608697</v>
      </c>
      <c r="CC212" s="469">
        <f t="shared" si="539"/>
        <v>0.13874538745387455</v>
      </c>
      <c r="CD212" s="469">
        <f t="shared" si="539"/>
        <v>-0.11091154018859452</v>
      </c>
      <c r="CE212" s="469">
        <f t="shared" si="539"/>
        <v>0.18467065868263474</v>
      </c>
      <c r="CF212" s="144">
        <f t="shared" ref="CF212:CJ213" si="540">IF(ISERROR(CF178/CF$188),"",(CF178/CF$188))</f>
        <v>0.13823308584299657</v>
      </c>
      <c r="CG212" s="469">
        <f t="shared" si="540"/>
        <v>0.36042553191489363</v>
      </c>
      <c r="CH212" s="469">
        <f t="shared" si="540"/>
        <v>-0.28846153846153844</v>
      </c>
      <c r="CI212" s="469">
        <f t="shared" si="540"/>
        <v>0.59888800635424944</v>
      </c>
      <c r="CJ212" s="469">
        <f t="shared" si="540"/>
        <v>-1.4065335753176044E-2</v>
      </c>
      <c r="CK212" s="144">
        <f t="shared" ref="CK212:CO212" si="541">IF(ISERROR(CK178/CK$188),"",(CK178/CK$188))</f>
        <v>-1.32</v>
      </c>
      <c r="CL212" s="469">
        <f t="shared" si="541"/>
        <v>0.14116777531411678</v>
      </c>
      <c r="CM212" s="469">
        <f t="shared" si="541"/>
        <v>-0.20242914979757085</v>
      </c>
      <c r="CN212" s="469">
        <f t="shared" si="541"/>
        <v>-1.5660847880299251</v>
      </c>
      <c r="CO212" s="469">
        <f t="shared" si="541"/>
        <v>-6.236799602435085E-2</v>
      </c>
      <c r="CP212" s="144">
        <f t="shared" ref="CP212:CT212" si="542">IF(ISERROR(CP178/CP$188),"",(CP178/CP$188))</f>
        <v>-0.12054515547896921</v>
      </c>
      <c r="CQ212" s="469">
        <f t="shared" si="542"/>
        <v>-4.8795180722891569</v>
      </c>
      <c r="CR212" s="469">
        <f t="shared" si="542"/>
        <v>0.93646138807429125</v>
      </c>
      <c r="CS212" s="469">
        <f t="shared" si="542"/>
        <v>1.3252279635258359</v>
      </c>
      <c r="CT212" s="469">
        <f t="shared" si="542"/>
        <v>6.1136418125149847E-2</v>
      </c>
      <c r="CU212" s="144">
        <f t="shared" ref="CU212:CV212" si="543">IF(ISERROR(CU178/CU$188),"",(CU178/CU$188))</f>
        <v>-0.53204686423156444</v>
      </c>
      <c r="CV212" s="469">
        <f t="shared" si="543"/>
        <v>0.79469632164242943</v>
      </c>
      <c r="CW212" s="469">
        <f t="shared" ref="CW212:DD215" si="544">IF(ISERROR(CW178/CW$188),"",(CW178/CW$188))</f>
        <v>9.1731266149870802E-2</v>
      </c>
      <c r="CX212" s="469">
        <f t="shared" si="544"/>
        <v>0.99964272954626654</v>
      </c>
      <c r="CY212" s="469">
        <f t="shared" si="544"/>
        <v>-0.31728045325779036</v>
      </c>
      <c r="CZ212" s="144">
        <f t="shared" si="544"/>
        <v>0.99915421482943334</v>
      </c>
      <c r="DA212" s="469">
        <f t="shared" si="544"/>
        <v>1.4228187919463087</v>
      </c>
      <c r="DB212" s="469">
        <f t="shared" ref="DB212:DE212" si="545">IF(ISERROR(DB178/DB$188),"",(DB178/DB$188))</f>
        <v>5.3232323232323235</v>
      </c>
      <c r="DC212" s="469">
        <f t="shared" si="545"/>
        <v>1.1435643564356435</v>
      </c>
      <c r="DD212" s="469">
        <f t="shared" si="545"/>
        <v>-0.35689045936395758</v>
      </c>
      <c r="DE212" s="144">
        <f t="shared" si="545"/>
        <v>2.2820181112548514</v>
      </c>
      <c r="DF212" s="469">
        <f t="shared" ref="DF212:DI212" si="546">IF(ISERROR(DF178/DF$188),"",(DF178/DF$188))</f>
        <v>-1.7558139534883721</v>
      </c>
      <c r="DG212" s="469">
        <f t="shared" si="546"/>
        <v>0.83761467889908259</v>
      </c>
      <c r="DH212" s="469">
        <f t="shared" si="546"/>
        <v>0.41381704565179656</v>
      </c>
      <c r="DI212" s="469">
        <f t="shared" si="546"/>
        <v>0.60132625994694955</v>
      </c>
      <c r="DJ212" s="144">
        <f t="shared" ref="DJ212:DN212" si="547">IF(ISERROR(DJ178/DJ$188),"",(DJ178/DJ$188))</f>
        <v>0.50555711216960864</v>
      </c>
      <c r="DK212" s="469">
        <f t="shared" si="547"/>
        <v>0.33622559652928419</v>
      </c>
      <c r="DL212" s="469">
        <f t="shared" si="547"/>
        <v>-0.625</v>
      </c>
      <c r="DM212" s="469">
        <f t="shared" si="547"/>
        <v>-2.3844384020079483E-2</v>
      </c>
      <c r="DN212" s="469">
        <f t="shared" si="547"/>
        <v>-5.7764612054232653E-2</v>
      </c>
      <c r="DO212" s="144">
        <f t="shared" ref="DO212:DS212" si="548">IF(ISERROR(DO178/DO$188),"",(DO178/DO$188))</f>
        <v>-2.9899556178462974E-2</v>
      </c>
      <c r="DP212" s="469">
        <f t="shared" si="548"/>
        <v>0.5200892857142857</v>
      </c>
      <c r="DQ212" s="469">
        <f t="shared" si="548"/>
        <v>-9.6153846153846159E-2</v>
      </c>
      <c r="DR212" s="469">
        <f t="shared" si="548"/>
        <v>0.37163511363570539</v>
      </c>
      <c r="DS212" s="469">
        <f t="shared" si="548"/>
        <v>0.29508375455434499</v>
      </c>
      <c r="DT212" s="144">
        <f t="shared" ref="DT212:DX215" si="549">IF(ISERROR(DT178/DT$188),"",(DT178/DT$188))</f>
        <v>0.33350856579578014</v>
      </c>
      <c r="DU212" s="469">
        <f t="shared" si="549"/>
        <v>0.4143398953005436</v>
      </c>
      <c r="DV212" s="469">
        <f t="shared" si="549"/>
        <v>0.28160164658388648</v>
      </c>
      <c r="DW212" s="469">
        <f t="shared" si="549"/>
        <v>0.23858215075536235</v>
      </c>
      <c r="DX212" s="469">
        <f t="shared" si="549"/>
        <v>0.2367209018593826</v>
      </c>
      <c r="DY212" s="144">
        <f t="shared" ref="DY212:DY215" si="550">IF(ISERROR(DY178/DY$188),"",(DY178/DY$188))</f>
        <v>0.26513959090211597</v>
      </c>
      <c r="DZ212" s="144">
        <f t="shared" ref="DZ212:EB212" si="551">IF(ISERROR(DZ178/DZ$188),"",(DZ178/DZ$188))</f>
        <v>0.23215848993973129</v>
      </c>
      <c r="EA212" s="144">
        <f t="shared" si="551"/>
        <v>0.21237112426403348</v>
      </c>
      <c r="EB212" s="144">
        <f t="shared" si="551"/>
        <v>0.18196980978437857</v>
      </c>
    </row>
    <row r="213" spans="2:132" s="241" customFormat="1" ht="12" customHeight="1">
      <c r="B213" s="121" t="s">
        <v>575</v>
      </c>
      <c r="C213" s="301"/>
      <c r="D213" s="301"/>
      <c r="E213" s="301"/>
      <c r="F213" s="301"/>
      <c r="G213" s="301"/>
      <c r="H213" s="301"/>
      <c r="I213" s="301"/>
      <c r="J213" s="302"/>
      <c r="K213" s="302"/>
      <c r="L213" s="302"/>
      <c r="M213" s="302"/>
      <c r="N213" s="301"/>
      <c r="O213" s="302"/>
      <c r="P213" s="302"/>
      <c r="Q213" s="302"/>
      <c r="R213" s="302"/>
      <c r="S213" s="301"/>
      <c r="T213" s="302"/>
      <c r="U213" s="302"/>
      <c r="V213" s="302"/>
      <c r="W213" s="302"/>
      <c r="X213" s="301"/>
      <c r="Y213" s="302"/>
      <c r="Z213" s="302"/>
      <c r="AA213" s="302"/>
      <c r="AB213" s="302"/>
      <c r="AC213" s="301"/>
      <c r="AD213" s="302"/>
      <c r="AE213" s="302"/>
      <c r="AF213" s="302"/>
      <c r="AG213" s="302"/>
      <c r="AH213" s="301"/>
      <c r="AI213" s="302"/>
      <c r="AJ213" s="302"/>
      <c r="AK213" s="302"/>
      <c r="AL213" s="302"/>
      <c r="AM213" s="301"/>
      <c r="AN213" s="302"/>
      <c r="AO213" s="302"/>
      <c r="AP213" s="302"/>
      <c r="AQ213" s="302"/>
      <c r="AR213" s="301"/>
      <c r="AS213" s="302"/>
      <c r="AT213" s="302"/>
      <c r="AU213" s="302"/>
      <c r="AV213" s="302"/>
      <c r="AW213" s="301"/>
      <c r="AX213" s="302"/>
      <c r="AY213" s="302"/>
      <c r="AZ213" s="302"/>
      <c r="BA213" s="302"/>
      <c r="BB213" s="301"/>
      <c r="BC213" s="302"/>
      <c r="BD213" s="302"/>
      <c r="BE213" s="302"/>
      <c r="BF213" s="302"/>
      <c r="BG213" s="301"/>
      <c r="BH213" s="469"/>
      <c r="BI213" s="469"/>
      <c r="BJ213" s="469"/>
      <c r="BK213" s="469"/>
      <c r="BL213" s="144"/>
      <c r="BM213" s="469"/>
      <c r="BN213" s="469"/>
      <c r="BO213" s="469"/>
      <c r="BP213" s="469"/>
      <c r="BQ213" s="144"/>
      <c r="BR213" s="469">
        <f>IF(ISERROR(BR179/BR$188),"",(BR179/BR$188))</f>
        <v>0.30536912751677853</v>
      </c>
      <c r="BS213" s="469">
        <f>IF(ISERROR(BS179/BS$188),"",(BS179/BS$188))</f>
        <v>-1.2863961813842482</v>
      </c>
      <c r="BT213" s="469">
        <f>IF(ISERROR(BT179/BT$188),"",(BT179/BT$188))</f>
        <v>0.22962313759859773</v>
      </c>
      <c r="BU213" s="469">
        <f>IF(ISERROR(BU179/BU$188),"",(BU179/BU$188))</f>
        <v>0.26019239578561615</v>
      </c>
      <c r="BV213" s="144">
        <f>IF(ISERROR(BV179/BV$188),"",(BV179/BV$188))</f>
        <v>0.37315735344532053</v>
      </c>
      <c r="BW213" s="469">
        <f>IF(ISERROR(BW179/BW$188),"",(BW179/BW$188))</f>
        <v>0.28241160471441523</v>
      </c>
      <c r="BX213" s="469">
        <f>IF(ISERROR(BX179/BX$188),"",(BX179/BX$188))</f>
        <v>0.22490118577075099</v>
      </c>
      <c r="BY213" s="469">
        <f>IF(ISERROR(BY179/BY$188),"",(BY179/BY$188))</f>
        <v>0.18821292775665399</v>
      </c>
      <c r="BZ213" s="469">
        <f>IF(ISERROR(BZ179/BZ$188),"",(BZ179/BZ$188))</f>
        <v>0.18770987239758227</v>
      </c>
      <c r="CA213" s="144">
        <f>IF(ISERROR(CA179/CA$188),"",(CA179/CA$188))</f>
        <v>0.2171307037896365</v>
      </c>
      <c r="CB213" s="469">
        <f>IF(ISERROR(CB179/CB$188),"",(CB179/CB$188))</f>
        <v>0.22504347826086957</v>
      </c>
      <c r="CC213" s="469">
        <f>IF(ISERROR(CC179/CC$188),"",(CC179/CC$188))</f>
        <v>0.22287822878228783</v>
      </c>
      <c r="CD213" s="469">
        <f>IF(ISERROR(CD179/CD$188),"",(CD179/CD$188))</f>
        <v>0.24607094746295466</v>
      </c>
      <c r="CE213" s="469">
        <f>IF(ISERROR(CE179/CE$188),"",(CE179/CE$188))</f>
        <v>0.17652694610778444</v>
      </c>
      <c r="CF213" s="144">
        <f t="shared" si="540"/>
        <v>0.21156252606990908</v>
      </c>
      <c r="CG213" s="469">
        <f t="shared" si="540"/>
        <v>0.27787234042553194</v>
      </c>
      <c r="CH213" s="469">
        <f t="shared" si="540"/>
        <v>-0.20325443786982247</v>
      </c>
      <c r="CI213" s="469">
        <f t="shared" si="540"/>
        <v>0.53455123113582204</v>
      </c>
      <c r="CJ213" s="469">
        <f t="shared" si="540"/>
        <v>-0.31034482758620691</v>
      </c>
      <c r="CK213" s="144">
        <f t="shared" ref="CK213:CO213" si="552">IF(ISERROR(CK179/CK$188),"",(CK179/CK$188))</f>
        <v>-1.3655696202531646</v>
      </c>
      <c r="CL213" s="469">
        <f t="shared" si="552"/>
        <v>-0.52328159645232819</v>
      </c>
      <c r="CM213" s="469">
        <f t="shared" si="552"/>
        <v>0.22672064777327935</v>
      </c>
      <c r="CN213" s="469">
        <f t="shared" si="552"/>
        <v>-0.67581047381546133</v>
      </c>
      <c r="CO213" s="469">
        <f t="shared" si="552"/>
        <v>-1.7766182134426638E-2</v>
      </c>
      <c r="CP213" s="144">
        <f t="shared" ref="CP213:CT213" si="553">IF(ISERROR(CP179/CP$188),"",(CP179/CP$188))</f>
        <v>-3.524712148507872E-2</v>
      </c>
      <c r="CQ213" s="469">
        <f t="shared" si="553"/>
        <v>-5.3132530120481931</v>
      </c>
      <c r="CR213" s="469">
        <f t="shared" si="553"/>
        <v>0.51906158357771259</v>
      </c>
      <c r="CS213" s="469">
        <f t="shared" si="553"/>
        <v>1.9574468085106382</v>
      </c>
      <c r="CT213" s="469">
        <f t="shared" si="553"/>
        <v>-9.6140014385039566E-2</v>
      </c>
      <c r="CU213" s="144">
        <f t="shared" ref="CU213:CV213" si="554">IF(ISERROR(CU179/CU$188),"",(CU179/CU$188))</f>
        <v>-0.69503790489317707</v>
      </c>
      <c r="CV213" s="469">
        <f t="shared" si="554"/>
        <v>-0.54063301967493582</v>
      </c>
      <c r="CW213" s="469">
        <f t="shared" ref="CW213:CY213" si="555">IF(ISERROR(CW179/CW$188),"",(CW179/CW$188))</f>
        <v>0.94056847545219635</v>
      </c>
      <c r="CX213" s="469">
        <f t="shared" si="555"/>
        <v>-0.26187924258663808</v>
      </c>
      <c r="CY213" s="469">
        <f t="shared" si="555"/>
        <v>-1.7960339943342776</v>
      </c>
      <c r="CZ213" s="144">
        <f t="shared" si="544"/>
        <v>-0.76881872004510854</v>
      </c>
      <c r="DA213" s="469">
        <f t="shared" si="544"/>
        <v>-5.6845637583892614</v>
      </c>
      <c r="DB213" s="469">
        <f t="shared" si="544"/>
        <v>-8.6464646464646471</v>
      </c>
      <c r="DC213" s="469">
        <f t="shared" si="544"/>
        <v>-0.97029702970297027</v>
      </c>
      <c r="DD213" s="469">
        <f t="shared" si="544"/>
        <v>2.9752650176678443</v>
      </c>
      <c r="DE213" s="144">
        <f t="shared" ref="DE213:DI213" si="556">IF(ISERROR(DE179/DE$188),"",(DE179/DE$188))</f>
        <v>-4.3065976714100902</v>
      </c>
      <c r="DF213" s="469">
        <f t="shared" si="556"/>
        <v>-10.651162790697674</v>
      </c>
      <c r="DG213" s="469">
        <f t="shared" si="556"/>
        <v>-0.79816513761467889</v>
      </c>
      <c r="DH213" s="469">
        <f t="shared" si="556"/>
        <v>-0.14476653358791877</v>
      </c>
      <c r="DI213" s="469">
        <f t="shared" si="556"/>
        <v>-0.2647214854111406</v>
      </c>
      <c r="DJ213" s="144">
        <f t="shared" ref="DJ213:DN213" si="557">IF(ISERROR(DJ179/DJ$188),"",(DJ179/DJ$188))</f>
        <v>-0.33790977864948163</v>
      </c>
      <c r="DK213" s="469">
        <f t="shared" si="557"/>
        <v>2.0455531453362257</v>
      </c>
      <c r="DL213" s="469">
        <f t="shared" si="557"/>
        <v>-5.9602272727272725</v>
      </c>
      <c r="DM213" s="469">
        <f t="shared" si="557"/>
        <v>-0.19619326500732065</v>
      </c>
      <c r="DN213" s="469">
        <f t="shared" si="557"/>
        <v>1.2013216360943375</v>
      </c>
      <c r="DO213" s="144">
        <f t="shared" ref="DO213:DS213" si="558">IF(ISERROR(DO179/DO$188),"",(DO179/DO$188))</f>
        <v>3.1473954683485168</v>
      </c>
      <c r="DP213" s="469">
        <f t="shared" si="558"/>
        <v>2.1674107142857144</v>
      </c>
      <c r="DQ213" s="469">
        <f t="shared" si="558"/>
        <v>6.2051282051282053</v>
      </c>
      <c r="DR213" s="469">
        <f t="shared" si="558"/>
        <v>1.7849125449771324</v>
      </c>
      <c r="DS213" s="469">
        <f t="shared" si="558"/>
        <v>1.0527924194406035</v>
      </c>
      <c r="DT213" s="144">
        <f t="shared" ref="DT213" si="559">IF(ISERROR(DT179/DT$188),"",(DT179/DT$188))</f>
        <v>1.8530966254609897</v>
      </c>
      <c r="DU213" s="469">
        <f t="shared" si="549"/>
        <v>1.6463613132773294</v>
      </c>
      <c r="DV213" s="469">
        <f t="shared" si="549"/>
        <v>0.79471434402963081</v>
      </c>
      <c r="DW213" s="469">
        <f t="shared" si="549"/>
        <v>0.6088897695023755</v>
      </c>
      <c r="DX213" s="469">
        <f t="shared" si="549"/>
        <v>0.4915110364753501</v>
      </c>
      <c r="DY213" s="144">
        <f t="shared" si="550"/>
        <v>0.71083836613557549</v>
      </c>
      <c r="DZ213" s="144">
        <f t="shared" ref="DZ213:EB213" si="560">IF(ISERROR(DZ179/DZ$188),"",(DZ179/DZ$188))</f>
        <v>0.44474438976814151</v>
      </c>
      <c r="EA213" s="144">
        <f t="shared" si="560"/>
        <v>0.32623756100920703</v>
      </c>
      <c r="EB213" s="144">
        <f t="shared" si="560"/>
        <v>0.25852614155098369</v>
      </c>
    </row>
    <row r="214" spans="2:132" s="241" customFormat="1" ht="12" customHeight="1">
      <c r="B214" s="241" t="s">
        <v>144</v>
      </c>
      <c r="C214" s="301">
        <f t="shared" ref="C214:H215" si="561">IF(ISERROR(C180/C$188),"",(C180/C$188))</f>
        <v>-1.0732394366197182</v>
      </c>
      <c r="D214" s="301">
        <f t="shared" si="561"/>
        <v>0.23420548819400128</v>
      </c>
      <c r="E214" s="301">
        <f t="shared" si="561"/>
        <v>0.15520504731861198</v>
      </c>
      <c r="F214" s="301">
        <f t="shared" si="561"/>
        <v>0.16154349247874428</v>
      </c>
      <c r="G214" s="301">
        <f t="shared" si="561"/>
        <v>0.15297741273100615</v>
      </c>
      <c r="H214" s="301">
        <f t="shared" si="561"/>
        <v>0.12461220268872802</v>
      </c>
      <c r="I214" s="301">
        <f t="shared" ref="I214:AN214" si="562">IF(ISERROR(I180/I$188),"",(I180/I$188))</f>
        <v>0.31848552338530067</v>
      </c>
      <c r="J214" s="242">
        <f t="shared" si="562"/>
        <v>0.10381861575178998</v>
      </c>
      <c r="K214" s="242">
        <f t="shared" si="562"/>
        <v>2.3291925465838508E-2</v>
      </c>
      <c r="L214" s="242">
        <f t="shared" si="562"/>
        <v>0.11741682974559686</v>
      </c>
      <c r="M214" s="242">
        <f t="shared" si="562"/>
        <v>1.5</v>
      </c>
      <c r="N214" s="301">
        <f t="shared" si="562"/>
        <v>9.1180866965620333E-2</v>
      </c>
      <c r="O214" s="242">
        <f t="shared" si="562"/>
        <v>6.3953488372093026E-2</v>
      </c>
      <c r="P214" s="242">
        <f t="shared" si="562"/>
        <v>0.13827160493827159</v>
      </c>
      <c r="Q214" s="242">
        <f t="shared" si="562"/>
        <v>3.669724770642202E-2</v>
      </c>
      <c r="R214" s="242">
        <f t="shared" si="562"/>
        <v>8.7114337568058073E-2</v>
      </c>
      <c r="S214" s="301">
        <f t="shared" si="562"/>
        <v>8.2503556187766711E-2</v>
      </c>
      <c r="T214" s="242">
        <f t="shared" si="562"/>
        <v>7.2992700729927001E-2</v>
      </c>
      <c r="U214" s="242">
        <f t="shared" si="562"/>
        <v>0.11854684512428298</v>
      </c>
      <c r="V214" s="242">
        <f t="shared" si="562"/>
        <v>0.12828601472134596</v>
      </c>
      <c r="W214" s="242">
        <f t="shared" si="562"/>
        <v>3.2118055555555552E-2</v>
      </c>
      <c r="X214" s="301">
        <f t="shared" si="562"/>
        <v>8.117154811715481E-2</v>
      </c>
      <c r="Y214" s="242">
        <f t="shared" si="562"/>
        <v>5.5767761650114593E-2</v>
      </c>
      <c r="Z214" s="242">
        <f t="shared" si="562"/>
        <v>4.6480743691899071E-2</v>
      </c>
      <c r="AA214" s="242">
        <f t="shared" si="562"/>
        <v>4.0693795863909275E-2</v>
      </c>
      <c r="AB214" s="242">
        <f t="shared" si="562"/>
        <v>1.9788918205804751E-2</v>
      </c>
      <c r="AC214" s="301">
        <f t="shared" si="562"/>
        <v>4.0137221269296738E-2</v>
      </c>
      <c r="AD214" s="242">
        <f t="shared" si="562"/>
        <v>3.3907726514730403E-2</v>
      </c>
      <c r="AE214" s="242">
        <f t="shared" si="562"/>
        <v>3.6086607858861267E-2</v>
      </c>
      <c r="AF214" s="242">
        <f t="shared" si="562"/>
        <v>3.2258064516129031E-2</v>
      </c>
      <c r="AG214" s="242">
        <f t="shared" si="562"/>
        <v>-7.8189300411522639E-2</v>
      </c>
      <c r="AH214" s="301">
        <f t="shared" si="562"/>
        <v>4.1012658227848102E-2</v>
      </c>
      <c r="AI214" s="242">
        <f t="shared" si="562"/>
        <v>3.6097560975609753E-2</v>
      </c>
      <c r="AJ214" s="242">
        <f t="shared" si="562"/>
        <v>2.354480052321779E-2</v>
      </c>
      <c r="AK214" s="242">
        <f t="shared" si="562"/>
        <v>-1.813110181311018E-2</v>
      </c>
      <c r="AL214" s="242">
        <f t="shared" si="562"/>
        <v>8.2693443591258121E-3</v>
      </c>
      <c r="AM214" s="301">
        <f t="shared" si="562"/>
        <v>6.0114503816793896E-2</v>
      </c>
      <c r="AN214" s="242">
        <f t="shared" si="562"/>
        <v>3.9182282793867124E-2</v>
      </c>
      <c r="AO214" s="242">
        <f t="shared" ref="AO214:BL214" si="563">IF(ISERROR(AO180/AO$188),"",(AO180/AO$188))</f>
        <v>4.2081101759755164E-2</v>
      </c>
      <c r="AP214" s="242">
        <f t="shared" si="563"/>
        <v>3.2444124008651765E-2</v>
      </c>
      <c r="AQ214" s="242">
        <f t="shared" si="563"/>
        <v>5.4397098821396192E-3</v>
      </c>
      <c r="AR214" s="301">
        <f t="shared" si="563"/>
        <v>3.0577348622007644E-2</v>
      </c>
      <c r="AS214" s="242">
        <f t="shared" si="563"/>
        <v>5.1999999999999998E-2</v>
      </c>
      <c r="AT214" s="242">
        <f t="shared" si="563"/>
        <v>4.0417209908735333E-2</v>
      </c>
      <c r="AU214" s="242">
        <f t="shared" si="563"/>
        <v>1.1085180863477246E-2</v>
      </c>
      <c r="AV214" s="242">
        <f t="shared" si="563"/>
        <v>-5.0093926111458983E-3</v>
      </c>
      <c r="AW214" s="301">
        <f t="shared" si="563"/>
        <v>2.1385799828913601E-2</v>
      </c>
      <c r="AX214" s="242">
        <f t="shared" si="563"/>
        <v>2.4203821656050957E-2</v>
      </c>
      <c r="AY214" s="242">
        <f t="shared" si="563"/>
        <v>2.0025839793281652E-2</v>
      </c>
      <c r="AZ214" s="242">
        <f t="shared" si="563"/>
        <v>2.1099744245524295E-2</v>
      </c>
      <c r="BA214" s="242">
        <f t="shared" si="563"/>
        <v>-1.2277470841006752E-2</v>
      </c>
      <c r="BB214" s="301">
        <f t="shared" si="563"/>
        <v>1.299318649976232E-2</v>
      </c>
      <c r="BC214" s="242">
        <f t="shared" si="563"/>
        <v>2.8795811518324606E-2</v>
      </c>
      <c r="BD214" s="242">
        <f t="shared" si="563"/>
        <v>1.1072261072261072E-2</v>
      </c>
      <c r="BE214" s="242">
        <f t="shared" si="563"/>
        <v>1.9412090959511925E-2</v>
      </c>
      <c r="BF214" s="242">
        <f t="shared" si="563"/>
        <v>5.9394179370421702E-3</v>
      </c>
      <c r="BG214" s="301">
        <f t="shared" si="563"/>
        <v>1.6305258826935679E-2</v>
      </c>
      <c r="BH214" s="145">
        <f t="shared" si="563"/>
        <v>2.8534370946822308E-2</v>
      </c>
      <c r="BI214" s="145">
        <f t="shared" si="563"/>
        <v>1.8466703973139341E-2</v>
      </c>
      <c r="BJ214" s="145">
        <f t="shared" si="563"/>
        <v>-5.1911278905143934E-3</v>
      </c>
      <c r="BK214" s="145">
        <f t="shared" si="563"/>
        <v>1.2839506172839505E-2</v>
      </c>
      <c r="BL214" s="144">
        <f t="shared" si="563"/>
        <v>1.231098621704804E-2</v>
      </c>
      <c r="BM214" s="145">
        <f>IF(ISERROR(BM180/BM$188),"",(BM180/BM$188))</f>
        <v>9.9058940069341253E-3</v>
      </c>
      <c r="BN214" s="145">
        <f t="shared" ref="BN214" si="564">IF(ISERROR(BN180/BN$188),"",(BN180/BN$188))</f>
        <v>6.5359477124183009E-3</v>
      </c>
      <c r="BO214" s="145">
        <f>IF(ISERROR(BO180/BO$188),"",(BO180/BO$188))</f>
        <v>3.875968992248062E-3</v>
      </c>
      <c r="BP214" s="145">
        <f>IF(ISERROR(BP180/BP$188),"",(BP180/BP$188))</f>
        <v>7.7519379844961239E-3</v>
      </c>
      <c r="BQ214" s="144">
        <f t="shared" ref="BQ214:BS214" si="565">IF(ISERROR(BQ180/BQ$188),"",(BQ180/BQ$188))</f>
        <v>6.7177213489184465E-3</v>
      </c>
      <c r="BR214" s="145">
        <f t="shared" si="565"/>
        <v>2.7964205816554811E-3</v>
      </c>
      <c r="BS214" s="145">
        <f t="shared" si="565"/>
        <v>-4.2959427207637228E-2</v>
      </c>
      <c r="BT214" s="145">
        <f t="shared" ref="BT214:BX214" si="566">IF(ISERROR(BT180/BT$188),"",(BT180/BT$188))</f>
        <v>5.6967572304995615E-3</v>
      </c>
      <c r="BU214" s="145">
        <f t="shared" si="566"/>
        <v>1.0535959688502062E-2</v>
      </c>
      <c r="BV214" s="144">
        <f t="shared" si="566"/>
        <v>1.0113129928008228E-2</v>
      </c>
      <c r="BW214" s="145">
        <f t="shared" si="566"/>
        <v>1.7679057116953764E-2</v>
      </c>
      <c r="BX214" s="145">
        <f t="shared" si="566"/>
        <v>9.881422924901186E-3</v>
      </c>
      <c r="BY214" s="145">
        <f t="shared" ref="BY214:CA214" si="567">IF(ISERROR(BY180/BY$188),"",(BY180/BY$188))</f>
        <v>8.7452471482889742E-3</v>
      </c>
      <c r="BZ214" s="145">
        <f t="shared" si="567"/>
        <v>9.0664875755540626E-3</v>
      </c>
      <c r="CA214" s="144">
        <f t="shared" si="567"/>
        <v>1.1020881670533642E-2</v>
      </c>
      <c r="CB214" s="145">
        <f t="shared" ref="CB214:CE214" si="568">IF(ISERROR(CB180/CB$188),"",(CB180/CB$188))</f>
        <v>6.956521739130435E-3</v>
      </c>
      <c r="CC214" s="145">
        <f t="shared" si="568"/>
        <v>8.8560885608856086E-3</v>
      </c>
      <c r="CD214" s="145">
        <f t="shared" si="568"/>
        <v>1.2123933542882801E-2</v>
      </c>
      <c r="CE214" s="145">
        <f t="shared" si="568"/>
        <v>1.9161676646706587E-3</v>
      </c>
      <c r="CF214" s="144">
        <f>IF(ISERROR(CF180/CF$188),"",(CF180/CF$188))</f>
        <v>6.5904730124301328E-3</v>
      </c>
      <c r="CG214" s="145">
        <f t="shared" ref="CG214:CJ214" si="569">IF(ISERROR(CG180/CG$188),"",(CG180/CG$188))</f>
        <v>8.5106382978723406E-3</v>
      </c>
      <c r="CH214" s="145">
        <f t="shared" si="569"/>
        <v>-1.0946745562130178E-2</v>
      </c>
      <c r="CI214" s="145">
        <f t="shared" si="569"/>
        <v>2.3034154090548053E-2</v>
      </c>
      <c r="CJ214" s="145">
        <f t="shared" si="569"/>
        <v>2.6315789473684209E-2</v>
      </c>
      <c r="CK214" s="144">
        <f>IF(ISERROR(CK180/CK$188),"",(CK180/CK$188))</f>
        <v>-1.4177215189873417E-2</v>
      </c>
      <c r="CL214" s="145">
        <f t="shared" ref="CL214:CO214" si="570">IF(ISERROR(CL180/CL$188),"",(CL180/CL$188))</f>
        <v>-1.7738359201773836E-2</v>
      </c>
      <c r="CM214" s="145">
        <f t="shared" si="570"/>
        <v>2.3616734143049934E-3</v>
      </c>
      <c r="CN214" s="145">
        <f t="shared" si="570"/>
        <v>-7.4812967581047385E-2</v>
      </c>
      <c r="CO214" s="145">
        <f t="shared" si="570"/>
        <v>-1.987824574481302E-3</v>
      </c>
      <c r="CP214" s="144">
        <f>IF(ISERROR(CP180/CP$188),"",(CP180/CP$188))</f>
        <v>-4.9345970079110206E-3</v>
      </c>
      <c r="CQ214" s="145">
        <f t="shared" ref="CQ214:CT214" si="571">IF(ISERROR(CQ180/CQ$188),"",(CQ180/CQ$188))</f>
        <v>-0.25301204819277107</v>
      </c>
      <c r="CR214" s="145">
        <f t="shared" si="571"/>
        <v>3.519061583577713E-2</v>
      </c>
      <c r="CS214" s="145">
        <f t="shared" si="571"/>
        <v>0.1276595744680851</v>
      </c>
      <c r="CT214" s="145">
        <f t="shared" si="571"/>
        <v>-1.6782546152001919E-3</v>
      </c>
      <c r="CU214" s="144">
        <f>IF(ISERROR(CU180/CU$188),"",(CU180/CU$188))</f>
        <v>-3.6526533425223981E-2</v>
      </c>
      <c r="CV214" s="145">
        <f t="shared" ref="CV214" si="572">IF(ISERROR(CV180/CV$188),"",(CV180/CV$188))</f>
        <v>3.0795551753635585E-2</v>
      </c>
      <c r="CW214" s="145">
        <f t="shared" ref="CW214:CY214" si="573">IF(ISERROR(CW180/CW$188),"",(CW180/CW$188))</f>
        <v>3.4883720930232558E-2</v>
      </c>
      <c r="CX214" s="145">
        <f t="shared" si="573"/>
        <v>-8.2172204358699538E-3</v>
      </c>
      <c r="CY214" s="145">
        <f t="shared" si="573"/>
        <v>-4.2492917847025496E-2</v>
      </c>
      <c r="CZ214" s="144">
        <f>IF(ISERROR(CZ180/CZ$188),"",(CZ180/CZ$188))</f>
        <v>-8.1759233154778694E-3</v>
      </c>
      <c r="DA214" s="145">
        <f t="shared" si="544"/>
        <v>0</v>
      </c>
      <c r="DB214" s="145">
        <f t="shared" si="544"/>
        <v>0</v>
      </c>
      <c r="DC214" s="145">
        <f t="shared" si="544"/>
        <v>0</v>
      </c>
      <c r="DD214" s="145">
        <f t="shared" si="544"/>
        <v>0</v>
      </c>
      <c r="DE214" s="144">
        <f>IF(ISERROR(DE180/DE$188),"",(DE180/DE$188))</f>
        <v>0</v>
      </c>
      <c r="DF214" s="145">
        <f t="shared" ref="DF214:DI214" si="574">IF(ISERROR(DF180/DF$188),"",(DF180/DF$188))</f>
        <v>0</v>
      </c>
      <c r="DG214" s="145">
        <f t="shared" si="574"/>
        <v>0</v>
      </c>
      <c r="DH214" s="145">
        <f t="shared" si="574"/>
        <v>0</v>
      </c>
      <c r="DI214" s="145">
        <f t="shared" si="574"/>
        <v>0</v>
      </c>
      <c r="DJ214" s="144">
        <f t="shared" ref="DJ214:DN214" si="575">IF(ISERROR(DJ180/DJ$188),"",(DJ180/DJ$188))</f>
        <v>0</v>
      </c>
      <c r="DK214" s="145">
        <f t="shared" si="575"/>
        <v>0</v>
      </c>
      <c r="DL214" s="145">
        <f t="shared" si="575"/>
        <v>0</v>
      </c>
      <c r="DM214" s="145">
        <f t="shared" si="575"/>
        <v>0</v>
      </c>
      <c r="DN214" s="145">
        <f t="shared" si="575"/>
        <v>0</v>
      </c>
      <c r="DO214" s="144">
        <f t="shared" ref="DO214:DS214" si="576">IF(ISERROR(DO180/DO$188),"",(DO180/DO$188))</f>
        <v>0</v>
      </c>
      <c r="DP214" s="145">
        <f t="shared" si="576"/>
        <v>0</v>
      </c>
      <c r="DQ214" s="145">
        <f t="shared" si="576"/>
        <v>0</v>
      </c>
      <c r="DR214" s="145">
        <f t="shared" si="576"/>
        <v>0</v>
      </c>
      <c r="DS214" s="145">
        <f t="shared" si="576"/>
        <v>0</v>
      </c>
      <c r="DT214" s="144">
        <f t="shared" ref="DT214" si="577">IF(ISERROR(DT180/DT$188),"",(DT180/DT$188))</f>
        <v>0</v>
      </c>
      <c r="DU214" s="145">
        <f t="shared" si="549"/>
        <v>0</v>
      </c>
      <c r="DV214" s="145">
        <f t="shared" si="549"/>
        <v>0</v>
      </c>
      <c r="DW214" s="145">
        <f t="shared" si="549"/>
        <v>0</v>
      </c>
      <c r="DX214" s="145">
        <f t="shared" si="549"/>
        <v>0</v>
      </c>
      <c r="DY214" s="144">
        <f t="shared" si="550"/>
        <v>0</v>
      </c>
      <c r="DZ214" s="144">
        <f t="shared" ref="DZ214:EB214" si="578">IF(ISERROR(DZ180/DZ$188),"",(DZ180/DZ$188))</f>
        <v>0</v>
      </c>
      <c r="EA214" s="144">
        <f t="shared" si="578"/>
        <v>0</v>
      </c>
      <c r="EB214" s="144">
        <f t="shared" si="578"/>
        <v>0</v>
      </c>
    </row>
    <row r="215" spans="2:132" s="241" customFormat="1" ht="12" customHeight="1">
      <c r="B215" s="241" t="s">
        <v>93</v>
      </c>
      <c r="C215" s="301">
        <f t="shared" si="561"/>
        <v>0</v>
      </c>
      <c r="D215" s="301">
        <f t="shared" si="561"/>
        <v>0</v>
      </c>
      <c r="E215" s="301">
        <f t="shared" si="561"/>
        <v>0</v>
      </c>
      <c r="F215" s="301">
        <f t="shared" si="561"/>
        <v>0</v>
      </c>
      <c r="G215" s="301">
        <f t="shared" si="561"/>
        <v>-9.958932238193019E-2</v>
      </c>
      <c r="H215" s="301">
        <f t="shared" si="561"/>
        <v>-0.10961737331954498</v>
      </c>
      <c r="I215" s="301">
        <f t="shared" ref="I215:AN215" si="579">IF(ISERROR(I181/I$188),"",(I181/I$188))</f>
        <v>-0.84632516703786187</v>
      </c>
      <c r="J215" s="242">
        <f t="shared" si="579"/>
        <v>-0.12410501193317422</v>
      </c>
      <c r="K215" s="242">
        <f t="shared" si="579"/>
        <v>-0.19254658385093168</v>
      </c>
      <c r="L215" s="242">
        <f t="shared" si="579"/>
        <v>-0.28375733855185908</v>
      </c>
      <c r="M215" s="242">
        <f t="shared" si="579"/>
        <v>-11.571428571428571</v>
      </c>
      <c r="N215" s="301">
        <f t="shared" si="579"/>
        <v>-0.26656701544593919</v>
      </c>
      <c r="O215" s="242">
        <f t="shared" si="579"/>
        <v>-0.10465116279069768</v>
      </c>
      <c r="P215" s="242">
        <f t="shared" si="579"/>
        <v>-0.12962962962962962</v>
      </c>
      <c r="Q215" s="242">
        <f t="shared" si="579"/>
        <v>-0.127129750982962</v>
      </c>
      <c r="R215" s="242">
        <f t="shared" si="579"/>
        <v>-0.10889292196007259</v>
      </c>
      <c r="S215" s="301">
        <f t="shared" si="579"/>
        <v>-0.11877667140825035</v>
      </c>
      <c r="T215" s="242">
        <f t="shared" si="579"/>
        <v>-6.3607924921793541E-2</v>
      </c>
      <c r="U215" s="242">
        <f t="shared" si="579"/>
        <v>-0.17208413001912046</v>
      </c>
      <c r="V215" s="242">
        <f t="shared" si="579"/>
        <v>-0.51945320715036802</v>
      </c>
      <c r="W215" s="242">
        <f t="shared" si="579"/>
        <v>-8.0729166666666671E-2</v>
      </c>
      <c r="X215" s="301">
        <f t="shared" si="579"/>
        <v>-0.20585774058577405</v>
      </c>
      <c r="Y215" s="242">
        <f t="shared" si="579"/>
        <v>-1.5278838808250573E-3</v>
      </c>
      <c r="Z215" s="242">
        <f t="shared" si="579"/>
        <v>-1.9920318725099601E-2</v>
      </c>
      <c r="AA215" s="242">
        <f t="shared" si="579"/>
        <v>-3.0687124749833223E-2</v>
      </c>
      <c r="AB215" s="242">
        <f t="shared" si="579"/>
        <v>-0.10883905013192612</v>
      </c>
      <c r="AC215" s="301">
        <f t="shared" si="579"/>
        <v>-4.1680960548885079E-2</v>
      </c>
      <c r="AD215" s="242">
        <f t="shared" si="579"/>
        <v>-2.7793218454697052E-2</v>
      </c>
      <c r="AE215" s="242">
        <f t="shared" si="579"/>
        <v>-0.1082598235765838</v>
      </c>
      <c r="AF215" s="242">
        <f t="shared" si="579"/>
        <v>-4.1848299912816043E-2</v>
      </c>
      <c r="AG215" s="242">
        <f t="shared" si="579"/>
        <v>0.30452674897119342</v>
      </c>
      <c r="AH215" s="301">
        <f t="shared" si="579"/>
        <v>-7.7721518987341767E-2</v>
      </c>
      <c r="AI215" s="242">
        <f t="shared" si="579"/>
        <v>-2.2439024390243902E-2</v>
      </c>
      <c r="AJ215" s="242">
        <f t="shared" si="579"/>
        <v>-3.0085022890778287E-2</v>
      </c>
      <c r="AK215" s="242">
        <f t="shared" si="579"/>
        <v>1.6736401673640166E-2</v>
      </c>
      <c r="AL215" s="242">
        <f t="shared" si="579"/>
        <v>-2.7761370348493797E-2</v>
      </c>
      <c r="AM215" s="301">
        <f t="shared" si="579"/>
        <v>-7.2519083969465645E-2</v>
      </c>
      <c r="AN215" s="242">
        <f t="shared" si="579"/>
        <v>-4.2589437819420782E-2</v>
      </c>
      <c r="AO215" s="242">
        <f t="shared" ref="AO215:BL215" si="580">IF(ISERROR(AO181/AO$188),"",(AO181/AO$188))</f>
        <v>-5.5087987758224939E-2</v>
      </c>
      <c r="AP215" s="242">
        <f t="shared" si="580"/>
        <v>-9.5169430425378509E-2</v>
      </c>
      <c r="AQ215" s="242">
        <f t="shared" si="580"/>
        <v>-6.6183136899365363E-2</v>
      </c>
      <c r="AR215" s="301">
        <f t="shared" si="580"/>
        <v>-6.578153289076645E-2</v>
      </c>
      <c r="AS215" s="242">
        <f t="shared" si="580"/>
        <v>-2.1999999999999999E-2</v>
      </c>
      <c r="AT215" s="242">
        <f t="shared" si="580"/>
        <v>-3.7809647979139507E-2</v>
      </c>
      <c r="AU215" s="242">
        <f t="shared" si="580"/>
        <v>5.3675612602100353E-2</v>
      </c>
      <c r="AV215" s="242">
        <f t="shared" si="580"/>
        <v>2.6925485284909206E-2</v>
      </c>
      <c r="AW215" s="301">
        <f t="shared" si="580"/>
        <v>9.4097519247219839E-3</v>
      </c>
      <c r="AX215" s="242">
        <f t="shared" si="580"/>
        <v>-5.0318471337579621E-2</v>
      </c>
      <c r="AY215" s="242">
        <f t="shared" si="580"/>
        <v>-3.2299741602067181E-2</v>
      </c>
      <c r="AZ215" s="242">
        <f t="shared" si="580"/>
        <v>-4.7314578005115092E-2</v>
      </c>
      <c r="BA215" s="242">
        <f t="shared" si="580"/>
        <v>2.7010435850214856E-2</v>
      </c>
      <c r="BB215" s="301">
        <f t="shared" si="580"/>
        <v>-2.5194105530026937E-2</v>
      </c>
      <c r="BC215" s="242">
        <f t="shared" si="580"/>
        <v>-3.7958115183246072E-2</v>
      </c>
      <c r="BD215" s="242">
        <f t="shared" si="580"/>
        <v>-2.505827505827506E-2</v>
      </c>
      <c r="BE215" s="242">
        <f t="shared" si="580"/>
        <v>2.4403771491957847E-2</v>
      </c>
      <c r="BF215" s="242">
        <f t="shared" si="580"/>
        <v>-6.5333597307463867E-2</v>
      </c>
      <c r="BG215" s="301">
        <f t="shared" si="580"/>
        <v>-2.3772153056093138E-2</v>
      </c>
      <c r="BH215" s="145">
        <f t="shared" si="580"/>
        <v>-4.0207522697795074E-2</v>
      </c>
      <c r="BI215" s="145">
        <f t="shared" si="580"/>
        <v>-2.6860660324566313E-2</v>
      </c>
      <c r="BJ215" s="145">
        <f t="shared" si="580"/>
        <v>-8.9664936290703157E-3</v>
      </c>
      <c r="BK215" s="145">
        <f t="shared" si="580"/>
        <v>0</v>
      </c>
      <c r="BL215" s="144">
        <f t="shared" si="580"/>
        <v>-1.7262143717382578E-2</v>
      </c>
      <c r="BM215" s="145">
        <f>IF(ISERROR(BM181/BM$188),"",(BM181/BM$188))</f>
        <v>0</v>
      </c>
      <c r="BN215" s="145">
        <f t="shared" ref="BN215" si="581">IF(ISERROR(BN181/BN$188),"",(BN181/BN$188))</f>
        <v>0</v>
      </c>
      <c r="BO215" s="145">
        <f>IF(ISERROR(BO181/BO$188),"",(BO181/BO$188))</f>
        <v>-8.1395348837209301E-3</v>
      </c>
      <c r="BP215" s="145">
        <f>IF(ISERROR(BP181/BP$188),"",(BP181/BP$188))</f>
        <v>0</v>
      </c>
      <c r="BQ215" s="144">
        <f t="shared" ref="BQ215:BS215" si="582">IF(ISERROR(BQ181/BQ$188),"",(BQ181/BQ$188))</f>
        <v>-2.8214429665457475E-3</v>
      </c>
      <c r="BR215" s="145">
        <f t="shared" si="582"/>
        <v>0</v>
      </c>
      <c r="BS215" s="145">
        <f t="shared" si="582"/>
        <v>0</v>
      </c>
      <c r="BT215" s="145">
        <f t="shared" ref="BT215:BX215" si="583">IF(ISERROR(BT181/BT$188),"",(BT181/BT$188))</f>
        <v>0</v>
      </c>
      <c r="BU215" s="145">
        <f t="shared" si="583"/>
        <v>0</v>
      </c>
      <c r="BV215" s="144">
        <f t="shared" si="583"/>
        <v>0</v>
      </c>
      <c r="BW215" s="145">
        <f t="shared" si="583"/>
        <v>0</v>
      </c>
      <c r="BX215" s="145">
        <f t="shared" si="583"/>
        <v>0</v>
      </c>
      <c r="BY215" s="145">
        <f t="shared" ref="BY215:CA215" si="584">IF(ISERROR(BY181/BY$188),"",(BY181/BY$188))</f>
        <v>0</v>
      </c>
      <c r="BZ215" s="145">
        <f t="shared" si="584"/>
        <v>0</v>
      </c>
      <c r="CA215" s="144">
        <f t="shared" si="584"/>
        <v>0</v>
      </c>
      <c r="CB215" s="145">
        <f t="shared" ref="CB215:CE215" si="585">IF(ISERROR(CB181/CB$188),"",(CB181/CB$188))</f>
        <v>0</v>
      </c>
      <c r="CC215" s="145">
        <f t="shared" si="585"/>
        <v>0</v>
      </c>
      <c r="CD215" s="145">
        <f t="shared" si="585"/>
        <v>0</v>
      </c>
      <c r="CE215" s="145">
        <f t="shared" si="585"/>
        <v>0</v>
      </c>
      <c r="CF215" s="144">
        <f>IF(ISERROR(CF181/CF$188),"",(CF181/CF$188))</f>
        <v>0</v>
      </c>
      <c r="CG215" s="145">
        <f t="shared" ref="CG215:CJ215" si="586">IF(ISERROR(CG181/CG$188),"",(CG181/CG$188))</f>
        <v>0</v>
      </c>
      <c r="CH215" s="145">
        <f t="shared" si="586"/>
        <v>0</v>
      </c>
      <c r="CI215" s="145">
        <f t="shared" si="586"/>
        <v>0</v>
      </c>
      <c r="CJ215" s="145">
        <f t="shared" si="586"/>
        <v>0</v>
      </c>
      <c r="CK215" s="144">
        <f>IF(ISERROR(CK181/CK$188),"",(CK181/CK$188))</f>
        <v>0</v>
      </c>
      <c r="CL215" s="145">
        <f t="shared" ref="CL215:CO215" si="587">IF(ISERROR(CL181/CL$188),"",(CL181/CL$188))</f>
        <v>0</v>
      </c>
      <c r="CM215" s="145">
        <f t="shared" si="587"/>
        <v>0</v>
      </c>
      <c r="CN215" s="145">
        <f t="shared" si="587"/>
        <v>0</v>
      </c>
      <c r="CO215" s="145">
        <f t="shared" si="587"/>
        <v>0</v>
      </c>
      <c r="CP215" s="144">
        <f>IF(ISERROR(CP181/CP$188),"",(CP181/CP$188))</f>
        <v>0</v>
      </c>
      <c r="CQ215" s="145">
        <f t="shared" ref="CQ215:CT215" si="588">IF(ISERROR(CQ181/CQ$188),"",(CQ181/CQ$188))</f>
        <v>0</v>
      </c>
      <c r="CR215" s="145">
        <f t="shared" si="588"/>
        <v>0</v>
      </c>
      <c r="CS215" s="145">
        <f t="shared" si="588"/>
        <v>0</v>
      </c>
      <c r="CT215" s="145">
        <f t="shared" si="588"/>
        <v>0</v>
      </c>
      <c r="CU215" s="144">
        <f>IF(ISERROR(CU181/CU$188),"",(CU181/CU$188))</f>
        <v>0</v>
      </c>
      <c r="CV215" s="145">
        <f t="shared" ref="CV215" si="589">IF(ISERROR(CV181/CV$188),"",(CV181/CV$188))</f>
        <v>0</v>
      </c>
      <c r="CW215" s="145">
        <f t="shared" ref="CW215:CY215" si="590">IF(ISERROR(CW181/CW$188),"",(CW181/CW$188))</f>
        <v>0</v>
      </c>
      <c r="CX215" s="145">
        <f t="shared" si="590"/>
        <v>0</v>
      </c>
      <c r="CY215" s="145">
        <f t="shared" si="590"/>
        <v>0</v>
      </c>
      <c r="CZ215" s="144">
        <f>IF(ISERROR(CZ181/CZ$188),"",(CZ181/CZ$188))</f>
        <v>0</v>
      </c>
      <c r="DA215" s="145">
        <f t="shared" si="544"/>
        <v>0</v>
      </c>
      <c r="DB215" s="145">
        <f t="shared" si="544"/>
        <v>0</v>
      </c>
      <c r="DC215" s="145">
        <f t="shared" si="544"/>
        <v>0</v>
      </c>
      <c r="DD215" s="145">
        <f t="shared" si="544"/>
        <v>0</v>
      </c>
      <c r="DE215" s="144">
        <f>IF(ISERROR(DE181/DE$188),"",(DE181/DE$188))</f>
        <v>0</v>
      </c>
      <c r="DF215" s="145">
        <f t="shared" ref="DF215:DI215" si="591">IF(ISERROR(DF181/DF$188),"",(DF181/DF$188))</f>
        <v>0</v>
      </c>
      <c r="DG215" s="145">
        <f t="shared" si="591"/>
        <v>0</v>
      </c>
      <c r="DH215" s="145">
        <f t="shared" si="591"/>
        <v>0</v>
      </c>
      <c r="DI215" s="145">
        <f t="shared" si="591"/>
        <v>0</v>
      </c>
      <c r="DJ215" s="144">
        <f t="shared" ref="DJ215:DN215" si="592">IF(ISERROR(DJ181/DJ$188),"",(DJ181/DJ$188))</f>
        <v>0</v>
      </c>
      <c r="DK215" s="145">
        <f t="shared" si="592"/>
        <v>0</v>
      </c>
      <c r="DL215" s="145">
        <f t="shared" si="592"/>
        <v>0</v>
      </c>
      <c r="DM215" s="145">
        <f t="shared" si="592"/>
        <v>0</v>
      </c>
      <c r="DN215" s="145">
        <f t="shared" si="592"/>
        <v>0</v>
      </c>
      <c r="DO215" s="144">
        <f t="shared" ref="DO215:DS215" si="593">IF(ISERROR(DO181/DO$188),"",(DO181/DO$188))</f>
        <v>0</v>
      </c>
      <c r="DP215" s="145">
        <f t="shared" si="593"/>
        <v>0</v>
      </c>
      <c r="DQ215" s="145">
        <f t="shared" si="593"/>
        <v>0</v>
      </c>
      <c r="DR215" s="145">
        <f t="shared" si="593"/>
        <v>0</v>
      </c>
      <c r="DS215" s="145">
        <f t="shared" si="593"/>
        <v>0</v>
      </c>
      <c r="DT215" s="144">
        <f t="shared" ref="DT215" si="594">IF(ISERROR(DT181/DT$188),"",(DT181/DT$188))</f>
        <v>0</v>
      </c>
      <c r="DU215" s="145">
        <f t="shared" si="549"/>
        <v>0</v>
      </c>
      <c r="DV215" s="145">
        <f t="shared" si="549"/>
        <v>0</v>
      </c>
      <c r="DW215" s="145">
        <f t="shared" si="549"/>
        <v>0</v>
      </c>
      <c r="DX215" s="145">
        <f t="shared" si="549"/>
        <v>0</v>
      </c>
      <c r="DY215" s="144">
        <f t="shared" si="550"/>
        <v>0</v>
      </c>
      <c r="DZ215" s="144">
        <f t="shared" ref="DZ215:EB215" si="595">IF(ISERROR(DZ181/DZ$188),"",(DZ181/DZ$188))</f>
        <v>0</v>
      </c>
      <c r="EA215" s="144">
        <f t="shared" si="595"/>
        <v>0</v>
      </c>
      <c r="EB215" s="144">
        <f t="shared" si="595"/>
        <v>0</v>
      </c>
    </row>
    <row r="216" spans="2:132" s="241" customFormat="1" ht="12" customHeight="1">
      <c r="B216" s="241" t="s">
        <v>109</v>
      </c>
      <c r="C216" s="301">
        <f>IF(ISERROR(C186/C$188),"",(C186/C$188))</f>
        <v>0.60845070422535208</v>
      </c>
      <c r="D216" s="301">
        <f t="shared" ref="D216:BL216" si="596">IF(ISERROR(D186/D$188),"",(D186/D$188))</f>
        <v>-0.25143586470963625</v>
      </c>
      <c r="E216" s="301">
        <f t="shared" si="596"/>
        <v>-0.29842271293375394</v>
      </c>
      <c r="F216" s="301">
        <f t="shared" si="596"/>
        <v>-0.36625245258338784</v>
      </c>
      <c r="G216" s="301">
        <f t="shared" si="596"/>
        <v>-0.23331622176591377</v>
      </c>
      <c r="H216" s="301">
        <f t="shared" si="596"/>
        <v>-0.27042399172699072</v>
      </c>
      <c r="I216" s="301">
        <f t="shared" si="596"/>
        <v>-1.7527839643652561</v>
      </c>
      <c r="J216" s="242">
        <f t="shared" si="596"/>
        <v>-0.28042959427207637</v>
      </c>
      <c r="K216" s="242">
        <f t="shared" si="596"/>
        <v>-0.50465838509316774</v>
      </c>
      <c r="L216" s="242">
        <f t="shared" si="596"/>
        <v>-0.75929549902152638</v>
      </c>
      <c r="M216" s="242">
        <f t="shared" si="596"/>
        <v>-26.5</v>
      </c>
      <c r="N216" s="301">
        <f t="shared" si="596"/>
        <v>-0.65719980069755857</v>
      </c>
      <c r="O216" s="242">
        <f t="shared" si="596"/>
        <v>-0.7558139534883721</v>
      </c>
      <c r="P216" s="242">
        <f t="shared" si="596"/>
        <v>-0.60246913580246919</v>
      </c>
      <c r="Q216" s="242">
        <f t="shared" si="596"/>
        <v>-0.92922673656618615</v>
      </c>
      <c r="R216" s="242">
        <f t="shared" si="596"/>
        <v>-1.2540834845735027</v>
      </c>
      <c r="S216" s="301">
        <f t="shared" si="596"/>
        <v>-0.85633001422475108</v>
      </c>
      <c r="T216" s="242">
        <f t="shared" si="596"/>
        <v>-0.59436913451511997</v>
      </c>
      <c r="U216" s="242">
        <f t="shared" si="596"/>
        <v>-0.91204588910133844</v>
      </c>
      <c r="V216" s="242">
        <f t="shared" si="596"/>
        <v>-0.21240799158780233</v>
      </c>
      <c r="W216" s="242">
        <f t="shared" si="596"/>
        <v>-0.4201388888888889</v>
      </c>
      <c r="X216" s="301">
        <f t="shared" si="596"/>
        <v>-0.48340306834030683</v>
      </c>
      <c r="Y216" s="242">
        <f t="shared" si="596"/>
        <v>-0.19251336898395721</v>
      </c>
      <c r="Z216" s="242">
        <f t="shared" si="596"/>
        <v>-0.23107569721115537</v>
      </c>
      <c r="AA216" s="242">
        <f t="shared" si="596"/>
        <v>-0.19012675116744496</v>
      </c>
      <c r="AB216" s="242">
        <f t="shared" si="596"/>
        <v>-0.19788918205804748</v>
      </c>
      <c r="AC216" s="301">
        <f t="shared" si="596"/>
        <v>-0.20325900514579759</v>
      </c>
      <c r="AD216" s="242">
        <f t="shared" si="596"/>
        <v>-3.0572540300166758E-2</v>
      </c>
      <c r="AE216" s="242">
        <f t="shared" si="596"/>
        <v>-6.1748195669607056E-2</v>
      </c>
      <c r="AF216" s="242">
        <f t="shared" si="596"/>
        <v>-7.8465562336530084E-2</v>
      </c>
      <c r="AG216" s="242">
        <f t="shared" si="596"/>
        <v>0.41563786008230452</v>
      </c>
      <c r="AH216" s="301">
        <f t="shared" si="596"/>
        <v>-8.1772151898734172E-2</v>
      </c>
      <c r="AI216" s="242">
        <f t="shared" si="596"/>
        <v>-0.11219512195121951</v>
      </c>
      <c r="AJ216" s="242">
        <f t="shared" si="596"/>
        <v>-0.10071942446043165</v>
      </c>
      <c r="AK216" s="242">
        <f t="shared" si="596"/>
        <v>9.3909809390980939E-2</v>
      </c>
      <c r="AL216" s="242">
        <f t="shared" si="596"/>
        <v>-7.2652096869462487E-2</v>
      </c>
      <c r="AM216" s="301">
        <f t="shared" si="596"/>
        <v>-0.28339694656488551</v>
      </c>
      <c r="AN216" s="242">
        <f>IF(ISERROR(AN186/AN$188),"",(AN186/AN$188))</f>
        <v>-0.14054514480408858</v>
      </c>
      <c r="AO216" s="242">
        <f t="shared" si="596"/>
        <v>-5.355776587605203E-2</v>
      </c>
      <c r="AP216" s="242">
        <f t="shared" si="596"/>
        <v>-0.16366258111031001</v>
      </c>
      <c r="AQ216" s="242">
        <f t="shared" si="596"/>
        <v>-0.24750679963735267</v>
      </c>
      <c r="AR216" s="301">
        <f t="shared" si="596"/>
        <v>-0.14785757392878696</v>
      </c>
      <c r="AS216" s="242">
        <f t="shared" ref="AS216:BA216" si="597">IF(ISERROR(AS186/AS$188),"",(AS186/AS$188))</f>
        <v>-0.21</v>
      </c>
      <c r="AT216" s="242">
        <f t="shared" si="597"/>
        <v>-0.12255541069100391</v>
      </c>
      <c r="AU216" s="242">
        <f t="shared" si="597"/>
        <v>-0.17852975495915985</v>
      </c>
      <c r="AV216" s="242">
        <f t="shared" si="597"/>
        <v>-0.17783343769567939</v>
      </c>
      <c r="AW216" s="301">
        <f t="shared" si="597"/>
        <v>-0.1690333618477331</v>
      </c>
      <c r="AX216" s="242">
        <f t="shared" si="597"/>
        <v>-0.13503184713375796</v>
      </c>
      <c r="AY216" s="242">
        <f t="shared" si="597"/>
        <v>-0.25322997416020671</v>
      </c>
      <c r="AZ216" s="242">
        <f t="shared" si="597"/>
        <v>-0.239769820971867</v>
      </c>
      <c r="BA216" s="242">
        <f t="shared" si="597"/>
        <v>-0.25291589932473912</v>
      </c>
      <c r="BB216" s="301">
        <f t="shared" si="596"/>
        <v>-0.22040881001426083</v>
      </c>
      <c r="BC216" s="242">
        <f t="shared" si="596"/>
        <v>-0.33311518324607331</v>
      </c>
      <c r="BD216" s="242">
        <f t="shared" si="596"/>
        <v>-0.28496503496503495</v>
      </c>
      <c r="BE216" s="242">
        <f t="shared" si="596"/>
        <v>-0.31392124237382141</v>
      </c>
      <c r="BF216" s="242">
        <f t="shared" si="596"/>
        <v>-0.56424470401900617</v>
      </c>
      <c r="BG216" s="301">
        <f t="shared" si="596"/>
        <v>-0.36862075796595706</v>
      </c>
      <c r="BH216" s="145">
        <f>IF(ISERROR(BH186/BH$188),"",(BH186/BH$188))</f>
        <v>-0.46692607003891051</v>
      </c>
      <c r="BI216" s="145">
        <f>IF(ISERROR(BI186/BI$188),"",(BI186/BI$188))</f>
        <v>-0.1846670397313934</v>
      </c>
      <c r="BJ216" s="145">
        <f>IF(ISERROR(BJ186/BJ$188),"",(BJ186/BJ$188))</f>
        <v>-0.23784804152902311</v>
      </c>
      <c r="BK216" s="145">
        <f>IF(ISERROR(BK186/BK$188),"",(BK186/BK$188))</f>
        <v>-0.23703703703703705</v>
      </c>
      <c r="BL216" s="144">
        <f t="shared" si="596"/>
        <v>-0.27217984745082296</v>
      </c>
      <c r="BM216" s="145">
        <f>IF(ISERROR(BM186/BM$188),"",(BM186/BM$188))</f>
        <v>-0.17880138682516097</v>
      </c>
      <c r="BN216" s="145">
        <f>IF(ISERROR(BN186/BN$188),"",(BN186/BN$188))</f>
        <v>-4.7534165181224004E-2</v>
      </c>
      <c r="BO216" s="145">
        <f>IF(ISERROR(BO186/BO$188),"",(BO186/BO$188))</f>
        <v>-7.713178294573643E-2</v>
      </c>
      <c r="BP216" s="145">
        <f>IF(ISERROR(BP186/BP$188),"",(BP186/BP$188))</f>
        <v>-0.32472006890611543</v>
      </c>
      <c r="BQ216" s="144">
        <f t="shared" ref="BQ216:BS216" si="598">IF(ISERROR(BQ186/BQ$188),"",(BQ186/BQ$188))</f>
        <v>-0.13663845223700122</v>
      </c>
      <c r="BR216" s="145">
        <f>IF(ISERROR(BR186/BR$188),"",(BR186/BR$188))</f>
        <v>-4.0268456375838924E-2</v>
      </c>
      <c r="BS216" s="145">
        <f t="shared" si="598"/>
        <v>0.13603818615751789</v>
      </c>
      <c r="BT216" s="145">
        <f t="shared" ref="BT216:CF216" si="599">IF(ISERROR(BT186/BT$188),"",(BT186/BT$188))</f>
        <v>-4.9079754601226995E-2</v>
      </c>
      <c r="BU216" s="145">
        <f t="shared" si="599"/>
        <v>-5.5886394869445716E-2</v>
      </c>
      <c r="BV216" s="144">
        <f t="shared" si="599"/>
        <v>-6.2221460404525197E-2</v>
      </c>
      <c r="BW216" s="145">
        <f t="shared" si="599"/>
        <v>-0.10018132366273799</v>
      </c>
      <c r="BX216" s="145">
        <f t="shared" si="599"/>
        <v>-0.12529644268774703</v>
      </c>
      <c r="BY216" s="145">
        <f t="shared" si="599"/>
        <v>-8.8593155893536127E-2</v>
      </c>
      <c r="BZ216" s="145">
        <f t="shared" si="599"/>
        <v>-0.11014103425117529</v>
      </c>
      <c r="CA216" s="144">
        <f t="shared" si="599"/>
        <v>-0.10624516627996906</v>
      </c>
      <c r="CB216" s="145">
        <f t="shared" si="599"/>
        <v>-0.11339130434782609</v>
      </c>
      <c r="CC216" s="145">
        <f t="shared" si="599"/>
        <v>-0.14612546125461254</v>
      </c>
      <c r="CD216" s="145">
        <f t="shared" si="599"/>
        <v>-0.21149528513695554</v>
      </c>
      <c r="CE216" s="145">
        <f t="shared" si="599"/>
        <v>-5.9640718562874249E-2</v>
      </c>
      <c r="CF216" s="144">
        <f t="shared" si="599"/>
        <v>-0.12029698840410445</v>
      </c>
      <c r="CG216" s="145">
        <f t="shared" ref="CG216:CK216" si="600">IF(ISERROR(CG186/CG$188),"",(CG186/CG$188))</f>
        <v>-0.30085106382978721</v>
      </c>
      <c r="CH216" s="145">
        <f t="shared" si="600"/>
        <v>0.14733727810650887</v>
      </c>
      <c r="CI216" s="145">
        <f t="shared" si="600"/>
        <v>-0.41382049245432884</v>
      </c>
      <c r="CJ216" s="145">
        <f t="shared" si="600"/>
        <v>0.15381125226860254</v>
      </c>
      <c r="CK216" s="144">
        <f t="shared" si="600"/>
        <v>1.0455696202531646</v>
      </c>
      <c r="CL216" s="145">
        <f t="shared" ref="CL216:CP216" si="601">IF(ISERROR(CL186/CL$188),"",(CL186/CL$188))</f>
        <v>0.1278640059127864</v>
      </c>
      <c r="CM216" s="145">
        <f t="shared" si="601"/>
        <v>0.16126855600539811</v>
      </c>
      <c r="CN216" s="145">
        <f t="shared" si="601"/>
        <v>0.78304239401496256</v>
      </c>
      <c r="CO216" s="145">
        <f t="shared" si="601"/>
        <v>0.17269225990806311</v>
      </c>
      <c r="CP216" s="144">
        <f t="shared" si="601"/>
        <v>0.18445993577191197</v>
      </c>
      <c r="CQ216" s="145">
        <f t="shared" ref="CQ216:CV216" si="602">IF(ISERROR(CQ186/CQ$188),"",(CQ186/CQ$188))</f>
        <v>4.3855421686746991</v>
      </c>
      <c r="CR216" s="145">
        <f t="shared" si="602"/>
        <v>-0.29130009775171067</v>
      </c>
      <c r="CS216" s="145">
        <f t="shared" si="602"/>
        <v>-1.1246200607902737</v>
      </c>
      <c r="CT216" s="145">
        <f t="shared" si="602"/>
        <v>5.6341404938863582E-2</v>
      </c>
      <c r="CU216" s="144">
        <f t="shared" si="602"/>
        <v>0.43659545141281875</v>
      </c>
      <c r="CV216" s="145">
        <f t="shared" si="602"/>
        <v>0.22241231822070145</v>
      </c>
      <c r="CW216" s="145">
        <f t="shared" ref="CW216:DA216" si="603">IF(ISERROR(CW186/CW$188),"",(CW186/CW$188))</f>
        <v>-0.12144702842377261</v>
      </c>
      <c r="CX216" s="145">
        <f t="shared" si="603"/>
        <v>0.14040728831725616</v>
      </c>
      <c r="CY216" s="145">
        <f t="shared" si="603"/>
        <v>2.2237960339943341</v>
      </c>
      <c r="CZ216" s="144">
        <f t="shared" si="603"/>
        <v>0.43191429376938256</v>
      </c>
      <c r="DA216" s="145">
        <f t="shared" si="603"/>
        <v>3.087248322147651</v>
      </c>
      <c r="DB216" s="145">
        <f t="shared" ref="DB216:DE216" si="604">IF(ISERROR(DB186/DB$188),"",(DB186/DB$188))</f>
        <v>3.393939393939394</v>
      </c>
      <c r="DC216" s="145">
        <f t="shared" si="604"/>
        <v>0.33539603960396042</v>
      </c>
      <c r="DD216" s="145">
        <f t="shared" si="604"/>
        <v>-2.4452296819787986</v>
      </c>
      <c r="DE216" s="144">
        <f t="shared" si="604"/>
        <v>2.275549805950841</v>
      </c>
      <c r="DF216" s="145">
        <f t="shared" ref="DF216:DI216" si="605">IF(ISERROR(DF186/DF$188),"",(DF186/DF$188))</f>
        <v>3.6279069767441858</v>
      </c>
      <c r="DG216" s="145">
        <f t="shared" si="605"/>
        <v>0.58165137614678897</v>
      </c>
      <c r="DH216" s="145">
        <f t="shared" si="605"/>
        <v>7.255684776948447E-2</v>
      </c>
      <c r="DI216" s="145">
        <f t="shared" si="605"/>
        <v>0.18116710875331565</v>
      </c>
      <c r="DJ216" s="144">
        <f t="shared" ref="DJ216:DN216" si="606">IF(ISERROR(DJ186/DJ$188),"",(DJ186/DJ$188))</f>
        <v>0.1911833380031755</v>
      </c>
      <c r="DK216" s="145">
        <f t="shared" si="606"/>
        <v>-0.7852494577006508</v>
      </c>
      <c r="DL216" s="145">
        <f t="shared" si="606"/>
        <v>5.8806818181818183</v>
      </c>
      <c r="DM216" s="145">
        <f t="shared" si="606"/>
        <v>0.15645262497385484</v>
      </c>
      <c r="DN216" s="145">
        <f t="shared" si="606"/>
        <v>-0.10094565341232767</v>
      </c>
      <c r="DO216" s="144">
        <f t="shared" ref="DO216:DS216" si="607">IF(ISERROR(DO186/DO$188),"",(DO186/DO$188))</f>
        <v>-0.70801214669469748</v>
      </c>
      <c r="DP216" s="145">
        <f t="shared" si="607"/>
        <v>-0.7767857142857143</v>
      </c>
      <c r="DQ216" s="145">
        <f t="shared" si="607"/>
        <v>-4.0384615384615383</v>
      </c>
      <c r="DR216" s="145">
        <f t="shared" si="607"/>
        <v>-0.80814987983564723</v>
      </c>
      <c r="DS216" s="145">
        <f t="shared" si="607"/>
        <v>-0.50646678272793977</v>
      </c>
      <c r="DT216" s="144">
        <f t="shared" ref="DT216:DX217" si="608">IF(ISERROR(DT186/DT$188),"",(DT186/DT$188))</f>
        <v>-0.89962489488119257</v>
      </c>
      <c r="DU216" s="145">
        <f t="shared" si="608"/>
        <v>-0.67396709360756324</v>
      </c>
      <c r="DV216" s="145">
        <f t="shared" si="608"/>
        <v>-0.38975089920763972</v>
      </c>
      <c r="DW216" s="145">
        <f t="shared" si="608"/>
        <v>-0.29971863853663211</v>
      </c>
      <c r="DX216" s="145">
        <f t="shared" si="608"/>
        <v>-0.2783839065276914</v>
      </c>
      <c r="DY216" s="144">
        <f t="shared" ref="DY216:DY217" si="609">IF(ISERROR(DY186/DY$188),"",(DY186/DY$188))</f>
        <v>-0.34939191043723239</v>
      </c>
      <c r="DZ216" s="144">
        <f t="shared" ref="DZ216:EB216" si="610">IF(ISERROR(DZ186/DZ$188),"",(DZ186/DZ$188))</f>
        <v>-0.21969913970625909</v>
      </c>
      <c r="EA216" s="144">
        <f t="shared" si="610"/>
        <v>-0.15874920808219817</v>
      </c>
      <c r="EB216" s="144">
        <f t="shared" si="610"/>
        <v>-0.12438051082491899</v>
      </c>
    </row>
    <row r="217" spans="2:132" s="241" customFormat="1" ht="12" customHeight="1">
      <c r="B217" s="241" t="s">
        <v>587</v>
      </c>
      <c r="C217" s="301"/>
      <c r="D217" s="301"/>
      <c r="E217" s="301"/>
      <c r="F217" s="301"/>
      <c r="G217" s="301"/>
      <c r="H217" s="301"/>
      <c r="I217" s="301"/>
      <c r="J217" s="242"/>
      <c r="K217" s="242"/>
      <c r="L217" s="242"/>
      <c r="M217" s="242"/>
      <c r="N217" s="301"/>
      <c r="O217" s="242"/>
      <c r="P217" s="242"/>
      <c r="Q217" s="242"/>
      <c r="R217" s="242"/>
      <c r="S217" s="301"/>
      <c r="T217" s="242"/>
      <c r="U217" s="242"/>
      <c r="V217" s="242"/>
      <c r="W217" s="242"/>
      <c r="X217" s="301"/>
      <c r="Y217" s="242"/>
      <c r="Z217" s="242"/>
      <c r="AA217" s="242"/>
      <c r="AB217" s="242"/>
      <c r="AC217" s="301"/>
      <c r="AD217" s="242"/>
      <c r="AE217" s="242"/>
      <c r="AF217" s="242"/>
      <c r="AG217" s="242"/>
      <c r="AH217" s="301"/>
      <c r="AI217" s="242"/>
      <c r="AJ217" s="242"/>
      <c r="AK217" s="242"/>
      <c r="AL217" s="242"/>
      <c r="AM217" s="301"/>
      <c r="AN217" s="242"/>
      <c r="AO217" s="242"/>
      <c r="AP217" s="242"/>
      <c r="AQ217" s="242"/>
      <c r="AR217" s="301"/>
      <c r="AS217" s="242"/>
      <c r="AT217" s="242"/>
      <c r="AU217" s="242"/>
      <c r="AV217" s="242"/>
      <c r="AW217" s="301"/>
      <c r="AX217" s="242"/>
      <c r="AY217" s="242"/>
      <c r="AZ217" s="242"/>
      <c r="BA217" s="242"/>
      <c r="BB217" s="301"/>
      <c r="BC217" s="242"/>
      <c r="BD217" s="242"/>
      <c r="BE217" s="242"/>
      <c r="BF217" s="242"/>
      <c r="BG217" s="301"/>
      <c r="BH217" s="145"/>
      <c r="BI217" s="145"/>
      <c r="BJ217" s="145"/>
      <c r="BK217" s="145"/>
      <c r="BL217" s="144"/>
      <c r="BM217" s="145"/>
      <c r="BN217" s="145"/>
      <c r="BO217" s="145"/>
      <c r="BP217" s="145"/>
      <c r="BQ217" s="144"/>
      <c r="BR217" s="145"/>
      <c r="BS217" s="145"/>
      <c r="BT217" s="145"/>
      <c r="BU217" s="145"/>
      <c r="BV217" s="144"/>
      <c r="BW217" s="145">
        <f t="shared" ref="BW217:CF217" si="611">IF(ISERROR(BW187/BW$188),"",(BW187/BW$188))</f>
        <v>0.15684496826835903</v>
      </c>
      <c r="BX217" s="145">
        <f t="shared" si="611"/>
        <v>0.14110671936758892</v>
      </c>
      <c r="BY217" s="145">
        <f t="shared" si="611"/>
        <v>0.13155893536121674</v>
      </c>
      <c r="BZ217" s="145">
        <f t="shared" si="611"/>
        <v>0.13062458025520485</v>
      </c>
      <c r="CA217" s="144">
        <f t="shared" si="611"/>
        <v>0.13901778808971385</v>
      </c>
      <c r="CB217" s="145">
        <f t="shared" si="611"/>
        <v>0.12695652173913044</v>
      </c>
      <c r="CC217" s="145">
        <f t="shared" si="611"/>
        <v>0.11697416974169741</v>
      </c>
      <c r="CD217" s="145">
        <f t="shared" si="611"/>
        <v>0.15132465199820386</v>
      </c>
      <c r="CE217" s="145">
        <f t="shared" si="611"/>
        <v>7.377245508982036E-2</v>
      </c>
      <c r="CF217" s="144">
        <f t="shared" si="611"/>
        <v>0.1107032618670226</v>
      </c>
      <c r="CG217" s="145">
        <f t="shared" ref="CG217:CK217" si="612">IF(ISERROR(CG187/CG$188),"",(CG187/CG$188))</f>
        <v>0.1548936170212766</v>
      </c>
      <c r="CH217" s="145">
        <f t="shared" si="612"/>
        <v>-0.10798816568047337</v>
      </c>
      <c r="CI217" s="145">
        <f t="shared" si="612"/>
        <v>0.28911834789515489</v>
      </c>
      <c r="CJ217" s="145">
        <f t="shared" si="612"/>
        <v>-0.14609800362976408</v>
      </c>
      <c r="CK217" s="144">
        <f t="shared" si="612"/>
        <v>-0.71645569620253169</v>
      </c>
      <c r="CL217" s="145">
        <f t="shared" ref="CL217:CP217" si="613">IF(ISERROR(CL187/CL$188),"",(CL187/CL$188))</f>
        <v>-0.25646711012564671</v>
      </c>
      <c r="CM217" s="145">
        <f t="shared" si="613"/>
        <v>-0.11977058029689609</v>
      </c>
      <c r="CN217" s="145">
        <f t="shared" si="613"/>
        <v>-0.88029925187032421</v>
      </c>
      <c r="CO217" s="145">
        <f t="shared" si="613"/>
        <v>-4.0750403776866694E-2</v>
      </c>
      <c r="CP217" s="144">
        <f t="shared" si="613"/>
        <v>-0.10832615336414193</v>
      </c>
      <c r="CQ217" s="145">
        <f t="shared" ref="CQ217:CV217" si="614">IF(ISERROR(CQ187/CQ$188),"",(CQ187/CQ$188))</f>
        <v>-3.2530120481927711</v>
      </c>
      <c r="CR217" s="145">
        <f t="shared" si="614"/>
        <v>0.26197458455522971</v>
      </c>
      <c r="CS217" s="145">
        <f t="shared" si="614"/>
        <v>0.82066869300911849</v>
      </c>
      <c r="CT217" s="145">
        <f t="shared" si="614"/>
        <v>-8.7508990649724283E-2</v>
      </c>
      <c r="CU217" s="144">
        <f t="shared" si="614"/>
        <v>-0.40420399724328049</v>
      </c>
      <c r="CV217" s="145">
        <f t="shared" si="614"/>
        <v>-0.24208725406330198</v>
      </c>
      <c r="CW217" s="145">
        <f t="shared" ref="CW217:DA217" si="615">IF(ISERROR(CW187/CW$188),"",(CW187/CW$188))</f>
        <v>0.36692506459948321</v>
      </c>
      <c r="CX217" s="145">
        <f t="shared" si="615"/>
        <v>-9.9678456591639875E-2</v>
      </c>
      <c r="CY217" s="145">
        <f t="shared" si="615"/>
        <v>-0.84135977337110479</v>
      </c>
      <c r="CZ217" s="144">
        <f t="shared" si="615"/>
        <v>-0.32224414998590356</v>
      </c>
      <c r="DA217" s="145">
        <f t="shared" si="615"/>
        <v>-1.9530201342281879</v>
      </c>
      <c r="DB217" s="145">
        <f t="shared" ref="DB217:DE217" si="616">IF(ISERROR(DB187/DB$188),"",(DB187/DB$188))</f>
        <v>-2.9393939393939394</v>
      </c>
      <c r="DC217" s="145">
        <f t="shared" si="616"/>
        <v>-0.34777227722772275</v>
      </c>
      <c r="DD217" s="145">
        <f t="shared" si="616"/>
        <v>0.6819787985865724</v>
      </c>
      <c r="DE217" s="144">
        <f t="shared" si="616"/>
        <v>-1.3661060802069858</v>
      </c>
      <c r="DF217" s="145">
        <f t="shared" ref="DF217:DI217" si="617">IF(ISERROR(DF187/DF$188),"",(DF187/DF$188))</f>
        <v>-3.5116279069767442</v>
      </c>
      <c r="DG217" s="145">
        <f t="shared" si="617"/>
        <v>-0.27706422018348625</v>
      </c>
      <c r="DH217" s="145">
        <f t="shared" si="617"/>
        <v>-3.9576462419718801E-2</v>
      </c>
      <c r="DI217" s="145">
        <f t="shared" si="617"/>
        <v>-7.2148541114058357E-2</v>
      </c>
      <c r="DJ217" s="144">
        <f t="shared" ref="DJ217:DN217" si="618">IF(ISERROR(DJ187/DJ$188),"",(DJ187/DJ$188))</f>
        <v>-0.10311011487811712</v>
      </c>
      <c r="DK217" s="145">
        <f t="shared" si="618"/>
        <v>0.5683297180043384</v>
      </c>
      <c r="DL217" s="145">
        <f t="shared" si="618"/>
        <v>-1.4602272727272727</v>
      </c>
      <c r="DM217" s="145">
        <f t="shared" si="618"/>
        <v>-5.6055218573520187E-2</v>
      </c>
      <c r="DN217" s="145">
        <f t="shared" si="618"/>
        <v>2.9395009684402416E-2</v>
      </c>
      <c r="DO217" s="144">
        <f t="shared" ref="DO217:DS217" si="619">IF(ISERROR(DO187/DO$188),"",(DO187/DO$188))</f>
        <v>0.2441018453632329</v>
      </c>
      <c r="DP217" s="145">
        <f t="shared" si="619"/>
        <v>0.34598214285714285</v>
      </c>
      <c r="DQ217" s="145">
        <f t="shared" si="619"/>
        <v>0.99358974358974361</v>
      </c>
      <c r="DR217" s="145">
        <f t="shared" si="619"/>
        <v>0.28149040758320298</v>
      </c>
      <c r="DS217" s="145">
        <f t="shared" si="619"/>
        <v>0.15859060873299125</v>
      </c>
      <c r="DT217" s="144">
        <f t="shared" ref="DT217" si="620">IF(ISERROR(DT187/DT$188),"",(DT187/DT$188))</f>
        <v>0.29080679605127185</v>
      </c>
      <c r="DU217" s="145">
        <f t="shared" si="608"/>
        <v>0.24657332692959633</v>
      </c>
      <c r="DV217" s="145">
        <f t="shared" si="608"/>
        <v>0.11576759382405141</v>
      </c>
      <c r="DW217" s="145">
        <f t="shared" si="608"/>
        <v>8.2491368404577645E-2</v>
      </c>
      <c r="DX217" s="145">
        <f t="shared" si="608"/>
        <v>6.6812137566645932E-2</v>
      </c>
      <c r="DY217" s="144">
        <f t="shared" si="609"/>
        <v>0.10054443465819637</v>
      </c>
      <c r="DZ217" s="144">
        <f t="shared" ref="DZ217:EB217" si="621">IF(ISERROR(DZ187/DZ$188),"",(DZ187/DZ$188))</f>
        <v>5.5301842946655612E-2</v>
      </c>
      <c r="EA217" s="144">
        <f t="shared" si="621"/>
        <v>3.5356171065077546E-2</v>
      </c>
      <c r="EB217" s="144">
        <f t="shared" si="621"/>
        <v>2.6864041214885313E-2</v>
      </c>
    </row>
    <row r="218" spans="2:132" s="241" customFormat="1" ht="12" customHeight="1">
      <c r="B218" s="32" t="s">
        <v>188</v>
      </c>
      <c r="C218" s="30">
        <f t="shared" ref="C218:AH218" si="622">C216+C215+C214+C212+C202</f>
        <v>1</v>
      </c>
      <c r="D218" s="30">
        <f t="shared" si="622"/>
        <v>1</v>
      </c>
      <c r="E218" s="30">
        <f t="shared" si="622"/>
        <v>1</v>
      </c>
      <c r="F218" s="30">
        <f t="shared" si="622"/>
        <v>1</v>
      </c>
      <c r="G218" s="30">
        <f t="shared" si="622"/>
        <v>0.99999999999999989</v>
      </c>
      <c r="H218" s="30">
        <f t="shared" si="622"/>
        <v>1</v>
      </c>
      <c r="I218" s="30">
        <f t="shared" si="622"/>
        <v>1</v>
      </c>
      <c r="J218" s="29">
        <f t="shared" si="622"/>
        <v>1</v>
      </c>
      <c r="K218" s="29">
        <f t="shared" si="622"/>
        <v>0.99999999999999989</v>
      </c>
      <c r="L218" s="29">
        <f t="shared" si="622"/>
        <v>1</v>
      </c>
      <c r="M218" s="29">
        <f t="shared" si="622"/>
        <v>1.0000000000000036</v>
      </c>
      <c r="N218" s="30">
        <f t="shared" si="622"/>
        <v>1</v>
      </c>
      <c r="O218" s="29">
        <f t="shared" si="622"/>
        <v>1</v>
      </c>
      <c r="P218" s="29">
        <f t="shared" si="622"/>
        <v>0.99999999999999989</v>
      </c>
      <c r="Q218" s="29">
        <f t="shared" si="622"/>
        <v>0.99999999999999989</v>
      </c>
      <c r="R218" s="29">
        <f t="shared" si="622"/>
        <v>1.0000000000000002</v>
      </c>
      <c r="S218" s="30">
        <f t="shared" si="622"/>
        <v>1</v>
      </c>
      <c r="T218" s="29">
        <f t="shared" si="622"/>
        <v>0.99999999999999989</v>
      </c>
      <c r="U218" s="29">
        <f t="shared" si="622"/>
        <v>1</v>
      </c>
      <c r="V218" s="29">
        <f t="shared" si="622"/>
        <v>1</v>
      </c>
      <c r="W218" s="29">
        <f t="shared" si="622"/>
        <v>1</v>
      </c>
      <c r="X218" s="30">
        <f t="shared" si="622"/>
        <v>1</v>
      </c>
      <c r="Y218" s="29">
        <f t="shared" si="622"/>
        <v>0.99999999999999989</v>
      </c>
      <c r="Z218" s="29">
        <f t="shared" si="622"/>
        <v>1</v>
      </c>
      <c r="AA218" s="29">
        <f t="shared" si="622"/>
        <v>1</v>
      </c>
      <c r="AB218" s="29">
        <f t="shared" si="622"/>
        <v>1</v>
      </c>
      <c r="AC218" s="30">
        <f t="shared" si="622"/>
        <v>1</v>
      </c>
      <c r="AD218" s="29">
        <f t="shared" si="622"/>
        <v>1</v>
      </c>
      <c r="AE218" s="29">
        <f t="shared" si="622"/>
        <v>1</v>
      </c>
      <c r="AF218" s="29">
        <f t="shared" si="622"/>
        <v>1</v>
      </c>
      <c r="AG218" s="29">
        <f t="shared" si="622"/>
        <v>1.0000000000000004</v>
      </c>
      <c r="AH218" s="30">
        <f t="shared" si="622"/>
        <v>1</v>
      </c>
      <c r="AI218" s="29">
        <f t="shared" ref="AI218:BL218" si="623">AI216+AI215+AI214+AI212+AI202</f>
        <v>1</v>
      </c>
      <c r="AJ218" s="29">
        <f t="shared" si="623"/>
        <v>1</v>
      </c>
      <c r="AK218" s="29">
        <f t="shared" si="623"/>
        <v>1</v>
      </c>
      <c r="AL218" s="29">
        <f t="shared" si="623"/>
        <v>1</v>
      </c>
      <c r="AM218" s="30">
        <f t="shared" si="623"/>
        <v>1</v>
      </c>
      <c r="AN218" s="29">
        <f t="shared" si="623"/>
        <v>1</v>
      </c>
      <c r="AO218" s="29">
        <f t="shared" si="623"/>
        <v>1</v>
      </c>
      <c r="AP218" s="29">
        <f t="shared" si="623"/>
        <v>1</v>
      </c>
      <c r="AQ218" s="29">
        <f t="shared" si="623"/>
        <v>1</v>
      </c>
      <c r="AR218" s="30">
        <f t="shared" si="623"/>
        <v>1</v>
      </c>
      <c r="AS218" s="29">
        <f t="shared" si="623"/>
        <v>1</v>
      </c>
      <c r="AT218" s="29">
        <f t="shared" si="623"/>
        <v>1</v>
      </c>
      <c r="AU218" s="29">
        <f t="shared" si="623"/>
        <v>1</v>
      </c>
      <c r="AV218" s="29">
        <f t="shared" si="623"/>
        <v>1</v>
      </c>
      <c r="AW218" s="30">
        <f t="shared" si="623"/>
        <v>1</v>
      </c>
      <c r="AX218" s="29">
        <f>AX216+AX215+AX214+AX212+AX202</f>
        <v>1</v>
      </c>
      <c r="AY218" s="29">
        <f>AY216+AY215+AY214+AY212+AY202</f>
        <v>1</v>
      </c>
      <c r="AZ218" s="29">
        <f>AZ216+AZ215+AZ214+AZ212+AZ202</f>
        <v>1</v>
      </c>
      <c r="BA218" s="29">
        <f>BA216+BA215+BA214+BA212+BA202</f>
        <v>1</v>
      </c>
      <c r="BB218" s="30">
        <f t="shared" si="623"/>
        <v>1</v>
      </c>
      <c r="BC218" s="29">
        <f>BC216+BC215+BC214+BC212+BC202</f>
        <v>1</v>
      </c>
      <c r="BD218" s="29">
        <f>BD216+BD215+BD214+BD212+BD202</f>
        <v>1</v>
      </c>
      <c r="BE218" s="29">
        <f>BE216+BE215+BE214+BE212+BE202</f>
        <v>1</v>
      </c>
      <c r="BF218" s="29">
        <f>BF216+BF215+BF214+BF212+BF202</f>
        <v>1</v>
      </c>
      <c r="BG218" s="30">
        <f t="shared" si="623"/>
        <v>1</v>
      </c>
      <c r="BH218" s="29">
        <f>BH216+BH215+BH214+BH212+BH202</f>
        <v>1</v>
      </c>
      <c r="BI218" s="29">
        <f>BI216+BI215+BI214+BI212+BI202</f>
        <v>1</v>
      </c>
      <c r="BJ218" s="29">
        <f>BJ216+BJ215+BJ214+BJ212+BJ202</f>
        <v>1</v>
      </c>
      <c r="BK218" s="29">
        <f>BK216+BK215+BK214+BK212+BK202</f>
        <v>1</v>
      </c>
      <c r="BL218" s="30">
        <f t="shared" si="623"/>
        <v>1</v>
      </c>
      <c r="BM218" s="29">
        <f>BM216+BM215+BM214+BM212+BM202</f>
        <v>1</v>
      </c>
      <c r="BN218" s="29">
        <f>BN216+BN215+BN214+BN212+BN202</f>
        <v>1</v>
      </c>
      <c r="BO218" s="29">
        <f>BO216+BO215+BO214+BO212+BO202</f>
        <v>1</v>
      </c>
      <c r="BP218" s="29">
        <f>BP216+BP215+BP214+BP212+BP202</f>
        <v>1</v>
      </c>
      <c r="BQ218" s="30">
        <f t="shared" ref="BQ218" si="624">BQ216+BQ215+BQ214+BQ212+BQ202</f>
        <v>1</v>
      </c>
      <c r="BR218" s="29">
        <f>BR216+BR215+BR214+BR212+BR202+BR213</f>
        <v>1</v>
      </c>
      <c r="BS218" s="29">
        <f t="shared" ref="BS218:BV218" si="625">BS216+BS215+BS214+BS212+BS202+BS213</f>
        <v>0.99999999999999978</v>
      </c>
      <c r="BT218" s="29">
        <f t="shared" si="625"/>
        <v>1</v>
      </c>
      <c r="BU218" s="29">
        <f t="shared" si="625"/>
        <v>1</v>
      </c>
      <c r="BV218" s="30">
        <f t="shared" si="625"/>
        <v>1</v>
      </c>
      <c r="BW218" s="29">
        <f>BW216+BW215+BW214+BW212+BW202+BW213+BW217</f>
        <v>1</v>
      </c>
      <c r="BX218" s="29">
        <f t="shared" ref="BX218:BZ218" si="626">BX216+BX215+BX214+BX212+BX202+BX213+BX217</f>
        <v>0.99999999999999989</v>
      </c>
      <c r="BY218" s="29">
        <f t="shared" si="626"/>
        <v>1</v>
      </c>
      <c r="BZ218" s="29">
        <f t="shared" si="626"/>
        <v>1</v>
      </c>
      <c r="CA218" s="30">
        <f>CA216+CA215+CA214+CA212+CA202+CA213+CA217</f>
        <v>1</v>
      </c>
      <c r="CB218" s="29">
        <f>CB216+CB215+CB214+CB212+CB202+CB213+CB217</f>
        <v>1</v>
      </c>
      <c r="CC218" s="29">
        <f t="shared" ref="CC218" si="627">CC216+CC215+CC214+CC212+CC202+CC213+CC217</f>
        <v>0.99999999999999989</v>
      </c>
      <c r="CD218" s="29">
        <f t="shared" ref="CD218" si="628">CD216+CD215+CD214+CD212+CD202+CD213+CD217</f>
        <v>1</v>
      </c>
      <c r="CE218" s="29">
        <f t="shared" ref="CE218:CJ218" si="629">CE216+CE215+CE214+CE212+CE202+CE213+CE217</f>
        <v>1</v>
      </c>
      <c r="CF218" s="30">
        <f>CF216+CF215+CF214+CF212+CF202+CF213+CF217</f>
        <v>1</v>
      </c>
      <c r="CG218" s="29">
        <f t="shared" si="629"/>
        <v>1.0000000000000002</v>
      </c>
      <c r="CH218" s="29">
        <f t="shared" si="629"/>
        <v>1.0000000000000002</v>
      </c>
      <c r="CI218" s="29">
        <f t="shared" si="629"/>
        <v>1</v>
      </c>
      <c r="CJ218" s="29">
        <f t="shared" si="629"/>
        <v>1</v>
      </c>
      <c r="CK218" s="30">
        <f>CK216+CK215+CK214+CK212+CK202+CK213+CK217</f>
        <v>0.99999999999999978</v>
      </c>
      <c r="CL218" s="29">
        <f t="shared" ref="CL218:CO218" si="630">CL216+CL215+CL214+CL212+CL202+CL213+CL217</f>
        <v>0.99999999999999989</v>
      </c>
      <c r="CM218" s="29">
        <f t="shared" si="630"/>
        <v>0.99999999999999989</v>
      </c>
      <c r="CN218" s="29">
        <f t="shared" si="630"/>
        <v>1.0000000000000004</v>
      </c>
      <c r="CO218" s="29">
        <f t="shared" si="630"/>
        <v>1</v>
      </c>
      <c r="CP218" s="30">
        <f>CP216+CP215+CP214+CP212+CP202+CP213+CP217</f>
        <v>1</v>
      </c>
      <c r="CQ218" s="29">
        <f t="shared" ref="CQ218:CT218" si="631">CQ216+CQ215+CQ214+CQ212+CQ202+CQ213+CQ217</f>
        <v>1.0000000000000013</v>
      </c>
      <c r="CR218" s="29">
        <f t="shared" si="631"/>
        <v>1</v>
      </c>
      <c r="CS218" s="29">
        <f t="shared" si="631"/>
        <v>1</v>
      </c>
      <c r="CT218" s="29">
        <f t="shared" si="631"/>
        <v>0.99999999999999989</v>
      </c>
      <c r="CU218" s="30">
        <f>CU216+CU215+CU214+CU212+CU202+CU213+CU217</f>
        <v>0.99999999999999978</v>
      </c>
      <c r="CV218" s="29">
        <f t="shared" ref="CV218" si="632">CV216+CV215+CV214+CV212+CV202+CV213+CV217</f>
        <v>0.99999999999999989</v>
      </c>
      <c r="CW218" s="29">
        <f t="shared" ref="CW218:CY218" si="633">CW216+CW215+CW214+CW212+CW202+CW213+CW217</f>
        <v>1</v>
      </c>
      <c r="CX218" s="29">
        <f t="shared" si="633"/>
        <v>0.99999999999999989</v>
      </c>
      <c r="CY218" s="29">
        <f t="shared" si="633"/>
        <v>0.99999999999999989</v>
      </c>
      <c r="CZ218" s="30">
        <f>CZ216+CZ215+CZ214+CZ212+CZ202+CZ213+CZ217</f>
        <v>1</v>
      </c>
      <c r="DA218" s="29">
        <f t="shared" ref="DA218:DD218" si="634">DA216+DA215+DA214+DA212+DA202+DA213+DA217</f>
        <v>1.0000000000000002</v>
      </c>
      <c r="DB218" s="29">
        <f t="shared" si="634"/>
        <v>1</v>
      </c>
      <c r="DC218" s="29">
        <f t="shared" si="634"/>
        <v>0.99999999999999978</v>
      </c>
      <c r="DD218" s="29">
        <f t="shared" si="634"/>
        <v>1</v>
      </c>
      <c r="DE218" s="30">
        <f>DE216+DE215+DE214+DE212+DE202+DE213+DE217</f>
        <v>1.0000000000000004</v>
      </c>
      <c r="DF218" s="29">
        <f t="shared" ref="DF218:DI218" si="635">DF216+DF215+DF214+DF212+DF202+DF213+DF217</f>
        <v>0.99999999999999911</v>
      </c>
      <c r="DG218" s="29">
        <f t="shared" si="635"/>
        <v>1</v>
      </c>
      <c r="DH218" s="29">
        <f t="shared" si="635"/>
        <v>1.0000000000000002</v>
      </c>
      <c r="DI218" s="29">
        <f t="shared" si="635"/>
        <v>1</v>
      </c>
      <c r="DJ218" s="30">
        <f>DJ216+DJ215+DJ214+DJ212+DJ202+DJ213+DJ217</f>
        <v>1.0000000000000002</v>
      </c>
      <c r="DK218" s="29">
        <f t="shared" ref="DK218:DN218" si="636">DK216+DK215+DK214+DK212+DK202+DK213+DK217</f>
        <v>1</v>
      </c>
      <c r="DL218" s="29">
        <f t="shared" si="636"/>
        <v>0.99999999999999978</v>
      </c>
      <c r="DM218" s="29">
        <f t="shared" si="636"/>
        <v>1.0000000000000002</v>
      </c>
      <c r="DN218" s="29">
        <f t="shared" si="636"/>
        <v>1</v>
      </c>
      <c r="DO218" s="30">
        <f>DO216+DO215+DO214+DO212+DO202+DO213+DO217</f>
        <v>1</v>
      </c>
      <c r="DP218" s="29">
        <f t="shared" ref="DP218" si="637">DP216+DP215+DP214+DP212+DP202+DP213+DP217</f>
        <v>1</v>
      </c>
      <c r="DQ218" s="29">
        <f t="shared" ref="DQ218:DS218" si="638">DQ216+DQ215+DQ214+DQ212+DQ202+DQ213+DQ217</f>
        <v>1</v>
      </c>
      <c r="DR218" s="29">
        <f t="shared" si="638"/>
        <v>1</v>
      </c>
      <c r="DS218" s="29">
        <f t="shared" si="638"/>
        <v>1</v>
      </c>
      <c r="DT218" s="30">
        <f>DT216+DT215+DT214+DT212+DT202+DT213+DT217</f>
        <v>1.0000000000000002</v>
      </c>
      <c r="DU218" s="29">
        <f t="shared" ref="DU218:DX218" si="639">DU216+DU215+DU214+DU212+DU202+DU213+DU217</f>
        <v>1.0000000000000002</v>
      </c>
      <c r="DV218" s="29">
        <f t="shared" si="639"/>
        <v>1</v>
      </c>
      <c r="DW218" s="29">
        <f t="shared" si="639"/>
        <v>1</v>
      </c>
      <c r="DX218" s="29">
        <f t="shared" si="639"/>
        <v>1</v>
      </c>
      <c r="DY218" s="30">
        <f>DY216+DY215+DY214+DY212+DY202+DY213+DY217</f>
        <v>0.99999999999999989</v>
      </c>
      <c r="DZ218" s="30">
        <f t="shared" ref="DZ218:EB218" si="640">DZ216+DZ215+DZ214+DZ212+DZ202+DZ213+DZ217</f>
        <v>1</v>
      </c>
      <c r="EA218" s="30">
        <f t="shared" si="640"/>
        <v>1</v>
      </c>
      <c r="EB218" s="30">
        <f t="shared" si="640"/>
        <v>0.99999999999999978</v>
      </c>
    </row>
    <row r="219" spans="2:132" s="241" customFormat="1" ht="12" customHeight="1">
      <c r="C219" s="301"/>
      <c r="D219" s="301"/>
      <c r="E219" s="301"/>
      <c r="F219" s="301"/>
      <c r="G219" s="301"/>
      <c r="H219" s="301"/>
      <c r="I219" s="301"/>
      <c r="J219" s="242"/>
      <c r="K219" s="242"/>
      <c r="L219" s="242"/>
      <c r="M219" s="242"/>
      <c r="N219" s="301"/>
      <c r="O219" s="242"/>
      <c r="P219" s="242"/>
      <c r="Q219" s="242"/>
      <c r="R219" s="242"/>
      <c r="S219" s="301"/>
      <c r="T219" s="242"/>
      <c r="U219" s="242"/>
      <c r="V219" s="242"/>
      <c r="W219" s="242"/>
      <c r="X219" s="301"/>
      <c r="Y219" s="242"/>
      <c r="Z219" s="242"/>
      <c r="AA219" s="242"/>
      <c r="AB219" s="242"/>
      <c r="AC219" s="301"/>
      <c r="AD219" s="242"/>
      <c r="AE219" s="242"/>
      <c r="AF219" s="242"/>
      <c r="AG219" s="242"/>
      <c r="AH219" s="301"/>
      <c r="AI219" s="242"/>
      <c r="AJ219" s="242"/>
      <c r="AK219" s="242"/>
      <c r="AL219" s="242"/>
      <c r="AM219" s="301"/>
      <c r="AN219" s="242"/>
      <c r="AO219" s="242"/>
      <c r="AP219" s="242"/>
      <c r="AQ219" s="242"/>
      <c r="AR219" s="301"/>
      <c r="AS219" s="242"/>
      <c r="AT219" s="242"/>
      <c r="AU219" s="242"/>
      <c r="AV219" s="242"/>
      <c r="AW219" s="301"/>
      <c r="AX219" s="242"/>
      <c r="AY219" s="242"/>
      <c r="AZ219" s="242"/>
      <c r="BA219" s="242"/>
      <c r="BB219" s="301"/>
      <c r="BC219" s="242"/>
      <c r="BD219" s="242"/>
      <c r="BE219" s="242"/>
      <c r="BF219" s="242"/>
      <c r="BG219" s="301"/>
      <c r="BH219" s="145"/>
      <c r="BI219" s="145"/>
      <c r="BJ219" s="145"/>
      <c r="BK219" s="145"/>
      <c r="BL219" s="144"/>
      <c r="BM219" s="145"/>
      <c r="BN219" s="145"/>
      <c r="BO219" s="145"/>
      <c r="BP219" s="145"/>
      <c r="BQ219" s="144"/>
      <c r="BR219" s="145"/>
      <c r="BS219" s="145"/>
      <c r="BT219" s="145"/>
      <c r="BU219" s="145"/>
      <c r="BV219" s="144"/>
      <c r="BW219" s="145"/>
      <c r="BX219" s="145"/>
      <c r="BY219" s="145"/>
      <c r="BZ219" s="145"/>
      <c r="CA219" s="144"/>
      <c r="CB219" s="145"/>
      <c r="CC219" s="145"/>
      <c r="CD219" s="145"/>
      <c r="CE219" s="145"/>
      <c r="CF219" s="144"/>
      <c r="CG219" s="145"/>
      <c r="CH219" s="145"/>
      <c r="CI219" s="145"/>
      <c r="CJ219" s="145"/>
      <c r="CK219" s="144"/>
      <c r="CL219" s="145"/>
      <c r="CM219" s="145"/>
      <c r="CN219" s="145"/>
      <c r="CO219" s="145"/>
      <c r="CP219" s="144"/>
      <c r="CQ219" s="145"/>
      <c r="CR219" s="145"/>
      <c r="CS219" s="145"/>
      <c r="CT219" s="145"/>
      <c r="CU219" s="144"/>
      <c r="CV219" s="145"/>
      <c r="CW219" s="145"/>
      <c r="CX219" s="145"/>
      <c r="CY219" s="145"/>
      <c r="CZ219" s="144"/>
      <c r="DA219" s="145"/>
      <c r="DB219" s="145"/>
      <c r="DC219" s="145"/>
      <c r="DD219" s="145"/>
      <c r="DE219" s="144"/>
      <c r="DF219" s="145"/>
      <c r="DG219" s="145"/>
      <c r="DH219" s="145"/>
      <c r="DI219" s="145"/>
      <c r="DJ219" s="144"/>
      <c r="DK219" s="145"/>
      <c r="DL219" s="145"/>
      <c r="DM219" s="145"/>
      <c r="DN219" s="145"/>
      <c r="DO219" s="144"/>
      <c r="DP219" s="145"/>
      <c r="DQ219" s="145"/>
      <c r="DR219" s="145"/>
      <c r="DS219" s="145"/>
      <c r="DT219" s="144"/>
      <c r="DU219" s="145"/>
      <c r="DV219" s="145"/>
      <c r="DW219" s="145"/>
      <c r="DX219" s="145"/>
      <c r="DY219" s="144"/>
      <c r="DZ219" s="144"/>
      <c r="EA219" s="144"/>
      <c r="EB219" s="144"/>
    </row>
    <row r="220" spans="2:132" s="241" customFormat="1" ht="12" customHeight="1">
      <c r="B220" s="74" t="s">
        <v>185</v>
      </c>
      <c r="C220" s="301"/>
      <c r="D220" s="301"/>
      <c r="E220" s="301"/>
      <c r="F220" s="301"/>
      <c r="G220" s="301"/>
      <c r="H220" s="301"/>
      <c r="I220" s="301"/>
      <c r="J220" s="242"/>
      <c r="K220" s="242"/>
      <c r="L220" s="242"/>
      <c r="M220" s="242"/>
      <c r="N220" s="301"/>
      <c r="O220" s="242"/>
      <c r="P220" s="242"/>
      <c r="Q220" s="242"/>
      <c r="R220" s="242"/>
      <c r="S220" s="301"/>
      <c r="T220" s="242"/>
      <c r="U220" s="242"/>
      <c r="V220" s="242"/>
      <c r="W220" s="242"/>
      <c r="X220" s="301"/>
      <c r="Y220" s="242"/>
      <c r="Z220" s="242"/>
      <c r="AA220" s="242"/>
      <c r="AB220" s="242"/>
      <c r="AC220" s="301"/>
      <c r="AD220" s="242"/>
      <c r="AE220" s="242"/>
      <c r="AF220" s="242"/>
      <c r="AG220" s="242"/>
      <c r="AH220" s="301"/>
      <c r="AI220" s="242"/>
      <c r="AJ220" s="242"/>
      <c r="AK220" s="242"/>
      <c r="AL220" s="242"/>
      <c r="AM220" s="301"/>
      <c r="AN220" s="242"/>
      <c r="AO220" s="242"/>
      <c r="AP220" s="242"/>
      <c r="AQ220" s="242"/>
      <c r="AR220" s="301"/>
      <c r="AS220" s="242"/>
      <c r="AT220" s="242"/>
      <c r="AU220" s="145"/>
      <c r="AV220" s="242"/>
      <c r="AW220" s="309"/>
      <c r="AX220" s="242"/>
      <c r="AY220" s="242"/>
      <c r="AZ220" s="242"/>
      <c r="BA220" s="242"/>
      <c r="BB220" s="309"/>
      <c r="BC220" s="242"/>
      <c r="BD220" s="242"/>
      <c r="BE220" s="242"/>
      <c r="BF220" s="242"/>
      <c r="BG220" s="309"/>
      <c r="BH220" s="145"/>
      <c r="BI220" s="145"/>
      <c r="BJ220" s="145"/>
      <c r="BK220" s="145"/>
      <c r="BL220" s="136"/>
      <c r="BM220" s="145"/>
      <c r="BN220" s="145"/>
      <c r="BO220" s="145"/>
      <c r="BP220" s="145"/>
      <c r="BQ220" s="136"/>
      <c r="BR220" s="145"/>
      <c r="BS220" s="145"/>
      <c r="BT220" s="145"/>
      <c r="BU220" s="145"/>
      <c r="BV220" s="136"/>
      <c r="BW220" s="145"/>
      <c r="BX220" s="145"/>
      <c r="BY220" s="145"/>
      <c r="BZ220" s="145"/>
      <c r="CA220" s="136"/>
      <c r="CB220" s="145"/>
      <c r="CC220" s="145"/>
      <c r="CD220" s="145"/>
      <c r="CE220" s="145"/>
      <c r="CF220" s="136"/>
      <c r="CG220" s="145"/>
      <c r="CH220" s="145"/>
      <c r="CI220" s="145"/>
      <c r="CJ220" s="145"/>
      <c r="CK220" s="136"/>
      <c r="CL220" s="145"/>
      <c r="CM220" s="145"/>
      <c r="CN220" s="145"/>
      <c r="CO220" s="145"/>
      <c r="CP220" s="136"/>
      <c r="CQ220" s="145"/>
      <c r="CR220" s="145"/>
      <c r="CS220" s="145"/>
      <c r="CT220" s="145"/>
      <c r="CU220" s="136"/>
      <c r="CV220" s="145"/>
      <c r="CW220" s="145"/>
      <c r="CX220" s="145"/>
      <c r="CY220" s="145"/>
      <c r="CZ220" s="136"/>
      <c r="DA220" s="145"/>
      <c r="DB220" s="145"/>
      <c r="DC220" s="145"/>
      <c r="DD220" s="145"/>
      <c r="DE220" s="136"/>
      <c r="DF220" s="145"/>
      <c r="DG220" s="145"/>
      <c r="DH220" s="145"/>
      <c r="DI220" s="145"/>
      <c r="DJ220" s="136"/>
      <c r="DK220" s="145"/>
      <c r="DL220" s="145"/>
      <c r="DM220" s="145"/>
      <c r="DN220" s="145"/>
      <c r="DO220" s="136"/>
      <c r="DP220" s="145"/>
      <c r="DQ220" s="145"/>
      <c r="DR220" s="145"/>
      <c r="DS220" s="145"/>
      <c r="DT220" s="136"/>
      <c r="DU220" s="145"/>
      <c r="DV220" s="145"/>
      <c r="DW220" s="145"/>
      <c r="DX220" s="145"/>
      <c r="DY220" s="136"/>
      <c r="DZ220" s="136"/>
      <c r="EA220" s="136"/>
      <c r="EB220" s="136"/>
    </row>
    <row r="221" spans="2:132" s="241" customFormat="1" ht="12" customHeight="1">
      <c r="B221" s="305" t="s">
        <v>105</v>
      </c>
      <c r="C221" s="309">
        <f t="shared" ref="C221:AH221" si="641">IF(ISERROR(C168/C36),"",(C168/C36))</f>
        <v>-6.8216420958817636E-2</v>
      </c>
      <c r="D221" s="309">
        <f t="shared" si="641"/>
        <v>1.7724011816007876E-3</v>
      </c>
      <c r="E221" s="309">
        <f t="shared" si="641"/>
        <v>5.2487698195735372E-2</v>
      </c>
      <c r="F221" s="309">
        <f t="shared" si="641"/>
        <v>8.7773892399987161E-2</v>
      </c>
      <c r="G221" s="309">
        <f t="shared" si="641"/>
        <v>7.5079872204472847E-2</v>
      </c>
      <c r="H221" s="309">
        <f t="shared" si="641"/>
        <v>0.10029238736041146</v>
      </c>
      <c r="I221" s="309">
        <f t="shared" si="641"/>
        <v>3.1551231702963228E-2</v>
      </c>
      <c r="J221" s="305">
        <f t="shared" si="641"/>
        <v>6.6041275797373358E-2</v>
      </c>
      <c r="K221" s="305">
        <f t="shared" si="641"/>
        <v>6.7360253923470281E-2</v>
      </c>
      <c r="L221" s="305">
        <f t="shared" si="641"/>
        <v>3.6222509702457953E-2</v>
      </c>
      <c r="M221" s="305">
        <f t="shared" si="641"/>
        <v>-2.7602815857725085E-2</v>
      </c>
      <c r="N221" s="309">
        <f t="shared" si="641"/>
        <v>3.5794077102248419E-2</v>
      </c>
      <c r="O221" s="305">
        <f t="shared" si="641"/>
        <v>7.6635145784081954E-2</v>
      </c>
      <c r="P221" s="305">
        <f t="shared" si="641"/>
        <v>6.9791360564208052E-2</v>
      </c>
      <c r="Q221" s="305">
        <f t="shared" si="641"/>
        <v>4.8442906574394463E-2</v>
      </c>
      <c r="R221" s="305">
        <f t="shared" si="641"/>
        <v>5.6352459016393443E-2</v>
      </c>
      <c r="S221" s="309">
        <f t="shared" si="641"/>
        <v>6.3220166880049444E-2</v>
      </c>
      <c r="T221" s="305">
        <f t="shared" si="641"/>
        <v>9.9673897632213238E-2</v>
      </c>
      <c r="U221" s="305">
        <f t="shared" si="641"/>
        <v>0.10108252495430901</v>
      </c>
      <c r="V221" s="305">
        <f t="shared" si="641"/>
        <v>9.6518750933811445E-2</v>
      </c>
      <c r="W221" s="305">
        <f t="shared" si="641"/>
        <v>8.7430975545621875E-2</v>
      </c>
      <c r="X221" s="309">
        <f t="shared" si="641"/>
        <v>9.6012647110486557E-2</v>
      </c>
      <c r="Y221" s="305">
        <f t="shared" si="641"/>
        <v>9.3448047650562541E-2</v>
      </c>
      <c r="Z221" s="305">
        <f t="shared" si="641"/>
        <v>0.11025611576892155</v>
      </c>
      <c r="AA221" s="305">
        <f t="shared" si="641"/>
        <v>0.1144344877694357</v>
      </c>
      <c r="AB221" s="305">
        <f t="shared" si="641"/>
        <v>0.10974509361606136</v>
      </c>
      <c r="AC221" s="309">
        <f t="shared" si="641"/>
        <v>0.10735038638950459</v>
      </c>
      <c r="AD221" s="305">
        <f t="shared" si="641"/>
        <v>0.12045092513172405</v>
      </c>
      <c r="AE221" s="305">
        <f t="shared" si="641"/>
        <v>9.0696860044356245E-2</v>
      </c>
      <c r="AF221" s="305">
        <f t="shared" si="641"/>
        <v>5.6723293982147996E-2</v>
      </c>
      <c r="AG221" s="305">
        <f t="shared" si="641"/>
        <v>-0.21093920244061887</v>
      </c>
      <c r="AH221" s="309">
        <f t="shared" si="641"/>
        <v>4.1962990482255956E-2</v>
      </c>
      <c r="AI221" s="305">
        <f t="shared" ref="AI221:BN221" si="642">IF(ISERROR(AI168/AI36),"",(AI168/AI36))</f>
        <v>4.8749123217208326E-2</v>
      </c>
      <c r="AJ221" s="305">
        <f t="shared" si="642"/>
        <v>9.6904281817103546E-2</v>
      </c>
      <c r="AK221" s="305">
        <f t="shared" si="642"/>
        <v>-0.35988836737282759</v>
      </c>
      <c r="AL221" s="305">
        <f t="shared" si="642"/>
        <v>0.11107481215289121</v>
      </c>
      <c r="AM221" s="309">
        <f t="shared" si="642"/>
        <v>-1.7121376758391826E-2</v>
      </c>
      <c r="AN221" s="305">
        <f t="shared" si="642"/>
        <v>9.0921264059989293E-2</v>
      </c>
      <c r="AO221" s="305">
        <f t="shared" si="642"/>
        <v>9.1887528588725953E-2</v>
      </c>
      <c r="AP221" s="305">
        <f t="shared" si="642"/>
        <v>0.11624185621213853</v>
      </c>
      <c r="AQ221" s="305">
        <f t="shared" si="642"/>
        <v>7.6612903225806453E-2</v>
      </c>
      <c r="AR221" s="309">
        <f t="shared" si="642"/>
        <v>9.4427341835773074E-2</v>
      </c>
      <c r="AS221" s="305">
        <f t="shared" si="642"/>
        <v>7.1508850800786741E-2</v>
      </c>
      <c r="AT221" s="305">
        <f t="shared" si="642"/>
        <v>0.10403709148479023</v>
      </c>
      <c r="AU221" s="137">
        <f t="shared" si="642"/>
        <v>0.11403047819232791</v>
      </c>
      <c r="AV221" s="137">
        <f t="shared" si="642"/>
        <v>9.1725105189340808E-2</v>
      </c>
      <c r="AW221" s="309">
        <f t="shared" si="642"/>
        <v>9.6624367587293689E-2</v>
      </c>
      <c r="AX221" s="137">
        <f t="shared" si="642"/>
        <v>9.8838804059614149E-2</v>
      </c>
      <c r="AY221" s="137">
        <f t="shared" si="642"/>
        <v>0.10225449632694418</v>
      </c>
      <c r="AZ221" s="137">
        <f t="shared" si="642"/>
        <v>9.4616773346463151E-2</v>
      </c>
      <c r="BA221" s="137">
        <f t="shared" si="642"/>
        <v>8.9400466068780451E-2</v>
      </c>
      <c r="BB221" s="309">
        <f t="shared" si="642"/>
        <v>9.5894314735277958E-2</v>
      </c>
      <c r="BC221" s="137">
        <f t="shared" si="642"/>
        <v>0.11403180542563143</v>
      </c>
      <c r="BD221" s="137">
        <f t="shared" si="642"/>
        <v>0.10665002935995302</v>
      </c>
      <c r="BE221" s="137">
        <f t="shared" si="642"/>
        <v>0.11560734968184742</v>
      </c>
      <c r="BF221" s="137">
        <f t="shared" si="642"/>
        <v>0.10260689495446279</v>
      </c>
      <c r="BG221" s="136">
        <f t="shared" si="642"/>
        <v>0.10938387695281165</v>
      </c>
      <c r="BH221" s="137">
        <f t="shared" si="642"/>
        <v>0.1179241579649839</v>
      </c>
      <c r="BI221" s="137">
        <f t="shared" si="642"/>
        <v>0.10836129753914989</v>
      </c>
      <c r="BJ221" s="137">
        <f t="shared" si="642"/>
        <v>0.11154562383612662</v>
      </c>
      <c r="BK221" s="137">
        <f t="shared" si="642"/>
        <v>9.2760852782231729E-2</v>
      </c>
      <c r="BL221" s="136">
        <f t="shared" si="642"/>
        <v>0.10686781130188365</v>
      </c>
      <c r="BM221" s="137">
        <f t="shared" si="642"/>
        <v>0.10512970548078798</v>
      </c>
      <c r="BN221" s="137">
        <f t="shared" si="642"/>
        <v>7.1458197546957397E-2</v>
      </c>
      <c r="BO221" s="137">
        <f t="shared" ref="BO221:CT221" si="643">IF(ISERROR(BO168/BO36),"",(BO168/BO36))</f>
        <v>9.9932172733438837E-2</v>
      </c>
      <c r="BP221" s="137">
        <f t="shared" si="643"/>
        <v>3.5159647161138029E-2</v>
      </c>
      <c r="BQ221" s="136">
        <f t="shared" si="643"/>
        <v>7.8079578488372089E-2</v>
      </c>
      <c r="BR221" s="137">
        <f t="shared" si="643"/>
        <v>6.19379056854618E-2</v>
      </c>
      <c r="BS221" s="137">
        <f t="shared" si="643"/>
        <v>-8.1889663108099475E-2</v>
      </c>
      <c r="BT221" s="137">
        <f t="shared" si="643"/>
        <v>8.5065789473684206E-2</v>
      </c>
      <c r="BU221" s="137">
        <f t="shared" si="643"/>
        <v>8.2811848143512723E-2</v>
      </c>
      <c r="BV221" s="136">
        <f t="shared" si="643"/>
        <v>3.4389436668275528E-2</v>
      </c>
      <c r="BW221" s="137">
        <f t="shared" si="643"/>
        <v>6.7165907511773329E-2</v>
      </c>
      <c r="BX221" s="137">
        <f t="shared" si="643"/>
        <v>8.9775910364145659E-2</v>
      </c>
      <c r="BY221" s="137">
        <f t="shared" si="643"/>
        <v>9.829143117001235E-2</v>
      </c>
      <c r="BZ221" s="137">
        <f t="shared" si="643"/>
        <v>0.11612945152066545</v>
      </c>
      <c r="CA221" s="136">
        <f t="shared" si="643"/>
        <v>9.3977315820319235E-2</v>
      </c>
      <c r="CB221" s="137">
        <f t="shared" si="643"/>
        <v>0.10907686365392043</v>
      </c>
      <c r="CC221" s="137">
        <f t="shared" si="643"/>
        <v>0.12793864678899083</v>
      </c>
      <c r="CD221" s="137">
        <f t="shared" si="643"/>
        <v>0.14448155781394356</v>
      </c>
      <c r="CE221" s="137">
        <f t="shared" si="643"/>
        <v>0.15728026132720344</v>
      </c>
      <c r="CF221" s="136">
        <f t="shared" si="643"/>
        <v>0.13617628132663176</v>
      </c>
      <c r="CG221" s="137">
        <f t="shared" si="643"/>
        <v>9.9221789883268477E-2</v>
      </c>
      <c r="CH221" s="137">
        <f t="shared" si="643"/>
        <v>-1.0474375264718341</v>
      </c>
      <c r="CI221" s="137">
        <f t="shared" si="643"/>
        <v>-4.8490726148624078E-3</v>
      </c>
      <c r="CJ221" s="137">
        <f t="shared" si="643"/>
        <v>-0.38113106405789332</v>
      </c>
      <c r="CK221" s="136">
        <f t="shared" si="643"/>
        <v>-0.20638660672763912</v>
      </c>
      <c r="CL221" s="137">
        <f t="shared" si="643"/>
        <v>-0.3332796132151491</v>
      </c>
      <c r="CM221" s="137">
        <f t="shared" si="643"/>
        <v>-1.6913655848132272</v>
      </c>
      <c r="CN221" s="137">
        <f t="shared" si="643"/>
        <v>-0.38070077864293661</v>
      </c>
      <c r="CO221" s="137">
        <f t="shared" si="643"/>
        <v>-1.6175972927241962</v>
      </c>
      <c r="CP221" s="136">
        <f t="shared" si="643"/>
        <v>-0.856762776884049</v>
      </c>
      <c r="CQ221" s="137">
        <f t="shared" si="643"/>
        <v>-0.20051534317170297</v>
      </c>
      <c r="CR221" s="137">
        <f t="shared" si="643"/>
        <v>-7.8470490440565255E-2</v>
      </c>
      <c r="CS221" s="137">
        <f t="shared" si="643"/>
        <v>-0.15541601255886969</v>
      </c>
      <c r="CT221" s="137">
        <f t="shared" si="643"/>
        <v>-0.93768421052631579</v>
      </c>
      <c r="CU221" s="136">
        <f t="shared" ref="CU221:DQ221" si="644">IF(ISERROR(CU168/CU36),"",(CU168/CU36))</f>
        <v>-0.33217052275175701</v>
      </c>
      <c r="CV221" s="137">
        <f t="shared" si="644"/>
        <v>-0.20644075943282864</v>
      </c>
      <c r="CW221" s="137">
        <f t="shared" si="644"/>
        <v>-3.8913008522270462E-2</v>
      </c>
      <c r="CX221" s="137">
        <f t="shared" si="644"/>
        <v>-0.10266645377614561</v>
      </c>
      <c r="CY221" s="137">
        <f t="shared" si="644"/>
        <v>-6.7866435385949692E-2</v>
      </c>
      <c r="CZ221" s="136">
        <f t="shared" si="644"/>
        <v>-9.1622530637491789E-2</v>
      </c>
      <c r="DA221" s="137">
        <f t="shared" si="644"/>
        <v>-9.1736276849642001E-2</v>
      </c>
      <c r="DB221" s="137">
        <f t="shared" si="644"/>
        <v>-4.3325791855203619E-2</v>
      </c>
      <c r="DC221" s="137">
        <f t="shared" si="644"/>
        <v>-8.6084306754697817E-2</v>
      </c>
      <c r="DD221" s="137">
        <f t="shared" si="644"/>
        <v>3.9118404732372868E-3</v>
      </c>
      <c r="DE221" s="136">
        <f t="shared" si="644"/>
        <v>-4.8228665821067225E-2</v>
      </c>
      <c r="DF221" s="137">
        <f t="shared" si="644"/>
        <v>-0.24564796905222436</v>
      </c>
      <c r="DG221" s="137">
        <f t="shared" si="644"/>
        <v>-0.11910711311011161</v>
      </c>
      <c r="DH221" s="137">
        <f t="shared" si="644"/>
        <v>-0.5402391508800215</v>
      </c>
      <c r="DI221" s="137">
        <f t="shared" si="644"/>
        <v>-0.43889122217555648</v>
      </c>
      <c r="DJ221" s="136">
        <f t="shared" si="644"/>
        <v>-0.34858492629368792</v>
      </c>
      <c r="DK221" s="137">
        <f t="shared" si="644"/>
        <v>-6.5913833312875911E-2</v>
      </c>
      <c r="DL221" s="137">
        <f t="shared" si="644"/>
        <v>-5.1223100974802281E-2</v>
      </c>
      <c r="DM221" s="137">
        <f t="shared" si="644"/>
        <v>-0.4825130701279971</v>
      </c>
      <c r="DN221" s="137">
        <f t="shared" si="644"/>
        <v>-5.5540908691449162E-2</v>
      </c>
      <c r="DO221" s="136">
        <f t="shared" si="644"/>
        <v>-0.17060297874391478</v>
      </c>
      <c r="DP221" s="137">
        <f t="shared" si="644"/>
        <v>-6.117570357492122E-2</v>
      </c>
      <c r="DQ221" s="137">
        <f t="shared" si="644"/>
        <v>-2.740192324057527E-2</v>
      </c>
      <c r="DR221" s="138">
        <v>-0.03</v>
      </c>
      <c r="DS221" s="138">
        <v>0</v>
      </c>
      <c r="DT221" s="136">
        <f>IF(ISERROR(DT168/DT36),"",(DT168/DT36))</f>
        <v>-2.7215251167550702E-2</v>
      </c>
      <c r="DU221" s="138">
        <v>-3.2000000000000001E-2</v>
      </c>
      <c r="DV221" s="138">
        <v>1.7999999999999999E-2</v>
      </c>
      <c r="DW221" s="138">
        <v>4.3999999999999997E-2</v>
      </c>
      <c r="DX221" s="138">
        <v>6.2E-2</v>
      </c>
      <c r="DY221" s="136">
        <f>IF(ISERROR(DY168/DY36),"",(DY168/DY36))</f>
        <v>2.7575162416415031E-2</v>
      </c>
      <c r="DZ221" s="139">
        <v>7.0999999999999994E-2</v>
      </c>
      <c r="EA221" s="139">
        <v>0.105</v>
      </c>
      <c r="EB221" s="139">
        <v>0.14399999999999999</v>
      </c>
    </row>
    <row r="222" spans="2:132" s="241" customFormat="1" ht="12" hidden="1" customHeight="1">
      <c r="B222" s="853" t="s">
        <v>106</v>
      </c>
      <c r="C222" s="342" t="str">
        <f t="shared" ref="C222:AH222" si="645">IF(ISERROR(C169/C38),"",(C169/C38))</f>
        <v/>
      </c>
      <c r="D222" s="342" t="str">
        <f t="shared" si="645"/>
        <v/>
      </c>
      <c r="E222" s="342" t="str">
        <f t="shared" si="645"/>
        <v/>
      </c>
      <c r="F222" s="342" t="str">
        <f t="shared" si="645"/>
        <v/>
      </c>
      <c r="G222" s="342" t="str">
        <f t="shared" si="645"/>
        <v/>
      </c>
      <c r="H222" s="342" t="str">
        <f t="shared" si="645"/>
        <v/>
      </c>
      <c r="I222" s="342" t="str">
        <f t="shared" si="645"/>
        <v/>
      </c>
      <c r="J222" s="343" t="str">
        <f t="shared" si="645"/>
        <v/>
      </c>
      <c r="K222" s="343" t="str">
        <f t="shared" si="645"/>
        <v/>
      </c>
      <c r="L222" s="343" t="str">
        <f t="shared" si="645"/>
        <v/>
      </c>
      <c r="M222" s="343" t="str">
        <f t="shared" si="645"/>
        <v/>
      </c>
      <c r="N222" s="342">
        <f t="shared" si="645"/>
        <v>0.13221659524737048</v>
      </c>
      <c r="O222" s="343">
        <f t="shared" si="645"/>
        <v>0.11947728686994399</v>
      </c>
      <c r="P222" s="343">
        <f t="shared" si="645"/>
        <v>0.12617487895186558</v>
      </c>
      <c r="Q222" s="343">
        <f t="shared" si="645"/>
        <v>0.13427911580336521</v>
      </c>
      <c r="R222" s="343">
        <f t="shared" si="645"/>
        <v>0.1387852956846031</v>
      </c>
      <c r="S222" s="342">
        <f t="shared" si="645"/>
        <v>0.12990377498149519</v>
      </c>
      <c r="T222" s="343">
        <f t="shared" si="645"/>
        <v>0.15093740069907849</v>
      </c>
      <c r="U222" s="343">
        <f t="shared" si="645"/>
        <v>-1.4658457930225739E-3</v>
      </c>
      <c r="V222" s="343">
        <f t="shared" si="645"/>
        <v>0.1358664363845711</v>
      </c>
      <c r="W222" s="343">
        <f t="shared" si="645"/>
        <v>6.8550254747568318E-2</v>
      </c>
      <c r="X222" s="342">
        <f t="shared" si="645"/>
        <v>8.6271777003484318E-2</v>
      </c>
      <c r="Y222" s="343">
        <f t="shared" si="645"/>
        <v>0.1286193233770192</v>
      </c>
      <c r="Z222" s="343">
        <f t="shared" si="645"/>
        <v>0.11864406779661017</v>
      </c>
      <c r="AA222" s="343">
        <f t="shared" si="645"/>
        <v>0.12023809523809524</v>
      </c>
      <c r="AB222" s="343">
        <f t="shared" si="645"/>
        <v>0.10960795140806184</v>
      </c>
      <c r="AC222" s="342">
        <f t="shared" si="645"/>
        <v>0.11903544026306175</v>
      </c>
      <c r="AD222" s="343">
        <f t="shared" si="645"/>
        <v>0.11992504684572143</v>
      </c>
      <c r="AE222" s="343">
        <f t="shared" si="645"/>
        <v>4.8085758039816233E-2</v>
      </c>
      <c r="AF222" s="343">
        <f t="shared" si="645"/>
        <v>9.8755626158326712E-2</v>
      </c>
      <c r="AG222" s="343">
        <f t="shared" si="645"/>
        <v>0.11433986102337335</v>
      </c>
      <c r="AH222" s="342">
        <f t="shared" si="645"/>
        <v>9.5152870991797173E-2</v>
      </c>
      <c r="AI222" s="343">
        <f t="shared" ref="AI222:BN222" si="646">IF(ISERROR(AI169/AI38),"",(AI169/AI38))</f>
        <v>9.3687707641196008E-2</v>
      </c>
      <c r="AJ222" s="343">
        <f t="shared" si="646"/>
        <v>0.11656259292298543</v>
      </c>
      <c r="AK222" s="343">
        <f t="shared" si="646"/>
        <v>0.12300683371298406</v>
      </c>
      <c r="AL222" s="343">
        <f t="shared" si="646"/>
        <v>9.4562014465577285E-2</v>
      </c>
      <c r="AM222" s="342">
        <f t="shared" si="646"/>
        <v>0.10763320765454934</v>
      </c>
      <c r="AN222" s="343">
        <f t="shared" si="646"/>
        <v>8.2381980870101817E-2</v>
      </c>
      <c r="AO222" s="343">
        <f t="shared" si="646"/>
        <v>9.9441340782122911E-2</v>
      </c>
      <c r="AP222" s="343">
        <f t="shared" si="646"/>
        <v>8.2321899736147758E-2</v>
      </c>
      <c r="AQ222" s="343">
        <f t="shared" si="646"/>
        <v>8.9054314860766468E-2</v>
      </c>
      <c r="AR222" s="342">
        <f t="shared" si="646"/>
        <v>8.8355106054221103E-2</v>
      </c>
      <c r="AS222" s="343">
        <f t="shared" si="646"/>
        <v>0.10878537735849056</v>
      </c>
      <c r="AT222" s="343">
        <f t="shared" si="646"/>
        <v>0.10598572213069742</v>
      </c>
      <c r="AU222" s="551">
        <f t="shared" si="646"/>
        <v>0.10015136226034309</v>
      </c>
      <c r="AV222" s="551">
        <f t="shared" si="646"/>
        <v>9.4707520891364902E-2</v>
      </c>
      <c r="AW222" s="342">
        <f t="shared" si="646"/>
        <v>0.10209406569880243</v>
      </c>
      <c r="AX222" s="551">
        <f t="shared" si="646"/>
        <v>0.10143918291550603</v>
      </c>
      <c r="AY222" s="551">
        <f t="shared" si="646"/>
        <v>8.789346246973366E-2</v>
      </c>
      <c r="AZ222" s="551">
        <f t="shared" si="646"/>
        <v>0.11744523621008182</v>
      </c>
      <c r="BA222" s="551">
        <f t="shared" si="646"/>
        <v>8.082751984604282E-2</v>
      </c>
      <c r="BB222" s="342">
        <f t="shared" si="646"/>
        <v>9.649658203125E-2</v>
      </c>
      <c r="BC222" s="551">
        <f t="shared" si="646"/>
        <v>0.10464833292771963</v>
      </c>
      <c r="BD222" s="551">
        <f t="shared" si="646"/>
        <v>9.5911545384417582E-2</v>
      </c>
      <c r="BE222" s="551">
        <f t="shared" si="646"/>
        <v>6.2376517075924356E-2</v>
      </c>
      <c r="BF222" s="551">
        <f t="shared" si="646"/>
        <v>0.10034129692832765</v>
      </c>
      <c r="BG222" s="574">
        <f t="shared" si="646"/>
        <v>9.1930220883534142E-2</v>
      </c>
      <c r="BH222" s="551">
        <f t="shared" si="646"/>
        <v>9.6009253903990746E-2</v>
      </c>
      <c r="BI222" s="551">
        <f t="shared" si="646"/>
        <v>4.683508373545274E-2</v>
      </c>
      <c r="BJ222" s="551">
        <f t="shared" si="646"/>
        <v>0.12439920836867402</v>
      </c>
      <c r="BK222" s="551">
        <f t="shared" si="646"/>
        <v>0.12261944537253591</v>
      </c>
      <c r="BL222" s="574">
        <f t="shared" si="646"/>
        <v>9.6513951594996664E-2</v>
      </c>
      <c r="BM222" s="551">
        <f t="shared" si="646"/>
        <v>9.5116618075801754E-2</v>
      </c>
      <c r="BN222" s="551">
        <f t="shared" si="646"/>
        <v>3.5263761467889905E-2</v>
      </c>
      <c r="BO222" s="551">
        <f t="shared" ref="BO222:BX222" si="647">IF(ISERROR(BO169/BO38),"",(BO169/BO38))</f>
        <v>0.12243890397432733</v>
      </c>
      <c r="BP222" s="551">
        <f t="shared" si="647"/>
        <v>0.13691778680837763</v>
      </c>
      <c r="BQ222" s="574">
        <f t="shared" si="647"/>
        <v>9.7759976264649162E-2</v>
      </c>
      <c r="BR222" s="551">
        <f t="shared" si="647"/>
        <v>9.1281770975676413E-2</v>
      </c>
      <c r="BS222" s="551">
        <f t="shared" si="647"/>
        <v>5.8744545149378984E-2</v>
      </c>
      <c r="BT222" s="551">
        <f t="shared" si="647"/>
        <v>0.13312883435582823</v>
      </c>
      <c r="BU222" s="551">
        <f t="shared" si="647"/>
        <v>0.11004967520061139</v>
      </c>
      <c r="BV222" s="574">
        <f t="shared" si="647"/>
        <v>9.8361965641230523E-2</v>
      </c>
      <c r="BW222" s="551">
        <f t="shared" si="647"/>
        <v>0.12177541729893779</v>
      </c>
      <c r="BX222" s="551">
        <f t="shared" si="647"/>
        <v>0.1315426997245179</v>
      </c>
      <c r="BY222" s="854"/>
      <c r="BZ222" s="854"/>
      <c r="CA222" s="574"/>
      <c r="CB222" s="551" t="str">
        <f>IF(ISERROR(CB169/CB38),"",(CB169/CB38))</f>
        <v/>
      </c>
      <c r="CC222" s="854"/>
      <c r="CD222" s="854"/>
      <c r="CE222" s="854"/>
      <c r="CF222" s="574"/>
      <c r="CG222" s="854"/>
      <c r="CH222" s="854"/>
      <c r="CI222" s="854"/>
      <c r="CJ222" s="854"/>
      <c r="CK222" s="574"/>
      <c r="CL222" s="854"/>
      <c r="CM222" s="854"/>
      <c r="CN222" s="854"/>
      <c r="CO222" s="854"/>
      <c r="CP222" s="574"/>
      <c r="CQ222" s="854"/>
      <c r="CR222" s="854"/>
      <c r="CS222" s="854"/>
      <c r="CT222" s="854"/>
      <c r="CU222" s="574"/>
      <c r="CV222" s="854"/>
      <c r="CW222" s="854"/>
      <c r="CX222" s="854"/>
      <c r="CY222" s="854"/>
      <c r="CZ222" s="574"/>
      <c r="DA222" s="854"/>
      <c r="DB222" s="551"/>
      <c r="DC222" s="854"/>
      <c r="DD222" s="854"/>
      <c r="DE222" s="574"/>
      <c r="DF222" s="551"/>
      <c r="DG222" s="551"/>
      <c r="DH222" s="854"/>
      <c r="DI222" s="854"/>
      <c r="DJ222" s="574"/>
      <c r="DK222" s="551"/>
      <c r="DL222" s="854"/>
      <c r="DM222" s="854"/>
      <c r="DN222" s="854"/>
      <c r="DO222" s="574"/>
      <c r="DP222" s="551"/>
      <c r="DQ222" s="854"/>
      <c r="DR222" s="854"/>
      <c r="DS222" s="854"/>
      <c r="DT222" s="574"/>
      <c r="DU222" s="854"/>
      <c r="DV222" s="854"/>
      <c r="DW222" s="854"/>
      <c r="DX222" s="854"/>
      <c r="DY222" s="574"/>
      <c r="DZ222" s="855"/>
      <c r="EA222" s="855"/>
      <c r="EB222" s="855"/>
    </row>
    <row r="223" spans="2:132" s="241" customFormat="1" ht="12" hidden="1" customHeight="1">
      <c r="B223" s="339" t="s">
        <v>107</v>
      </c>
      <c r="C223" s="309" t="str">
        <f t="shared" ref="C223:AH223" si="648">IF(ISERROR(C170/C39),"",(C170/C39))</f>
        <v/>
      </c>
      <c r="D223" s="309" t="str">
        <f t="shared" si="648"/>
        <v/>
      </c>
      <c r="E223" s="309" t="str">
        <f t="shared" si="648"/>
        <v/>
      </c>
      <c r="F223" s="309" t="str">
        <f t="shared" si="648"/>
        <v/>
      </c>
      <c r="G223" s="309" t="str">
        <f t="shared" si="648"/>
        <v/>
      </c>
      <c r="H223" s="309" t="str">
        <f t="shared" si="648"/>
        <v/>
      </c>
      <c r="I223" s="309" t="str">
        <f t="shared" si="648"/>
        <v/>
      </c>
      <c r="J223" s="305" t="str">
        <f t="shared" si="648"/>
        <v/>
      </c>
      <c r="K223" s="305" t="str">
        <f t="shared" si="648"/>
        <v/>
      </c>
      <c r="L223" s="305" t="str">
        <f t="shared" si="648"/>
        <v/>
      </c>
      <c r="M223" s="305" t="str">
        <f t="shared" si="648"/>
        <v/>
      </c>
      <c r="N223" s="309">
        <f t="shared" si="648"/>
        <v>4.4306227443753357E-2</v>
      </c>
      <c r="O223" s="305">
        <f t="shared" si="648"/>
        <v>9.1868404717566729E-2</v>
      </c>
      <c r="P223" s="305">
        <f t="shared" si="648"/>
        <v>6.4308681672025719E-2</v>
      </c>
      <c r="Q223" s="305">
        <f t="shared" si="648"/>
        <v>0.23451910408432147</v>
      </c>
      <c r="R223" s="305">
        <f t="shared" si="648"/>
        <v>6.6181566181566176E-2</v>
      </c>
      <c r="S223" s="309">
        <f t="shared" si="648"/>
        <v>0.114166802676677</v>
      </c>
      <c r="T223" s="305">
        <f t="shared" si="648"/>
        <v>5.5232558139534885E-2</v>
      </c>
      <c r="U223" s="305">
        <f t="shared" si="648"/>
        <v>3.6986766202918221E-2</v>
      </c>
      <c r="V223" s="305">
        <f t="shared" si="648"/>
        <v>7.9831932773109238E-2</v>
      </c>
      <c r="W223" s="305">
        <f t="shared" si="648"/>
        <v>0.13693430656934308</v>
      </c>
      <c r="X223" s="309">
        <f t="shared" si="648"/>
        <v>7.9966611018363942E-2</v>
      </c>
      <c r="Y223" s="305">
        <f t="shared" si="648"/>
        <v>5.6722689075630252E-2</v>
      </c>
      <c r="Z223" s="305">
        <f t="shared" si="648"/>
        <v>8.6986068637444791E-2</v>
      </c>
      <c r="AA223" s="305">
        <f t="shared" si="648"/>
        <v>5.9214903526280775E-2</v>
      </c>
      <c r="AB223" s="305">
        <f t="shared" si="648"/>
        <v>0.10204081632653061</v>
      </c>
      <c r="AC223" s="309">
        <f t="shared" si="648"/>
        <v>7.6179890560875513E-2</v>
      </c>
      <c r="AD223" s="305">
        <f t="shared" si="648"/>
        <v>9.9109131403118042E-2</v>
      </c>
      <c r="AE223" s="305">
        <f t="shared" si="648"/>
        <v>8.4522111269614841E-2</v>
      </c>
      <c r="AF223" s="305">
        <f t="shared" si="648"/>
        <v>0.10087131367292225</v>
      </c>
      <c r="AG223" s="305">
        <f t="shared" si="648"/>
        <v>7.9470198675496692E-2</v>
      </c>
      <c r="AH223" s="309">
        <f t="shared" si="648"/>
        <v>9.1005197779931282E-2</v>
      </c>
      <c r="AI223" s="305">
        <f t="shared" ref="AI223:BN223" si="649">IF(ISERROR(AI170/AI39),"",(AI170/AI39))</f>
        <v>7.729648991784914E-2</v>
      </c>
      <c r="AJ223" s="305">
        <f t="shared" si="649"/>
        <v>7.7022236545278761E-2</v>
      </c>
      <c r="AK223" s="305">
        <f t="shared" si="649"/>
        <v>9.295462928808558E-2</v>
      </c>
      <c r="AL223" s="305">
        <f t="shared" si="649"/>
        <v>5.9119496855345913E-2</v>
      </c>
      <c r="AM223" s="309">
        <f t="shared" si="649"/>
        <v>7.7135239496184616E-2</v>
      </c>
      <c r="AN223" s="305">
        <f t="shared" si="649"/>
        <v>7.4903142488161864E-2</v>
      </c>
      <c r="AO223" s="305">
        <f t="shared" si="649"/>
        <v>7.0943075615972809E-2</v>
      </c>
      <c r="AP223" s="305">
        <f t="shared" si="649"/>
        <v>6.4846416382252553E-2</v>
      </c>
      <c r="AQ223" s="305">
        <f t="shared" si="649"/>
        <v>8.9564502875924407E-2</v>
      </c>
      <c r="AR223" s="309">
        <f t="shared" si="649"/>
        <v>7.5198307773664722E-2</v>
      </c>
      <c r="AS223" s="305">
        <f t="shared" si="649"/>
        <v>6.0876968922945932E-2</v>
      </c>
      <c r="AT223" s="305">
        <f t="shared" si="649"/>
        <v>9.5146564151850077E-2</v>
      </c>
      <c r="AU223" s="137">
        <f t="shared" si="649"/>
        <v>7.8646748681898068E-2</v>
      </c>
      <c r="AV223" s="137">
        <f t="shared" si="649"/>
        <v>8.6426029486527708E-2</v>
      </c>
      <c r="AW223" s="309">
        <f t="shared" si="649"/>
        <v>7.9557246627464551E-2</v>
      </c>
      <c r="AX223" s="137">
        <f t="shared" si="649"/>
        <v>4.0668523676880224E-2</v>
      </c>
      <c r="AY223" s="137">
        <f t="shared" si="649"/>
        <v>6.6772655007949128E-2</v>
      </c>
      <c r="AZ223" s="137">
        <f t="shared" si="649"/>
        <v>8.0904522613065327E-2</v>
      </c>
      <c r="BA223" s="137">
        <f t="shared" si="649"/>
        <v>6.1715481171548119E-2</v>
      </c>
      <c r="BB223" s="309">
        <f t="shared" si="649"/>
        <v>6.3027426160337546E-2</v>
      </c>
      <c r="BC223" s="137">
        <f t="shared" si="649"/>
        <v>7.9591836734693874E-2</v>
      </c>
      <c r="BD223" s="137">
        <f t="shared" si="649"/>
        <v>6.686188384577843E-2</v>
      </c>
      <c r="BE223" s="137">
        <f t="shared" si="649"/>
        <v>8.6508292245629767E-2</v>
      </c>
      <c r="BF223" s="137">
        <f t="shared" si="649"/>
        <v>0.10255281690140845</v>
      </c>
      <c r="BG223" s="136">
        <f t="shared" si="649"/>
        <v>8.4468984962406013E-2</v>
      </c>
      <c r="BH223" s="137">
        <f t="shared" si="649"/>
        <v>8.9552238805970144E-2</v>
      </c>
      <c r="BI223" s="137">
        <f t="shared" si="649"/>
        <v>7.8125E-2</v>
      </c>
      <c r="BJ223" s="137">
        <f t="shared" si="649"/>
        <v>9.3241243216576217E-2</v>
      </c>
      <c r="BK223" s="137">
        <f t="shared" si="649"/>
        <v>8.7614678899082574E-2</v>
      </c>
      <c r="BL223" s="136">
        <f t="shared" si="649"/>
        <v>8.7217293514931904E-2</v>
      </c>
      <c r="BM223" s="137">
        <f t="shared" si="649"/>
        <v>9.6420323325635104E-2</v>
      </c>
      <c r="BN223" s="137">
        <f t="shared" si="649"/>
        <v>7.7915376676986586E-2</v>
      </c>
      <c r="BO223" s="137">
        <f t="shared" ref="BO223:BX223" si="650">IF(ISERROR(BO170/BO39),"",(BO170/BO39))</f>
        <v>0.1151857075693465</v>
      </c>
      <c r="BP223" s="137">
        <f t="shared" si="650"/>
        <v>8.3418628454452401E-2</v>
      </c>
      <c r="BQ223" s="136">
        <f t="shared" si="650"/>
        <v>9.3665333505354151E-2</v>
      </c>
      <c r="BR223" s="137">
        <f t="shared" si="650"/>
        <v>8.5302593659942361E-2</v>
      </c>
      <c r="BS223" s="137">
        <f t="shared" si="650"/>
        <v>8.453038674033149E-2</v>
      </c>
      <c r="BT223" s="137">
        <f t="shared" si="650"/>
        <v>2.0576131687242798E-2</v>
      </c>
      <c r="BU223" s="137">
        <f t="shared" si="650"/>
        <v>8.7222222222222229E-2</v>
      </c>
      <c r="BV223" s="136">
        <f t="shared" si="650"/>
        <v>6.9968776610843025E-2</v>
      </c>
      <c r="BW223" s="137">
        <f t="shared" si="650"/>
        <v>6.2659846547314574E-2</v>
      </c>
      <c r="BX223" s="137">
        <f t="shared" si="650"/>
        <v>9.0800477897252097E-2</v>
      </c>
      <c r="BY223" s="138"/>
      <c r="BZ223" s="138"/>
      <c r="CA223" s="136"/>
      <c r="CB223" s="137" t="str">
        <f>IF(ISERROR(CB170/CB39),"",(CB170/CB39))</f>
        <v/>
      </c>
      <c r="CC223" s="138"/>
      <c r="CD223" s="138"/>
      <c r="CE223" s="138"/>
      <c r="CF223" s="136"/>
      <c r="CG223" s="138"/>
      <c r="CH223" s="138"/>
      <c r="CI223" s="138"/>
      <c r="CJ223" s="138"/>
      <c r="CK223" s="136"/>
      <c r="CL223" s="138"/>
      <c r="CM223" s="138"/>
      <c r="CN223" s="138"/>
      <c r="CO223" s="138"/>
      <c r="CP223" s="136"/>
      <c r="CQ223" s="138"/>
      <c r="CR223" s="138"/>
      <c r="CS223" s="138"/>
      <c r="CT223" s="138"/>
      <c r="CU223" s="136"/>
      <c r="CV223" s="138"/>
      <c r="CW223" s="138"/>
      <c r="CX223" s="138"/>
      <c r="CY223" s="138"/>
      <c r="CZ223" s="136"/>
      <c r="DA223" s="138"/>
      <c r="DB223" s="137"/>
      <c r="DC223" s="138"/>
      <c r="DD223" s="138"/>
      <c r="DE223" s="136"/>
      <c r="DF223" s="137"/>
      <c r="DG223" s="137"/>
      <c r="DH223" s="138"/>
      <c r="DI223" s="138"/>
      <c r="DJ223" s="136"/>
      <c r="DK223" s="137"/>
      <c r="DL223" s="138"/>
      <c r="DM223" s="138"/>
      <c r="DN223" s="138"/>
      <c r="DO223" s="136"/>
      <c r="DP223" s="137"/>
      <c r="DQ223" s="138"/>
      <c r="DR223" s="138"/>
      <c r="DS223" s="138"/>
      <c r="DT223" s="136"/>
      <c r="DU223" s="138"/>
      <c r="DV223" s="138"/>
      <c r="DW223" s="138"/>
      <c r="DX223" s="138"/>
      <c r="DY223" s="136"/>
      <c r="DZ223" s="139"/>
      <c r="EA223" s="139"/>
      <c r="EB223" s="139"/>
    </row>
    <row r="224" spans="2:132" s="241" customFormat="1" ht="12" hidden="1" customHeight="1">
      <c r="B224" s="340" t="s">
        <v>108</v>
      </c>
      <c r="C224" s="261" t="str">
        <f t="shared" ref="C224:AH224" si="651">IF(ISERROR(C171/C40),"",(C171/C40))</f>
        <v/>
      </c>
      <c r="D224" s="261" t="str">
        <f t="shared" si="651"/>
        <v/>
      </c>
      <c r="E224" s="261" t="str">
        <f t="shared" si="651"/>
        <v/>
      </c>
      <c r="F224" s="261" t="str">
        <f t="shared" si="651"/>
        <v/>
      </c>
      <c r="G224" s="261" t="str">
        <f t="shared" si="651"/>
        <v/>
      </c>
      <c r="H224" s="261" t="str">
        <f t="shared" si="651"/>
        <v/>
      </c>
      <c r="I224" s="261" t="str">
        <f t="shared" si="651"/>
        <v/>
      </c>
      <c r="J224" s="262" t="str">
        <f t="shared" si="651"/>
        <v/>
      </c>
      <c r="K224" s="262" t="str">
        <f t="shared" si="651"/>
        <v/>
      </c>
      <c r="L224" s="262" t="str">
        <f t="shared" si="651"/>
        <v/>
      </c>
      <c r="M224" s="262" t="str">
        <f t="shared" si="651"/>
        <v/>
      </c>
      <c r="N224" s="261">
        <f t="shared" si="651"/>
        <v>0.1356279450932186</v>
      </c>
      <c r="O224" s="262">
        <f t="shared" si="651"/>
        <v>0.14529914529914531</v>
      </c>
      <c r="P224" s="262">
        <f t="shared" si="651"/>
        <v>0.15046491969568893</v>
      </c>
      <c r="Q224" s="262">
        <f t="shared" si="651"/>
        <v>0.13704496788008566</v>
      </c>
      <c r="R224" s="262">
        <f t="shared" si="651"/>
        <v>0.14168765743073047</v>
      </c>
      <c r="S224" s="261">
        <f t="shared" si="651"/>
        <v>0.14320479221265445</v>
      </c>
      <c r="T224" s="262">
        <f t="shared" si="651"/>
        <v>0.14763014763014762</v>
      </c>
      <c r="U224" s="262">
        <f t="shared" si="651"/>
        <v>0.14477401129943504</v>
      </c>
      <c r="V224" s="262">
        <f t="shared" si="651"/>
        <v>0.12243502051983585</v>
      </c>
      <c r="W224" s="262">
        <f t="shared" si="651"/>
        <v>0.13477366255144033</v>
      </c>
      <c r="X224" s="261">
        <f t="shared" si="651"/>
        <v>0.13684727451301359</v>
      </c>
      <c r="Y224" s="262">
        <f t="shared" si="651"/>
        <v>0.12626262626262627</v>
      </c>
      <c r="Z224" s="262">
        <f t="shared" si="651"/>
        <v>0.11881188118811881</v>
      </c>
      <c r="AA224" s="262">
        <f t="shared" si="651"/>
        <v>0.14738124238733252</v>
      </c>
      <c r="AB224" s="262">
        <f t="shared" si="651"/>
        <v>0.15401184706515886</v>
      </c>
      <c r="AC224" s="261">
        <f t="shared" si="651"/>
        <v>0.13733393043737871</v>
      </c>
      <c r="AD224" s="262">
        <f t="shared" si="651"/>
        <v>0.12447885646217986</v>
      </c>
      <c r="AE224" s="262">
        <f t="shared" si="651"/>
        <v>0.13029490616621983</v>
      </c>
      <c r="AF224" s="262">
        <f t="shared" si="651"/>
        <v>0.10368663594470046</v>
      </c>
      <c r="AG224" s="262">
        <f t="shared" si="651"/>
        <v>0.14434523809523808</v>
      </c>
      <c r="AH224" s="261">
        <f t="shared" si="651"/>
        <v>0.12650767543859648</v>
      </c>
      <c r="AI224" s="262">
        <f t="shared" ref="AI224:BN224" si="652">IF(ISERROR(AI171/AI40),"",(AI171/AI40))</f>
        <v>0.10826771653543307</v>
      </c>
      <c r="AJ224" s="262">
        <f t="shared" si="652"/>
        <v>0.11217948717948718</v>
      </c>
      <c r="AK224" s="262">
        <f t="shared" si="652"/>
        <v>7.060518731988473E-2</v>
      </c>
      <c r="AL224" s="262">
        <f t="shared" si="652"/>
        <v>0.13791683820502265</v>
      </c>
      <c r="AM224" s="261">
        <f t="shared" si="652"/>
        <v>0.10851380772315801</v>
      </c>
      <c r="AN224" s="262">
        <f t="shared" si="652"/>
        <v>0.10883357735480723</v>
      </c>
      <c r="AO224" s="262">
        <f t="shared" si="652"/>
        <v>9.1752074182528065E-2</v>
      </c>
      <c r="AP224" s="262">
        <f t="shared" si="652"/>
        <v>0.107421875</v>
      </c>
      <c r="AQ224" s="262">
        <f t="shared" si="652"/>
        <v>0.13070342205323193</v>
      </c>
      <c r="AR224" s="261">
        <f t="shared" si="652"/>
        <v>0.10981818181818181</v>
      </c>
      <c r="AS224" s="262">
        <f t="shared" si="652"/>
        <v>8.4754797441364604E-2</v>
      </c>
      <c r="AT224" s="262">
        <f t="shared" si="652"/>
        <v>0.1089058524173028</v>
      </c>
      <c r="AU224" s="262">
        <f t="shared" si="652"/>
        <v>0.12653061224489795</v>
      </c>
      <c r="AV224" s="262">
        <f t="shared" si="652"/>
        <v>0.12563600782778864</v>
      </c>
      <c r="AW224" s="261">
        <f t="shared" si="652"/>
        <v>0.11273336524652944</v>
      </c>
      <c r="AX224" s="262">
        <f t="shared" si="652"/>
        <v>0.10892018779342723</v>
      </c>
      <c r="AY224" s="262">
        <f t="shared" si="652"/>
        <v>0.11908045977011494</v>
      </c>
      <c r="AZ224" s="262">
        <f t="shared" si="652"/>
        <v>0.10728155339805825</v>
      </c>
      <c r="BA224" s="262">
        <f t="shared" si="652"/>
        <v>0.13060686015831136</v>
      </c>
      <c r="BB224" s="261">
        <f t="shared" si="652"/>
        <v>0.116795925454335</v>
      </c>
      <c r="BC224" s="262">
        <f t="shared" si="652"/>
        <v>0.12052915237628613</v>
      </c>
      <c r="BD224" s="262">
        <f t="shared" si="652"/>
        <v>0.11832740213523131</v>
      </c>
      <c r="BE224" s="262">
        <f t="shared" si="652"/>
        <v>0.11399647887323944</v>
      </c>
      <c r="BF224" s="262">
        <f t="shared" si="652"/>
        <v>0.12797074954296161</v>
      </c>
      <c r="BG224" s="261">
        <f t="shared" si="652"/>
        <v>0.12012801463024346</v>
      </c>
      <c r="BH224" s="262">
        <f t="shared" si="652"/>
        <v>0.12092214006089604</v>
      </c>
      <c r="BI224" s="262">
        <f t="shared" si="652"/>
        <v>0.11588541666666667</v>
      </c>
      <c r="BJ224" s="262">
        <f t="shared" si="652"/>
        <v>9.6636866751809283E-2</v>
      </c>
      <c r="BK224" s="262">
        <f t="shared" si="652"/>
        <v>0.14865424430641822</v>
      </c>
      <c r="BL224" s="261">
        <f t="shared" si="652"/>
        <v>0.12074303405572756</v>
      </c>
      <c r="BM224" s="262">
        <f t="shared" si="652"/>
        <v>0.14106583072100312</v>
      </c>
      <c r="BN224" s="262">
        <f t="shared" si="652"/>
        <v>0.12842304060434373</v>
      </c>
      <c r="BO224" s="262">
        <f t="shared" ref="BO224:BX224" si="653">IF(ISERROR(BO171/BO40),"",(BO171/BO40))</f>
        <v>0.12937384898710866</v>
      </c>
      <c r="BP224" s="262">
        <f t="shared" si="653"/>
        <v>0.13753799392097266</v>
      </c>
      <c r="BQ224" s="261">
        <f t="shared" si="653"/>
        <v>0.13435281267067176</v>
      </c>
      <c r="BR224" s="262">
        <f t="shared" si="653"/>
        <v>0.13270882123341141</v>
      </c>
      <c r="BS224" s="262">
        <f t="shared" si="653"/>
        <v>0.1111111111111111</v>
      </c>
      <c r="BT224" s="262">
        <f t="shared" si="653"/>
        <v>0.12367491166077739</v>
      </c>
      <c r="BU224" s="262">
        <f t="shared" si="653"/>
        <v>0.14899713467048711</v>
      </c>
      <c r="BV224" s="261">
        <f t="shared" si="653"/>
        <v>0.12921404850558518</v>
      </c>
      <c r="BW224" s="262">
        <f t="shared" si="653"/>
        <v>0.13636363636363635</v>
      </c>
      <c r="BX224" s="262">
        <f t="shared" si="653"/>
        <v>0.15424610051993068</v>
      </c>
      <c r="BY224" s="728"/>
      <c r="BZ224" s="728"/>
      <c r="CA224" s="261"/>
      <c r="CB224" s="262" t="str">
        <f>IF(ISERROR(CB171/CB40),"",(CB171/CB40))</f>
        <v/>
      </c>
      <c r="CC224" s="728"/>
      <c r="CD224" s="728"/>
      <c r="CE224" s="728"/>
      <c r="CF224" s="261"/>
      <c r="CG224" s="728"/>
      <c r="CH224" s="728"/>
      <c r="CI224" s="728"/>
      <c r="CJ224" s="728"/>
      <c r="CK224" s="261"/>
      <c r="CL224" s="728"/>
      <c r="CM224" s="728"/>
      <c r="CN224" s="728"/>
      <c r="CO224" s="728"/>
      <c r="CP224" s="261"/>
      <c r="CQ224" s="728"/>
      <c r="CR224" s="728"/>
      <c r="CS224" s="728"/>
      <c r="CT224" s="728"/>
      <c r="CU224" s="261"/>
      <c r="CV224" s="728"/>
      <c r="CW224" s="728"/>
      <c r="CX224" s="728"/>
      <c r="CY224" s="728"/>
      <c r="CZ224" s="261"/>
      <c r="DA224" s="728"/>
      <c r="DB224" s="1029"/>
      <c r="DC224" s="728"/>
      <c r="DD224" s="728"/>
      <c r="DE224" s="261"/>
      <c r="DF224" s="1029"/>
      <c r="DG224" s="1029"/>
      <c r="DH224" s="728"/>
      <c r="DI224" s="728"/>
      <c r="DJ224" s="261"/>
      <c r="DK224" s="1029"/>
      <c r="DL224" s="728"/>
      <c r="DM224" s="728"/>
      <c r="DN224" s="728"/>
      <c r="DO224" s="261"/>
      <c r="DP224" s="1029"/>
      <c r="DQ224" s="728"/>
      <c r="DR224" s="728"/>
      <c r="DS224" s="728"/>
      <c r="DT224" s="261"/>
      <c r="DU224" s="728"/>
      <c r="DV224" s="728"/>
      <c r="DW224" s="728"/>
      <c r="DX224" s="728"/>
      <c r="DY224" s="261"/>
      <c r="DZ224" s="263"/>
      <c r="EA224" s="263"/>
      <c r="EB224" s="263"/>
    </row>
    <row r="225" spans="2:132" s="241" customFormat="1" ht="12" hidden="1" customHeight="1">
      <c r="B225" s="341" t="s">
        <v>130</v>
      </c>
      <c r="C225" s="342" t="str">
        <f t="shared" ref="C225:S225" si="654">IF(ISERROR(C172/C41),"",(C172/C41))</f>
        <v/>
      </c>
      <c r="D225" s="342" t="str">
        <f t="shared" si="654"/>
        <v/>
      </c>
      <c r="E225" s="342" t="str">
        <f t="shared" si="654"/>
        <v/>
      </c>
      <c r="F225" s="342" t="str">
        <f t="shared" si="654"/>
        <v/>
      </c>
      <c r="G225" s="342">
        <f t="shared" si="654"/>
        <v>0.10778067885117494</v>
      </c>
      <c r="H225" s="342">
        <f t="shared" si="654"/>
        <v>0.12006812375816066</v>
      </c>
      <c r="I225" s="342">
        <f t="shared" si="654"/>
        <v>0.13208248188742336</v>
      </c>
      <c r="J225" s="343">
        <f t="shared" si="654"/>
        <v>0.1575637206223105</v>
      </c>
      <c r="K225" s="343">
        <f t="shared" si="654"/>
        <v>0.14403600900225055</v>
      </c>
      <c r="L225" s="343">
        <f t="shared" si="654"/>
        <v>0.15729606759831005</v>
      </c>
      <c r="M225" s="343">
        <f t="shared" si="654"/>
        <v>0.11102661596958174</v>
      </c>
      <c r="N225" s="342">
        <f t="shared" si="654"/>
        <v>0.14358434263647535</v>
      </c>
      <c r="O225" s="343">
        <f t="shared" si="654"/>
        <v>0.13739324173783884</v>
      </c>
      <c r="P225" s="343">
        <f t="shared" si="654"/>
        <v>0.14327485380116958</v>
      </c>
      <c r="Q225" s="343">
        <f t="shared" si="654"/>
        <v>0.14957264957264957</v>
      </c>
      <c r="R225" s="343">
        <f t="shared" si="654"/>
        <v>0.16489190061310099</v>
      </c>
      <c r="S225" s="342">
        <f t="shared" si="654"/>
        <v>0.14916113247116392</v>
      </c>
      <c r="T225" s="343"/>
      <c r="U225" s="343"/>
      <c r="V225" s="343"/>
      <c r="W225" s="343"/>
      <c r="X225" s="342"/>
      <c r="Y225" s="343"/>
      <c r="Z225" s="343"/>
      <c r="AA225" s="343"/>
      <c r="AB225" s="343"/>
      <c r="AC225" s="342"/>
      <c r="AD225" s="343"/>
      <c r="AE225" s="343"/>
      <c r="AF225" s="343"/>
      <c r="AG225" s="343"/>
      <c r="AH225" s="342"/>
      <c r="AI225" s="343"/>
      <c r="AJ225" s="343"/>
      <c r="AK225" s="343"/>
      <c r="AL225" s="343"/>
      <c r="AM225" s="342"/>
      <c r="AN225" s="343"/>
      <c r="AO225" s="343"/>
      <c r="AP225" s="343"/>
      <c r="AQ225" s="343"/>
      <c r="AR225" s="342"/>
      <c r="AS225" s="343"/>
      <c r="AT225" s="343"/>
      <c r="AU225" s="551"/>
      <c r="AV225" s="551"/>
      <c r="AW225" s="342"/>
      <c r="AX225" s="343"/>
      <c r="AY225" s="343"/>
      <c r="AZ225" s="343"/>
      <c r="BA225" s="343"/>
      <c r="BB225" s="342"/>
      <c r="BC225" s="343"/>
      <c r="BD225" s="343"/>
      <c r="BE225" s="343"/>
      <c r="BF225" s="343"/>
      <c r="BG225" s="574"/>
      <c r="BH225" s="343"/>
      <c r="BI225" s="343"/>
      <c r="BJ225" s="551"/>
      <c r="BK225" s="551"/>
      <c r="BL225" s="574"/>
      <c r="BM225" s="551"/>
      <c r="BN225" s="551"/>
      <c r="BO225" s="551"/>
      <c r="BP225" s="551"/>
      <c r="BQ225" s="574"/>
      <c r="BR225" s="551"/>
      <c r="BS225" s="551"/>
      <c r="BT225" s="551"/>
      <c r="BU225" s="551"/>
      <c r="BV225" s="574"/>
      <c r="BW225" s="551"/>
      <c r="BX225" s="551"/>
      <c r="BY225" s="551"/>
      <c r="BZ225" s="551"/>
      <c r="CA225" s="574"/>
      <c r="CB225" s="551"/>
      <c r="CC225" s="551"/>
      <c r="CD225" s="551"/>
      <c r="CE225" s="551"/>
      <c r="CF225" s="574"/>
      <c r="CG225" s="551"/>
      <c r="CH225" s="551"/>
      <c r="CI225" s="551"/>
      <c r="CJ225" s="551"/>
      <c r="CK225" s="574"/>
      <c r="CL225" s="551"/>
      <c r="CM225" s="551"/>
      <c r="CN225" s="551"/>
      <c r="CO225" s="551"/>
      <c r="CP225" s="574"/>
      <c r="CQ225" s="551"/>
      <c r="CR225" s="551"/>
      <c r="CS225" s="551"/>
      <c r="CT225" s="551"/>
      <c r="CU225" s="574"/>
      <c r="CV225" s="551"/>
      <c r="CW225" s="551"/>
      <c r="CX225" s="551"/>
      <c r="CY225" s="551"/>
      <c r="CZ225" s="574"/>
      <c r="DA225" s="551"/>
      <c r="DB225" s="551"/>
      <c r="DC225" s="551"/>
      <c r="DD225" s="551"/>
      <c r="DE225" s="574"/>
      <c r="DF225" s="551"/>
      <c r="DG225" s="551"/>
      <c r="DH225" s="551"/>
      <c r="DI225" s="551"/>
      <c r="DJ225" s="574"/>
      <c r="DK225" s="551"/>
      <c r="DL225" s="551"/>
      <c r="DM225" s="551"/>
      <c r="DN225" s="551"/>
      <c r="DO225" s="574"/>
      <c r="DP225" s="551"/>
      <c r="DQ225" s="551"/>
      <c r="DR225" s="551"/>
      <c r="DS225" s="551"/>
      <c r="DT225" s="574"/>
      <c r="DU225" s="551"/>
      <c r="DV225" s="551"/>
      <c r="DW225" s="551"/>
      <c r="DX225" s="551"/>
      <c r="DY225" s="574"/>
      <c r="DZ225" s="574"/>
      <c r="EA225" s="574"/>
      <c r="EB225" s="574"/>
    </row>
    <row r="226" spans="2:132" s="241" customFormat="1" ht="12" hidden="1" customHeight="1">
      <c r="B226" s="344" t="s">
        <v>131</v>
      </c>
      <c r="C226" s="309" t="str">
        <f t="shared" ref="C226:S226" si="655">IF(ISERROR(C173/C42),"",(C173/C42))</f>
        <v/>
      </c>
      <c r="D226" s="309" t="str">
        <f t="shared" si="655"/>
        <v/>
      </c>
      <c r="E226" s="309" t="str">
        <f t="shared" si="655"/>
        <v/>
      </c>
      <c r="F226" s="309" t="str">
        <f t="shared" si="655"/>
        <v/>
      </c>
      <c r="G226" s="309">
        <f t="shared" si="655"/>
        <v>8.0709979906229065E-2</v>
      </c>
      <c r="H226" s="309">
        <f t="shared" si="655"/>
        <v>6.7299396031061262E-2</v>
      </c>
      <c r="I226" s="309">
        <f t="shared" si="655"/>
        <v>6.6709292412617222E-2</v>
      </c>
      <c r="J226" s="306">
        <f t="shared" si="655"/>
        <v>7.2954453849254336E-2</v>
      </c>
      <c r="K226" s="306">
        <f t="shared" si="655"/>
        <v>8.2568807339449546E-2</v>
      </c>
      <c r="L226" s="306">
        <f t="shared" si="655"/>
        <v>9.3721002165171666E-2</v>
      </c>
      <c r="M226" s="306">
        <f t="shared" si="655"/>
        <v>9.4888072168392915E-2</v>
      </c>
      <c r="N226" s="309">
        <f t="shared" si="655"/>
        <v>8.6861441567529743E-2</v>
      </c>
      <c r="O226" s="306">
        <f t="shared" si="655"/>
        <v>7.4009728978457257E-2</v>
      </c>
      <c r="P226" s="306">
        <f t="shared" si="655"/>
        <v>6.0529177238129755E-2</v>
      </c>
      <c r="Q226" s="306">
        <f t="shared" si="655"/>
        <v>3.3978808914870297E-2</v>
      </c>
      <c r="R226" s="306">
        <f t="shared" si="655"/>
        <v>5.7093425605536333E-2</v>
      </c>
      <c r="S226" s="309">
        <f t="shared" si="655"/>
        <v>5.6640625E-2</v>
      </c>
      <c r="T226" s="306"/>
      <c r="U226" s="306"/>
      <c r="V226" s="306"/>
      <c r="W226" s="306"/>
      <c r="X226" s="309"/>
      <c r="Y226" s="306"/>
      <c r="Z226" s="306"/>
      <c r="AA226" s="306"/>
      <c r="AB226" s="306"/>
      <c r="AC226" s="309"/>
      <c r="AD226" s="306"/>
      <c r="AE226" s="306"/>
      <c r="AF226" s="306"/>
      <c r="AG226" s="306"/>
      <c r="AH226" s="309"/>
      <c r="AI226" s="306"/>
      <c r="AJ226" s="306"/>
      <c r="AK226" s="306"/>
      <c r="AL226" s="306"/>
      <c r="AM226" s="309"/>
      <c r="AN226" s="306"/>
      <c r="AO226" s="306"/>
      <c r="AP226" s="306"/>
      <c r="AQ226" s="306"/>
      <c r="AR226" s="309"/>
      <c r="AS226" s="306"/>
      <c r="AT226" s="306"/>
      <c r="AU226" s="295"/>
      <c r="AV226" s="295"/>
      <c r="AW226" s="309"/>
      <c r="AX226" s="306"/>
      <c r="AY226" s="306"/>
      <c r="AZ226" s="306"/>
      <c r="BA226" s="306"/>
      <c r="BB226" s="309"/>
      <c r="BC226" s="306"/>
      <c r="BD226" s="306"/>
      <c r="BE226" s="306"/>
      <c r="BF226" s="306"/>
      <c r="BG226" s="136"/>
      <c r="BH226" s="306"/>
      <c r="BI226" s="306"/>
      <c r="BJ226" s="295"/>
      <c r="BK226" s="295"/>
      <c r="BL226" s="136"/>
      <c r="BM226" s="295"/>
      <c r="BN226" s="295"/>
      <c r="BO226" s="295"/>
      <c r="BP226" s="295"/>
      <c r="BQ226" s="136"/>
      <c r="BR226" s="295"/>
      <c r="BS226" s="295"/>
      <c r="BT226" s="295"/>
      <c r="BU226" s="295"/>
      <c r="BV226" s="136"/>
      <c r="BW226" s="295"/>
      <c r="BX226" s="295"/>
      <c r="BY226" s="295"/>
      <c r="BZ226" s="295"/>
      <c r="CA226" s="136"/>
      <c r="CB226" s="295"/>
      <c r="CC226" s="295"/>
      <c r="CD226" s="295"/>
      <c r="CE226" s="295"/>
      <c r="CF226" s="136"/>
      <c r="CG226" s="295"/>
      <c r="CH226" s="295"/>
      <c r="CI226" s="295"/>
      <c r="CJ226" s="295"/>
      <c r="CK226" s="136"/>
      <c r="CL226" s="295"/>
      <c r="CM226" s="295"/>
      <c r="CN226" s="295"/>
      <c r="CO226" s="295"/>
      <c r="CP226" s="136"/>
      <c r="CQ226" s="295"/>
      <c r="CR226" s="295"/>
      <c r="CS226" s="295"/>
      <c r="CT226" s="295"/>
      <c r="CU226" s="136"/>
      <c r="CV226" s="295"/>
      <c r="CW226" s="295"/>
      <c r="CX226" s="295"/>
      <c r="CY226" s="295"/>
      <c r="CZ226" s="136"/>
      <c r="DA226" s="295"/>
      <c r="DB226" s="295"/>
      <c r="DC226" s="295"/>
      <c r="DD226" s="295"/>
      <c r="DE226" s="136"/>
      <c r="DF226" s="295"/>
      <c r="DG226" s="295"/>
      <c r="DH226" s="295"/>
      <c r="DI226" s="295"/>
      <c r="DJ226" s="136"/>
      <c r="DK226" s="295"/>
      <c r="DL226" s="295"/>
      <c r="DM226" s="295"/>
      <c r="DN226" s="295"/>
      <c r="DO226" s="136"/>
      <c r="DP226" s="295"/>
      <c r="DQ226" s="295"/>
      <c r="DR226" s="295"/>
      <c r="DS226" s="295"/>
      <c r="DT226" s="136"/>
      <c r="DU226" s="295"/>
      <c r="DV226" s="295"/>
      <c r="DW226" s="295"/>
      <c r="DX226" s="295"/>
      <c r="DY226" s="136"/>
      <c r="DZ226" s="136"/>
      <c r="EA226" s="136"/>
      <c r="EB226" s="136"/>
    </row>
    <row r="227" spans="2:132" s="241" customFormat="1" ht="12" hidden="1" customHeight="1">
      <c r="B227" s="344" t="s">
        <v>125</v>
      </c>
      <c r="C227" s="309" t="str">
        <f t="shared" ref="C227:S227" si="656">IF(ISERROR(C174/C43),"",(C174/C43))</f>
        <v/>
      </c>
      <c r="D227" s="309" t="str">
        <f t="shared" si="656"/>
        <v/>
      </c>
      <c r="E227" s="309" t="str">
        <f t="shared" si="656"/>
        <v/>
      </c>
      <c r="F227" s="309" t="str">
        <f t="shared" si="656"/>
        <v/>
      </c>
      <c r="G227" s="309">
        <f t="shared" si="656"/>
        <v>0.10371886728079154</v>
      </c>
      <c r="H227" s="309">
        <f t="shared" si="656"/>
        <v>0.1079219288174512</v>
      </c>
      <c r="I227" s="309">
        <f t="shared" si="656"/>
        <v>0.11187485186063048</v>
      </c>
      <c r="J227" s="306">
        <f t="shared" si="656"/>
        <v>0.13008130081300814</v>
      </c>
      <c r="K227" s="306">
        <f t="shared" si="656"/>
        <v>0.12465878070973613</v>
      </c>
      <c r="L227" s="306">
        <f t="shared" si="656"/>
        <v>0.16149068322981366</v>
      </c>
      <c r="M227" s="306">
        <f t="shared" si="656"/>
        <v>0.13089005235602094</v>
      </c>
      <c r="N227" s="309">
        <f t="shared" si="656"/>
        <v>0.13661670235546039</v>
      </c>
      <c r="O227" s="306">
        <f t="shared" si="656"/>
        <v>0.14444444444444443</v>
      </c>
      <c r="P227" s="306">
        <f t="shared" si="656"/>
        <v>0.15131022823330514</v>
      </c>
      <c r="Q227" s="306">
        <f t="shared" si="656"/>
        <v>0.13704496788008566</v>
      </c>
      <c r="R227" s="306">
        <f t="shared" si="656"/>
        <v>0.14168765743073047</v>
      </c>
      <c r="S227" s="309">
        <f t="shared" si="656"/>
        <v>0.14320479221265445</v>
      </c>
      <c r="T227" s="306"/>
      <c r="U227" s="306"/>
      <c r="V227" s="306"/>
      <c r="W227" s="306"/>
      <c r="X227" s="309"/>
      <c r="Y227" s="306"/>
      <c r="Z227" s="306"/>
      <c r="AA227" s="306"/>
      <c r="AB227" s="306"/>
      <c r="AC227" s="309"/>
      <c r="AD227" s="306"/>
      <c r="AE227" s="306"/>
      <c r="AF227" s="306"/>
      <c r="AG227" s="306"/>
      <c r="AH227" s="309"/>
      <c r="AI227" s="306"/>
      <c r="AJ227" s="306"/>
      <c r="AK227" s="306"/>
      <c r="AL227" s="306"/>
      <c r="AM227" s="309"/>
      <c r="AN227" s="306"/>
      <c r="AO227" s="306"/>
      <c r="AP227" s="306"/>
      <c r="AQ227" s="306"/>
      <c r="AR227" s="309"/>
      <c r="AS227" s="306"/>
      <c r="AT227" s="306"/>
      <c r="AU227" s="295"/>
      <c r="AV227" s="295"/>
      <c r="AW227" s="309"/>
      <c r="AX227" s="306"/>
      <c r="AY227" s="306"/>
      <c r="AZ227" s="306"/>
      <c r="BA227" s="306"/>
      <c r="BB227" s="309"/>
      <c r="BC227" s="306"/>
      <c r="BD227" s="306"/>
      <c r="BE227" s="306"/>
      <c r="BF227" s="306"/>
      <c r="BG227" s="136"/>
      <c r="BH227" s="306"/>
      <c r="BI227" s="306"/>
      <c r="BJ227" s="295"/>
      <c r="BK227" s="295"/>
      <c r="BL227" s="136"/>
      <c r="BM227" s="295"/>
      <c r="BN227" s="295"/>
      <c r="BO227" s="295"/>
      <c r="BP227" s="295"/>
      <c r="BQ227" s="136"/>
      <c r="BR227" s="295"/>
      <c r="BS227" s="295"/>
      <c r="BT227" s="295"/>
      <c r="BU227" s="295"/>
      <c r="BV227" s="136"/>
      <c r="BW227" s="295"/>
      <c r="BX227" s="295"/>
      <c r="BY227" s="295"/>
      <c r="BZ227" s="295"/>
      <c r="CA227" s="136"/>
      <c r="CB227" s="295"/>
      <c r="CC227" s="295"/>
      <c r="CD227" s="295"/>
      <c r="CE227" s="295"/>
      <c r="CF227" s="136"/>
      <c r="CG227" s="295"/>
      <c r="CH227" s="295"/>
      <c r="CI227" s="295"/>
      <c r="CJ227" s="295"/>
      <c r="CK227" s="136"/>
      <c r="CL227" s="295"/>
      <c r="CM227" s="295"/>
      <c r="CN227" s="295"/>
      <c r="CO227" s="295"/>
      <c r="CP227" s="136"/>
      <c r="CQ227" s="295"/>
      <c r="CR227" s="295"/>
      <c r="CS227" s="295"/>
      <c r="CT227" s="295"/>
      <c r="CU227" s="136"/>
      <c r="CV227" s="295"/>
      <c r="CW227" s="295"/>
      <c r="CX227" s="295"/>
      <c r="CY227" s="295"/>
      <c r="CZ227" s="136"/>
      <c r="DA227" s="295"/>
      <c r="DB227" s="295"/>
      <c r="DC227" s="295"/>
      <c r="DD227" s="295"/>
      <c r="DE227" s="136"/>
      <c r="DF227" s="295"/>
      <c r="DG227" s="295"/>
      <c r="DH227" s="295"/>
      <c r="DI227" s="295"/>
      <c r="DJ227" s="136"/>
      <c r="DK227" s="295"/>
      <c r="DL227" s="295"/>
      <c r="DM227" s="295"/>
      <c r="DN227" s="295"/>
      <c r="DO227" s="136"/>
      <c r="DP227" s="295"/>
      <c r="DQ227" s="295"/>
      <c r="DR227" s="295"/>
      <c r="DS227" s="295"/>
      <c r="DT227" s="136"/>
      <c r="DU227" s="295"/>
      <c r="DV227" s="295"/>
      <c r="DW227" s="295"/>
      <c r="DX227" s="295"/>
      <c r="DY227" s="136"/>
      <c r="DZ227" s="136"/>
      <c r="EA227" s="136"/>
      <c r="EB227" s="136"/>
    </row>
    <row r="228" spans="2:132" s="241" customFormat="1" ht="12" hidden="1" customHeight="1">
      <c r="B228" s="345" t="s">
        <v>132</v>
      </c>
      <c r="C228" s="346" t="str">
        <f t="shared" ref="C228:S228" si="657">IF(ISERROR(C175/C44),"",(C175/C44))</f>
        <v/>
      </c>
      <c r="D228" s="346" t="str">
        <f t="shared" si="657"/>
        <v/>
      </c>
      <c r="E228" s="346" t="str">
        <f t="shared" si="657"/>
        <v/>
      </c>
      <c r="F228" s="346" t="str">
        <f t="shared" si="657"/>
        <v/>
      </c>
      <c r="G228" s="346">
        <f t="shared" si="657"/>
        <v>3.3894397048651138E-2</v>
      </c>
      <c r="H228" s="346">
        <f t="shared" si="657"/>
        <v>-6.5209602293084909E-2</v>
      </c>
      <c r="I228" s="346">
        <f t="shared" si="657"/>
        <v>-0.58622994652406413</v>
      </c>
      <c r="J228" s="347">
        <f t="shared" si="657"/>
        <v>-7.797029702970297E-2</v>
      </c>
      <c r="K228" s="347">
        <f t="shared" si="657"/>
        <v>-7.4404761904761904E-2</v>
      </c>
      <c r="L228" s="347">
        <f t="shared" si="657"/>
        <v>-0.18613138686131386</v>
      </c>
      <c r="M228" s="347">
        <f t="shared" si="657"/>
        <v>-0.11394302848575712</v>
      </c>
      <c r="N228" s="346">
        <f t="shared" si="657"/>
        <v>-0.11519029976423038</v>
      </c>
      <c r="O228" s="347">
        <f t="shared" si="657"/>
        <v>0.11845386533665836</v>
      </c>
      <c r="P228" s="347">
        <f t="shared" si="657"/>
        <v>4.0166204986149583E-2</v>
      </c>
      <c r="Q228" s="347">
        <f t="shared" si="657"/>
        <v>0.94618834080717484</v>
      </c>
      <c r="R228" s="347">
        <f t="shared" si="657"/>
        <v>4.1970802919708027E-2</v>
      </c>
      <c r="S228" s="346">
        <f t="shared" si="657"/>
        <v>0.28456767603064576</v>
      </c>
      <c r="T228" s="347"/>
      <c r="U228" s="347"/>
      <c r="V228" s="347"/>
      <c r="W228" s="347"/>
      <c r="X228" s="346"/>
      <c r="Y228" s="347"/>
      <c r="Z228" s="347"/>
      <c r="AA228" s="347"/>
      <c r="AB228" s="347"/>
      <c r="AC228" s="346"/>
      <c r="AD228" s="347"/>
      <c r="AE228" s="347"/>
      <c r="AF228" s="347"/>
      <c r="AG228" s="347"/>
      <c r="AH228" s="346"/>
      <c r="AI228" s="347"/>
      <c r="AJ228" s="347"/>
      <c r="AK228" s="347"/>
      <c r="AL228" s="347"/>
      <c r="AM228" s="346"/>
      <c r="AN228" s="347"/>
      <c r="AO228" s="347"/>
      <c r="AP228" s="347"/>
      <c r="AQ228" s="347"/>
      <c r="AR228" s="346"/>
      <c r="AS228" s="347"/>
      <c r="AT228" s="347"/>
      <c r="AU228" s="552"/>
      <c r="AV228" s="552"/>
      <c r="AW228" s="346"/>
      <c r="AX228" s="347"/>
      <c r="AY228" s="347"/>
      <c r="AZ228" s="347"/>
      <c r="BA228" s="347"/>
      <c r="BB228" s="346"/>
      <c r="BC228" s="347"/>
      <c r="BD228" s="347"/>
      <c r="BE228" s="347"/>
      <c r="BF228" s="347"/>
      <c r="BG228" s="575"/>
      <c r="BH228" s="347"/>
      <c r="BI228" s="347"/>
      <c r="BJ228" s="552"/>
      <c r="BK228" s="552"/>
      <c r="BL228" s="575"/>
      <c r="BM228" s="552"/>
      <c r="BN228" s="552"/>
      <c r="BO228" s="552"/>
      <c r="BP228" s="552"/>
      <c r="BQ228" s="575"/>
      <c r="BR228" s="552"/>
      <c r="BS228" s="552"/>
      <c r="BT228" s="552"/>
      <c r="BU228" s="552"/>
      <c r="BV228" s="575"/>
      <c r="BW228" s="552"/>
      <c r="BX228" s="552"/>
      <c r="BY228" s="552"/>
      <c r="BZ228" s="552"/>
      <c r="CA228" s="575"/>
      <c r="CB228" s="552"/>
      <c r="CC228" s="552"/>
      <c r="CD228" s="552"/>
      <c r="CE228" s="552"/>
      <c r="CF228" s="575"/>
      <c r="CG228" s="552"/>
      <c r="CH228" s="552"/>
      <c r="CI228" s="552"/>
      <c r="CJ228" s="552"/>
      <c r="CK228" s="575"/>
      <c r="CL228" s="552"/>
      <c r="CM228" s="552"/>
      <c r="CN228" s="552"/>
      <c r="CO228" s="552"/>
      <c r="CP228" s="575"/>
      <c r="CQ228" s="552"/>
      <c r="CR228" s="552"/>
      <c r="CS228" s="552"/>
      <c r="CT228" s="552"/>
      <c r="CU228" s="575"/>
      <c r="CV228" s="552"/>
      <c r="CW228" s="552"/>
      <c r="CX228" s="552"/>
      <c r="CY228" s="552"/>
      <c r="CZ228" s="575"/>
      <c r="DA228" s="552"/>
      <c r="DB228" s="552"/>
      <c r="DC228" s="552"/>
      <c r="DD228" s="552"/>
      <c r="DE228" s="575"/>
      <c r="DF228" s="552"/>
      <c r="DG228" s="552"/>
      <c r="DH228" s="552"/>
      <c r="DI228" s="552"/>
      <c r="DJ228" s="575"/>
      <c r="DK228" s="552"/>
      <c r="DL228" s="552"/>
      <c r="DM228" s="552"/>
      <c r="DN228" s="552"/>
      <c r="DO228" s="575"/>
      <c r="DP228" s="552"/>
      <c r="DQ228" s="552"/>
      <c r="DR228" s="552"/>
      <c r="DS228" s="552"/>
      <c r="DT228" s="575"/>
      <c r="DU228" s="552"/>
      <c r="DV228" s="552"/>
      <c r="DW228" s="552"/>
      <c r="DX228" s="552"/>
      <c r="DY228" s="575"/>
      <c r="DZ228" s="575"/>
      <c r="EA228" s="575"/>
      <c r="EB228" s="575"/>
    </row>
    <row r="229" spans="2:132" s="241" customFormat="1" ht="12" hidden="1" customHeight="1">
      <c r="B229" s="344" t="s">
        <v>133</v>
      </c>
      <c r="C229" s="309" t="str">
        <f t="shared" ref="C229:S229" si="658">IF(ISERROR(C176/C45),"",(C176/C45))</f>
        <v/>
      </c>
      <c r="D229" s="309">
        <f t="shared" si="658"/>
        <v>9.8768283294842191E-2</v>
      </c>
      <c r="E229" s="309">
        <f t="shared" si="658"/>
        <v>9.7626841243862519E-2</v>
      </c>
      <c r="F229" s="309">
        <f t="shared" si="658"/>
        <v>0.10420595228334836</v>
      </c>
      <c r="G229" s="309">
        <f t="shared" si="658"/>
        <v>0.10810376676572163</v>
      </c>
      <c r="H229" s="309">
        <f t="shared" si="658"/>
        <v>0.11808434596140099</v>
      </c>
      <c r="I229" s="309" t="str">
        <f t="shared" si="658"/>
        <v/>
      </c>
      <c r="J229" s="306" t="str">
        <f t="shared" si="658"/>
        <v/>
      </c>
      <c r="K229" s="306" t="str">
        <f t="shared" si="658"/>
        <v/>
      </c>
      <c r="L229" s="306" t="str">
        <f t="shared" si="658"/>
        <v/>
      </c>
      <c r="M229" s="306" t="str">
        <f t="shared" si="658"/>
        <v/>
      </c>
      <c r="N229" s="309" t="str">
        <f t="shared" si="658"/>
        <v/>
      </c>
      <c r="O229" s="306" t="str">
        <f t="shared" si="658"/>
        <v/>
      </c>
      <c r="P229" s="306" t="str">
        <f t="shared" si="658"/>
        <v/>
      </c>
      <c r="Q229" s="306" t="str">
        <f t="shared" si="658"/>
        <v/>
      </c>
      <c r="R229" s="306" t="str">
        <f t="shared" si="658"/>
        <v/>
      </c>
      <c r="S229" s="309" t="str">
        <f t="shared" si="658"/>
        <v/>
      </c>
      <c r="T229" s="306"/>
      <c r="U229" s="306"/>
      <c r="V229" s="306"/>
      <c r="W229" s="306"/>
      <c r="X229" s="309"/>
      <c r="Y229" s="306"/>
      <c r="Z229" s="306"/>
      <c r="AA229" s="306"/>
      <c r="AB229" s="306"/>
      <c r="AC229" s="309"/>
      <c r="AD229" s="306"/>
      <c r="AE229" s="306"/>
      <c r="AF229" s="306"/>
      <c r="AG229" s="306"/>
      <c r="AH229" s="309"/>
      <c r="AI229" s="306"/>
      <c r="AJ229" s="306"/>
      <c r="AK229" s="306"/>
      <c r="AL229" s="306"/>
      <c r="AM229" s="309"/>
      <c r="AN229" s="306"/>
      <c r="AO229" s="306"/>
      <c r="AP229" s="306"/>
      <c r="AQ229" s="306"/>
      <c r="AR229" s="309"/>
      <c r="AS229" s="306"/>
      <c r="AT229" s="306"/>
      <c r="AU229" s="295"/>
      <c r="AV229" s="295"/>
      <c r="AW229" s="309"/>
      <c r="AX229" s="306"/>
      <c r="AY229" s="306"/>
      <c r="AZ229" s="306"/>
      <c r="BA229" s="306"/>
      <c r="BB229" s="309"/>
      <c r="BC229" s="306"/>
      <c r="BD229" s="306"/>
      <c r="BE229" s="306"/>
      <c r="BF229" s="306"/>
      <c r="BG229" s="136"/>
      <c r="BH229" s="306"/>
      <c r="BI229" s="306"/>
      <c r="BJ229" s="295"/>
      <c r="BK229" s="295"/>
      <c r="BL229" s="136"/>
      <c r="BM229" s="295"/>
      <c r="BN229" s="295"/>
      <c r="BO229" s="295"/>
      <c r="BP229" s="295"/>
      <c r="BQ229" s="136"/>
      <c r="BR229" s="295"/>
      <c r="BS229" s="295"/>
      <c r="BT229" s="295"/>
      <c r="BU229" s="295"/>
      <c r="BV229" s="136"/>
      <c r="BW229" s="295"/>
      <c r="BX229" s="295"/>
      <c r="BY229" s="295"/>
      <c r="BZ229" s="295"/>
      <c r="CA229" s="136"/>
      <c r="CB229" s="295"/>
      <c r="CC229" s="295"/>
      <c r="CD229" s="295"/>
      <c r="CE229" s="295"/>
      <c r="CF229" s="136"/>
      <c r="CG229" s="295"/>
      <c r="CH229" s="295"/>
      <c r="CI229" s="295"/>
      <c r="CJ229" s="295"/>
      <c r="CK229" s="136"/>
      <c r="CL229" s="295"/>
      <c r="CM229" s="295"/>
      <c r="CN229" s="295"/>
      <c r="CO229" s="295"/>
      <c r="CP229" s="136"/>
      <c r="CQ229" s="295"/>
      <c r="CR229" s="295"/>
      <c r="CS229" s="295"/>
      <c r="CT229" s="295"/>
      <c r="CU229" s="136"/>
      <c r="CV229" s="295"/>
      <c r="CW229" s="295"/>
      <c r="CX229" s="295"/>
      <c r="CY229" s="295"/>
      <c r="CZ229" s="136"/>
      <c r="DA229" s="295"/>
      <c r="DB229" s="295"/>
      <c r="DC229" s="295"/>
      <c r="DD229" s="295"/>
      <c r="DE229" s="136"/>
      <c r="DF229" s="295"/>
      <c r="DG229" s="295"/>
      <c r="DH229" s="295"/>
      <c r="DI229" s="295"/>
      <c r="DJ229" s="136"/>
      <c r="DK229" s="295"/>
      <c r="DL229" s="295"/>
      <c r="DM229" s="295"/>
      <c r="DN229" s="295"/>
      <c r="DO229" s="136"/>
      <c r="DP229" s="295"/>
      <c r="DQ229" s="295"/>
      <c r="DR229" s="295"/>
      <c r="DS229" s="295"/>
      <c r="DT229" s="136"/>
      <c r="DU229" s="295"/>
      <c r="DV229" s="295"/>
      <c r="DW229" s="295"/>
      <c r="DX229" s="295"/>
      <c r="DY229" s="136"/>
      <c r="DZ229" s="136"/>
      <c r="EA229" s="136"/>
      <c r="EB229" s="136"/>
    </row>
    <row r="230" spans="2:132" s="241" customFormat="1" ht="12" hidden="1" customHeight="1">
      <c r="B230" s="345" t="s">
        <v>134</v>
      </c>
      <c r="C230" s="346" t="str">
        <f t="shared" ref="C230:S230" si="659">IF(ISERROR(C177/C46),"",(C177/C46))</f>
        <v/>
      </c>
      <c r="D230" s="346">
        <f t="shared" si="659"/>
        <v>3.5999419364203804E-2</v>
      </c>
      <c r="E230" s="346">
        <f t="shared" si="659"/>
        <v>6.0752452056799883E-2</v>
      </c>
      <c r="F230" s="346">
        <f t="shared" si="659"/>
        <v>-4.0179126757059334E-2</v>
      </c>
      <c r="G230" s="346">
        <f t="shared" si="659"/>
        <v>5.9725974527209569E-2</v>
      </c>
      <c r="H230" s="346">
        <f t="shared" si="659"/>
        <v>3.255220206072764E-2</v>
      </c>
      <c r="I230" s="346" t="str">
        <f t="shared" si="659"/>
        <v/>
      </c>
      <c r="J230" s="347" t="str">
        <f t="shared" si="659"/>
        <v/>
      </c>
      <c r="K230" s="347" t="str">
        <f t="shared" si="659"/>
        <v/>
      </c>
      <c r="L230" s="347" t="str">
        <f t="shared" si="659"/>
        <v/>
      </c>
      <c r="M230" s="347" t="str">
        <f t="shared" si="659"/>
        <v/>
      </c>
      <c r="N230" s="346" t="str">
        <f t="shared" si="659"/>
        <v/>
      </c>
      <c r="O230" s="347" t="str">
        <f t="shared" si="659"/>
        <v/>
      </c>
      <c r="P230" s="347" t="str">
        <f t="shared" si="659"/>
        <v/>
      </c>
      <c r="Q230" s="347" t="str">
        <f t="shared" si="659"/>
        <v/>
      </c>
      <c r="R230" s="347" t="str">
        <f t="shared" si="659"/>
        <v/>
      </c>
      <c r="S230" s="346" t="str">
        <f t="shared" si="659"/>
        <v/>
      </c>
      <c r="T230" s="347"/>
      <c r="U230" s="347"/>
      <c r="V230" s="347"/>
      <c r="W230" s="347"/>
      <c r="X230" s="346"/>
      <c r="Y230" s="347"/>
      <c r="Z230" s="347"/>
      <c r="AA230" s="347"/>
      <c r="AB230" s="347"/>
      <c r="AC230" s="346"/>
      <c r="AD230" s="347"/>
      <c r="AE230" s="347"/>
      <c r="AF230" s="347"/>
      <c r="AG230" s="347"/>
      <c r="AH230" s="346"/>
      <c r="AI230" s="347"/>
      <c r="AJ230" s="347"/>
      <c r="AK230" s="347"/>
      <c r="AL230" s="347"/>
      <c r="AM230" s="346"/>
      <c r="AN230" s="347"/>
      <c r="AO230" s="347"/>
      <c r="AP230" s="347"/>
      <c r="AQ230" s="347"/>
      <c r="AR230" s="346"/>
      <c r="AS230" s="347"/>
      <c r="AT230" s="347"/>
      <c r="AU230" s="552"/>
      <c r="AV230" s="552"/>
      <c r="AW230" s="346"/>
      <c r="AX230" s="347"/>
      <c r="AY230" s="347"/>
      <c r="AZ230" s="347"/>
      <c r="BA230" s="347"/>
      <c r="BB230" s="346"/>
      <c r="BC230" s="347"/>
      <c r="BD230" s="347"/>
      <c r="BE230" s="347"/>
      <c r="BF230" s="347"/>
      <c r="BG230" s="575"/>
      <c r="BH230" s="347"/>
      <c r="BI230" s="347"/>
      <c r="BJ230" s="552"/>
      <c r="BK230" s="552"/>
      <c r="BL230" s="575"/>
      <c r="BM230" s="552"/>
      <c r="BN230" s="552"/>
      <c r="BO230" s="552"/>
      <c r="BP230" s="552"/>
      <c r="BQ230" s="575"/>
      <c r="BR230" s="552"/>
      <c r="BS230" s="552"/>
      <c r="BT230" s="552"/>
      <c r="BU230" s="552"/>
      <c r="BV230" s="575"/>
      <c r="BW230" s="552"/>
      <c r="BX230" s="552"/>
      <c r="BY230" s="552"/>
      <c r="BZ230" s="552"/>
      <c r="CA230" s="575"/>
      <c r="CB230" s="552"/>
      <c r="CC230" s="552"/>
      <c r="CD230" s="552"/>
      <c r="CE230" s="552"/>
      <c r="CF230" s="575"/>
      <c r="CG230" s="552"/>
      <c r="CH230" s="552"/>
      <c r="CI230" s="552"/>
      <c r="CJ230" s="552"/>
      <c r="CK230" s="575"/>
      <c r="CL230" s="552"/>
      <c r="CM230" s="552"/>
      <c r="CN230" s="552"/>
      <c r="CO230" s="552"/>
      <c r="CP230" s="575"/>
      <c r="CQ230" s="552"/>
      <c r="CR230" s="552"/>
      <c r="CS230" s="552"/>
      <c r="CT230" s="552"/>
      <c r="CU230" s="575"/>
      <c r="CV230" s="552"/>
      <c r="CW230" s="552"/>
      <c r="CX230" s="552"/>
      <c r="CY230" s="552"/>
      <c r="CZ230" s="575"/>
      <c r="DA230" s="552"/>
      <c r="DB230" s="552"/>
      <c r="DC230" s="552"/>
      <c r="DD230" s="552"/>
      <c r="DE230" s="575"/>
      <c r="DF230" s="552"/>
      <c r="DG230" s="552"/>
      <c r="DH230" s="552"/>
      <c r="DI230" s="552"/>
      <c r="DJ230" s="575"/>
      <c r="DK230" s="552"/>
      <c r="DL230" s="552"/>
      <c r="DM230" s="552"/>
      <c r="DN230" s="552"/>
      <c r="DO230" s="575"/>
      <c r="DP230" s="552"/>
      <c r="DQ230" s="552"/>
      <c r="DR230" s="552"/>
      <c r="DS230" s="552"/>
      <c r="DT230" s="575"/>
      <c r="DU230" s="552"/>
      <c r="DV230" s="552"/>
      <c r="DW230" s="552"/>
      <c r="DX230" s="552"/>
      <c r="DY230" s="575"/>
      <c r="DZ230" s="575"/>
      <c r="EA230" s="575"/>
      <c r="EB230" s="575"/>
    </row>
    <row r="231" spans="2:132" s="241" customFormat="1" ht="12" customHeight="1" collapsed="1">
      <c r="B231" s="137" t="s">
        <v>391</v>
      </c>
      <c r="C231" s="309">
        <f t="shared" ref="C231:AH231" si="660">IF(ISERROR(C178/C69),"",(C178/C69))</f>
        <v>7.2662068965517246E-2</v>
      </c>
      <c r="D231" s="309">
        <f t="shared" si="660"/>
        <v>7.7015946476180888E-2</v>
      </c>
      <c r="E231" s="309">
        <f t="shared" si="660"/>
        <v>8.4405018109285607E-2</v>
      </c>
      <c r="F231" s="309">
        <f t="shared" si="660"/>
        <v>4.6847203004546353E-2</v>
      </c>
      <c r="G231" s="309">
        <f t="shared" si="660"/>
        <v>8.6127547666009205E-2</v>
      </c>
      <c r="H231" s="309">
        <f t="shared" si="660"/>
        <v>8.0498457346636215E-2</v>
      </c>
      <c r="I231" s="309">
        <f t="shared" si="660"/>
        <v>2.7996052775848837E-2</v>
      </c>
      <c r="J231" s="305">
        <f t="shared" si="660"/>
        <v>9.9501146015909397E-2</v>
      </c>
      <c r="K231" s="305">
        <f t="shared" si="660"/>
        <v>9.7179558782462996E-2</v>
      </c>
      <c r="L231" s="305">
        <f t="shared" si="660"/>
        <v>9.880130766436615E-2</v>
      </c>
      <c r="M231" s="305">
        <f t="shared" si="660"/>
        <v>8.850137668808182E-2</v>
      </c>
      <c r="N231" s="309">
        <f t="shared" si="660"/>
        <v>9.6011816838995567E-2</v>
      </c>
      <c r="O231" s="305">
        <f t="shared" si="660"/>
        <v>0.11228953997083388</v>
      </c>
      <c r="P231" s="305">
        <f t="shared" si="660"/>
        <v>0.10539912167398605</v>
      </c>
      <c r="Q231" s="305">
        <f t="shared" si="660"/>
        <v>0.17653434493971007</v>
      </c>
      <c r="R231" s="305">
        <f t="shared" si="660"/>
        <v>0.11372307692307693</v>
      </c>
      <c r="S231" s="309">
        <f t="shared" si="660"/>
        <v>0.12633561755058295</v>
      </c>
      <c r="T231" s="305">
        <f t="shared" si="660"/>
        <v>0.11369329251322015</v>
      </c>
      <c r="U231" s="305">
        <f t="shared" si="660"/>
        <v>3.9747877540519679E-2</v>
      </c>
      <c r="V231" s="305">
        <f t="shared" si="660"/>
        <v>0.11280800821355236</v>
      </c>
      <c r="W231" s="305">
        <f t="shared" si="660"/>
        <v>0.10601837514194282</v>
      </c>
      <c r="X231" s="309">
        <f t="shared" si="660"/>
        <v>9.3467739449428155E-2</v>
      </c>
      <c r="Y231" s="305">
        <f t="shared" si="660"/>
        <v>0.10154125113327289</v>
      </c>
      <c r="Z231" s="305">
        <f t="shared" si="660"/>
        <v>0.10700413482019797</v>
      </c>
      <c r="AA231" s="305">
        <f t="shared" si="660"/>
        <v>0.1028971028971029</v>
      </c>
      <c r="AB231" s="305">
        <f t="shared" si="660"/>
        <v>0.11684587813620072</v>
      </c>
      <c r="AC231" s="309">
        <f t="shared" si="660"/>
        <v>0.10723192019950124</v>
      </c>
      <c r="AD231" s="305">
        <f t="shared" si="660"/>
        <v>0.11353135313531353</v>
      </c>
      <c r="AE231" s="305">
        <f t="shared" si="660"/>
        <v>8.0287370809175695E-2</v>
      </c>
      <c r="AF231" s="305">
        <f t="shared" si="660"/>
        <v>0.10050606096269271</v>
      </c>
      <c r="AG231" s="305">
        <f t="shared" si="660"/>
        <v>0.10942740032294125</v>
      </c>
      <c r="AH231" s="309">
        <f t="shared" si="660"/>
        <v>0.10082041363820694</v>
      </c>
      <c r="AI231" s="305">
        <f t="shared" ref="AI231:BN231" si="661">IF(ISERROR(AI178/AI69),"",(AI178/AI69))</f>
        <v>9.183937823834197E-2</v>
      </c>
      <c r="AJ231" s="305">
        <f t="shared" si="661"/>
        <v>0.10127167630057804</v>
      </c>
      <c r="AK231" s="305">
        <f t="shared" si="661"/>
        <v>0.10121225983531565</v>
      </c>
      <c r="AL231" s="305">
        <f t="shared" si="661"/>
        <v>9.6993096993096994E-2</v>
      </c>
      <c r="AM231" s="309">
        <f t="shared" si="661"/>
        <v>9.800659516948397E-2</v>
      </c>
      <c r="AN231" s="305">
        <f t="shared" si="661"/>
        <v>8.7219230264022063E-2</v>
      </c>
      <c r="AO231" s="305">
        <f t="shared" si="661"/>
        <v>8.9064261555806087E-2</v>
      </c>
      <c r="AP231" s="305">
        <f t="shared" si="661"/>
        <v>8.359814226350526E-2</v>
      </c>
      <c r="AQ231" s="305">
        <f t="shared" si="661"/>
        <v>9.9938763012859769E-2</v>
      </c>
      <c r="AR231" s="309">
        <f t="shared" si="661"/>
        <v>9.0004069749240842E-2</v>
      </c>
      <c r="AS231" s="305">
        <f t="shared" si="661"/>
        <v>8.8092424839175523E-2</v>
      </c>
      <c r="AT231" s="305">
        <f t="shared" si="661"/>
        <v>0.10379812695109261</v>
      </c>
      <c r="AU231" s="137">
        <f t="shared" si="661"/>
        <v>0.10048780487804879</v>
      </c>
      <c r="AV231" s="137">
        <f t="shared" si="661"/>
        <v>0.10211309172470782</v>
      </c>
      <c r="AW231" s="309">
        <f t="shared" si="661"/>
        <v>9.8761571178383786E-2</v>
      </c>
      <c r="AX231" s="305">
        <f t="shared" si="661"/>
        <v>9.0125106279606459E-2</v>
      </c>
      <c r="AY231" s="305">
        <f t="shared" si="661"/>
        <v>9.130859375E-2</v>
      </c>
      <c r="AZ231" s="305">
        <f t="shared" si="661"/>
        <v>0.10549815027426968</v>
      </c>
      <c r="BA231" s="305">
        <f t="shared" si="661"/>
        <v>9.0015581924967045E-2</v>
      </c>
      <c r="BB231" s="309">
        <f t="shared" si="661"/>
        <v>9.409022602508664E-2</v>
      </c>
      <c r="BC231" s="305">
        <f t="shared" si="661"/>
        <v>0.10258939580764488</v>
      </c>
      <c r="BD231" s="305">
        <f t="shared" si="661"/>
        <v>9.4795993159052044E-2</v>
      </c>
      <c r="BE231" s="305">
        <f t="shared" si="661"/>
        <v>8.3644046731295052E-2</v>
      </c>
      <c r="BF231" s="305">
        <f t="shared" si="661"/>
        <v>0.10773574251835122</v>
      </c>
      <c r="BG231" s="136">
        <f t="shared" si="661"/>
        <v>9.7448564629333975E-2</v>
      </c>
      <c r="BH231" s="305">
        <f t="shared" si="661"/>
        <v>0.10192584829031835</v>
      </c>
      <c r="BI231" s="305">
        <f t="shared" si="661"/>
        <v>7.5125855169743128E-2</v>
      </c>
      <c r="BJ231" s="137">
        <f t="shared" si="661"/>
        <v>0.10817641855175028</v>
      </c>
      <c r="BK231" s="137">
        <f t="shared" si="661"/>
        <v>0.12084870848708487</v>
      </c>
      <c r="BL231" s="136">
        <f t="shared" si="661"/>
        <v>0.10145396845957061</v>
      </c>
      <c r="BM231" s="137">
        <f t="shared" si="661"/>
        <v>0.11074675808615293</v>
      </c>
      <c r="BN231" s="137">
        <f t="shared" si="661"/>
        <v>7.2375397667020142E-2</v>
      </c>
      <c r="BO231" s="137">
        <f t="shared" ref="BO231:CT231" si="662">IF(ISERROR(BO178/BO69),"",(BO178/BO69))</f>
        <v>0.12239520958083833</v>
      </c>
      <c r="BP231" s="137">
        <f t="shared" si="662"/>
        <v>0.12369942196531791</v>
      </c>
      <c r="BQ231" s="136">
        <f t="shared" si="662"/>
        <v>0.10773989732789259</v>
      </c>
      <c r="BR231" s="137">
        <f t="shared" si="662"/>
        <v>8.4256844850065182E-2</v>
      </c>
      <c r="BS231" s="137">
        <f t="shared" si="662"/>
        <v>6.7111605487578788E-2</v>
      </c>
      <c r="BT231" s="137">
        <f t="shared" si="662"/>
        <v>9.80699008868023E-2</v>
      </c>
      <c r="BU231" s="137">
        <f t="shared" si="662"/>
        <v>9.9015524422567211E-2</v>
      </c>
      <c r="BV231" s="136">
        <f t="shared" si="662"/>
        <v>8.7133803129016529E-2</v>
      </c>
      <c r="BW231" s="137">
        <f t="shared" si="662"/>
        <v>0.10739436619718309</v>
      </c>
      <c r="BX231" s="137">
        <f t="shared" si="662"/>
        <v>0.11940879035394789</v>
      </c>
      <c r="BY231" s="137">
        <f t="shared" si="662"/>
        <v>9.623762376237624E-2</v>
      </c>
      <c r="BZ231" s="137">
        <f t="shared" si="662"/>
        <v>0.10348107285524064</v>
      </c>
      <c r="CA231" s="136">
        <f t="shared" si="662"/>
        <v>0.10665823646709791</v>
      </c>
      <c r="CB231" s="137">
        <f t="shared" si="662"/>
        <v>0.11680296250578615</v>
      </c>
      <c r="CC231" s="137">
        <f t="shared" si="662"/>
        <v>6.163934426229508E-2</v>
      </c>
      <c r="CD231" s="137">
        <f t="shared" si="662"/>
        <v>-3.5606169814040654E-2</v>
      </c>
      <c r="CE231" s="137">
        <f t="shared" si="662"/>
        <v>0.11216176898457958</v>
      </c>
      <c r="CF231" s="136">
        <f t="shared" si="662"/>
        <v>6.278417702334041E-2</v>
      </c>
      <c r="CG231" s="137">
        <f t="shared" si="662"/>
        <v>0.1281198003327787</v>
      </c>
      <c r="CH231" s="137">
        <f t="shared" si="662"/>
        <v>0.14745916515426497</v>
      </c>
      <c r="CI231" s="137">
        <f t="shared" si="662"/>
        <v>0.10768351899457299</v>
      </c>
      <c r="CJ231" s="137">
        <f t="shared" si="662"/>
        <v>5.1995974505199601E-3</v>
      </c>
      <c r="CK231" s="136">
        <f t="shared" si="662"/>
        <v>9.9553213426509343E-2</v>
      </c>
      <c r="CL231" s="137">
        <f t="shared" si="662"/>
        <v>-3.1612048990400529E-2</v>
      </c>
      <c r="CM231" s="137">
        <f t="shared" si="662"/>
        <v>9.107468123861566E-2</v>
      </c>
      <c r="CN231" s="137">
        <f t="shared" si="662"/>
        <v>9.1705607476635517E-2</v>
      </c>
      <c r="CO231" s="137">
        <f t="shared" si="662"/>
        <v>7.4052220091458912E-2</v>
      </c>
      <c r="CP231" s="136">
        <f t="shared" si="662"/>
        <v>5.8612941310888525E-2</v>
      </c>
      <c r="CQ231" s="137">
        <f t="shared" si="662"/>
        <v>5.6367432150313153E-2</v>
      </c>
      <c r="CR231" s="137">
        <f t="shared" si="662"/>
        <v>0.13932518906340896</v>
      </c>
      <c r="CS231" s="137">
        <f t="shared" si="662"/>
        <v>6.5890887108961765E-2</v>
      </c>
      <c r="CT231" s="137">
        <f t="shared" si="662"/>
        <v>-4.3500511770726717E-2</v>
      </c>
      <c r="CU231" s="136">
        <f t="shared" ref="CU231:DQ231" si="663">IF(ISERROR(CU178/CU69),"",(CU178/CU69))</f>
        <v>5.8176337603617179E-2</v>
      </c>
      <c r="CV231" s="137">
        <f t="shared" si="663"/>
        <v>-0.16943279226700711</v>
      </c>
      <c r="CW231" s="137">
        <f t="shared" si="663"/>
        <v>1.1468260377968019E-2</v>
      </c>
      <c r="CX231" s="137">
        <f t="shared" si="663"/>
        <v>-0.52722818918409653</v>
      </c>
      <c r="CY231" s="137">
        <f t="shared" si="663"/>
        <v>1.8120045300113252E-2</v>
      </c>
      <c r="CZ231" s="136">
        <f t="shared" si="663"/>
        <v>-0.15300923927122009</v>
      </c>
      <c r="DA231" s="137">
        <f t="shared" si="663"/>
        <v>-3.2420859458632816E-2</v>
      </c>
      <c r="DB231" s="137">
        <f t="shared" si="663"/>
        <v>-8.5454840278903849E-2</v>
      </c>
      <c r="DC231" s="137">
        <f t="shared" si="663"/>
        <v>-0.16858237547892721</v>
      </c>
      <c r="DD231" s="137">
        <f t="shared" si="663"/>
        <v>-1.4971835161577232E-2</v>
      </c>
      <c r="DE231" s="136">
        <f t="shared" si="663"/>
        <v>-7.0749608951991338E-2</v>
      </c>
      <c r="DF231" s="137">
        <f t="shared" si="663"/>
        <v>2.172661870503597E-2</v>
      </c>
      <c r="DG231" s="137">
        <f t="shared" si="663"/>
        <v>-0.15163594087360904</v>
      </c>
      <c r="DH231" s="137">
        <f t="shared" si="663"/>
        <v>-0.430635838150289</v>
      </c>
      <c r="DI231" s="137">
        <f t="shared" si="663"/>
        <v>-0.41896137497689889</v>
      </c>
      <c r="DJ231" s="136">
        <f t="shared" si="663"/>
        <v>-0.22631490927335063</v>
      </c>
      <c r="DK231" s="137">
        <f t="shared" si="663"/>
        <v>2.461098761511591E-2</v>
      </c>
      <c r="DL231" s="137">
        <f t="shared" si="663"/>
        <v>1.6623847665105034E-2</v>
      </c>
      <c r="DM231" s="137">
        <f t="shared" si="663"/>
        <v>1.65169516082295E-2</v>
      </c>
      <c r="DN231" s="137">
        <f t="shared" si="663"/>
        <v>-6.8356478360523124E-2</v>
      </c>
      <c r="DO231" s="136">
        <f t="shared" si="663"/>
        <v>-4.700007343761475E-3</v>
      </c>
      <c r="DP231" s="137">
        <f t="shared" si="663"/>
        <v>3.0661929201210684E-2</v>
      </c>
      <c r="DQ231" s="137">
        <f t="shared" si="663"/>
        <v>-2.0045436322330616E-3</v>
      </c>
      <c r="DR231" s="138">
        <v>2.7E-2</v>
      </c>
      <c r="DS231" s="138">
        <v>3.5999999999999997E-2</v>
      </c>
      <c r="DT231" s="136">
        <f>IF(ISERROR(DT178/DT69),"",(DT178/DT69))</f>
        <v>2.3181795982375006E-2</v>
      </c>
      <c r="DU231" s="138">
        <v>3.1E-2</v>
      </c>
      <c r="DV231" s="138">
        <v>4.5999999999999999E-2</v>
      </c>
      <c r="DW231" s="138">
        <v>5.2999999999999999E-2</v>
      </c>
      <c r="DX231" s="138">
        <v>6.2E-2</v>
      </c>
      <c r="DY231" s="136">
        <f>IF(ISERROR(DY178/DY69),"",(DY178/DY69))</f>
        <v>4.8208569218681191E-2</v>
      </c>
      <c r="DZ231" s="139">
        <v>6.7000000000000004E-2</v>
      </c>
      <c r="EA231" s="139">
        <v>8.3000000000000004E-2</v>
      </c>
      <c r="EB231" s="139">
        <v>0.09</v>
      </c>
    </row>
    <row r="232" spans="2:132" s="241" customFormat="1" ht="12" customHeight="1">
      <c r="B232" s="137" t="s">
        <v>575</v>
      </c>
      <c r="C232" s="309"/>
      <c r="D232" s="309"/>
      <c r="E232" s="309"/>
      <c r="F232" s="309"/>
      <c r="G232" s="309"/>
      <c r="H232" s="309"/>
      <c r="I232" s="309"/>
      <c r="J232" s="305"/>
      <c r="K232" s="305"/>
      <c r="L232" s="305"/>
      <c r="M232" s="305"/>
      <c r="N232" s="309"/>
      <c r="O232" s="305"/>
      <c r="P232" s="305"/>
      <c r="Q232" s="305"/>
      <c r="R232" s="305"/>
      <c r="S232" s="309"/>
      <c r="T232" s="305"/>
      <c r="U232" s="305"/>
      <c r="V232" s="305"/>
      <c r="W232" s="305"/>
      <c r="X232" s="309"/>
      <c r="Y232" s="305"/>
      <c r="Z232" s="305"/>
      <c r="AA232" s="305"/>
      <c r="AB232" s="305"/>
      <c r="AC232" s="309"/>
      <c r="AD232" s="305"/>
      <c r="AE232" s="305"/>
      <c r="AF232" s="305"/>
      <c r="AG232" s="305"/>
      <c r="AH232" s="309"/>
      <c r="AI232" s="305"/>
      <c r="AJ232" s="305"/>
      <c r="AK232" s="305"/>
      <c r="AL232" s="305"/>
      <c r="AM232" s="309"/>
      <c r="AN232" s="305"/>
      <c r="AO232" s="305"/>
      <c r="AP232" s="305"/>
      <c r="AQ232" s="305"/>
      <c r="AR232" s="309"/>
      <c r="AS232" s="305"/>
      <c r="AT232" s="305"/>
      <c r="AU232" s="137"/>
      <c r="AV232" s="137"/>
      <c r="AW232" s="309"/>
      <c r="AX232" s="305"/>
      <c r="AY232" s="305"/>
      <c r="AZ232" s="305"/>
      <c r="BA232" s="305"/>
      <c r="BB232" s="309"/>
      <c r="BC232" s="305"/>
      <c r="BD232" s="305"/>
      <c r="BE232" s="305"/>
      <c r="BF232" s="305"/>
      <c r="BG232" s="136"/>
      <c r="BH232" s="305"/>
      <c r="BI232" s="305"/>
      <c r="BJ232" s="137"/>
      <c r="BK232" s="137"/>
      <c r="BL232" s="136"/>
      <c r="BM232" s="137"/>
      <c r="BN232" s="137"/>
      <c r="BO232" s="137"/>
      <c r="BP232" s="137"/>
      <c r="BQ232" s="136"/>
      <c r="BR232" s="137">
        <f t="shared" ref="BR232:DM232" si="664">IF(ISERROR(BR179/BR74),"",(BR179/BR74))</f>
        <v>0.15960245542239113</v>
      </c>
      <c r="BS232" s="137">
        <f t="shared" si="664"/>
        <v>0.15051661547053896</v>
      </c>
      <c r="BT232" s="137">
        <f t="shared" si="664"/>
        <v>0.14945807187678267</v>
      </c>
      <c r="BU232" s="137">
        <f t="shared" si="664"/>
        <v>0.1662276851038923</v>
      </c>
      <c r="BV232" s="136">
        <f t="shared" si="664"/>
        <v>0.15633752244165169</v>
      </c>
      <c r="BW232" s="137">
        <f t="shared" si="664"/>
        <v>0.17054475773336983</v>
      </c>
      <c r="BX232" s="137">
        <f t="shared" si="664"/>
        <v>0.16019144144144143</v>
      </c>
      <c r="BY232" s="137">
        <f t="shared" si="664"/>
        <v>0.13830678960603521</v>
      </c>
      <c r="BZ232" s="137">
        <f t="shared" si="664"/>
        <v>0.14722149065051357</v>
      </c>
      <c r="CA232" s="136">
        <f t="shared" si="664"/>
        <v>0.1540360743433235</v>
      </c>
      <c r="CB232" s="137">
        <f t="shared" si="664"/>
        <v>0.16379746835443038</v>
      </c>
      <c r="CC232" s="137">
        <f t="shared" si="664"/>
        <v>0.14742494508176715</v>
      </c>
      <c r="CD232" s="137">
        <f t="shared" si="664"/>
        <v>0.13362594489148988</v>
      </c>
      <c r="CE232" s="137">
        <f t="shared" si="664"/>
        <v>0.15016299918500409</v>
      </c>
      <c r="CF232" s="136">
        <f t="shared" si="664"/>
        <v>0.14868667917448405</v>
      </c>
      <c r="CG232" s="137">
        <f t="shared" si="664"/>
        <v>0.14137259147001516</v>
      </c>
      <c r="CH232" s="137">
        <f t="shared" si="664"/>
        <v>0.15122165969623597</v>
      </c>
      <c r="CI232" s="137">
        <f t="shared" si="664"/>
        <v>0.14448261056247316</v>
      </c>
      <c r="CJ232" s="137">
        <f t="shared" si="664"/>
        <v>0.14716006884681584</v>
      </c>
      <c r="CK232" s="136">
        <f t="shared" si="664"/>
        <v>0.14603638726445745</v>
      </c>
      <c r="CL232" s="137">
        <f t="shared" si="664"/>
        <v>0.15298184961106309</v>
      </c>
      <c r="CM232" s="137">
        <f t="shared" si="664"/>
        <v>-0.19266055045871561</v>
      </c>
      <c r="CN232" s="137">
        <f t="shared" si="664"/>
        <v>7.3362208987547375E-2</v>
      </c>
      <c r="CO232" s="137">
        <f t="shared" si="664"/>
        <v>3.8306991695687118E-2</v>
      </c>
      <c r="CP232" s="136">
        <f t="shared" si="664"/>
        <v>2.8951939779965258E-2</v>
      </c>
      <c r="CQ232" s="137">
        <f t="shared" si="664"/>
        <v>0.11763136836489731</v>
      </c>
      <c r="CR232" s="137">
        <f t="shared" si="664"/>
        <v>0.13056306860093436</v>
      </c>
      <c r="CS232" s="137">
        <f t="shared" si="664"/>
        <v>0.15257048092868988</v>
      </c>
      <c r="CT232" s="137">
        <f t="shared" si="664"/>
        <v>9.3451409927755774E-2</v>
      </c>
      <c r="CU232" s="136">
        <f t="shared" si="664"/>
        <v>0.12353013228809408</v>
      </c>
      <c r="CV232" s="137">
        <f t="shared" si="664"/>
        <v>0.14649976819656932</v>
      </c>
      <c r="CW232" s="137">
        <f t="shared" si="664"/>
        <v>0.16938110749185667</v>
      </c>
      <c r="CX232" s="137">
        <f t="shared" si="664"/>
        <v>0.16538808664259927</v>
      </c>
      <c r="CY232" s="137">
        <f t="shared" si="664"/>
        <v>0.13882198379680316</v>
      </c>
      <c r="CZ232" s="136">
        <f t="shared" si="664"/>
        <v>0.15484640281642156</v>
      </c>
      <c r="DA232" s="137">
        <f t="shared" si="664"/>
        <v>0.17944915254237287</v>
      </c>
      <c r="DB232" s="137">
        <f t="shared" si="664"/>
        <v>0.18036241045090604</v>
      </c>
      <c r="DC232" s="137">
        <f t="shared" si="664"/>
        <v>0.1629260182876143</v>
      </c>
      <c r="DD232" s="137">
        <f t="shared" si="664"/>
        <v>0.17364405031965355</v>
      </c>
      <c r="DE232" s="136">
        <f t="shared" si="664"/>
        <v>0.1740471584670884</v>
      </c>
      <c r="DF232" s="137">
        <f t="shared" si="664"/>
        <v>0.18156590683845392</v>
      </c>
      <c r="DG232" s="137">
        <f t="shared" si="664"/>
        <v>0.17795050112497443</v>
      </c>
      <c r="DH232" s="137">
        <f t="shared" si="664"/>
        <v>0.17016935319322588</v>
      </c>
      <c r="DI232" s="137">
        <f t="shared" si="664"/>
        <v>0.19495995311584294</v>
      </c>
      <c r="DJ232" s="136">
        <f t="shared" si="664"/>
        <v>0.18131702916708428</v>
      </c>
      <c r="DK232" s="137">
        <f t="shared" si="664"/>
        <v>0.18625320955954969</v>
      </c>
      <c r="DL232" s="137">
        <f t="shared" si="664"/>
        <v>0.19863662185192199</v>
      </c>
      <c r="DM232" s="137">
        <f t="shared" si="664"/>
        <v>0.17467411545623837</v>
      </c>
      <c r="DN232" s="137">
        <f t="shared" ref="DN232" si="665">IF(ISERROR(DN179/DN74),"",(DN179/DN74))</f>
        <v>2.0241889038203111</v>
      </c>
      <c r="DO232" s="136">
        <f>IF(ISERROR(DO179/DO74),"",(DO179/DO74))</f>
        <v>0.6439803087511351</v>
      </c>
      <c r="DP232" s="137">
        <f t="shared" ref="DP232:DQ232" si="666">IF(ISERROR(DP179/DP74),"",(DP179/DP74))</f>
        <v>0.18081936685288641</v>
      </c>
      <c r="DQ232" s="137">
        <f t="shared" si="666"/>
        <v>0.18113772455089822</v>
      </c>
      <c r="DR232" s="138">
        <v>0.188</v>
      </c>
      <c r="DS232" s="138">
        <v>0.19</v>
      </c>
      <c r="DT232" s="136">
        <f>IF(ISERROR(DT179/DT74),"",(DT179/DT74))</f>
        <v>0.18498461884495043</v>
      </c>
      <c r="DU232" s="138">
        <v>0.18</v>
      </c>
      <c r="DV232" s="138">
        <v>0.186</v>
      </c>
      <c r="DW232" s="138">
        <v>0.19</v>
      </c>
      <c r="DX232" s="138">
        <v>0.192</v>
      </c>
      <c r="DY232" s="136">
        <f>IF(ISERROR(DY179/DY74),"",(DY179/DY74))</f>
        <v>0.18707645680906454</v>
      </c>
      <c r="DZ232" s="139">
        <v>0.189</v>
      </c>
      <c r="EA232" s="139">
        <v>0.191</v>
      </c>
      <c r="EB232" s="139">
        <v>0.193</v>
      </c>
    </row>
    <row r="233" spans="2:132" s="241" customFormat="1" ht="12" hidden="1" customHeight="1" outlineLevel="1">
      <c r="B233" s="305" t="s">
        <v>144</v>
      </c>
      <c r="C233" s="309">
        <f t="shared" ref="C233:AH233" si="667">IF(ISERROR(C180/C79),"",(C180/C79))</f>
        <v>0.51072386058981234</v>
      </c>
      <c r="D233" s="309">
        <f t="shared" si="667"/>
        <v>0.50273972602739725</v>
      </c>
      <c r="E233" s="309">
        <f t="shared" si="667"/>
        <v>0.58781362007168458</v>
      </c>
      <c r="F233" s="309">
        <f t="shared" si="667"/>
        <v>0.65171503957783639</v>
      </c>
      <c r="G233" s="309">
        <f t="shared" si="667"/>
        <v>0.69061413673232908</v>
      </c>
      <c r="H233" s="309">
        <f t="shared" si="667"/>
        <v>0.48490945674044267</v>
      </c>
      <c r="I233" s="309">
        <f t="shared" si="667"/>
        <v>0.11711711711711711</v>
      </c>
      <c r="J233" s="305">
        <f t="shared" si="667"/>
        <v>0.28338762214983715</v>
      </c>
      <c r="K233" s="305">
        <f t="shared" si="667"/>
        <v>6.5502183406113537E-2</v>
      </c>
      <c r="L233" s="305">
        <f t="shared" si="667"/>
        <v>0.23715415019762845</v>
      </c>
      <c r="M233" s="305">
        <f t="shared" si="667"/>
        <v>0.12352941176470589</v>
      </c>
      <c r="N233" s="309">
        <f t="shared" si="667"/>
        <v>0.19082377476538059</v>
      </c>
      <c r="O233" s="305">
        <f t="shared" si="667"/>
        <v>0.18565400843881857</v>
      </c>
      <c r="P233" s="305">
        <f t="shared" si="667"/>
        <v>0.42424242424242425</v>
      </c>
      <c r="Q233" s="305">
        <f t="shared" si="667"/>
        <v>0.12173913043478261</v>
      </c>
      <c r="R233" s="305">
        <f t="shared" si="667"/>
        <v>0.20425531914893616</v>
      </c>
      <c r="S233" s="309">
        <f t="shared" si="667"/>
        <v>0.2401656314699793</v>
      </c>
      <c r="T233" s="305">
        <f t="shared" si="667"/>
        <v>0.29535864978902954</v>
      </c>
      <c r="U233" s="305">
        <f t="shared" si="667"/>
        <v>0.2551440329218107</v>
      </c>
      <c r="V233" s="305">
        <f t="shared" si="667"/>
        <v>0.40131578947368424</v>
      </c>
      <c r="W233" s="305">
        <f t="shared" si="667"/>
        <v>0.15352697095435686</v>
      </c>
      <c r="X233" s="309">
        <f t="shared" si="667"/>
        <v>0.28390243902439022</v>
      </c>
      <c r="Y233" s="305">
        <f t="shared" si="667"/>
        <v>0.34272300469483569</v>
      </c>
      <c r="Z233" s="305">
        <f t="shared" si="667"/>
        <v>0.3349282296650718</v>
      </c>
      <c r="AA233" s="305">
        <f t="shared" si="667"/>
        <v>0.30964467005076141</v>
      </c>
      <c r="AB233" s="305">
        <f t="shared" si="667"/>
        <v>0.15306122448979592</v>
      </c>
      <c r="AC233" s="309">
        <f t="shared" si="667"/>
        <v>0.28711656441717792</v>
      </c>
      <c r="AD233" s="305">
        <f t="shared" si="667"/>
        <v>0.32972972972972975</v>
      </c>
      <c r="AE233" s="305">
        <f t="shared" si="667"/>
        <v>0.25139664804469275</v>
      </c>
      <c r="AF233" s="305">
        <f t="shared" si="667"/>
        <v>0.21637426900584794</v>
      </c>
      <c r="AG233" s="305">
        <f t="shared" si="667"/>
        <v>0.1130952380952381</v>
      </c>
      <c r="AH233" s="309">
        <f t="shared" si="667"/>
        <v>0.23044096728307253</v>
      </c>
      <c r="AI233" s="305">
        <f t="shared" ref="AI233:BN233" si="668">IF(ISERROR(AI180/AI79),"",(AI180/AI79))</f>
        <v>0.22699386503067484</v>
      </c>
      <c r="AJ233" s="305">
        <f t="shared" si="668"/>
        <v>0.21556886227544911</v>
      </c>
      <c r="AK233" s="305">
        <f t="shared" si="668"/>
        <v>0.23493975903614459</v>
      </c>
      <c r="AL233" s="305">
        <f t="shared" si="668"/>
        <v>8.5365853658536592E-2</v>
      </c>
      <c r="AM233" s="309">
        <f t="shared" si="668"/>
        <v>0.19090909090909092</v>
      </c>
      <c r="AN233" s="305">
        <f t="shared" si="668"/>
        <v>0.2839506172839506</v>
      </c>
      <c r="AO233" s="305">
        <f t="shared" si="668"/>
        <v>0.33950617283950618</v>
      </c>
      <c r="AP233" s="305">
        <f t="shared" si="668"/>
        <v>0.26470588235294118</v>
      </c>
      <c r="AQ233" s="305">
        <f t="shared" si="668"/>
        <v>4.1379310344827586E-2</v>
      </c>
      <c r="AR233" s="309">
        <f t="shared" si="668"/>
        <v>0.23787167449139279</v>
      </c>
      <c r="AS233" s="305">
        <f t="shared" si="668"/>
        <v>0.36363636363636365</v>
      </c>
      <c r="AT233" s="305">
        <f t="shared" si="668"/>
        <v>0.42176870748299322</v>
      </c>
      <c r="AU233" s="137">
        <f t="shared" si="668"/>
        <v>0.15079365079365079</v>
      </c>
      <c r="AV233" s="137">
        <f t="shared" si="668"/>
        <v>-6.8965517241379309E-2</v>
      </c>
      <c r="AW233" s="309">
        <f t="shared" si="668"/>
        <v>0.23496240601503759</v>
      </c>
      <c r="AX233" s="137">
        <f t="shared" si="668"/>
        <v>0.30399999999999999</v>
      </c>
      <c r="AY233" s="137">
        <f t="shared" si="668"/>
        <v>0.31313131313131315</v>
      </c>
      <c r="AZ233" s="137">
        <f t="shared" si="668"/>
        <v>0.32673267326732675</v>
      </c>
      <c r="BA233" s="137">
        <f t="shared" si="668"/>
        <v>-0.17241379310344829</v>
      </c>
      <c r="BB233" s="309">
        <f t="shared" si="668"/>
        <v>0.18594104308390022</v>
      </c>
      <c r="BC233" s="137">
        <f t="shared" si="668"/>
        <v>0.41904761904761906</v>
      </c>
      <c r="BD233" s="137">
        <f t="shared" si="668"/>
        <v>0.18269230769230768</v>
      </c>
      <c r="BE233" s="137">
        <f t="shared" si="668"/>
        <v>0.37234042553191488</v>
      </c>
      <c r="BF233" s="137">
        <f t="shared" si="668"/>
        <v>8.5714285714285715E-2</v>
      </c>
      <c r="BG233" s="136">
        <f t="shared" si="668"/>
        <v>0.26225490196078433</v>
      </c>
      <c r="BH233" s="137">
        <f t="shared" si="668"/>
        <v>0.53658536585365857</v>
      </c>
      <c r="BI233" s="137">
        <f t="shared" si="668"/>
        <v>0.36666666666666664</v>
      </c>
      <c r="BJ233" s="137">
        <f t="shared" si="668"/>
        <v>-0.12087912087912088</v>
      </c>
      <c r="BK233" s="137">
        <f t="shared" si="668"/>
        <v>0.16993464052287582</v>
      </c>
      <c r="BL233" s="136">
        <f t="shared" si="668"/>
        <v>0.22115384615384615</v>
      </c>
      <c r="BM233" s="137">
        <f t="shared" si="668"/>
        <v>0.23255813953488372</v>
      </c>
      <c r="BN233" s="137">
        <f t="shared" si="668"/>
        <v>9.5652173913043481E-2</v>
      </c>
      <c r="BO233" s="137">
        <f t="shared" ref="BO233:BY233" si="669">IF(ISERROR(BO180/BO79),"",(BO180/BO79))</f>
        <v>8.771929824561403E-2</v>
      </c>
      <c r="BP233" s="137">
        <f t="shared" si="669"/>
        <v>9.1836734693877556E-2</v>
      </c>
      <c r="BQ233" s="136">
        <f t="shared" si="669"/>
        <v>0.12106537530266344</v>
      </c>
      <c r="BR233" s="137">
        <f t="shared" si="669"/>
        <v>7.8125E-2</v>
      </c>
      <c r="BS233" s="137">
        <f t="shared" si="669"/>
        <v>0.21428571428571427</v>
      </c>
      <c r="BT233" s="137">
        <f t="shared" si="669"/>
        <v>0.20634920634920634</v>
      </c>
      <c r="BU233" s="137">
        <f t="shared" si="669"/>
        <v>0.26436781609195403</v>
      </c>
      <c r="BV233" s="136">
        <f t="shared" si="669"/>
        <v>0.19798657718120805</v>
      </c>
      <c r="BW233" s="137">
        <f t="shared" si="669"/>
        <v>0.42391304347826086</v>
      </c>
      <c r="BX233" s="137">
        <f t="shared" si="669"/>
        <v>0.34722222222222221</v>
      </c>
      <c r="BY233" s="137">
        <f t="shared" si="669"/>
        <v>0.32857142857142857</v>
      </c>
      <c r="BZ233" s="137">
        <f t="shared" ref="BZ233" si="670">IF(ISERROR(BZ180/BZ79),"",(BZ180/BZ79))</f>
        <v>0.36986301369863012</v>
      </c>
      <c r="CA233" s="136">
        <f>IF(ISERROR(CA180/CA79),"",(CA180/CA79))</f>
        <v>0.37133550488599348</v>
      </c>
      <c r="CB233" s="137">
        <f t="shared" ref="CB233:CC233" si="671">IF(ISERROR(CB180/CB79),"",(CB180/CB79))</f>
        <v>0.30769230769230771</v>
      </c>
      <c r="CC233" s="137">
        <f t="shared" si="671"/>
        <v>0.33333333333333331</v>
      </c>
      <c r="CD233" s="137">
        <f t="shared" ref="CD233:CE233" si="672">IF(ISERROR(CD180/CD79),"",(CD180/CD79))</f>
        <v>0.35064935064935066</v>
      </c>
      <c r="CE233" s="137">
        <f t="shared" si="672"/>
        <v>0.13333333333333333</v>
      </c>
      <c r="CF233" s="136">
        <f>IF(ISERROR(CF180/CF79),"",(CF180/CF79))</f>
        <v>0.28832116788321166</v>
      </c>
      <c r="CG233" s="137">
        <f t="shared" ref="CG233:CH233" si="673">IF(ISERROR(CG180/CG79),"",(CG180/CG79))</f>
        <v>0.30303030303030304</v>
      </c>
      <c r="CH233" s="137">
        <f t="shared" si="673"/>
        <v>0.49333333333333335</v>
      </c>
      <c r="CI233" s="137">
        <f t="shared" ref="CI233:CJ233" si="674">IF(ISERROR(CI180/CI79),"",(CI180/CI79))</f>
        <v>0.43939393939393939</v>
      </c>
      <c r="CJ233" s="137">
        <f t="shared" si="674"/>
        <v>-1.5675675675675675</v>
      </c>
      <c r="CK233" s="136">
        <f>IF(ISERROR(CK180/CK79),"",(CK180/CK79))</f>
        <v>0.11475409836065574</v>
      </c>
      <c r="CL233" s="137">
        <f t="shared" ref="CL233:CM233" si="675">IF(ISERROR(CL180/CL79),"",(CL180/CL79))</f>
        <v>0.36923076923076925</v>
      </c>
      <c r="CM233" s="137">
        <f t="shared" si="675"/>
        <v>-0.10144927536231885</v>
      </c>
      <c r="CN233" s="137">
        <f t="shared" ref="CN233:CO233" si="676">IF(ISERROR(CN180/CN79),"",(CN180/CN79))</f>
        <v>0.42253521126760563</v>
      </c>
      <c r="CO233" s="137">
        <f t="shared" si="676"/>
        <v>0.2857142857142857</v>
      </c>
      <c r="CP233" s="136">
        <f>IF(ISERROR(CP180/CP79),"",(CP180/CP79))</f>
        <v>0.2413793103448276</v>
      </c>
      <c r="CQ233" s="137">
        <f t="shared" ref="CQ233:CR233" si="677">IF(ISERROR(CQ180/CQ79),"",(CQ180/CQ79))</f>
        <v>0.35</v>
      </c>
      <c r="CR233" s="137">
        <f t="shared" si="677"/>
        <v>0.46153846153846156</v>
      </c>
      <c r="CS233" s="137">
        <f t="shared" ref="CS233:CT233" si="678">IF(ISERROR(CS180/CS79),"",(CS180/CS79))</f>
        <v>0.59154929577464788</v>
      </c>
      <c r="CT233" s="137">
        <f t="shared" si="678"/>
        <v>0.1111111111111111</v>
      </c>
      <c r="CU233" s="136">
        <f>IF(ISERROR(CU180/CU79),"",(CU180/CU79))</f>
        <v>0.38970588235294118</v>
      </c>
      <c r="CV233" s="137">
        <f t="shared" ref="CV233:CX233" si="679">IF(ISERROR(CV180/CV79),"",(CV180/CV79))</f>
        <v>-0.78260869565217395</v>
      </c>
      <c r="CW233" s="137">
        <f t="shared" si="679"/>
        <v>0.51923076923076927</v>
      </c>
      <c r="CX233" s="137">
        <f t="shared" si="679"/>
        <v>0.44230769230769229</v>
      </c>
      <c r="CY233" s="137">
        <f t="shared" ref="CY233" si="680">IF(ISERROR(CY180/CY79),"",(CY180/CY79))</f>
        <v>0.30612244897959184</v>
      </c>
      <c r="CZ233" s="136">
        <f>IF(ISERROR(CZ180/CZ79),"",(CZ180/CZ79))</f>
        <v>0.14572864321608039</v>
      </c>
      <c r="DA233" s="137" t="str">
        <f t="shared" ref="DA233:DB233" si="681">IF(ISERROR(DA180/DA79),"",(DA180/DA79))</f>
        <v/>
      </c>
      <c r="DB233" s="137" t="str">
        <f t="shared" si="681"/>
        <v/>
      </c>
      <c r="DC233" s="138"/>
      <c r="DD233" s="138"/>
      <c r="DE233" s="136" t="str">
        <f>IF(ISERROR(DE180/DE79),"",(DE180/DE79))</f>
        <v/>
      </c>
      <c r="DF233" s="137" t="str">
        <f t="shared" ref="DF233" si="682">IF(ISERROR(DF180/DF79),"",(DF180/DF79))</f>
        <v/>
      </c>
      <c r="DG233" s="138"/>
      <c r="DH233" s="138"/>
      <c r="DI233" s="138"/>
      <c r="DJ233" s="136"/>
      <c r="DK233" s="137" t="str">
        <f t="shared" ref="DK233" si="683">IF(ISERROR(DK180/DK79),"",(DK180/DK79))</f>
        <v/>
      </c>
      <c r="DL233" s="138"/>
      <c r="DM233" s="138"/>
      <c r="DN233" s="138"/>
      <c r="DO233" s="136"/>
      <c r="DP233" s="137" t="str">
        <f t="shared" ref="DP233" si="684">IF(ISERROR(DP180/DP79),"",(DP180/DP79))</f>
        <v/>
      </c>
      <c r="DQ233" s="138"/>
      <c r="DR233" s="138"/>
      <c r="DS233" s="138"/>
      <c r="DT233" s="136"/>
      <c r="DU233" s="138"/>
      <c r="DV233" s="138"/>
      <c r="DW233" s="138"/>
      <c r="DX233" s="138"/>
      <c r="DY233" s="136"/>
      <c r="DZ233" s="139"/>
      <c r="EA233" s="139"/>
      <c r="EB233" s="139"/>
    </row>
    <row r="234" spans="2:132" s="74" customFormat="1" ht="12" customHeight="1" collapsed="1">
      <c r="B234" s="264" t="s">
        <v>188</v>
      </c>
      <c r="C234" s="28">
        <f t="shared" ref="C234:AH234" si="685">IF(ISERROR(C188/C82),"",(C188/C82))</f>
        <v>-7.7510917030567689E-3</v>
      </c>
      <c r="D234" s="28">
        <f t="shared" si="685"/>
        <v>2.7905402998895892E-2</v>
      </c>
      <c r="E234" s="28">
        <f t="shared" si="685"/>
        <v>5.4661769523908055E-2</v>
      </c>
      <c r="F234" s="28">
        <f t="shared" si="685"/>
        <v>5.9585744626955831E-2</v>
      </c>
      <c r="G234" s="28">
        <f t="shared" si="685"/>
        <v>6.6943881233032063E-2</v>
      </c>
      <c r="H234" s="28">
        <f t="shared" si="685"/>
        <v>7.1538219682257861E-2</v>
      </c>
      <c r="I234" s="28">
        <f t="shared" si="685"/>
        <v>8.8937308111320199E-3</v>
      </c>
      <c r="J234" s="264">
        <f t="shared" si="685"/>
        <v>6.4665483447796893E-2</v>
      </c>
      <c r="K234" s="264">
        <f t="shared" si="685"/>
        <v>4.9205378973105132E-2</v>
      </c>
      <c r="L234" s="264">
        <f t="shared" si="685"/>
        <v>3.8853406326034061E-2</v>
      </c>
      <c r="M234" s="264">
        <f t="shared" si="685"/>
        <v>1.0559662090813093E-3</v>
      </c>
      <c r="N234" s="28">
        <f t="shared" si="685"/>
        <v>3.8259908115218177E-2</v>
      </c>
      <c r="O234" s="264">
        <f t="shared" si="685"/>
        <v>5.2976052976052977E-2</v>
      </c>
      <c r="P234" s="264">
        <f t="shared" si="685"/>
        <v>5.3899387809422411E-2</v>
      </c>
      <c r="Q234" s="264">
        <f t="shared" si="685"/>
        <v>6.0416501702430916E-2</v>
      </c>
      <c r="R234" s="264">
        <f t="shared" si="685"/>
        <v>3.8800084501091472E-2</v>
      </c>
      <c r="S234" s="28">
        <f t="shared" si="685"/>
        <v>5.127176588567782E-2</v>
      </c>
      <c r="T234" s="264">
        <f t="shared" si="685"/>
        <v>6.723219293325855E-2</v>
      </c>
      <c r="U234" s="264">
        <f t="shared" si="685"/>
        <v>3.4899239290004005E-2</v>
      </c>
      <c r="V234" s="264">
        <f t="shared" si="685"/>
        <v>6.4522694891105237E-2</v>
      </c>
      <c r="W234" s="264">
        <f t="shared" si="685"/>
        <v>6.5674704976911233E-2</v>
      </c>
      <c r="X234" s="28">
        <f t="shared" si="685"/>
        <v>5.8264261335933688E-2</v>
      </c>
      <c r="Y234" s="264">
        <f t="shared" si="685"/>
        <v>8.5193621867881555E-2</v>
      </c>
      <c r="Z234" s="264">
        <f t="shared" si="685"/>
        <v>8.8442565186751226E-2</v>
      </c>
      <c r="AA234" s="264">
        <f t="shared" si="685"/>
        <v>9.0754979717866446E-2</v>
      </c>
      <c r="AB234" s="264">
        <f t="shared" si="685"/>
        <v>8.6742575956972018E-2</v>
      </c>
      <c r="AC234" s="28">
        <f t="shared" si="685"/>
        <v>8.7818398180366644E-2</v>
      </c>
      <c r="AD234" s="264">
        <f t="shared" si="685"/>
        <v>0.11250781738586617</v>
      </c>
      <c r="AE234" s="264">
        <f t="shared" si="685"/>
        <v>7.3517273906378966E-2</v>
      </c>
      <c r="AF234" s="264">
        <f t="shared" si="685"/>
        <v>7.5001634734846001E-2</v>
      </c>
      <c r="AG234" s="264">
        <f t="shared" si="685"/>
        <v>-1.9173110304560519E-2</v>
      </c>
      <c r="AH234" s="28">
        <f t="shared" si="685"/>
        <v>6.4840197639488506E-2</v>
      </c>
      <c r="AI234" s="264">
        <f t="shared" ref="AI234:BM234" si="686">IF(ISERROR(AI188/AI82),"",(AI188/AI82))</f>
        <v>6.2113683189916377E-2</v>
      </c>
      <c r="AJ234" s="264">
        <f t="shared" si="686"/>
        <v>8.9133729742334147E-2</v>
      </c>
      <c r="AK234" s="264">
        <f t="shared" si="686"/>
        <v>-0.12889501438159157</v>
      </c>
      <c r="AL234" s="264">
        <f t="shared" si="686"/>
        <v>9.4385906227351282E-2</v>
      </c>
      <c r="AM234" s="28">
        <f t="shared" si="686"/>
        <v>3.0696679896310832E-2</v>
      </c>
      <c r="AN234" s="264">
        <f t="shared" si="686"/>
        <v>7.715562565720295E-2</v>
      </c>
      <c r="AO234" s="264">
        <f t="shared" si="686"/>
        <v>8.3927310087972773E-2</v>
      </c>
      <c r="AP234" s="264">
        <f t="shared" si="686"/>
        <v>8.174692049272117E-2</v>
      </c>
      <c r="AQ234" s="264">
        <f t="shared" si="686"/>
        <v>6.6646525679758303E-2</v>
      </c>
      <c r="AR234" s="28">
        <f t="shared" si="686"/>
        <v>7.7302273504805147E-2</v>
      </c>
      <c r="AS234" s="264">
        <f t="shared" si="686"/>
        <v>6.70690811535882E-2</v>
      </c>
      <c r="AT234" s="264">
        <f t="shared" si="686"/>
        <v>9.272804207217554E-2</v>
      </c>
      <c r="AU234" s="264">
        <f t="shared" si="686"/>
        <v>9.6688667005133414E-2</v>
      </c>
      <c r="AV234" s="264">
        <f t="shared" si="686"/>
        <v>8.1667092815136788E-2</v>
      </c>
      <c r="AW234" s="28">
        <f t="shared" si="686"/>
        <v>8.5036735287699131E-2</v>
      </c>
      <c r="AX234" s="264">
        <f t="shared" si="686"/>
        <v>8.0998813393179589E-2</v>
      </c>
      <c r="AY234" s="264">
        <f t="shared" si="686"/>
        <v>7.7380654836290932E-2</v>
      </c>
      <c r="AZ234" s="264">
        <f t="shared" si="686"/>
        <v>7.8168732506997199E-2</v>
      </c>
      <c r="BA234" s="264">
        <f t="shared" si="686"/>
        <v>7.304277643260694E-2</v>
      </c>
      <c r="BB234" s="28">
        <f t="shared" si="686"/>
        <v>7.7247913045606992E-2</v>
      </c>
      <c r="BC234" s="264">
        <f>IF(ISERROR(BC188/BC82),"",(BC188/BC82))</f>
        <v>8.0876515111416927E-2</v>
      </c>
      <c r="BD234" s="264">
        <f>IF(ISERROR(BD188/BD82),"",(BD188/BD82))</f>
        <v>7.8661471464588587E-2</v>
      </c>
      <c r="BE234" s="264">
        <f>IF(ISERROR(BE188/BE82),"",(BE188/BE82))</f>
        <v>8.1473113420695895E-2</v>
      </c>
      <c r="BF234" s="264">
        <f>IF(ISERROR(BF188/BF82),"",(BF188/BF82))</f>
        <v>6.3707415924962055E-2</v>
      </c>
      <c r="BG234" s="28">
        <f>IF(ISERROR(BG188/BG82),"",(BG188/BG82))</f>
        <v>7.5756753667893043E-2</v>
      </c>
      <c r="BH234" s="264">
        <f t="shared" si="686"/>
        <v>7.5348155387246513E-2</v>
      </c>
      <c r="BI234" s="264">
        <f>IF(ISERROR(BI188/BI82),"",(BI188/BI82))</f>
        <v>8.1061465184849177E-2</v>
      </c>
      <c r="BJ234" s="264">
        <f t="shared" si="686"/>
        <v>8.9093508240834174E-2</v>
      </c>
      <c r="BK234" s="264">
        <f t="shared" si="686"/>
        <v>8.2761157430112794E-2</v>
      </c>
      <c r="BL234" s="28">
        <f>IF(ISERROR(BL188/BL82),"",(BL188/BL82))</f>
        <v>8.2336220003966412E-2</v>
      </c>
      <c r="BM234" s="264">
        <f t="shared" si="686"/>
        <v>9.1155356900988763E-2</v>
      </c>
      <c r="BN234" s="264">
        <f t="shared" ref="BN234:BO234" si="687">IF(ISERROR(BN188/BN82),"",(BN188/BN82))</f>
        <v>6.8573524019068577E-2</v>
      </c>
      <c r="BO234" s="264">
        <f t="shared" si="687"/>
        <v>9.9810437541104108E-2</v>
      </c>
      <c r="BP234" s="264">
        <f t="shared" ref="BP234:BR234" si="688">IF(ISERROR(BP188/BP82),"",(BP188/BP82))</f>
        <v>4.9251262037076318E-2</v>
      </c>
      <c r="BQ234" s="28">
        <f>IF(ISERROR(BQ188/BQ82),"",(BQ188/BQ82))</f>
        <v>7.7439290842124975E-2</v>
      </c>
      <c r="BR234" s="264">
        <f t="shared" si="688"/>
        <v>7.9003181336161188E-2</v>
      </c>
      <c r="BS234" s="264">
        <f t="shared" ref="BS234" si="689">IF(ISERROR(BS188/BS82),"",(BS188/BS82))</f>
        <v>-1.6925873560896788E-2</v>
      </c>
      <c r="BT234" s="264">
        <f t="shared" ref="BT234:BU234" si="690">IF(ISERROR(BT188/BT82),"",(BT188/BT82))</f>
        <v>9.5489162272993561E-2</v>
      </c>
      <c r="BU234" s="264">
        <f t="shared" si="690"/>
        <v>9.3747315983852955E-2</v>
      </c>
      <c r="BV234" s="28">
        <f>IF(ISERROR(BV188/BV82),"",(BV188/BV82))</f>
        <v>6.1689101310126782E-2</v>
      </c>
      <c r="BW234" s="264">
        <f t="shared" ref="BW234:CE234" si="691">IF(ISERROR(BW188/BW82),"",(BW188/BW82))</f>
        <v>0.10045079914393698</v>
      </c>
      <c r="BX234" s="264">
        <f t="shared" si="691"/>
        <v>0.1097566266105592</v>
      </c>
      <c r="BY234" s="264">
        <f t="shared" si="691"/>
        <v>0.10857449531437063</v>
      </c>
      <c r="BZ234" s="264">
        <f t="shared" si="691"/>
        <v>0.12022607993540574</v>
      </c>
      <c r="CA234" s="28">
        <f>IF(ISERROR(CA188/CA82),"",(CA188/CA82))</f>
        <v>0.11003670017552258</v>
      </c>
      <c r="CB234" s="264">
        <f t="shared" si="691"/>
        <v>0.1229578308100248</v>
      </c>
      <c r="CC234" s="264">
        <f t="shared" si="691"/>
        <v>0.11171572264819853</v>
      </c>
      <c r="CD234" s="264">
        <f t="shared" si="691"/>
        <v>8.8562793287202735E-2</v>
      </c>
      <c r="CE234" s="264">
        <f t="shared" si="691"/>
        <v>0.14731307999012033</v>
      </c>
      <c r="CF234" s="28">
        <f t="shared" ref="CF234:CH234" si="692">IF(ISERROR(CF188/CF82),"",(CF188/CF82))</f>
        <v>0.11853412046238888</v>
      </c>
      <c r="CG234" s="264">
        <f t="shared" si="692"/>
        <v>0.10254396299690187</v>
      </c>
      <c r="CH234" s="264">
        <f t="shared" si="692"/>
        <v>-0.21458954986984954</v>
      </c>
      <c r="CI234" s="264">
        <f t="shared" ref="CI234:CJ234" si="693">IF(ISERROR(CI188/CI82),"",(CI188/CI82))</f>
        <v>6.3013013013013014E-2</v>
      </c>
      <c r="CJ234" s="264">
        <f t="shared" si="693"/>
        <v>-0.12305287253643013</v>
      </c>
      <c r="CK234" s="28">
        <f t="shared" ref="CK234:CO234" si="694">IF(ISERROR(CK188/CK82),"",(CK188/CK82))</f>
        <v>-2.5797097663240117E-2</v>
      </c>
      <c r="CL234" s="264">
        <f t="shared" si="694"/>
        <v>-8.0021291696238464E-2</v>
      </c>
      <c r="CM234" s="264">
        <f t="shared" si="694"/>
        <v>-0.25103752011518593</v>
      </c>
      <c r="CN234" s="264">
        <f t="shared" si="694"/>
        <v>-2.836127024542047E-2</v>
      </c>
      <c r="CO234" s="264">
        <f t="shared" si="694"/>
        <v>-0.52594093047569268</v>
      </c>
      <c r="CP234" s="28">
        <f t="shared" ref="CP234:CT234" si="695">IF(ISERROR(CP188/CP82),"",(CP188/CP82))</f>
        <v>-0.21952267959696001</v>
      </c>
      <c r="CQ234" s="264">
        <f t="shared" si="695"/>
        <v>-5.4544259709535386E-3</v>
      </c>
      <c r="CR234" s="264">
        <f t="shared" si="695"/>
        <v>6.0183551006000709E-2</v>
      </c>
      <c r="CS234" s="264">
        <f t="shared" si="695"/>
        <v>2.1534232229349391E-2</v>
      </c>
      <c r="CT234" s="264">
        <f t="shared" si="695"/>
        <v>-0.28195768268775773</v>
      </c>
      <c r="CU234" s="28">
        <f t="shared" ref="CU234:CV234" si="696">IF(ISERROR(CU188/CU82),"",(CU188/CU82))</f>
        <v>-4.6591529396654147E-2</v>
      </c>
      <c r="CV234" s="264">
        <f t="shared" si="696"/>
        <v>-8.3553713101279389E-2</v>
      </c>
      <c r="CW234" s="264">
        <f t="shared" ref="CW234:CZ234" si="697">IF(ISERROR(CW188/CW82),"",(CW188/CW82))</f>
        <v>4.6400095917510938E-2</v>
      </c>
      <c r="CX234" s="264">
        <f t="shared" si="697"/>
        <v>-0.17541990473802957</v>
      </c>
      <c r="CY234" s="264">
        <f t="shared" si="697"/>
        <v>-1.7667667667667669E-2</v>
      </c>
      <c r="CZ234" s="28">
        <f t="shared" si="697"/>
        <v>-5.3251861638241652E-2</v>
      </c>
      <c r="DA234" s="264">
        <f t="shared" ref="DA234:DE234" si="698">IF(ISERROR(DA188/DA82),"",(DA188/DA82))</f>
        <v>-8.3142681769990522E-3</v>
      </c>
      <c r="DB234" s="264">
        <f t="shared" si="698"/>
        <v>-5.0124044352184696E-3</v>
      </c>
      <c r="DC234" s="264">
        <f t="shared" si="698"/>
        <v>-4.4631020768890854E-2</v>
      </c>
      <c r="DD234" s="264">
        <f t="shared" si="698"/>
        <v>1.2853120174402762E-2</v>
      </c>
      <c r="DE234" s="28">
        <f t="shared" si="698"/>
        <v>-9.9364989587885956E-3</v>
      </c>
      <c r="DF234" s="264">
        <f t="shared" ref="DF234" si="699">IF(ISERROR(DF188/DF82),"",(DF188/DF82))</f>
        <v>-5.1904158368036692E-3</v>
      </c>
      <c r="DG234" s="264">
        <f t="shared" ref="DG234:DK234" si="700">IF(ISERROR(DG188/DG82),"",(DG188/DG82))</f>
        <v>-6.4627060358116925E-2</v>
      </c>
      <c r="DH234" s="264">
        <f t="shared" si="700"/>
        <v>-0.32292600896860985</v>
      </c>
      <c r="DI234" s="264">
        <f t="shared" si="700"/>
        <v>-0.24734286838997507</v>
      </c>
      <c r="DJ234" s="28">
        <f t="shared" si="700"/>
        <v>-0.16096636949952645</v>
      </c>
      <c r="DK234" s="264">
        <f t="shared" si="700"/>
        <v>2.364587607714403E-2</v>
      </c>
      <c r="DL234" s="264">
        <f t="shared" ref="DL234:DP234" si="701">IF(ISERROR(DL188/DL82),"",(DL188/DL82))</f>
        <v>-7.7366038067607371E-3</v>
      </c>
      <c r="DM234" s="264">
        <f t="shared" si="701"/>
        <v>-0.2054576708207993</v>
      </c>
      <c r="DN234" s="264">
        <f t="shared" si="701"/>
        <v>0.36650242191414734</v>
      </c>
      <c r="DO234" s="28">
        <f t="shared" si="701"/>
        <v>4.78521847020556E-2</v>
      </c>
      <c r="DP234" s="264">
        <f t="shared" si="701"/>
        <v>2.0164738713597696E-2</v>
      </c>
      <c r="DQ234" s="264">
        <f t="shared" ref="DQ234:DU234" si="702">IF(ISERROR(DQ188/DQ82),"",(DQ188/DQ82))</f>
        <v>6.3517915309446258E-3</v>
      </c>
      <c r="DR234" s="264">
        <f t="shared" si="702"/>
        <v>2.2661540194463144E-2</v>
      </c>
      <c r="DS234" s="264">
        <f t="shared" si="702"/>
        <v>3.7454924225012634E-2</v>
      </c>
      <c r="DT234" s="28">
        <f t="shared" si="702"/>
        <v>2.1940984886210713E-2</v>
      </c>
      <c r="DU234" s="264">
        <f t="shared" si="702"/>
        <v>2.3656388262186377E-2</v>
      </c>
      <c r="DV234" s="264">
        <f t="shared" ref="DV234:DY234" si="703">IF(ISERROR(DV188/DV82),"",(DV188/DV82))</f>
        <v>4.6828887684188705E-2</v>
      </c>
      <c r="DW234" s="264">
        <f t="shared" si="703"/>
        <v>6.2224974262190098E-2</v>
      </c>
      <c r="DX234" s="264">
        <f t="shared" si="703"/>
        <v>7.0734803823593442E-2</v>
      </c>
      <c r="DY234" s="28">
        <f t="shared" si="703"/>
        <v>5.2187894624481444E-2</v>
      </c>
      <c r="DZ234" s="28">
        <f t="shared" ref="DZ234:EB234" si="704">IF(ISERROR(DZ188/DZ82),"",(DZ188/DZ82))</f>
        <v>7.8965844020176534E-2</v>
      </c>
      <c r="EA234" s="28">
        <f t="shared" si="704"/>
        <v>0.10181989325263052</v>
      </c>
      <c r="EB234" s="28">
        <f t="shared" si="704"/>
        <v>0.12638244364144399</v>
      </c>
    </row>
    <row r="235" spans="2:132" s="421" customFormat="1" ht="12" hidden="1" customHeight="1">
      <c r="B235" s="422" t="s">
        <v>366</v>
      </c>
      <c r="C235" s="423">
        <f t="shared" ref="C235:AL235" si="705">C190/C84</f>
        <v>4.8757844702736829E-2</v>
      </c>
      <c r="D235" s="423">
        <f t="shared" si="705"/>
        <v>3.9752426501617665E-2</v>
      </c>
      <c r="E235" s="423">
        <f>E190/E84</f>
        <v>5.2487698195735372E-2</v>
      </c>
      <c r="F235" s="423">
        <f>F190/F84</f>
        <v>8.7773892399987161E-2</v>
      </c>
      <c r="G235" s="423">
        <f>G190/G84</f>
        <v>7.5079872204472847E-2</v>
      </c>
      <c r="H235" s="423">
        <f>H190/H84</f>
        <v>0.10029238736041146</v>
      </c>
      <c r="I235" s="423">
        <f t="shared" si="705"/>
        <v>5.8327383077472331E-2</v>
      </c>
      <c r="J235" s="422">
        <f t="shared" si="705"/>
        <v>6.6041275797373358E-2</v>
      </c>
      <c r="K235" s="422">
        <f t="shared" si="705"/>
        <v>6.7360253923470281E-2</v>
      </c>
      <c r="L235" s="422">
        <f t="shared" si="705"/>
        <v>3.6222509702457953E-2</v>
      </c>
      <c r="M235" s="422">
        <f t="shared" si="705"/>
        <v>6.0392738051130046E-2</v>
      </c>
      <c r="N235" s="423">
        <f t="shared" si="705"/>
        <v>5.8373342206588394E-2</v>
      </c>
      <c r="O235" s="422">
        <f t="shared" si="705"/>
        <v>7.6635145784081954E-2</v>
      </c>
      <c r="P235" s="422">
        <f t="shared" si="705"/>
        <v>6.9791360564208052E-2</v>
      </c>
      <c r="Q235" s="422">
        <f t="shared" si="705"/>
        <v>8.3892094183689384E-2</v>
      </c>
      <c r="R235" s="422">
        <f t="shared" si="705"/>
        <v>8.0841976815131181E-2</v>
      </c>
      <c r="S235" s="423">
        <f t="shared" si="705"/>
        <v>7.7743350368194436E-2</v>
      </c>
      <c r="T235" s="422">
        <f t="shared" si="705"/>
        <v>9.9673897632213238E-2</v>
      </c>
      <c r="U235" s="422">
        <f t="shared" si="705"/>
        <v>0.10108252495430901</v>
      </c>
      <c r="V235" s="422">
        <f t="shared" si="705"/>
        <v>9.6518750933811445E-2</v>
      </c>
      <c r="W235" s="422">
        <f t="shared" si="705"/>
        <v>8.7430975545621875E-2</v>
      </c>
      <c r="X235" s="423">
        <f t="shared" si="705"/>
        <v>9.6012647110486557E-2</v>
      </c>
      <c r="Y235" s="422">
        <f t="shared" si="705"/>
        <v>9.3448047650562541E-2</v>
      </c>
      <c r="Z235" s="422">
        <f t="shared" si="705"/>
        <v>0.11025611576892155</v>
      </c>
      <c r="AA235" s="422">
        <f t="shared" si="705"/>
        <v>0.1144344877694357</v>
      </c>
      <c r="AB235" s="422">
        <f t="shared" si="705"/>
        <v>0.10974509361606136</v>
      </c>
      <c r="AC235" s="423">
        <f t="shared" si="705"/>
        <v>0.10735038638950459</v>
      </c>
      <c r="AD235" s="422">
        <f t="shared" si="705"/>
        <v>0.12045092513172405</v>
      </c>
      <c r="AE235" s="422">
        <f t="shared" si="705"/>
        <v>9.0696860044356245E-2</v>
      </c>
      <c r="AF235" s="422">
        <f t="shared" si="705"/>
        <v>4.4042029957522918E-2</v>
      </c>
      <c r="AG235" s="422">
        <f t="shared" si="705"/>
        <v>-3.183710203622455E-2</v>
      </c>
      <c r="AH235" s="423">
        <f t="shared" si="705"/>
        <v>5.4133032433527184E-2</v>
      </c>
      <c r="AI235" s="422">
        <f t="shared" si="705"/>
        <v>8.9314940378770163E-2</v>
      </c>
      <c r="AJ235" s="422">
        <f t="shared" si="705"/>
        <v>9.6904281817103546E-2</v>
      </c>
      <c r="AK235" s="422">
        <f t="shared" si="705"/>
        <v>-0.35988836737282759</v>
      </c>
      <c r="AL235" s="422">
        <f t="shared" si="705"/>
        <v>0.11107481215289121</v>
      </c>
      <c r="AM235" s="423"/>
      <c r="AN235" s="422"/>
      <c r="AO235" s="422"/>
      <c r="AP235" s="422"/>
      <c r="AQ235" s="422"/>
      <c r="AR235" s="423"/>
      <c r="AS235" s="422"/>
      <c r="AT235" s="422"/>
      <c r="AU235" s="422"/>
      <c r="AV235" s="422"/>
      <c r="AW235" s="423"/>
      <c r="AX235" s="422"/>
      <c r="AY235" s="422"/>
      <c r="AZ235" s="422"/>
      <c r="BA235" s="422"/>
      <c r="BB235" s="423"/>
      <c r="BC235" s="422"/>
      <c r="BD235" s="422"/>
      <c r="BE235" s="422"/>
      <c r="BF235" s="422"/>
      <c r="BG235" s="423"/>
      <c r="BH235" s="613"/>
      <c r="BI235" s="613"/>
      <c r="BJ235" s="613"/>
      <c r="BK235" s="613"/>
      <c r="BL235" s="614"/>
      <c r="BM235" s="613"/>
      <c r="BN235" s="613"/>
      <c r="BO235" s="613"/>
      <c r="BP235" s="613"/>
      <c r="BQ235" s="614"/>
      <c r="BR235" s="613"/>
      <c r="BS235" s="613"/>
      <c r="BT235" s="613"/>
      <c r="BU235" s="613"/>
      <c r="BV235" s="614"/>
      <c r="BW235" s="613"/>
      <c r="BX235" s="613"/>
      <c r="BY235" s="613"/>
      <c r="BZ235" s="613"/>
      <c r="CA235" s="614"/>
      <c r="CB235" s="613"/>
      <c r="CC235" s="613"/>
      <c r="CD235" s="613"/>
      <c r="CE235" s="613"/>
      <c r="CF235" s="614"/>
      <c r="CG235" s="613"/>
      <c r="CH235" s="613"/>
      <c r="CI235" s="613"/>
      <c r="CJ235" s="613"/>
      <c r="CK235" s="614"/>
      <c r="CL235" s="613"/>
      <c r="CM235" s="613"/>
      <c r="CN235" s="613"/>
      <c r="CO235" s="613"/>
      <c r="CP235" s="614"/>
      <c r="CQ235" s="613"/>
      <c r="CR235" s="613"/>
      <c r="CS235" s="613"/>
      <c r="CT235" s="613"/>
      <c r="CU235" s="614"/>
      <c r="CV235" s="613"/>
      <c r="CW235" s="613"/>
      <c r="CX235" s="613"/>
      <c r="CY235" s="613"/>
      <c r="CZ235" s="614"/>
      <c r="DA235" s="613"/>
      <c r="DB235" s="613"/>
      <c r="DC235" s="613"/>
      <c r="DD235" s="613"/>
      <c r="DE235" s="614"/>
      <c r="DF235" s="613"/>
      <c r="DG235" s="613"/>
      <c r="DH235" s="613"/>
      <c r="DI235" s="613"/>
      <c r="DJ235" s="614"/>
      <c r="DK235" s="613"/>
      <c r="DL235" s="613"/>
      <c r="DM235" s="613"/>
      <c r="DN235" s="613"/>
      <c r="DO235" s="614"/>
      <c r="DP235" s="613"/>
      <c r="DQ235" s="613"/>
      <c r="DR235" s="613"/>
      <c r="DS235" s="613"/>
      <c r="DT235" s="614"/>
      <c r="DU235" s="613"/>
      <c r="DV235" s="613"/>
      <c r="DW235" s="613"/>
      <c r="DX235" s="613"/>
      <c r="DY235" s="614"/>
      <c r="DZ235" s="614"/>
      <c r="EA235" s="614"/>
      <c r="EB235" s="614"/>
    </row>
    <row r="236" spans="2:132" s="241" customFormat="1" ht="12" hidden="1" customHeight="1" outlineLevel="1">
      <c r="C236" s="301"/>
      <c r="D236" s="301"/>
      <c r="E236" s="301"/>
      <c r="F236" s="301"/>
      <c r="G236" s="301"/>
      <c r="H236" s="301"/>
      <c r="I236" s="301"/>
      <c r="J236" s="242"/>
      <c r="K236" s="242"/>
      <c r="L236" s="242"/>
      <c r="M236" s="242"/>
      <c r="N236" s="301"/>
      <c r="O236" s="242"/>
      <c r="P236" s="242"/>
      <c r="Q236" s="242"/>
      <c r="R236" s="242"/>
      <c r="S236" s="301"/>
      <c r="T236" s="242"/>
      <c r="U236" s="242"/>
      <c r="V236" s="242"/>
      <c r="W236" s="242"/>
      <c r="X236" s="301"/>
      <c r="Y236" s="242"/>
      <c r="Z236" s="242"/>
      <c r="AA236" s="242"/>
      <c r="AB236" s="242"/>
      <c r="AC236" s="301"/>
      <c r="AD236" s="242"/>
      <c r="AE236" s="242"/>
      <c r="AF236" s="242"/>
      <c r="AG236" s="242"/>
      <c r="AH236" s="301"/>
      <c r="AI236" s="242"/>
      <c r="AJ236" s="242"/>
      <c r="AK236" s="242"/>
      <c r="AL236" s="242"/>
      <c r="AM236" s="301"/>
      <c r="AN236" s="242"/>
      <c r="AO236" s="242"/>
      <c r="AP236" s="242"/>
      <c r="AQ236" s="242"/>
      <c r="AR236" s="301"/>
      <c r="AS236" s="242"/>
      <c r="AT236" s="242"/>
      <c r="AU236" s="242"/>
      <c r="AV236" s="242"/>
      <c r="AW236" s="301"/>
      <c r="AX236" s="242"/>
      <c r="AY236" s="242"/>
      <c r="AZ236" s="242"/>
      <c r="BA236" s="242"/>
      <c r="BB236" s="301"/>
      <c r="BC236" s="242"/>
      <c r="BD236" s="242"/>
      <c r="BE236" s="242"/>
      <c r="BF236" s="242"/>
      <c r="BG236" s="301"/>
      <c r="BH236" s="145"/>
      <c r="BI236" s="145"/>
      <c r="BJ236" s="145"/>
      <c r="BK236" s="145"/>
      <c r="BL236" s="144"/>
      <c r="BM236" s="145"/>
      <c r="BN236" s="145"/>
      <c r="BO236" s="145"/>
      <c r="BP236" s="145"/>
      <c r="BQ236" s="144"/>
      <c r="BR236" s="145"/>
      <c r="BS236" s="145"/>
      <c r="BT236" s="145"/>
      <c r="BU236" s="145"/>
      <c r="BV236" s="144"/>
      <c r="BW236" s="145"/>
      <c r="BX236" s="145"/>
      <c r="BY236" s="145"/>
      <c r="BZ236" s="145"/>
      <c r="CA236" s="144"/>
      <c r="CB236" s="145"/>
      <c r="CC236" s="145"/>
      <c r="CD236" s="145"/>
      <c r="CE236" s="145"/>
      <c r="CF236" s="144"/>
      <c r="CG236" s="145"/>
      <c r="CH236" s="145"/>
      <c r="CI236" s="145"/>
      <c r="CJ236" s="145"/>
      <c r="CK236" s="144"/>
      <c r="CL236" s="145"/>
      <c r="CM236" s="145"/>
      <c r="CN236" s="145"/>
      <c r="CO236" s="145"/>
      <c r="CP236" s="144"/>
      <c r="CQ236" s="145"/>
      <c r="CR236" s="145"/>
      <c r="CS236" s="145"/>
      <c r="CT236" s="145"/>
      <c r="CU236" s="144"/>
      <c r="CV236" s="145"/>
      <c r="CW236" s="145"/>
      <c r="CX236" s="145"/>
      <c r="CY236" s="145"/>
      <c r="CZ236" s="144"/>
      <c r="DA236" s="145"/>
      <c r="DB236" s="145"/>
      <c r="DC236" s="145"/>
      <c r="DD236" s="145"/>
      <c r="DE236" s="144"/>
      <c r="DF236" s="145"/>
      <c r="DG236" s="145"/>
      <c r="DH236" s="145"/>
      <c r="DI236" s="145"/>
      <c r="DJ236" s="144"/>
      <c r="DK236" s="145"/>
      <c r="DL236" s="145"/>
      <c r="DM236" s="145"/>
      <c r="DN236" s="145"/>
      <c r="DO236" s="144"/>
      <c r="DP236" s="145"/>
      <c r="DQ236" s="145"/>
      <c r="DR236" s="145"/>
      <c r="DS236" s="145"/>
      <c r="DT236" s="144"/>
      <c r="DU236" s="145"/>
      <c r="DV236" s="145"/>
      <c r="DW236" s="145"/>
      <c r="DX236" s="145"/>
      <c r="DY236" s="144"/>
      <c r="DZ236" s="144"/>
      <c r="EA236" s="144"/>
      <c r="EB236" s="144"/>
    </row>
    <row r="237" spans="2:132" s="241" customFormat="1" ht="12" hidden="1" customHeight="1" outlineLevel="1">
      <c r="B237" s="74" t="s">
        <v>295</v>
      </c>
      <c r="C237" s="301"/>
      <c r="D237" s="301"/>
      <c r="E237" s="301"/>
      <c r="F237" s="301"/>
      <c r="G237" s="301"/>
      <c r="H237" s="301"/>
      <c r="I237" s="301"/>
      <c r="J237" s="242"/>
      <c r="K237" s="242"/>
      <c r="L237" s="242"/>
      <c r="M237" s="242"/>
      <c r="N237" s="301"/>
      <c r="O237" s="242"/>
      <c r="P237" s="242"/>
      <c r="Q237" s="242"/>
      <c r="R237" s="242"/>
      <c r="S237" s="301"/>
      <c r="T237" s="242"/>
      <c r="U237" s="242"/>
      <c r="V237" s="242"/>
      <c r="W237" s="242"/>
      <c r="X237" s="301"/>
      <c r="Y237" s="242"/>
      <c r="Z237" s="242"/>
      <c r="AA237" s="242"/>
      <c r="AB237" s="242"/>
      <c r="AC237" s="301"/>
      <c r="AD237" s="242"/>
      <c r="AE237" s="242"/>
      <c r="AF237" s="242"/>
      <c r="AG237" s="242"/>
      <c r="AH237" s="301"/>
      <c r="AI237" s="242"/>
      <c r="AJ237" s="242"/>
      <c r="AK237" s="242"/>
      <c r="AL237" s="242"/>
      <c r="AM237" s="301"/>
      <c r="AN237" s="242"/>
      <c r="AO237" s="242"/>
      <c r="AP237" s="242"/>
      <c r="AQ237" s="242"/>
      <c r="AR237" s="301"/>
      <c r="AS237" s="242"/>
      <c r="AT237" s="242"/>
      <c r="AU237" s="242"/>
      <c r="AV237" s="242"/>
      <c r="AW237" s="301"/>
      <c r="AX237" s="242"/>
      <c r="AY237" s="242"/>
      <c r="AZ237" s="242"/>
      <c r="BA237" s="242"/>
      <c r="BB237" s="301"/>
      <c r="BC237" s="242"/>
      <c r="BD237" s="242"/>
      <c r="BE237" s="242"/>
      <c r="BF237" s="242"/>
      <c r="BG237" s="301"/>
      <c r="BH237" s="145"/>
      <c r="BI237" s="145"/>
      <c r="BJ237" s="145"/>
      <c r="BK237" s="145"/>
      <c r="BL237" s="144"/>
      <c r="BM237" s="145"/>
      <c r="BN237" s="145"/>
      <c r="BO237" s="145"/>
      <c r="BP237" s="145"/>
      <c r="BQ237" s="144"/>
      <c r="BR237" s="145"/>
      <c r="BS237" s="145"/>
      <c r="BT237" s="145"/>
      <c r="BU237" s="145"/>
      <c r="BV237" s="144"/>
      <c r="BW237" s="145"/>
      <c r="BX237" s="145"/>
      <c r="BY237" s="145"/>
      <c r="BZ237" s="145"/>
      <c r="CA237" s="144"/>
      <c r="CB237" s="145"/>
      <c r="CC237" s="145"/>
      <c r="CD237" s="145"/>
      <c r="CE237" s="145"/>
      <c r="CF237" s="144"/>
      <c r="CG237" s="145"/>
      <c r="CH237" s="145"/>
      <c r="CI237" s="145"/>
      <c r="CJ237" s="145"/>
      <c r="CK237" s="144"/>
      <c r="CL237" s="145"/>
      <c r="CM237" s="145"/>
      <c r="CN237" s="145"/>
      <c r="CO237" s="145"/>
      <c r="CP237" s="144"/>
      <c r="CQ237" s="145"/>
      <c r="CR237" s="145"/>
      <c r="CS237" s="145"/>
      <c r="CT237" s="145"/>
      <c r="CU237" s="144"/>
      <c r="CV237" s="145"/>
      <c r="CW237" s="145"/>
      <c r="CX237" s="145"/>
      <c r="CY237" s="145"/>
      <c r="CZ237" s="144"/>
      <c r="DA237" s="145"/>
      <c r="DB237" s="145"/>
      <c r="DC237" s="145"/>
      <c r="DD237" s="145"/>
      <c r="DE237" s="144"/>
      <c r="DF237" s="145"/>
      <c r="DG237" s="145"/>
      <c r="DH237" s="145"/>
      <c r="DI237" s="145"/>
      <c r="DJ237" s="144"/>
      <c r="DK237" s="145"/>
      <c r="DL237" s="145"/>
      <c r="DM237" s="145"/>
      <c r="DN237" s="145"/>
      <c r="DO237" s="144"/>
      <c r="DP237" s="145"/>
      <c r="DQ237" s="145"/>
      <c r="DR237" s="145"/>
      <c r="DS237" s="145"/>
      <c r="DT237" s="144"/>
      <c r="DU237" s="145"/>
      <c r="DV237" s="145"/>
      <c r="DW237" s="145"/>
      <c r="DX237" s="145"/>
      <c r="DY237" s="144"/>
      <c r="DZ237" s="144"/>
      <c r="EA237" s="144"/>
      <c r="EB237" s="144"/>
    </row>
    <row r="238" spans="2:132" s="241" customFormat="1" ht="12" hidden="1" customHeight="1" outlineLevel="1">
      <c r="B238" s="241" t="s">
        <v>105</v>
      </c>
      <c r="C238" s="301" t="str">
        <f t="shared" ref="C238:I238" si="706">IF(ISERROR((C190-B190)/(C84-B84)),"",(C190-B190)/(C84-B84))</f>
        <v/>
      </c>
      <c r="D238" s="301">
        <f t="shared" si="706"/>
        <v>1.160631383472609E-2</v>
      </c>
      <c r="E238" s="301">
        <f t="shared" si="706"/>
        <v>0.21054469273743018</v>
      </c>
      <c r="F238" s="301">
        <f t="shared" si="706"/>
        <v>-9.9474993092014366E-2</v>
      </c>
      <c r="G238" s="301">
        <f t="shared" si="706"/>
        <v>-2.676962676962677E-2</v>
      </c>
      <c r="H238" s="301">
        <f t="shared" si="706"/>
        <v>-3.2238716449242762E-2</v>
      </c>
      <c r="I238" s="301">
        <f t="shared" si="706"/>
        <v>0.25756815520990134</v>
      </c>
      <c r="J238" s="242"/>
      <c r="K238" s="242"/>
      <c r="L238" s="242"/>
      <c r="M238" s="242"/>
      <c r="N238" s="301">
        <f t="shared" ref="N238:BA238" si="707">IF(ISERROR((N190-I190)/(N84-I84)),"",(N190-I190)/(N84-I84))</f>
        <v>5.7622173595915392E-2</v>
      </c>
      <c r="O238" s="242">
        <f t="shared" si="707"/>
        <v>-0.14566929133858267</v>
      </c>
      <c r="P238" s="242">
        <f t="shared" si="707"/>
        <v>8.1938325991189428E-2</v>
      </c>
      <c r="Q238" s="242">
        <f t="shared" si="707"/>
        <v>0.20845070422535211</v>
      </c>
      <c r="R238" s="242">
        <f t="shared" si="707"/>
        <v>0.17616580310880828</v>
      </c>
      <c r="S238" s="301">
        <f t="shared" si="707"/>
        <v>0.18458311484006293</v>
      </c>
      <c r="T238" s="242">
        <f t="shared" si="707"/>
        <v>0.1588265048052605</v>
      </c>
      <c r="U238" s="242">
        <f t="shared" si="707"/>
        <v>0.7947882736156352</v>
      </c>
      <c r="V238" s="242">
        <f t="shared" si="707"/>
        <v>0.38571428571428573</v>
      </c>
      <c r="W238" s="242">
        <f t="shared" si="707"/>
        <v>0.12857142857142856</v>
      </c>
      <c r="X238" s="301">
        <f t="shared" si="707"/>
        <v>0.22163807415605977</v>
      </c>
      <c r="Y238" s="242">
        <f t="shared" si="707"/>
        <v>5.9760956175298804E-3</v>
      </c>
      <c r="Z238" s="242">
        <f t="shared" si="707"/>
        <v>0.15119196988707653</v>
      </c>
      <c r="AA238" s="242">
        <f t="shared" si="707"/>
        <v>0.19105431309904153</v>
      </c>
      <c r="AB238" s="242">
        <f t="shared" si="707"/>
        <v>0.24444444444444444</v>
      </c>
      <c r="AC238" s="301">
        <f t="shared" si="707"/>
        <v>0.17293233082706766</v>
      </c>
      <c r="AD238" s="242">
        <f t="shared" si="707"/>
        <v>0.45709570957095708</v>
      </c>
      <c r="AE238" s="242">
        <f t="shared" si="707"/>
        <v>1.3071428571428572</v>
      </c>
      <c r="AF238" s="242">
        <f t="shared" si="707"/>
        <v>-0.80087209302325579</v>
      </c>
      <c r="AG238" s="242">
        <f t="shared" si="707"/>
        <v>-54.608695652173914</v>
      </c>
      <c r="AH238" s="301">
        <f t="shared" si="707"/>
        <v>-1.4553950722175022</v>
      </c>
      <c r="AI238" s="242">
        <f t="shared" si="707"/>
        <v>-0.5572519083969466</v>
      </c>
      <c r="AJ238" s="242">
        <f t="shared" si="707"/>
        <v>-0.29411764705882354</v>
      </c>
      <c r="AK238" s="242">
        <f t="shared" si="707"/>
        <v>3.0395108184383819</v>
      </c>
      <c r="AL238" s="242">
        <f t="shared" si="707"/>
        <v>4.4319727891156466</v>
      </c>
      <c r="AM238" s="301">
        <f t="shared" si="707"/>
        <v>6.0961143419263376E-2</v>
      </c>
      <c r="AN238" s="242">
        <f t="shared" si="707"/>
        <v>9.9368716389992978E-3</v>
      </c>
      <c r="AO238" s="242">
        <f t="shared" si="707"/>
        <v>1.5893725536709761E-2</v>
      </c>
      <c r="AP238" s="242">
        <f t="shared" si="707"/>
        <v>-0.48890016491183558</v>
      </c>
      <c r="AQ238" s="242">
        <f t="shared" si="707"/>
        <v>4.2796471741261027E-2</v>
      </c>
      <c r="AR238" s="301" t="str">
        <f t="shared" si="707"/>
        <v/>
      </c>
      <c r="AS238" s="242" t="str">
        <f t="shared" si="707"/>
        <v/>
      </c>
      <c r="AT238" s="242" t="str">
        <f t="shared" si="707"/>
        <v/>
      </c>
      <c r="AU238" s="242" t="str">
        <f>IF(ISERROR((AU190-AP190)/(AU84-AP84)),"",(AU190-AP190)/(AU84-AP84))</f>
        <v/>
      </c>
      <c r="AV238" s="242" t="str">
        <f t="shared" si="707"/>
        <v/>
      </c>
      <c r="AW238" s="301" t="str">
        <f t="shared" si="707"/>
        <v/>
      </c>
      <c r="AX238" s="242" t="str">
        <f t="shared" si="707"/>
        <v/>
      </c>
      <c r="AY238" s="242" t="str">
        <f t="shared" si="707"/>
        <v/>
      </c>
      <c r="AZ238" s="242" t="str">
        <f t="shared" si="707"/>
        <v/>
      </c>
      <c r="BA238" s="242" t="str">
        <f t="shared" si="707"/>
        <v/>
      </c>
      <c r="BB238" s="301">
        <f t="shared" ref="BB238:BQ238" si="708">IF(ISERROR((BB168-AW168)/(BB36-AW36)),"",(BB168-AW168)/(BB36-AW36))</f>
        <v>9.3856128434702063E-2</v>
      </c>
      <c r="BC238" s="242">
        <f t="shared" si="708"/>
        <v>-0.5587044534412956</v>
      </c>
      <c r="BD238" s="242">
        <f t="shared" si="708"/>
        <v>0.13587871982032565</v>
      </c>
      <c r="BE238" s="242">
        <f t="shared" si="708"/>
        <v>0.25763464741810105</v>
      </c>
      <c r="BF238" s="242">
        <f t="shared" si="708"/>
        <v>0.46273830155979256</v>
      </c>
      <c r="BG238" s="301">
        <f t="shared" si="708"/>
        <v>0.28132215966582763</v>
      </c>
      <c r="BH238" s="145">
        <f t="shared" si="708"/>
        <v>0.13825109916951636</v>
      </c>
      <c r="BI238" s="145">
        <f t="shared" si="708"/>
        <v>0.1426470588235294</v>
      </c>
      <c r="BJ238" s="145">
        <f t="shared" si="708"/>
        <v>8.478568064060292E-2</v>
      </c>
      <c r="BK238" s="145">
        <f t="shared" si="708"/>
        <v>2.5802566359382974E-2</v>
      </c>
      <c r="BL238" s="144">
        <f t="shared" si="708"/>
        <v>8.7847960392084132E-2</v>
      </c>
      <c r="BM238" s="145">
        <f t="shared" si="708"/>
        <v>4.3494704992435705E-2</v>
      </c>
      <c r="BN238" s="145">
        <f t="shared" si="708"/>
        <v>-0.13369607462106489</v>
      </c>
      <c r="BO238" s="145">
        <f t="shared" si="708"/>
        <v>-1.8331226295828066E-2</v>
      </c>
      <c r="BP238" s="145">
        <f t="shared" si="708"/>
        <v>1.3441295546558705</v>
      </c>
      <c r="BQ238" s="144">
        <f t="shared" si="708"/>
        <v>-0.20699900957411688</v>
      </c>
      <c r="BR238" s="145">
        <f>IF(ISERROR((Data!BR170-BM168)/(Data!BR150-BM36)),"",(Data!BR170-BM168)/(Data!BR150-BM36))</f>
        <v>0.59470468431771895</v>
      </c>
      <c r="BS238" s="145">
        <f>IF(ISERROR((Data!BS170-BN168)/(Data!BS150-BN36)),"",(Data!BS170-BN168)/(Data!BS150-BN36))</f>
        <v>-3.7633851468048358</v>
      </c>
      <c r="BT238" s="145">
        <f>IF(ISERROR((Data!BT170-BO168)/(Data!BT150-BO36)),"",(Data!BT170-BO168)/(Data!BT150-BO36))</f>
        <v>0.23783031988873435</v>
      </c>
      <c r="BU238" s="145">
        <f>IF(ISERROR((Data!BU170-BP168)/(Data!BU150-BP36)),"",(Data!BU170-BP168)/(Data!BU150-BP36))</f>
        <v>6.3426573426573425</v>
      </c>
      <c r="BV238" s="144">
        <f>IF(ISERROR((Data!BV170-BQ168)/(Data!BV150-BQ36)),"",(Data!BV170-BQ168)/(Data!BV150-BQ36))</f>
        <v>2.0704800817160369</v>
      </c>
      <c r="BW238" s="242">
        <f t="shared" ref="BW238:DI238" si="709">IF(ISERROR((BW168-BR168)/(BW36-BR36)),"",(BW168-BR168)/(BW36-BR36))</f>
        <v>0.46987951807228917</v>
      </c>
      <c r="BX238" s="242">
        <f t="shared" si="709"/>
        <v>-1.880410858400587</v>
      </c>
      <c r="BY238" s="242">
        <f t="shared" si="709"/>
        <v>1.1398963730569949</v>
      </c>
      <c r="BZ238" s="242">
        <f t="shared" si="709"/>
        <v>0.59244532803180916</v>
      </c>
      <c r="CA238" s="144">
        <f t="shared" si="709"/>
        <v>1728.5</v>
      </c>
      <c r="CB238" s="145">
        <f t="shared" si="709"/>
        <v>-67.75</v>
      </c>
      <c r="CC238" s="145">
        <f t="shared" si="709"/>
        <v>-1.5335365853658536</v>
      </c>
      <c r="CD238" s="145">
        <f t="shared" si="709"/>
        <v>-0.39334341906202724</v>
      </c>
      <c r="CE238" s="145">
        <f t="shared" si="709"/>
        <v>0.71128608923884518</v>
      </c>
      <c r="CF238" s="144">
        <f t="shared" si="709"/>
        <v>-4.6174757281553402</v>
      </c>
      <c r="CG238" s="145">
        <f t="shared" si="709"/>
        <v>0.21282279608192342</v>
      </c>
      <c r="CH238" s="145">
        <f t="shared" si="709"/>
        <v>0.72925243770314196</v>
      </c>
      <c r="CI238" s="145">
        <f t="shared" si="709"/>
        <v>0.35606320851940915</v>
      </c>
      <c r="CJ238" s="145">
        <f t="shared" si="709"/>
        <v>0.60028669092512954</v>
      </c>
      <c r="CK238" s="144">
        <f t="shared" si="709"/>
        <v>0.57387894153066077</v>
      </c>
      <c r="CL238" s="145">
        <f t="shared" si="709"/>
        <v>0.57699839772120354</v>
      </c>
      <c r="CM238" s="145">
        <f t="shared" si="709"/>
        <v>-0.70702492716089349</v>
      </c>
      <c r="CN238" s="145">
        <f t="shared" si="709"/>
        <v>0.28562217923920052</v>
      </c>
      <c r="CO238" s="145">
        <f t="shared" si="709"/>
        <v>1.7571324067300658</v>
      </c>
      <c r="CP238" s="144">
        <f t="shared" si="709"/>
        <v>0.44677810228049464</v>
      </c>
      <c r="CQ238" s="145">
        <f t="shared" si="709"/>
        <v>-0.62603305785123964</v>
      </c>
      <c r="CR238" s="145">
        <f t="shared" si="709"/>
        <v>0.52259242355088997</v>
      </c>
      <c r="CS238" s="145">
        <f t="shared" si="709"/>
        <v>0.78331402085747392</v>
      </c>
      <c r="CT238" s="145">
        <f t="shared" si="709"/>
        <v>145.18181818181819</v>
      </c>
      <c r="CU238" s="144">
        <f t="shared" si="709"/>
        <v>2.21314920444311</v>
      </c>
      <c r="CV238" s="145">
        <f t="shared" si="709"/>
        <v>2.7777777777777776E-2</v>
      </c>
      <c r="CW238" s="145">
        <f t="shared" si="709"/>
        <v>1.1274509803921569</v>
      </c>
      <c r="CX238" s="145">
        <f t="shared" si="709"/>
        <v>2.771618625277162E-2</v>
      </c>
      <c r="CY238" s="145">
        <f t="shared" si="709"/>
        <v>0.85561019222172552</v>
      </c>
      <c r="CZ238" s="144">
        <f t="shared" si="709"/>
        <v>0.64402259177910259</v>
      </c>
      <c r="DA238" s="145">
        <f t="shared" si="709"/>
        <v>9.5949665749115218E-2</v>
      </c>
      <c r="DB238" s="145">
        <f t="shared" si="709"/>
        <v>-5.3796260969095767E-2</v>
      </c>
      <c r="DC238" s="145">
        <f t="shared" si="709"/>
        <v>-2.1698698078115312E-2</v>
      </c>
      <c r="DD238" s="145">
        <f t="shared" si="709"/>
        <v>0.53062848050914879</v>
      </c>
      <c r="DE238" s="144">
        <f t="shared" si="709"/>
        <v>9.1486183719193426E-2</v>
      </c>
      <c r="DF238" s="145">
        <f t="shared" si="709"/>
        <v>0.257435397367138</v>
      </c>
      <c r="DG238" s="145">
        <f t="shared" si="709"/>
        <v>0.11702502643637645</v>
      </c>
      <c r="DH238" s="145">
        <f t="shared" si="709"/>
        <v>7.7205542725173206</v>
      </c>
      <c r="DI238" s="145">
        <f t="shared" si="709"/>
        <v>0.37261759048784754</v>
      </c>
      <c r="DJ238" s="144">
        <f>IF(ISERROR((DJ168-CG168)/(DJ36-CG36)),"",(DJ168-CG168)/(DJ36-CG36))</f>
        <v>-0.82815472415979707</v>
      </c>
      <c r="DK238" s="145">
        <f>IF(ISERROR((DK168-DF168)/(DK36-DF36)),"",(DK168-DF168)/(DK36-DF36))</f>
        <v>0.17344018317115054</v>
      </c>
      <c r="DL238" s="145">
        <f>IF(ISERROR((DL168-DG168)/(DL36-DG36)),"",(DL168-DG168)/(DL36-DG36))</f>
        <v>3.243687127899815E-2</v>
      </c>
      <c r="DM238" s="145">
        <f>IF(ISERROR((DM168-DH168)/(DM36-DH36)),"",(DM168-DH168)/(DM36-DH36))</f>
        <v>-0.3648315529991783</v>
      </c>
      <c r="DN238" s="145">
        <f>IF(ISERROR((DN168-DI168)/(DN36-DI36)),"",(DN168-DI168)/(DN36-DI36))</f>
        <v>0.22034154450657398</v>
      </c>
      <c r="DO238" s="144">
        <f>IF(ISERROR((DO168-CL168)/(DO36-CL36)),"",(DO168-CL168)/(DO36-CL36))</f>
        <v>-0.14199892317719404</v>
      </c>
      <c r="DP238" s="145">
        <f>IF(ISERROR((DP168-DK168)/(DP36-DK36)),"",(DP168-DK168)/(DP36-DK36))</f>
        <v>-2.462121212121212E-2</v>
      </c>
      <c r="DQ238" s="145">
        <f>IF(ISERROR((DQ168-DL168)/(DQ36-DL36)),"",(DQ168-DL168)/(DQ36-DL36))</f>
        <v>0.26795895096921324</v>
      </c>
      <c r="DR238" s="145">
        <f>IF(ISERROR((DR168-DM168)/(DR36-DM36)),"",(DR168-DM168)/(DR36-DM36))</f>
        <v>10.710724045123733</v>
      </c>
      <c r="DS238" s="145">
        <f>IF(ISERROR((DS168-DN168)/(DS36-DN36)),"",(DS168-DN168)/(DS36-DN36))</f>
        <v>0.46180960311880459</v>
      </c>
      <c r="DT238" s="144">
        <f>IF(ISERROR((DT168-CQ168)/(DT36-CQ36)),"",(DT168-CQ168)/(DT36-CQ36))</f>
        <v>-9.1682339098512651E-3</v>
      </c>
      <c r="DU238" s="145">
        <f>IF(ISERROR((DU168-DP168)/(DU36-DP36)),"",(DU168-DP168)/(DU36-DP36))</f>
        <v>6.2659094029960408E-2</v>
      </c>
      <c r="DV238" s="145">
        <f>IF(ISERROR((DV168-DQ168)/(DV36-DQ36)),"",(DV168-DQ168)/(DV36-DQ36))</f>
        <v>0.23332397586818823</v>
      </c>
      <c r="DW238" s="145">
        <f>IF(ISERROR((DW168-DR168)/(DW36-DR36)),"",(DW168-DR168)/(DW36-DR36))</f>
        <v>0.27402505113773684</v>
      </c>
      <c r="DX238" s="145">
        <f>IF(ISERROR((DX168-DS168)/(DX36-DS36)),"",(DX168-DS168)/(DX36-DS36))</f>
        <v>0.22821951460524625</v>
      </c>
      <c r="DY238" s="144">
        <f>IF(ISERROR((DY168-CV168)/(DY36-CV36)),"",(DY168-CV168)/(DY36-CV36))</f>
        <v>4.5314882733916165E-2</v>
      </c>
      <c r="DZ238" s="144">
        <f>IF(ISERROR((DZ168-CK168)/(DZ36-CK36)),"",(DZ168-CK168)/(DZ36-CK36))</f>
        <v>0.31931393061814539</v>
      </c>
      <c r="EA238" s="144">
        <f>IF(ISERROR((EA168-CL168)/(EA36-CL36)),"",(EA168-CL168)/(EA36-CL36))</f>
        <v>0.14248173824356358</v>
      </c>
      <c r="EB238" s="144">
        <f>IF(ISERROR((EB168-CM168)/(EB36-CM36)),"",(EB168-CM168)/(EB36-CM36))</f>
        <v>0.17998540005763136</v>
      </c>
    </row>
    <row r="239" spans="2:132" s="241" customFormat="1" ht="12" hidden="1" customHeight="1" outlineLevel="2">
      <c r="B239" s="324" t="s">
        <v>106</v>
      </c>
      <c r="C239" s="325" t="str">
        <f t="shared" ref="C239:I247" si="710">IF(ISERROR((C169-B169)/(C38-B38)),"",(C169-B169)/(C38-B38))</f>
        <v/>
      </c>
      <c r="D239" s="325" t="str">
        <f t="shared" si="710"/>
        <v/>
      </c>
      <c r="E239" s="325" t="str">
        <f t="shared" si="710"/>
        <v/>
      </c>
      <c r="F239" s="325" t="str">
        <f t="shared" si="710"/>
        <v/>
      </c>
      <c r="G239" s="325" t="str">
        <f t="shared" si="710"/>
        <v/>
      </c>
      <c r="H239" s="325" t="str">
        <f t="shared" si="710"/>
        <v/>
      </c>
      <c r="I239" s="325" t="str">
        <f t="shared" si="710"/>
        <v/>
      </c>
      <c r="J239" s="326"/>
      <c r="K239" s="326"/>
      <c r="L239" s="326"/>
      <c r="M239" s="326"/>
      <c r="N239" s="325">
        <f t="shared" ref="N239:W241" si="711">IF(ISERROR((N169-I169)/(N38-I38)),"",(N169-I169)/(N38-I38))</f>
        <v>0.13221659524737048</v>
      </c>
      <c r="O239" s="326">
        <f t="shared" si="711"/>
        <v>0.11947728686994399</v>
      </c>
      <c r="P239" s="326">
        <f t="shared" si="711"/>
        <v>0.12617487895186558</v>
      </c>
      <c r="Q239" s="326">
        <f t="shared" si="711"/>
        <v>0.13427911580336521</v>
      </c>
      <c r="R239" s="326">
        <f t="shared" si="711"/>
        <v>0.1387852956846031</v>
      </c>
      <c r="S239" s="325">
        <f t="shared" si="711"/>
        <v>8.5925925925925919E-2</v>
      </c>
      <c r="T239" s="326">
        <f t="shared" si="711"/>
        <v>-1.3582089552238805</v>
      </c>
      <c r="U239" s="326">
        <f t="shared" si="711"/>
        <v>4.4800000000000004</v>
      </c>
      <c r="V239" s="326">
        <f t="shared" si="711"/>
        <v>0.14672686230248308</v>
      </c>
      <c r="W239" s="326">
        <f t="shared" si="711"/>
        <v>-0.39893617021276595</v>
      </c>
      <c r="X239" s="325">
        <f t="shared" ref="X239:AG241" si="712">IF(ISERROR((X169-S169)/(X38-S38)),"",(X169-S169)/(X38-S38))</f>
        <v>-0.61547619047619051</v>
      </c>
      <c r="Y239" s="326">
        <f t="shared" si="712"/>
        <v>-0.39552238805970147</v>
      </c>
      <c r="Z239" s="326">
        <f t="shared" si="712"/>
        <v>37.363636363636367</v>
      </c>
      <c r="AA239" s="326">
        <f t="shared" si="712"/>
        <v>0.59649122807017541</v>
      </c>
      <c r="AB239" s="326">
        <f t="shared" si="712"/>
        <v>-0.14511494252873564</v>
      </c>
      <c r="AC239" s="325">
        <f t="shared" si="712"/>
        <v>-0.58796992481203003</v>
      </c>
      <c r="AD239" s="326">
        <f t="shared" si="712"/>
        <v>0.48101265822784811</v>
      </c>
      <c r="AE239" s="326">
        <f t="shared" si="712"/>
        <v>1.5859872611464969</v>
      </c>
      <c r="AF239" s="326">
        <f t="shared" si="712"/>
        <v>-7.4340527577937646E-2</v>
      </c>
      <c r="AG239" s="326">
        <f t="shared" si="712"/>
        <v>7.6754385964912283E-2</v>
      </c>
      <c r="AH239" s="325">
        <f t="shared" ref="AH239:AQ241" si="713">IF(ISERROR((AH169-AC169)/(AH38-AC38)),"",(AH169-AC169)/(AH38-AC38))</f>
        <v>1.2836363636363637</v>
      </c>
      <c r="AI239" s="326">
        <f t="shared" si="713"/>
        <v>0.53125</v>
      </c>
      <c r="AJ239" s="326">
        <f t="shared" si="713"/>
        <v>2.3979591836734695</v>
      </c>
      <c r="AK239" s="326">
        <f t="shared" si="713"/>
        <v>0.64942528735632188</v>
      </c>
      <c r="AL239" s="326">
        <f t="shared" si="713"/>
        <v>-1.5873015873015872E-2</v>
      </c>
      <c r="AM239" s="325">
        <f t="shared" si="713"/>
        <v>0.36630602782071098</v>
      </c>
      <c r="AN239" s="326">
        <f t="shared" si="713"/>
        <v>-6.4935064935064929E-2</v>
      </c>
      <c r="AO239" s="326">
        <f t="shared" si="713"/>
        <v>-0.16589861751152074</v>
      </c>
      <c r="AP239" s="326">
        <f t="shared" si="713"/>
        <v>1.0807453416149069</v>
      </c>
      <c r="AQ239" s="326">
        <f t="shared" si="713"/>
        <v>0.28301886792452829</v>
      </c>
      <c r="AR239" s="325">
        <f t="shared" ref="AR239:BA241" si="714">IF(ISERROR((AR169-AM169)/(AR38-AM38)),"",(AR169-AM169)/(AR38-AM38))</f>
        <v>-1.4088397790055249</v>
      </c>
      <c r="AS239" s="326">
        <f t="shared" si="714"/>
        <v>0.67549668874172186</v>
      </c>
      <c r="AT239" s="326">
        <f t="shared" si="714"/>
        <v>0.4838709677419355</v>
      </c>
      <c r="AU239" s="326">
        <f t="shared" si="714"/>
        <v>0.4885057471264368</v>
      </c>
      <c r="AV239" s="326">
        <f t="shared" si="714"/>
        <v>0.15838509316770186</v>
      </c>
      <c r="AW239" s="325">
        <f t="shared" si="714"/>
        <v>0.37799717912552894</v>
      </c>
      <c r="AX239" s="326">
        <f t="shared" si="714"/>
        <v>7.4235807860262015E-2</v>
      </c>
      <c r="AY239" s="326">
        <f t="shared" si="714"/>
        <v>-4.7131147540983603E-2</v>
      </c>
      <c r="AZ239" s="326">
        <f t="shared" si="714"/>
        <v>-0.2742857142857143</v>
      </c>
      <c r="BA239" s="326">
        <f t="shared" si="714"/>
        <v>-0.18269230769230768</v>
      </c>
      <c r="BB239" s="325">
        <f t="shared" ref="BB239:BK241" si="715">IF(ISERROR((BB169-AW169)/(BB38-AW38)),"",(BB169-AW169)/(BB38-AW38))</f>
        <v>3.8274182324286705E-2</v>
      </c>
      <c r="BC239" s="326">
        <f t="shared" si="715"/>
        <v>3.5175879396984924E-2</v>
      </c>
      <c r="BD239" s="326">
        <f t="shared" si="715"/>
        <v>-4.1493775933609957E-2</v>
      </c>
      <c r="BE239" s="326">
        <f t="shared" si="715"/>
        <v>0.91056910569105687</v>
      </c>
      <c r="BF239" s="326">
        <f t="shared" si="715"/>
        <v>0.44117647058823528</v>
      </c>
      <c r="BG239" s="325">
        <f t="shared" si="715"/>
        <v>0.25892857142857145</v>
      </c>
      <c r="BH239" s="326">
        <f t="shared" si="715"/>
        <v>0.15053763440860216</v>
      </c>
      <c r="BI239" s="326">
        <f t="shared" si="715"/>
        <v>0.56830601092896171</v>
      </c>
      <c r="BJ239" s="326">
        <f t="shared" si="715"/>
        <v>-36.5</v>
      </c>
      <c r="BK239" s="326">
        <f t="shared" si="715"/>
        <v>5.2781740370898715E-2</v>
      </c>
      <c r="BL239" s="610">
        <f t="shared" ref="BL239:BU241" si="716">IF(ISERROR((BL169-BG169)/(BL38-BG38)),"",(BL169-BG169)/(BL38-BG38))</f>
        <v>6.6391752577319593E-2</v>
      </c>
      <c r="BM239" s="326">
        <f t="shared" si="716"/>
        <v>9.9439775910364139E-2</v>
      </c>
      <c r="BN239" s="326">
        <f t="shared" si="716"/>
        <v>1.2</v>
      </c>
      <c r="BO239" s="326">
        <f t="shared" si="716"/>
        <v>0.10894941634241245</v>
      </c>
      <c r="BP239" s="326">
        <f t="shared" si="716"/>
        <v>0.3446601941747573</v>
      </c>
      <c r="BQ239" s="610">
        <f t="shared" si="716"/>
        <v>-0.48275862068965519</v>
      </c>
      <c r="BR239" s="326">
        <f t="shared" si="716"/>
        <v>7.9781420765027325E-2</v>
      </c>
      <c r="BS239" s="326">
        <f t="shared" si="716"/>
        <v>-0.10216110019646366</v>
      </c>
      <c r="BT239" s="326">
        <f t="shared" si="716"/>
        <v>7.8381795195954493E-2</v>
      </c>
      <c r="BU239" s="326">
        <f t="shared" si="716"/>
        <v>0.25773195876288657</v>
      </c>
      <c r="BV239" s="610">
        <f t="shared" ref="BV239:CE241" si="717">IF(ISERROR((BV169-BQ169)/(BV38-BQ38)),"",(BV169-BQ169)/(BV38-BQ38))</f>
        <v>8.9968976215098237E-2</v>
      </c>
      <c r="BW239" s="326">
        <f t="shared" si="717"/>
        <v>1.2707722385141741E-2</v>
      </c>
      <c r="BX239" s="326">
        <f t="shared" si="717"/>
        <v>-2.76</v>
      </c>
      <c r="BY239" s="326">
        <f t="shared" si="717"/>
        <v>0.13312883435582823</v>
      </c>
      <c r="BZ239" s="326">
        <f t="shared" si="717"/>
        <v>0.11004967520061139</v>
      </c>
      <c r="CA239" s="610">
        <f t="shared" si="717"/>
        <v>0.1764874551971326</v>
      </c>
      <c r="CB239" s="326">
        <f t="shared" si="717"/>
        <v>0.12177541729893779</v>
      </c>
      <c r="CC239" s="326">
        <f t="shared" si="717"/>
        <v>0.1315426997245179</v>
      </c>
      <c r="CD239" s="326" t="str">
        <f t="shared" si="717"/>
        <v/>
      </c>
      <c r="CE239" s="326" t="str">
        <f t="shared" si="717"/>
        <v/>
      </c>
      <c r="CF239" s="610"/>
      <c r="CG239" s="326" t="str">
        <f t="shared" ref="CG239:CJ241" si="718">IF(ISERROR((CG169-CB169)/(CG38-CB38)),"",(CG169-CB169)/(CG38-CB38))</f>
        <v/>
      </c>
      <c r="CH239" s="326" t="str">
        <f t="shared" si="718"/>
        <v/>
      </c>
      <c r="CI239" s="326" t="str">
        <f t="shared" si="718"/>
        <v/>
      </c>
      <c r="CJ239" s="326" t="str">
        <f t="shared" si="718"/>
        <v/>
      </c>
      <c r="CK239" s="610"/>
      <c r="CL239" s="326" t="str">
        <f t="shared" ref="CL239:CO241" si="719">IF(ISERROR((CL169-CG169)/(CL38-CG38)),"",(CL169-CG169)/(CL38-CG38))</f>
        <v/>
      </c>
      <c r="CM239" s="326" t="str">
        <f t="shared" si="719"/>
        <v/>
      </c>
      <c r="CN239" s="326" t="str">
        <f t="shared" si="719"/>
        <v/>
      </c>
      <c r="CO239" s="326" t="str">
        <f t="shared" si="719"/>
        <v/>
      </c>
      <c r="CP239" s="610"/>
      <c r="CQ239" s="326" t="str">
        <f t="shared" ref="CQ239:CT241" si="720">IF(ISERROR((CQ169-CL169)/(CQ38-CL38)),"",(CQ169-CL169)/(CQ38-CL38))</f>
        <v/>
      </c>
      <c r="CR239" s="326" t="str">
        <f t="shared" si="720"/>
        <v/>
      </c>
      <c r="CS239" s="326" t="str">
        <f t="shared" si="720"/>
        <v/>
      </c>
      <c r="CT239" s="326" t="str">
        <f t="shared" si="720"/>
        <v/>
      </c>
      <c r="CU239" s="610"/>
      <c r="CV239" s="326" t="str">
        <f t="shared" ref="CV239:CY241" si="721">IF(ISERROR((CV169-CQ169)/(CV38-CQ38)),"",(CV169-CQ169)/(CV38-CQ38))</f>
        <v/>
      </c>
      <c r="CW239" s="326" t="str">
        <f t="shared" si="721"/>
        <v/>
      </c>
      <c r="CX239" s="326" t="str">
        <f t="shared" si="721"/>
        <v/>
      </c>
      <c r="CY239" s="326" t="str">
        <f t="shared" si="721"/>
        <v/>
      </c>
      <c r="CZ239" s="610"/>
      <c r="DA239" s="326" t="str">
        <f t="shared" ref="DA239:DD241" si="722">IF(ISERROR((DA169-CV169)/(DA38-CV38)),"",(DA169-CV169)/(DA38-CV38))</f>
        <v/>
      </c>
      <c r="DB239" s="326" t="str">
        <f t="shared" si="722"/>
        <v/>
      </c>
      <c r="DC239" s="326" t="str">
        <f t="shared" si="722"/>
        <v/>
      </c>
      <c r="DD239" s="326" t="str">
        <f t="shared" si="722"/>
        <v/>
      </c>
      <c r="DE239" s="610"/>
      <c r="DF239" s="326" t="str">
        <f t="shared" ref="DF239:DO241" si="723">IF(ISERROR((DF169-DA169)/(DF38-DA38)),"",(DF169-DA169)/(DF38-DA38))</f>
        <v/>
      </c>
      <c r="DG239" s="326" t="str">
        <f t="shared" si="723"/>
        <v/>
      </c>
      <c r="DH239" s="326" t="str">
        <f t="shared" si="723"/>
        <v/>
      </c>
      <c r="DI239" s="326" t="str">
        <f t="shared" si="723"/>
        <v/>
      </c>
      <c r="DJ239" s="610" t="str">
        <f t="shared" si="723"/>
        <v/>
      </c>
      <c r="DK239" s="326" t="str">
        <f t="shared" si="723"/>
        <v/>
      </c>
      <c r="DL239" s="326" t="str">
        <f t="shared" si="723"/>
        <v/>
      </c>
      <c r="DM239" s="326" t="str">
        <f t="shared" si="723"/>
        <v/>
      </c>
      <c r="DN239" s="326" t="str">
        <f t="shared" si="723"/>
        <v/>
      </c>
      <c r="DO239" s="610" t="str">
        <f t="shared" si="723"/>
        <v/>
      </c>
      <c r="DP239" s="326" t="str">
        <f t="shared" ref="DP239:DY241" si="724">IF(ISERROR((DP169-DK169)/(DP38-DK38)),"",(DP169-DK169)/(DP38-DK38))</f>
        <v/>
      </c>
      <c r="DQ239" s="326" t="str">
        <f t="shared" si="724"/>
        <v/>
      </c>
      <c r="DR239" s="326" t="str">
        <f t="shared" si="724"/>
        <v/>
      </c>
      <c r="DS239" s="326" t="str">
        <f t="shared" si="724"/>
        <v/>
      </c>
      <c r="DT239" s="610" t="str">
        <f t="shared" si="724"/>
        <v/>
      </c>
      <c r="DU239" s="326" t="str">
        <f t="shared" si="724"/>
        <v/>
      </c>
      <c r="DV239" s="326" t="str">
        <f t="shared" si="724"/>
        <v/>
      </c>
      <c r="DW239" s="326" t="str">
        <f t="shared" si="724"/>
        <v/>
      </c>
      <c r="DX239" s="326" t="str">
        <f t="shared" si="724"/>
        <v/>
      </c>
      <c r="DY239" s="610" t="str">
        <f t="shared" si="724"/>
        <v/>
      </c>
      <c r="DZ239" s="610" t="str">
        <f t="shared" ref="DZ239:EB241" si="725">IF(ISERROR((DZ169-DY169)/(DZ38-DY38)),"",(DZ169-DY169)/(DZ38-DY38))</f>
        <v/>
      </c>
      <c r="EA239" s="610" t="str">
        <f t="shared" si="725"/>
        <v/>
      </c>
      <c r="EB239" s="610" t="str">
        <f t="shared" si="725"/>
        <v/>
      </c>
    </row>
    <row r="240" spans="2:132" s="241" customFormat="1" ht="12" hidden="1" customHeight="1" outlineLevel="2">
      <c r="B240" s="311" t="s">
        <v>107</v>
      </c>
      <c r="C240" s="301" t="str">
        <f t="shared" si="710"/>
        <v/>
      </c>
      <c r="D240" s="301" t="str">
        <f t="shared" si="710"/>
        <v/>
      </c>
      <c r="E240" s="301" t="str">
        <f t="shared" si="710"/>
        <v/>
      </c>
      <c r="F240" s="301" t="str">
        <f t="shared" si="710"/>
        <v/>
      </c>
      <c r="G240" s="301" t="str">
        <f t="shared" si="710"/>
        <v/>
      </c>
      <c r="H240" s="301" t="str">
        <f t="shared" si="710"/>
        <v/>
      </c>
      <c r="I240" s="301" t="str">
        <f t="shared" si="710"/>
        <v/>
      </c>
      <c r="J240" s="242"/>
      <c r="K240" s="242"/>
      <c r="L240" s="242"/>
      <c r="M240" s="242"/>
      <c r="N240" s="301">
        <f t="shared" si="711"/>
        <v>4.4306227443753357E-2</v>
      </c>
      <c r="O240" s="242">
        <f t="shared" si="711"/>
        <v>9.1868404717566729E-2</v>
      </c>
      <c r="P240" s="242">
        <f t="shared" si="711"/>
        <v>6.4308681672025719E-2</v>
      </c>
      <c r="Q240" s="242">
        <f t="shared" si="711"/>
        <v>0.23451910408432147</v>
      </c>
      <c r="R240" s="242">
        <f t="shared" si="711"/>
        <v>6.6181566181566176E-2</v>
      </c>
      <c r="S240" s="301">
        <f t="shared" si="711"/>
        <v>-1.0689206762028609</v>
      </c>
      <c r="T240" s="242">
        <f t="shared" si="711"/>
        <v>0.30638297872340425</v>
      </c>
      <c r="U240" s="242">
        <f t="shared" si="711"/>
        <v>0.55828220858895705</v>
      </c>
      <c r="V240" s="242">
        <f t="shared" si="711"/>
        <v>2.6888888888888891</v>
      </c>
      <c r="W240" s="242">
        <f t="shared" si="711"/>
        <v>0.51576994434137291</v>
      </c>
      <c r="X240" s="301">
        <f t="shared" si="712"/>
        <v>1.6094890510948905</v>
      </c>
      <c r="Y240" s="242">
        <f t="shared" si="712"/>
        <v>9.6153846153846159E-2</v>
      </c>
      <c r="Z240" s="242">
        <f t="shared" si="712"/>
        <v>-36.75</v>
      </c>
      <c r="AA240" s="242">
        <f t="shared" si="712"/>
        <v>-0.33333333333333331</v>
      </c>
      <c r="AB240" s="242">
        <f t="shared" si="712"/>
        <v>0.3258426966292135</v>
      </c>
      <c r="AC240" s="301">
        <f t="shared" si="712"/>
        <v>0.23591549295774647</v>
      </c>
      <c r="AD240" s="242">
        <f t="shared" si="712"/>
        <v>-0.64814814814814814</v>
      </c>
      <c r="AE240" s="242">
        <f t="shared" si="712"/>
        <v>0.1366906474820144</v>
      </c>
      <c r="AF240" s="242">
        <f t="shared" si="712"/>
        <v>-5.5909090909090908</v>
      </c>
      <c r="AG240" s="242">
        <f t="shared" si="712"/>
        <v>3.0454545454545454</v>
      </c>
      <c r="AH240" s="301">
        <f t="shared" si="713"/>
        <v>-0.4115942028985507</v>
      </c>
      <c r="AI240" s="242">
        <f t="shared" si="713"/>
        <v>3.75</v>
      </c>
      <c r="AJ240" s="242">
        <f t="shared" si="713"/>
        <v>6.688963210702341E-3</v>
      </c>
      <c r="AK240" s="242">
        <f t="shared" si="713"/>
        <v>0.17948717948717949</v>
      </c>
      <c r="AL240" s="242">
        <f t="shared" si="713"/>
        <v>0.17975206611570249</v>
      </c>
      <c r="AM240" s="301">
        <f t="shared" si="713"/>
        <v>0.40928270042194093</v>
      </c>
      <c r="AN240" s="242">
        <f t="shared" si="713"/>
        <v>9.295774647887324E-2</v>
      </c>
      <c r="AO240" s="242">
        <f t="shared" si="713"/>
        <v>9.6128170894526035E-2</v>
      </c>
      <c r="AP240" s="242">
        <f t="shared" si="713"/>
        <v>0.27247956403269757</v>
      </c>
      <c r="AQ240" s="242">
        <f t="shared" si="713"/>
        <v>1.5714285714285714</v>
      </c>
      <c r="AR240" s="301">
        <f t="shared" si="714"/>
        <v>9.0014064697609003E-2</v>
      </c>
      <c r="AS240" s="242">
        <f t="shared" si="714"/>
        <v>-1.1923076923076923</v>
      </c>
      <c r="AT240" s="242">
        <f t="shared" si="714"/>
        <v>-0.11355311355311355</v>
      </c>
      <c r="AU240" s="242">
        <f t="shared" si="714"/>
        <v>-0.39705882352941174</v>
      </c>
      <c r="AV240" s="242">
        <f t="shared" si="714"/>
        <v>0.10278372591006424</v>
      </c>
      <c r="AW240" s="301">
        <f t="shared" si="714"/>
        <v>2.6854219948849106E-2</v>
      </c>
      <c r="AX240" s="242">
        <f t="shared" si="714"/>
        <v>0.1263537906137184</v>
      </c>
      <c r="AY240" s="242">
        <f t="shared" si="714"/>
        <v>0.37113402061855671</v>
      </c>
      <c r="AZ240" s="242">
        <f t="shared" si="714"/>
        <v>6.2937062937062943E-2</v>
      </c>
      <c r="BA240" s="242">
        <f t="shared" si="714"/>
        <v>0.94545454545454544</v>
      </c>
      <c r="BB240" s="301">
        <f t="shared" si="715"/>
        <v>0.19467401285583102</v>
      </c>
      <c r="BC240" s="242">
        <f t="shared" si="715"/>
        <v>0.50303030303030305</v>
      </c>
      <c r="BD240" s="242">
        <f t="shared" si="715"/>
        <v>6.7901234567901231E-2</v>
      </c>
      <c r="BE240" s="242">
        <f t="shared" si="715"/>
        <v>0.13278008298755187</v>
      </c>
      <c r="BF240" s="242">
        <f t="shared" si="715"/>
        <v>0.31944444444444442</v>
      </c>
      <c r="BG240" s="301">
        <f t="shared" si="715"/>
        <v>0.25969827586206895</v>
      </c>
      <c r="BH240" s="242">
        <f t="shared" si="715"/>
        <v>-0.14285714285714285</v>
      </c>
      <c r="BI240" s="242">
        <f t="shared" si="715"/>
        <v>-0.10077519379844961</v>
      </c>
      <c r="BJ240" s="242">
        <f t="shared" si="715"/>
        <v>1.9607843137254902E-2</v>
      </c>
      <c r="BK240" s="242">
        <f t="shared" si="715"/>
        <v>0.45652173913043476</v>
      </c>
      <c r="BL240" s="144">
        <f t="shared" si="716"/>
        <v>4.1257367387033402E-2</v>
      </c>
      <c r="BM240" s="242">
        <f t="shared" si="716"/>
        <v>6.9444444444444441E-3</v>
      </c>
      <c r="BN240" s="242">
        <f t="shared" si="716"/>
        <v>5.5555555555555552E-2</v>
      </c>
      <c r="BO240" s="242">
        <f t="shared" si="716"/>
        <v>0.56000000000000005</v>
      </c>
      <c r="BP240" s="242">
        <f t="shared" si="716"/>
        <v>0.12389380530973451</v>
      </c>
      <c r="BQ240" s="144">
        <f t="shared" si="716"/>
        <v>-0.1111111111111111</v>
      </c>
      <c r="BR240" s="242">
        <f t="shared" si="716"/>
        <v>-6.333333333333333</v>
      </c>
      <c r="BS240" s="242">
        <f t="shared" si="716"/>
        <v>-1.5625E-2</v>
      </c>
      <c r="BT240" s="242">
        <f t="shared" si="716"/>
        <v>0.49295774647887325</v>
      </c>
      <c r="BU240" s="242">
        <f t="shared" si="716"/>
        <v>3.896103896103896E-2</v>
      </c>
      <c r="BV240" s="144">
        <f t="shared" si="717"/>
        <v>0.3304964539007092</v>
      </c>
      <c r="BW240" s="242">
        <f t="shared" si="717"/>
        <v>0.29239766081871343</v>
      </c>
      <c r="BX240" s="242">
        <f t="shared" si="717"/>
        <v>7.3529411764705881E-3</v>
      </c>
      <c r="BY240" s="242">
        <f t="shared" si="717"/>
        <v>2.0576131687242798E-2</v>
      </c>
      <c r="BZ240" s="242">
        <f t="shared" si="717"/>
        <v>8.7222222222222229E-2</v>
      </c>
      <c r="CA240" s="144">
        <f t="shared" si="717"/>
        <v>0.12946428571428573</v>
      </c>
      <c r="CB240" s="242">
        <f t="shared" si="717"/>
        <v>6.2659846547314574E-2</v>
      </c>
      <c r="CC240" s="242">
        <f t="shared" si="717"/>
        <v>9.0800477897252097E-2</v>
      </c>
      <c r="CD240" s="242" t="str">
        <f t="shared" si="717"/>
        <v/>
      </c>
      <c r="CE240" s="242" t="str">
        <f t="shared" si="717"/>
        <v/>
      </c>
      <c r="CF240" s="144"/>
      <c r="CG240" s="242" t="str">
        <f t="shared" si="718"/>
        <v/>
      </c>
      <c r="CH240" s="242" t="str">
        <f t="shared" si="718"/>
        <v/>
      </c>
      <c r="CI240" s="242" t="str">
        <f t="shared" si="718"/>
        <v/>
      </c>
      <c r="CJ240" s="242" t="str">
        <f t="shared" si="718"/>
        <v/>
      </c>
      <c r="CK240" s="144"/>
      <c r="CL240" s="242" t="str">
        <f t="shared" si="719"/>
        <v/>
      </c>
      <c r="CM240" s="242" t="str">
        <f t="shared" si="719"/>
        <v/>
      </c>
      <c r="CN240" s="242" t="str">
        <f t="shared" si="719"/>
        <v/>
      </c>
      <c r="CO240" s="242" t="str">
        <f t="shared" si="719"/>
        <v/>
      </c>
      <c r="CP240" s="144"/>
      <c r="CQ240" s="242" t="str">
        <f t="shared" si="720"/>
        <v/>
      </c>
      <c r="CR240" s="242" t="str">
        <f t="shared" si="720"/>
        <v/>
      </c>
      <c r="CS240" s="242" t="str">
        <f t="shared" si="720"/>
        <v/>
      </c>
      <c r="CT240" s="242" t="str">
        <f t="shared" si="720"/>
        <v/>
      </c>
      <c r="CU240" s="144"/>
      <c r="CV240" s="242" t="str">
        <f t="shared" si="721"/>
        <v/>
      </c>
      <c r="CW240" s="242" t="str">
        <f t="shared" si="721"/>
        <v/>
      </c>
      <c r="CX240" s="242" t="str">
        <f t="shared" si="721"/>
        <v/>
      </c>
      <c r="CY240" s="242" t="str">
        <f t="shared" si="721"/>
        <v/>
      </c>
      <c r="CZ240" s="144"/>
      <c r="DA240" s="242" t="str">
        <f t="shared" si="722"/>
        <v/>
      </c>
      <c r="DB240" s="242" t="str">
        <f t="shared" si="722"/>
        <v/>
      </c>
      <c r="DC240" s="242" t="str">
        <f t="shared" si="722"/>
        <v/>
      </c>
      <c r="DD240" s="242" t="str">
        <f t="shared" si="722"/>
        <v/>
      </c>
      <c r="DE240" s="144"/>
      <c r="DF240" s="242" t="str">
        <f t="shared" si="723"/>
        <v/>
      </c>
      <c r="DG240" s="242" t="str">
        <f t="shared" si="723"/>
        <v/>
      </c>
      <c r="DH240" s="242" t="str">
        <f t="shared" si="723"/>
        <v/>
      </c>
      <c r="DI240" s="242" t="str">
        <f t="shared" si="723"/>
        <v/>
      </c>
      <c r="DJ240" s="144" t="str">
        <f t="shared" si="723"/>
        <v/>
      </c>
      <c r="DK240" s="242" t="str">
        <f t="shared" si="723"/>
        <v/>
      </c>
      <c r="DL240" s="242" t="str">
        <f t="shared" si="723"/>
        <v/>
      </c>
      <c r="DM240" s="242" t="str">
        <f t="shared" si="723"/>
        <v/>
      </c>
      <c r="DN240" s="242" t="str">
        <f t="shared" si="723"/>
        <v/>
      </c>
      <c r="DO240" s="144" t="str">
        <f t="shared" si="723"/>
        <v/>
      </c>
      <c r="DP240" s="242" t="str">
        <f t="shared" si="724"/>
        <v/>
      </c>
      <c r="DQ240" s="242" t="str">
        <f t="shared" si="724"/>
        <v/>
      </c>
      <c r="DR240" s="242" t="str">
        <f t="shared" si="724"/>
        <v/>
      </c>
      <c r="DS240" s="242" t="str">
        <f t="shared" si="724"/>
        <v/>
      </c>
      <c r="DT240" s="144" t="str">
        <f t="shared" si="724"/>
        <v/>
      </c>
      <c r="DU240" s="242" t="str">
        <f t="shared" si="724"/>
        <v/>
      </c>
      <c r="DV240" s="242" t="str">
        <f t="shared" si="724"/>
        <v/>
      </c>
      <c r="DW240" s="242" t="str">
        <f t="shared" si="724"/>
        <v/>
      </c>
      <c r="DX240" s="242" t="str">
        <f t="shared" si="724"/>
        <v/>
      </c>
      <c r="DY240" s="144" t="str">
        <f t="shared" si="724"/>
        <v/>
      </c>
      <c r="DZ240" s="144" t="str">
        <f t="shared" si="725"/>
        <v/>
      </c>
      <c r="EA240" s="144" t="str">
        <f t="shared" si="725"/>
        <v/>
      </c>
      <c r="EB240" s="144" t="str">
        <f t="shared" si="725"/>
        <v/>
      </c>
    </row>
    <row r="241" spans="2:132" s="241" customFormat="1" ht="12" hidden="1" customHeight="1" outlineLevel="2">
      <c r="B241" s="327" t="s">
        <v>108</v>
      </c>
      <c r="C241" s="328" t="str">
        <f t="shared" si="710"/>
        <v/>
      </c>
      <c r="D241" s="328" t="str">
        <f t="shared" si="710"/>
        <v/>
      </c>
      <c r="E241" s="328" t="str">
        <f t="shared" si="710"/>
        <v/>
      </c>
      <c r="F241" s="328" t="str">
        <f t="shared" si="710"/>
        <v/>
      </c>
      <c r="G241" s="328" t="str">
        <f t="shared" si="710"/>
        <v/>
      </c>
      <c r="H241" s="328" t="str">
        <f t="shared" si="710"/>
        <v/>
      </c>
      <c r="I241" s="328" t="str">
        <f t="shared" si="710"/>
        <v/>
      </c>
      <c r="J241" s="329"/>
      <c r="K241" s="329"/>
      <c r="L241" s="329"/>
      <c r="M241" s="329"/>
      <c r="N241" s="328">
        <f t="shared" si="711"/>
        <v>0.1356279450932186</v>
      </c>
      <c r="O241" s="329">
        <f t="shared" si="711"/>
        <v>0.14529914529914531</v>
      </c>
      <c r="P241" s="329">
        <f t="shared" si="711"/>
        <v>0.15046491969568893</v>
      </c>
      <c r="Q241" s="329">
        <f t="shared" si="711"/>
        <v>0.13704496788008566</v>
      </c>
      <c r="R241" s="329">
        <f t="shared" si="711"/>
        <v>0.14168765743073047</v>
      </c>
      <c r="S241" s="328">
        <f t="shared" si="711"/>
        <v>0.22342733188720174</v>
      </c>
      <c r="T241" s="329">
        <f t="shared" si="711"/>
        <v>0.17094017094017094</v>
      </c>
      <c r="U241" s="329">
        <f t="shared" si="711"/>
        <v>0.11587982832618025</v>
      </c>
      <c r="V241" s="329">
        <f t="shared" si="711"/>
        <v>-0.21311475409836064</v>
      </c>
      <c r="W241" s="329">
        <f t="shared" si="711"/>
        <v>0.10393258426966293</v>
      </c>
      <c r="X241" s="328">
        <f t="shared" si="712"/>
        <v>9.2568448500651893E-2</v>
      </c>
      <c r="Y241" s="329">
        <f t="shared" si="712"/>
        <v>3.3670033670033669E-2</v>
      </c>
      <c r="Z241" s="329">
        <f t="shared" si="712"/>
        <v>-6.5000000000000002E-2</v>
      </c>
      <c r="AA241" s="329">
        <f t="shared" si="712"/>
        <v>0.35</v>
      </c>
      <c r="AB241" s="329">
        <f t="shared" si="712"/>
        <v>-0.27586206896551724</v>
      </c>
      <c r="AC241" s="328">
        <f t="shared" si="712"/>
        <v>0.14237288135593221</v>
      </c>
      <c r="AD241" s="329">
        <f t="shared" si="712"/>
        <v>9.4736842105263161E-2</v>
      </c>
      <c r="AE241" s="329">
        <f t="shared" si="712"/>
        <v>0.20481927710843373</v>
      </c>
      <c r="AF241" s="329">
        <f t="shared" si="712"/>
        <v>-0.65957446808510634</v>
      </c>
      <c r="AG241" s="329">
        <f t="shared" si="712"/>
        <v>3.1446540880503145E-2</v>
      </c>
      <c r="AH241" s="328">
        <f t="shared" si="713"/>
        <v>5.0251256281407036E-3</v>
      </c>
      <c r="AI241" s="329">
        <f t="shared" si="713"/>
        <v>3.1161473087818695E-2</v>
      </c>
      <c r="AJ241" s="329">
        <f t="shared" si="713"/>
        <v>6.269592476489028E-3</v>
      </c>
      <c r="AK241" s="329">
        <f t="shared" si="713"/>
        <v>-9.5375722543352595E-2</v>
      </c>
      <c r="AL241" s="329">
        <f t="shared" si="713"/>
        <v>0.10653753026634383</v>
      </c>
      <c r="AM241" s="328">
        <f t="shared" si="713"/>
        <v>1.6771488469601678E-2</v>
      </c>
      <c r="AN241" s="329">
        <f t="shared" si="713"/>
        <v>0.17647058823529413</v>
      </c>
      <c r="AO241" s="329">
        <f t="shared" si="713"/>
        <v>0.42222222222222222</v>
      </c>
      <c r="AP241" s="329">
        <f t="shared" si="713"/>
        <v>-2.1470588235294117</v>
      </c>
      <c r="AQ241" s="329">
        <f t="shared" si="713"/>
        <v>0.18461538461538463</v>
      </c>
      <c r="AR241" s="328">
        <f t="shared" si="714"/>
        <v>8.5953878406708595E-2</v>
      </c>
      <c r="AS241" s="329">
        <f t="shared" si="714"/>
        <v>0.36994219653179189</v>
      </c>
      <c r="AT241" s="329">
        <f t="shared" si="714"/>
        <v>-0.30952380952380953</v>
      </c>
      <c r="AU241" s="329">
        <f t="shared" si="714"/>
        <v>-0.31818181818181818</v>
      </c>
      <c r="AV241" s="329">
        <f t="shared" si="714"/>
        <v>0.10199556541019955</v>
      </c>
      <c r="AW241" s="328">
        <f t="shared" si="714"/>
        <v>0.33962264150943394</v>
      </c>
      <c r="AX241" s="329">
        <f t="shared" si="714"/>
        <v>0.2874015748031496</v>
      </c>
      <c r="AY241" s="329">
        <f t="shared" si="714"/>
        <v>0.21428571428571427</v>
      </c>
      <c r="AZ241" s="329">
        <f t="shared" si="714"/>
        <v>-0.27</v>
      </c>
      <c r="BA241" s="329">
        <f t="shared" si="714"/>
        <v>8.5409252669039148E-2</v>
      </c>
      <c r="BB241" s="328">
        <f t="shared" si="715"/>
        <v>0.23674911660777384</v>
      </c>
      <c r="BC241" s="329">
        <f t="shared" si="715"/>
        <v>-0.15730337078651685</v>
      </c>
      <c r="BD241" s="329">
        <f t="shared" si="715"/>
        <v>9.5890410958904104E-2</v>
      </c>
      <c r="BE241" s="329">
        <f t="shared" si="715"/>
        <v>0.17924528301886791</v>
      </c>
      <c r="BF241" s="329">
        <f t="shared" si="715"/>
        <v>0.19767441860465115</v>
      </c>
      <c r="BG241" s="328">
        <f t="shared" si="715"/>
        <v>0.38181818181818183</v>
      </c>
      <c r="BH241" s="329">
        <f t="shared" si="715"/>
        <v>0.12403100775193798</v>
      </c>
      <c r="BI241" s="329">
        <f t="shared" si="715"/>
        <v>1.7857142857142856E-2</v>
      </c>
      <c r="BJ241" s="329">
        <f t="shared" si="715"/>
        <v>-0.41558441558441561</v>
      </c>
      <c r="BK241" s="329">
        <f t="shared" si="715"/>
        <v>0.34801762114537443</v>
      </c>
      <c r="BL241" s="612">
        <f t="shared" si="716"/>
        <v>0.12944983818770225</v>
      </c>
      <c r="BM241" s="329">
        <f t="shared" si="716"/>
        <v>-0.56060606060606055</v>
      </c>
      <c r="BN241" s="329">
        <f t="shared" si="716"/>
        <v>-2.6881720430107527E-2</v>
      </c>
      <c r="BO241" s="329">
        <f t="shared" si="716"/>
        <v>-0.30508474576271188</v>
      </c>
      <c r="BP241" s="329">
        <f t="shared" si="716"/>
        <v>1.3824884792626729E-2</v>
      </c>
      <c r="BQ241" s="612">
        <f t="shared" si="716"/>
        <v>-0.46698113207547171</v>
      </c>
      <c r="BR241" s="329">
        <f t="shared" si="716"/>
        <v>7.598784194528875E-2</v>
      </c>
      <c r="BS241" s="329">
        <f t="shared" si="716"/>
        <v>-2.6217228464419477E-2</v>
      </c>
      <c r="BT241" s="329">
        <f t="shared" si="716"/>
        <v>9.0666666666666673E-2</v>
      </c>
      <c r="BU241" s="329">
        <f t="shared" si="716"/>
        <v>-1.0582010582010581E-2</v>
      </c>
      <c r="BV241" s="612">
        <f t="shared" si="717"/>
        <v>6.9053708439897693E-2</v>
      </c>
      <c r="BW241" s="329">
        <f t="shared" si="717"/>
        <v>9.5652173913043481E-2</v>
      </c>
      <c r="BX241" s="329">
        <f t="shared" si="717"/>
        <v>-1.1818181818181819</v>
      </c>
      <c r="BY241" s="329">
        <f t="shared" si="717"/>
        <v>0.12367491166077739</v>
      </c>
      <c r="BZ241" s="329">
        <f t="shared" si="717"/>
        <v>0.14899713467048711</v>
      </c>
      <c r="CA241" s="612">
        <f t="shared" si="717"/>
        <v>0.24240135925995845</v>
      </c>
      <c r="CB241" s="329">
        <f t="shared" si="717"/>
        <v>0.13636363636363635</v>
      </c>
      <c r="CC241" s="329">
        <f t="shared" si="717"/>
        <v>0.15424610051993068</v>
      </c>
      <c r="CD241" s="329" t="str">
        <f t="shared" si="717"/>
        <v/>
      </c>
      <c r="CE241" s="329" t="str">
        <f t="shared" si="717"/>
        <v/>
      </c>
      <c r="CF241" s="612"/>
      <c r="CG241" s="329" t="str">
        <f t="shared" si="718"/>
        <v/>
      </c>
      <c r="CH241" s="329" t="str">
        <f t="shared" si="718"/>
        <v/>
      </c>
      <c r="CI241" s="329" t="str">
        <f t="shared" si="718"/>
        <v/>
      </c>
      <c r="CJ241" s="329" t="str">
        <f t="shared" si="718"/>
        <v/>
      </c>
      <c r="CK241" s="612"/>
      <c r="CL241" s="329" t="str">
        <f t="shared" si="719"/>
        <v/>
      </c>
      <c r="CM241" s="329" t="str">
        <f t="shared" si="719"/>
        <v/>
      </c>
      <c r="CN241" s="329" t="str">
        <f t="shared" si="719"/>
        <v/>
      </c>
      <c r="CO241" s="329" t="str">
        <f t="shared" si="719"/>
        <v/>
      </c>
      <c r="CP241" s="612"/>
      <c r="CQ241" s="329" t="str">
        <f t="shared" si="720"/>
        <v/>
      </c>
      <c r="CR241" s="329" t="str">
        <f t="shared" si="720"/>
        <v/>
      </c>
      <c r="CS241" s="329" t="str">
        <f t="shared" si="720"/>
        <v/>
      </c>
      <c r="CT241" s="329" t="str">
        <f t="shared" si="720"/>
        <v/>
      </c>
      <c r="CU241" s="612"/>
      <c r="CV241" s="329" t="str">
        <f t="shared" si="721"/>
        <v/>
      </c>
      <c r="CW241" s="329" t="str">
        <f t="shared" si="721"/>
        <v/>
      </c>
      <c r="CX241" s="329" t="str">
        <f t="shared" si="721"/>
        <v/>
      </c>
      <c r="CY241" s="329" t="str">
        <f t="shared" si="721"/>
        <v/>
      </c>
      <c r="CZ241" s="612"/>
      <c r="DA241" s="329" t="str">
        <f t="shared" si="722"/>
        <v/>
      </c>
      <c r="DB241" s="329" t="str">
        <f t="shared" si="722"/>
        <v/>
      </c>
      <c r="DC241" s="329" t="str">
        <f t="shared" si="722"/>
        <v/>
      </c>
      <c r="DD241" s="329" t="str">
        <f t="shared" si="722"/>
        <v/>
      </c>
      <c r="DE241" s="612"/>
      <c r="DF241" s="329" t="str">
        <f t="shared" si="723"/>
        <v/>
      </c>
      <c r="DG241" s="329" t="str">
        <f t="shared" si="723"/>
        <v/>
      </c>
      <c r="DH241" s="329" t="str">
        <f t="shared" si="723"/>
        <v/>
      </c>
      <c r="DI241" s="329" t="str">
        <f t="shared" si="723"/>
        <v/>
      </c>
      <c r="DJ241" s="612" t="str">
        <f t="shared" si="723"/>
        <v/>
      </c>
      <c r="DK241" s="329" t="str">
        <f t="shared" si="723"/>
        <v/>
      </c>
      <c r="DL241" s="329" t="str">
        <f t="shared" si="723"/>
        <v/>
      </c>
      <c r="DM241" s="329" t="str">
        <f t="shared" si="723"/>
        <v/>
      </c>
      <c r="DN241" s="329" t="str">
        <f t="shared" si="723"/>
        <v/>
      </c>
      <c r="DO241" s="612" t="str">
        <f t="shared" si="723"/>
        <v/>
      </c>
      <c r="DP241" s="329" t="str">
        <f t="shared" si="724"/>
        <v/>
      </c>
      <c r="DQ241" s="329" t="str">
        <f t="shared" si="724"/>
        <v/>
      </c>
      <c r="DR241" s="329" t="str">
        <f t="shared" si="724"/>
        <v/>
      </c>
      <c r="DS241" s="329" t="str">
        <f t="shared" si="724"/>
        <v/>
      </c>
      <c r="DT241" s="612" t="str">
        <f t="shared" si="724"/>
        <v/>
      </c>
      <c r="DU241" s="329" t="str">
        <f t="shared" si="724"/>
        <v/>
      </c>
      <c r="DV241" s="329" t="str">
        <f t="shared" si="724"/>
        <v/>
      </c>
      <c r="DW241" s="329" t="str">
        <f t="shared" si="724"/>
        <v/>
      </c>
      <c r="DX241" s="329" t="str">
        <f t="shared" si="724"/>
        <v/>
      </c>
      <c r="DY241" s="612" t="str">
        <f t="shared" si="724"/>
        <v/>
      </c>
      <c r="DZ241" s="612" t="str">
        <f t="shared" si="725"/>
        <v/>
      </c>
      <c r="EA241" s="612" t="str">
        <f t="shared" si="725"/>
        <v/>
      </c>
      <c r="EB241" s="612" t="str">
        <f t="shared" si="725"/>
        <v/>
      </c>
    </row>
    <row r="242" spans="2:132" s="241" customFormat="1" ht="12" hidden="1" customHeight="1" outlineLevel="2">
      <c r="B242" s="317" t="s">
        <v>130</v>
      </c>
      <c r="C242" s="301" t="str">
        <f t="shared" si="710"/>
        <v/>
      </c>
      <c r="D242" s="301" t="str">
        <f t="shared" si="710"/>
        <v/>
      </c>
      <c r="E242" s="301" t="str">
        <f t="shared" si="710"/>
        <v/>
      </c>
      <c r="F242" s="301" t="str">
        <f t="shared" si="710"/>
        <v/>
      </c>
      <c r="G242" s="301">
        <f t="shared" si="710"/>
        <v>0.10778067885117494</v>
      </c>
      <c r="H242" s="301">
        <f t="shared" si="710"/>
        <v>0.23843058350100604</v>
      </c>
      <c r="I242" s="301">
        <f t="shared" si="710"/>
        <v>0.7766497461928934</v>
      </c>
      <c r="J242" s="242"/>
      <c r="K242" s="242"/>
      <c r="L242" s="242"/>
      <c r="M242" s="242"/>
      <c r="N242" s="301">
        <f t="shared" ref="N242:W247" si="726">IF(ISERROR((N172-I172)/(N41-I41)),"",(N172-I172)/(N41-I41))</f>
        <v>0.34076433121019106</v>
      </c>
      <c r="O242" s="242">
        <f t="shared" si="726"/>
        <v>0.32317073170731708</v>
      </c>
      <c r="P242" s="242">
        <f t="shared" si="726"/>
        <v>0.13834951456310679</v>
      </c>
      <c r="Q242" s="242">
        <f t="shared" si="726"/>
        <v>0.19681908548707752</v>
      </c>
      <c r="R242" s="242">
        <f t="shared" si="726"/>
        <v>0.46695095948827292</v>
      </c>
      <c r="S242" s="301">
        <f t="shared" si="726"/>
        <v>1.42</v>
      </c>
      <c r="T242" s="242">
        <f t="shared" si="726"/>
        <v>0.13739324173783884</v>
      </c>
      <c r="U242" s="242">
        <f t="shared" si="726"/>
        <v>0.14327485380116958</v>
      </c>
      <c r="V242" s="242">
        <f t="shared" si="726"/>
        <v>0.14957264957264957</v>
      </c>
      <c r="W242" s="242">
        <f t="shared" si="726"/>
        <v>0.16489190061310099</v>
      </c>
      <c r="X242" s="301">
        <f t="shared" ref="X242:AG247" si="727">IF(ISERROR((X172-S172)/(X41-S41)),"",(X172-S172)/(X41-S41))</f>
        <v>0.14916113247116392</v>
      </c>
      <c r="Y242" s="242" t="str">
        <f t="shared" si="727"/>
        <v/>
      </c>
      <c r="Z242" s="242" t="str">
        <f t="shared" si="727"/>
        <v/>
      </c>
      <c r="AA242" s="242" t="str">
        <f t="shared" si="727"/>
        <v/>
      </c>
      <c r="AB242" s="242" t="str">
        <f t="shared" si="727"/>
        <v/>
      </c>
      <c r="AC242" s="301" t="str">
        <f t="shared" si="727"/>
        <v/>
      </c>
      <c r="AD242" s="242" t="str">
        <f t="shared" si="727"/>
        <v/>
      </c>
      <c r="AE242" s="242" t="str">
        <f t="shared" si="727"/>
        <v/>
      </c>
      <c r="AF242" s="242" t="str">
        <f t="shared" si="727"/>
        <v/>
      </c>
      <c r="AG242" s="242" t="str">
        <f t="shared" si="727"/>
        <v/>
      </c>
      <c r="AH242" s="301" t="str">
        <f t="shared" ref="AH242:AQ247" si="728">IF(ISERROR((AH172-AC172)/(AH41-AC41)),"",(AH172-AC172)/(AH41-AC41))</f>
        <v/>
      </c>
      <c r="AI242" s="242" t="str">
        <f t="shared" si="728"/>
        <v/>
      </c>
      <c r="AJ242" s="242" t="str">
        <f t="shared" si="728"/>
        <v/>
      </c>
      <c r="AK242" s="242" t="str">
        <f t="shared" si="728"/>
        <v/>
      </c>
      <c r="AL242" s="242" t="str">
        <f t="shared" si="728"/>
        <v/>
      </c>
      <c r="AM242" s="301" t="str">
        <f t="shared" si="728"/>
        <v/>
      </c>
      <c r="AN242" s="242" t="str">
        <f t="shared" si="728"/>
        <v/>
      </c>
      <c r="AO242" s="242" t="str">
        <f t="shared" si="728"/>
        <v/>
      </c>
      <c r="AP242" s="242" t="str">
        <f t="shared" si="728"/>
        <v/>
      </c>
      <c r="AQ242" s="242" t="str">
        <f t="shared" si="728"/>
        <v/>
      </c>
      <c r="AR242" s="301" t="str">
        <f t="shared" ref="AR242:AR247" si="729">IF(ISERROR((AR172-AM172)/(AR41-AM41)),"",(AR172-AM172)/(AR41-AM41))</f>
        <v/>
      </c>
      <c r="AS242" s="242"/>
      <c r="AT242" s="242"/>
      <c r="AU242" s="242"/>
      <c r="AV242" s="242"/>
      <c r="AW242" s="301" t="str">
        <f t="shared" ref="AW242:AW247" si="730">IF(ISERROR((AW172-AR172)/(AW41-AR41)),"",(AW172-AR172)/(AW41-AR41))</f>
        <v/>
      </c>
      <c r="AX242" s="242"/>
      <c r="AY242" s="242"/>
      <c r="AZ242" s="242"/>
      <c r="BA242" s="242"/>
      <c r="BB242" s="301" t="str">
        <f t="shared" ref="BB242:BB247" si="731">IF(ISERROR((BB172-AW172)/(BB41-AW41)),"",(BB172-AW172)/(BB41-AW41))</f>
        <v/>
      </c>
      <c r="BC242" s="242"/>
      <c r="BD242" s="242"/>
      <c r="BE242" s="242"/>
      <c r="BF242" s="242"/>
      <c r="BG242" s="301" t="str">
        <f t="shared" ref="BG242:BG247" si="732">IF(ISERROR((BG172-BB172)/(BG41-BB41)),"",(BG172-BB172)/(BG41-BB41))</f>
        <v/>
      </c>
      <c r="BH242" s="145"/>
      <c r="BI242" s="145"/>
      <c r="BJ242" s="145"/>
      <c r="BK242" s="145"/>
      <c r="BL242" s="144" t="str">
        <f t="shared" ref="BL242:BL247" si="733">IF(ISERROR((BL172-BG172)/(BL41-BG41)),"",(BL172-BG172)/(BL41-BG41))</f>
        <v/>
      </c>
      <c r="BM242" s="145"/>
      <c r="BN242" s="145"/>
      <c r="BO242" s="145"/>
      <c r="BP242" s="145"/>
      <c r="BQ242" s="144" t="str">
        <f t="shared" ref="BQ242:BQ247" si="734">IF(ISERROR((BQ172-BL172)/(BQ41-BL41)),"",(BQ172-BL172)/(BQ41-BL41))</f>
        <v/>
      </c>
      <c r="BR242" s="145"/>
      <c r="BS242" s="145"/>
      <c r="BT242" s="145"/>
      <c r="BU242" s="145"/>
      <c r="BV242" s="144" t="str">
        <f t="shared" ref="BV242:BV247" si="735">IF(ISERROR((BV172-BQ172)/(BV41-BQ41)),"",(BV172-BQ172)/(BV41-BQ41))</f>
        <v/>
      </c>
      <c r="BW242" s="145"/>
      <c r="BX242" s="145"/>
      <c r="BY242" s="145"/>
      <c r="BZ242" s="145"/>
      <c r="CA242" s="144" t="str">
        <f t="shared" ref="CA242:CA247" si="736">IF(ISERROR((CA172-BV172)/(CA41-BV41)),"",(CA172-BV172)/(CA41-BV41))</f>
        <v/>
      </c>
      <c r="CB242" s="145"/>
      <c r="CC242" s="145"/>
      <c r="CD242" s="145"/>
      <c r="CE242" s="145"/>
      <c r="CF242" s="144" t="str">
        <f t="shared" ref="CF242:CF247" si="737">IF(ISERROR((CF172-CA172)/(CF41-CA41)),"",(CF172-CA172)/(CF41-CA41))</f>
        <v/>
      </c>
      <c r="CG242" s="145"/>
      <c r="CH242" s="145"/>
      <c r="CI242" s="145"/>
      <c r="CJ242" s="145"/>
      <c r="CK242" s="144" t="str">
        <f t="shared" ref="CK242:CK247" si="738">IF(ISERROR((CK172-CF172)/(CK41-CF41)),"",(CK172-CF172)/(CK41-CF41))</f>
        <v/>
      </c>
      <c r="CL242" s="145"/>
      <c r="CM242" s="145"/>
      <c r="CN242" s="145"/>
      <c r="CO242" s="145"/>
      <c r="CP242" s="144" t="str">
        <f t="shared" ref="CP242:CP247" si="739">IF(ISERROR((CP172-CK172)/(CP41-CK41)),"",(CP172-CK172)/(CP41-CK41))</f>
        <v/>
      </c>
      <c r="CQ242" s="145"/>
      <c r="CR242" s="145"/>
      <c r="CS242" s="145"/>
      <c r="CT242" s="145"/>
      <c r="CU242" s="144" t="str">
        <f t="shared" ref="CU242:CU247" si="740">IF(ISERROR((CU172-CP172)/(CU41-CP41)),"",(CU172-CP172)/(CU41-CP41))</f>
        <v/>
      </c>
      <c r="CV242" s="145"/>
      <c r="CW242" s="145"/>
      <c r="CX242" s="145"/>
      <c r="CY242" s="145"/>
      <c r="CZ242" s="144" t="str">
        <f t="shared" ref="CZ242:CZ247" si="741">IF(ISERROR((CZ172-CU172)/(CZ41-CU41)),"",(CZ172-CU172)/(CZ41-CU41))</f>
        <v/>
      </c>
      <c r="DA242" s="145"/>
      <c r="DB242" s="145"/>
      <c r="DC242" s="145"/>
      <c r="DD242" s="145"/>
      <c r="DE242" s="144" t="str">
        <f t="shared" ref="DE242:DE247" si="742">IF(ISERROR((DE172-CZ172)/(DE41-CZ41)),"",(DE172-CZ172)/(DE41-CZ41))</f>
        <v/>
      </c>
      <c r="DF242" s="145"/>
      <c r="DG242" s="145"/>
      <c r="DH242" s="145"/>
      <c r="DI242" s="145"/>
      <c r="DJ242" s="144"/>
      <c r="DK242" s="145"/>
      <c r="DL242" s="145"/>
      <c r="DM242" s="145"/>
      <c r="DN242" s="145"/>
      <c r="DO242" s="144"/>
      <c r="DP242" s="145"/>
      <c r="DQ242" s="145"/>
      <c r="DR242" s="145"/>
      <c r="DS242" s="145"/>
      <c r="DT242" s="144"/>
      <c r="DU242" s="145"/>
      <c r="DV242" s="145"/>
      <c r="DW242" s="145"/>
      <c r="DX242" s="145"/>
      <c r="DY242" s="144"/>
      <c r="DZ242" s="144"/>
      <c r="EA242" s="144"/>
      <c r="EB242" s="144"/>
    </row>
    <row r="243" spans="2:132" s="241" customFormat="1" ht="12" hidden="1" customHeight="1" outlineLevel="2">
      <c r="B243" s="317" t="s">
        <v>131</v>
      </c>
      <c r="C243" s="301" t="str">
        <f t="shared" si="710"/>
        <v/>
      </c>
      <c r="D243" s="301" t="str">
        <f t="shared" si="710"/>
        <v/>
      </c>
      <c r="E243" s="301" t="str">
        <f t="shared" si="710"/>
        <v/>
      </c>
      <c r="F243" s="301" t="str">
        <f t="shared" si="710"/>
        <v/>
      </c>
      <c r="G243" s="301">
        <f t="shared" si="710"/>
        <v>8.0709979906229065E-2</v>
      </c>
      <c r="H243" s="301">
        <f t="shared" si="710"/>
        <v>2.9892573563755253E-2</v>
      </c>
      <c r="I243" s="301">
        <f t="shared" si="710"/>
        <v>6.2942564909520063E-2</v>
      </c>
      <c r="J243" s="242"/>
      <c r="K243" s="242"/>
      <c r="L243" s="242"/>
      <c r="M243" s="242"/>
      <c r="N243" s="301">
        <f t="shared" si="726"/>
        <v>0.17919921875</v>
      </c>
      <c r="O243" s="242">
        <f t="shared" si="726"/>
        <v>8.0604534005037781E-2</v>
      </c>
      <c r="P243" s="242">
        <f t="shared" si="726"/>
        <v>-1.7058823529411764</v>
      </c>
      <c r="Q243" s="242">
        <f t="shared" si="726"/>
        <v>0.42338709677419356</v>
      </c>
      <c r="R243" s="242">
        <f t="shared" si="726"/>
        <v>1.1553398058252426</v>
      </c>
      <c r="S243" s="301">
        <f t="shared" si="726"/>
        <v>2.1130952380952381</v>
      </c>
      <c r="T243" s="242">
        <f t="shared" si="726"/>
        <v>7.4009728978457257E-2</v>
      </c>
      <c r="U243" s="242">
        <f t="shared" si="726"/>
        <v>6.0529177238129755E-2</v>
      </c>
      <c r="V243" s="242">
        <f t="shared" si="726"/>
        <v>3.3978808914870297E-2</v>
      </c>
      <c r="W243" s="242">
        <f t="shared" si="726"/>
        <v>5.7093425605536333E-2</v>
      </c>
      <c r="X243" s="301">
        <f t="shared" si="727"/>
        <v>5.6640625E-2</v>
      </c>
      <c r="Y243" s="242" t="str">
        <f t="shared" si="727"/>
        <v/>
      </c>
      <c r="Z243" s="242" t="str">
        <f t="shared" si="727"/>
        <v/>
      </c>
      <c r="AA243" s="242" t="str">
        <f t="shared" si="727"/>
        <v/>
      </c>
      <c r="AB243" s="242" t="str">
        <f t="shared" si="727"/>
        <v/>
      </c>
      <c r="AC243" s="301" t="str">
        <f t="shared" si="727"/>
        <v/>
      </c>
      <c r="AD243" s="242" t="str">
        <f t="shared" si="727"/>
        <v/>
      </c>
      <c r="AE243" s="242" t="str">
        <f t="shared" si="727"/>
        <v/>
      </c>
      <c r="AF243" s="242" t="str">
        <f t="shared" si="727"/>
        <v/>
      </c>
      <c r="AG243" s="242" t="str">
        <f t="shared" si="727"/>
        <v/>
      </c>
      <c r="AH243" s="301" t="str">
        <f t="shared" si="728"/>
        <v/>
      </c>
      <c r="AI243" s="242" t="str">
        <f t="shared" si="728"/>
        <v/>
      </c>
      <c r="AJ243" s="242" t="str">
        <f t="shared" si="728"/>
        <v/>
      </c>
      <c r="AK243" s="242" t="str">
        <f t="shared" si="728"/>
        <v/>
      </c>
      <c r="AL243" s="242" t="str">
        <f t="shared" si="728"/>
        <v/>
      </c>
      <c r="AM243" s="301" t="str">
        <f t="shared" si="728"/>
        <v/>
      </c>
      <c r="AN243" s="242" t="str">
        <f t="shared" si="728"/>
        <v/>
      </c>
      <c r="AO243" s="242" t="str">
        <f t="shared" si="728"/>
        <v/>
      </c>
      <c r="AP243" s="242" t="str">
        <f t="shared" si="728"/>
        <v/>
      </c>
      <c r="AQ243" s="242" t="str">
        <f t="shared" si="728"/>
        <v/>
      </c>
      <c r="AR243" s="301" t="str">
        <f t="shared" si="729"/>
        <v/>
      </c>
      <c r="AS243" s="242"/>
      <c r="AT243" s="242"/>
      <c r="AU243" s="242"/>
      <c r="AV243" s="242"/>
      <c r="AW243" s="301" t="str">
        <f t="shared" si="730"/>
        <v/>
      </c>
      <c r="AX243" s="242"/>
      <c r="AY243" s="242"/>
      <c r="AZ243" s="242"/>
      <c r="BA243" s="242"/>
      <c r="BB243" s="301" t="str">
        <f t="shared" si="731"/>
        <v/>
      </c>
      <c r="BC243" s="242"/>
      <c r="BD243" s="242"/>
      <c r="BE243" s="242"/>
      <c r="BF243" s="242"/>
      <c r="BG243" s="301" t="str">
        <f t="shared" si="732"/>
        <v/>
      </c>
      <c r="BH243" s="145"/>
      <c r="BI243" s="145"/>
      <c r="BJ243" s="145"/>
      <c r="BK243" s="145"/>
      <c r="BL243" s="144" t="str">
        <f t="shared" si="733"/>
        <v/>
      </c>
      <c r="BM243" s="145"/>
      <c r="BN243" s="145"/>
      <c r="BO243" s="145"/>
      <c r="BP243" s="145"/>
      <c r="BQ243" s="144" t="str">
        <f t="shared" si="734"/>
        <v/>
      </c>
      <c r="BR243" s="145"/>
      <c r="BS243" s="145"/>
      <c r="BT243" s="145"/>
      <c r="BU243" s="145"/>
      <c r="BV243" s="144" t="str">
        <f t="shared" si="735"/>
        <v/>
      </c>
      <c r="BW243" s="145"/>
      <c r="BX243" s="145"/>
      <c r="BY243" s="145"/>
      <c r="BZ243" s="145"/>
      <c r="CA243" s="144" t="str">
        <f t="shared" si="736"/>
        <v/>
      </c>
      <c r="CB243" s="145"/>
      <c r="CC243" s="145"/>
      <c r="CD243" s="145"/>
      <c r="CE243" s="145"/>
      <c r="CF243" s="144" t="str">
        <f t="shared" si="737"/>
        <v/>
      </c>
      <c r="CG243" s="145"/>
      <c r="CH243" s="145"/>
      <c r="CI243" s="145"/>
      <c r="CJ243" s="145"/>
      <c r="CK243" s="144" t="str">
        <f t="shared" si="738"/>
        <v/>
      </c>
      <c r="CL243" s="145"/>
      <c r="CM243" s="145"/>
      <c r="CN243" s="145"/>
      <c r="CO243" s="145"/>
      <c r="CP243" s="144" t="str">
        <f t="shared" si="739"/>
        <v/>
      </c>
      <c r="CQ243" s="145"/>
      <c r="CR243" s="145"/>
      <c r="CS243" s="145"/>
      <c r="CT243" s="145"/>
      <c r="CU243" s="144" t="str">
        <f t="shared" si="740"/>
        <v/>
      </c>
      <c r="CV243" s="145"/>
      <c r="CW243" s="145"/>
      <c r="CX243" s="145"/>
      <c r="CY243" s="145"/>
      <c r="CZ243" s="144" t="str">
        <f t="shared" si="741"/>
        <v/>
      </c>
      <c r="DA243" s="145"/>
      <c r="DB243" s="145"/>
      <c r="DC243" s="145"/>
      <c r="DD243" s="145"/>
      <c r="DE243" s="144" t="str">
        <f t="shared" si="742"/>
        <v/>
      </c>
      <c r="DF243" s="145"/>
      <c r="DG243" s="145"/>
      <c r="DH243" s="145"/>
      <c r="DI243" s="145"/>
      <c r="DJ243" s="144"/>
      <c r="DK243" s="145"/>
      <c r="DL243" s="145"/>
      <c r="DM243" s="145"/>
      <c r="DN243" s="145"/>
      <c r="DO243" s="144"/>
      <c r="DP243" s="145"/>
      <c r="DQ243" s="145"/>
      <c r="DR243" s="145"/>
      <c r="DS243" s="145"/>
      <c r="DT243" s="144"/>
      <c r="DU243" s="145"/>
      <c r="DV243" s="145"/>
      <c r="DW243" s="145"/>
      <c r="DX243" s="145"/>
      <c r="DY243" s="144"/>
      <c r="DZ243" s="144"/>
      <c r="EA243" s="144"/>
      <c r="EB243" s="144"/>
    </row>
    <row r="244" spans="2:132" s="241" customFormat="1" ht="12" hidden="1" customHeight="1" outlineLevel="2">
      <c r="B244" s="317" t="s">
        <v>125</v>
      </c>
      <c r="C244" s="301" t="str">
        <f t="shared" si="710"/>
        <v/>
      </c>
      <c r="D244" s="301" t="str">
        <f t="shared" si="710"/>
        <v/>
      </c>
      <c r="E244" s="301" t="str">
        <f t="shared" si="710"/>
        <v/>
      </c>
      <c r="F244" s="301" t="str">
        <f t="shared" si="710"/>
        <v/>
      </c>
      <c r="G244" s="301">
        <f t="shared" si="710"/>
        <v>0.10371886728079154</v>
      </c>
      <c r="H244" s="301">
        <f t="shared" si="710"/>
        <v>0.1301989150090416</v>
      </c>
      <c r="I244" s="301">
        <f t="shared" si="710"/>
        <v>0.1306122448979592</v>
      </c>
      <c r="J244" s="242"/>
      <c r="K244" s="242"/>
      <c r="L244" s="242"/>
      <c r="M244" s="242"/>
      <c r="N244" s="301">
        <f t="shared" si="726"/>
        <v>0.36807095343680707</v>
      </c>
      <c r="O244" s="242">
        <f t="shared" si="726"/>
        <v>0.3968253968253968</v>
      </c>
      <c r="P244" s="242">
        <f t="shared" si="726"/>
        <v>0.5</v>
      </c>
      <c r="Q244" s="242">
        <f t="shared" si="726"/>
        <v>3.6496350364963501E-2</v>
      </c>
      <c r="R244" s="242">
        <f t="shared" si="726"/>
        <v>0.19920318725099601</v>
      </c>
      <c r="S244" s="301">
        <f t="shared" si="726"/>
        <v>0.18898809523809523</v>
      </c>
      <c r="T244" s="242">
        <f t="shared" si="726"/>
        <v>0.14444444444444443</v>
      </c>
      <c r="U244" s="242">
        <f t="shared" si="726"/>
        <v>0.15131022823330514</v>
      </c>
      <c r="V244" s="242">
        <f t="shared" si="726"/>
        <v>0.13704496788008566</v>
      </c>
      <c r="W244" s="242">
        <f t="shared" si="726"/>
        <v>0.14168765743073047</v>
      </c>
      <c r="X244" s="301">
        <f t="shared" si="727"/>
        <v>0.14320479221265445</v>
      </c>
      <c r="Y244" s="242" t="str">
        <f t="shared" si="727"/>
        <v/>
      </c>
      <c r="Z244" s="242" t="str">
        <f t="shared" si="727"/>
        <v/>
      </c>
      <c r="AA244" s="242" t="str">
        <f t="shared" si="727"/>
        <v/>
      </c>
      <c r="AB244" s="242" t="str">
        <f t="shared" si="727"/>
        <v/>
      </c>
      <c r="AC244" s="301" t="str">
        <f t="shared" si="727"/>
        <v/>
      </c>
      <c r="AD244" s="242" t="str">
        <f t="shared" si="727"/>
        <v/>
      </c>
      <c r="AE244" s="242" t="str">
        <f t="shared" si="727"/>
        <v/>
      </c>
      <c r="AF244" s="242" t="str">
        <f t="shared" si="727"/>
        <v/>
      </c>
      <c r="AG244" s="242" t="str">
        <f t="shared" si="727"/>
        <v/>
      </c>
      <c r="AH244" s="301" t="str">
        <f t="shared" si="728"/>
        <v/>
      </c>
      <c r="AI244" s="242" t="str">
        <f t="shared" si="728"/>
        <v/>
      </c>
      <c r="AJ244" s="242" t="str">
        <f t="shared" si="728"/>
        <v/>
      </c>
      <c r="AK244" s="242" t="str">
        <f t="shared" si="728"/>
        <v/>
      </c>
      <c r="AL244" s="242" t="str">
        <f t="shared" si="728"/>
        <v/>
      </c>
      <c r="AM244" s="301" t="str">
        <f t="shared" si="728"/>
        <v/>
      </c>
      <c r="AN244" s="242" t="str">
        <f t="shared" si="728"/>
        <v/>
      </c>
      <c r="AO244" s="242" t="str">
        <f t="shared" si="728"/>
        <v/>
      </c>
      <c r="AP244" s="242" t="str">
        <f t="shared" si="728"/>
        <v/>
      </c>
      <c r="AQ244" s="242" t="str">
        <f t="shared" si="728"/>
        <v/>
      </c>
      <c r="AR244" s="301" t="str">
        <f t="shared" si="729"/>
        <v/>
      </c>
      <c r="AS244" s="242"/>
      <c r="AT244" s="242"/>
      <c r="AU244" s="242"/>
      <c r="AV244" s="242"/>
      <c r="AW244" s="301" t="str">
        <f t="shared" si="730"/>
        <v/>
      </c>
      <c r="AX244" s="242"/>
      <c r="AY244" s="242"/>
      <c r="AZ244" s="242"/>
      <c r="BA244" s="242"/>
      <c r="BB244" s="301" t="str">
        <f t="shared" si="731"/>
        <v/>
      </c>
      <c r="BC244" s="242"/>
      <c r="BD244" s="242"/>
      <c r="BE244" s="242"/>
      <c r="BF244" s="242"/>
      <c r="BG244" s="301" t="str">
        <f t="shared" si="732"/>
        <v/>
      </c>
      <c r="BH244" s="145"/>
      <c r="BI244" s="145"/>
      <c r="BJ244" s="145"/>
      <c r="BK244" s="145"/>
      <c r="BL244" s="144" t="str">
        <f t="shared" si="733"/>
        <v/>
      </c>
      <c r="BM244" s="145"/>
      <c r="BN244" s="145"/>
      <c r="BO244" s="145"/>
      <c r="BP244" s="145"/>
      <c r="BQ244" s="144" t="str">
        <f t="shared" si="734"/>
        <v/>
      </c>
      <c r="BR244" s="145"/>
      <c r="BS244" s="145"/>
      <c r="BT244" s="145"/>
      <c r="BU244" s="145"/>
      <c r="BV244" s="144" t="str">
        <f t="shared" si="735"/>
        <v/>
      </c>
      <c r="BW244" s="145"/>
      <c r="BX244" s="145"/>
      <c r="BY244" s="145"/>
      <c r="BZ244" s="145"/>
      <c r="CA244" s="144" t="str">
        <f t="shared" si="736"/>
        <v/>
      </c>
      <c r="CB244" s="145"/>
      <c r="CC244" s="145"/>
      <c r="CD244" s="145"/>
      <c r="CE244" s="145"/>
      <c r="CF244" s="144" t="str">
        <f t="shared" si="737"/>
        <v/>
      </c>
      <c r="CG244" s="145"/>
      <c r="CH244" s="145"/>
      <c r="CI244" s="145"/>
      <c r="CJ244" s="145"/>
      <c r="CK244" s="144" t="str">
        <f t="shared" si="738"/>
        <v/>
      </c>
      <c r="CL244" s="145"/>
      <c r="CM244" s="145"/>
      <c r="CN244" s="145"/>
      <c r="CO244" s="145"/>
      <c r="CP244" s="144" t="str">
        <f t="shared" si="739"/>
        <v/>
      </c>
      <c r="CQ244" s="145"/>
      <c r="CR244" s="145"/>
      <c r="CS244" s="145"/>
      <c r="CT244" s="145"/>
      <c r="CU244" s="144" t="str">
        <f t="shared" si="740"/>
        <v/>
      </c>
      <c r="CV244" s="145"/>
      <c r="CW244" s="145"/>
      <c r="CX244" s="145"/>
      <c r="CY244" s="145"/>
      <c r="CZ244" s="144" t="str">
        <f t="shared" si="741"/>
        <v/>
      </c>
      <c r="DA244" s="145"/>
      <c r="DB244" s="145"/>
      <c r="DC244" s="145"/>
      <c r="DD244" s="145"/>
      <c r="DE244" s="144" t="str">
        <f t="shared" si="742"/>
        <v/>
      </c>
      <c r="DF244" s="145"/>
      <c r="DG244" s="145"/>
      <c r="DH244" s="145"/>
      <c r="DI244" s="145"/>
      <c r="DJ244" s="144"/>
      <c r="DK244" s="145"/>
      <c r="DL244" s="145"/>
      <c r="DM244" s="145"/>
      <c r="DN244" s="145"/>
      <c r="DO244" s="144"/>
      <c r="DP244" s="145"/>
      <c r="DQ244" s="145"/>
      <c r="DR244" s="145"/>
      <c r="DS244" s="145"/>
      <c r="DT244" s="144"/>
      <c r="DU244" s="145"/>
      <c r="DV244" s="145"/>
      <c r="DW244" s="145"/>
      <c r="DX244" s="145"/>
      <c r="DY244" s="144"/>
      <c r="DZ244" s="144"/>
      <c r="EA244" s="144"/>
      <c r="EB244" s="144"/>
    </row>
    <row r="245" spans="2:132" s="241" customFormat="1" ht="12" hidden="1" customHeight="1" outlineLevel="2">
      <c r="B245" s="318" t="s">
        <v>132</v>
      </c>
      <c r="C245" s="328" t="str">
        <f t="shared" si="710"/>
        <v/>
      </c>
      <c r="D245" s="328" t="str">
        <f t="shared" si="710"/>
        <v/>
      </c>
      <c r="E245" s="328" t="str">
        <f t="shared" si="710"/>
        <v/>
      </c>
      <c r="F245" s="328" t="str">
        <f t="shared" si="710"/>
        <v/>
      </c>
      <c r="G245" s="328">
        <f t="shared" si="710"/>
        <v>3.3894397048651138E-2</v>
      </c>
      <c r="H245" s="328">
        <f t="shared" si="710"/>
        <v>0.2128072445019405</v>
      </c>
      <c r="I245" s="328">
        <f t="shared" si="710"/>
        <v>-7.8208955223880601</v>
      </c>
      <c r="J245" s="329"/>
      <c r="K245" s="329"/>
      <c r="L245" s="329"/>
      <c r="M245" s="329"/>
      <c r="N245" s="328">
        <f t="shared" si="726"/>
        <v>-61.391304347826086</v>
      </c>
      <c r="O245" s="329">
        <f t="shared" si="726"/>
        <v>-26.333333333333332</v>
      </c>
      <c r="P245" s="329">
        <f t="shared" si="726"/>
        <v>1.58</v>
      </c>
      <c r="Q245" s="329">
        <f t="shared" si="726"/>
        <v>-5.1372549019607847</v>
      </c>
      <c r="R245" s="329">
        <f t="shared" si="726"/>
        <v>-0.83193277310924374</v>
      </c>
      <c r="S245" s="328">
        <f t="shared" si="726"/>
        <v>-4.9210526315789478</v>
      </c>
      <c r="T245" s="329">
        <f t="shared" si="726"/>
        <v>0.11845386533665836</v>
      </c>
      <c r="U245" s="329">
        <f t="shared" si="726"/>
        <v>4.0166204986149583E-2</v>
      </c>
      <c r="V245" s="329">
        <f t="shared" si="726"/>
        <v>0.94618834080717484</v>
      </c>
      <c r="W245" s="329">
        <f t="shared" si="726"/>
        <v>4.1970802919708027E-2</v>
      </c>
      <c r="X245" s="328">
        <f t="shared" si="727"/>
        <v>0.28456767603064576</v>
      </c>
      <c r="Y245" s="329" t="str">
        <f t="shared" si="727"/>
        <v/>
      </c>
      <c r="Z245" s="329" t="str">
        <f t="shared" si="727"/>
        <v/>
      </c>
      <c r="AA245" s="329" t="str">
        <f t="shared" si="727"/>
        <v/>
      </c>
      <c r="AB245" s="329" t="str">
        <f t="shared" si="727"/>
        <v/>
      </c>
      <c r="AC245" s="328" t="str">
        <f t="shared" si="727"/>
        <v/>
      </c>
      <c r="AD245" s="329" t="str">
        <f t="shared" si="727"/>
        <v/>
      </c>
      <c r="AE245" s="329" t="str">
        <f t="shared" si="727"/>
        <v/>
      </c>
      <c r="AF245" s="329" t="str">
        <f t="shared" si="727"/>
        <v/>
      </c>
      <c r="AG245" s="329" t="str">
        <f t="shared" si="727"/>
        <v/>
      </c>
      <c r="AH245" s="328" t="str">
        <f t="shared" si="728"/>
        <v/>
      </c>
      <c r="AI245" s="329" t="str">
        <f t="shared" si="728"/>
        <v/>
      </c>
      <c r="AJ245" s="329" t="str">
        <f t="shared" si="728"/>
        <v/>
      </c>
      <c r="AK245" s="329" t="str">
        <f t="shared" si="728"/>
        <v/>
      </c>
      <c r="AL245" s="329" t="str">
        <f t="shared" si="728"/>
        <v/>
      </c>
      <c r="AM245" s="328" t="str">
        <f t="shared" si="728"/>
        <v/>
      </c>
      <c r="AN245" s="329" t="str">
        <f t="shared" si="728"/>
        <v/>
      </c>
      <c r="AO245" s="329" t="str">
        <f t="shared" si="728"/>
        <v/>
      </c>
      <c r="AP245" s="329" t="str">
        <f t="shared" si="728"/>
        <v/>
      </c>
      <c r="AQ245" s="329" t="str">
        <f t="shared" si="728"/>
        <v/>
      </c>
      <c r="AR245" s="328" t="str">
        <f t="shared" si="729"/>
        <v/>
      </c>
      <c r="AS245" s="329"/>
      <c r="AT245" s="329"/>
      <c r="AU245" s="329"/>
      <c r="AV245" s="329"/>
      <c r="AW245" s="328" t="str">
        <f t="shared" si="730"/>
        <v/>
      </c>
      <c r="AX245" s="329"/>
      <c r="AY245" s="329"/>
      <c r="AZ245" s="329"/>
      <c r="BA245" s="329"/>
      <c r="BB245" s="328" t="str">
        <f t="shared" si="731"/>
        <v/>
      </c>
      <c r="BC245" s="329"/>
      <c r="BD245" s="329"/>
      <c r="BE245" s="329"/>
      <c r="BF245" s="329"/>
      <c r="BG245" s="328" t="str">
        <f t="shared" si="732"/>
        <v/>
      </c>
      <c r="BH245" s="611"/>
      <c r="BI245" s="611"/>
      <c r="BJ245" s="611"/>
      <c r="BK245" s="611"/>
      <c r="BL245" s="612" t="str">
        <f t="shared" si="733"/>
        <v/>
      </c>
      <c r="BM245" s="611"/>
      <c r="BN245" s="611"/>
      <c r="BO245" s="611"/>
      <c r="BP245" s="611"/>
      <c r="BQ245" s="612" t="str">
        <f t="shared" si="734"/>
        <v/>
      </c>
      <c r="BR245" s="611"/>
      <c r="BS245" s="611"/>
      <c r="BT245" s="611"/>
      <c r="BU245" s="611"/>
      <c r="BV245" s="612" t="str">
        <f t="shared" si="735"/>
        <v/>
      </c>
      <c r="BW245" s="611"/>
      <c r="BX245" s="611"/>
      <c r="BY245" s="611"/>
      <c r="BZ245" s="611"/>
      <c r="CA245" s="612" t="str">
        <f t="shared" si="736"/>
        <v/>
      </c>
      <c r="CB245" s="611"/>
      <c r="CC245" s="611"/>
      <c r="CD245" s="611"/>
      <c r="CE245" s="611"/>
      <c r="CF245" s="612" t="str">
        <f t="shared" si="737"/>
        <v/>
      </c>
      <c r="CG245" s="611"/>
      <c r="CH245" s="611"/>
      <c r="CI245" s="611"/>
      <c r="CJ245" s="611"/>
      <c r="CK245" s="612" t="str">
        <f t="shared" si="738"/>
        <v/>
      </c>
      <c r="CL245" s="611"/>
      <c r="CM245" s="611"/>
      <c r="CN245" s="611"/>
      <c r="CO245" s="611"/>
      <c r="CP245" s="612" t="str">
        <f t="shared" si="739"/>
        <v/>
      </c>
      <c r="CQ245" s="611"/>
      <c r="CR245" s="611"/>
      <c r="CS245" s="611"/>
      <c r="CT245" s="611"/>
      <c r="CU245" s="612" t="str">
        <f t="shared" si="740"/>
        <v/>
      </c>
      <c r="CV245" s="611"/>
      <c r="CW245" s="611"/>
      <c r="CX245" s="611"/>
      <c r="CY245" s="611"/>
      <c r="CZ245" s="612" t="str">
        <f t="shared" si="741"/>
        <v/>
      </c>
      <c r="DA245" s="611"/>
      <c r="DB245" s="611"/>
      <c r="DC245" s="611"/>
      <c r="DD245" s="611"/>
      <c r="DE245" s="612" t="str">
        <f t="shared" si="742"/>
        <v/>
      </c>
      <c r="DF245" s="611"/>
      <c r="DG245" s="611"/>
      <c r="DH245" s="611"/>
      <c r="DI245" s="611"/>
      <c r="DJ245" s="612"/>
      <c r="DK245" s="611"/>
      <c r="DL245" s="611"/>
      <c r="DM245" s="611"/>
      <c r="DN245" s="611"/>
      <c r="DO245" s="612"/>
      <c r="DP245" s="611"/>
      <c r="DQ245" s="611"/>
      <c r="DR245" s="611"/>
      <c r="DS245" s="611"/>
      <c r="DT245" s="612"/>
      <c r="DU245" s="611"/>
      <c r="DV245" s="611"/>
      <c r="DW245" s="611"/>
      <c r="DX245" s="611"/>
      <c r="DY245" s="612"/>
      <c r="DZ245" s="612"/>
      <c r="EA245" s="612"/>
      <c r="EB245" s="612"/>
    </row>
    <row r="246" spans="2:132" s="241" customFormat="1" ht="12" hidden="1" customHeight="1" outlineLevel="2">
      <c r="B246" s="317" t="s">
        <v>133</v>
      </c>
      <c r="C246" s="301" t="str">
        <f t="shared" si="710"/>
        <v/>
      </c>
      <c r="D246" s="301">
        <f t="shared" si="710"/>
        <v>9.8768283294842191E-2</v>
      </c>
      <c r="E246" s="301">
        <f t="shared" si="710"/>
        <v>0.11688311688311688</v>
      </c>
      <c r="F246" s="301">
        <f t="shared" si="710"/>
        <v>-3.3913043478260869</v>
      </c>
      <c r="G246" s="301">
        <f t="shared" si="710"/>
        <v>0.29527559055118108</v>
      </c>
      <c r="H246" s="301">
        <f t="shared" si="710"/>
        <v>0.19883040935672514</v>
      </c>
      <c r="I246" s="301">
        <f t="shared" si="710"/>
        <v>0.11808434596140099</v>
      </c>
      <c r="J246" s="242"/>
      <c r="K246" s="242"/>
      <c r="L246" s="242"/>
      <c r="M246" s="242"/>
      <c r="N246" s="301" t="str">
        <f t="shared" si="726"/>
        <v/>
      </c>
      <c r="O246" s="242" t="str">
        <f t="shared" si="726"/>
        <v/>
      </c>
      <c r="P246" s="242" t="str">
        <f t="shared" si="726"/>
        <v/>
      </c>
      <c r="Q246" s="242" t="str">
        <f t="shared" si="726"/>
        <v/>
      </c>
      <c r="R246" s="242" t="str">
        <f t="shared" si="726"/>
        <v/>
      </c>
      <c r="S246" s="301" t="str">
        <f t="shared" si="726"/>
        <v/>
      </c>
      <c r="T246" s="242" t="str">
        <f t="shared" si="726"/>
        <v/>
      </c>
      <c r="U246" s="242" t="str">
        <f t="shared" si="726"/>
        <v/>
      </c>
      <c r="V246" s="242" t="str">
        <f t="shared" si="726"/>
        <v/>
      </c>
      <c r="W246" s="242" t="str">
        <f t="shared" si="726"/>
        <v/>
      </c>
      <c r="X246" s="301" t="str">
        <f t="shared" si="727"/>
        <v/>
      </c>
      <c r="Y246" s="242" t="str">
        <f t="shared" si="727"/>
        <v/>
      </c>
      <c r="Z246" s="242" t="str">
        <f t="shared" si="727"/>
        <v/>
      </c>
      <c r="AA246" s="242" t="str">
        <f t="shared" si="727"/>
        <v/>
      </c>
      <c r="AB246" s="242" t="str">
        <f t="shared" si="727"/>
        <v/>
      </c>
      <c r="AC246" s="301" t="str">
        <f t="shared" si="727"/>
        <v/>
      </c>
      <c r="AD246" s="242" t="str">
        <f t="shared" si="727"/>
        <v/>
      </c>
      <c r="AE246" s="242" t="str">
        <f t="shared" si="727"/>
        <v/>
      </c>
      <c r="AF246" s="242" t="str">
        <f t="shared" si="727"/>
        <v/>
      </c>
      <c r="AG246" s="242" t="str">
        <f t="shared" si="727"/>
        <v/>
      </c>
      <c r="AH246" s="301" t="str">
        <f t="shared" si="728"/>
        <v/>
      </c>
      <c r="AI246" s="242" t="str">
        <f t="shared" si="728"/>
        <v/>
      </c>
      <c r="AJ246" s="242" t="str">
        <f t="shared" si="728"/>
        <v/>
      </c>
      <c r="AK246" s="242" t="str">
        <f t="shared" si="728"/>
        <v/>
      </c>
      <c r="AL246" s="242" t="str">
        <f t="shared" si="728"/>
        <v/>
      </c>
      <c r="AM246" s="301" t="str">
        <f t="shared" si="728"/>
        <v/>
      </c>
      <c r="AN246" s="242" t="str">
        <f t="shared" si="728"/>
        <v/>
      </c>
      <c r="AO246" s="242" t="str">
        <f t="shared" si="728"/>
        <v/>
      </c>
      <c r="AP246" s="242" t="str">
        <f t="shared" si="728"/>
        <v/>
      </c>
      <c r="AQ246" s="242" t="str">
        <f t="shared" si="728"/>
        <v/>
      </c>
      <c r="AR246" s="301" t="str">
        <f t="shared" si="729"/>
        <v/>
      </c>
      <c r="AS246" s="242"/>
      <c r="AT246" s="242"/>
      <c r="AU246" s="242"/>
      <c r="AV246" s="242"/>
      <c r="AW246" s="301" t="str">
        <f t="shared" si="730"/>
        <v/>
      </c>
      <c r="AX246" s="242"/>
      <c r="AY246" s="242"/>
      <c r="AZ246" s="242"/>
      <c r="BA246" s="242"/>
      <c r="BB246" s="301" t="str">
        <f t="shared" si="731"/>
        <v/>
      </c>
      <c r="BC246" s="242"/>
      <c r="BD246" s="242"/>
      <c r="BE246" s="242"/>
      <c r="BF246" s="242"/>
      <c r="BG246" s="301" t="str">
        <f t="shared" si="732"/>
        <v/>
      </c>
      <c r="BH246" s="145"/>
      <c r="BI246" s="145"/>
      <c r="BJ246" s="145"/>
      <c r="BK246" s="145"/>
      <c r="BL246" s="144" t="str">
        <f t="shared" si="733"/>
        <v/>
      </c>
      <c r="BM246" s="145"/>
      <c r="BN246" s="145"/>
      <c r="BO246" s="145"/>
      <c r="BP246" s="145"/>
      <c r="BQ246" s="144" t="str">
        <f t="shared" si="734"/>
        <v/>
      </c>
      <c r="BR246" s="145"/>
      <c r="BS246" s="145"/>
      <c r="BT246" s="145"/>
      <c r="BU246" s="145"/>
      <c r="BV246" s="144" t="str">
        <f t="shared" si="735"/>
        <v/>
      </c>
      <c r="BW246" s="145"/>
      <c r="BX246" s="145"/>
      <c r="BY246" s="145"/>
      <c r="BZ246" s="145"/>
      <c r="CA246" s="144" t="str">
        <f t="shared" si="736"/>
        <v/>
      </c>
      <c r="CB246" s="145"/>
      <c r="CC246" s="145"/>
      <c r="CD246" s="145"/>
      <c r="CE246" s="145"/>
      <c r="CF246" s="144" t="str">
        <f t="shared" si="737"/>
        <v/>
      </c>
      <c r="CG246" s="145"/>
      <c r="CH246" s="145"/>
      <c r="CI246" s="145"/>
      <c r="CJ246" s="145"/>
      <c r="CK246" s="144" t="str">
        <f t="shared" si="738"/>
        <v/>
      </c>
      <c r="CL246" s="145"/>
      <c r="CM246" s="145"/>
      <c r="CN246" s="145"/>
      <c r="CO246" s="145"/>
      <c r="CP246" s="144" t="str">
        <f t="shared" si="739"/>
        <v/>
      </c>
      <c r="CQ246" s="145"/>
      <c r="CR246" s="145"/>
      <c r="CS246" s="145"/>
      <c r="CT246" s="145"/>
      <c r="CU246" s="144" t="str">
        <f t="shared" si="740"/>
        <v/>
      </c>
      <c r="CV246" s="145"/>
      <c r="CW246" s="145"/>
      <c r="CX246" s="145"/>
      <c r="CY246" s="145"/>
      <c r="CZ246" s="144" t="str">
        <f t="shared" si="741"/>
        <v/>
      </c>
      <c r="DA246" s="145"/>
      <c r="DB246" s="145"/>
      <c r="DC246" s="145"/>
      <c r="DD246" s="145"/>
      <c r="DE246" s="144" t="str">
        <f t="shared" si="742"/>
        <v/>
      </c>
      <c r="DF246" s="145"/>
      <c r="DG246" s="145"/>
      <c r="DH246" s="145"/>
      <c r="DI246" s="145"/>
      <c r="DJ246" s="144"/>
      <c r="DK246" s="145"/>
      <c r="DL246" s="145"/>
      <c r="DM246" s="145"/>
      <c r="DN246" s="145"/>
      <c r="DO246" s="144"/>
      <c r="DP246" s="145"/>
      <c r="DQ246" s="145"/>
      <c r="DR246" s="145"/>
      <c r="DS246" s="145"/>
      <c r="DT246" s="144"/>
      <c r="DU246" s="145"/>
      <c r="DV246" s="145"/>
      <c r="DW246" s="145"/>
      <c r="DX246" s="145"/>
      <c r="DY246" s="144"/>
      <c r="DZ246" s="144"/>
      <c r="EA246" s="144"/>
      <c r="EB246" s="144"/>
    </row>
    <row r="247" spans="2:132" s="241" customFormat="1" ht="12" hidden="1" customHeight="1" outlineLevel="2">
      <c r="B247" s="318" t="s">
        <v>134</v>
      </c>
      <c r="C247" s="328" t="str">
        <f t="shared" si="710"/>
        <v/>
      </c>
      <c r="D247" s="328">
        <f t="shared" si="710"/>
        <v>3.5999419364203804E-2</v>
      </c>
      <c r="E247" s="328">
        <f t="shared" si="710"/>
        <v>-2.8793103448275863</v>
      </c>
      <c r="F247" s="328">
        <f t="shared" si="710"/>
        <v>-0.61092715231788075</v>
      </c>
      <c r="G247" s="328">
        <f t="shared" si="710"/>
        <v>0.40516129032258064</v>
      </c>
      <c r="H247" s="328">
        <f t="shared" si="710"/>
        <v>-0.43449419568822556</v>
      </c>
      <c r="I247" s="328">
        <f t="shared" si="710"/>
        <v>3.255220206072764E-2</v>
      </c>
      <c r="J247" s="329"/>
      <c r="K247" s="329"/>
      <c r="L247" s="329"/>
      <c r="M247" s="329"/>
      <c r="N247" s="328" t="str">
        <f t="shared" si="726"/>
        <v/>
      </c>
      <c r="O247" s="329" t="str">
        <f t="shared" si="726"/>
        <v/>
      </c>
      <c r="P247" s="329" t="str">
        <f t="shared" si="726"/>
        <v/>
      </c>
      <c r="Q247" s="329" t="str">
        <f t="shared" si="726"/>
        <v/>
      </c>
      <c r="R247" s="329" t="str">
        <f t="shared" si="726"/>
        <v/>
      </c>
      <c r="S247" s="328" t="str">
        <f t="shared" si="726"/>
        <v/>
      </c>
      <c r="T247" s="329" t="str">
        <f t="shared" si="726"/>
        <v/>
      </c>
      <c r="U247" s="329" t="str">
        <f t="shared" si="726"/>
        <v/>
      </c>
      <c r="V247" s="329" t="str">
        <f t="shared" si="726"/>
        <v/>
      </c>
      <c r="W247" s="329" t="str">
        <f t="shared" si="726"/>
        <v/>
      </c>
      <c r="X247" s="328" t="str">
        <f t="shared" si="727"/>
        <v/>
      </c>
      <c r="Y247" s="329" t="str">
        <f t="shared" si="727"/>
        <v/>
      </c>
      <c r="Z247" s="329" t="str">
        <f t="shared" si="727"/>
        <v/>
      </c>
      <c r="AA247" s="329" t="str">
        <f t="shared" si="727"/>
        <v/>
      </c>
      <c r="AB247" s="329" t="str">
        <f t="shared" si="727"/>
        <v/>
      </c>
      <c r="AC247" s="328" t="str">
        <f t="shared" si="727"/>
        <v/>
      </c>
      <c r="AD247" s="329" t="str">
        <f t="shared" si="727"/>
        <v/>
      </c>
      <c r="AE247" s="329" t="str">
        <f t="shared" si="727"/>
        <v/>
      </c>
      <c r="AF247" s="329" t="str">
        <f t="shared" si="727"/>
        <v/>
      </c>
      <c r="AG247" s="329" t="str">
        <f t="shared" si="727"/>
        <v/>
      </c>
      <c r="AH247" s="328" t="str">
        <f t="shared" si="728"/>
        <v/>
      </c>
      <c r="AI247" s="329" t="str">
        <f t="shared" si="728"/>
        <v/>
      </c>
      <c r="AJ247" s="329" t="str">
        <f t="shared" si="728"/>
        <v/>
      </c>
      <c r="AK247" s="329" t="str">
        <f t="shared" si="728"/>
        <v/>
      </c>
      <c r="AL247" s="329" t="str">
        <f t="shared" si="728"/>
        <v/>
      </c>
      <c r="AM247" s="328" t="str">
        <f t="shared" si="728"/>
        <v/>
      </c>
      <c r="AN247" s="329" t="str">
        <f t="shared" si="728"/>
        <v/>
      </c>
      <c r="AO247" s="329" t="str">
        <f t="shared" si="728"/>
        <v/>
      </c>
      <c r="AP247" s="329" t="str">
        <f t="shared" si="728"/>
        <v/>
      </c>
      <c r="AQ247" s="329" t="str">
        <f t="shared" si="728"/>
        <v/>
      </c>
      <c r="AR247" s="328" t="str">
        <f t="shared" si="729"/>
        <v/>
      </c>
      <c r="AS247" s="329"/>
      <c r="AT247" s="329"/>
      <c r="AU247" s="329"/>
      <c r="AV247" s="329"/>
      <c r="AW247" s="328" t="str">
        <f t="shared" si="730"/>
        <v/>
      </c>
      <c r="AX247" s="329"/>
      <c r="AY247" s="329"/>
      <c r="AZ247" s="329"/>
      <c r="BA247" s="329"/>
      <c r="BB247" s="328" t="str">
        <f t="shared" si="731"/>
        <v/>
      </c>
      <c r="BC247" s="329"/>
      <c r="BD247" s="329"/>
      <c r="BE247" s="329"/>
      <c r="BF247" s="329"/>
      <c r="BG247" s="328" t="str">
        <f t="shared" si="732"/>
        <v/>
      </c>
      <c r="BH247" s="611"/>
      <c r="BI247" s="611"/>
      <c r="BJ247" s="611"/>
      <c r="BK247" s="611"/>
      <c r="BL247" s="612" t="str">
        <f t="shared" si="733"/>
        <v/>
      </c>
      <c r="BM247" s="611"/>
      <c r="BN247" s="611"/>
      <c r="BO247" s="611"/>
      <c r="BP247" s="611"/>
      <c r="BQ247" s="612" t="str">
        <f t="shared" si="734"/>
        <v/>
      </c>
      <c r="BR247" s="611"/>
      <c r="BS247" s="611"/>
      <c r="BT247" s="611"/>
      <c r="BU247" s="611"/>
      <c r="BV247" s="612" t="str">
        <f t="shared" si="735"/>
        <v/>
      </c>
      <c r="BW247" s="611"/>
      <c r="BX247" s="611"/>
      <c r="BY247" s="611"/>
      <c r="BZ247" s="611"/>
      <c r="CA247" s="612" t="str">
        <f t="shared" si="736"/>
        <v/>
      </c>
      <c r="CB247" s="611"/>
      <c r="CC247" s="611"/>
      <c r="CD247" s="611"/>
      <c r="CE247" s="611"/>
      <c r="CF247" s="612" t="str">
        <f t="shared" si="737"/>
        <v/>
      </c>
      <c r="CG247" s="611"/>
      <c r="CH247" s="611"/>
      <c r="CI247" s="611"/>
      <c r="CJ247" s="611"/>
      <c r="CK247" s="612" t="str">
        <f t="shared" si="738"/>
        <v/>
      </c>
      <c r="CL247" s="611"/>
      <c r="CM247" s="611"/>
      <c r="CN247" s="611"/>
      <c r="CO247" s="611"/>
      <c r="CP247" s="612" t="str">
        <f t="shared" si="739"/>
        <v/>
      </c>
      <c r="CQ247" s="611"/>
      <c r="CR247" s="611"/>
      <c r="CS247" s="611"/>
      <c r="CT247" s="611"/>
      <c r="CU247" s="612" t="str">
        <f t="shared" si="740"/>
        <v/>
      </c>
      <c r="CV247" s="611"/>
      <c r="CW247" s="611"/>
      <c r="CX247" s="611"/>
      <c r="CY247" s="611"/>
      <c r="CZ247" s="612" t="str">
        <f t="shared" si="741"/>
        <v/>
      </c>
      <c r="DA247" s="611"/>
      <c r="DB247" s="611"/>
      <c r="DC247" s="611"/>
      <c r="DD247" s="611"/>
      <c r="DE247" s="612" t="str">
        <f t="shared" si="742"/>
        <v/>
      </c>
      <c r="DF247" s="611"/>
      <c r="DG247" s="611"/>
      <c r="DH247" s="611"/>
      <c r="DI247" s="611"/>
      <c r="DJ247" s="612"/>
      <c r="DK247" s="611"/>
      <c r="DL247" s="611"/>
      <c r="DM247" s="611"/>
      <c r="DN247" s="611"/>
      <c r="DO247" s="612"/>
      <c r="DP247" s="611"/>
      <c r="DQ247" s="611"/>
      <c r="DR247" s="611"/>
      <c r="DS247" s="611"/>
      <c r="DT247" s="612"/>
      <c r="DU247" s="611"/>
      <c r="DV247" s="611"/>
      <c r="DW247" s="611"/>
      <c r="DX247" s="611"/>
      <c r="DY247" s="612"/>
      <c r="DZ247" s="612"/>
      <c r="EA247" s="612"/>
      <c r="EB247" s="612"/>
    </row>
    <row r="248" spans="2:132" s="241" customFormat="1" ht="12" hidden="1" customHeight="1" outlineLevel="1" collapsed="1">
      <c r="B248" s="121" t="s">
        <v>391</v>
      </c>
      <c r="C248" s="301" t="str">
        <f t="shared" ref="C248:I248" si="743">IF(ISERROR((C178-B178)/(C69-B69)),"",(C178-B178)/(C69-B69))</f>
        <v/>
      </c>
      <c r="D248" s="301">
        <f t="shared" si="743"/>
        <v>0.12200684150513112</v>
      </c>
      <c r="E248" s="301">
        <f t="shared" si="743"/>
        <v>-9.2995169082125601E-2</v>
      </c>
      <c r="F248" s="301">
        <f t="shared" si="743"/>
        <v>-0.55696202531645567</v>
      </c>
      <c r="G248" s="301">
        <f t="shared" si="743"/>
        <v>0.39433889104303993</v>
      </c>
      <c r="H248" s="301">
        <f t="shared" si="743"/>
        <v>2.0541549953314659E-2</v>
      </c>
      <c r="I248" s="301">
        <f t="shared" si="743"/>
        <v>-0.51705490848585689</v>
      </c>
      <c r="J248" s="242"/>
      <c r="K248" s="242"/>
      <c r="L248" s="242"/>
      <c r="M248" s="242"/>
      <c r="N248" s="301">
        <f t="shared" ref="N248:AS248" si="744">IF(ISERROR((N178-I178)/(N69-I69)),"",(N178-I178)/(N69-I69))</f>
        <v>0.69555412371134018</v>
      </c>
      <c r="O248" s="242">
        <f t="shared" si="744"/>
        <v>0.86507936507936511</v>
      </c>
      <c r="P248" s="242">
        <f t="shared" si="744"/>
        <v>0.20689655172413793</v>
      </c>
      <c r="Q248" s="242">
        <f t="shared" si="744"/>
        <v>-0.5546697038724373</v>
      </c>
      <c r="R248" s="242">
        <f t="shared" si="744"/>
        <v>0.5</v>
      </c>
      <c r="S248" s="301">
        <f t="shared" si="744"/>
        <v>2.9601226993865031</v>
      </c>
      <c r="T248" s="242">
        <f t="shared" si="744"/>
        <v>8.4033613445378158E-2</v>
      </c>
      <c r="U248" s="242">
        <f t="shared" si="744"/>
        <v>-15.84375</v>
      </c>
      <c r="V248" s="242">
        <f t="shared" si="744"/>
        <v>-1.0316301703163018</v>
      </c>
      <c r="W248" s="242">
        <f t="shared" si="744"/>
        <v>6.5941101152368758E-2</v>
      </c>
      <c r="X248" s="301">
        <f t="shared" si="744"/>
        <v>-0.52063106796116509</v>
      </c>
      <c r="Y248" s="242">
        <f t="shared" si="744"/>
        <v>-6.1682242990654203E-2</v>
      </c>
      <c r="Z248" s="242">
        <f t="shared" si="744"/>
        <v>2.6328502415458939</v>
      </c>
      <c r="AA248" s="242">
        <f t="shared" si="744"/>
        <v>-0.25462962962962965</v>
      </c>
      <c r="AB248" s="242">
        <f t="shared" si="744"/>
        <v>3.7205770690964313E-2</v>
      </c>
      <c r="AC248" s="301">
        <f t="shared" si="744"/>
        <v>-1.1364902506963788</v>
      </c>
      <c r="AD248" s="242">
        <f t="shared" si="744"/>
        <v>-0.52054794520547942</v>
      </c>
      <c r="AE248" s="242">
        <f t="shared" si="744"/>
        <v>4.6170212765957448</v>
      </c>
      <c r="AF248" s="242">
        <f t="shared" si="744"/>
        <v>6.1349693251533742E-2</v>
      </c>
      <c r="AG248" s="242">
        <f t="shared" si="744"/>
        <v>0.30407523510971785</v>
      </c>
      <c r="AH248" s="301">
        <f t="shared" si="744"/>
        <v>9.0434782608695645</v>
      </c>
      <c r="AI248" s="242">
        <f t="shared" si="744"/>
        <v>-1.0413793103448277</v>
      </c>
      <c r="AJ248" s="242">
        <f t="shared" si="744"/>
        <v>0.33379888268156427</v>
      </c>
      <c r="AK248" s="242">
        <f t="shared" si="744"/>
        <v>0.12550607287449392</v>
      </c>
      <c r="AL248" s="242">
        <f t="shared" si="744"/>
        <v>-0.10483870967741936</v>
      </c>
      <c r="AM248" s="301">
        <f t="shared" si="744"/>
        <v>4.1770573566084788E-2</v>
      </c>
      <c r="AN248" s="242">
        <f t="shared" si="744"/>
        <v>0.42056074766355139</v>
      </c>
      <c r="AO248" s="242">
        <f t="shared" si="744"/>
        <v>0.24737631184407796</v>
      </c>
      <c r="AP248" s="242">
        <f t="shared" si="744"/>
        <v>0.35765124555160144</v>
      </c>
      <c r="AQ248" s="242">
        <f t="shared" si="744"/>
        <v>3.4031413612565446E-2</v>
      </c>
      <c r="AR248" s="301">
        <f t="shared" si="744"/>
        <v>0.24679860302677531</v>
      </c>
      <c r="AS248" s="242">
        <f t="shared" si="744"/>
        <v>1.75</v>
      </c>
      <c r="AT248" s="242">
        <f t="shared" ref="AT248:BQ248" si="745">IF(ISERROR((AT178-AO178)/(AT69-AO69)),"",(AT178-AO178)/(AT69-AO69))</f>
        <v>-0.29491525423728815</v>
      </c>
      <c r="AU248" s="242">
        <f t="shared" si="745"/>
        <v>7.7777777777777777</v>
      </c>
      <c r="AV248" s="242">
        <f t="shared" si="745"/>
        <v>0.16013071895424835</v>
      </c>
      <c r="AW248" s="301">
        <f t="shared" si="745"/>
        <v>8.5757575757575761</v>
      </c>
      <c r="AX248" s="242">
        <f t="shared" si="745"/>
        <v>0.11525974025974026</v>
      </c>
      <c r="AY248" s="242">
        <f t="shared" si="745"/>
        <v>-9.9206349206349201E-2</v>
      </c>
      <c r="AZ248" s="242">
        <f t="shared" si="745"/>
        <v>-8.3102493074792248E-3</v>
      </c>
      <c r="BA248" s="242">
        <f t="shared" si="745"/>
        <v>0.890625</v>
      </c>
      <c r="BB248" s="301">
        <f t="shared" si="745"/>
        <v>-0.14263074484944532</v>
      </c>
      <c r="BC248" s="242">
        <f t="shared" si="745"/>
        <v>-0.73170731707317072</v>
      </c>
      <c r="BD248" s="242">
        <f t="shared" si="745"/>
        <v>-4.666666666666667</v>
      </c>
      <c r="BE248" s="242">
        <f t="shared" si="745"/>
        <v>-0.7439613526570048</v>
      </c>
      <c r="BF248" s="242">
        <f t="shared" si="745"/>
        <v>0.396484375</v>
      </c>
      <c r="BG248" s="301">
        <f t="shared" si="745"/>
        <v>0.2830508474576271</v>
      </c>
      <c r="BH248" s="242">
        <f t="shared" si="745"/>
        <v>0.11320754716981132</v>
      </c>
      <c r="BI248" s="242">
        <f t="shared" si="745"/>
        <v>0.44191343963553531</v>
      </c>
      <c r="BJ248" s="242">
        <f t="shared" si="745"/>
        <v>-1.3759398496240602</v>
      </c>
      <c r="BK248" s="242">
        <f t="shared" si="745"/>
        <v>2.9202841357537489E-2</v>
      </c>
      <c r="BL248" s="144">
        <f t="shared" si="745"/>
        <v>4.4041450777202069E-2</v>
      </c>
      <c r="BM248" s="242">
        <f t="shared" si="745"/>
        <v>3.787878787878788E-2</v>
      </c>
      <c r="BN248" s="242">
        <f t="shared" si="745"/>
        <v>0.17733990147783252</v>
      </c>
      <c r="BO248" s="242">
        <f t="shared" si="745"/>
        <v>0.37986270022883295</v>
      </c>
      <c r="BP248" s="242">
        <f t="shared" si="745"/>
        <v>0.233502538071066</v>
      </c>
      <c r="BQ248" s="144">
        <f t="shared" si="745"/>
        <v>-0.28600405679513186</v>
      </c>
      <c r="BR248" s="242">
        <f>IF(ISERROR((Data!BR180-BM178)/(Data!BR160-BM69)),"",(Data!BR180-BM178)/(Data!BR160-BM69))</f>
        <v>6.3352044907778668E-2</v>
      </c>
      <c r="BS248" s="242">
        <f>IF(ISERROR((Data!BS180-BN178)/(Data!BS160-BN69)),"",(Data!BS180-BN178)/(Data!BS160-BN69))</f>
        <v>-0.12702702702702703</v>
      </c>
      <c r="BT248" s="242">
        <f>IF(ISERROR((Data!BT180-BO178)/(Data!BT160-BO69)),"",(Data!BT180-BO178)/(Data!BT160-BO69))</f>
        <v>0.28266033254156769</v>
      </c>
      <c r="BU248" s="242">
        <f>IF(ISERROR((Data!BU180-BP178)/(Data!BU160-BP69)),"",(Data!BU180-BP178)/(Data!BU160-BP69))</f>
        <v>0.16648648648648648</v>
      </c>
      <c r="BV248" s="144">
        <f>IF(ISERROR((Data!BV180-BQ178)/(Data!BV160-BQ69)),"",(Data!BV180-BQ178)/(Data!BV160-BQ69))</f>
        <v>0.29887640449438202</v>
      </c>
      <c r="BW248" s="242">
        <f t="shared" ref="BW248:DB248" si="746">IF(ISERROR((BW178-BR178)/(BW69-BR69)),"",(BW178-BR178)/(BW69-BR69))</f>
        <v>-3.125E-2</v>
      </c>
      <c r="BX248" s="242">
        <f t="shared" si="746"/>
        <v>-1</v>
      </c>
      <c r="BY248" s="242">
        <f t="shared" si="746"/>
        <v>0.11126961483594865</v>
      </c>
      <c r="BZ248" s="242">
        <f t="shared" si="746"/>
        <v>-0.84</v>
      </c>
      <c r="CA248" s="144">
        <f t="shared" si="746"/>
        <v>-0.11338661338661339</v>
      </c>
      <c r="CB248" s="242">
        <f t="shared" si="746"/>
        <v>0.15193571950328708</v>
      </c>
      <c r="CC248" s="242">
        <f t="shared" si="746"/>
        <v>-0.24843423799582465</v>
      </c>
      <c r="CD248" s="242">
        <f t="shared" si="746"/>
        <v>-0.38844727080021196</v>
      </c>
      <c r="CE248" s="242">
        <f t="shared" si="746"/>
        <v>0.14038342609771182</v>
      </c>
      <c r="CF248" s="144">
        <f t="shared" si="746"/>
        <v>-9.1922483279025899E-2</v>
      </c>
      <c r="CG248" s="242">
        <f t="shared" si="746"/>
        <v>0.69230769230769229</v>
      </c>
      <c r="CH248" s="242">
        <f t="shared" si="746"/>
        <v>1.169921875</v>
      </c>
      <c r="CI248" s="242">
        <f t="shared" si="746"/>
        <v>15.4</v>
      </c>
      <c r="CJ248" s="242">
        <f t="shared" si="746"/>
        <v>0.81140350877192979</v>
      </c>
      <c r="CK248" s="144">
        <f t="shared" si="746"/>
        <v>-4.6341463414634143</v>
      </c>
      <c r="CL248" s="242">
        <f t="shared" si="746"/>
        <v>1.8242530755711774</v>
      </c>
      <c r="CM248" s="242">
        <f t="shared" si="746"/>
        <v>15.625</v>
      </c>
      <c r="CN248" s="242">
        <f t="shared" si="746"/>
        <v>0.81818181818181823</v>
      </c>
      <c r="CO248" s="242">
        <f t="shared" si="746"/>
        <v>0.57649938800489597</v>
      </c>
      <c r="CP248" s="144">
        <f t="shared" si="746"/>
        <v>-15.257142857142858</v>
      </c>
      <c r="CQ248" s="242">
        <f t="shared" si="746"/>
        <v>0.52143482064741908</v>
      </c>
      <c r="CR248" s="242">
        <f t="shared" si="746"/>
        <v>1.2430555555555556</v>
      </c>
      <c r="CS248" s="242">
        <f t="shared" si="746"/>
        <v>0.83116883116883122</v>
      </c>
      <c r="CT248" s="242">
        <f t="shared" si="746"/>
        <v>0.82551799345692478</v>
      </c>
      <c r="CU248" s="144">
        <f t="shared" si="746"/>
        <v>1.7667844522968199E-2</v>
      </c>
      <c r="CV248" s="242">
        <f t="shared" si="746"/>
        <v>0.78378378378378377</v>
      </c>
      <c r="CW248" s="242">
        <f t="shared" si="746"/>
        <v>1.2948905109489051</v>
      </c>
      <c r="CX248" s="242">
        <f t="shared" si="746"/>
        <v>2.4687022900763358</v>
      </c>
      <c r="CY248" s="242">
        <f t="shared" si="746"/>
        <v>1.1504702194357366</v>
      </c>
      <c r="CZ248" s="144">
        <f t="shared" si="746"/>
        <v>1.5062166962699823</v>
      </c>
      <c r="DA248" s="242">
        <f t="shared" si="746"/>
        <v>0.67897727272727271</v>
      </c>
      <c r="DB248" s="242">
        <f t="shared" si="746"/>
        <v>24.916666666666668</v>
      </c>
      <c r="DC248" s="242">
        <f t="shared" ref="DC248:DY248" si="747">IF(ISERROR((DC178-CX178)/(DC69-CX69)),"",(DC178-CX178)/(DC69-CX69))</f>
        <v>10.770114942528735</v>
      </c>
      <c r="DD248" s="242">
        <f t="shared" si="747"/>
        <v>-0.37699115044247788</v>
      </c>
      <c r="DE248" s="144">
        <f t="shared" si="747"/>
        <v>1.005081874647092</v>
      </c>
      <c r="DF248" s="242">
        <f t="shared" si="747"/>
        <v>0.88321167883211682</v>
      </c>
      <c r="DG248" s="242">
        <f t="shared" si="747"/>
        <v>2.6438356164383561</v>
      </c>
      <c r="DH248" s="242">
        <f t="shared" si="747"/>
        <v>-26.545454545454547</v>
      </c>
      <c r="DI248" s="242">
        <f t="shared" si="747"/>
        <v>1.6224719101123595</v>
      </c>
      <c r="DJ248" s="144">
        <f t="shared" si="747"/>
        <v>3.5950738916256157</v>
      </c>
      <c r="DK248" s="242">
        <f t="shared" si="747"/>
        <v>-6.1349693251533744E-3</v>
      </c>
      <c r="DL248" s="242">
        <f t="shared" si="747"/>
        <v>1.7164429530201342</v>
      </c>
      <c r="DM248" s="242">
        <f t="shared" si="747"/>
        <v>1.828696925329429</v>
      </c>
      <c r="DN248" s="242">
        <f t="shared" si="747"/>
        <v>0.87736789631106682</v>
      </c>
      <c r="DO248" s="144">
        <f t="shared" si="747"/>
        <v>1.5937876960193003</v>
      </c>
      <c r="DP248" s="242">
        <f t="shared" si="747"/>
        <v>5.9953881629515759E-2</v>
      </c>
      <c r="DQ248" s="242">
        <f t="shared" si="747"/>
        <v>-0.14434180138568128</v>
      </c>
      <c r="DR248" s="242">
        <f t="shared" si="747"/>
        <v>0.13384919369129883</v>
      </c>
      <c r="DS248" s="242">
        <f t="shared" si="747"/>
        <v>1.3386338376613529</v>
      </c>
      <c r="DT248" s="144">
        <f t="shared" si="747"/>
        <v>0.2440240696845872</v>
      </c>
      <c r="DU248" s="242">
        <f t="shared" si="747"/>
        <v>3.5829582839847329E-2</v>
      </c>
      <c r="DV248" s="242">
        <f t="shared" si="747"/>
        <v>0.84607572720388347</v>
      </c>
      <c r="DW248" s="242">
        <f t="shared" si="747"/>
        <v>0.3779999999999995</v>
      </c>
      <c r="DX248" s="242">
        <f t="shared" si="747"/>
        <v>0.43342857142857083</v>
      </c>
      <c r="DY248" s="144">
        <f t="shared" si="747"/>
        <v>0.40557384893972942</v>
      </c>
      <c r="DZ248" s="144">
        <f>IF(ISERROR((DZ178-DY178)/(DZ69-DY69)),"",(DZ178-DY178)/(DZ69-DY69))</f>
        <v>0.44282861562637632</v>
      </c>
      <c r="EA248" s="144">
        <f>IF(ISERROR((EA178-DZ178)/(EA69-DZ69)),"",(EA178-DZ178)/(EA69-DZ69))</f>
        <v>0.4029999999999998</v>
      </c>
      <c r="EB248" s="144">
        <f>IF(ISERROR((EB178-EA178)/(EB69-EA69)),"",(EB178-EA178)/(EB69-EA69))</f>
        <v>0.26499999999999918</v>
      </c>
    </row>
    <row r="249" spans="2:132" s="241" customFormat="1" ht="12" hidden="1" customHeight="1" outlineLevel="1">
      <c r="B249" s="137" t="s">
        <v>575</v>
      </c>
      <c r="C249" s="301"/>
      <c r="D249" s="301"/>
      <c r="E249" s="301"/>
      <c r="F249" s="301"/>
      <c r="G249" s="301"/>
      <c r="H249" s="301"/>
      <c r="I249" s="301"/>
      <c r="J249" s="242"/>
      <c r="K249" s="242"/>
      <c r="L249" s="242"/>
      <c r="M249" s="242"/>
      <c r="N249" s="301"/>
      <c r="O249" s="242"/>
      <c r="P249" s="242"/>
      <c r="Q249" s="242"/>
      <c r="R249" s="242"/>
      <c r="S249" s="301"/>
      <c r="T249" s="242"/>
      <c r="U249" s="242"/>
      <c r="V249" s="242"/>
      <c r="W249" s="242"/>
      <c r="X249" s="301"/>
      <c r="Y249" s="242"/>
      <c r="Z249" s="242"/>
      <c r="AA249" s="242"/>
      <c r="AB249" s="242"/>
      <c r="AC249" s="301"/>
      <c r="AD249" s="242"/>
      <c r="AE249" s="242"/>
      <c r="AF249" s="242"/>
      <c r="AG249" s="242"/>
      <c r="AH249" s="301"/>
      <c r="AI249" s="242"/>
      <c r="AJ249" s="242"/>
      <c r="AK249" s="242"/>
      <c r="AL249" s="242"/>
      <c r="AM249" s="301"/>
      <c r="AN249" s="242"/>
      <c r="AO249" s="242"/>
      <c r="AP249" s="242"/>
      <c r="AQ249" s="242"/>
      <c r="AR249" s="301"/>
      <c r="AS249" s="242"/>
      <c r="AT249" s="242"/>
      <c r="AU249" s="242"/>
      <c r="AV249" s="242"/>
      <c r="AW249" s="301"/>
      <c r="AX249" s="242"/>
      <c r="AY249" s="242"/>
      <c r="AZ249" s="242"/>
      <c r="BA249" s="242"/>
      <c r="BB249" s="301"/>
      <c r="BC249" s="242"/>
      <c r="BD249" s="242"/>
      <c r="BE249" s="242"/>
      <c r="BF249" s="242"/>
      <c r="BG249" s="301"/>
      <c r="BH249" s="242"/>
      <c r="BI249" s="242"/>
      <c r="BJ249" s="242"/>
      <c r="BK249" s="242"/>
      <c r="BL249" s="144"/>
      <c r="BM249" s="242"/>
      <c r="BN249" s="242"/>
      <c r="BO249" s="242"/>
      <c r="BP249" s="242"/>
      <c r="BQ249" s="144"/>
      <c r="BR249" s="242"/>
      <c r="BS249" s="242"/>
      <c r="BT249" s="242"/>
      <c r="BU249" s="242"/>
      <c r="BV249" s="144"/>
      <c r="BW249" s="242">
        <f t="shared" ref="BW249:DI249" si="748">IF(ISERROR((BW179-BR179)/(BW74-BR74)),"",(BW179-BR179)/(BW74-BR74))</f>
        <v>0.33189655172413796</v>
      </c>
      <c r="BX249" s="242">
        <f t="shared" si="748"/>
        <v>-1.0344827586206897</v>
      </c>
      <c r="BY249" s="242">
        <f t="shared" si="748"/>
        <v>-0.39726027397260272</v>
      </c>
      <c r="BZ249" s="242">
        <f t="shared" si="748"/>
        <v>-2.368421052631579E-2</v>
      </c>
      <c r="CA249" s="144">
        <f t="shared" si="748"/>
        <v>0.10518292682926829</v>
      </c>
      <c r="CB249" s="242">
        <f t="shared" si="748"/>
        <v>8.0808080808080815E-2</v>
      </c>
      <c r="CC249" s="242">
        <f t="shared" si="748"/>
        <v>6.4220183486238536E-2</v>
      </c>
      <c r="CD249" s="242">
        <f t="shared" si="748"/>
        <v>0.10153256704980843</v>
      </c>
      <c r="CE249" s="242">
        <f t="shared" si="748"/>
        <v>0.16021602160216022</v>
      </c>
      <c r="CF249" s="144">
        <f t="shared" si="748"/>
        <v>0.11717171717171718</v>
      </c>
      <c r="CG249" s="242">
        <f t="shared" si="748"/>
        <v>8.9686098654708519E-3</v>
      </c>
      <c r="CH249" s="242">
        <f t="shared" si="748"/>
        <v>0.18609865470852019</v>
      </c>
      <c r="CI249" s="242">
        <f t="shared" si="748"/>
        <v>0.2244165170556553</v>
      </c>
      <c r="CJ249" s="242">
        <f t="shared" si="748"/>
        <v>0.20384615384615384</v>
      </c>
      <c r="CK249" s="144">
        <f t="shared" si="748"/>
        <v>0.11402266288951841</v>
      </c>
      <c r="CL249" s="242">
        <f t="shared" si="748"/>
        <v>6.1111111111111107</v>
      </c>
      <c r="CM249" s="242">
        <f t="shared" si="748"/>
        <v>1.2881516587677726</v>
      </c>
      <c r="CN249" s="242">
        <f t="shared" si="748"/>
        <v>0.4170124481327801</v>
      </c>
      <c r="CO249" s="242">
        <f t="shared" si="748"/>
        <v>0.59125683060109291</v>
      </c>
      <c r="CP249" s="144">
        <f t="shared" si="748"/>
        <v>0.76820512820512821</v>
      </c>
      <c r="CQ249" s="242">
        <f t="shared" si="748"/>
        <v>0.30375426621160412</v>
      </c>
      <c r="CR249" s="242">
        <f t="shared" si="748"/>
        <v>2.0777202072538858</v>
      </c>
      <c r="CS249" s="242">
        <f t="shared" si="748"/>
        <v>0.70777988614800758</v>
      </c>
      <c r="CT249" s="242">
        <f t="shared" si="748"/>
        <v>0.46236559139784944</v>
      </c>
      <c r="CU249" s="144">
        <f t="shared" si="748"/>
        <v>1.9961783439490446</v>
      </c>
      <c r="CV249" s="242">
        <f t="shared" si="748"/>
        <v>0.33805309734513272</v>
      </c>
      <c r="CW249" s="242">
        <f t="shared" si="748"/>
        <v>0.8528138528138528</v>
      </c>
      <c r="CX249" s="242">
        <f t="shared" si="748"/>
        <v>0.4218009478672986</v>
      </c>
      <c r="CY249" s="242">
        <f t="shared" si="748"/>
        <v>0.84420289855072461</v>
      </c>
      <c r="CZ249" s="144">
        <f t="shared" si="748"/>
        <v>0.55339049103663285</v>
      </c>
      <c r="DA249" s="242">
        <f t="shared" si="748"/>
        <v>0.52955665024630538</v>
      </c>
      <c r="DB249" s="242">
        <f t="shared" si="748"/>
        <v>0.2857142857142857</v>
      </c>
      <c r="DC249" s="242">
        <f t="shared" si="748"/>
        <v>0.13421052631578947</v>
      </c>
      <c r="DD249" s="242">
        <f t="shared" si="748"/>
        <v>0.73758865248226946</v>
      </c>
      <c r="DE249" s="144">
        <f t="shared" si="748"/>
        <v>0.3970976253298153</v>
      </c>
      <c r="DF249" s="242">
        <f t="shared" si="748"/>
        <v>0.21230769230769231</v>
      </c>
      <c r="DG249" s="242">
        <f t="shared" si="748"/>
        <v>9.7902097902097904E-2</v>
      </c>
      <c r="DH249" s="242">
        <f t="shared" si="748"/>
        <v>0.5617977528089888</v>
      </c>
      <c r="DI249" s="242">
        <f t="shared" si="748"/>
        <v>0.57777777777777772</v>
      </c>
      <c r="DJ249" s="144">
        <f>IF(ISERROR((DJ179-CG179)/(DJ74-CG74)),"",(DJ179-CG179)/(DJ74-CG74))</f>
        <v>0.19334854907075319</v>
      </c>
      <c r="DK249" s="242">
        <f>IF(ISERROR((DK179-DF179)/(DK74-DF74)),"",(DK179-DF179)/(DK74-DF74))</f>
        <v>1.5</v>
      </c>
      <c r="DL249" s="242">
        <f>IF(ISERROR((DL179-DG179)/(DL74-DG74)),"",(DL179-DG179)/(DL74-DG74))</f>
        <v>0.45663265306122447</v>
      </c>
      <c r="DM249" s="242">
        <f>IF(ISERROR((DM179-DH179)/(DM74-DH74)),"",(DM179-DH179)/(DM74-DH74))</f>
        <v>0.22174840085287847</v>
      </c>
      <c r="DN249" s="242">
        <f>IF(ISERROR((DN179-DI179)/(DN74-DI74)),"",(DN179-DI179)/(DN74-DI74))</f>
        <v>106.06666666666666</v>
      </c>
      <c r="DO249" s="144">
        <f>IF(ISERROR((DO179-CL179)/(DO74-CL74)),"",(DO179-CL179)/(DO74-CL74))</f>
        <v>0.78343050015342131</v>
      </c>
      <c r="DP249" s="242">
        <f>IF(ISERROR((DP179-DK179)/(DP74-DK74)),"",(DP179-DK179)/(DP74-DK74))</f>
        <v>9.1205211726384364E-2</v>
      </c>
      <c r="DQ249" s="242">
        <f>IF(ISERROR((DQ179-DL179)/(DQ74-DL74)),"",(DQ179-DL179)/(DQ74-DL74))</f>
        <v>-1.2857142857142858</v>
      </c>
      <c r="DR249" s="242">
        <f>IF(ISERROR((DR179-DM179)/(DR74-DM74)),"",(DR179-DM179)/(DR74-DM74))</f>
        <v>-0.31558557520005359</v>
      </c>
      <c r="DS249" s="242">
        <f>IF(ISERROR((DS179-DN179)/(DS74-DN74)),"",(DS179-DN179)/(DS74-DN74))</f>
        <v>-46.064285061310557</v>
      </c>
      <c r="DT249" s="144">
        <f>IF(ISERROR((DT179-CQ179)/(DT74-CQ74)),"",(DT179-CQ179)/(DT74-CQ74))</f>
        <v>0.19932473424879718</v>
      </c>
      <c r="DU249" s="242">
        <f>IF(ISERROR((DU179-DP179)/(DU74-DP74)),"",(DU179-DP179)/(DU74-DP74))</f>
        <v>0.15733558792628979</v>
      </c>
      <c r="DV249" s="242">
        <f>IF(ISERROR((DV179-DQ179)/(DV74-DQ74)),"",(DV179-DQ179)/(DV74-DQ74))</f>
        <v>0.32127694528371453</v>
      </c>
      <c r="DW249" s="242">
        <f>IF(ISERROR((DW179-DR179)/(DW74-DR74)),"",(DW179-DR179)/(DW74-DR74))</f>
        <v>0.20744356969793171</v>
      </c>
      <c r="DX249" s="242">
        <f>IF(ISERROR((DX179-DS179)/(DX74-DS74)),"",(DX179-DS179)/(DX74-DS74))</f>
        <v>0.22464413453960436</v>
      </c>
      <c r="DY249" s="144">
        <f>IF(ISERROR((DY179-CV179)/(DY74-CV74)),"",(DY179-CV179)/(DY74-CV74))</f>
        <v>0.19661019725217124</v>
      </c>
      <c r="DZ249" s="144">
        <f>IF(ISERROR((DZ179-CK179)/(DZ74-CK74)),"",(DZ179-CK179)/(DZ74-CK74))</f>
        <v>0.34978014934048929</v>
      </c>
      <c r="EA249" s="144">
        <f t="shared" ref="EA249:EB249" si="749">IF(ISERROR((EA179-CL179)/(EA74-CL74)),"",(EA179-CL179)/(EA74-CL74))</f>
        <v>0.20001054113483893</v>
      </c>
      <c r="EB249" s="144">
        <f t="shared" si="749"/>
        <v>0.25573198596399194</v>
      </c>
    </row>
    <row r="250" spans="2:132" s="241" customFormat="1" ht="12" hidden="1" customHeight="1" outlineLevel="1">
      <c r="B250" s="241" t="s">
        <v>144</v>
      </c>
      <c r="C250" s="301" t="str">
        <f t="shared" ref="C250:I250" si="750">IF(ISERROR((C180-B180)/(C79-B79)),"",(C180-B180)/(C79-B79))</f>
        <v/>
      </c>
      <c r="D250" s="301">
        <f t="shared" si="750"/>
        <v>0.875</v>
      </c>
      <c r="E250" s="301">
        <f t="shared" si="750"/>
        <v>1.1682242990654206</v>
      </c>
      <c r="F250" s="301">
        <f t="shared" si="750"/>
        <v>-2.5316455696202531E-2</v>
      </c>
      <c r="G250" s="301">
        <f t="shared" si="750"/>
        <v>0.97142857142857142</v>
      </c>
      <c r="H250" s="301">
        <f t="shared" si="750"/>
        <v>-0.87022900763358779</v>
      </c>
      <c r="I250" s="301">
        <f t="shared" si="750"/>
        <v>-1.4933920704845816</v>
      </c>
      <c r="J250" s="242"/>
      <c r="K250" s="242"/>
      <c r="L250" s="242"/>
      <c r="M250" s="242"/>
      <c r="N250" s="301">
        <f t="shared" ref="N250:AS250" si="751">IF(ISERROR((N180-I180)/(N79-I79)),"",(N180-I180)/(N79-I79))</f>
        <v>-0.15267175572519084</v>
      </c>
      <c r="O250" s="242">
        <f t="shared" si="751"/>
        <v>0.61428571428571432</v>
      </c>
      <c r="P250" s="242">
        <f t="shared" si="751"/>
        <v>2.7714285714285714</v>
      </c>
      <c r="Q250" s="242">
        <f t="shared" si="751"/>
        <v>1.3913043478260869</v>
      </c>
      <c r="R250" s="242">
        <f t="shared" si="751"/>
        <v>0.41538461538461541</v>
      </c>
      <c r="S250" s="301">
        <f t="shared" si="751"/>
        <v>7</v>
      </c>
      <c r="T250" s="242" t="str">
        <f t="shared" si="751"/>
        <v/>
      </c>
      <c r="U250" s="242">
        <f t="shared" si="751"/>
        <v>2.3809523809523809</v>
      </c>
      <c r="V250" s="242">
        <f t="shared" si="751"/>
        <v>1.2702702702702702</v>
      </c>
      <c r="W250" s="242">
        <f t="shared" si="751"/>
        <v>-1.8333333333333333</v>
      </c>
      <c r="X250" s="301">
        <f t="shared" si="751"/>
        <v>1</v>
      </c>
      <c r="Y250" s="242">
        <f t="shared" si="751"/>
        <v>-0.125</v>
      </c>
      <c r="Z250" s="242">
        <f t="shared" si="751"/>
        <v>-0.23529411764705882</v>
      </c>
      <c r="AA250" s="242">
        <f t="shared" si="751"/>
        <v>0.57009345794392519</v>
      </c>
      <c r="AB250" s="242">
        <f t="shared" si="751"/>
        <v>0.15555555555555556</v>
      </c>
      <c r="AC250" s="301">
        <f t="shared" si="751"/>
        <v>0.27142857142857141</v>
      </c>
      <c r="AD250" s="242">
        <f t="shared" si="751"/>
        <v>0.42857142857142855</v>
      </c>
      <c r="AE250" s="242">
        <f t="shared" si="751"/>
        <v>0.83333333333333337</v>
      </c>
      <c r="AF250" s="242">
        <f t="shared" si="751"/>
        <v>0.92307692307692313</v>
      </c>
      <c r="AG250" s="242">
        <f t="shared" si="751"/>
        <v>0.39285714285714285</v>
      </c>
      <c r="AH250" s="301">
        <f t="shared" si="751"/>
        <v>0.6428571428571429</v>
      </c>
      <c r="AI250" s="242">
        <f t="shared" si="751"/>
        <v>1.0909090909090908</v>
      </c>
      <c r="AJ250" s="242">
        <f t="shared" si="751"/>
        <v>0.75</v>
      </c>
      <c r="AK250" s="242">
        <f t="shared" si="751"/>
        <v>-0.4</v>
      </c>
      <c r="AL250" s="242">
        <f t="shared" si="751"/>
        <v>1.25</v>
      </c>
      <c r="AM250" s="301">
        <f t="shared" si="751"/>
        <v>0.83720930232558144</v>
      </c>
      <c r="AN250" s="242">
        <f t="shared" si="751"/>
        <v>-9</v>
      </c>
      <c r="AO250" s="242">
        <f t="shared" si="751"/>
        <v>-3.8</v>
      </c>
      <c r="AP250" s="242">
        <f t="shared" si="751"/>
        <v>1.5</v>
      </c>
      <c r="AQ250" s="242">
        <f t="shared" si="751"/>
        <v>0.42105263157894735</v>
      </c>
      <c r="AR250" s="301">
        <f t="shared" si="751"/>
        <v>-1.2380952380952381</v>
      </c>
      <c r="AS250" s="242">
        <f t="shared" si="751"/>
        <v>-0.31578947368421051</v>
      </c>
      <c r="AT250" s="242">
        <f t="shared" ref="AT250:BY250" si="752">IF(ISERROR((AT180-AO180)/(AT79-AO79)),"",(AT180-AO180)/(AT79-AO79))</f>
        <v>-0.46666666666666667</v>
      </c>
      <c r="AU250" s="242">
        <f t="shared" si="752"/>
        <v>0.59090909090909094</v>
      </c>
      <c r="AV250" s="242">
        <f t="shared" si="752"/>
        <v>0.48275862068965519</v>
      </c>
      <c r="AW250" s="301">
        <f t="shared" si="752"/>
        <v>0.25233644859813081</v>
      </c>
      <c r="AX250" s="242">
        <f t="shared" si="752"/>
        <v>0.77777777777777779</v>
      </c>
      <c r="AY250" s="242">
        <f t="shared" si="752"/>
        <v>0.64583333333333337</v>
      </c>
      <c r="AZ250" s="242">
        <f t="shared" si="752"/>
        <v>-0.56000000000000005</v>
      </c>
      <c r="BA250" s="242" t="str">
        <f t="shared" si="752"/>
        <v/>
      </c>
      <c r="BB250" s="301">
        <f t="shared" si="752"/>
        <v>0.47252747252747251</v>
      </c>
      <c r="BC250" s="242">
        <f t="shared" si="752"/>
        <v>-0.3</v>
      </c>
      <c r="BD250" s="242">
        <f t="shared" si="752"/>
        <v>-2.4</v>
      </c>
      <c r="BE250" s="242">
        <f t="shared" si="752"/>
        <v>-0.2857142857142857</v>
      </c>
      <c r="BF250" s="242">
        <f t="shared" si="752"/>
        <v>-2.6363636363636362</v>
      </c>
      <c r="BG250" s="301">
        <f t="shared" si="752"/>
        <v>-0.75757575757575757</v>
      </c>
      <c r="BH250" s="242">
        <f t="shared" si="752"/>
        <v>0</v>
      </c>
      <c r="BI250" s="242">
        <f t="shared" si="752"/>
        <v>-1</v>
      </c>
      <c r="BJ250" s="242">
        <f t="shared" si="752"/>
        <v>15.333333333333334</v>
      </c>
      <c r="BK250" s="242">
        <f t="shared" si="752"/>
        <v>0.35416666666666669</v>
      </c>
      <c r="BL250" s="144">
        <f t="shared" si="752"/>
        <v>-1.875</v>
      </c>
      <c r="BM250" s="242">
        <f t="shared" si="752"/>
        <v>-6</v>
      </c>
      <c r="BN250" s="242">
        <f t="shared" si="752"/>
        <v>-0.88</v>
      </c>
      <c r="BO250" s="242">
        <f t="shared" si="752"/>
        <v>0.91304347826086951</v>
      </c>
      <c r="BP250" s="242">
        <f t="shared" si="752"/>
        <v>0.30909090909090908</v>
      </c>
      <c r="BQ250" s="144">
        <f t="shared" si="752"/>
        <v>14</v>
      </c>
      <c r="BR250" s="242">
        <f t="shared" si="752"/>
        <v>0.68181818181818177</v>
      </c>
      <c r="BS250" s="242">
        <f t="shared" si="752"/>
        <v>-0.22580645161290322</v>
      </c>
      <c r="BT250" s="242">
        <f t="shared" si="752"/>
        <v>-5.8823529411764705E-2</v>
      </c>
      <c r="BU250" s="242">
        <f t="shared" si="752"/>
        <v>-1.2727272727272727</v>
      </c>
      <c r="BV250" s="144">
        <f t="shared" si="752"/>
        <v>-7.8260869565217397E-2</v>
      </c>
      <c r="BW250" s="242">
        <f t="shared" si="752"/>
        <v>1.2142857142857142</v>
      </c>
      <c r="BX250" s="242">
        <f t="shared" si="752"/>
        <v>-0.58333333333333337</v>
      </c>
      <c r="BY250" s="242">
        <f t="shared" si="752"/>
        <v>1.4285714285714286</v>
      </c>
      <c r="BZ250" s="242">
        <f t="shared" ref="BZ250:CF250" si="753">IF(ISERROR((BZ180-BU180)/(BZ79-BU79)),"",(BZ180-BU180)/(BZ79-BU79))</f>
        <v>-0.2857142857142857</v>
      </c>
      <c r="CA250" s="144">
        <f t="shared" si="753"/>
        <v>6.1111111111111107</v>
      </c>
      <c r="CB250" s="242">
        <f t="shared" si="753"/>
        <v>0.70370370370370372</v>
      </c>
      <c r="CC250" s="242" t="str">
        <f t="shared" si="753"/>
        <v/>
      </c>
      <c r="CD250" s="242">
        <f t="shared" si="753"/>
        <v>0.5714285714285714</v>
      </c>
      <c r="CE250" s="242">
        <f t="shared" si="753"/>
        <v>1.4615384615384615</v>
      </c>
      <c r="CF250" s="144">
        <f t="shared" si="753"/>
        <v>1.0606060606060606</v>
      </c>
      <c r="CG250" s="242">
        <f t="shared" ref="CG250" si="754">IF(ISERROR((CG180-CB180)/(CG79-CB79)),"",(CG180-CB180)/(CG79-CB79))</f>
        <v>0</v>
      </c>
      <c r="CH250" s="242">
        <f t="shared" ref="CH250" si="755">IF(ISERROR((CH180-CC180)/(CH79-CC79)),"",(CH180-CC180)/(CH79-CC79))</f>
        <v>4.333333333333333</v>
      </c>
      <c r="CI250" s="242">
        <f t="shared" ref="CI250" si="756">IF(ISERROR((CI180-CD180)/(CI79-CD79)),"",(CI180-CD180)/(CI79-CD79))</f>
        <v>-0.18181818181818182</v>
      </c>
      <c r="CJ250" s="242">
        <f t="shared" ref="CJ250:CK250" si="757">IF(ISERROR((CJ180-CE180)/(CJ79-CE79)),"",(CJ180-CE180)/(CJ79-CE79))</f>
        <v>2.8695652173913042</v>
      </c>
      <c r="CK250" s="144">
        <f t="shared" si="757"/>
        <v>1.7</v>
      </c>
      <c r="CL250" s="242">
        <f t="shared" ref="CL250" si="758">IF(ISERROR((CL180-CG180)/(CL79-CG79)),"",(CL180-CG180)/(CL79-CG79))</f>
        <v>-4</v>
      </c>
      <c r="CM250" s="242">
        <f t="shared" ref="CM250" si="759">IF(ISERROR((CM180-CH180)/(CM79-CH79)),"",(CM180-CH180)/(CM79-CH79))</f>
        <v>7.333333333333333</v>
      </c>
      <c r="CN250" s="242">
        <f t="shared" ref="CN250" si="760">IF(ISERROR((CN180-CI180)/(CN79-CI79)),"",(CN180-CI180)/(CN79-CI79))</f>
        <v>0.2</v>
      </c>
      <c r="CO250" s="242">
        <f t="shared" ref="CO250:CP250" si="761">IF(ISERROR((CO180-CJ180)/(CO79-CJ79)),"",(CO180-CJ180)/(CO79-CJ79))</f>
        <v>3.8947368421052633</v>
      </c>
      <c r="CP250" s="144">
        <f t="shared" si="761"/>
        <v>2.0588235294117645</v>
      </c>
      <c r="CQ250" s="242">
        <f t="shared" ref="CQ250" si="762">IF(ISERROR((CQ180-CL180)/(CQ79-CL79)),"",(CQ180-CL180)/(CQ79-CL79))</f>
        <v>0.6</v>
      </c>
      <c r="CR250" s="242">
        <f t="shared" ref="CR250" si="763">IF(ISERROR((CR180-CM180)/(CR79-CM79)),"",(CR180-CM180)/(CR79-CM79))</f>
        <v>4.7777777777777777</v>
      </c>
      <c r="CS250" s="242" t="str">
        <f t="shared" ref="CS250" si="764">IF(ISERROR((CS180-CN180)/(CS79-CN79)),"",(CS180-CN180)/(CS79-CN79))</f>
        <v/>
      </c>
      <c r="CT250" s="242">
        <f t="shared" ref="CT250:CU250" si="765">IF(ISERROR((CT180-CO180)/(CT79-CO79)),"",(CT180-CO180)/(CT79-CO79))</f>
        <v>-1.2857142857142858</v>
      </c>
      <c r="CU250" s="144">
        <f t="shared" si="765"/>
        <v>3.9090909090909092</v>
      </c>
      <c r="CV250" s="242">
        <f t="shared" ref="CV250:CW250" si="766">IF(ISERROR((CV180-CQ180)/(CV79-CQ79)),"",(CV180-CQ180)/(CV79-CQ79))</f>
        <v>4.0714285714285712</v>
      </c>
      <c r="CW250" s="242">
        <f t="shared" si="766"/>
        <v>0.34615384615384615</v>
      </c>
      <c r="CX250" s="242">
        <f t="shared" ref="CX250" si="767">IF(ISERROR((CX180-CS180)/(CX79-CS79)),"",(CX180-CS180)/(CX79-CS79))</f>
        <v>1</v>
      </c>
      <c r="CY250" s="242">
        <f t="shared" ref="CY250" si="768">IF(ISERROR((CY180-CT180)/(CY79-CT79)),"",(CY180-CT180)/(CY79-CT79))</f>
        <v>-0.5714285714285714</v>
      </c>
      <c r="CZ250" s="144">
        <f t="shared" ref="CZ250" si="769">IF(ISERROR((CZ180-CU180)/(CZ79-CU79)),"",(CZ180-CU180)/(CZ79-CU79))</f>
        <v>1.0547945205479452</v>
      </c>
      <c r="DA250" s="242">
        <f t="shared" ref="DA250" si="770">IF(ISERROR((DA180-CV180)/(DA79-CV79)),"",(DA180-CV180)/(DA79-CV79))</f>
        <v>-0.78260869565217395</v>
      </c>
      <c r="DB250" s="242">
        <f t="shared" ref="DB250" si="771">IF(ISERROR((DB180-CW180)/(DB79-CW79)),"",(DB180-CW180)/(DB79-CW79))</f>
        <v>0.51923076923076927</v>
      </c>
      <c r="DC250" s="242">
        <f t="shared" ref="DC250" si="772">IF(ISERROR((DC180-CX180)/(DC79-CX79)),"",(DC180-CX180)/(DC79-CX79))</f>
        <v>0.44230769230769229</v>
      </c>
      <c r="DD250" s="242">
        <f t="shared" ref="DD250" si="773">IF(ISERROR((DD180-CY180)/(DD79-CY79)),"",(DD180-CY180)/(DD79-CY79))</f>
        <v>0.30612244897959184</v>
      </c>
      <c r="DE250" s="144">
        <f t="shared" ref="DE250:DP250" si="774">IF(ISERROR((DE180-CZ180)/(DE79-CZ79)),"",(DE180-CZ180)/(DE79-CZ79))</f>
        <v>0.14572864321608039</v>
      </c>
      <c r="DF250" s="242" t="str">
        <f t="shared" si="774"/>
        <v/>
      </c>
      <c r="DG250" s="242" t="str">
        <f t="shared" si="774"/>
        <v/>
      </c>
      <c r="DH250" s="242" t="str">
        <f t="shared" si="774"/>
        <v/>
      </c>
      <c r="DI250" s="242" t="str">
        <f t="shared" si="774"/>
        <v/>
      </c>
      <c r="DJ250" s="144" t="str">
        <f>IF(ISERROR((DJ180-DE180)/(DJ79-DE79)),"",(DJ180-DE180)/(DJ79-DE79))</f>
        <v/>
      </c>
      <c r="DK250" s="242" t="str">
        <f t="shared" si="774"/>
        <v/>
      </c>
      <c r="DL250" s="242" t="str">
        <f t="shared" si="774"/>
        <v/>
      </c>
      <c r="DM250" s="242" t="str">
        <f t="shared" si="774"/>
        <v/>
      </c>
      <c r="DN250" s="242" t="str">
        <f t="shared" si="774"/>
        <v/>
      </c>
      <c r="DO250" s="144" t="str">
        <f>IF(ISERROR((DO180-DJ180)/(DO79-DJ79)),"",(DO180-DJ180)/(DO79-DJ79))</f>
        <v/>
      </c>
      <c r="DP250" s="242" t="str">
        <f t="shared" si="774"/>
        <v/>
      </c>
      <c r="DQ250" s="242" t="str">
        <f t="shared" ref="DQ250" si="775">IF(ISERROR((DQ180-DL180)/(DQ79-DL79)),"",(DQ180-DL180)/(DQ79-DL79))</f>
        <v/>
      </c>
      <c r="DR250" s="242" t="str">
        <f t="shared" ref="DR250" si="776">IF(ISERROR((DR180-DM180)/(DR79-DM79)),"",(DR180-DM180)/(DR79-DM79))</f>
        <v/>
      </c>
      <c r="DS250" s="242" t="str">
        <f t="shared" ref="DS250" si="777">IF(ISERROR((DS180-DN180)/(DS79-DN79)),"",(DS180-DN180)/(DS79-DN79))</f>
        <v/>
      </c>
      <c r="DT250" s="144" t="str">
        <f>IF(ISERROR((DT180-DO180)/(DT79-DO79)),"",(DT180-DO180)/(DT79-DO79))</f>
        <v/>
      </c>
      <c r="DU250" s="242" t="str">
        <f t="shared" ref="DU250" si="778">IF(ISERROR((DU180-DP180)/(DU79-DP79)),"",(DU180-DP180)/(DU79-DP79))</f>
        <v/>
      </c>
      <c r="DV250" s="242" t="str">
        <f t="shared" ref="DV250" si="779">IF(ISERROR((DV180-DQ180)/(DV79-DQ79)),"",(DV180-DQ180)/(DV79-DQ79))</f>
        <v/>
      </c>
      <c r="DW250" s="242" t="str">
        <f t="shared" ref="DW250" si="780">IF(ISERROR((DW180-DR180)/(DW79-DR79)),"",(DW180-DR180)/(DW79-DR79))</f>
        <v/>
      </c>
      <c r="DX250" s="242" t="str">
        <f t="shared" ref="DX250" si="781">IF(ISERROR((DX180-DS180)/(DX79-DS79)),"",(DX180-DS180)/(DX79-DS79))</f>
        <v/>
      </c>
      <c r="DY250" s="144" t="str">
        <f>IF(ISERROR((DY180-DT180)/(DY79-DT79)),"",(DY180-DT180)/(DY79-DT79))</f>
        <v/>
      </c>
      <c r="DZ250" s="144" t="str">
        <f t="shared" ref="DZ250" si="782">IF(ISERROR((DZ180-DY180)/(DZ79-DY79)),"",(DZ180-DY180)/(DZ79-DY79))</f>
        <v/>
      </c>
      <c r="EA250" s="144" t="str">
        <f t="shared" ref="EA250" si="783">IF(ISERROR((EA180-DZ180)/(EA79-DZ79)),"",(EA180-DZ180)/(EA79-DZ79))</f>
        <v/>
      </c>
      <c r="EB250" s="144" t="str">
        <f t="shared" ref="EB250" si="784">IF(ISERROR((EB180-EA180)/(EB79-EA79)),"",(EB180-EA180)/(EB79-EA79))</f>
        <v/>
      </c>
    </row>
    <row r="251" spans="2:132" s="74" customFormat="1" ht="12" hidden="1" customHeight="1" outlineLevel="1">
      <c r="B251" s="32" t="s">
        <v>188</v>
      </c>
      <c r="C251" s="30" t="str">
        <f t="shared" ref="C251:I251" si="785">IF(ISERROR((C188-B188)/(C82-B82)),"",(C188-B188)/(C82-B82))</f>
        <v/>
      </c>
      <c r="D251" s="30">
        <f t="shared" si="785"/>
        <v>0.18562874251497005</v>
      </c>
      <c r="E251" s="30">
        <f t="shared" si="785"/>
        <v>0.87166938553561724</v>
      </c>
      <c r="F251" s="30">
        <f t="shared" si="785"/>
        <v>1.6786570743405275E-2</v>
      </c>
      <c r="G251" s="30">
        <f t="shared" si="785"/>
        <v>0.12185546022975134</v>
      </c>
      <c r="H251" s="30">
        <f t="shared" si="785"/>
        <v>6.7813029789295228E-3</v>
      </c>
      <c r="I251" s="30">
        <f t="shared" si="785"/>
        <v>0.9539620535714286</v>
      </c>
      <c r="J251" s="29"/>
      <c r="K251" s="29"/>
      <c r="L251" s="29"/>
      <c r="M251" s="29"/>
      <c r="N251" s="30">
        <f t="shared" ref="N251:AR251" si="786">IF(ISERROR((N188-I188)/(N82-I82)),"",(N188-I188)/(N82-I82))</f>
        <v>0.79006085192697773</v>
      </c>
      <c r="O251" s="29">
        <f t="shared" si="786"/>
        <v>-5.3571428571428568</v>
      </c>
      <c r="P251" s="29">
        <f t="shared" si="786"/>
        <v>8.5567010309278352E-2</v>
      </c>
      <c r="Q251" s="29">
        <f t="shared" si="786"/>
        <v>-0.48183556405353728</v>
      </c>
      <c r="R251" s="29">
        <f t="shared" si="786"/>
        <v>0.56945917285259806</v>
      </c>
      <c r="S251" s="30">
        <f t="shared" si="786"/>
        <v>0.33710217755443889</v>
      </c>
      <c r="T251" s="29">
        <f t="shared" si="786"/>
        <v>0.21221613155833985</v>
      </c>
      <c r="U251" s="29">
        <f t="shared" si="786"/>
        <v>6.833333333333333</v>
      </c>
      <c r="V251" s="29">
        <f t="shared" si="786"/>
        <v>8.9099526066350715E-2</v>
      </c>
      <c r="W251" s="29">
        <f t="shared" si="786"/>
        <v>0.17994011976047905</v>
      </c>
      <c r="X251" s="30">
        <f t="shared" si="786"/>
        <v>0.1156320119670905</v>
      </c>
      <c r="Y251" s="29">
        <f t="shared" si="786"/>
        <v>0.31789282470481378</v>
      </c>
      <c r="Z251" s="29">
        <f t="shared" si="786"/>
        <v>0.4813907933398629</v>
      </c>
      <c r="AA251" s="29">
        <f t="shared" si="786"/>
        <v>0.30821147356580425</v>
      </c>
      <c r="AB251" s="29">
        <f t="shared" si="786"/>
        <v>-5.6875</v>
      </c>
      <c r="AC251" s="30">
        <f t="shared" si="786"/>
        <v>0.46221947704344246</v>
      </c>
      <c r="AD251" s="29">
        <f t="shared" si="786"/>
        <v>0.78400000000000003</v>
      </c>
      <c r="AE251" s="29">
        <f t="shared" si="786"/>
        <v>3.9242424242424243</v>
      </c>
      <c r="AF251" s="29">
        <f t="shared" si="786"/>
        <v>0.28758169934640521</v>
      </c>
      <c r="AG251" s="29">
        <f t="shared" si="786"/>
        <v>0.36622943993337498</v>
      </c>
      <c r="AH251" s="30">
        <f t="shared" si="786"/>
        <v>0.34381858083394295</v>
      </c>
      <c r="AI251" s="29">
        <f t="shared" si="786"/>
        <v>-1.51171875</v>
      </c>
      <c r="AJ251" s="29">
        <f t="shared" si="786"/>
        <v>1.46875</v>
      </c>
      <c r="AK251" s="29">
        <f t="shared" si="786"/>
        <v>-2.3641577060931898</v>
      </c>
      <c r="AL251" s="29">
        <f t="shared" si="786"/>
        <v>0.36785103553106591</v>
      </c>
      <c r="AM251" s="30">
        <f t="shared" si="786"/>
        <v>-0.25183374083129584</v>
      </c>
      <c r="AN251" s="29">
        <f t="shared" si="786"/>
        <v>-0.11586314152410575</v>
      </c>
      <c r="AO251" s="29">
        <f t="shared" si="786"/>
        <v>0.14041745730550284</v>
      </c>
      <c r="AP251" s="29">
        <f t="shared" si="786"/>
        <v>12.681003584229391</v>
      </c>
      <c r="AQ251" s="29">
        <f t="shared" si="786"/>
        <v>0.42537851478010091</v>
      </c>
      <c r="AR251" s="30">
        <f t="shared" si="786"/>
        <v>-0.72327044025157228</v>
      </c>
      <c r="AS251" s="29">
        <f t="shared" ref="AS251:BB251" si="787">IF(ISERROR((AS188-AN188)/(AS82-AN82)),"",(AS188-AN188)/(AS82-AN82))</f>
        <v>0.56862745098039214</v>
      </c>
      <c r="AT251" s="29">
        <f t="shared" si="787"/>
        <v>0.23402061855670103</v>
      </c>
      <c r="AU251" s="29">
        <f t="shared" si="787"/>
        <v>0.43026315789473685</v>
      </c>
      <c r="AV251" s="29">
        <f t="shared" si="787"/>
        <v>0.16439267886855241</v>
      </c>
      <c r="AW251" s="30">
        <f t="shared" si="787"/>
        <v>0.19733574170241588</v>
      </c>
      <c r="AX251" s="29">
        <f t="shared" si="787"/>
        <v>0.12743125419181758</v>
      </c>
      <c r="AY251" s="29">
        <f t="shared" si="787"/>
        <v>4.0439052570768342E-3</v>
      </c>
      <c r="AZ251" s="29">
        <f t="shared" si="787"/>
        <v>-6.5760631302060502E-2</v>
      </c>
      <c r="BA251" s="29">
        <f t="shared" si="787"/>
        <v>1.1649071714597743E-2</v>
      </c>
      <c r="BB251" s="30">
        <f t="shared" si="787"/>
        <v>3.5948468718660802E-2</v>
      </c>
      <c r="BC251" s="29">
        <f t="shared" ref="BC251" si="788">IF(ISERROR((BC188-AX188)/(BC82-AX82)),"",(BC188-AX188)/(BC82-AX82))</f>
        <v>8.5714285714285715E-2</v>
      </c>
      <c r="BD251" s="29">
        <f t="shared" ref="BD251" si="789">IF(ISERROR((BD188-AY188)/(BD82-AY82)),"",(BD188-AY188)/(BD82-AY82))</f>
        <v>9.2817679558011054E-2</v>
      </c>
      <c r="BE251" s="29">
        <f t="shared" ref="BE251" si="790">IF(ISERROR((BE188-AZ188)/(BE82-AZ82)),"",(BE188-AZ188)/(BE82-AZ82))</f>
        <v>0.11262959472196042</v>
      </c>
      <c r="BF251" s="29">
        <f t="shared" ref="BF251" si="791">IF(ISERROR((BF188-BA188)/(BF82-BA82)),"",(BF188-BA188)/(BF82-BA82))</f>
        <v>-7.6653407941751572E-2</v>
      </c>
      <c r="BG251" s="30">
        <f t="shared" ref="BG251" si="792">IF(ISERROR((BG188-BB188)/(BG82-BB82)),"",(BG188-BB188)/(BG82-BB82))</f>
        <v>5.1022272754959096E-2</v>
      </c>
      <c r="BH251" s="29">
        <f t="shared" ref="BH251" si="793">IF(ISERROR((BH188-BC188)/(BH82-BC82)),"",(BH188-BC188)/(BH82-BC82))</f>
        <v>8.9058524173027988E-3</v>
      </c>
      <c r="BI251" s="29">
        <f t="shared" ref="BI251" si="794">IF(ISERROR((BI188-BD188)/(BI82-BD82)),"",(BI188-BD188)/(BI82-BD82))</f>
        <v>0.30869565217391304</v>
      </c>
      <c r="BJ251" s="29">
        <f t="shared" ref="BJ251" si="795">IF(ISERROR((BJ188-BE188)/(BJ82-BE82)),"",(BJ188-BE188)/(BJ82-BE82))</f>
        <v>0.19105199516324062</v>
      </c>
      <c r="BK251" s="29">
        <f t="shared" ref="BK251" si="796">IF(ISERROR((BK188-BF188)/(BK82-BF82)),"",(BK188-BF188)/(BK82-BF82))</f>
        <v>0.74659440457008863</v>
      </c>
      <c r="BL251" s="30">
        <f t="shared" ref="BL251" si="797">IF(ISERROR((BL188-BG188)/(BL82-BG82)),"",(BL188-BG188)/(BL82-BG82))</f>
        <v>0.22004494164834379</v>
      </c>
      <c r="BM251" s="29">
        <f t="shared" ref="BM251" si="798">IF(ISERROR((BM188-BH188)/(BM82-BH82)),"",(BM188-BH188)/(BM82-BH82))</f>
        <v>0.2832541567695962</v>
      </c>
      <c r="BN251" s="29">
        <f t="shared" ref="BN251" si="799">IF(ISERROR((BN188-BI188)/(BN82-BI82)),"",(BN188-BI188)/(BN82-BI82))</f>
        <v>-4.1633306645316254E-2</v>
      </c>
      <c r="BO251" s="29">
        <f t="shared" ref="BO251" si="800">IF(ISERROR((BO188-BJ188)/(BO82-BJ82)),"",(BO188-BJ188)/(BO82-BJ82))</f>
        <v>0.22324455205811139</v>
      </c>
      <c r="BP251" s="29">
        <f t="shared" ref="BP251" si="801">IF(ISERROR((BP188-BK188)/(BP82-BK82)),"",(BP188-BK188)/(BP82-BK82))</f>
        <v>0.96536312849162009</v>
      </c>
      <c r="BQ251" s="30">
        <f t="shared" ref="BQ251:BR251" si="802">IF(ISERROR((BQ188-BL188)/(BQ82-BL82)),"",(BQ188-BL188)/(BQ82-BL82))</f>
        <v>-5.6053811659192822E-3</v>
      </c>
      <c r="BR251" s="29">
        <f t="shared" si="802"/>
        <v>-0.47826086956521741</v>
      </c>
      <c r="BS251" s="29">
        <f t="shared" ref="BS251" si="803">IF(ISERROR((BS188-BN188)/(BS82-BN82)),"",(BS188-BN188)/(BS82-BN82))</f>
        <v>-9.915094339622641</v>
      </c>
      <c r="BT251" s="29">
        <f t="shared" ref="BT251" si="804">IF(ISERROR((BT188-BO188)/(BT82-BO82)),"",(BT188-BO188)/(BT82-BO82))</f>
        <v>0.15274218349564325</v>
      </c>
      <c r="BU251" s="29">
        <f t="shared" ref="BU251:BV251" si="805">IF(ISERROR((BU188-BP188)/(BU82-BP82)),"",(BU188-BP188)/(BU82-BP82))</f>
        <v>-3.5609756097560976</v>
      </c>
      <c r="BV251" s="30">
        <f t="shared" si="805"/>
        <v>1.0427738172391445</v>
      </c>
      <c r="BW251" s="29">
        <f t="shared" ref="BW251" si="806">IF(ISERROR((BW188-BR188)/(BW82-BR82)),"",(BW188-BR188)/(BW82-BR82))</f>
        <v>-0.62295081967213117</v>
      </c>
      <c r="BX251" s="29">
        <f t="shared" ref="BX251" si="807">IF(ISERROR((BX188-BS188)/(BX82-BS82)),"",(BX188-BS188)/(BX82-BS82))</f>
        <v>-1.7306338028169015</v>
      </c>
      <c r="BY251" s="29">
        <f t="shared" ref="BY251" si="808">IF(ISERROR((BY188-BT188)/(BY82-BT82)),"",(BY188-BT188)/(BY82-BT82))</f>
        <v>1.0707692307692307</v>
      </c>
      <c r="BZ251" s="29">
        <f t="shared" ref="BZ251" si="809">IF(ISERROR((BZ188-BU188)/(BZ82-BU82)),"",(BZ188-BU188)/(BZ82-BU82))</f>
        <v>0.5357142857142857</v>
      </c>
      <c r="CA251" s="30">
        <f t="shared" ref="CA251:CE251" si="810">IF(ISERROR((CA188-BV188)/(CA82-BV82)),"",(CA188-BV188)/(CA82-BV82))</f>
        <v>-7.968197879858657</v>
      </c>
      <c r="CB251" s="29">
        <f t="shared" si="810"/>
        <v>0.47079521463757917</v>
      </c>
      <c r="CC251" s="29">
        <f t="shared" si="810"/>
        <v>0.1491300745650373</v>
      </c>
      <c r="CD251" s="29">
        <f t="shared" si="810"/>
        <v>-0.43661971830985913</v>
      </c>
      <c r="CE251" s="29">
        <f t="shared" si="810"/>
        <v>0.33520022402688321</v>
      </c>
      <c r="CF251" s="30">
        <f>IF(ISERROR((CF188-CA188)/(CF82-CA82)),"",(CF188-CA188)/(CF82-CA82))</f>
        <v>0.2306936253861275</v>
      </c>
      <c r="CG251" s="29">
        <f t="shared" ref="CG251" si="811">IF(ISERROR((CG188-CB188)/(CG82-CB82)),"",(CG188-CB188)/(CG82-CB82))</f>
        <v>1.1290322580645162</v>
      </c>
      <c r="CH251" s="29">
        <f t="shared" ref="CH251" si="812">IF(ISERROR((CH188-CC188)/(CH82-CC82)),"",(CH188-CC188)/(CH82-CC82))</f>
        <v>0.71588103914423418</v>
      </c>
      <c r="CI251" s="29">
        <f t="shared" ref="CI251" si="813">IF(ISERROR((CI188-CD188)/(CI82-CD82)),"",(CI188-CD188)/(CI82-CD82))</f>
        <v>0.18737901664730933</v>
      </c>
      <c r="CJ251" s="29">
        <f t="shared" ref="CJ251" si="814">IF(ISERROR((CJ188-CE188)/(CJ82-CE82)),"",(CJ188-CE188)/(CJ82-CE82))</f>
        <v>0.611601150527325</v>
      </c>
      <c r="CK251" s="30">
        <f>IF(ISERROR((CK188-CF188)/(CK82-CF82)),"",(CK188-CF188)/(CK82-CF82))</f>
        <v>0.56830022793878221</v>
      </c>
      <c r="CL251" s="29">
        <f t="shared" ref="CL251" si="815">IF(ISERROR((CL188-CG188)/(CL82-CG82)),"",(CL188-CG188)/(CL82-CG82))</f>
        <v>0.61624230321184892</v>
      </c>
      <c r="CM251" s="29">
        <f t="shared" ref="CM251" si="816">IF(ISERROR((CM188-CH188)/(CM82-CH82)),"",(CM188-CH188)/(CM82-CH82))</f>
        <v>-0.10547667342799188</v>
      </c>
      <c r="CN251" s="29">
        <f t="shared" ref="CN251" si="817">IF(ISERROR((CN188-CI188)/(CN82-CI82)),"",(CN188-CI188)/(CN82-CI82))</f>
        <v>0.28419791131655536</v>
      </c>
      <c r="CO251" s="29">
        <f t="shared" ref="CO251" si="818">IF(ISERROR((CO188-CJ188)/(CO82-CJ82)),"",(CO188-CJ188)/(CO82-CJ82))</f>
        <v>2.2420406597621789</v>
      </c>
      <c r="CP251" s="30">
        <f>IF(ISERROR((CP188-CK188)/(CP82-CK82)),"",(CP188-CK188)/(CP82-CK82))</f>
        <v>0.58648986468126729</v>
      </c>
      <c r="CQ251" s="29">
        <f t="shared" ref="CQ251" si="819">IF(ISERROR((CQ188-CL188)/(CQ82-CL82)),"",(CQ188-CL188)/(CQ82-CL82))</f>
        <v>-0.75103489059727968</v>
      </c>
      <c r="CR251" s="29">
        <f t="shared" ref="CR251" si="820">IF(ISERROR((CR188-CM188)/(CR82-CM82)),"",(CR188-CM188)/(CR82-CM82))</f>
        <v>0.76806010402619918</v>
      </c>
      <c r="CS251" s="29">
        <f t="shared" ref="CS251" si="821">IF(ISERROR((CS188-CN188)/(CS82-CN82)),"",(CS188-CN188)/(CS82-CN82))</f>
        <v>0.6409130816505707</v>
      </c>
      <c r="CT251" s="29">
        <f t="shared" ref="CT251" si="822">IF(ISERROR((CT188-CO188)/(CT82-CO82)),"",(CT188-CO188)/(CT82-CO82))</f>
        <v>-7.5890410958904111</v>
      </c>
      <c r="CU251" s="30">
        <f>IF(ISERROR((CU188-CP188)/(CU82-CP82)),"",(CU188-CP188)/(CU82-CP82))</f>
        <v>2.3897771317829459</v>
      </c>
      <c r="CV251" s="29">
        <f t="shared" ref="CV251:CW251" si="823">IF(ISERROR((CV188-CQ188)/(CV82-CQ82)),"",(CV188-CQ188)/(CV82-CQ82))</f>
        <v>0.88580750407830344</v>
      </c>
      <c r="CW251" s="29">
        <f t="shared" si="823"/>
        <v>0.78548895899053628</v>
      </c>
      <c r="CX251" s="29">
        <f t="shared" ref="CX251" si="824">IF(ISERROR((CX188-CS188)/(CX82-CS82)),"",(CX188-CS188)/(CX82-CS82))</f>
        <v>-4.6135693215339231</v>
      </c>
      <c r="CY251" s="29">
        <f t="shared" ref="CY251" si="825">IF(ISERROR((CY188-CT188)/(CY82-CT82)),"",(CY188-CT188)/(CY82-CT82))</f>
        <v>0.73607094659726235</v>
      </c>
      <c r="CZ251" s="30">
        <f>IF(ISERROR((CZ188-CU188)/(CZ82-CU82)),"",(CZ188-CU188)/(CZ82-CU82))</f>
        <v>-0.14923646459972234</v>
      </c>
      <c r="DA251" s="29">
        <f t="shared" ref="DA251" si="826">IF(ISERROR((DA188-CV188)/(DA82-CV82)),"",(DA188-CV188)/(DA82-CV82))</f>
        <v>0.25954198473282442</v>
      </c>
      <c r="DB251" s="29">
        <f t="shared" ref="DB251" si="827">IF(ISERROR((DB188-CW188)/(DB82-CW82)),"",(DB188-CW188)/(DB82-CW82))</f>
        <v>-0.28436482084690556</v>
      </c>
      <c r="DC251" s="29">
        <f t="shared" ref="DC251" si="828">IF(ISERROR((DC188-CX188)/(DC82-CX82)),"",(DC188-CX188)/(DC82-CX82))</f>
        <v>0.92690875232774672</v>
      </c>
      <c r="DD251" s="29">
        <f t="shared" ref="DD251" si="829">IF(ISERROR((DD188-CY188)/(DD82-CY82)),"",(DD188-CY188)/(DD82-CY82))</f>
        <v>0.31207065750736018</v>
      </c>
      <c r="DE251" s="30">
        <f>IF(ISERROR((DE188-CZ188)/(DE82-CZ82)),"",(DE188-CZ188)/(DE82-CZ82))</f>
        <v>0.24798855712497764</v>
      </c>
      <c r="DF251" s="29">
        <f t="shared" ref="DF251:DP251" si="830">IF(ISERROR((DF188-DA188)/(DF82-DA82)),"",(DF188-DA188)/(DF82-DA82))</f>
        <v>-4.6597633136094677E-2</v>
      </c>
      <c r="DG251" s="29">
        <f t="shared" si="830"/>
        <v>0.34350086655112649</v>
      </c>
      <c r="DH251" s="29">
        <f t="shared" si="830"/>
        <v>18.761363636363637</v>
      </c>
      <c r="DI251" s="29">
        <f t="shared" si="830"/>
        <v>0.59814049586776863</v>
      </c>
      <c r="DJ251" s="30">
        <f>IF(ISERROR((DJ188-DE188)/(DJ82-DE82)),"",(DJ188-DE188)/(DJ82-DE82))</f>
        <v>0.88090804291921609</v>
      </c>
      <c r="DK251" s="29">
        <f t="shared" si="830"/>
        <v>0.18688076528869149</v>
      </c>
      <c r="DL251" s="29">
        <f t="shared" si="830"/>
        <v>0.15536291007989123</v>
      </c>
      <c r="DM251" s="29">
        <f t="shared" si="830"/>
        <v>0.18047882136279927</v>
      </c>
      <c r="DN251" s="29">
        <f t="shared" si="830"/>
        <v>1.4411899839191362</v>
      </c>
      <c r="DO251" s="30">
        <f>IF(ISERROR((DO188-DJ188)/(DO82-DJ82)),"",(DO188-DJ188)/(DO82-DJ82))</f>
        <v>0.65318574043406263</v>
      </c>
      <c r="DP251" s="29">
        <f t="shared" si="830"/>
        <v>-4.7776552737963983E-3</v>
      </c>
      <c r="DQ251" s="29">
        <f t="shared" ref="DQ251" si="831">IF(ISERROR((DQ188-DL188)/(DQ82-DL82)),"",(DQ188-DL188)/(DQ82-DL82))</f>
        <v>0.18332413031474323</v>
      </c>
      <c r="DR251" s="29">
        <f t="shared" ref="DR251" si="832">IF(ISERROR((DR188-DM188)/(DR82-DM82)),"",(DR188-DM188)/(DR82-DM82))</f>
        <v>5.1841219762276385</v>
      </c>
      <c r="DS251" s="29">
        <f t="shared" ref="DS251" si="833">IF(ISERROR((DS188-DN188)/(DS82-DN82)),"",(DS188-DN188)/(DS82-DN82))</f>
        <v>-3.6340284991809573</v>
      </c>
      <c r="DT251" s="30">
        <f>IF(ISERROR((DT188-DO188)/(DT82-DO82)),"",(DT188-DO188)/(DT82-DO82))</f>
        <v>-0.27884703789750087</v>
      </c>
      <c r="DU251" s="29">
        <f t="shared" ref="DU251" si="834">IF(ISERROR((DU188-DP188)/(DU82-DP82)),"",(DU188-DP188)/(DU82-DP82))</f>
        <v>4.5829227560705357E-2</v>
      </c>
      <c r="DV251" s="29">
        <f t="shared" ref="DV251" si="835">IF(ISERROR((DV188-DQ188)/(DV82-DQ82)),"",(DV188-DQ188)/(DV82-DQ82))</f>
        <v>0.36660363378288441</v>
      </c>
      <c r="DW251" s="29">
        <f t="shared" ref="DW251" si="836">IF(ISERROR((DW188-DR188)/(DW82-DR82)),"",(DW188-DR188)/(DW82-DR82))</f>
        <v>0.25745508884494761</v>
      </c>
      <c r="DX251" s="29">
        <f t="shared" ref="DX251" si="837">IF(ISERROR((DX188-DS188)/(DX82-DS82)),"",(DX188-DS188)/(DX82-DS82))</f>
        <v>0.22456131791946654</v>
      </c>
      <c r="DY251" s="30">
        <f>IF(ISERROR((DY188-DT188)/(DY82-DT82)),"",(DY188-DT188)/(DY82-DT82))</f>
        <v>0.22329456006574666</v>
      </c>
      <c r="DZ251" s="30">
        <f t="shared" ref="DZ251" si="838">IF(ISERROR((DZ188-DY188)/(DZ82-DY82)),"",(DZ188-DY188)/(DZ82-DY82))</f>
        <v>0.3429472069357184</v>
      </c>
      <c r="EA251" s="30">
        <f t="shared" ref="EA251" si="839">IF(ISERROR((EA188-DZ188)/(EA82-DZ82)),"",(EA188-DZ188)/(EA82-DZ82))</f>
        <v>0.32418179641062578</v>
      </c>
      <c r="EB251" s="30">
        <f t="shared" ref="EB251" si="840">IF(ISERROR((EB188-EA188)/(EB82-EA82)),"",(EB188-EA188)/(EB82-EA82))</f>
        <v>0.53354010062011759</v>
      </c>
    </row>
    <row r="252" spans="2:132" s="241" customFormat="1" ht="12" hidden="1" customHeight="1" outlineLevel="1">
      <c r="B252" s="102"/>
      <c r="C252" s="301"/>
      <c r="D252" s="301"/>
      <c r="E252" s="301"/>
      <c r="F252" s="301"/>
      <c r="G252" s="301"/>
      <c r="H252" s="301"/>
      <c r="I252" s="301"/>
      <c r="J252" s="302"/>
      <c r="K252" s="302"/>
      <c r="L252" s="302"/>
      <c r="M252" s="302"/>
      <c r="N252" s="301"/>
      <c r="O252" s="302"/>
      <c r="P252" s="302"/>
      <c r="Q252" s="302"/>
      <c r="R252" s="302"/>
      <c r="S252" s="301"/>
      <c r="T252" s="302"/>
      <c r="U252" s="302"/>
      <c r="V252" s="302"/>
      <c r="W252" s="302"/>
      <c r="X252" s="301"/>
      <c r="Y252" s="302"/>
      <c r="Z252" s="302"/>
      <c r="AA252" s="302"/>
      <c r="AB252" s="302"/>
      <c r="AC252" s="301"/>
      <c r="AD252" s="302"/>
      <c r="AE252" s="302"/>
      <c r="AF252" s="302"/>
      <c r="AG252" s="302"/>
      <c r="AH252" s="301"/>
      <c r="AI252" s="302"/>
      <c r="AJ252" s="302"/>
      <c r="AK252" s="302"/>
      <c r="AL252" s="302"/>
      <c r="AM252" s="301"/>
      <c r="AN252" s="302"/>
      <c r="AO252" s="302"/>
      <c r="AP252" s="302"/>
      <c r="AQ252" s="302"/>
      <c r="AR252" s="301"/>
      <c r="AS252" s="302"/>
      <c r="AT252" s="302"/>
      <c r="AU252" s="302"/>
      <c r="AV252" s="302"/>
      <c r="AW252" s="301"/>
      <c r="AX252" s="302"/>
      <c r="AY252" s="302"/>
      <c r="AZ252" s="302"/>
      <c r="BA252" s="302"/>
      <c r="BB252" s="301"/>
      <c r="BC252" s="302"/>
      <c r="BD252" s="302"/>
      <c r="BE252" s="302"/>
      <c r="BF252" s="302"/>
      <c r="BG252" s="301"/>
      <c r="BH252" s="469"/>
      <c r="BI252" s="469"/>
      <c r="BJ252" s="469"/>
      <c r="BK252" s="469"/>
      <c r="BL252" s="144"/>
      <c r="BM252" s="469"/>
      <c r="BN252" s="469"/>
      <c r="BO252" s="469"/>
      <c r="BP252" s="469"/>
      <c r="BQ252" s="144"/>
      <c r="BR252" s="469"/>
      <c r="BS252" s="469"/>
      <c r="BT252" s="469"/>
      <c r="BU252" s="469"/>
      <c r="BV252" s="144"/>
      <c r="BW252" s="469"/>
      <c r="BX252" s="469"/>
      <c r="BY252" s="469"/>
      <c r="BZ252" s="469"/>
      <c r="CA252" s="144"/>
      <c r="CB252" s="469"/>
      <c r="CC252" s="469"/>
      <c r="CD252" s="469"/>
      <c r="CE252" s="469"/>
      <c r="CF252" s="144"/>
      <c r="CG252" s="469"/>
      <c r="CH252" s="469"/>
      <c r="CI252" s="469"/>
      <c r="CJ252" s="469"/>
      <c r="CK252" s="144"/>
      <c r="CL252" s="469"/>
      <c r="CM252" s="469"/>
      <c r="CN252" s="469"/>
      <c r="CO252" s="469"/>
      <c r="CP252" s="144"/>
      <c r="CQ252" s="469"/>
      <c r="CR252" s="469"/>
      <c r="CS252" s="469"/>
      <c r="CT252" s="469"/>
      <c r="CU252" s="144"/>
      <c r="CV252" s="469"/>
      <c r="CW252" s="469"/>
      <c r="CX252" s="469"/>
      <c r="CY252" s="469"/>
      <c r="CZ252" s="144"/>
      <c r="DA252" s="469"/>
      <c r="DB252" s="469"/>
      <c r="DC252" s="469"/>
      <c r="DD252" s="469"/>
      <c r="DE252" s="144"/>
      <c r="DF252" s="469"/>
      <c r="DG252" s="469"/>
      <c r="DH252" s="469"/>
      <c r="DI252" s="469"/>
      <c r="DJ252" s="144"/>
      <c r="DK252" s="469"/>
      <c r="DL252" s="469"/>
      <c r="DM252" s="469"/>
      <c r="DN252" s="469"/>
      <c r="DO252" s="144"/>
      <c r="DP252" s="469"/>
      <c r="DQ252" s="469"/>
      <c r="DR252" s="469"/>
      <c r="DS252" s="469"/>
      <c r="DT252" s="144"/>
      <c r="DU252" s="469"/>
      <c r="DV252" s="469"/>
      <c r="DW252" s="469"/>
      <c r="DX252" s="469"/>
      <c r="DY252" s="144"/>
      <c r="DZ252" s="144"/>
      <c r="EA252" s="144"/>
      <c r="EB252" s="144"/>
    </row>
    <row r="253" spans="2:132" s="241" customFormat="1" ht="12" hidden="1" customHeight="1" outlineLevel="1">
      <c r="B253" s="74" t="s">
        <v>186</v>
      </c>
      <c r="C253" s="301"/>
      <c r="D253" s="301"/>
      <c r="E253" s="301"/>
      <c r="F253" s="301"/>
      <c r="G253" s="301"/>
      <c r="H253" s="301"/>
      <c r="I253" s="301"/>
      <c r="J253" s="242"/>
      <c r="K253" s="242"/>
      <c r="L253" s="242"/>
      <c r="M253" s="242"/>
      <c r="N253" s="301"/>
      <c r="O253" s="242"/>
      <c r="P253" s="242"/>
      <c r="Q253" s="242"/>
      <c r="R253" s="242"/>
      <c r="S253" s="301"/>
      <c r="T253" s="242"/>
      <c r="U253" s="242"/>
      <c r="V253" s="242"/>
      <c r="W253" s="242"/>
      <c r="X253" s="301"/>
      <c r="Y253" s="242"/>
      <c r="Z253" s="242"/>
      <c r="AA253" s="242"/>
      <c r="AB253" s="242"/>
      <c r="AC253" s="301"/>
      <c r="AD253" s="242"/>
      <c r="AE253" s="242"/>
      <c r="AF253" s="242"/>
      <c r="AG253" s="242"/>
      <c r="AH253" s="301"/>
      <c r="AI253" s="242"/>
      <c r="AJ253" s="242"/>
      <c r="AK253" s="242"/>
      <c r="AL253" s="242"/>
      <c r="AM253" s="301"/>
      <c r="AN253" s="242"/>
      <c r="AO253" s="242"/>
      <c r="AP253" s="242"/>
      <c r="AQ253" s="242"/>
      <c r="AR253" s="301"/>
      <c r="AS253" s="242"/>
      <c r="AT253" s="242"/>
      <c r="AU253" s="242"/>
      <c r="AV253" s="242"/>
      <c r="AW253" s="301"/>
      <c r="AX253" s="242"/>
      <c r="AY253" s="242"/>
      <c r="AZ253" s="242"/>
      <c r="BA253" s="242"/>
      <c r="BB253" s="301"/>
      <c r="BC253" s="242"/>
      <c r="BD253" s="242"/>
      <c r="BE253" s="242"/>
      <c r="BF253" s="242"/>
      <c r="BG253" s="301"/>
      <c r="BH253" s="145"/>
      <c r="BI253" s="145"/>
      <c r="BJ253" s="145"/>
      <c r="BK253" s="145"/>
      <c r="BL253" s="144"/>
      <c r="BM253" s="145"/>
      <c r="BN253" s="145"/>
      <c r="BO253" s="145"/>
      <c r="BP253" s="145"/>
      <c r="BQ253" s="144"/>
      <c r="BR253" s="145"/>
      <c r="BS253" s="145"/>
      <c r="BT253" s="145"/>
      <c r="BU253" s="145"/>
      <c r="BV253" s="144"/>
      <c r="BW253" s="145"/>
      <c r="BX253" s="145"/>
      <c r="BY253" s="145"/>
      <c r="BZ253" s="145"/>
      <c r="CA253" s="144"/>
      <c r="CB253" s="145"/>
      <c r="CC253" s="145"/>
      <c r="CD253" s="145"/>
      <c r="CE253" s="145"/>
      <c r="CF253" s="144"/>
      <c r="CG253" s="145"/>
      <c r="CH253" s="145"/>
      <c r="CI253" s="145"/>
      <c r="CJ253" s="145"/>
      <c r="CK253" s="144"/>
      <c r="CL253" s="145"/>
      <c r="CM253" s="145"/>
      <c r="CN253" s="145"/>
      <c r="CO253" s="145"/>
      <c r="CP253" s="144"/>
      <c r="CQ253" s="145"/>
      <c r="CR253" s="145"/>
      <c r="CS253" s="145"/>
      <c r="CT253" s="145"/>
      <c r="CU253" s="144"/>
      <c r="CV253" s="145"/>
      <c r="CW253" s="145"/>
      <c r="CX253" s="145"/>
      <c r="CY253" s="145"/>
      <c r="CZ253" s="144"/>
      <c r="DA253" s="145"/>
      <c r="DB253" s="145"/>
      <c r="DC253" s="145"/>
      <c r="DD253" s="145"/>
      <c r="DE253" s="144"/>
      <c r="DF253" s="145"/>
      <c r="DG253" s="145"/>
      <c r="DH253" s="145"/>
      <c r="DI253" s="145"/>
      <c r="DJ253" s="144"/>
      <c r="DK253" s="145"/>
      <c r="DL253" s="145"/>
      <c r="DM253" s="145"/>
      <c r="DN253" s="145"/>
      <c r="DO253" s="144"/>
      <c r="DP253" s="145"/>
      <c r="DQ253" s="145"/>
      <c r="DR253" s="145"/>
      <c r="DS253" s="145"/>
      <c r="DT253" s="144"/>
      <c r="DU253" s="145"/>
      <c r="DV253" s="145"/>
      <c r="DW253" s="145"/>
      <c r="DX253" s="145"/>
      <c r="DY253" s="144"/>
      <c r="DZ253" s="144"/>
      <c r="EA253" s="144"/>
      <c r="EB253" s="144"/>
    </row>
    <row r="254" spans="2:132" s="241" customFormat="1" ht="12" hidden="1" customHeight="1" outlineLevel="1">
      <c r="B254" s="241" t="s">
        <v>105</v>
      </c>
      <c r="C254" s="301" t="str">
        <f t="shared" ref="C254:H254" si="841">IF(ISERROR(C168/B168-1),"",(C168/B168-1))</f>
        <v/>
      </c>
      <c r="D254" s="301">
        <f t="shared" si="841"/>
        <v>-1.0342950462710943</v>
      </c>
      <c r="E254" s="301">
        <f t="shared" si="841"/>
        <v>31</v>
      </c>
      <c r="F254" s="301">
        <f t="shared" si="841"/>
        <v>0.35714285714285721</v>
      </c>
      <c r="G254" s="301">
        <f t="shared" si="841"/>
        <v>-3.8011695906432719E-2</v>
      </c>
      <c r="H254" s="301">
        <f t="shared" si="841"/>
        <v>8.1686930091185328E-2</v>
      </c>
      <c r="I254" s="301">
        <f t="shared" ref="I254:I261" si="842">IF(ISERROR(I168/H168-1),"",(I168/H168-1))</f>
        <v>-0.75166842290129965</v>
      </c>
      <c r="J254" s="242"/>
      <c r="K254" s="242"/>
      <c r="L254" s="242"/>
      <c r="M254" s="242"/>
      <c r="N254" s="301">
        <f t="shared" ref="N254:W257" si="843">IF(ISERROR(N168/I168-1),"",(N168/I168-1))</f>
        <v>6.506364922206509E-2</v>
      </c>
      <c r="O254" s="242">
        <f t="shared" si="843"/>
        <v>0.10511363636363646</v>
      </c>
      <c r="P254" s="242">
        <f t="shared" si="843"/>
        <v>0.24345549738219896</v>
      </c>
      <c r="Q254" s="242">
        <f t="shared" si="843"/>
        <v>0.41666666666666674</v>
      </c>
      <c r="R254" s="242">
        <f t="shared" si="843"/>
        <v>-3.2147651006711411</v>
      </c>
      <c r="S254" s="301">
        <f t="shared" si="843"/>
        <v>0.90172642762284205</v>
      </c>
      <c r="T254" s="242">
        <f t="shared" si="843"/>
        <v>0.80719794344473006</v>
      </c>
      <c r="U254" s="242">
        <f t="shared" si="843"/>
        <v>0.51368421052631574</v>
      </c>
      <c r="V254" s="242">
        <f t="shared" si="843"/>
        <v>1.7142857142857144</v>
      </c>
      <c r="W254" s="242">
        <f t="shared" si="843"/>
        <v>1.0151515151515151</v>
      </c>
      <c r="X254" s="301">
        <f t="shared" ref="X254:AG257" si="844">IF(ISERROR(X168/S168-1),"",(X168/S168-1))</f>
        <v>0.90851955307262577</v>
      </c>
      <c r="Y254" s="242">
        <f t="shared" si="844"/>
        <v>4.2674253200569723E-3</v>
      </c>
      <c r="Z254" s="242">
        <f t="shared" si="844"/>
        <v>0.33518776077885959</v>
      </c>
      <c r="AA254" s="242">
        <f t="shared" si="844"/>
        <v>0.46284829721362231</v>
      </c>
      <c r="AB254" s="242">
        <f t="shared" si="844"/>
        <v>0.46315789473684221</v>
      </c>
      <c r="AC254" s="301">
        <f t="shared" si="844"/>
        <v>0.31137943651664846</v>
      </c>
      <c r="AD254" s="242">
        <f t="shared" si="844"/>
        <v>0.39235127478753551</v>
      </c>
      <c r="AE254" s="242">
        <f t="shared" si="844"/>
        <v>-0.19062500000000004</v>
      </c>
      <c r="AF254" s="242">
        <f t="shared" si="844"/>
        <v>-0.58306878306878307</v>
      </c>
      <c r="AG254" s="242">
        <f t="shared" si="844"/>
        <v>-1.9948612538540598</v>
      </c>
      <c r="AH254" s="301">
        <f t="shared" ref="AH254:AK257" si="845">IF(ISERROR(AH168/AC168-1),"",(AH168/AC168-1))</f>
        <v>-0.6690848214285714</v>
      </c>
      <c r="AI254" s="242">
        <f t="shared" si="845"/>
        <v>-0.57578840284842325</v>
      </c>
      <c r="AJ254" s="242">
        <f t="shared" si="845"/>
        <v>5.1480051480051525E-2</v>
      </c>
      <c r="AK254" s="242">
        <f t="shared" si="845"/>
        <v>-8.2005076142131976</v>
      </c>
      <c r="AL254" s="242">
        <f t="shared" ref="AL254:AR254" si="846">IF(ISERROR(AL168/AG168-1),"",AL168/AG168-1)</f>
        <v>-2.053719008264463</v>
      </c>
      <c r="AM254" s="301">
        <f t="shared" si="846"/>
        <v>-1.4915682967959527</v>
      </c>
      <c r="AN254" s="242">
        <f>IF(ISERROR(AN168/AI168-1),"",(AN168/AI168-1))</f>
        <v>0.62829736211031184</v>
      </c>
      <c r="AO254" s="242">
        <f t="shared" ref="AO254:AP257" si="847">IF(ISERROR(AO168/AJ168-1),"",AO168/AJ168-1)</f>
        <v>-0.16401468788249696</v>
      </c>
      <c r="AP254" s="242">
        <f t="shared" si="847"/>
        <v>-1.3584772647162495</v>
      </c>
      <c r="AQ254" s="242">
        <f t="shared" si="846"/>
        <v>-0.38529411764705879</v>
      </c>
      <c r="AR254" s="301">
        <f t="shared" si="846"/>
        <v>-6.1560891938250428</v>
      </c>
      <c r="AS254" s="242">
        <f t="shared" ref="AS254:CF254" si="848">IF(ISERROR(AS168/AN168-1),"",AS168/AN168-1)</f>
        <v>-0.25036818851251841</v>
      </c>
      <c r="AT254" s="242">
        <f t="shared" si="848"/>
        <v>0.3469985358711567</v>
      </c>
      <c r="AU254" s="242">
        <f t="shared" si="848"/>
        <v>6.6863323500491623E-2</v>
      </c>
      <c r="AV254" s="242">
        <f t="shared" si="848"/>
        <v>0.56459330143540676</v>
      </c>
      <c r="AW254" s="301">
        <f t="shared" si="848"/>
        <v>0.16267465069860276</v>
      </c>
      <c r="AX254" s="242">
        <f t="shared" si="848"/>
        <v>1.1237721021611002</v>
      </c>
      <c r="AY254" s="242">
        <f t="shared" si="848"/>
        <v>0.31630434782608696</v>
      </c>
      <c r="AZ254" s="242">
        <f t="shared" si="848"/>
        <v>6.267281105990774E-2</v>
      </c>
      <c r="BA254" s="242">
        <f t="shared" si="848"/>
        <v>0.29051987767584109</v>
      </c>
      <c r="BB254" s="301">
        <f t="shared" si="848"/>
        <v>0.34792560801144501</v>
      </c>
      <c r="BC254" s="242">
        <f t="shared" si="848"/>
        <v>0.12765957446808507</v>
      </c>
      <c r="BD254" s="242">
        <f t="shared" si="848"/>
        <v>0.19983484723369127</v>
      </c>
      <c r="BE254" s="242">
        <f t="shared" si="848"/>
        <v>0.40242844752818741</v>
      </c>
      <c r="BF254" s="242">
        <f t="shared" si="848"/>
        <v>0.18981042654028424</v>
      </c>
      <c r="BG254" s="301">
        <f t="shared" si="848"/>
        <v>0.23016344725111448</v>
      </c>
      <c r="BH254" s="242">
        <f t="shared" si="848"/>
        <v>0.23215750615258401</v>
      </c>
      <c r="BI254" s="242">
        <f t="shared" si="848"/>
        <v>6.6758430832759785E-2</v>
      </c>
      <c r="BJ254" s="242">
        <f t="shared" si="848"/>
        <v>0.11131725417439697</v>
      </c>
      <c r="BK254" s="242">
        <f t="shared" si="848"/>
        <v>3.6978025625705513E-2</v>
      </c>
      <c r="BL254" s="144">
        <f t="shared" si="848"/>
        <v>0.10624126447293492</v>
      </c>
      <c r="BM254" s="242">
        <f t="shared" si="848"/>
        <v>7.6564580559254303E-2</v>
      </c>
      <c r="BN254" s="242">
        <f t="shared" si="848"/>
        <v>-0.22193548387096773</v>
      </c>
      <c r="BO254" s="242">
        <f t="shared" si="848"/>
        <v>-1.6138007790762354E-2</v>
      </c>
      <c r="BP254" s="242">
        <f t="shared" si="848"/>
        <v>-0.63764404609475034</v>
      </c>
      <c r="BQ254" s="144">
        <f t="shared" si="848"/>
        <v>-0.1956013102480112</v>
      </c>
      <c r="BR254" s="242">
        <f>IF(ISERROR(Data!BR170/BM168-1),"",Data!BR170/BM168-1)</f>
        <v>-0.36116264687693256</v>
      </c>
      <c r="BS254" s="242">
        <f>IF(ISERROR(Data!BS170/BN168-1),"",Data!BS170/BN168-1)</f>
        <v>-1.806799336650083</v>
      </c>
      <c r="BT254" s="242">
        <f>IF(ISERROR(Data!BT170/BO168-1),"",Data!BT170/BO168-1)</f>
        <v>-9.671945701357465E-2</v>
      </c>
      <c r="BU254" s="242">
        <f>IF(ISERROR(Data!BU170/BP168-1),"",Data!BU170/BP168-1)</f>
        <v>1.6024734982332154</v>
      </c>
      <c r="BV254" s="144">
        <f>IF(ISERROR(Data!BV170/BQ168-1),"",Data!BV170/BQ168-1)</f>
        <v>-0.39305797944541399</v>
      </c>
      <c r="BW254" s="242">
        <f t="shared" si="848"/>
        <v>9.8484848484848397E-2</v>
      </c>
      <c r="BX254" s="242">
        <f t="shared" si="848"/>
        <v>-2.0007806401249022</v>
      </c>
      <c r="BY254" s="242">
        <f t="shared" si="848"/>
        <v>0.17014694508894035</v>
      </c>
      <c r="BZ254" s="242">
        <f t="shared" si="848"/>
        <v>0.50041981528127621</v>
      </c>
      <c r="CA254" s="144">
        <f t="shared" si="848"/>
        <v>1.7328320802005011</v>
      </c>
      <c r="CB254" s="242">
        <f t="shared" si="848"/>
        <v>0.6229885057471265</v>
      </c>
      <c r="CC254" s="242">
        <f t="shared" si="848"/>
        <v>0.39235569422776906</v>
      </c>
      <c r="CD254" s="242">
        <f t="shared" si="848"/>
        <v>0.3436880370125579</v>
      </c>
      <c r="CE254" s="242">
        <f t="shared" si="848"/>
        <v>0.45495243424734189</v>
      </c>
      <c r="CF254" s="144">
        <f t="shared" si="848"/>
        <v>0.43617021276595747</v>
      </c>
      <c r="CG254" s="242">
        <f t="shared" ref="CG254" si="849">IF(ISERROR(CG168/CB168-1),"",CG168/CB168-1)</f>
        <v>-0.16926345609065152</v>
      </c>
      <c r="CH254" s="242">
        <f t="shared" ref="CH254" si="850">IF(ISERROR(CH168/CC168-1),"",CH168/CC168-1)</f>
        <v>-3.7708683473389355</v>
      </c>
      <c r="CI254" s="242">
        <f t="shared" ref="CI254" si="851">IF(ISERROR(CI168/CD168-1),"",CI168/CD168-1)</f>
        <v>-1.0196753566158387</v>
      </c>
      <c r="CJ254" s="242">
        <f t="shared" ref="CJ254:CK257" si="852">IF(ISERROR(CJ168/CE168-1),"",CJ168/CE168-1)</f>
        <v>-2.0938461538461537</v>
      </c>
      <c r="CK254" s="144">
        <f t="shared" si="852"/>
        <v>-1.850191570881226</v>
      </c>
      <c r="CL254" s="242">
        <f t="shared" ref="CL254" si="853">IF(ISERROR(CL168/CG168-1),"",CL168/CG168-1)</f>
        <v>-2.763000852514919</v>
      </c>
      <c r="CM254" s="242">
        <f t="shared" ref="CM254" si="854">IF(ISERROR(CM168/CH168-1),"",CM168/CH168-1)</f>
        <v>-0.44156894460169838</v>
      </c>
      <c r="CN254" s="242">
        <f t="shared" ref="CN254" si="855">IF(ISERROR(CN168/CI168-1),"",CN168/CI168-1)</f>
        <v>33.225000000000001</v>
      </c>
      <c r="CO254" s="242">
        <f t="shared" ref="CO254:CP257" si="856">IF(ISERROR(CO168/CJ168-1),"",CO168/CJ168-1)</f>
        <v>1.6891701828410688</v>
      </c>
      <c r="CP254" s="144">
        <f t="shared" si="856"/>
        <v>1.0800660958389665</v>
      </c>
      <c r="CQ254" s="242">
        <f t="shared" ref="CQ254:CQ257" si="857">IF(ISERROR(CQ168/CL168-1),"",CQ168/CL168-1)</f>
        <v>-0.58607350096711797</v>
      </c>
      <c r="CR254" s="242">
        <f t="shared" ref="CR254:CR257" si="858">IF(ISERROR(CR168/CM168-1),"",CR168/CM168-1)</f>
        <v>-0.82910934105720491</v>
      </c>
      <c r="CS254" s="242">
        <f t="shared" ref="CS254:CS257" si="859">IF(ISERROR(CS168/CN168-1),"",CS168/CN168-1)</f>
        <v>-0.49379108838568297</v>
      </c>
      <c r="CT254" s="242">
        <f t="shared" ref="CT254:CU257" si="860">IF(ISERROR(CT168/CO168-1),"",CT168/CO168-1)</f>
        <v>-0.41762552301255229</v>
      </c>
      <c r="CU254" s="144">
        <f t="shared" si="860"/>
        <v>-0.5323896872968874</v>
      </c>
      <c r="CV254" s="242">
        <f t="shared" ref="CV254:CW257" si="861">IF(ISERROR(CV168/CQ168-1),"",CV168/CQ168-1)</f>
        <v>3.5046728971963592E-3</v>
      </c>
      <c r="CW254" s="242">
        <f t="shared" si="861"/>
        <v>-0.48728813559322037</v>
      </c>
      <c r="CX254" s="242">
        <f t="shared" ref="CX254:CX257" si="862">IF(ISERROR(CX168/CS168-1),"",CX168/CS168-1)</f>
        <v>-7.2150072150072186E-2</v>
      </c>
      <c r="CY254" s="242">
        <f t="shared" ref="CY254:CY257" si="863">IF(ISERROR(CY168/CT168-1),"",CY168/CT168-1)</f>
        <v>-0.85945217781769201</v>
      </c>
      <c r="CZ254" s="144">
        <f t="shared" ref="CZ254:CZ257" si="864">IF(ISERROR(CZ168/CU168-1),"",CZ168/CU168-1)</f>
        <v>-0.63397683397683391</v>
      </c>
      <c r="DA254" s="242">
        <f t="shared" ref="DA254:DA257" si="865">IF(ISERROR(DA168/CV168-1),"",DA168/CV168-1)</f>
        <v>-0.28405122235157154</v>
      </c>
      <c r="DB254" s="242">
        <f t="shared" ref="DB254:DB257" si="866">IF(ISERROR(DB168/CW168-1),"",DB168/CW168-1)</f>
        <v>0.5826446280991735</v>
      </c>
      <c r="DC254" s="242">
        <f t="shared" ref="DC254:DC257" si="867">IF(ISERROR(DC168/CX168-1),"",DC168/CX168-1)</f>
        <v>5.4432348367029482E-2</v>
      </c>
      <c r="DD254" s="242">
        <f t="shared" ref="DD254:DP257" si="868">IF(ISERROR(DD168/CY168-1),"",DD168/CY168-1)</f>
        <v>-1.0654952076677315</v>
      </c>
      <c r="DE254" s="144">
        <f t="shared" si="868"/>
        <v>-0.310126582278481</v>
      </c>
      <c r="DF254" s="242">
        <f t="shared" si="868"/>
        <v>0.85853658536585375</v>
      </c>
      <c r="DG254" s="242">
        <f t="shared" si="868"/>
        <v>0.86684073107049597</v>
      </c>
      <c r="DH254" s="242">
        <f t="shared" si="868"/>
        <v>4.9306784660766958</v>
      </c>
      <c r="DI254" s="242">
        <f t="shared" si="868"/>
        <v>-51.975609756097562</v>
      </c>
      <c r="DJ254" s="144">
        <f>IF(ISERROR(DJ168/DE168-1),"",DJ168/DE168-1)</f>
        <v>3.8740061162079513</v>
      </c>
      <c r="DK254" s="242">
        <f t="shared" si="868"/>
        <v>-0.53018372703412076</v>
      </c>
      <c r="DL254" s="242">
        <f t="shared" si="868"/>
        <v>-0.220979020979021</v>
      </c>
      <c r="DM254" s="242">
        <f t="shared" si="868"/>
        <v>0.33126088037801549</v>
      </c>
      <c r="DN254" s="242">
        <f t="shared" si="868"/>
        <v>-0.69760765550239234</v>
      </c>
      <c r="DO254" s="144">
        <f>IF(ISERROR(DO168/DJ168-1),"",DO168/DJ168-1)</f>
        <v>-0.11168277073660438</v>
      </c>
      <c r="DP254" s="242">
        <f t="shared" si="868"/>
        <v>4.8417132216014958E-2</v>
      </c>
      <c r="DQ254" s="242">
        <f t="shared" ref="DQ254:DQ257" si="869">IF(ISERROR(DQ168/DL168-1),"",DQ168/DL168-1)</f>
        <v>-0.42190305206463197</v>
      </c>
      <c r="DR254" s="242">
        <f t="shared" ref="DR254:DR257" si="870">IF(ISERROR(DR168/DM168-1),"",DR168/DM168-1)</f>
        <v>-0.93520607063984929</v>
      </c>
      <c r="DS254" s="242">
        <f t="shared" ref="DS254:DS257" si="871">IF(ISERROR(DS168/DN168-1),"",DS168/DN168-1)</f>
        <v>-1</v>
      </c>
      <c r="DT254" s="144">
        <f>IF(ISERROR(DT168/DO168-1),"",DT168/DO168-1)</f>
        <v>-0.82598645234286105</v>
      </c>
      <c r="DU254" s="242">
        <f t="shared" ref="DU254:DU257" si="872">IF(ISERROR(DU168/DP168-1),"",DU168/DP168-1)</f>
        <v>-0.3156924043354884</v>
      </c>
      <c r="DV254" s="242">
        <f t="shared" ref="DV254:DV257" si="873">IF(ISERROR(DV168/DQ168-1),"",DV168/DQ168-1)</f>
        <v>-1.7953957080000076</v>
      </c>
      <c r="DW254" s="242">
        <f t="shared" ref="DW254:DW257" si="874">IF(ISERROR(DW168/DR168-1),"",DW168/DR168-1)</f>
        <v>-2.9384993335719098</v>
      </c>
      <c r="DX254" s="242" t="str">
        <f t="shared" ref="DX254:DX257" si="875">IF(ISERROR(DX168/DS168-1),"",DX168/DS168-1)</f>
        <v/>
      </c>
      <c r="DY254" s="144">
        <f>IF(ISERROR(DY168/DT168-1),"",DY168/DT168-1)</f>
        <v>-2.3218837545449169</v>
      </c>
      <c r="DZ254" s="144">
        <f t="shared" ref="DZ254:DZ257" si="876">IF(ISERROR(DZ168/DY168-1),"",DZ168/DY168-1)</f>
        <v>1.9774501055802354</v>
      </c>
      <c r="EA254" s="144">
        <f t="shared" ref="EA254:EA257" si="877">IF(ISERROR(EA168/DZ168-1),"",EA168/DZ168-1)</f>
        <v>0.70572018690880345</v>
      </c>
      <c r="EB254" s="144">
        <f t="shared" ref="EB254:EB257" si="878">IF(ISERROR(EB168/EA168-1),"",EB168/EA168-1)</f>
        <v>0.478689779386825</v>
      </c>
    </row>
    <row r="255" spans="2:132" s="241" customFormat="1" ht="12" hidden="1" customHeight="1" outlineLevel="2">
      <c r="B255" s="324" t="s">
        <v>106</v>
      </c>
      <c r="C255" s="325" t="str">
        <f t="shared" ref="C255:H255" si="879">IF(ISERROR(C169/B169-1),"",(C169/B169-1))</f>
        <v/>
      </c>
      <c r="D255" s="325" t="str">
        <f t="shared" si="879"/>
        <v/>
      </c>
      <c r="E255" s="325" t="str">
        <f t="shared" si="879"/>
        <v/>
      </c>
      <c r="F255" s="325" t="str">
        <f t="shared" si="879"/>
        <v/>
      </c>
      <c r="G255" s="325" t="str">
        <f t="shared" si="879"/>
        <v/>
      </c>
      <c r="H255" s="325" t="str">
        <f t="shared" si="879"/>
        <v/>
      </c>
      <c r="I255" s="325" t="str">
        <f t="shared" si="842"/>
        <v/>
      </c>
      <c r="J255" s="326"/>
      <c r="K255" s="326"/>
      <c r="L255" s="326"/>
      <c r="M255" s="326"/>
      <c r="N255" s="325" t="str">
        <f t="shared" si="843"/>
        <v/>
      </c>
      <c r="O255" s="326" t="str">
        <f t="shared" si="843"/>
        <v/>
      </c>
      <c r="P255" s="326" t="str">
        <f t="shared" si="843"/>
        <v/>
      </c>
      <c r="Q255" s="326" t="str">
        <f t="shared" si="843"/>
        <v/>
      </c>
      <c r="R255" s="326" t="str">
        <f t="shared" si="843"/>
        <v/>
      </c>
      <c r="S255" s="325">
        <f t="shared" si="843"/>
        <v>3.417796110783744E-2</v>
      </c>
      <c r="T255" s="326">
        <f t="shared" si="843"/>
        <v>0.23697916666666674</v>
      </c>
      <c r="U255" s="326">
        <f t="shared" si="843"/>
        <v>-1.0112866817155757</v>
      </c>
      <c r="V255" s="326">
        <f t="shared" si="843"/>
        <v>0.15970515970515975</v>
      </c>
      <c r="W255" s="326">
        <f t="shared" si="843"/>
        <v>-0.43186180422264875</v>
      </c>
      <c r="X255" s="325">
        <f t="shared" si="844"/>
        <v>-0.29458689458689458</v>
      </c>
      <c r="Y255" s="326">
        <f t="shared" si="844"/>
        <v>-0.111578947368421</v>
      </c>
      <c r="Z255" s="326">
        <f t="shared" si="844"/>
        <v>-82.2</v>
      </c>
      <c r="AA255" s="326">
        <f t="shared" si="844"/>
        <v>-0.14406779661016944</v>
      </c>
      <c r="AB255" s="326">
        <f t="shared" si="844"/>
        <v>0.34121621621621623</v>
      </c>
      <c r="AC255" s="325">
        <f t="shared" si="844"/>
        <v>0.31583198707592897</v>
      </c>
      <c r="AD255" s="326">
        <f t="shared" si="844"/>
        <v>-9.0047393364928952E-2</v>
      </c>
      <c r="AE255" s="326">
        <f t="shared" si="844"/>
        <v>-0.61330049261083741</v>
      </c>
      <c r="AF255" s="326">
        <f t="shared" si="844"/>
        <v>-7.673267326732669E-2</v>
      </c>
      <c r="AG255" s="326">
        <f t="shared" si="844"/>
        <v>-8.816120906801006E-2</v>
      </c>
      <c r="AH255" s="325">
        <f t="shared" si="845"/>
        <v>-0.21669736034376919</v>
      </c>
      <c r="AI255" s="326">
        <f t="shared" si="845"/>
        <v>-0.265625</v>
      </c>
      <c r="AJ255" s="326">
        <f t="shared" si="845"/>
        <v>1.4968152866242037</v>
      </c>
      <c r="AK255" s="326">
        <f t="shared" si="845"/>
        <v>0.30294906166219837</v>
      </c>
      <c r="AL255" s="326">
        <f t="shared" ref="AL255:AM257" si="880">IF(ISERROR(AL169/AG169-1),"",AL169/AG169-1)</f>
        <v>-2.4861878453038666E-2</v>
      </c>
      <c r="AM255" s="325">
        <f t="shared" si="880"/>
        <v>0.1857366771159874</v>
      </c>
      <c r="AN255" s="326">
        <f>IF(ISERROR(AN169/AI169-1),"",(AN169/AI169-1))</f>
        <v>-5.3191489361702149E-2</v>
      </c>
      <c r="AO255" s="326">
        <f t="shared" si="847"/>
        <v>-9.1836734693877542E-2</v>
      </c>
      <c r="AP255" s="326">
        <f t="shared" si="847"/>
        <v>-0.35802469135802473</v>
      </c>
      <c r="AQ255" s="326">
        <f t="shared" ref="AQ255:AZ257" si="881">IF(ISERROR(AQ169/AL169-1),"",AQ169/AL169-1)</f>
        <v>-8.4985835694050937E-2</v>
      </c>
      <c r="AR255" s="325">
        <f t="shared" si="881"/>
        <v>-0.1685393258426966</v>
      </c>
      <c r="AS255" s="326">
        <f t="shared" si="881"/>
        <v>0.3820224719101124</v>
      </c>
      <c r="AT255" s="326">
        <f t="shared" si="881"/>
        <v>8.4269662921348409E-2</v>
      </c>
      <c r="AU255" s="326">
        <f t="shared" si="881"/>
        <v>0.27243589743589736</v>
      </c>
      <c r="AV255" s="326">
        <f t="shared" si="881"/>
        <v>0.15789473684210531</v>
      </c>
      <c r="AW255" s="325">
        <f t="shared" si="881"/>
        <v>0.21303656597774245</v>
      </c>
      <c r="AX255" s="326">
        <f t="shared" si="881"/>
        <v>0.18428184281842808</v>
      </c>
      <c r="AY255" s="326">
        <f t="shared" si="881"/>
        <v>-5.9585492227979264E-2</v>
      </c>
      <c r="AZ255" s="326">
        <f t="shared" si="881"/>
        <v>0.12090680100755669</v>
      </c>
      <c r="BA255" s="326">
        <f t="shared" ref="BA255:BJ257" si="882">IF(ISERROR(BA169/AV169-1),"",BA169/AV169-1)</f>
        <v>-0.10160427807486627</v>
      </c>
      <c r="BB255" s="325">
        <f t="shared" si="882"/>
        <v>3.6041939711664472E-2</v>
      </c>
      <c r="BC255" s="326">
        <f t="shared" si="882"/>
        <v>-1.6018306636155555E-2</v>
      </c>
      <c r="BD255" s="326">
        <f t="shared" si="882"/>
        <v>2.7548209366391241E-2</v>
      </c>
      <c r="BE255" s="326">
        <f t="shared" si="882"/>
        <v>-0.50337078651685396</v>
      </c>
      <c r="BF255" s="326">
        <f t="shared" si="882"/>
        <v>0.3125</v>
      </c>
      <c r="BG255" s="325">
        <f t="shared" si="882"/>
        <v>-7.3371283997469949E-2</v>
      </c>
      <c r="BH255" s="326">
        <f t="shared" si="882"/>
        <v>-0.22790697674418603</v>
      </c>
      <c r="BI255" s="326">
        <f t="shared" si="882"/>
        <v>-0.55764075067024121</v>
      </c>
      <c r="BJ255" s="326">
        <f t="shared" si="882"/>
        <v>0.99095022624434392</v>
      </c>
      <c r="BK255" s="326">
        <f t="shared" ref="BK255:BT257" si="883">IF(ISERROR(BK169/BF169-1),"",BK169/BF169-1)</f>
        <v>-0.16780045351473927</v>
      </c>
      <c r="BL255" s="610">
        <f t="shared" si="883"/>
        <v>-0.10989761092150174</v>
      </c>
      <c r="BM255" s="326">
        <f t="shared" si="883"/>
        <v>-0.21385542168674698</v>
      </c>
      <c r="BN255" s="326">
        <f t="shared" si="883"/>
        <v>-0.25454545454545452</v>
      </c>
      <c r="BO255" s="326">
        <f t="shared" si="883"/>
        <v>0.1272727272727272</v>
      </c>
      <c r="BP255" s="326">
        <f t="shared" si="883"/>
        <v>0.19346049046321534</v>
      </c>
      <c r="BQ255" s="610">
        <f t="shared" si="883"/>
        <v>1.0736196319018454E-2</v>
      </c>
      <c r="BR255" s="326">
        <f t="shared" si="883"/>
        <v>0.27969348659003823</v>
      </c>
      <c r="BS255" s="326">
        <f t="shared" si="883"/>
        <v>0.4227642276422765</v>
      </c>
      <c r="BT255" s="326">
        <f t="shared" si="883"/>
        <v>-0.125</v>
      </c>
      <c r="BU255" s="326">
        <f t="shared" ref="BU255:BX257" si="884">IF(ISERROR(BU169/BP169-1),"",BU169/BP169-1)</f>
        <v>-0.34246575342465757</v>
      </c>
      <c r="BV255" s="610">
        <f t="shared" si="884"/>
        <v>-6.6009104704097155E-2</v>
      </c>
      <c r="BW255" s="326">
        <f t="shared" si="884"/>
        <v>-3.8922155688622784E-2</v>
      </c>
      <c r="BX255" s="326">
        <f t="shared" si="884"/>
        <v>1.1828571428571428</v>
      </c>
      <c r="BY255" s="326"/>
      <c r="BZ255" s="326"/>
      <c r="CA255" s="610"/>
      <c r="CB255" s="326"/>
      <c r="CC255" s="326"/>
      <c r="CD255" s="326"/>
      <c r="CE255" s="326" t="str">
        <f t="shared" ref="CE255:CF257" si="885">IF(ISERROR(CE169/BZ169-1),"",CE169/BZ169-1)</f>
        <v/>
      </c>
      <c r="CF255" s="610" t="str">
        <f t="shared" si="885"/>
        <v/>
      </c>
      <c r="CG255" s="326"/>
      <c r="CH255" s="326"/>
      <c r="CI255" s="326"/>
      <c r="CJ255" s="326" t="str">
        <f t="shared" si="852"/>
        <v/>
      </c>
      <c r="CK255" s="610" t="str">
        <f t="shared" si="852"/>
        <v/>
      </c>
      <c r="CL255" s="326"/>
      <c r="CM255" s="326"/>
      <c r="CN255" s="326"/>
      <c r="CO255" s="326" t="str">
        <f t="shared" si="856"/>
        <v/>
      </c>
      <c r="CP255" s="610" t="str">
        <f t="shared" si="856"/>
        <v/>
      </c>
      <c r="CQ255" s="326" t="str">
        <f t="shared" si="857"/>
        <v/>
      </c>
      <c r="CR255" s="326" t="str">
        <f t="shared" si="858"/>
        <v/>
      </c>
      <c r="CS255" s="326" t="str">
        <f t="shared" si="859"/>
        <v/>
      </c>
      <c r="CT255" s="326" t="str">
        <f t="shared" si="860"/>
        <v/>
      </c>
      <c r="CU255" s="610" t="str">
        <f t="shared" si="860"/>
        <v/>
      </c>
      <c r="CV255" s="326" t="str">
        <f t="shared" si="861"/>
        <v/>
      </c>
      <c r="CW255" s="326" t="str">
        <f t="shared" si="861"/>
        <v/>
      </c>
      <c r="CX255" s="326" t="str">
        <f t="shared" si="862"/>
        <v/>
      </c>
      <c r="CY255" s="326" t="str">
        <f t="shared" si="863"/>
        <v/>
      </c>
      <c r="CZ255" s="610" t="str">
        <f t="shared" si="864"/>
        <v/>
      </c>
      <c r="DA255" s="326" t="str">
        <f t="shared" si="865"/>
        <v/>
      </c>
      <c r="DB255" s="326" t="str">
        <f t="shared" si="866"/>
        <v/>
      </c>
      <c r="DC255" s="326" t="str">
        <f t="shared" si="867"/>
        <v/>
      </c>
      <c r="DD255" s="326" t="str">
        <f t="shared" si="868"/>
        <v/>
      </c>
      <c r="DE255" s="610" t="str">
        <f t="shared" si="868"/>
        <v/>
      </c>
      <c r="DF255" s="326" t="str">
        <f t="shared" si="868"/>
        <v/>
      </c>
      <c r="DG255" s="326" t="str">
        <f t="shared" si="868"/>
        <v/>
      </c>
      <c r="DH255" s="326" t="str">
        <f t="shared" si="868"/>
        <v/>
      </c>
      <c r="DI255" s="326" t="str">
        <f t="shared" si="868"/>
        <v/>
      </c>
      <c r="DJ255" s="610" t="str">
        <f>IF(ISERROR(DJ169/DE169-1),"",DJ169/DE169-1)</f>
        <v/>
      </c>
      <c r="DK255" s="326" t="str">
        <f t="shared" si="868"/>
        <v/>
      </c>
      <c r="DL255" s="326" t="str">
        <f t="shared" si="868"/>
        <v/>
      </c>
      <c r="DM255" s="326" t="str">
        <f t="shared" si="868"/>
        <v/>
      </c>
      <c r="DN255" s="326" t="str">
        <f t="shared" si="868"/>
        <v/>
      </c>
      <c r="DO255" s="610" t="str">
        <f>IF(ISERROR(DO169/DJ169-1),"",DO169/DJ169-1)</f>
        <v/>
      </c>
      <c r="DP255" s="326" t="str">
        <f t="shared" si="868"/>
        <v/>
      </c>
      <c r="DQ255" s="326" t="str">
        <f t="shared" si="869"/>
        <v/>
      </c>
      <c r="DR255" s="326" t="str">
        <f t="shared" si="870"/>
        <v/>
      </c>
      <c r="DS255" s="326" t="str">
        <f t="shared" si="871"/>
        <v/>
      </c>
      <c r="DT255" s="610" t="str">
        <f>IF(ISERROR(DT169/DO169-1),"",DT169/DO169-1)</f>
        <v/>
      </c>
      <c r="DU255" s="326" t="str">
        <f t="shared" si="872"/>
        <v/>
      </c>
      <c r="DV255" s="326" t="str">
        <f t="shared" si="873"/>
        <v/>
      </c>
      <c r="DW255" s="326" t="str">
        <f t="shared" si="874"/>
        <v/>
      </c>
      <c r="DX255" s="326" t="str">
        <f t="shared" si="875"/>
        <v/>
      </c>
      <c r="DY255" s="610" t="str">
        <f>IF(ISERROR(DY169/DT169-1),"",DY169/DT169-1)</f>
        <v/>
      </c>
      <c r="DZ255" s="610" t="str">
        <f t="shared" si="876"/>
        <v/>
      </c>
      <c r="EA255" s="610" t="str">
        <f t="shared" si="877"/>
        <v/>
      </c>
      <c r="EB255" s="610" t="str">
        <f t="shared" si="878"/>
        <v/>
      </c>
    </row>
    <row r="256" spans="2:132" s="241" customFormat="1" ht="12" hidden="1" customHeight="1" outlineLevel="2">
      <c r="B256" s="311" t="s">
        <v>107</v>
      </c>
      <c r="C256" s="301" t="str">
        <f t="shared" ref="C256:H256" si="886">IF(ISERROR(C170/B170-1),"",(C170/B170-1))</f>
        <v/>
      </c>
      <c r="D256" s="301" t="str">
        <f t="shared" si="886"/>
        <v/>
      </c>
      <c r="E256" s="301" t="str">
        <f t="shared" si="886"/>
        <v/>
      </c>
      <c r="F256" s="301" t="str">
        <f t="shared" si="886"/>
        <v/>
      </c>
      <c r="G256" s="301" t="str">
        <f t="shared" si="886"/>
        <v/>
      </c>
      <c r="H256" s="301" t="str">
        <f t="shared" si="886"/>
        <v/>
      </c>
      <c r="I256" s="301" t="str">
        <f t="shared" si="842"/>
        <v/>
      </c>
      <c r="J256" s="242"/>
      <c r="K256" s="242"/>
      <c r="L256" s="242"/>
      <c r="M256" s="242"/>
      <c r="N256" s="301" t="str">
        <f t="shared" si="843"/>
        <v/>
      </c>
      <c r="O256" s="242" t="str">
        <f t="shared" si="843"/>
        <v/>
      </c>
      <c r="P256" s="242" t="str">
        <f t="shared" si="843"/>
        <v/>
      </c>
      <c r="Q256" s="242" t="str">
        <f t="shared" si="843"/>
        <v/>
      </c>
      <c r="R256" s="242" t="str">
        <f t="shared" si="843"/>
        <v/>
      </c>
      <c r="S256" s="301">
        <f t="shared" si="843"/>
        <v>1.4246100519930676</v>
      </c>
      <c r="T256" s="242">
        <f t="shared" si="843"/>
        <v>-0.48648648648648651</v>
      </c>
      <c r="U256" s="242">
        <f t="shared" si="843"/>
        <v>-0.45499999999999996</v>
      </c>
      <c r="V256" s="242">
        <f t="shared" si="843"/>
        <v>-0.6797752808988764</v>
      </c>
      <c r="W256" s="242">
        <f t="shared" si="843"/>
        <v>1.4554973821989527</v>
      </c>
      <c r="X256" s="301">
        <f t="shared" si="844"/>
        <v>-0.31522516082916374</v>
      </c>
      <c r="Y256" s="242">
        <f t="shared" si="844"/>
        <v>6.578947368421062E-2</v>
      </c>
      <c r="Z256" s="242">
        <f t="shared" si="844"/>
        <v>1.3486238532110093</v>
      </c>
      <c r="AA256" s="242">
        <f t="shared" si="844"/>
        <v>-0.2192982456140351</v>
      </c>
      <c r="AB256" s="242">
        <f t="shared" si="844"/>
        <v>-0.37100213219616207</v>
      </c>
      <c r="AC256" s="301">
        <f t="shared" si="844"/>
        <v>-6.9937369519832981E-2</v>
      </c>
      <c r="AD256" s="242">
        <f t="shared" si="844"/>
        <v>0.64814814814814814</v>
      </c>
      <c r="AE256" s="242">
        <f t="shared" si="844"/>
        <v>-7.421875E-2</v>
      </c>
      <c r="AF256" s="242">
        <f t="shared" si="844"/>
        <v>0.6910112359550562</v>
      </c>
      <c r="AG256" s="242">
        <f t="shared" si="844"/>
        <v>-0.22711864406779658</v>
      </c>
      <c r="AH256" s="301">
        <f t="shared" si="845"/>
        <v>0.15937149270482598</v>
      </c>
      <c r="AI256" s="242">
        <f t="shared" si="845"/>
        <v>-0.2247191011235955</v>
      </c>
      <c r="AJ256" s="242">
        <f t="shared" si="845"/>
        <v>8.4388185654007408E-3</v>
      </c>
      <c r="AK256" s="242">
        <f t="shared" si="845"/>
        <v>-0.16279069767441856</v>
      </c>
      <c r="AL256" s="242">
        <f t="shared" si="880"/>
        <v>-0.38157894736842102</v>
      </c>
      <c r="AM256" s="301">
        <f t="shared" si="880"/>
        <v>-0.18780251694094874</v>
      </c>
      <c r="AN256" s="242">
        <f>IF(ISERROR(AN170/AI170-1),"",(AN170/AI170-1))</f>
        <v>-0.15942028985507251</v>
      </c>
      <c r="AO256" s="242">
        <f t="shared" si="847"/>
        <v>-0.30125523012552302</v>
      </c>
      <c r="AP256" s="242">
        <f t="shared" si="847"/>
        <v>-0.39682539682539686</v>
      </c>
      <c r="AQ256" s="242">
        <f t="shared" si="881"/>
        <v>0.54609929078014185</v>
      </c>
      <c r="AR256" s="301">
        <f t="shared" si="881"/>
        <v>-0.15256257449344457</v>
      </c>
      <c r="AS256" s="242">
        <f t="shared" si="881"/>
        <v>-0.17816091954022983</v>
      </c>
      <c r="AT256" s="242">
        <f t="shared" si="881"/>
        <v>0.18562874251497008</v>
      </c>
      <c r="AU256" s="242">
        <f t="shared" si="881"/>
        <v>0.17763157894736836</v>
      </c>
      <c r="AV256" s="242">
        <f t="shared" si="881"/>
        <v>-0.22018348623853212</v>
      </c>
      <c r="AW256" s="301">
        <f t="shared" si="881"/>
        <v>-2.9535864978902926E-2</v>
      </c>
      <c r="AX256" s="242">
        <f t="shared" si="881"/>
        <v>-0.48951048951048948</v>
      </c>
      <c r="AY256" s="242">
        <f t="shared" si="881"/>
        <v>-0.36363636363636365</v>
      </c>
      <c r="AZ256" s="242">
        <f t="shared" si="881"/>
        <v>-0.1005586592178771</v>
      </c>
      <c r="BA256" s="242">
        <f t="shared" si="882"/>
        <v>-0.30588235294117649</v>
      </c>
      <c r="BB256" s="301">
        <f t="shared" si="882"/>
        <v>-0.30724637681159417</v>
      </c>
      <c r="BC256" s="242">
        <f t="shared" si="882"/>
        <v>1.1369863013698631</v>
      </c>
      <c r="BD256" s="242">
        <f t="shared" si="882"/>
        <v>8.7301587301587213E-2</v>
      </c>
      <c r="BE256" s="242">
        <f t="shared" si="882"/>
        <v>0.19875776397515521</v>
      </c>
      <c r="BF256" s="242">
        <f t="shared" si="882"/>
        <v>0.97457627118644075</v>
      </c>
      <c r="BG256" s="301">
        <f t="shared" si="882"/>
        <v>0.50418410041841</v>
      </c>
      <c r="BH256" s="242">
        <f t="shared" si="882"/>
        <v>7.6923076923076872E-2</v>
      </c>
      <c r="BI256" s="242">
        <f t="shared" si="882"/>
        <v>9.4890510948905105E-2</v>
      </c>
      <c r="BJ256" s="242">
        <f t="shared" si="882"/>
        <v>-2.0725388601036232E-2</v>
      </c>
      <c r="BK256" s="242">
        <f t="shared" si="883"/>
        <v>-0.18025751072961371</v>
      </c>
      <c r="BL256" s="144">
        <f t="shared" si="883"/>
        <v>-2.9207232267037586E-2</v>
      </c>
      <c r="BM256" s="242">
        <f t="shared" si="883"/>
        <v>-5.9523809523809312E-3</v>
      </c>
      <c r="BN256" s="242">
        <f t="shared" si="883"/>
        <v>6.6666666666665986E-3</v>
      </c>
      <c r="BO256" s="242">
        <f t="shared" si="883"/>
        <v>0.29629629629629628</v>
      </c>
      <c r="BP256" s="242">
        <f t="shared" si="883"/>
        <v>-0.1465968586387435</v>
      </c>
      <c r="BQ256" s="144">
        <f t="shared" si="883"/>
        <v>4.0114613180515679E-2</v>
      </c>
      <c r="BR256" s="242">
        <f t="shared" si="883"/>
        <v>-0.11377245508982037</v>
      </c>
      <c r="BS256" s="242">
        <f t="shared" si="883"/>
        <v>1.3245033112582849E-2</v>
      </c>
      <c r="BT256" s="242">
        <f t="shared" si="883"/>
        <v>-0.85714285714285721</v>
      </c>
      <c r="BU256" s="242">
        <f t="shared" si="884"/>
        <v>-3.6809815950920255E-2</v>
      </c>
      <c r="BV256" s="144">
        <f t="shared" si="884"/>
        <v>-0.32093663911845727</v>
      </c>
      <c r="BW256" s="242">
        <f t="shared" si="884"/>
        <v>-0.33783783783783783</v>
      </c>
      <c r="BX256" s="242">
        <f t="shared" si="884"/>
        <v>-6.5359477124182774E-3</v>
      </c>
      <c r="BY256" s="242"/>
      <c r="BZ256" s="242"/>
      <c r="CA256" s="144"/>
      <c r="CB256" s="242"/>
      <c r="CC256" s="242"/>
      <c r="CD256" s="242"/>
      <c r="CE256" s="242" t="str">
        <f t="shared" si="885"/>
        <v/>
      </c>
      <c r="CF256" s="144" t="str">
        <f t="shared" si="885"/>
        <v/>
      </c>
      <c r="CG256" s="242"/>
      <c r="CH256" s="242"/>
      <c r="CI256" s="242"/>
      <c r="CJ256" s="242" t="str">
        <f t="shared" si="852"/>
        <v/>
      </c>
      <c r="CK256" s="144" t="str">
        <f t="shared" si="852"/>
        <v/>
      </c>
      <c r="CL256" s="242"/>
      <c r="CM256" s="242"/>
      <c r="CN256" s="242"/>
      <c r="CO256" s="242" t="str">
        <f t="shared" si="856"/>
        <v/>
      </c>
      <c r="CP256" s="144" t="str">
        <f t="shared" si="856"/>
        <v/>
      </c>
      <c r="CQ256" s="242" t="str">
        <f t="shared" si="857"/>
        <v/>
      </c>
      <c r="CR256" s="242" t="str">
        <f t="shared" si="858"/>
        <v/>
      </c>
      <c r="CS256" s="242" t="str">
        <f t="shared" si="859"/>
        <v/>
      </c>
      <c r="CT256" s="242" t="str">
        <f t="shared" si="860"/>
        <v/>
      </c>
      <c r="CU256" s="144" t="str">
        <f t="shared" si="860"/>
        <v/>
      </c>
      <c r="CV256" s="242" t="str">
        <f t="shared" si="861"/>
        <v/>
      </c>
      <c r="CW256" s="242" t="str">
        <f t="shared" si="861"/>
        <v/>
      </c>
      <c r="CX256" s="242" t="str">
        <f t="shared" si="862"/>
        <v/>
      </c>
      <c r="CY256" s="242" t="str">
        <f t="shared" si="863"/>
        <v/>
      </c>
      <c r="CZ256" s="144" t="str">
        <f t="shared" si="864"/>
        <v/>
      </c>
      <c r="DA256" s="242" t="str">
        <f t="shared" si="865"/>
        <v/>
      </c>
      <c r="DB256" s="242" t="str">
        <f t="shared" si="866"/>
        <v/>
      </c>
      <c r="DC256" s="242" t="str">
        <f t="shared" si="867"/>
        <v/>
      </c>
      <c r="DD256" s="242" t="str">
        <f t="shared" si="868"/>
        <v/>
      </c>
      <c r="DE256" s="144" t="str">
        <f t="shared" si="868"/>
        <v/>
      </c>
      <c r="DF256" s="242" t="str">
        <f t="shared" si="868"/>
        <v/>
      </c>
      <c r="DG256" s="242" t="str">
        <f t="shared" si="868"/>
        <v/>
      </c>
      <c r="DH256" s="242" t="str">
        <f t="shared" si="868"/>
        <v/>
      </c>
      <c r="DI256" s="242" t="str">
        <f t="shared" si="868"/>
        <v/>
      </c>
      <c r="DJ256" s="144" t="str">
        <f>IF(ISERROR(DJ170/DE170-1),"",DJ170/DE170-1)</f>
        <v/>
      </c>
      <c r="DK256" s="242" t="str">
        <f t="shared" si="868"/>
        <v/>
      </c>
      <c r="DL256" s="242" t="str">
        <f t="shared" si="868"/>
        <v/>
      </c>
      <c r="DM256" s="242" t="str">
        <f t="shared" si="868"/>
        <v/>
      </c>
      <c r="DN256" s="242" t="str">
        <f t="shared" si="868"/>
        <v/>
      </c>
      <c r="DO256" s="144" t="str">
        <f>IF(ISERROR(DO170/DJ170-1),"",DO170/DJ170-1)</f>
        <v/>
      </c>
      <c r="DP256" s="242" t="str">
        <f t="shared" si="868"/>
        <v/>
      </c>
      <c r="DQ256" s="242" t="str">
        <f t="shared" si="869"/>
        <v/>
      </c>
      <c r="DR256" s="242" t="str">
        <f t="shared" si="870"/>
        <v/>
      </c>
      <c r="DS256" s="242" t="str">
        <f t="shared" si="871"/>
        <v/>
      </c>
      <c r="DT256" s="144" t="str">
        <f>IF(ISERROR(DT170/DO170-1),"",DT170/DO170-1)</f>
        <v/>
      </c>
      <c r="DU256" s="242" t="str">
        <f t="shared" si="872"/>
        <v/>
      </c>
      <c r="DV256" s="242" t="str">
        <f t="shared" si="873"/>
        <v/>
      </c>
      <c r="DW256" s="242" t="str">
        <f t="shared" si="874"/>
        <v/>
      </c>
      <c r="DX256" s="242" t="str">
        <f t="shared" si="875"/>
        <v/>
      </c>
      <c r="DY256" s="144" t="str">
        <f>IF(ISERROR(DY170/DT170-1),"",DY170/DT170-1)</f>
        <v/>
      </c>
      <c r="DZ256" s="144" t="str">
        <f t="shared" si="876"/>
        <v/>
      </c>
      <c r="EA256" s="144" t="str">
        <f t="shared" si="877"/>
        <v/>
      </c>
      <c r="EB256" s="144" t="str">
        <f t="shared" si="878"/>
        <v/>
      </c>
    </row>
    <row r="257" spans="2:132" s="241" customFormat="1" ht="12" hidden="1" customHeight="1" outlineLevel="2">
      <c r="B257" s="312" t="s">
        <v>108</v>
      </c>
      <c r="C257" s="229" t="str">
        <f t="shared" ref="C257:H257" si="887">IF(ISERROR(C171/B171-1),"",(C171/B171-1))</f>
        <v/>
      </c>
      <c r="D257" s="229" t="str">
        <f t="shared" si="887"/>
        <v/>
      </c>
      <c r="E257" s="229" t="str">
        <f t="shared" si="887"/>
        <v/>
      </c>
      <c r="F257" s="229" t="str">
        <f t="shared" si="887"/>
        <v/>
      </c>
      <c r="G257" s="229" t="str">
        <f t="shared" si="887"/>
        <v/>
      </c>
      <c r="H257" s="229" t="str">
        <f t="shared" si="887"/>
        <v/>
      </c>
      <c r="I257" s="229" t="str">
        <f t="shared" si="842"/>
        <v/>
      </c>
      <c r="J257" s="250"/>
      <c r="K257" s="250"/>
      <c r="L257" s="250"/>
      <c r="M257" s="250"/>
      <c r="N257" s="229" t="str">
        <f t="shared" si="843"/>
        <v/>
      </c>
      <c r="O257" s="250" t="str">
        <f t="shared" si="843"/>
        <v/>
      </c>
      <c r="P257" s="250" t="str">
        <f t="shared" si="843"/>
        <v/>
      </c>
      <c r="Q257" s="250" t="str">
        <f t="shared" si="843"/>
        <v/>
      </c>
      <c r="R257" s="250" t="str">
        <f t="shared" si="843"/>
        <v/>
      </c>
      <c r="S257" s="229">
        <f t="shared" si="843"/>
        <v>0.15558912386706947</v>
      </c>
      <c r="T257" s="250">
        <f t="shared" si="843"/>
        <v>0.11764705882352944</v>
      </c>
      <c r="U257" s="250">
        <f t="shared" si="843"/>
        <v>0.151685393258427</v>
      </c>
      <c r="V257" s="250">
        <f t="shared" si="843"/>
        <v>-6.770833333333337E-2</v>
      </c>
      <c r="W257" s="250">
        <f t="shared" si="843"/>
        <v>0.16444444444444439</v>
      </c>
      <c r="X257" s="229">
        <f t="shared" si="844"/>
        <v>9.2810457516339762E-2</v>
      </c>
      <c r="Y257" s="250">
        <f t="shared" si="844"/>
        <v>5.2631578947368363E-2</v>
      </c>
      <c r="Z257" s="250">
        <f t="shared" si="844"/>
        <v>-6.3414634146341409E-2</v>
      </c>
      <c r="AA257" s="250">
        <f t="shared" si="844"/>
        <v>0.35195530726256985</v>
      </c>
      <c r="AB257" s="250">
        <f t="shared" si="844"/>
        <v>9.1603053435114434E-2</v>
      </c>
      <c r="AC257" s="229">
        <f t="shared" si="844"/>
        <v>0.1004784688995215</v>
      </c>
      <c r="AD257" s="250">
        <f t="shared" si="844"/>
        <v>4.4999999999999929E-2</v>
      </c>
      <c r="AE257" s="250">
        <f t="shared" si="844"/>
        <v>0.265625</v>
      </c>
      <c r="AF257" s="250">
        <f t="shared" si="844"/>
        <v>-0.25619834710743805</v>
      </c>
      <c r="AG257" s="250">
        <f t="shared" si="844"/>
        <v>1.7482517482517501E-2</v>
      </c>
      <c r="AH257" s="229">
        <f t="shared" si="845"/>
        <v>3.260869565217428E-3</v>
      </c>
      <c r="AI257" s="250">
        <f t="shared" si="845"/>
        <v>5.2631578947368363E-2</v>
      </c>
      <c r="AJ257" s="250">
        <f t="shared" si="845"/>
        <v>8.2304526748970819E-3</v>
      </c>
      <c r="AK257" s="250">
        <f t="shared" si="845"/>
        <v>-0.18333333333333335</v>
      </c>
      <c r="AL257" s="250">
        <f t="shared" si="880"/>
        <v>0.15120274914089338</v>
      </c>
      <c r="AM257" s="229">
        <f t="shared" si="880"/>
        <v>2.6002166847237218E-2</v>
      </c>
      <c r="AN257" s="250">
        <f>IF(ISERROR(AN171/AI171-1),"",(AN171/AI171-1))</f>
        <v>1.3636363636363669E-2</v>
      </c>
      <c r="AO257" s="250">
        <f t="shared" si="847"/>
        <v>-0.23265306122448981</v>
      </c>
      <c r="AP257" s="250">
        <f t="shared" si="847"/>
        <v>0.49659863945578242</v>
      </c>
      <c r="AQ257" s="250">
        <f t="shared" si="881"/>
        <v>-0.17910447761194026</v>
      </c>
      <c r="AR257" s="229">
        <f t="shared" si="881"/>
        <v>-4.3294614572333634E-2</v>
      </c>
      <c r="AS257" s="250">
        <f t="shared" si="881"/>
        <v>-0.28699551569506732</v>
      </c>
      <c r="AT257" s="250">
        <f t="shared" si="881"/>
        <v>0.13829787234042556</v>
      </c>
      <c r="AU257" s="250">
        <f t="shared" si="881"/>
        <v>0.1272727272727272</v>
      </c>
      <c r="AV257" s="250">
        <f t="shared" si="881"/>
        <v>0.16727272727272724</v>
      </c>
      <c r="AW257" s="229">
        <f t="shared" si="881"/>
        <v>3.9735099337748325E-2</v>
      </c>
      <c r="AX257" s="250">
        <f t="shared" si="881"/>
        <v>0.45911949685534581</v>
      </c>
      <c r="AY257" s="250">
        <f t="shared" si="881"/>
        <v>0.21028037383177578</v>
      </c>
      <c r="AZ257" s="250">
        <f t="shared" si="881"/>
        <v>-0.1088709677419355</v>
      </c>
      <c r="BA257" s="250">
        <f t="shared" si="882"/>
        <v>-7.4766355140186924E-2</v>
      </c>
      <c r="BB257" s="229">
        <f t="shared" si="882"/>
        <v>7.1125265392781412E-2</v>
      </c>
      <c r="BC257" s="250">
        <f t="shared" si="882"/>
        <v>6.0344827586206851E-2</v>
      </c>
      <c r="BD257" s="250">
        <f t="shared" si="882"/>
        <v>2.7027027027026973E-2</v>
      </c>
      <c r="BE257" s="250">
        <f t="shared" si="882"/>
        <v>0.17194570135746612</v>
      </c>
      <c r="BF257" s="250">
        <f t="shared" si="882"/>
        <v>-5.7239057239057201E-2</v>
      </c>
      <c r="BG257" s="229">
        <f t="shared" si="882"/>
        <v>4.1625371655104049E-2</v>
      </c>
      <c r="BH257" s="250">
        <f t="shared" si="882"/>
        <v>0.13008130081300817</v>
      </c>
      <c r="BI257" s="250">
        <f t="shared" si="882"/>
        <v>3.759398496240518E-3</v>
      </c>
      <c r="BJ257" s="250">
        <f t="shared" si="882"/>
        <v>-0.12355212355212353</v>
      </c>
      <c r="BK257" s="250">
        <f t="shared" si="883"/>
        <v>0.28214285714285725</v>
      </c>
      <c r="BL257" s="229">
        <f t="shared" si="883"/>
        <v>7.6117982873453949E-2</v>
      </c>
      <c r="BM257" s="250">
        <f t="shared" si="883"/>
        <v>0.13309352517985618</v>
      </c>
      <c r="BN257" s="250">
        <f t="shared" si="883"/>
        <v>1.8726591760299671E-2</v>
      </c>
      <c r="BO257" s="250">
        <f t="shared" si="883"/>
        <v>0.23788546255506615</v>
      </c>
      <c r="BP257" s="250">
        <f t="shared" si="883"/>
        <v>8.3565459610028814E-3</v>
      </c>
      <c r="BQ257" s="229">
        <f t="shared" si="883"/>
        <v>8.7533156498673659E-2</v>
      </c>
      <c r="BR257" s="250">
        <f t="shared" si="883"/>
        <v>7.9365079365079305E-2</v>
      </c>
      <c r="BS257" s="250">
        <f t="shared" si="883"/>
        <v>-2.5735294117647078E-2</v>
      </c>
      <c r="BT257" s="250">
        <f t="shared" si="883"/>
        <v>0.12099644128113884</v>
      </c>
      <c r="BU257" s="250">
        <f t="shared" si="884"/>
        <v>5.5248618784531356E-3</v>
      </c>
      <c r="BV257" s="229">
        <f t="shared" si="884"/>
        <v>4.3902439024390283E-2</v>
      </c>
      <c r="BW257" s="250">
        <f t="shared" si="884"/>
        <v>-6.4705882352941169E-2</v>
      </c>
      <c r="BX257" s="250">
        <f t="shared" si="884"/>
        <v>0.34339622641509426</v>
      </c>
      <c r="BY257" s="250"/>
      <c r="BZ257" s="250"/>
      <c r="CA257" s="229"/>
      <c r="CB257" s="250"/>
      <c r="CC257" s="250"/>
      <c r="CD257" s="250"/>
      <c r="CE257" s="250" t="str">
        <f t="shared" si="885"/>
        <v/>
      </c>
      <c r="CF257" s="229" t="str">
        <f t="shared" si="885"/>
        <v/>
      </c>
      <c r="CG257" s="250"/>
      <c r="CH257" s="250"/>
      <c r="CI257" s="250"/>
      <c r="CJ257" s="250" t="str">
        <f t="shared" si="852"/>
        <v/>
      </c>
      <c r="CK257" s="229" t="str">
        <f t="shared" si="852"/>
        <v/>
      </c>
      <c r="CL257" s="250"/>
      <c r="CM257" s="250"/>
      <c r="CN257" s="250"/>
      <c r="CO257" s="250" t="str">
        <f t="shared" si="856"/>
        <v/>
      </c>
      <c r="CP257" s="229" t="str">
        <f t="shared" si="856"/>
        <v/>
      </c>
      <c r="CQ257" s="250" t="str">
        <f t="shared" si="857"/>
        <v/>
      </c>
      <c r="CR257" s="250" t="str">
        <f t="shared" si="858"/>
        <v/>
      </c>
      <c r="CS257" s="250" t="str">
        <f t="shared" si="859"/>
        <v/>
      </c>
      <c r="CT257" s="250" t="str">
        <f t="shared" si="860"/>
        <v/>
      </c>
      <c r="CU257" s="229" t="str">
        <f t="shared" si="860"/>
        <v/>
      </c>
      <c r="CV257" s="250" t="str">
        <f t="shared" si="861"/>
        <v/>
      </c>
      <c r="CW257" s="250" t="str">
        <f t="shared" si="861"/>
        <v/>
      </c>
      <c r="CX257" s="250" t="str">
        <f t="shared" si="862"/>
        <v/>
      </c>
      <c r="CY257" s="250" t="str">
        <f t="shared" si="863"/>
        <v/>
      </c>
      <c r="CZ257" s="229" t="str">
        <f t="shared" si="864"/>
        <v/>
      </c>
      <c r="DA257" s="250" t="str">
        <f t="shared" si="865"/>
        <v/>
      </c>
      <c r="DB257" s="250" t="str">
        <f t="shared" si="866"/>
        <v/>
      </c>
      <c r="DC257" s="250" t="str">
        <f t="shared" si="867"/>
        <v/>
      </c>
      <c r="DD257" s="250" t="str">
        <f t="shared" si="868"/>
        <v/>
      </c>
      <c r="DE257" s="229" t="str">
        <f t="shared" si="868"/>
        <v/>
      </c>
      <c r="DF257" s="250" t="str">
        <f t="shared" si="868"/>
        <v/>
      </c>
      <c r="DG257" s="250" t="str">
        <f t="shared" si="868"/>
        <v/>
      </c>
      <c r="DH257" s="250" t="str">
        <f t="shared" si="868"/>
        <v/>
      </c>
      <c r="DI257" s="250" t="str">
        <f t="shared" si="868"/>
        <v/>
      </c>
      <c r="DJ257" s="229" t="str">
        <f>IF(ISERROR(DJ171/DE171-1),"",DJ171/DE171-1)</f>
        <v/>
      </c>
      <c r="DK257" s="250" t="str">
        <f t="shared" si="868"/>
        <v/>
      </c>
      <c r="DL257" s="250" t="str">
        <f t="shared" si="868"/>
        <v/>
      </c>
      <c r="DM257" s="250" t="str">
        <f t="shared" si="868"/>
        <v/>
      </c>
      <c r="DN257" s="250" t="str">
        <f t="shared" si="868"/>
        <v/>
      </c>
      <c r="DO257" s="229" t="str">
        <f>IF(ISERROR(DO171/DJ171-1),"",DO171/DJ171-1)</f>
        <v/>
      </c>
      <c r="DP257" s="250" t="str">
        <f t="shared" si="868"/>
        <v/>
      </c>
      <c r="DQ257" s="250" t="str">
        <f t="shared" si="869"/>
        <v/>
      </c>
      <c r="DR257" s="250" t="str">
        <f t="shared" si="870"/>
        <v/>
      </c>
      <c r="DS257" s="250" t="str">
        <f t="shared" si="871"/>
        <v/>
      </c>
      <c r="DT257" s="229" t="str">
        <f>IF(ISERROR(DT171/DO171-1),"",DT171/DO171-1)</f>
        <v/>
      </c>
      <c r="DU257" s="250" t="str">
        <f t="shared" si="872"/>
        <v/>
      </c>
      <c r="DV257" s="250" t="str">
        <f t="shared" si="873"/>
        <v/>
      </c>
      <c r="DW257" s="250" t="str">
        <f t="shared" si="874"/>
        <v/>
      </c>
      <c r="DX257" s="250" t="str">
        <f t="shared" si="875"/>
        <v/>
      </c>
      <c r="DY257" s="229" t="str">
        <f>IF(ISERROR(DY171/DT171-1),"",DY171/DT171-1)</f>
        <v/>
      </c>
      <c r="DZ257" s="229" t="str">
        <f t="shared" si="876"/>
        <v/>
      </c>
      <c r="EA257" s="229" t="str">
        <f t="shared" si="877"/>
        <v/>
      </c>
      <c r="EB257" s="229" t="str">
        <f t="shared" si="878"/>
        <v/>
      </c>
    </row>
    <row r="258" spans="2:132" s="300" customFormat="1" ht="12" hidden="1" customHeight="1" outlineLevel="2">
      <c r="B258" s="330" t="s">
        <v>130</v>
      </c>
      <c r="C258" s="325"/>
      <c r="D258" s="325"/>
      <c r="E258" s="325"/>
      <c r="F258" s="325"/>
      <c r="G258" s="325"/>
      <c r="H258" s="325">
        <f t="shared" ref="H258:H263" si="888">IF(ISERROR(H172/G172-1),"",(H172/G172-1))</f>
        <v>0.22965116279069764</v>
      </c>
      <c r="I258" s="325">
        <f t="shared" si="842"/>
        <v>0.12056737588652489</v>
      </c>
      <c r="J258" s="326"/>
      <c r="K258" s="326"/>
      <c r="L258" s="326"/>
      <c r="M258" s="326"/>
      <c r="N258" s="325">
        <f t="shared" ref="N258:W261" si="889">IF(ISERROR(N172/I172-1),"",(N172/I172-1))</f>
        <v>0.15049226441631514</v>
      </c>
      <c r="O258" s="326">
        <f t="shared" si="889"/>
        <v>-0.22268907563025209</v>
      </c>
      <c r="P258" s="326">
        <f t="shared" si="889"/>
        <v>0.1484375</v>
      </c>
      <c r="Q258" s="326">
        <f t="shared" si="889"/>
        <v>-0.20454545454545459</v>
      </c>
      <c r="R258" s="326">
        <f t="shared" si="889"/>
        <v>0.75</v>
      </c>
      <c r="S258" s="325">
        <f t="shared" si="889"/>
        <v>4.3398533007334983E-2</v>
      </c>
      <c r="T258" s="326">
        <f t="shared" si="889"/>
        <v>-1</v>
      </c>
      <c r="U258" s="326">
        <f t="shared" si="889"/>
        <v>-1</v>
      </c>
      <c r="V258" s="326">
        <f t="shared" si="889"/>
        <v>-1</v>
      </c>
      <c r="W258" s="326">
        <f t="shared" si="889"/>
        <v>-1</v>
      </c>
      <c r="X258" s="325"/>
      <c r="Y258" s="326"/>
      <c r="Z258" s="326"/>
      <c r="AA258" s="326"/>
      <c r="AB258" s="326"/>
      <c r="AC258" s="325"/>
      <c r="AD258" s="326"/>
      <c r="AE258" s="326"/>
      <c r="AF258" s="326"/>
      <c r="AG258" s="326"/>
      <c r="AH258" s="325"/>
      <c r="AI258" s="326"/>
      <c r="AJ258" s="326"/>
      <c r="AK258" s="326"/>
      <c r="AL258" s="326"/>
      <c r="AM258" s="325"/>
      <c r="AN258" s="326"/>
      <c r="AO258" s="326"/>
      <c r="AP258" s="326"/>
      <c r="AQ258" s="326"/>
      <c r="AR258" s="325"/>
      <c r="AS258" s="326"/>
      <c r="AT258" s="326"/>
      <c r="AU258" s="326"/>
      <c r="AV258" s="326"/>
      <c r="AW258" s="325"/>
      <c r="AX258" s="326"/>
      <c r="AY258" s="326"/>
      <c r="AZ258" s="326"/>
      <c r="BA258" s="326"/>
      <c r="BB258" s="325"/>
      <c r="BC258" s="326"/>
      <c r="BD258" s="326"/>
      <c r="BE258" s="326"/>
      <c r="BF258" s="326"/>
      <c r="BG258" s="325"/>
      <c r="BH258" s="609"/>
      <c r="BI258" s="609"/>
      <c r="BJ258" s="609"/>
      <c r="BK258" s="609"/>
      <c r="BL258" s="610"/>
      <c r="BM258" s="609"/>
      <c r="BN258" s="609"/>
      <c r="BO258" s="609"/>
      <c r="BP258" s="609"/>
      <c r="BQ258" s="610"/>
      <c r="BR258" s="609"/>
      <c r="BS258" s="609"/>
      <c r="BT258" s="609"/>
      <c r="BU258" s="609"/>
      <c r="BV258" s="610"/>
      <c r="BW258" s="609"/>
      <c r="BX258" s="609"/>
      <c r="BY258" s="609"/>
      <c r="BZ258" s="609"/>
      <c r="CA258" s="610"/>
      <c r="CB258" s="609"/>
      <c r="CC258" s="609"/>
      <c r="CD258" s="609"/>
      <c r="CE258" s="609"/>
      <c r="CF258" s="610"/>
      <c r="CG258" s="609"/>
      <c r="CH258" s="609"/>
      <c r="CI258" s="609"/>
      <c r="CJ258" s="609"/>
      <c r="CK258" s="610"/>
      <c r="CL258" s="609"/>
      <c r="CM258" s="609"/>
      <c r="CN258" s="609"/>
      <c r="CO258" s="609"/>
      <c r="CP258" s="610"/>
      <c r="CQ258" s="609"/>
      <c r="CR258" s="609"/>
      <c r="CS258" s="609"/>
      <c r="CT258" s="609"/>
      <c r="CU258" s="610"/>
      <c r="CV258" s="609"/>
      <c r="CW258" s="609"/>
      <c r="CX258" s="609"/>
      <c r="CY258" s="609"/>
      <c r="CZ258" s="610"/>
      <c r="DA258" s="609"/>
      <c r="DB258" s="609"/>
      <c r="DC258" s="609"/>
      <c r="DD258" s="609"/>
      <c r="DE258" s="610"/>
      <c r="DF258" s="609"/>
      <c r="DG258" s="609"/>
      <c r="DH258" s="609"/>
      <c r="DI258" s="609"/>
      <c r="DJ258" s="610"/>
      <c r="DK258" s="609"/>
      <c r="DL258" s="609"/>
      <c r="DM258" s="609"/>
      <c r="DN258" s="609"/>
      <c r="DO258" s="610"/>
      <c r="DP258" s="609"/>
      <c r="DQ258" s="609"/>
      <c r="DR258" s="609"/>
      <c r="DS258" s="609"/>
      <c r="DT258" s="610"/>
      <c r="DU258" s="609"/>
      <c r="DV258" s="609"/>
      <c r="DW258" s="609"/>
      <c r="DX258" s="609"/>
      <c r="DY258" s="610"/>
      <c r="DZ258" s="610"/>
      <c r="EA258" s="610"/>
      <c r="EB258" s="610"/>
    </row>
    <row r="259" spans="2:132" s="300" customFormat="1" ht="12" hidden="1" customHeight="1" outlineLevel="2">
      <c r="B259" s="335" t="s">
        <v>131</v>
      </c>
      <c r="C259" s="301"/>
      <c r="D259" s="301"/>
      <c r="E259" s="301"/>
      <c r="F259" s="301"/>
      <c r="G259" s="301"/>
      <c r="H259" s="301">
        <f t="shared" si="888"/>
        <v>0.13278008298755184</v>
      </c>
      <c r="I259" s="301">
        <f t="shared" si="842"/>
        <v>0.14652014652014644</v>
      </c>
      <c r="J259" s="302"/>
      <c r="K259" s="302"/>
      <c r="L259" s="302"/>
      <c r="M259" s="302"/>
      <c r="N259" s="301">
        <f t="shared" si="889"/>
        <v>0.58626198083067083</v>
      </c>
      <c r="O259" s="302">
        <f t="shared" si="889"/>
        <v>0.17679558011049723</v>
      </c>
      <c r="P259" s="302">
        <f t="shared" si="889"/>
        <v>-0.25777777777777777</v>
      </c>
      <c r="Q259" s="302">
        <f t="shared" si="889"/>
        <v>-0.69306930693069302</v>
      </c>
      <c r="R259" s="302">
        <f t="shared" si="889"/>
        <v>-0.41901408450704225</v>
      </c>
      <c r="S259" s="301">
        <f t="shared" si="889"/>
        <v>-0.35750251762336349</v>
      </c>
      <c r="T259" s="302">
        <f t="shared" si="889"/>
        <v>-1</v>
      </c>
      <c r="U259" s="302">
        <f t="shared" si="889"/>
        <v>-1</v>
      </c>
      <c r="V259" s="302">
        <f t="shared" si="889"/>
        <v>-1</v>
      </c>
      <c r="W259" s="302">
        <f t="shared" si="889"/>
        <v>-1</v>
      </c>
      <c r="X259" s="301"/>
      <c r="Y259" s="302"/>
      <c r="Z259" s="302"/>
      <c r="AA259" s="302"/>
      <c r="AB259" s="302"/>
      <c r="AC259" s="301"/>
      <c r="AD259" s="302"/>
      <c r="AE259" s="302"/>
      <c r="AF259" s="302"/>
      <c r="AG259" s="302"/>
      <c r="AH259" s="301"/>
      <c r="AI259" s="302"/>
      <c r="AJ259" s="302"/>
      <c r="AK259" s="302"/>
      <c r="AL259" s="302"/>
      <c r="AM259" s="301"/>
      <c r="AN259" s="302"/>
      <c r="AO259" s="302"/>
      <c r="AP259" s="302"/>
      <c r="AQ259" s="302"/>
      <c r="AR259" s="301"/>
      <c r="AS259" s="302"/>
      <c r="AT259" s="302"/>
      <c r="AU259" s="302"/>
      <c r="AV259" s="302"/>
      <c r="AW259" s="301"/>
      <c r="AX259" s="302"/>
      <c r="AY259" s="302"/>
      <c r="AZ259" s="302"/>
      <c r="BA259" s="302"/>
      <c r="BB259" s="301"/>
      <c r="BC259" s="302"/>
      <c r="BD259" s="302"/>
      <c r="BE259" s="302"/>
      <c r="BF259" s="302"/>
      <c r="BG259" s="301"/>
      <c r="BH259" s="469"/>
      <c r="BI259" s="469"/>
      <c r="BJ259" s="469"/>
      <c r="BK259" s="469"/>
      <c r="BL259" s="144"/>
      <c r="BM259" s="469"/>
      <c r="BN259" s="469"/>
      <c r="BO259" s="469"/>
      <c r="BP259" s="469"/>
      <c r="BQ259" s="144"/>
      <c r="BR259" s="469"/>
      <c r="BS259" s="469"/>
      <c r="BT259" s="469"/>
      <c r="BU259" s="469"/>
      <c r="BV259" s="144"/>
      <c r="BW259" s="469"/>
      <c r="BX259" s="469"/>
      <c r="BY259" s="469"/>
      <c r="BZ259" s="469"/>
      <c r="CA259" s="144"/>
      <c r="CB259" s="469"/>
      <c r="CC259" s="469"/>
      <c r="CD259" s="469"/>
      <c r="CE259" s="469"/>
      <c r="CF259" s="144"/>
      <c r="CG259" s="469"/>
      <c r="CH259" s="469"/>
      <c r="CI259" s="469"/>
      <c r="CJ259" s="469"/>
      <c r="CK259" s="144"/>
      <c r="CL259" s="469"/>
      <c r="CM259" s="469"/>
      <c r="CN259" s="469"/>
      <c r="CO259" s="469"/>
      <c r="CP259" s="144"/>
      <c r="CQ259" s="469"/>
      <c r="CR259" s="469"/>
      <c r="CS259" s="469"/>
      <c r="CT259" s="469"/>
      <c r="CU259" s="144"/>
      <c r="CV259" s="469"/>
      <c r="CW259" s="469"/>
      <c r="CX259" s="469"/>
      <c r="CY259" s="469"/>
      <c r="CZ259" s="144"/>
      <c r="DA259" s="469"/>
      <c r="DB259" s="469"/>
      <c r="DC259" s="469"/>
      <c r="DD259" s="469"/>
      <c r="DE259" s="144"/>
      <c r="DF259" s="469"/>
      <c r="DG259" s="469"/>
      <c r="DH259" s="469"/>
      <c r="DI259" s="469"/>
      <c r="DJ259" s="144"/>
      <c r="DK259" s="469"/>
      <c r="DL259" s="469"/>
      <c r="DM259" s="469"/>
      <c r="DN259" s="469"/>
      <c r="DO259" s="144"/>
      <c r="DP259" s="469"/>
      <c r="DQ259" s="469"/>
      <c r="DR259" s="469"/>
      <c r="DS259" s="469"/>
      <c r="DT259" s="144"/>
      <c r="DU259" s="469"/>
      <c r="DV259" s="469"/>
      <c r="DW259" s="469"/>
      <c r="DX259" s="469"/>
      <c r="DY259" s="144"/>
      <c r="DZ259" s="144"/>
      <c r="EA259" s="144"/>
      <c r="EB259" s="144"/>
    </row>
    <row r="260" spans="2:132" s="300" customFormat="1" ht="12" hidden="1" customHeight="1" outlineLevel="2">
      <c r="B260" s="335" t="s">
        <v>125</v>
      </c>
      <c r="C260" s="301"/>
      <c r="D260" s="301"/>
      <c r="E260" s="301"/>
      <c r="F260" s="301"/>
      <c r="G260" s="301"/>
      <c r="H260" s="301">
        <f t="shared" si="888"/>
        <v>0.23684210526315796</v>
      </c>
      <c r="I260" s="301">
        <f t="shared" si="842"/>
        <v>0.25531914893617014</v>
      </c>
      <c r="J260" s="302"/>
      <c r="K260" s="302"/>
      <c r="L260" s="302"/>
      <c r="M260" s="302"/>
      <c r="N260" s="301">
        <f t="shared" si="889"/>
        <v>0.35169491525423724</v>
      </c>
      <c r="O260" s="302">
        <f t="shared" si="889"/>
        <v>0.17361111111111116</v>
      </c>
      <c r="P260" s="302">
        <f t="shared" si="889"/>
        <v>0.3065693430656935</v>
      </c>
      <c r="Q260" s="302">
        <f t="shared" si="889"/>
        <v>5.4945054945054972E-2</v>
      </c>
      <c r="R260" s="302">
        <f t="shared" si="889"/>
        <v>0.28571428571428581</v>
      </c>
      <c r="S260" s="301">
        <f t="shared" si="889"/>
        <v>0.19905956112852663</v>
      </c>
      <c r="T260" s="302">
        <f t="shared" si="889"/>
        <v>-1</v>
      </c>
      <c r="U260" s="302">
        <f t="shared" si="889"/>
        <v>-1</v>
      </c>
      <c r="V260" s="302">
        <f t="shared" si="889"/>
        <v>-1</v>
      </c>
      <c r="W260" s="302">
        <f t="shared" si="889"/>
        <v>-1</v>
      </c>
      <c r="X260" s="301"/>
      <c r="Y260" s="302"/>
      <c r="Z260" s="302"/>
      <c r="AA260" s="302"/>
      <c r="AB260" s="302"/>
      <c r="AC260" s="301"/>
      <c r="AD260" s="302"/>
      <c r="AE260" s="302"/>
      <c r="AF260" s="302"/>
      <c r="AG260" s="302"/>
      <c r="AH260" s="301"/>
      <c r="AI260" s="302"/>
      <c r="AJ260" s="302"/>
      <c r="AK260" s="302"/>
      <c r="AL260" s="302"/>
      <c r="AM260" s="301"/>
      <c r="AN260" s="302"/>
      <c r="AO260" s="302"/>
      <c r="AP260" s="302"/>
      <c r="AQ260" s="302"/>
      <c r="AR260" s="301"/>
      <c r="AS260" s="302"/>
      <c r="AT260" s="302"/>
      <c r="AU260" s="302"/>
      <c r="AV260" s="302"/>
      <c r="AW260" s="301"/>
      <c r="AX260" s="302"/>
      <c r="AY260" s="302"/>
      <c r="AZ260" s="302"/>
      <c r="BA260" s="302"/>
      <c r="BB260" s="301"/>
      <c r="BC260" s="302"/>
      <c r="BD260" s="302"/>
      <c r="BE260" s="302"/>
      <c r="BF260" s="302"/>
      <c r="BG260" s="301"/>
      <c r="BH260" s="469"/>
      <c r="BI260" s="469"/>
      <c r="BJ260" s="469"/>
      <c r="BK260" s="469"/>
      <c r="BL260" s="144"/>
      <c r="BM260" s="469"/>
      <c r="BN260" s="469"/>
      <c r="BO260" s="469"/>
      <c r="BP260" s="469"/>
      <c r="BQ260" s="144"/>
      <c r="BR260" s="469"/>
      <c r="BS260" s="469"/>
      <c r="BT260" s="469"/>
      <c r="BU260" s="469"/>
      <c r="BV260" s="144"/>
      <c r="BW260" s="469"/>
      <c r="BX260" s="469"/>
      <c r="BY260" s="469"/>
      <c r="BZ260" s="469"/>
      <c r="CA260" s="144"/>
      <c r="CB260" s="469"/>
      <c r="CC260" s="469"/>
      <c r="CD260" s="469"/>
      <c r="CE260" s="469"/>
      <c r="CF260" s="144"/>
      <c r="CG260" s="469"/>
      <c r="CH260" s="469"/>
      <c r="CI260" s="469"/>
      <c r="CJ260" s="469"/>
      <c r="CK260" s="144"/>
      <c r="CL260" s="469"/>
      <c r="CM260" s="469"/>
      <c r="CN260" s="469"/>
      <c r="CO260" s="469"/>
      <c r="CP260" s="144"/>
      <c r="CQ260" s="469"/>
      <c r="CR260" s="469"/>
      <c r="CS260" s="469"/>
      <c r="CT260" s="469"/>
      <c r="CU260" s="144"/>
      <c r="CV260" s="469"/>
      <c r="CW260" s="469"/>
      <c r="CX260" s="469"/>
      <c r="CY260" s="469"/>
      <c r="CZ260" s="144"/>
      <c r="DA260" s="469"/>
      <c r="DB260" s="469"/>
      <c r="DC260" s="469"/>
      <c r="DD260" s="469"/>
      <c r="DE260" s="144"/>
      <c r="DF260" s="469"/>
      <c r="DG260" s="469"/>
      <c r="DH260" s="469"/>
      <c r="DI260" s="469"/>
      <c r="DJ260" s="144"/>
      <c r="DK260" s="469"/>
      <c r="DL260" s="469"/>
      <c r="DM260" s="469"/>
      <c r="DN260" s="469"/>
      <c r="DO260" s="144"/>
      <c r="DP260" s="469"/>
      <c r="DQ260" s="469"/>
      <c r="DR260" s="469"/>
      <c r="DS260" s="469"/>
      <c r="DT260" s="144"/>
      <c r="DU260" s="469"/>
      <c r="DV260" s="469"/>
      <c r="DW260" s="469"/>
      <c r="DX260" s="469"/>
      <c r="DY260" s="144"/>
      <c r="DZ260" s="144"/>
      <c r="EA260" s="144"/>
      <c r="EB260" s="144"/>
    </row>
    <row r="261" spans="2:132" s="300" customFormat="1" ht="12" hidden="1" customHeight="1" outlineLevel="2">
      <c r="B261" s="318" t="s">
        <v>132</v>
      </c>
      <c r="C261" s="328"/>
      <c r="D261" s="328"/>
      <c r="E261" s="328"/>
      <c r="F261" s="328"/>
      <c r="G261" s="328"/>
      <c r="H261" s="328">
        <f t="shared" si="888"/>
        <v>-2.2380952380952381</v>
      </c>
      <c r="I261" s="328">
        <f t="shared" si="842"/>
        <v>8.6373626373626369</v>
      </c>
      <c r="J261" s="329"/>
      <c r="K261" s="329"/>
      <c r="L261" s="329"/>
      <c r="M261" s="329"/>
      <c r="N261" s="328">
        <f t="shared" si="889"/>
        <v>-0.80501710376282776</v>
      </c>
      <c r="O261" s="329">
        <f t="shared" si="889"/>
        <v>-2.5079365079365079</v>
      </c>
      <c r="P261" s="329">
        <f t="shared" si="889"/>
        <v>-1.58</v>
      </c>
      <c r="Q261" s="329">
        <f t="shared" si="889"/>
        <v>-5.1372549019607847</v>
      </c>
      <c r="R261" s="329">
        <f t="shared" si="889"/>
        <v>-1.3026315789473684</v>
      </c>
      <c r="S261" s="328">
        <f t="shared" si="889"/>
        <v>-3.2807017543859649</v>
      </c>
      <c r="T261" s="329">
        <f t="shared" si="889"/>
        <v>-1</v>
      </c>
      <c r="U261" s="329">
        <f t="shared" si="889"/>
        <v>-1</v>
      </c>
      <c r="V261" s="329">
        <f t="shared" si="889"/>
        <v>-1</v>
      </c>
      <c r="W261" s="329">
        <f t="shared" si="889"/>
        <v>-1</v>
      </c>
      <c r="X261" s="328"/>
      <c r="Y261" s="329"/>
      <c r="Z261" s="329"/>
      <c r="AA261" s="329"/>
      <c r="AB261" s="329"/>
      <c r="AC261" s="328"/>
      <c r="AD261" s="329"/>
      <c r="AE261" s="329"/>
      <c r="AF261" s="329"/>
      <c r="AG261" s="329"/>
      <c r="AH261" s="328"/>
      <c r="AI261" s="329"/>
      <c r="AJ261" s="329"/>
      <c r="AK261" s="329"/>
      <c r="AL261" s="329"/>
      <c r="AM261" s="328"/>
      <c r="AN261" s="329"/>
      <c r="AO261" s="329"/>
      <c r="AP261" s="329"/>
      <c r="AQ261" s="329"/>
      <c r="AR261" s="328"/>
      <c r="AS261" s="329"/>
      <c r="AT261" s="329"/>
      <c r="AU261" s="329"/>
      <c r="AV261" s="329"/>
      <c r="AW261" s="328"/>
      <c r="AX261" s="329"/>
      <c r="AY261" s="329"/>
      <c r="AZ261" s="329"/>
      <c r="BA261" s="329"/>
      <c r="BB261" s="328"/>
      <c r="BC261" s="329"/>
      <c r="BD261" s="329"/>
      <c r="BE261" s="329"/>
      <c r="BF261" s="329"/>
      <c r="BG261" s="328"/>
      <c r="BH261" s="611"/>
      <c r="BI261" s="611"/>
      <c r="BJ261" s="611"/>
      <c r="BK261" s="611"/>
      <c r="BL261" s="612"/>
      <c r="BM261" s="611"/>
      <c r="BN261" s="611"/>
      <c r="BO261" s="611"/>
      <c r="BP261" s="611"/>
      <c r="BQ261" s="612"/>
      <c r="BR261" s="611"/>
      <c r="BS261" s="611"/>
      <c r="BT261" s="611"/>
      <c r="BU261" s="611"/>
      <c r="BV261" s="612"/>
      <c r="BW261" s="611"/>
      <c r="BX261" s="611"/>
      <c r="BY261" s="611"/>
      <c r="BZ261" s="611"/>
      <c r="CA261" s="612"/>
      <c r="CB261" s="611"/>
      <c r="CC261" s="611"/>
      <c r="CD261" s="611"/>
      <c r="CE261" s="611"/>
      <c r="CF261" s="612"/>
      <c r="CG261" s="611"/>
      <c r="CH261" s="611"/>
      <c r="CI261" s="611"/>
      <c r="CJ261" s="611"/>
      <c r="CK261" s="612"/>
      <c r="CL261" s="611"/>
      <c r="CM261" s="611"/>
      <c r="CN261" s="611"/>
      <c r="CO261" s="611"/>
      <c r="CP261" s="612"/>
      <c r="CQ261" s="611"/>
      <c r="CR261" s="611"/>
      <c r="CS261" s="611"/>
      <c r="CT261" s="611"/>
      <c r="CU261" s="612"/>
      <c r="CV261" s="611"/>
      <c r="CW261" s="611"/>
      <c r="CX261" s="611"/>
      <c r="CY261" s="611"/>
      <c r="CZ261" s="612"/>
      <c r="DA261" s="611"/>
      <c r="DB261" s="611"/>
      <c r="DC261" s="611"/>
      <c r="DD261" s="611"/>
      <c r="DE261" s="612"/>
      <c r="DF261" s="611"/>
      <c r="DG261" s="611"/>
      <c r="DH261" s="611"/>
      <c r="DI261" s="611"/>
      <c r="DJ261" s="612"/>
      <c r="DK261" s="611"/>
      <c r="DL261" s="611"/>
      <c r="DM261" s="611"/>
      <c r="DN261" s="611"/>
      <c r="DO261" s="612"/>
      <c r="DP261" s="611"/>
      <c r="DQ261" s="611"/>
      <c r="DR261" s="611"/>
      <c r="DS261" s="611"/>
      <c r="DT261" s="612"/>
      <c r="DU261" s="611"/>
      <c r="DV261" s="611"/>
      <c r="DW261" s="611"/>
      <c r="DX261" s="611"/>
      <c r="DY261" s="612"/>
      <c r="DZ261" s="612"/>
      <c r="EA261" s="612"/>
      <c r="EB261" s="612"/>
    </row>
    <row r="262" spans="2:132" s="300" customFormat="1" ht="12" hidden="1" customHeight="1" outlineLevel="2">
      <c r="B262" s="335" t="s">
        <v>133</v>
      </c>
      <c r="C262" s="301"/>
      <c r="D262" s="301"/>
      <c r="E262" s="301">
        <f t="shared" ref="E262:G263" si="890">IF(ISERROR(E176/D176-1),"",(E176/D176-1))</f>
        <v>-7.0148090413094333E-2</v>
      </c>
      <c r="F262" s="301">
        <f t="shared" si="890"/>
        <v>6.5381391450125781E-2</v>
      </c>
      <c r="G262" s="301">
        <f t="shared" si="890"/>
        <v>5.9008654602675126E-2</v>
      </c>
      <c r="H262" s="301">
        <f t="shared" si="888"/>
        <v>0.22734026745913827</v>
      </c>
      <c r="I262" s="301"/>
      <c r="J262" s="302"/>
      <c r="K262" s="302"/>
      <c r="L262" s="302"/>
      <c r="M262" s="302"/>
      <c r="N262" s="301"/>
      <c r="O262" s="302"/>
      <c r="P262" s="302"/>
      <c r="Q262" s="302"/>
      <c r="R262" s="302"/>
      <c r="S262" s="301"/>
      <c r="T262" s="302"/>
      <c r="U262" s="302"/>
      <c r="V262" s="302"/>
      <c r="W262" s="302"/>
      <c r="X262" s="301"/>
      <c r="Y262" s="302"/>
      <c r="Z262" s="302"/>
      <c r="AA262" s="302"/>
      <c r="AB262" s="302"/>
      <c r="AC262" s="301"/>
      <c r="AD262" s="302"/>
      <c r="AE262" s="302"/>
      <c r="AF262" s="302"/>
      <c r="AG262" s="302"/>
      <c r="AH262" s="301"/>
      <c r="AI262" s="302"/>
      <c r="AJ262" s="302"/>
      <c r="AK262" s="302"/>
      <c r="AL262" s="302"/>
      <c r="AM262" s="301"/>
      <c r="AN262" s="302"/>
      <c r="AO262" s="302"/>
      <c r="AP262" s="302"/>
      <c r="AQ262" s="302"/>
      <c r="AR262" s="301"/>
      <c r="AS262" s="302"/>
      <c r="AT262" s="302"/>
      <c r="AU262" s="302"/>
      <c r="AV262" s="302"/>
      <c r="AW262" s="301"/>
      <c r="AX262" s="302"/>
      <c r="AY262" s="302"/>
      <c r="AZ262" s="302"/>
      <c r="BA262" s="302"/>
      <c r="BB262" s="301"/>
      <c r="BC262" s="302"/>
      <c r="BD262" s="302"/>
      <c r="BE262" s="302"/>
      <c r="BF262" s="302"/>
      <c r="BG262" s="301"/>
      <c r="BH262" s="469"/>
      <c r="BI262" s="469"/>
      <c r="BJ262" s="469"/>
      <c r="BK262" s="469"/>
      <c r="BL262" s="144"/>
      <c r="BM262" s="469"/>
      <c r="BN262" s="469"/>
      <c r="BO262" s="469"/>
      <c r="BP262" s="469"/>
      <c r="BQ262" s="144"/>
      <c r="BR262" s="469"/>
      <c r="BS262" s="469"/>
      <c r="BT262" s="469"/>
      <c r="BU262" s="469"/>
      <c r="BV262" s="144"/>
      <c r="BW262" s="469"/>
      <c r="BX262" s="469"/>
      <c r="BY262" s="469"/>
      <c r="BZ262" s="469"/>
      <c r="CA262" s="144"/>
      <c r="CB262" s="469"/>
      <c r="CC262" s="469"/>
      <c r="CD262" s="469"/>
      <c r="CE262" s="469"/>
      <c r="CF262" s="144"/>
      <c r="CG262" s="469"/>
      <c r="CH262" s="469"/>
      <c r="CI262" s="469"/>
      <c r="CJ262" s="469"/>
      <c r="CK262" s="144"/>
      <c r="CL262" s="469"/>
      <c r="CM262" s="469"/>
      <c r="CN262" s="469"/>
      <c r="CO262" s="469"/>
      <c r="CP262" s="144"/>
      <c r="CQ262" s="469"/>
      <c r="CR262" s="469"/>
      <c r="CS262" s="469"/>
      <c r="CT262" s="469"/>
      <c r="CU262" s="144"/>
      <c r="CV262" s="469"/>
      <c r="CW262" s="469"/>
      <c r="CX262" s="469"/>
      <c r="CY262" s="469"/>
      <c r="CZ262" s="144"/>
      <c r="DA262" s="469"/>
      <c r="DB262" s="469"/>
      <c r="DC262" s="469"/>
      <c r="DD262" s="469"/>
      <c r="DE262" s="144"/>
      <c r="DF262" s="469"/>
      <c r="DG262" s="469"/>
      <c r="DH262" s="469"/>
      <c r="DI262" s="469"/>
      <c r="DJ262" s="144"/>
      <c r="DK262" s="469"/>
      <c r="DL262" s="469"/>
      <c r="DM262" s="469"/>
      <c r="DN262" s="469"/>
      <c r="DO262" s="144"/>
      <c r="DP262" s="469"/>
      <c r="DQ262" s="469"/>
      <c r="DR262" s="469"/>
      <c r="DS262" s="469"/>
      <c r="DT262" s="144"/>
      <c r="DU262" s="469"/>
      <c r="DV262" s="469"/>
      <c r="DW262" s="469"/>
      <c r="DX262" s="469"/>
      <c r="DY262" s="144"/>
      <c r="DZ262" s="144"/>
      <c r="EA262" s="144"/>
      <c r="EB262" s="144"/>
    </row>
    <row r="263" spans="2:132" s="300" customFormat="1" ht="12" hidden="1" customHeight="1" outlineLevel="2">
      <c r="B263" s="318" t="s">
        <v>134</v>
      </c>
      <c r="C263" s="328"/>
      <c r="D263" s="328"/>
      <c r="E263" s="328">
        <f t="shared" si="890"/>
        <v>0.67338709677419351</v>
      </c>
      <c r="F263" s="328">
        <f t="shared" si="890"/>
        <v>-1.7783132530120482</v>
      </c>
      <c r="G263" s="328">
        <f t="shared" si="890"/>
        <v>-2.9164086687306501</v>
      </c>
      <c r="H263" s="328">
        <f t="shared" si="888"/>
        <v>-0.42326332794830368</v>
      </c>
      <c r="I263" s="328"/>
      <c r="J263" s="329"/>
      <c r="K263" s="329"/>
      <c r="L263" s="329"/>
      <c r="M263" s="329"/>
      <c r="N263" s="328"/>
      <c r="O263" s="329"/>
      <c r="P263" s="329"/>
      <c r="Q263" s="329"/>
      <c r="R263" s="329"/>
      <c r="S263" s="328"/>
      <c r="T263" s="329"/>
      <c r="U263" s="329"/>
      <c r="V263" s="329"/>
      <c r="W263" s="329"/>
      <c r="X263" s="328"/>
      <c r="Y263" s="329"/>
      <c r="Z263" s="329"/>
      <c r="AA263" s="329"/>
      <c r="AB263" s="329"/>
      <c r="AC263" s="328"/>
      <c r="AD263" s="329"/>
      <c r="AE263" s="329"/>
      <c r="AF263" s="329"/>
      <c r="AG263" s="329"/>
      <c r="AH263" s="328"/>
      <c r="AI263" s="329"/>
      <c r="AJ263" s="329"/>
      <c r="AK263" s="329"/>
      <c r="AL263" s="329"/>
      <c r="AM263" s="328"/>
      <c r="AN263" s="329"/>
      <c r="AO263" s="329"/>
      <c r="AP263" s="329"/>
      <c r="AQ263" s="329"/>
      <c r="AR263" s="328"/>
      <c r="AS263" s="329"/>
      <c r="AT263" s="329"/>
      <c r="AU263" s="329"/>
      <c r="AV263" s="329"/>
      <c r="AW263" s="328"/>
      <c r="AX263" s="329"/>
      <c r="AY263" s="329"/>
      <c r="AZ263" s="329"/>
      <c r="BA263" s="329"/>
      <c r="BB263" s="328"/>
      <c r="BC263" s="329"/>
      <c r="BD263" s="329"/>
      <c r="BE263" s="329"/>
      <c r="BF263" s="329"/>
      <c r="BG263" s="328"/>
      <c r="BH263" s="611"/>
      <c r="BI263" s="611"/>
      <c r="BJ263" s="611"/>
      <c r="BK263" s="611"/>
      <c r="BL263" s="612"/>
      <c r="BM263" s="611"/>
      <c r="BN263" s="611"/>
      <c r="BO263" s="611"/>
      <c r="BP263" s="611"/>
      <c r="BQ263" s="612"/>
      <c r="BR263" s="611"/>
      <c r="BS263" s="611"/>
      <c r="BT263" s="611"/>
      <c r="BU263" s="611"/>
      <c r="BV263" s="612"/>
      <c r="BW263" s="611"/>
      <c r="BX263" s="611"/>
      <c r="BY263" s="611"/>
      <c r="BZ263" s="611"/>
      <c r="CA263" s="612"/>
      <c r="CB263" s="611"/>
      <c r="CC263" s="611"/>
      <c r="CD263" s="611"/>
      <c r="CE263" s="611"/>
      <c r="CF263" s="612"/>
      <c r="CG263" s="611"/>
      <c r="CH263" s="611"/>
      <c r="CI263" s="611"/>
      <c r="CJ263" s="611"/>
      <c r="CK263" s="612"/>
      <c r="CL263" s="611"/>
      <c r="CM263" s="611"/>
      <c r="CN263" s="611"/>
      <c r="CO263" s="611"/>
      <c r="CP263" s="612"/>
      <c r="CQ263" s="611"/>
      <c r="CR263" s="611"/>
      <c r="CS263" s="611"/>
      <c r="CT263" s="611"/>
      <c r="CU263" s="612"/>
      <c r="CV263" s="611"/>
      <c r="CW263" s="611"/>
      <c r="CX263" s="611"/>
      <c r="CY263" s="611"/>
      <c r="CZ263" s="612"/>
      <c r="DA263" s="611"/>
      <c r="DB263" s="611"/>
      <c r="DC263" s="611"/>
      <c r="DD263" s="611"/>
      <c r="DE263" s="612"/>
      <c r="DF263" s="611"/>
      <c r="DG263" s="611"/>
      <c r="DH263" s="611"/>
      <c r="DI263" s="611"/>
      <c r="DJ263" s="612"/>
      <c r="DK263" s="611"/>
      <c r="DL263" s="611"/>
      <c r="DM263" s="611"/>
      <c r="DN263" s="611"/>
      <c r="DO263" s="612"/>
      <c r="DP263" s="611"/>
      <c r="DQ263" s="611"/>
      <c r="DR263" s="611"/>
      <c r="DS263" s="611"/>
      <c r="DT263" s="612"/>
      <c r="DU263" s="611"/>
      <c r="DV263" s="611"/>
      <c r="DW263" s="611"/>
      <c r="DX263" s="611"/>
      <c r="DY263" s="612"/>
      <c r="DZ263" s="612"/>
      <c r="EA263" s="612"/>
      <c r="EB263" s="612"/>
    </row>
    <row r="264" spans="2:132" s="241" customFormat="1" ht="12" hidden="1" customHeight="1" outlineLevel="1" collapsed="1">
      <c r="B264" s="121" t="s">
        <v>391</v>
      </c>
      <c r="C264" s="301" t="str">
        <f t="shared" ref="C264:H264" si="891">IF(ISERROR(C178/B178-1),"",(C178/B178-1))</f>
        <v/>
      </c>
      <c r="D264" s="301">
        <f t="shared" si="891"/>
        <v>0.16249050873196658</v>
      </c>
      <c r="E264" s="301">
        <f t="shared" si="891"/>
        <v>5.0293925538863471E-2</v>
      </c>
      <c r="F264" s="301">
        <f t="shared" si="891"/>
        <v>-0.41044776119402981</v>
      </c>
      <c r="G264" s="301">
        <f t="shared" si="891"/>
        <v>1.0727848101265822</v>
      </c>
      <c r="H264" s="301">
        <f t="shared" si="891"/>
        <v>2.2391857506361301E-2</v>
      </c>
      <c r="I264" s="301">
        <f>IF(ISERROR(I178/H178-1),"",(I178/H178-1))</f>
        <v>-0.61871577899452457</v>
      </c>
      <c r="J264" s="242"/>
      <c r="K264" s="242"/>
      <c r="L264" s="242"/>
      <c r="M264" s="242"/>
      <c r="N264" s="301">
        <f t="shared" ref="N264:AK264" si="892">IF(ISERROR(N178/I178-1),"",(N178/I178-1))</f>
        <v>2.8185378590078329</v>
      </c>
      <c r="O264" s="242">
        <f t="shared" si="892"/>
        <v>0.14769647696476973</v>
      </c>
      <c r="P264" s="242">
        <f t="shared" si="892"/>
        <v>0.17241379310344818</v>
      </c>
      <c r="Q264" s="242">
        <f t="shared" si="892"/>
        <v>0.59681372549019618</v>
      </c>
      <c r="R264" s="242">
        <f t="shared" si="892"/>
        <v>0.36888888888888882</v>
      </c>
      <c r="S264" s="301">
        <f t="shared" si="892"/>
        <v>0.32991452991452985</v>
      </c>
      <c r="T264" s="242">
        <f t="shared" si="892"/>
        <v>-3.5419126328217199E-2</v>
      </c>
      <c r="U264" s="242">
        <f t="shared" si="892"/>
        <v>-0.62132352941176472</v>
      </c>
      <c r="V264" s="242">
        <f t="shared" si="892"/>
        <v>-0.32540291634689178</v>
      </c>
      <c r="W264" s="242">
        <f t="shared" si="892"/>
        <v>0.1114718614718615</v>
      </c>
      <c r="X264" s="301">
        <f t="shared" si="892"/>
        <v>-0.22056555269922884</v>
      </c>
      <c r="Y264" s="242">
        <f t="shared" si="892"/>
        <v>-4.0391676866585069E-2</v>
      </c>
      <c r="Z264" s="242">
        <f t="shared" si="892"/>
        <v>1.7637540453074432</v>
      </c>
      <c r="AA264" s="242">
        <f t="shared" si="892"/>
        <v>-6.2571103526734895E-2</v>
      </c>
      <c r="AB264" s="242">
        <f t="shared" si="892"/>
        <v>-4.7711781888997051E-2</v>
      </c>
      <c r="AC264" s="301">
        <f t="shared" si="892"/>
        <v>0.13456464379947231</v>
      </c>
      <c r="AD264" s="242">
        <f t="shared" si="892"/>
        <v>9.6938775510204023E-2</v>
      </c>
      <c r="AE264" s="242">
        <f t="shared" si="892"/>
        <v>-0.25409836065573765</v>
      </c>
      <c r="AF264" s="242">
        <f t="shared" si="892"/>
        <v>3.6407766990291357E-2</v>
      </c>
      <c r="AG264" s="242">
        <f t="shared" si="892"/>
        <v>-9.918200408997957E-2</v>
      </c>
      <c r="AH264" s="301">
        <f t="shared" si="892"/>
        <v>-6.0465116279069808E-2</v>
      </c>
      <c r="AI264" s="242">
        <f t="shared" si="892"/>
        <v>-0.17558139534883721</v>
      </c>
      <c r="AJ264" s="242">
        <f t="shared" si="892"/>
        <v>0.37519623233908939</v>
      </c>
      <c r="AK264" s="242">
        <f t="shared" si="892"/>
        <v>3.6299765807962459E-2</v>
      </c>
      <c r="AL264" s="242">
        <f>IF(ISERROR(AL178/AG178-1),"",AL178/AG178-1)</f>
        <v>-5.9023836549375708E-2</v>
      </c>
      <c r="AM264" s="301">
        <f>IF(ISERROR(AM178/AH178-1),"",AM178/AH178-1)</f>
        <v>2.0730198019802026E-2</v>
      </c>
      <c r="AN264" s="242">
        <f>IF(ISERROR(AN178/AI178-1),"",(AN178/AI178-1))</f>
        <v>-6.3469675599435837E-2</v>
      </c>
      <c r="AO264" s="242">
        <f t="shared" ref="AO264:CF264" si="893">IF(ISERROR(AO178/AJ178-1),"",AO178/AJ178-1)</f>
        <v>-0.18835616438356162</v>
      </c>
      <c r="AP264" s="242">
        <f t="shared" si="893"/>
        <v>-0.22711864406779658</v>
      </c>
      <c r="AQ264" s="242">
        <f t="shared" si="893"/>
        <v>-1.56815440289505E-2</v>
      </c>
      <c r="AR264" s="301">
        <f t="shared" si="893"/>
        <v>-0.12852379508942102</v>
      </c>
      <c r="AS264" s="242">
        <f t="shared" si="893"/>
        <v>1.0542168674698704E-2</v>
      </c>
      <c r="AT264" s="242">
        <f t="shared" si="893"/>
        <v>0.1223628691983123</v>
      </c>
      <c r="AU264" s="242">
        <f t="shared" si="893"/>
        <v>0.20467836257309946</v>
      </c>
      <c r="AV264" s="242">
        <f t="shared" si="893"/>
        <v>6.0049019607843146E-2</v>
      </c>
      <c r="AW264" s="301">
        <f t="shared" si="893"/>
        <v>9.8434782608695759E-2</v>
      </c>
      <c r="AX264" s="242">
        <f t="shared" si="893"/>
        <v>0.105812220566319</v>
      </c>
      <c r="AY264" s="242">
        <f t="shared" si="893"/>
        <v>-6.2656641604010077E-2</v>
      </c>
      <c r="AZ264" s="242">
        <f t="shared" si="893"/>
        <v>3.6407766990291801E-3</v>
      </c>
      <c r="BA264" s="242">
        <f t="shared" si="893"/>
        <v>-0.13179190751445091</v>
      </c>
      <c r="BB264" s="301">
        <f t="shared" si="893"/>
        <v>-2.849905003166564E-2</v>
      </c>
      <c r="BC264" s="242">
        <f t="shared" si="893"/>
        <v>0.12129380053908356</v>
      </c>
      <c r="BD264" s="242">
        <f t="shared" si="893"/>
        <v>3.7433155080213831E-2</v>
      </c>
      <c r="BE264" s="242">
        <f t="shared" si="893"/>
        <v>-0.18621523579201937</v>
      </c>
      <c r="BF264" s="242">
        <f t="shared" si="893"/>
        <v>0.27030625832223709</v>
      </c>
      <c r="BG264" s="301">
        <f t="shared" si="893"/>
        <v>5.4432855280312831E-2</v>
      </c>
      <c r="BH264" s="242">
        <f t="shared" si="893"/>
        <v>-6.4903846153846145E-2</v>
      </c>
      <c r="BI264" s="242">
        <f t="shared" si="893"/>
        <v>-0.25</v>
      </c>
      <c r="BJ264" s="242">
        <f t="shared" si="893"/>
        <v>0.27191679049034168</v>
      </c>
      <c r="BK264" s="242">
        <f t="shared" si="893"/>
        <v>-3.8784067085953833E-2</v>
      </c>
      <c r="BL264" s="144">
        <f t="shared" si="893"/>
        <v>-3.1530139103554844E-2</v>
      </c>
      <c r="BM264" s="242">
        <f t="shared" si="893"/>
        <v>-4.4987146529562927E-2</v>
      </c>
      <c r="BN264" s="242">
        <f t="shared" si="893"/>
        <v>-6.1855670103092786E-2</v>
      </c>
      <c r="BO264" s="242">
        <f t="shared" si="893"/>
        <v>0.19392523364485981</v>
      </c>
      <c r="BP264" s="242">
        <f t="shared" si="893"/>
        <v>5.0163576881134153E-2</v>
      </c>
      <c r="BQ264" s="144">
        <f t="shared" si="893"/>
        <v>4.5004787743377017E-2</v>
      </c>
      <c r="BR264" s="242">
        <f>IF(ISERROR(Data!BR180/BM178-1),"",Data!BR180/BM178-1)</f>
        <v>0.10632570659488549</v>
      </c>
      <c r="BS264" s="242">
        <f>IF(ISERROR(Data!BS180/BN178-1),"",Data!BS180/BN178-1)</f>
        <v>8.6080586080585997E-2</v>
      </c>
      <c r="BT264" s="242">
        <f>IF(ISERROR(Data!BT180/BO178-1),"",Data!BT180/BO178-1)</f>
        <v>-0.23287671232876717</v>
      </c>
      <c r="BU264" s="242">
        <f>IF(ISERROR(Data!BU180/BP178-1),"",Data!BU180/BP178-1)</f>
        <v>-0.15991692627206644</v>
      </c>
      <c r="BV264" s="144">
        <f>IF(ISERROR(Data!BV180/BQ178-1),"",Data!BV180/BQ178-1)</f>
        <v>-8.1246182040317638E-2</v>
      </c>
      <c r="BW264" s="242">
        <f t="shared" si="893"/>
        <v>6.1895551257253434E-2</v>
      </c>
      <c r="BX264" s="242">
        <f t="shared" si="893"/>
        <v>0.69613259668508287</v>
      </c>
      <c r="BY264" s="242">
        <f t="shared" si="893"/>
        <v>-0.13829787234042556</v>
      </c>
      <c r="BZ264" s="242">
        <f t="shared" si="893"/>
        <v>4.0152963671128195E-2</v>
      </c>
      <c r="CA264" s="144">
        <f t="shared" si="893"/>
        <v>0.11546286876907419</v>
      </c>
      <c r="CB264" s="242">
        <f t="shared" si="893"/>
        <v>0.37887067395264107</v>
      </c>
      <c r="CC264" s="242">
        <f t="shared" si="893"/>
        <v>-0.3876221498371335</v>
      </c>
      <c r="CD264" s="242">
        <f t="shared" si="893"/>
        <v>-1.5082304526748971</v>
      </c>
      <c r="CE264" s="242">
        <f t="shared" si="893"/>
        <v>0.41727941176470584</v>
      </c>
      <c r="CF264" s="144">
        <f t="shared" si="893"/>
        <v>-0.2444140446876425</v>
      </c>
      <c r="CG264" s="242">
        <f t="shared" ref="CG264:CP266" si="894">IF(ISERROR(CG178/CB178-1),"",CG178/CB178-1)</f>
        <v>0.11889035667106995</v>
      </c>
      <c r="CH264" s="242">
        <f t="shared" si="894"/>
        <v>1.5930851063829787</v>
      </c>
      <c r="CI264" s="242">
        <f t="shared" si="894"/>
        <v>-4.0526315789473681</v>
      </c>
      <c r="CJ264" s="242">
        <f t="shared" si="894"/>
        <v>-0.95979247730220496</v>
      </c>
      <c r="CK264" s="144">
        <f t="shared" si="894"/>
        <v>0.57332528666264326</v>
      </c>
      <c r="CL264" s="242">
        <f t="shared" si="894"/>
        <v>-1.2255017709563165</v>
      </c>
      <c r="CM264" s="242">
        <f t="shared" si="894"/>
        <v>-0.38461538461538458</v>
      </c>
      <c r="CN264" s="242">
        <f t="shared" si="894"/>
        <v>-0.16710875331564989</v>
      </c>
      <c r="CO264" s="242">
        <f t="shared" si="894"/>
        <v>15.193548387096776</v>
      </c>
      <c r="CP264" s="144">
        <f t="shared" si="894"/>
        <v>-0.40966628308400466</v>
      </c>
      <c r="CQ264" s="242">
        <f t="shared" ref="CQ264:CQ266" si="895">IF(ISERROR(CQ178/CL178-1),"",CQ178/CL178-1)</f>
        <v>-3.1204188481675392</v>
      </c>
      <c r="CR264" s="242">
        <f t="shared" ref="CR264:CR266" si="896">IF(ISERROR(CR178/CM178-1),"",CR178/CM178-1)</f>
        <v>0.59666666666666668</v>
      </c>
      <c r="CS264" s="242">
        <f t="shared" ref="CS264:CS266" si="897">IF(ISERROR(CS178/CN178-1),"",CS178/CN178-1)</f>
        <v>-0.30573248407643316</v>
      </c>
      <c r="CT264" s="242">
        <f t="shared" ref="CT264:CU266" si="898">IF(ISERROR(CT178/CO178-1),"",CT178/CO178-1)</f>
        <v>-1.5079681274900398</v>
      </c>
      <c r="CU264" s="144">
        <f t="shared" si="898"/>
        <v>3.2488628979856493E-3</v>
      </c>
      <c r="CV264" s="242">
        <f t="shared" ref="CV264:CW266" si="899">IF(ISERROR(CV178/CQ178-1),"",CV178/CQ178-1)</f>
        <v>-3.293827160493827</v>
      </c>
      <c r="CW264" s="242">
        <f t="shared" si="899"/>
        <v>-0.92588726513569941</v>
      </c>
      <c r="CX264" s="242">
        <f t="shared" ref="CX264:CX266" si="900">IF(ISERROR(CX178/CS178-1),"",CX178/CS178-1)</f>
        <v>-7.4174311926605503</v>
      </c>
      <c r="CY264" s="242">
        <f t="shared" ref="CY264:CY266" si="901">IF(ISERROR(CY178/CT178-1),"",CY178/CT178-1)</f>
        <v>-1.4392156862745098</v>
      </c>
      <c r="CZ264" s="144">
        <f t="shared" ref="CZ264:CZ266" si="902">IF(ISERROR(CZ178/CU178-1),"",CZ178/CU178-1)</f>
        <v>-3.295336787564767</v>
      </c>
      <c r="DA264" s="242">
        <f t="shared" ref="DA264:DA266" si="903">IF(ISERROR(DA178/CV178-1),"",DA178/CV178-1)</f>
        <v>-0.7717976318622175</v>
      </c>
      <c r="DB264" s="242">
        <f t="shared" ref="DB264:DB266" si="904">IF(ISERROR(DB178/CW178-1),"",DB178/CW178-1)</f>
        <v>-8.422535211267606</v>
      </c>
      <c r="DC264" s="242">
        <f t="shared" ref="DC264:DC266" si="905">IF(ISERROR(DC178/CX178-1),"",DC178/CX178-1)</f>
        <v>-0.66976411722659046</v>
      </c>
      <c r="DD264" s="242">
        <f t="shared" ref="DD264:DP266" si="906">IF(ISERROR(DD178/CY178-1),"",DD178/CY178-1)</f>
        <v>-1.9017857142857144</v>
      </c>
      <c r="DE264" s="144">
        <f t="shared" si="906"/>
        <v>-0.50225733634311509</v>
      </c>
      <c r="DF264" s="242">
        <f t="shared" si="906"/>
        <v>-1.7122641509433962</v>
      </c>
      <c r="DG264" s="242">
        <f t="shared" si="906"/>
        <v>0.73244781783681212</v>
      </c>
      <c r="DH264" s="242">
        <f t="shared" si="906"/>
        <v>1.5800865800865802</v>
      </c>
      <c r="DI264" s="242">
        <f t="shared" si="906"/>
        <v>21.445544554455445</v>
      </c>
      <c r="DJ264" s="144">
        <f>IF(ISERROR(DJ178/DE178-1),"",DJ178/DE178-1)</f>
        <v>2.06859410430839</v>
      </c>
      <c r="DK264" s="242">
        <f t="shared" si="906"/>
        <v>2.6490066225165476E-2</v>
      </c>
      <c r="DL264" s="242">
        <f t="shared" si="906"/>
        <v>-1.1204819277108433</v>
      </c>
      <c r="DM264" s="242">
        <f t="shared" si="906"/>
        <v>-1.0478187919463087</v>
      </c>
      <c r="DN264" s="242">
        <f t="shared" si="906"/>
        <v>-0.77635641817379797</v>
      </c>
      <c r="DO264" s="144">
        <f>IF(ISERROR(DO178/DJ178-1),"",DO178/DJ178-1)</f>
        <v>-0.97635322372067246</v>
      </c>
      <c r="DP264" s="242">
        <f t="shared" si="906"/>
        <v>0.50322580645161286</v>
      </c>
      <c r="DQ264" s="242">
        <f t="shared" ref="DQ264:DQ266" si="907">IF(ISERROR(DQ178/DL178-1),"",DQ178/DL178-1)</f>
        <v>-1.1363636363636362</v>
      </c>
      <c r="DR264" s="242">
        <f t="shared" ref="DR264:DR266" si="908">IF(ISERROR(DR178/DM178-1),"",DR178/DM178-1)</f>
        <v>0.79506421052631593</v>
      </c>
      <c r="DS264" s="242">
        <f t="shared" ref="DS264:DS266" si="909">IF(ISERROR(DS178/DN178-1),"",DS178/DN178-1)</f>
        <v>-1.5688418934911241</v>
      </c>
      <c r="DT264" s="144">
        <f>IF(ISERROR(DT178/DO178-1),"",DT178/DO178-1)</f>
        <v>-6.5550012500000001</v>
      </c>
      <c r="DU264" s="242">
        <f t="shared" ref="DU264:DU266" si="910">IF(ISERROR(DU178/DP178-1),"",DU178/DP178-1)</f>
        <v>8.1797553648068622E-2</v>
      </c>
      <c r="DV264" s="242">
        <f t="shared" ref="DV264:DV266" si="911">IF(ISERROR(DV178/DQ178-1),"",DV178/DQ178-1)</f>
        <v>-25.324738666666669</v>
      </c>
      <c r="DW264" s="242">
        <f t="shared" ref="DW264:DW266" si="912">IF(ISERROR(DW178/DR178-1),"",DW178/DR178-1)</f>
        <v>1.1200000000000001</v>
      </c>
      <c r="DX264" s="242">
        <f t="shared" ref="DX264:DX266" si="913">IF(ISERROR(DX178/DS178-1),"",DX178/DS178-1)</f>
        <v>0.84277777777777807</v>
      </c>
      <c r="DY264" s="144">
        <f>IF(ISERROR(DY178/DT178-1),"",DY178/DT178-1)</f>
        <v>1.2252236399699283</v>
      </c>
      <c r="DZ264" s="144">
        <f t="shared" ref="DZ264:DZ266" si="914">IF(ISERROR(DZ178/DY178-1),"",DZ178/DY178-1)</f>
        <v>0.45928413019025749</v>
      </c>
      <c r="EA264" s="144">
        <f t="shared" ref="EA264:EA266" si="915">IF(ISERROR(EA178/DZ178-1),"",EA178/DZ178-1)</f>
        <v>0.30074626865671661</v>
      </c>
      <c r="EB264" s="144">
        <f t="shared" ref="EB264:EB266" si="916">IF(ISERROR(EB178/EA178-1),"",EB178/EA178-1)</f>
        <v>0.12771084337349392</v>
      </c>
    </row>
    <row r="265" spans="2:132" s="241" customFormat="1" ht="12" hidden="1" customHeight="1" outlineLevel="1">
      <c r="B265" s="137" t="s">
        <v>575</v>
      </c>
      <c r="C265" s="301"/>
      <c r="D265" s="301"/>
      <c r="E265" s="301"/>
      <c r="F265" s="301"/>
      <c r="G265" s="301"/>
      <c r="H265" s="301"/>
      <c r="I265" s="301"/>
      <c r="J265" s="242"/>
      <c r="K265" s="242"/>
      <c r="L265" s="242"/>
      <c r="M265" s="242"/>
      <c r="N265" s="301"/>
      <c r="O265" s="242"/>
      <c r="P265" s="242"/>
      <c r="Q265" s="242"/>
      <c r="R265" s="242"/>
      <c r="S265" s="301"/>
      <c r="T265" s="242"/>
      <c r="U265" s="242"/>
      <c r="V265" s="242"/>
      <c r="W265" s="242"/>
      <c r="X265" s="301"/>
      <c r="Y265" s="242"/>
      <c r="Z265" s="242"/>
      <c r="AA265" s="242"/>
      <c r="AB265" s="242"/>
      <c r="AC265" s="301"/>
      <c r="AD265" s="242"/>
      <c r="AE265" s="242"/>
      <c r="AF265" s="242"/>
      <c r="AG265" s="242"/>
      <c r="AH265" s="301"/>
      <c r="AI265" s="242"/>
      <c r="AJ265" s="242"/>
      <c r="AK265" s="242"/>
      <c r="AL265" s="242"/>
      <c r="AM265" s="301"/>
      <c r="AN265" s="242"/>
      <c r="AO265" s="242"/>
      <c r="AP265" s="242"/>
      <c r="AQ265" s="242"/>
      <c r="AR265" s="301"/>
      <c r="AS265" s="242"/>
      <c r="AT265" s="242"/>
      <c r="AU265" s="242"/>
      <c r="AV265" s="242"/>
      <c r="AW265" s="301"/>
      <c r="AX265" s="242"/>
      <c r="AY265" s="242"/>
      <c r="AZ265" s="242"/>
      <c r="BA265" s="242"/>
      <c r="BB265" s="301"/>
      <c r="BC265" s="242"/>
      <c r="BD265" s="242"/>
      <c r="BE265" s="242"/>
      <c r="BF265" s="242"/>
      <c r="BG265" s="301"/>
      <c r="BH265" s="242"/>
      <c r="BI265" s="242"/>
      <c r="BJ265" s="242"/>
      <c r="BK265" s="242"/>
      <c r="BL265" s="144"/>
      <c r="BM265" s="242"/>
      <c r="BN265" s="242"/>
      <c r="BO265" s="242"/>
      <c r="BP265" s="242"/>
      <c r="BQ265" s="144"/>
      <c r="BR265" s="242"/>
      <c r="BS265" s="242"/>
      <c r="BT265" s="242"/>
      <c r="BU265" s="242"/>
      <c r="BV265" s="144"/>
      <c r="BW265" s="242">
        <f t="shared" ref="BW265" si="917">IF(ISERROR(BW179/BR179-1),"",BW179/BR179-1)</f>
        <v>0.14102564102564097</v>
      </c>
      <c r="BX265" s="242">
        <f t="shared" ref="BX265" si="918">IF(ISERROR(BX179/BS179-1),"",BX179/BS179-1)</f>
        <v>5.5658627087198598E-2</v>
      </c>
      <c r="BY265" s="242">
        <f t="shared" ref="BY265" si="919">IF(ISERROR(BY179/BT179-1),"",BY179/BT179-1)</f>
        <v>-5.5343511450381633E-2</v>
      </c>
      <c r="BZ265" s="242">
        <f t="shared" ref="BZ265" si="920">IF(ISERROR(BZ179/BU179-1),"",BZ179/BU179-1)</f>
        <v>-1.5845070422535246E-2</v>
      </c>
      <c r="CA265" s="144">
        <f t="shared" ref="CA265" si="921">IF(ISERROR(CA179/BV179-1),"",CA179/BV179-1)</f>
        <v>3.1694993109784075E-2</v>
      </c>
      <c r="CB265" s="242">
        <f t="shared" ref="CB265" si="922">IF(ISERROR(CB179/BW179-1),"",CB179/BW179-1)</f>
        <v>3.8523274478330594E-2</v>
      </c>
      <c r="CC265" s="242">
        <f t="shared" ref="CC265" si="923">IF(ISERROR(CC179/BX179-1),"",CC179/BX179-1)</f>
        <v>6.1511423550087763E-2</v>
      </c>
      <c r="CD265" s="242">
        <f t="shared" ref="CD265" si="924">IF(ISERROR(CD179/BY179-1),"",CD179/BY179-1)</f>
        <v>0.10707070707070709</v>
      </c>
      <c r="CE265" s="242">
        <f t="shared" ref="CE265" si="925">IF(ISERROR(CE179/BZ179-1),"",CE179/BZ179-1)</f>
        <v>0.31842576028622549</v>
      </c>
      <c r="CF265" s="144">
        <f t="shared" ref="CF265" si="926">IF(ISERROR(CF179/CA179-1),"",CF179/CA179-1)</f>
        <v>0.12911843276936774</v>
      </c>
      <c r="CG265" s="242">
        <f t="shared" si="894"/>
        <v>9.2735703245749868E-3</v>
      </c>
      <c r="CH265" s="242">
        <f t="shared" si="894"/>
        <v>0.13741721854304645</v>
      </c>
      <c r="CI265" s="242">
        <f t="shared" si="894"/>
        <v>0.22810218978102181</v>
      </c>
      <c r="CJ265" s="242">
        <f t="shared" si="894"/>
        <v>-7.1913161465400277E-2</v>
      </c>
      <c r="CK265" s="144">
        <f t="shared" si="894"/>
        <v>6.3485804416403724E-2</v>
      </c>
      <c r="CL265" s="242">
        <f t="shared" si="894"/>
        <v>8.4226646248085846E-2</v>
      </c>
      <c r="CM265" s="242">
        <f t="shared" si="894"/>
        <v>-1.9781659388646289</v>
      </c>
      <c r="CN265" s="242">
        <f t="shared" si="894"/>
        <v>-0.59732540861812777</v>
      </c>
      <c r="CO265" s="242">
        <f t="shared" si="894"/>
        <v>-0.79093567251461994</v>
      </c>
      <c r="CP265" s="144">
        <f t="shared" si="894"/>
        <v>-0.83314794215795329</v>
      </c>
      <c r="CQ265" s="242">
        <f t="shared" si="895"/>
        <v>-0.3771186440677966</v>
      </c>
      <c r="CR265" s="242">
        <f t="shared" si="896"/>
        <v>-1.7901785714285714</v>
      </c>
      <c r="CS265" s="242">
        <f t="shared" si="897"/>
        <v>1.3763837638376382</v>
      </c>
      <c r="CT265" s="242">
        <f t="shared" si="898"/>
        <v>1.8041958041958042</v>
      </c>
      <c r="CU265" s="144">
        <f t="shared" si="898"/>
        <v>3.4822222222222221</v>
      </c>
      <c r="CV265" s="242">
        <f t="shared" si="899"/>
        <v>0.43310657596371893</v>
      </c>
      <c r="CW265" s="242">
        <f t="shared" si="899"/>
        <v>0.37099811676082872</v>
      </c>
      <c r="CX265" s="242">
        <f t="shared" si="900"/>
        <v>0.13819875776397517</v>
      </c>
      <c r="CY265" s="242">
        <f t="shared" si="901"/>
        <v>0.58104738154613456</v>
      </c>
      <c r="CZ265" s="144">
        <f t="shared" si="902"/>
        <v>0.35200793257312846</v>
      </c>
      <c r="DA265" s="242">
        <f t="shared" si="903"/>
        <v>0.34018987341772156</v>
      </c>
      <c r="DB265" s="242">
        <f t="shared" si="904"/>
        <v>0.17582417582417587</v>
      </c>
      <c r="DC265" s="242">
        <f t="shared" si="905"/>
        <v>6.9577080491132426E-2</v>
      </c>
      <c r="DD265" s="242">
        <f t="shared" si="906"/>
        <v>0.32807570977917977</v>
      </c>
      <c r="DE265" s="144">
        <f t="shared" si="906"/>
        <v>0.22075540887422074</v>
      </c>
      <c r="DF265" s="242">
        <f t="shared" si="906"/>
        <v>8.1463990554899723E-2</v>
      </c>
      <c r="DG265" s="242">
        <f t="shared" si="906"/>
        <v>1.6355140186915973E-2</v>
      </c>
      <c r="DH265" s="242">
        <f t="shared" si="906"/>
        <v>6.3775510204081565E-2</v>
      </c>
      <c r="DI265" s="242">
        <f t="shared" si="906"/>
        <v>0.18527315914489306</v>
      </c>
      <c r="DJ265" s="144">
        <f>IF(ISERROR(DJ179/DE179-1),"",DJ179/DE179-1)</f>
        <v>8.6812856713727848E-2</v>
      </c>
      <c r="DK265" s="242">
        <f t="shared" si="906"/>
        <v>2.9475982532751077E-2</v>
      </c>
      <c r="DL265" s="242">
        <f t="shared" si="906"/>
        <v>0.20574712643678161</v>
      </c>
      <c r="DM265" s="242">
        <f t="shared" si="906"/>
        <v>0.12470023980815337</v>
      </c>
      <c r="DN265" s="242">
        <f t="shared" si="906"/>
        <v>9.5651302605210429</v>
      </c>
      <c r="DO265" s="144">
        <f>IF(ISERROR(DO179/DJ179-1),"",DO179/DJ179-1)</f>
        <v>2.7241569928137093</v>
      </c>
      <c r="DP265" s="242">
        <f t="shared" si="906"/>
        <v>2.969247083775195E-2</v>
      </c>
      <c r="DQ265" s="242">
        <f t="shared" si="907"/>
        <v>-7.7216396568160151E-2</v>
      </c>
      <c r="DR265" s="242">
        <f t="shared" si="908"/>
        <v>4.7809186737614917E-2</v>
      </c>
      <c r="DS265" s="242">
        <f t="shared" si="909"/>
        <v>-0.90241308611187321</v>
      </c>
      <c r="DT265" s="144">
        <f>IF(ISERROR(DT179/DO179-1),"",DT179/DO179-1)</f>
        <v>-0.70678332809883537</v>
      </c>
      <c r="DU265" s="242">
        <f t="shared" si="910"/>
        <v>3.145690249441091E-2</v>
      </c>
      <c r="DV265" s="242">
        <f t="shared" si="911"/>
        <v>6.3750915269557673E-2</v>
      </c>
      <c r="DW265" s="242">
        <f t="shared" si="912"/>
        <v>0.12651346739021463</v>
      </c>
      <c r="DX265" s="242">
        <f t="shared" si="913"/>
        <v>7.2437978024752159E-2</v>
      </c>
      <c r="DY265" s="144">
        <f>IF(ISERROR(DY179/DT179-1),"",DY179/DT179-1)</f>
        <v>7.3689907352247674E-2</v>
      </c>
      <c r="DZ265" s="144">
        <f t="shared" si="914"/>
        <v>4.2724287760381952E-2</v>
      </c>
      <c r="EA265" s="144">
        <f t="shared" si="915"/>
        <v>4.3050116896703017E-2</v>
      </c>
      <c r="EB265" s="144">
        <f t="shared" si="916"/>
        <v>4.2952151331189681E-2</v>
      </c>
    </row>
    <row r="266" spans="2:132" s="241" customFormat="1" ht="12" hidden="1" customHeight="1" outlineLevel="1">
      <c r="B266" s="241" t="s">
        <v>144</v>
      </c>
      <c r="C266" s="301" t="str">
        <f t="shared" ref="C266:H266" si="927">IF(ISERROR(C180/B180-1),"",(C180/B180-1))</f>
        <v/>
      </c>
      <c r="D266" s="301">
        <f t="shared" si="927"/>
        <v>-3.6745406824146953E-2</v>
      </c>
      <c r="E266" s="301">
        <f t="shared" si="927"/>
        <v>0.34059945504087197</v>
      </c>
      <c r="F266" s="301">
        <f t="shared" si="927"/>
        <v>4.0650406504065817E-3</v>
      </c>
      <c r="G266" s="301">
        <f t="shared" si="927"/>
        <v>0.20647773279352233</v>
      </c>
      <c r="H266" s="301">
        <f t="shared" si="927"/>
        <v>-0.1912751677852349</v>
      </c>
      <c r="I266" s="301">
        <f>IF(ISERROR(I180/H180-1),"",(I180/H180-1))</f>
        <v>-0.70331950207468874</v>
      </c>
      <c r="J266" s="242"/>
      <c r="K266" s="242"/>
      <c r="L266" s="242"/>
      <c r="M266" s="242"/>
      <c r="N266" s="301">
        <f t="shared" ref="N266:W267" si="928">IF(ISERROR(N180/I180-1),"",(N180/I180-1))</f>
        <v>0.2797202797202798</v>
      </c>
      <c r="O266" s="242">
        <f t="shared" si="928"/>
        <v>-0.49425287356321834</v>
      </c>
      <c r="P266" s="242">
        <f t="shared" si="928"/>
        <v>6.4666666666666668</v>
      </c>
      <c r="Q266" s="242">
        <f t="shared" si="928"/>
        <v>-0.53333333333333333</v>
      </c>
      <c r="R266" s="242">
        <f t="shared" si="928"/>
        <v>1.2857142857142856</v>
      </c>
      <c r="S266" s="301">
        <f t="shared" si="928"/>
        <v>0.26775956284153013</v>
      </c>
      <c r="T266" s="242">
        <f t="shared" si="928"/>
        <v>0.59090909090909083</v>
      </c>
      <c r="U266" s="242">
        <f t="shared" si="928"/>
        <v>-0.4464285714285714</v>
      </c>
      <c r="V266" s="242">
        <f t="shared" si="928"/>
        <v>3.3571428571428568</v>
      </c>
      <c r="W266" s="242">
        <f t="shared" si="928"/>
        <v>-0.22916666666666663</v>
      </c>
      <c r="X266" s="301">
        <f t="shared" ref="X266:AG267" si="929">IF(ISERROR(X180/S180-1),"",(X180/S180-1))</f>
        <v>0.2543103448275863</v>
      </c>
      <c r="Y266" s="242">
        <f t="shared" si="929"/>
        <v>4.2857142857142927E-2</v>
      </c>
      <c r="Z266" s="242">
        <f t="shared" si="929"/>
        <v>0.12903225806451624</v>
      </c>
      <c r="AA266" s="242">
        <f t="shared" si="929"/>
        <v>-0.5</v>
      </c>
      <c r="AB266" s="242">
        <f t="shared" si="929"/>
        <v>-0.18918918918918914</v>
      </c>
      <c r="AC266" s="301">
        <f t="shared" si="929"/>
        <v>-0.19587628865979378</v>
      </c>
      <c r="AD266" s="242">
        <f t="shared" si="929"/>
        <v>-0.16438356164383561</v>
      </c>
      <c r="AE266" s="242">
        <f t="shared" si="929"/>
        <v>-0.3571428571428571</v>
      </c>
      <c r="AF266" s="242">
        <f t="shared" si="929"/>
        <v>-0.39344262295081966</v>
      </c>
      <c r="AG266" s="242">
        <f t="shared" si="929"/>
        <v>-0.3666666666666667</v>
      </c>
      <c r="AH266" s="301">
        <f t="shared" ref="AH266:AK267" si="930">IF(ISERROR(AH180/AC180-1),"",(AH180/AC180-1))</f>
        <v>-0.30769230769230771</v>
      </c>
      <c r="AI266" s="242">
        <f t="shared" si="930"/>
        <v>-0.39344262295081966</v>
      </c>
      <c r="AJ266" s="242">
        <f t="shared" si="930"/>
        <v>-0.19999999999999996</v>
      </c>
      <c r="AK266" s="242">
        <f t="shared" si="930"/>
        <v>5.4054054054053946E-2</v>
      </c>
      <c r="AL266" s="242">
        <f>IF(ISERROR(AL180/AG180-1),"",AL180/AG180-1)</f>
        <v>-0.26315789473684215</v>
      </c>
      <c r="AM266" s="301">
        <f>IF(ISERROR(AM180/AH180-1),"",AM180/AH180-1)</f>
        <v>-0.22222222222222221</v>
      </c>
      <c r="AN266" s="242">
        <f>IF(ISERROR(AN180/AI180-1),"",(AN180/AI180-1))</f>
        <v>0.2432432432432432</v>
      </c>
      <c r="AO266" s="242">
        <f t="shared" ref="AO266:AX266" si="931">IF(ISERROR(AO180/AJ180-1),"",AO180/AJ180-1)</f>
        <v>0.52777777777777768</v>
      </c>
      <c r="AP266" s="242">
        <f t="shared" si="931"/>
        <v>0.15384615384615374</v>
      </c>
      <c r="AQ266" s="242">
        <f t="shared" si="931"/>
        <v>-0.5714285714285714</v>
      </c>
      <c r="AR266" s="301">
        <f t="shared" si="931"/>
        <v>0.20634920634920628</v>
      </c>
      <c r="AS266" s="242">
        <f t="shared" si="931"/>
        <v>0.13043478260869557</v>
      </c>
      <c r="AT266" s="242">
        <f t="shared" si="931"/>
        <v>0.1272727272727272</v>
      </c>
      <c r="AU266" s="242">
        <f t="shared" si="931"/>
        <v>-0.57777777777777772</v>
      </c>
      <c r="AV266" s="242">
        <f t="shared" si="931"/>
        <v>-2.333333333333333</v>
      </c>
      <c r="AW266" s="301">
        <f t="shared" si="931"/>
        <v>-0.17763157894736847</v>
      </c>
      <c r="AX266" s="242">
        <f t="shared" si="931"/>
        <v>-0.26923076923076927</v>
      </c>
      <c r="AY266" s="242">
        <f t="shared" ref="AY266:BH266" si="932">IF(ISERROR(AY180/AT180-1),"",AY180/AT180-1)</f>
        <v>-0.5</v>
      </c>
      <c r="AZ266" s="242">
        <f t="shared" si="932"/>
        <v>0.73684210526315796</v>
      </c>
      <c r="BA266" s="242">
        <f t="shared" si="932"/>
        <v>1.5</v>
      </c>
      <c r="BB266" s="301">
        <f t="shared" si="932"/>
        <v>-0.34399999999999997</v>
      </c>
      <c r="BC266" s="242">
        <f t="shared" si="932"/>
        <v>0.15789473684210531</v>
      </c>
      <c r="BD266" s="242">
        <f t="shared" si="932"/>
        <v>-0.38709677419354838</v>
      </c>
      <c r="BE266" s="242">
        <f t="shared" si="932"/>
        <v>6.0606060606060552E-2</v>
      </c>
      <c r="BF266" s="242">
        <f t="shared" si="932"/>
        <v>-1.45</v>
      </c>
      <c r="BG266" s="301">
        <f t="shared" si="932"/>
        <v>0.30487804878048785</v>
      </c>
      <c r="BH266" s="242">
        <f t="shared" si="932"/>
        <v>0</v>
      </c>
      <c r="BI266" s="242">
        <f t="shared" ref="BI266:BR266" si="933">IF(ISERROR(BI180/BD180-1),"",BI180/BD180-1)</f>
        <v>0.73684210526315796</v>
      </c>
      <c r="BJ266" s="242">
        <f t="shared" si="933"/>
        <v>-1.3142857142857143</v>
      </c>
      <c r="BK266" s="242">
        <f t="shared" si="933"/>
        <v>1.8888888888888888</v>
      </c>
      <c r="BL266" s="144">
        <f t="shared" si="933"/>
        <v>-0.14018691588785048</v>
      </c>
      <c r="BM266" s="242">
        <f t="shared" si="933"/>
        <v>-0.54545454545454541</v>
      </c>
      <c r="BN266" s="242">
        <f t="shared" si="933"/>
        <v>-0.66666666666666674</v>
      </c>
      <c r="BO266" s="242">
        <f t="shared" si="933"/>
        <v>-1.9090909090909092</v>
      </c>
      <c r="BP266" s="242">
        <f t="shared" si="933"/>
        <v>-0.65384615384615385</v>
      </c>
      <c r="BQ266" s="144">
        <f t="shared" si="933"/>
        <v>-0.45652173913043481</v>
      </c>
      <c r="BR266" s="242">
        <f t="shared" si="933"/>
        <v>-0.75</v>
      </c>
      <c r="BS266" s="242">
        <f t="shared" ref="BS266:CB266" si="934">IF(ISERROR(BS180/BN180-1),"",BS180/BN180-1)</f>
        <v>0.63636363636363646</v>
      </c>
      <c r="BT266" s="242">
        <f t="shared" si="934"/>
        <v>0.30000000000000004</v>
      </c>
      <c r="BU266" s="242">
        <f t="shared" si="934"/>
        <v>1.5555555555555554</v>
      </c>
      <c r="BV266" s="144">
        <f t="shared" si="934"/>
        <v>0.17999999999999994</v>
      </c>
      <c r="BW266" s="242">
        <f t="shared" si="934"/>
        <v>6.8</v>
      </c>
      <c r="BX266" s="242">
        <f t="shared" si="934"/>
        <v>0.38888888888888884</v>
      </c>
      <c r="BY266" s="242">
        <f t="shared" si="934"/>
        <v>0.76923076923076916</v>
      </c>
      <c r="BZ266" s="242">
        <f t="shared" si="934"/>
        <v>0.17391304347826098</v>
      </c>
      <c r="CA266" s="144">
        <f t="shared" si="934"/>
        <v>0.93220338983050843</v>
      </c>
      <c r="CB266" s="242">
        <f t="shared" si="934"/>
        <v>-0.48717948717948723</v>
      </c>
      <c r="CC266" s="242">
        <f t="shared" ref="CC266:CF266" si="935">IF(ISERROR(CC180/BX180-1),"",CC180/BX180-1)</f>
        <v>-4.0000000000000036E-2</v>
      </c>
      <c r="CD266" s="242">
        <f t="shared" si="935"/>
        <v>0.17391304347826098</v>
      </c>
      <c r="CE266" s="242">
        <f t="shared" si="935"/>
        <v>-0.70370370370370372</v>
      </c>
      <c r="CF266" s="144">
        <f t="shared" si="935"/>
        <v>-0.30701754385964908</v>
      </c>
      <c r="CG266" s="242">
        <f t="shared" si="894"/>
        <v>0</v>
      </c>
      <c r="CH266" s="242">
        <f t="shared" si="894"/>
        <v>0.54166666666666674</v>
      </c>
      <c r="CI266" s="242">
        <f t="shared" si="894"/>
        <v>7.4074074074074181E-2</v>
      </c>
      <c r="CJ266" s="242">
        <f t="shared" si="894"/>
        <v>-8.25</v>
      </c>
      <c r="CK266" s="144">
        <f t="shared" si="894"/>
        <v>-0.64556962025316456</v>
      </c>
      <c r="CL266" s="242">
        <f t="shared" si="894"/>
        <v>0.19999999999999996</v>
      </c>
      <c r="CM266" s="242">
        <f t="shared" si="894"/>
        <v>-1.1891891891891893</v>
      </c>
      <c r="CN266" s="242">
        <f t="shared" si="894"/>
        <v>3.4482758620689724E-2</v>
      </c>
      <c r="CO266" s="242">
        <f t="shared" si="894"/>
        <v>-1.2758620689655173</v>
      </c>
      <c r="CP266" s="144">
        <f t="shared" si="894"/>
        <v>1.25</v>
      </c>
      <c r="CQ266" s="242">
        <f t="shared" si="895"/>
        <v>-0.125</v>
      </c>
      <c r="CR266" s="242">
        <f t="shared" si="896"/>
        <v>-6.1428571428571432</v>
      </c>
      <c r="CS266" s="242">
        <f t="shared" si="897"/>
        <v>0.39999999999999991</v>
      </c>
      <c r="CT266" s="242">
        <f t="shared" si="898"/>
        <v>-0.5625</v>
      </c>
      <c r="CU266" s="144">
        <f t="shared" si="898"/>
        <v>0.68253968253968256</v>
      </c>
      <c r="CV266" s="242">
        <f t="shared" si="899"/>
        <v>-2.7142857142857144</v>
      </c>
      <c r="CW266" s="242">
        <f t="shared" si="899"/>
        <v>-0.25</v>
      </c>
      <c r="CX266" s="242">
        <f t="shared" si="900"/>
        <v>-0.45238095238095233</v>
      </c>
      <c r="CY266" s="242">
        <f t="shared" si="901"/>
        <v>1.1428571428571428</v>
      </c>
      <c r="CZ266" s="144">
        <f t="shared" si="902"/>
        <v>-0.72641509433962259</v>
      </c>
      <c r="DA266" s="242">
        <f t="shared" si="903"/>
        <v>-1</v>
      </c>
      <c r="DB266" s="242">
        <f t="shared" si="904"/>
        <v>-1</v>
      </c>
      <c r="DC266" s="242">
        <f t="shared" si="905"/>
        <v>-1</v>
      </c>
      <c r="DD266" s="242">
        <f t="shared" si="906"/>
        <v>-1</v>
      </c>
      <c r="DE266" s="144">
        <f t="shared" si="906"/>
        <v>-1</v>
      </c>
      <c r="DF266" s="242" t="str">
        <f t="shared" si="906"/>
        <v/>
      </c>
      <c r="DG266" s="242" t="str">
        <f t="shared" si="906"/>
        <v/>
      </c>
      <c r="DH266" s="242" t="str">
        <f t="shared" si="906"/>
        <v/>
      </c>
      <c r="DI266" s="242" t="str">
        <f t="shared" si="906"/>
        <v/>
      </c>
      <c r="DJ266" s="144" t="str">
        <f>IF(ISERROR(DJ180/DE180-1),"",DJ180/DE180-1)</f>
        <v/>
      </c>
      <c r="DK266" s="242" t="str">
        <f t="shared" si="906"/>
        <v/>
      </c>
      <c r="DL266" s="242" t="str">
        <f t="shared" si="906"/>
        <v/>
      </c>
      <c r="DM266" s="242" t="str">
        <f t="shared" si="906"/>
        <v/>
      </c>
      <c r="DN266" s="242" t="str">
        <f t="shared" si="906"/>
        <v/>
      </c>
      <c r="DO266" s="144" t="str">
        <f>IF(ISERROR(DO180/DJ180-1),"",DO180/DJ180-1)</f>
        <v/>
      </c>
      <c r="DP266" s="242" t="str">
        <f t="shared" si="906"/>
        <v/>
      </c>
      <c r="DQ266" s="242" t="str">
        <f t="shared" si="907"/>
        <v/>
      </c>
      <c r="DR266" s="242" t="str">
        <f t="shared" si="908"/>
        <v/>
      </c>
      <c r="DS266" s="242" t="str">
        <f t="shared" si="909"/>
        <v/>
      </c>
      <c r="DT266" s="144" t="str">
        <f>IF(ISERROR(DT180/DO180-1),"",DT180/DO180-1)</f>
        <v/>
      </c>
      <c r="DU266" s="242" t="str">
        <f t="shared" si="910"/>
        <v/>
      </c>
      <c r="DV266" s="242" t="str">
        <f t="shared" si="911"/>
        <v/>
      </c>
      <c r="DW266" s="242" t="str">
        <f t="shared" si="912"/>
        <v/>
      </c>
      <c r="DX266" s="242" t="str">
        <f t="shared" si="913"/>
        <v/>
      </c>
      <c r="DY266" s="144" t="str">
        <f>IF(ISERROR(DY180/DT180-1),"",DY180/DT180-1)</f>
        <v/>
      </c>
      <c r="DZ266" s="144" t="str">
        <f t="shared" si="914"/>
        <v/>
      </c>
      <c r="EA266" s="144" t="str">
        <f t="shared" si="915"/>
        <v/>
      </c>
      <c r="EB266" s="144" t="str">
        <f t="shared" si="916"/>
        <v/>
      </c>
    </row>
    <row r="267" spans="2:132" s="241" customFormat="1" ht="12" hidden="1" customHeight="1" outlineLevel="1">
      <c r="B267" s="241" t="s">
        <v>93</v>
      </c>
      <c r="C267" s="301" t="str">
        <f t="shared" ref="C267:H267" si="936">IF(ISERROR(C181/B181-1),"",(C181/B181-1))</f>
        <v/>
      </c>
      <c r="D267" s="301" t="str">
        <f t="shared" si="936"/>
        <v/>
      </c>
      <c r="E267" s="301" t="str">
        <f t="shared" si="936"/>
        <v/>
      </c>
      <c r="F267" s="301" t="str">
        <f t="shared" si="936"/>
        <v/>
      </c>
      <c r="G267" s="301" t="str">
        <f t="shared" si="936"/>
        <v/>
      </c>
      <c r="H267" s="301">
        <f t="shared" si="936"/>
        <v>9.2783505154639068E-2</v>
      </c>
      <c r="I267" s="301">
        <f>IF(ISERROR(I181/H181-1),"",(I181/H181-1))</f>
        <v>-0.10377358490566035</v>
      </c>
      <c r="J267" s="242"/>
      <c r="K267" s="242"/>
      <c r="L267" s="242"/>
      <c r="M267" s="242"/>
      <c r="N267" s="301">
        <f t="shared" si="928"/>
        <v>0.40789473684210531</v>
      </c>
      <c r="O267" s="242">
        <f t="shared" si="928"/>
        <v>-0.30769230769230771</v>
      </c>
      <c r="P267" s="242">
        <f t="shared" si="928"/>
        <v>-0.15322580645161288</v>
      </c>
      <c r="Q267" s="242">
        <f t="shared" si="928"/>
        <v>-0.33103448275862069</v>
      </c>
      <c r="R267" s="242">
        <f t="shared" si="928"/>
        <v>-0.62962962962962965</v>
      </c>
      <c r="S267" s="301">
        <f t="shared" si="928"/>
        <v>-0.37570093457943921</v>
      </c>
      <c r="T267" s="242">
        <f t="shared" si="928"/>
        <v>-0.15277777777777779</v>
      </c>
      <c r="U267" s="242">
        <f t="shared" si="928"/>
        <v>-0.1428571428571429</v>
      </c>
      <c r="V267" s="242">
        <f t="shared" si="928"/>
        <v>4.0927835051546388</v>
      </c>
      <c r="W267" s="242">
        <f t="shared" si="928"/>
        <v>0.55000000000000004</v>
      </c>
      <c r="X267" s="301">
        <f t="shared" si="929"/>
        <v>1.2095808383233533</v>
      </c>
      <c r="Y267" s="242">
        <f t="shared" si="929"/>
        <v>-0.96721311475409832</v>
      </c>
      <c r="Z267" s="242">
        <f t="shared" si="929"/>
        <v>-0.66666666666666674</v>
      </c>
      <c r="AA267" s="242">
        <f t="shared" si="929"/>
        <v>-0.90688259109311742</v>
      </c>
      <c r="AB267" s="242">
        <f t="shared" si="929"/>
        <v>0.77419354838709675</v>
      </c>
      <c r="AC267" s="301">
        <f t="shared" si="929"/>
        <v>-0.6707317073170731</v>
      </c>
      <c r="AD267" s="242">
        <f t="shared" si="929"/>
        <v>24</v>
      </c>
      <c r="AE267" s="242">
        <f t="shared" si="929"/>
        <v>3.5</v>
      </c>
      <c r="AF267" s="242">
        <f t="shared" si="929"/>
        <v>4.3478260869565188E-2</v>
      </c>
      <c r="AG267" s="242">
        <f t="shared" si="929"/>
        <v>-0.55151515151515151</v>
      </c>
      <c r="AH267" s="301">
        <f t="shared" si="930"/>
        <v>0.26337448559670773</v>
      </c>
      <c r="AI267" s="242">
        <f t="shared" si="930"/>
        <v>-0.54</v>
      </c>
      <c r="AJ267" s="242">
        <f t="shared" si="930"/>
        <v>-0.65925925925925921</v>
      </c>
      <c r="AK267" s="242">
        <f t="shared" si="930"/>
        <v>-0.25</v>
      </c>
      <c r="AL267" s="242">
        <f t="shared" ref="AL267:AW267" si="937">IF(ISERROR(AL181/AG181-1),"",(AL181/AG181-1))</f>
        <v>-0.36486486486486491</v>
      </c>
      <c r="AM267" s="301">
        <f t="shared" si="937"/>
        <v>-0.50488599348534202</v>
      </c>
      <c r="AN267" s="242">
        <f>IF(ISERROR(AN181/AI181-1),"",(AN181/AI181-1))</f>
        <v>1.1739130434782608</v>
      </c>
      <c r="AO267" s="242">
        <f t="shared" si="937"/>
        <v>0.56521739130434789</v>
      </c>
      <c r="AP267" s="242">
        <f t="shared" si="937"/>
        <v>2.6666666666666665</v>
      </c>
      <c r="AQ267" s="242">
        <f t="shared" si="937"/>
        <v>0.55319148936170204</v>
      </c>
      <c r="AR267" s="301">
        <f t="shared" si="937"/>
        <v>1.1513157894736841</v>
      </c>
      <c r="AS267" s="242">
        <f t="shared" si="937"/>
        <v>-0.56000000000000005</v>
      </c>
      <c r="AT267" s="242">
        <f t="shared" si="937"/>
        <v>-0.19444444444444442</v>
      </c>
      <c r="AU267" s="242">
        <f t="shared" si="937"/>
        <v>-1.696969696969697</v>
      </c>
      <c r="AV267" s="242">
        <f t="shared" si="937"/>
        <v>-1.5890410958904111</v>
      </c>
      <c r="AW267" s="301">
        <f t="shared" si="937"/>
        <v>-1.1681957186544343</v>
      </c>
      <c r="AX267" s="242">
        <f t="shared" ref="AX267:BB267" si="938">IF(ISERROR(AX181/AS181-1),"",(AX181/AS181-1))</f>
        <v>2.5909090909090908</v>
      </c>
      <c r="AY267" s="242">
        <f t="shared" si="938"/>
        <v>-0.13793103448275867</v>
      </c>
      <c r="AZ267" s="242">
        <f t="shared" si="938"/>
        <v>-1.8043478260869565</v>
      </c>
      <c r="BA267" s="242">
        <f t="shared" si="938"/>
        <v>2.3255813953488413E-2</v>
      </c>
      <c r="BB267" s="301">
        <f t="shared" si="938"/>
        <v>-3.8909090909090911</v>
      </c>
      <c r="BC267" s="242">
        <f t="shared" ref="BC267" si="939">IF(ISERROR(BC181/AX181-1),"",(BC181/AX181-1))</f>
        <v>-0.26582278481012656</v>
      </c>
      <c r="BD267" s="242">
        <f t="shared" ref="BD267" si="940">IF(ISERROR(BD181/AY181-1),"",(BD181/AY181-1))</f>
        <v>-0.14000000000000001</v>
      </c>
      <c r="BE267" s="242">
        <f t="shared" ref="BE267" si="941">IF(ISERROR(BE181/AZ181-1),"",(BE181/AZ181-1))</f>
        <v>-1.5945945945945947</v>
      </c>
      <c r="BF267" s="242">
        <f t="shared" ref="BF267" si="942">IF(ISERROR(BF181/BA181-1),"",(BF181/BA181-1))</f>
        <v>-3.25</v>
      </c>
      <c r="BG267" s="301">
        <f>IF(ISERROR(BG181/BB181-1),"",(BG181/BB181-1))</f>
        <v>-1.8867924528301883E-2</v>
      </c>
      <c r="BH267" s="242">
        <f t="shared" ref="BH267" si="943">IF(ISERROR(BH181/BC181-1),"",(BH181/BC181-1))</f>
        <v>6.8965517241379226E-2</v>
      </c>
      <c r="BI267" s="242">
        <f t="shared" ref="BI267" si="944">IF(ISERROR(BI181/BD181-1),"",(BI181/BD181-1))</f>
        <v>0.11627906976744184</v>
      </c>
      <c r="BJ267" s="242">
        <f t="shared" ref="BJ267" si="945">IF(ISERROR(BJ181/BE181-1),"",(BJ181/BE181-1))</f>
        <v>-1.4318181818181819</v>
      </c>
      <c r="BK267" s="242">
        <f t="shared" ref="BK267" si="946">IF(ISERROR(BK181/BF181-1),"",(BK181/BF181-1))</f>
        <v>-1</v>
      </c>
      <c r="BL267" s="144">
        <f>IF(ISERROR(BL181/BG181-1),"",(BL181/BG181-1))</f>
        <v>-0.17307692307692313</v>
      </c>
      <c r="BM267" s="242">
        <f t="shared" ref="BM267" si="947">IF(ISERROR(BM181/BH181-1),"",(BM181/BH181-1))</f>
        <v>-1</v>
      </c>
      <c r="BN267" s="242">
        <f t="shared" ref="BN267" si="948">IF(ISERROR(BN181/BI181-1),"",(BN181/BI181-1))</f>
        <v>-1</v>
      </c>
      <c r="BO267" s="242">
        <f t="shared" ref="BO267" si="949">IF(ISERROR(BO181/BJ181-1),"",(BO181/BJ181-1))</f>
        <v>0.10526315789473695</v>
      </c>
      <c r="BP267" s="242" t="str">
        <f t="shared" ref="BP267" si="950">IF(ISERROR(BP181/BK181-1),"",(BP181/BK181-1))</f>
        <v/>
      </c>
      <c r="BQ267" s="144">
        <f>IF(ISERROR(BQ181/BL181-1),"",(BQ181/BL181-1))</f>
        <v>-0.83720930232558133</v>
      </c>
      <c r="BR267" s="242" t="str">
        <f t="shared" ref="BR267" si="951">IF(ISERROR(BR181/BM181-1),"",(BR181/BM181-1))</f>
        <v/>
      </c>
      <c r="BS267" s="242" t="str">
        <f t="shared" ref="BS267" si="952">IF(ISERROR(BS181/BN181-1),"",(BS181/BN181-1))</f>
        <v/>
      </c>
      <c r="BT267" s="242">
        <f t="shared" ref="BT267" si="953">IF(ISERROR(BT181/BO181-1),"",(BT181/BO181-1))</f>
        <v>-1</v>
      </c>
      <c r="BU267" s="242" t="str">
        <f t="shared" ref="BU267" si="954">IF(ISERROR(BU181/BP181-1),"",(BU181/BP181-1))</f>
        <v/>
      </c>
      <c r="BV267" s="144">
        <f>IF(ISERROR(BV181/BQ181-1),"",(BV181/BQ181-1))</f>
        <v>-1</v>
      </c>
      <c r="BW267" s="242" t="str">
        <f t="shared" ref="BW267" si="955">IF(ISERROR(BW181/BR181-1),"",(BW181/BR181-1))</f>
        <v/>
      </c>
      <c r="BX267" s="242" t="str">
        <f t="shared" ref="BX267" si="956">IF(ISERROR(BX181/BS181-1),"",(BX181/BS181-1))</f>
        <v/>
      </c>
      <c r="BY267" s="242" t="str">
        <f t="shared" ref="BY267" si="957">IF(ISERROR(BY181/BT181-1),"",(BY181/BT181-1))</f>
        <v/>
      </c>
      <c r="BZ267" s="242" t="str">
        <f t="shared" ref="BZ267:CE267" si="958">IF(ISERROR(BZ181/BU181-1),"",(BZ181/BU181-1))</f>
        <v/>
      </c>
      <c r="CA267" s="144" t="str">
        <f>IF(ISERROR(CA181/BV181-1),"",(CA181/BV181-1))</f>
        <v/>
      </c>
      <c r="CB267" s="242" t="str">
        <f t="shared" si="958"/>
        <v/>
      </c>
      <c r="CC267" s="242" t="str">
        <f t="shared" si="958"/>
        <v/>
      </c>
      <c r="CD267" s="242" t="str">
        <f t="shared" si="958"/>
        <v/>
      </c>
      <c r="CE267" s="242" t="str">
        <f t="shared" si="958"/>
        <v/>
      </c>
      <c r="CF267" s="144" t="str">
        <f>IF(ISERROR(CF181/CA181-1),"",(CF181/CA181-1))</f>
        <v/>
      </c>
      <c r="CG267" s="242" t="str">
        <f t="shared" ref="CG267" si="959">IF(ISERROR(CG181/CB181-1),"",(CG181/CB181-1))</f>
        <v/>
      </c>
      <c r="CH267" s="242" t="str">
        <f t="shared" ref="CH267" si="960">IF(ISERROR(CH181/CC181-1),"",(CH181/CC181-1))</f>
        <v/>
      </c>
      <c r="CI267" s="242" t="str">
        <f t="shared" ref="CI267" si="961">IF(ISERROR(CI181/CD181-1),"",(CI181/CD181-1))</f>
        <v/>
      </c>
      <c r="CJ267" s="242" t="str">
        <f t="shared" ref="CJ267" si="962">IF(ISERROR(CJ181/CE181-1),"",(CJ181/CE181-1))</f>
        <v/>
      </c>
      <c r="CK267" s="144" t="str">
        <f>IF(ISERROR(CK181/CF181-1),"",(CK181/CF181-1))</f>
        <v/>
      </c>
      <c r="CL267" s="242" t="str">
        <f t="shared" ref="CL267" si="963">IF(ISERROR(CL181/CG181-1),"",(CL181/CG181-1))</f>
        <v/>
      </c>
      <c r="CM267" s="242" t="str">
        <f t="shared" ref="CM267" si="964">IF(ISERROR(CM181/CH181-1),"",(CM181/CH181-1))</f>
        <v/>
      </c>
      <c r="CN267" s="242" t="str">
        <f t="shared" ref="CN267" si="965">IF(ISERROR(CN181/CI181-1),"",(CN181/CI181-1))</f>
        <v/>
      </c>
      <c r="CO267" s="242" t="str">
        <f t="shared" ref="CO267" si="966">IF(ISERROR(CO181/CJ181-1),"",(CO181/CJ181-1))</f>
        <v/>
      </c>
      <c r="CP267" s="144" t="str">
        <f>IF(ISERROR(CP181/CK181-1),"",(CP181/CK181-1))</f>
        <v/>
      </c>
      <c r="CQ267" s="242" t="str">
        <f t="shared" ref="CQ267" si="967">IF(ISERROR(CQ181/CL181-1),"",(CQ181/CL181-1))</f>
        <v/>
      </c>
      <c r="CR267" s="242" t="str">
        <f t="shared" ref="CR267" si="968">IF(ISERROR(CR181/CM181-1),"",(CR181/CM181-1))</f>
        <v/>
      </c>
      <c r="CS267" s="242" t="str">
        <f t="shared" ref="CS267" si="969">IF(ISERROR(CS181/CN181-1),"",(CS181/CN181-1))</f>
        <v/>
      </c>
      <c r="CT267" s="242" t="str">
        <f t="shared" ref="CT267" si="970">IF(ISERROR(CT181/CO181-1),"",(CT181/CO181-1))</f>
        <v/>
      </c>
      <c r="CU267" s="144" t="str">
        <f>IF(ISERROR(CU181/CP181-1),"",(CU181/CP181-1))</f>
        <v/>
      </c>
      <c r="CV267" s="242" t="str">
        <f t="shared" ref="CV267:CW267" si="971">IF(ISERROR(CV181/CQ181-1),"",(CV181/CQ181-1))</f>
        <v/>
      </c>
      <c r="CW267" s="242" t="str">
        <f t="shared" si="971"/>
        <v/>
      </c>
      <c r="CX267" s="242" t="str">
        <f t="shared" ref="CX267" si="972">IF(ISERROR(CX181/CS181-1),"",(CX181/CS181-1))</f>
        <v/>
      </c>
      <c r="CY267" s="242" t="str">
        <f t="shared" ref="CY267" si="973">IF(ISERROR(CY181/CT181-1),"",(CY181/CT181-1))</f>
        <v/>
      </c>
      <c r="CZ267" s="144" t="str">
        <f>IF(ISERROR(CZ181/CU181-1),"",(CZ181/CU181-1))</f>
        <v/>
      </c>
      <c r="DA267" s="242" t="str">
        <f t="shared" ref="DA267" si="974">IF(ISERROR(DA181/CV181-1),"",(DA181/CV181-1))</f>
        <v/>
      </c>
      <c r="DB267" s="242" t="str">
        <f t="shared" ref="DB267" si="975">IF(ISERROR(DB181/CW181-1),"",(DB181/CW181-1))</f>
        <v/>
      </c>
      <c r="DC267" s="242" t="str">
        <f t="shared" ref="DC267" si="976">IF(ISERROR(DC181/CX181-1),"",(DC181/CX181-1))</f>
        <v/>
      </c>
      <c r="DD267" s="242" t="str">
        <f t="shared" ref="DD267" si="977">IF(ISERROR(DD181/CY181-1),"",(DD181/CY181-1))</f>
        <v/>
      </c>
      <c r="DE267" s="144" t="str">
        <f>IF(ISERROR(DE181/CZ181-1),"",(DE181/CZ181-1))</f>
        <v/>
      </c>
      <c r="DF267" s="242" t="str">
        <f t="shared" ref="DF267:DP267" si="978">IF(ISERROR(DF181/DA181-1),"",(DF181/DA181-1))</f>
        <v/>
      </c>
      <c r="DG267" s="242" t="str">
        <f t="shared" si="978"/>
        <v/>
      </c>
      <c r="DH267" s="242" t="str">
        <f t="shared" si="978"/>
        <v/>
      </c>
      <c r="DI267" s="242" t="str">
        <f t="shared" si="978"/>
        <v/>
      </c>
      <c r="DJ267" s="144" t="str">
        <f>IF(ISERROR(DJ181/DE181-1),"",(DJ181/DE181-1))</f>
        <v/>
      </c>
      <c r="DK267" s="242" t="str">
        <f t="shared" si="978"/>
        <v/>
      </c>
      <c r="DL267" s="242" t="str">
        <f t="shared" si="978"/>
        <v/>
      </c>
      <c r="DM267" s="242" t="str">
        <f t="shared" si="978"/>
        <v/>
      </c>
      <c r="DN267" s="242" t="str">
        <f t="shared" si="978"/>
        <v/>
      </c>
      <c r="DO267" s="144" t="str">
        <f>IF(ISERROR(DO181/DJ181-1),"",(DO181/DJ181-1))</f>
        <v/>
      </c>
      <c r="DP267" s="242" t="str">
        <f t="shared" si="978"/>
        <v/>
      </c>
      <c r="DQ267" s="242" t="str">
        <f t="shared" ref="DQ267" si="979">IF(ISERROR(DQ181/DL181-1),"",(DQ181/DL181-1))</f>
        <v/>
      </c>
      <c r="DR267" s="242" t="str">
        <f t="shared" ref="DR267" si="980">IF(ISERROR(DR181/DM181-1),"",(DR181/DM181-1))</f>
        <v/>
      </c>
      <c r="DS267" s="242" t="str">
        <f t="shared" ref="DS267" si="981">IF(ISERROR(DS181/DN181-1),"",(DS181/DN181-1))</f>
        <v/>
      </c>
      <c r="DT267" s="144" t="str">
        <f>IF(ISERROR(DT181/DO181-1),"",(DT181/DO181-1))</f>
        <v/>
      </c>
      <c r="DU267" s="242" t="str">
        <f t="shared" ref="DU267" si="982">IF(ISERROR(DU181/DP181-1),"",(DU181/DP181-1))</f>
        <v/>
      </c>
      <c r="DV267" s="242" t="str">
        <f t="shared" ref="DV267" si="983">IF(ISERROR(DV181/DQ181-1),"",(DV181/DQ181-1))</f>
        <v/>
      </c>
      <c r="DW267" s="242" t="str">
        <f t="shared" ref="DW267" si="984">IF(ISERROR(DW181/DR181-1),"",(DW181/DR181-1))</f>
        <v/>
      </c>
      <c r="DX267" s="242" t="str">
        <f t="shared" ref="DX267" si="985">IF(ISERROR(DX181/DS181-1),"",(DX181/DS181-1))</f>
        <v/>
      </c>
      <c r="DY267" s="144" t="str">
        <f>IF(ISERROR(DY181/DT181-1),"",(DY181/DT181-1))</f>
        <v/>
      </c>
      <c r="DZ267" s="144" t="str">
        <f t="shared" ref="DZ267" si="986">IF(ISERROR(DZ181/DY181-1),"",(DZ181/DY181-1))</f>
        <v/>
      </c>
      <c r="EA267" s="144" t="str">
        <f t="shared" ref="EA267" si="987">IF(ISERROR(EA181/DZ181-1),"",(EA181/DZ181-1))</f>
        <v/>
      </c>
      <c r="EB267" s="144" t="str">
        <f t="shared" ref="EB267" si="988">IF(ISERROR(EB181/EA181-1),"",(EB181/EA181-1))</f>
        <v/>
      </c>
    </row>
    <row r="268" spans="2:132" s="241" customFormat="1" ht="12" hidden="1" customHeight="1" outlineLevel="1">
      <c r="B268" s="241" t="s">
        <v>109</v>
      </c>
      <c r="C268" s="301" t="str">
        <f t="shared" ref="C268:H268" si="989">IF(ISERROR(C186/B186-1),"",(C186/B186-1))</f>
        <v/>
      </c>
      <c r="D268" s="301">
        <f t="shared" si="989"/>
        <v>0.82407407407407418</v>
      </c>
      <c r="E268" s="301">
        <f t="shared" si="989"/>
        <v>1.4010152284263961</v>
      </c>
      <c r="F268" s="301">
        <f t="shared" si="989"/>
        <v>0.18393234672304448</v>
      </c>
      <c r="G268" s="301">
        <f t="shared" si="989"/>
        <v>-0.18839285714285714</v>
      </c>
      <c r="H268" s="301">
        <f t="shared" si="989"/>
        <v>0.1507150715071508</v>
      </c>
      <c r="I268" s="301">
        <f>IF(ISERROR(I186/H186-1),"",(I186/H186-1))</f>
        <v>-0.24760994263862335</v>
      </c>
      <c r="J268" s="242"/>
      <c r="K268" s="242"/>
      <c r="L268" s="242"/>
      <c r="M268" s="242"/>
      <c r="N268" s="301">
        <f t="shared" ref="N268:AH268" si="990">IF(ISERROR(N186/I186-1),"",(N186/I186-1))</f>
        <v>0.67598475222363397</v>
      </c>
      <c r="O268" s="242">
        <f t="shared" si="990"/>
        <v>1.2127659574468086</v>
      </c>
      <c r="P268" s="242">
        <f t="shared" si="990"/>
        <v>0.50153846153846149</v>
      </c>
      <c r="Q268" s="242">
        <f t="shared" si="990"/>
        <v>0.82731958762886593</v>
      </c>
      <c r="R268" s="242">
        <f t="shared" si="990"/>
        <v>0.8625336927223719</v>
      </c>
      <c r="S268" s="301">
        <f t="shared" si="990"/>
        <v>0.82562547384382112</v>
      </c>
      <c r="T268" s="242">
        <f t="shared" si="990"/>
        <v>9.6153846153846256E-2</v>
      </c>
      <c r="U268" s="242">
        <f t="shared" si="990"/>
        <v>-2.254098360655743E-2</v>
      </c>
      <c r="V268" s="242">
        <f t="shared" si="990"/>
        <v>-0.71509167842031029</v>
      </c>
      <c r="W268" s="242">
        <f t="shared" si="990"/>
        <v>-0.29956584659913166</v>
      </c>
      <c r="X268" s="301">
        <f t="shared" si="990"/>
        <v>-0.28031561461794019</v>
      </c>
      <c r="Y268" s="242">
        <f t="shared" si="990"/>
        <v>-0.55789473684210522</v>
      </c>
      <c r="Z268" s="242">
        <f t="shared" si="990"/>
        <v>-0.27044025157232709</v>
      </c>
      <c r="AA268" s="242">
        <f t="shared" si="990"/>
        <v>0.41089108910891081</v>
      </c>
      <c r="AB268" s="242">
        <f t="shared" si="990"/>
        <v>-0.3801652892561983</v>
      </c>
      <c r="AC268" s="301">
        <f t="shared" si="990"/>
        <v>-0.31621465666474324</v>
      </c>
      <c r="AD268" s="242">
        <f t="shared" si="990"/>
        <v>-0.78174603174603174</v>
      </c>
      <c r="AE268" s="242">
        <f t="shared" si="990"/>
        <v>-0.77873563218390807</v>
      </c>
      <c r="AF268" s="242">
        <f t="shared" si="990"/>
        <v>-0.68421052631578949</v>
      </c>
      <c r="AG268" s="242">
        <f t="shared" si="990"/>
        <v>-0.66333333333333333</v>
      </c>
      <c r="AH268" s="301">
        <f t="shared" si="990"/>
        <v>-0.7274261603375527</v>
      </c>
      <c r="AI268" s="242">
        <f t="shared" ref="AI268:AW268" si="991">IF(ISERROR(AI186/AD186-1),"",(AI186/AD186-1))</f>
        <v>1.0909090909090908</v>
      </c>
      <c r="AJ268" s="242">
        <f t="shared" si="991"/>
        <v>1</v>
      </c>
      <c r="AK268" s="242">
        <f t="shared" si="991"/>
        <v>1.2444444444444445</v>
      </c>
      <c r="AL268" s="242">
        <f t="shared" si="991"/>
        <v>0.21782178217821779</v>
      </c>
      <c r="AM268" s="301">
        <f t="shared" si="991"/>
        <v>0.83900928792569651</v>
      </c>
      <c r="AN268" s="242">
        <f t="shared" si="991"/>
        <v>0.43478260869565211</v>
      </c>
      <c r="AO268" s="242">
        <f t="shared" si="991"/>
        <v>-0.54545454545454541</v>
      </c>
      <c r="AP268" s="242">
        <f t="shared" si="991"/>
        <v>0.12376237623762387</v>
      </c>
      <c r="AQ268" s="242">
        <f t="shared" si="991"/>
        <v>1.2195121951219514</v>
      </c>
      <c r="AR268" s="301">
        <f t="shared" si="991"/>
        <v>0.23737373737373746</v>
      </c>
      <c r="AS268" s="242">
        <f t="shared" si="991"/>
        <v>0.27272727272727271</v>
      </c>
      <c r="AT268" s="242">
        <f t="shared" si="991"/>
        <v>1.6857142857142855</v>
      </c>
      <c r="AU268" s="242">
        <f t="shared" si="991"/>
        <v>0.34801762114537449</v>
      </c>
      <c r="AV268" s="242">
        <f t="shared" si="991"/>
        <v>4.0293040293040372E-2</v>
      </c>
      <c r="AW268" s="301">
        <f t="shared" si="991"/>
        <v>0.34421768707482991</v>
      </c>
      <c r="AX268" s="242">
        <f t="shared" ref="AX268:BB268" si="992">IF(ISERROR(AX186/AS186-1),"",(AX186/AS186-1))</f>
        <v>9.52380952380949E-3</v>
      </c>
      <c r="AY268" s="242">
        <f t="shared" si="992"/>
        <v>1.0851063829787235</v>
      </c>
      <c r="AZ268" s="242">
        <f t="shared" si="992"/>
        <v>0.22549019607843146</v>
      </c>
      <c r="BA268" s="242">
        <f t="shared" si="992"/>
        <v>0.45070422535211274</v>
      </c>
      <c r="BB268" s="301">
        <f t="shared" si="992"/>
        <v>0.40789473684210531</v>
      </c>
      <c r="BC268" s="242">
        <f t="shared" ref="BC268" si="993">IF(ISERROR(BC186/AX186-1),"",(BC186/AX186-1))</f>
        <v>1.4009433962264151</v>
      </c>
      <c r="BD268" s="242">
        <f t="shared" ref="BD268" si="994">IF(ISERROR(BD186/AY186-1),"",(BD186/AY186-1))</f>
        <v>0.24744897959183665</v>
      </c>
      <c r="BE268" s="242">
        <f t="shared" ref="BE268" si="995">IF(ISERROR(BE186/AZ186-1),"",(BE186/AZ186-1))</f>
        <v>0.50933333333333342</v>
      </c>
      <c r="BF268" s="242">
        <f t="shared" ref="BF268" si="996">IF(ISERROR(BF186/BA186-1),"",(BF186/BA186-1))</f>
        <v>1.075242718446602</v>
      </c>
      <c r="BG268" s="301">
        <f>IF(ISERROR(BG186/BB186-1),"",(BG186/BB186-1))</f>
        <v>0.73903666427030923</v>
      </c>
      <c r="BH268" s="242">
        <f t="shared" ref="BH268" si="997">IF(ISERROR(BH186/BC186-1),"",(BH186/BC186-1))</f>
        <v>0.41453831041257372</v>
      </c>
      <c r="BI268" s="242">
        <f t="shared" ref="BI268" si="998">IF(ISERROR(BI186/BD186-1),"",(BI186/BD186-1))</f>
        <v>-0.32515337423312884</v>
      </c>
      <c r="BJ268" s="242">
        <f t="shared" ref="BJ268" si="999">IF(ISERROR(BJ186/BE186-1),"",(BJ186/BE186-1))</f>
        <v>-0.10954063604240283</v>
      </c>
      <c r="BK268" s="242">
        <f t="shared" ref="BK268" si="1000">IF(ISERROR(BK186/BF186-1),"",(BK186/BF186-1))</f>
        <v>-0.43859649122807021</v>
      </c>
      <c r="BL268" s="144">
        <f>IF(ISERROR(BL186/BG186-1),"",(BL186/BG186-1))</f>
        <v>-0.15915667631252584</v>
      </c>
      <c r="BM268" s="242">
        <f t="shared" ref="BM268" si="1001">IF(ISERROR(BM186/BH186-1),"",(BM186/BH186-1))</f>
        <v>-0.49861111111111112</v>
      </c>
      <c r="BN268" s="242">
        <f t="shared" ref="BN268" si="1002">IF(ISERROR(BN186/BI186-1),"",(BN186/BI186-1))</f>
        <v>-0.75757575757575757</v>
      </c>
      <c r="BO268" s="242">
        <f t="shared" ref="BO268" si="1003">IF(ISERROR(BO186/BJ186-1),"",(BO186/BJ186-1))</f>
        <v>-0.60515873015873023</v>
      </c>
      <c r="BP268" s="242">
        <f t="shared" ref="BP268" si="1004">IF(ISERROR(BP186/BK186-1),"",(BP186/BK186-1))</f>
        <v>-0.21458333333333335</v>
      </c>
      <c r="BQ268" s="144">
        <f>IF(ISERROR(BQ186/BL186-1),"",(BQ186/BL186-1))</f>
        <v>-0.5</v>
      </c>
      <c r="BR268" s="242">
        <f t="shared" ref="BR268" si="1005">IF(ISERROR(BR186/BM186-1),"",(BR186/BM186-1))</f>
        <v>-0.80055401662049863</v>
      </c>
      <c r="BS268" s="242">
        <f t="shared" ref="BS268" si="1006">IF(ISERROR(BS186/BN186-1),"",(BS186/BN186-1))</f>
        <v>-0.28749999999999998</v>
      </c>
      <c r="BT268" s="242">
        <f t="shared" ref="BT268" si="1007">IF(ISERROR(BT186/BO186-1),"",(BT186/BO186-1))</f>
        <v>-0.43718592964824121</v>
      </c>
      <c r="BU268" s="242">
        <f t="shared" ref="BU268" si="1008">IF(ISERROR(BU186/BP186-1),"",(BU186/BP186-1))</f>
        <v>-0.676392572944297</v>
      </c>
      <c r="BV268" s="144">
        <f>IF(ISERROR(BV186/BQ186-1),"",(BV186/BQ186-1))</f>
        <v>-0.64306784660766958</v>
      </c>
      <c r="BW268" s="242">
        <f t="shared" ref="BW268" si="1009">IF(ISERROR(BW186/BR186-1),"",(BW186/BR186-1))</f>
        <v>2.0694444444444446</v>
      </c>
      <c r="BX268" s="242">
        <f t="shared" ref="BX268" si="1010">IF(ISERROR(BX186/BS186-1),"",(BX186/BS186-1))</f>
        <v>4.5614035087719298</v>
      </c>
      <c r="BY268" s="242">
        <f t="shared" ref="BY268" si="1011">IF(ISERROR(BY186/BT186-1),"",(BY186/BT186-1))</f>
        <v>1.0803571428571428</v>
      </c>
      <c r="BZ268" s="242">
        <f t="shared" ref="BZ268:CE268" si="1012">IF(ISERROR(BZ186/BU186-1),"",(BZ186/BU186-1))</f>
        <v>1.6885245901639343</v>
      </c>
      <c r="CA268" s="144">
        <f>IF(ISERROR(CA186/BV186-1),"",(CA186/BV186-1))</f>
        <v>2.0275482093663912</v>
      </c>
      <c r="CB268" s="242">
        <f t="shared" si="1012"/>
        <v>0.47511312217194579</v>
      </c>
      <c r="CC268" s="242">
        <f t="shared" si="1012"/>
        <v>0.24921135646687698</v>
      </c>
      <c r="CD268" s="242">
        <f t="shared" si="1012"/>
        <v>1.0214592274678114</v>
      </c>
      <c r="CE268" s="242">
        <f t="shared" si="1012"/>
        <v>-0.24085365853658536</v>
      </c>
      <c r="CF268" s="144">
        <f>IF(ISERROR(CF186/CA186-1),"",(CF186/CA186-1))</f>
        <v>0.31210191082802541</v>
      </c>
      <c r="CG268" s="242">
        <f t="shared" ref="CG268" si="1013">IF(ISERROR(CG186/CB186-1),"",(CG186/CB186-1))</f>
        <v>1.1687116564417179</v>
      </c>
      <c r="CH268" s="242">
        <f t="shared" ref="CH268" si="1014">IF(ISERROR(CH186/CC186-1),"",(CH186/CC186-1))</f>
        <v>0.25757575757575757</v>
      </c>
      <c r="CI268" s="242">
        <f t="shared" ref="CI268" si="1015">IF(ISERROR(CI186/CD186-1),"",(CI186/CD186-1))</f>
        <v>0.10615711252653925</v>
      </c>
      <c r="CJ268" s="242">
        <f t="shared" ref="CJ268" si="1016">IF(ISERROR(CJ186/CE186-1),"",(CJ186/CE186-1))</f>
        <v>0.36144578313253017</v>
      </c>
      <c r="CK268" s="144">
        <f>IF(ISERROR(CK186/CF186-1),"",(CK186/CF186-1))</f>
        <v>0.43203883495145634</v>
      </c>
      <c r="CL268" s="242">
        <f t="shared" ref="CL268" si="1017">IF(ISERROR(CL186/CG186-1),"",(CL186/CG186-1))</f>
        <v>-0.75530410183875529</v>
      </c>
      <c r="CM268" s="242">
        <f t="shared" ref="CM268" si="1018">IF(ISERROR(CM186/CH186-1),"",(CM186/CH186-1))</f>
        <v>-4.016064257028118E-2</v>
      </c>
      <c r="CN268" s="242">
        <f t="shared" ref="CN268" si="1019">IF(ISERROR(CN186/CI186-1),"",(CN186/CI186-1))</f>
        <v>-0.39731285988483689</v>
      </c>
      <c r="CO268" s="242">
        <f t="shared" ref="CO268" si="1020">IF(ISERROR(CO186/CJ186-1),"",(CO186/CJ186-1))</f>
        <v>3.1002949852507378</v>
      </c>
      <c r="CP268" s="144">
        <f>IF(ISERROR(CP186/CK186-1),"",(CP186/CK186-1))</f>
        <v>0.1404358353510895</v>
      </c>
      <c r="CQ268" s="242">
        <f t="shared" ref="CQ268" si="1021">IF(ISERROR(CQ186/CL186-1),"",(CQ186/CL186-1))</f>
        <v>1.1040462427745665</v>
      </c>
      <c r="CR268" s="242">
        <f t="shared" ref="CR268" si="1022">IF(ISERROR(CR186/CM186-1),"",(CR186/CM186-1))</f>
        <v>-0.37656903765690375</v>
      </c>
      <c r="CS268" s="242">
        <f t="shared" ref="CS268" si="1023">IF(ISERROR(CS186/CN186-1),"",(CS186/CN186-1))</f>
        <v>0.17834394904458595</v>
      </c>
      <c r="CT268" s="242">
        <f t="shared" ref="CT268" si="1024">IF(ISERROR(CT186/CO186-1),"",(CT186/CO186-1))</f>
        <v>-0.83093525179856109</v>
      </c>
      <c r="CU268" s="144">
        <f>IF(ISERROR(CU186/CP186-1),"",(CU186/CP186-1))</f>
        <v>-0.46199575371549895</v>
      </c>
      <c r="CV268" s="242">
        <f t="shared" ref="CV268:CW268" si="1025">IF(ISERROR(CV186/CQ186-1),"",(CV186/CQ186-1))</f>
        <v>-0.2857142857142857</v>
      </c>
      <c r="CW268" s="242">
        <f t="shared" si="1025"/>
        <v>-0.68456375838926176</v>
      </c>
      <c r="CX268" s="242">
        <f t="shared" ref="CX268" si="1026">IF(ISERROR(CX186/CS186-1),"",(CX186/CS186-1))</f>
        <v>6.2162162162162193E-2</v>
      </c>
      <c r="CY268" s="242">
        <f t="shared" ref="CY268" si="1027">IF(ISERROR(CY186/CT186-1),"",(CY186/CT186-1))</f>
        <v>2.3404255319148937</v>
      </c>
      <c r="CZ268" s="144">
        <f>IF(ISERROR(CZ186/CU186-1),"",(CZ186/CU186-1))</f>
        <v>0.20915548539857931</v>
      </c>
      <c r="DA268" s="242">
        <f t="shared" ref="DA268" si="1028">IF(ISERROR(DA186/CV186-1),"",(DA186/CV186-1))</f>
        <v>0.76923076923076916</v>
      </c>
      <c r="DB268" s="242">
        <f t="shared" ref="DB268" si="1029">IF(ISERROR(DB186/CW186-1),"",(DB186/CW186-1))</f>
        <v>2.5744680851063828</v>
      </c>
      <c r="DC268" s="242">
        <f t="shared" ref="DC268" si="1030">IF(ISERROR(DC186/CX186-1),"",(DC186/CX186-1))</f>
        <v>-0.31043256997455471</v>
      </c>
      <c r="DD268" s="242">
        <f t="shared" ref="DD268" si="1031">IF(ISERROR(DD186/CY186-1),"",(DD186/CY186-1))</f>
        <v>-0.11847133757961781</v>
      </c>
      <c r="DE268" s="144">
        <f>IF(ISERROR(DE186/CZ186-1),"",(DE186/CZ186-1))</f>
        <v>0.14817232375979117</v>
      </c>
      <c r="DF268" s="242">
        <f t="shared" ref="DF268:DP268" si="1032">IF(ISERROR(DF186/DA186-1),"",(DF186/DA186-1))</f>
        <v>-0.32173913043478264</v>
      </c>
      <c r="DG268" s="242">
        <f t="shared" si="1032"/>
        <v>0.88690476190476186</v>
      </c>
      <c r="DH268" s="242">
        <f t="shared" si="1032"/>
        <v>0.54243542435424352</v>
      </c>
      <c r="DI268" s="242">
        <f t="shared" si="1032"/>
        <v>-1.3005780346820761E-2</v>
      </c>
      <c r="DJ268" s="144">
        <f>IF(ISERROR(DJ186/DE186-1),"",(DJ186/DE186-1))</f>
        <v>0.16372939169982947</v>
      </c>
      <c r="DK268" s="242">
        <f t="shared" si="1032"/>
        <v>0.16025641025641035</v>
      </c>
      <c r="DL268" s="242">
        <f t="shared" si="1032"/>
        <v>0.63249211356466883</v>
      </c>
      <c r="DM268" s="242">
        <f t="shared" si="1032"/>
        <v>0.78947368421052633</v>
      </c>
      <c r="DN268" s="242">
        <f t="shared" si="1032"/>
        <v>0.29721815519765737</v>
      </c>
      <c r="DO268" s="144">
        <f>IF(ISERROR(DO186/DJ186-1),"",(DO186/DJ186-1))</f>
        <v>0.48070346849047385</v>
      </c>
      <c r="DP268" s="242">
        <f t="shared" si="1032"/>
        <v>-3.8674033149171283E-2</v>
      </c>
      <c r="DQ268" s="242">
        <f t="shared" ref="DQ268" si="1033">IF(ISERROR(DQ186/DL186-1),"",(DQ186/DL186-1))</f>
        <v>-0.39130434782608692</v>
      </c>
      <c r="DR268" s="242">
        <f t="shared" ref="DR268" si="1034">IF(ISERROR(DR186/DM186-1),"",(DR186/DM186-1))</f>
        <v>-0.40508021390374327</v>
      </c>
      <c r="DS268" s="242">
        <f t="shared" ref="DS268" si="1035">IF(ISERROR(DS186/DN186-1),"",(DS186/DN186-1))</f>
        <v>-0.44130925507900676</v>
      </c>
      <c r="DT268" s="144">
        <f>IF(ISERROR(DT186/DO186-1),"",(DT186/DO186-1))</f>
        <v>-0.36720554272517325</v>
      </c>
      <c r="DU268" s="242">
        <f t="shared" ref="DU268" si="1036">IF(ISERROR(DU186/DP186-1),"",(DU186/DP186-1))</f>
        <v>0.17816091954022983</v>
      </c>
      <c r="DV268" s="242">
        <f t="shared" ref="DV268" si="1037">IF(ISERROR(DV186/DQ186-1),"",(DV186/DQ186-1))</f>
        <v>-0.19841269841269837</v>
      </c>
      <c r="DW268" s="242">
        <f t="shared" ref="DW268" si="1038">IF(ISERROR(DW186/DR186-1),"",(DW186/DR186-1))</f>
        <v>0.22471910112359561</v>
      </c>
      <c r="DX268" s="242">
        <f t="shared" ref="DX268" si="1039">IF(ISERROR(DX186/DS186-1),"",(DX186/DS186-1))</f>
        <v>0.26262626262626254</v>
      </c>
      <c r="DY268" s="144">
        <f>IF(ISERROR(DY186/DT186-1),"",(DY186/DT186-1))</f>
        <v>8.7069864442127276E-2</v>
      </c>
      <c r="DZ268" s="144">
        <f t="shared" ref="DZ268" si="1040">IF(ISERROR(DZ186/DY186-1),"",(DZ186/DY186-1))</f>
        <v>4.7961630695443569E-2</v>
      </c>
      <c r="EA268" s="144">
        <f t="shared" ref="EA268" si="1041">IF(ISERROR(EA186/DZ186-1),"",(EA186/DZ186-1))</f>
        <v>2.7459954233409523E-2</v>
      </c>
      <c r="EB268" s="144">
        <f t="shared" ref="EB268" si="1042">IF(ISERROR(EB186/EA186-1),"",(EB186/EA186-1))</f>
        <v>3.1180400890868487E-2</v>
      </c>
    </row>
    <row r="269" spans="2:132" s="74" customFormat="1" ht="12" hidden="1" customHeight="1" outlineLevel="1">
      <c r="B269" s="32" t="s">
        <v>188</v>
      </c>
      <c r="C269" s="30" t="str">
        <f t="shared" ref="C269:H269" si="1043">IF(ISERROR(C188/B188-1),"",(C188/B188-1))</f>
        <v/>
      </c>
      <c r="D269" s="30">
        <f t="shared" si="1043"/>
        <v>-5.4140845070422534</v>
      </c>
      <c r="E269" s="30">
        <f t="shared" si="1043"/>
        <v>1.02297383535418</v>
      </c>
      <c r="F269" s="30">
        <f t="shared" si="1043"/>
        <v>-3.5331230283911719E-2</v>
      </c>
      <c r="G269" s="30">
        <f t="shared" si="1043"/>
        <v>0.27403531720078478</v>
      </c>
      <c r="H269" s="30">
        <f t="shared" si="1043"/>
        <v>-7.1868583162217892E-3</v>
      </c>
      <c r="I269" s="30">
        <f>IF(ISERROR(I188/H188-1),"",(I188/H188-1))</f>
        <v>-0.88391933815925539</v>
      </c>
      <c r="J269" s="29"/>
      <c r="K269" s="29"/>
      <c r="L269" s="29"/>
      <c r="M269" s="29"/>
      <c r="N269" s="30">
        <f t="shared" ref="N269:AJ269" si="1044">IF(ISERROR(N188/I188-1),"",(N188/I188-1))</f>
        <v>3.4699331848552335</v>
      </c>
      <c r="O269" s="29">
        <f t="shared" si="1044"/>
        <v>-0.17899761336515518</v>
      </c>
      <c r="P269" s="29">
        <f t="shared" si="1044"/>
        <v>0.2577639751552796</v>
      </c>
      <c r="Q269" s="29">
        <f t="shared" si="1044"/>
        <v>0.49315068493150682</v>
      </c>
      <c r="R269" s="29">
        <f t="shared" si="1044"/>
        <v>38.357142857142854</v>
      </c>
      <c r="S269" s="30">
        <f t="shared" si="1044"/>
        <v>0.40109616342800192</v>
      </c>
      <c r="T269" s="29">
        <f t="shared" si="1044"/>
        <v>0.39389534883720922</v>
      </c>
      <c r="U269" s="29">
        <f t="shared" si="1044"/>
        <v>-0.35432098765432096</v>
      </c>
      <c r="V269" s="29">
        <f t="shared" si="1044"/>
        <v>0.2463958060288336</v>
      </c>
      <c r="W269" s="29">
        <f t="shared" si="1044"/>
        <v>1.0907441016333936</v>
      </c>
      <c r="X269" s="30">
        <f t="shared" si="1044"/>
        <v>0.27489331436699849</v>
      </c>
      <c r="Y269" s="29">
        <f t="shared" si="1044"/>
        <v>0.36496350364963503</v>
      </c>
      <c r="Z269" s="29">
        <f t="shared" si="1044"/>
        <v>1.8795411089866159</v>
      </c>
      <c r="AA269" s="29">
        <f t="shared" si="1044"/>
        <v>0.57623554153522605</v>
      </c>
      <c r="AB269" s="29">
        <f t="shared" si="1044"/>
        <v>0.31597222222222232</v>
      </c>
      <c r="AC269" s="30">
        <f t="shared" si="1044"/>
        <v>0.62622036262203618</v>
      </c>
      <c r="AD269" s="29">
        <f t="shared" si="1044"/>
        <v>0.37433155080213898</v>
      </c>
      <c r="AE269" s="29">
        <f t="shared" si="1044"/>
        <v>-0.17197875166002652</v>
      </c>
      <c r="AF269" s="29">
        <f t="shared" si="1044"/>
        <v>-0.2348232154769847</v>
      </c>
      <c r="AG269" s="29">
        <f t="shared" si="1044"/>
        <v>-1.1602902374670185</v>
      </c>
      <c r="AH269" s="30">
        <f t="shared" si="1044"/>
        <v>-0.3224699828473413</v>
      </c>
      <c r="AI269" s="29">
        <f t="shared" si="1044"/>
        <v>-0.43023902167871042</v>
      </c>
      <c r="AJ269" s="29">
        <f t="shared" si="1044"/>
        <v>0.22614274258219735</v>
      </c>
      <c r="AK269" s="29">
        <f>IF(ISERROR(AK188/AF188-1),"",(AK188/AF188-1))</f>
        <v>-2.875326939843069</v>
      </c>
      <c r="AL269" s="29">
        <f t="shared" ref="AL269:AW269" si="1045">IF(ISERROR(AL188/AG188-1),"",AL188/AG188-1)</f>
        <v>-7.9670781893004117</v>
      </c>
      <c r="AM269" s="30">
        <f t="shared" si="1045"/>
        <v>-0.46936708860759491</v>
      </c>
      <c r="AN269" s="29">
        <f>IF(ISERROR(AN188/AI188-1),"",(AN188/AI188-1))</f>
        <v>0.14536585365853649</v>
      </c>
      <c r="AO269" s="29">
        <f t="shared" si="1045"/>
        <v>-0.145192936559843</v>
      </c>
      <c r="AP269" s="29">
        <f t="shared" si="1045"/>
        <v>-1.6448163644816365</v>
      </c>
      <c r="AQ269" s="29">
        <f t="shared" si="1045"/>
        <v>-0.34849379799173064</v>
      </c>
      <c r="AR269" s="30">
        <f t="shared" si="1045"/>
        <v>1.3716603053435112</v>
      </c>
      <c r="AS269" s="29">
        <f t="shared" si="1045"/>
        <v>-0.14821124361158433</v>
      </c>
      <c r="AT269" s="29">
        <f t="shared" si="1045"/>
        <v>0.17368018362662596</v>
      </c>
      <c r="AU269" s="29">
        <f t="shared" si="1045"/>
        <v>0.23576063446286954</v>
      </c>
      <c r="AV269" s="29">
        <f t="shared" si="1045"/>
        <v>0.4478694469628286</v>
      </c>
      <c r="AW269" s="30">
        <f t="shared" si="1045"/>
        <v>0.17581975457654386</v>
      </c>
      <c r="AX269" s="29">
        <f t="shared" ref="AX269:BB269" si="1046">IF(ISERROR(AX188/AS188-1),"",AX188/AS188-1)</f>
        <v>0.57000000000000006</v>
      </c>
      <c r="AY269" s="29">
        <f t="shared" si="1046"/>
        <v>9.126466753585305E-3</v>
      </c>
      <c r="AZ269" s="29">
        <f t="shared" si="1046"/>
        <v>-8.7514585764294051E-2</v>
      </c>
      <c r="BA269" s="29">
        <f t="shared" si="1046"/>
        <v>2.0037570444583652E-2</v>
      </c>
      <c r="BB269" s="30">
        <f t="shared" si="1046"/>
        <v>7.9726261762189887E-2</v>
      </c>
      <c r="BC269" s="29">
        <f t="shared" ref="BC269" si="1047">IF(ISERROR(BC188/AX188-1),"",BC188/AX188-1)</f>
        <v>-2.6751592356687892E-2</v>
      </c>
      <c r="BD269" s="29">
        <f t="shared" ref="BD269" si="1048">IF(ISERROR(BD188/AY188-1),"",BD188/AY188-1)</f>
        <v>0.10852713178294571</v>
      </c>
      <c r="BE269" s="29">
        <f t="shared" ref="BE269" si="1049">IF(ISERROR(BE188/AZ188-1),"",BE188/AZ188-1)</f>
        <v>0.15281329923273668</v>
      </c>
      <c r="BF269" s="29">
        <f t="shared" ref="BF269" si="1050">IF(ISERROR(BF188/BA188-1),"",BF188/BA188-1)</f>
        <v>-6.9797421731123466E-2</v>
      </c>
      <c r="BG269" s="30">
        <f t="shared" ref="BG269" si="1051">IF(ISERROR(BG188/BB188-1),"",BG188/BB188-1)</f>
        <v>3.9819363016954545E-2</v>
      </c>
      <c r="BH269" s="29">
        <f t="shared" ref="BH269" si="1052">IF(ISERROR(BH188/BC188-1),"",BH188/BC188-1)</f>
        <v>9.162303664921545E-3</v>
      </c>
      <c r="BI269" s="29">
        <f t="shared" ref="BI269" si="1053">IF(ISERROR(BI188/BD188-1),"",BI188/BD188-1)</f>
        <v>4.137529137529139E-2</v>
      </c>
      <c r="BJ269" s="29">
        <f t="shared" ref="BJ269" si="1054">IF(ISERROR(BJ188/BE188-1),"",BJ188/BE188-1)</f>
        <v>0.17526344980587916</v>
      </c>
      <c r="BK269" s="29">
        <f t="shared" ref="BK269" si="1055">IF(ISERROR(BK188/BF188-1),"",BK188/BF188-1)</f>
        <v>0.33636903583448818</v>
      </c>
      <c r="BL269" s="30">
        <f t="shared" ref="BL269" si="1056">IF(ISERROR(BL188/BG188-1),"",BL188/BG188-1)</f>
        <v>0.13877756274476938</v>
      </c>
      <c r="BM269" s="29">
        <f t="shared" ref="BM269" si="1057">IF(ISERROR(BM188/BH188-1),"",BM188/BH188-1)</f>
        <v>0.30933852140077822</v>
      </c>
      <c r="BN269" s="29">
        <f t="shared" ref="BN269" si="1058">IF(ISERROR(BN188/BI188-1),"",BN188/BI188-1)</f>
        <v>-5.8198097369893675E-2</v>
      </c>
      <c r="BO269" s="29">
        <f t="shared" ref="BO269" si="1059">IF(ISERROR(BO188/BJ188-1),"",BO188/BJ188-1)</f>
        <v>0.21755545068428495</v>
      </c>
      <c r="BP269" s="29">
        <f t="shared" ref="BP269" si="1060">IF(ISERROR(BP188/BK188-1),"",BP188/BK188-1)</f>
        <v>-0.42666666666666664</v>
      </c>
      <c r="BQ269" s="30">
        <f t="shared" ref="BQ269:BR269" si="1061">IF(ISERROR(BQ188/BL188-1),"",BQ188/BL188-1)</f>
        <v>-4.0144520272982209E-3</v>
      </c>
      <c r="BR269" s="29">
        <f t="shared" si="1061"/>
        <v>-0.11441307578008919</v>
      </c>
      <c r="BS269" s="29">
        <f t="shared" ref="BS269" si="1062">IF(ISERROR(BS188/BN188-1),"",BS188/BN188-1)</f>
        <v>-1.2489601901366607</v>
      </c>
      <c r="BT269" s="29">
        <f t="shared" ref="BT269" si="1063">IF(ISERROR(BT188/BO188-1),"",BT188/BO188-1)</f>
        <v>-0.11550387596899225</v>
      </c>
      <c r="BU269" s="29">
        <f t="shared" ref="BU269" si="1064">IF(ISERROR(BU188/BP188-1),"",BU188/BP188-1)</f>
        <v>0.88027562446167096</v>
      </c>
      <c r="BV269" s="30">
        <f t="shared" ref="BV269" si="1065">IF(ISERROR(BV188/BQ188-1),"",BV188/BQ188-1)</f>
        <v>-0.21617627300819564</v>
      </c>
      <c r="BW269" s="29">
        <f t="shared" ref="BW269" si="1066">IF(ISERROR(BW188/BR188-1),"",BW188/BR188-1)</f>
        <v>0.23378076062639819</v>
      </c>
      <c r="BX269" s="29">
        <f t="shared" ref="BX269" si="1067">IF(ISERROR(BX188/BS188-1),"",BX188/BS188-1)</f>
        <v>-7.0381861575178997</v>
      </c>
      <c r="BY269" s="29">
        <f t="shared" ref="BY269" si="1068">IF(ISERROR(BY188/BT188-1),"",BY188/BT188-1)</f>
        <v>0.1524978089395268</v>
      </c>
      <c r="BZ269" s="29">
        <f t="shared" ref="BZ269:CE269" si="1069">IF(ISERROR(BZ188/BU188-1),"",BZ188/BU188-1)</f>
        <v>0.36417773705909307</v>
      </c>
      <c r="CA269" s="30">
        <f t="shared" ref="CA269" si="1070">IF(ISERROR(CA188/BV188-1),"",CA188/BV188-1)</f>
        <v>0.77305450805622211</v>
      </c>
      <c r="CB269" s="29">
        <f t="shared" si="1069"/>
        <v>0.30326382592928369</v>
      </c>
      <c r="CC269" s="29">
        <f t="shared" si="1069"/>
        <v>7.1146245059288571E-2</v>
      </c>
      <c r="CD269" s="29">
        <f t="shared" si="1069"/>
        <v>-0.15323193916349809</v>
      </c>
      <c r="CE269" s="29">
        <f t="shared" si="1069"/>
        <v>0.4019476158495634</v>
      </c>
      <c r="CF269" s="30">
        <f>IF(ISERROR(CF188/CA188-1),"",CF188/CA188-1)</f>
        <v>0.15883604021655073</v>
      </c>
      <c r="CG269" s="29">
        <f t="shared" ref="CG269" si="1071">IF(ISERROR(CG188/CB188-1),"",CG188/CB188-1)</f>
        <v>-0.18260869565217386</v>
      </c>
      <c r="CH269" s="29">
        <f t="shared" ref="CH269" si="1072">IF(ISERROR(CH188/CC188-1),"",CH188/CC188-1)</f>
        <v>-2.2472324723247232</v>
      </c>
      <c r="CI269" s="29">
        <f t="shared" ref="CI269" si="1073">IF(ISERROR(CI188/CD188-1),"",CI188/CD188-1)</f>
        <v>-0.43466546924113159</v>
      </c>
      <c r="CJ269" s="29">
        <f t="shared" ref="CJ269" si="1074">IF(ISERROR(CJ188/CE188-1),"",CJ188/CE188-1)</f>
        <v>-1.5279041916167664</v>
      </c>
      <c r="CK269" s="30">
        <f>IF(ISERROR(CK188/CF188-1),"",CK188/CF188-1)</f>
        <v>-1.1647618253107532</v>
      </c>
      <c r="CL269" s="29">
        <f t="shared" ref="CL269" si="1075">IF(ISERROR(CL188/CG188-1),"",CL188/CG188-1)</f>
        <v>-1.5757446808510638</v>
      </c>
      <c r="CM269" s="29">
        <f t="shared" ref="CM269" si="1076">IF(ISERROR(CM188/CH188-1),"",CM188/CH188-1)</f>
        <v>-0.12307692307692308</v>
      </c>
      <c r="CN269" s="29">
        <f t="shared" ref="CN269" si="1077">IF(ISERROR(CN188/CI188-1),"",CN188/CI188-1)</f>
        <v>-1.3185067513899922</v>
      </c>
      <c r="CO269" s="29">
        <f t="shared" ref="CO269" si="1078">IF(ISERROR(CO188/CJ188-1),"",CO188/CJ188-1)</f>
        <v>2.6519963702359348</v>
      </c>
      <c r="CP269" s="30">
        <f>IF(ISERROR(CP188/CK188-1),"",CP188/CK188-1)</f>
        <v>5.4643037974683546</v>
      </c>
      <c r="CQ269" s="29">
        <f t="shared" ref="CQ269" si="1079">IF(ISERROR(CQ188/CL188-1),"",CQ188/CL188-1)</f>
        <v>-0.93865484109386543</v>
      </c>
      <c r="CR269" s="29">
        <f t="shared" ref="CR269" si="1080">IF(ISERROR(CR188/CM188-1),"",CR188/CM188-1)</f>
        <v>-1.3451417004048583</v>
      </c>
      <c r="CS269" s="29">
        <f t="shared" ref="CS269" si="1081">IF(ISERROR(CS188/CN188-1),"",CS188/CN188-1)</f>
        <v>-1.8204488778054864</v>
      </c>
      <c r="CT269" s="29">
        <f t="shared" ref="CT269" si="1082">IF(ISERROR(CT188/CO188-1),"",CT188/CO188-1)</f>
        <v>-0.48179898123990561</v>
      </c>
      <c r="CU269" s="30">
        <f>IF(ISERROR(CU188/CP188-1),"",CU188/CP188-1)</f>
        <v>-0.77269522988955908</v>
      </c>
      <c r="CV269" s="29">
        <f t="shared" ref="CV269:CW269" si="1083">IF(ISERROR(CV188/CQ188-1),"",CV188/CQ188-1)</f>
        <v>13.08433734939759</v>
      </c>
      <c r="CW269" s="29">
        <f t="shared" si="1083"/>
        <v>-0.24340175953079179</v>
      </c>
      <c r="CX269" s="29">
        <f t="shared" ref="CX269" si="1084">IF(ISERROR(CX188/CS188-1),"",CX188/CS188-1)</f>
        <v>-9.5075987841945295</v>
      </c>
      <c r="CY269" s="29">
        <f t="shared" ref="CY269" si="1085">IF(ISERROR(CY188/CT188-1),"",CY188/CT188-1)</f>
        <v>-0.91536801726204753</v>
      </c>
      <c r="CZ269" s="30">
        <f>IF(ISERROR(CZ188/CU188-1),"",CZ188/CU188-1)</f>
        <v>0.22226050999310809</v>
      </c>
      <c r="DA269" s="29">
        <f t="shared" ref="DA269" si="1086">IF(ISERROR(DA188/CV188-1),"",DA188/CV188-1)</f>
        <v>-0.87254063301967499</v>
      </c>
      <c r="DB269" s="29">
        <f t="shared" ref="DB269" si="1087">IF(ISERROR(DB188/CW188-1),"",DB188/CW188-1)</f>
        <v>-1.1279069767441861</v>
      </c>
      <c r="DC269" s="29">
        <f t="shared" ref="DC269" si="1088">IF(ISERROR(DC188/CX188-1),"",DC188/CX188-1)</f>
        <v>-0.71132547338335117</v>
      </c>
      <c r="DD269" s="29">
        <f t="shared" ref="DD269" si="1089">IF(ISERROR(DD188/CY188-1),"",DD188/CY188-1)</f>
        <v>-1.8016997167138811</v>
      </c>
      <c r="DE269" s="30">
        <f>IF(ISERROR(DE188/CZ188-1),"",DE188/CZ188-1)</f>
        <v>-0.7820693543839865</v>
      </c>
      <c r="DF269" s="29">
        <f t="shared" ref="DF269:DP269" si="1090">IF(ISERROR(DF188/DA188-1),"",DF188/DA188-1)</f>
        <v>-0.42281879194630867</v>
      </c>
      <c r="DG269" s="29">
        <f t="shared" si="1090"/>
        <v>10.01010101010101</v>
      </c>
      <c r="DH269" s="29">
        <f t="shared" si="1090"/>
        <v>6.1299504950495045</v>
      </c>
      <c r="DI269" s="29">
        <f t="shared" si="1090"/>
        <v>-14.321554770318022</v>
      </c>
      <c r="DJ269" s="30">
        <f>IF(ISERROR(DJ188/DE188-1),"",DJ188/DE188-1)</f>
        <v>12.851228978007763</v>
      </c>
      <c r="DK269" s="29">
        <f t="shared" si="1090"/>
        <v>-6.3604651162790695</v>
      </c>
      <c r="DL269" s="29">
        <f t="shared" si="1090"/>
        <v>-0.83853211009174311</v>
      </c>
      <c r="DM269" s="29">
        <f t="shared" si="1090"/>
        <v>-0.17010935601458077</v>
      </c>
      <c r="DN269" s="29">
        <f t="shared" si="1090"/>
        <v>-3.3281167108753316</v>
      </c>
      <c r="DO269" s="30">
        <f>IF(ISERROR(DO188/DJ188-1),"",DO188/DJ188-1)</f>
        <v>-1.399831885682264</v>
      </c>
      <c r="DP269" s="29">
        <f t="shared" si="1090"/>
        <v>-2.8199566160520662E-2</v>
      </c>
      <c r="DQ269" s="29">
        <f t="shared" ref="DQ269" si="1091">IF(ISERROR(DQ188/DL188-1),"",DQ188/DL188-1)</f>
        <v>-1.8863636363636362</v>
      </c>
      <c r="DR269" s="29">
        <f t="shared" ref="DR269" si="1092">IF(ISERROR(DR188/DM188-1),"",DR188/DM188-1)</f>
        <v>-1.1151726486707794</v>
      </c>
      <c r="DS269" s="29">
        <f t="shared" ref="DS269" si="1093">IF(ISERROR(DS188/DN188-1),"",DS188/DN188-1)</f>
        <v>-0.88864540731042396</v>
      </c>
      <c r="DT269" s="30">
        <f>IF(ISERROR(DT188/DO188-1),"",DT188/DO188-1)</f>
        <v>-0.50198558903727974</v>
      </c>
      <c r="DU269" s="29">
        <f t="shared" ref="DU269" si="1094">IF(ISERROR(DU188/DP188-1),"",DU188/DP188-1)</f>
        <v>0.35789800438159136</v>
      </c>
      <c r="DV269" s="29">
        <f t="shared" ref="DV269" si="1095">IF(ISERROR(DV188/DQ188-1),"",DV188/DQ188-1)</f>
        <v>7.3057652817752192</v>
      </c>
      <c r="DW269" s="29">
        <f t="shared" ref="DW269" si="1096">IF(ISERROR(DW188/DR188-1),"",DW188/DR188-1)</f>
        <v>2.3022857678718762</v>
      </c>
      <c r="DX269" s="29">
        <f t="shared" ref="DX269" si="1097">IF(ISERROR(DX188/DS188-1),"",DX188/DS188-1)</f>
        <v>1.297109301311266</v>
      </c>
      <c r="DY269" s="30">
        <f>IF(ISERROR(DY188/DT188-1),"",DY188/DT188-1)</f>
        <v>1.7990204790472641</v>
      </c>
      <c r="DZ269" s="30">
        <f t="shared" ref="DZ269" si="1098">IF(ISERROR(DZ188/DY188-1),"",DZ188/DY188-1)</f>
        <v>0.6665942192725256</v>
      </c>
      <c r="EA269" s="30">
        <f t="shared" ref="EA269" si="1099">IF(ISERROR(EA188/DZ188-1),"",EA188/DZ188-1)</f>
        <v>0.4219413800844376</v>
      </c>
      <c r="EB269" s="30">
        <f t="shared" ref="EB269" si="1100">IF(ISERROR(EB188/EA188-1),"",EB188/EA188-1)</f>
        <v>0.31611512885435711</v>
      </c>
    </row>
    <row r="270" spans="2:132" s="241" customFormat="1" ht="12" hidden="1" customHeight="1" outlineLevel="1">
      <c r="C270" s="309"/>
      <c r="D270" s="309"/>
      <c r="E270" s="309"/>
      <c r="F270" s="309"/>
      <c r="G270" s="309"/>
      <c r="H270" s="309"/>
      <c r="I270" s="309"/>
      <c r="J270" s="305"/>
      <c r="K270" s="305"/>
      <c r="L270" s="305"/>
      <c r="M270" s="305"/>
      <c r="N270" s="309"/>
      <c r="O270" s="305"/>
      <c r="P270" s="305"/>
      <c r="Q270" s="305"/>
      <c r="R270" s="305"/>
      <c r="S270" s="309"/>
      <c r="T270" s="305"/>
      <c r="U270" s="305"/>
      <c r="V270" s="305"/>
      <c r="W270" s="305"/>
      <c r="X270" s="309"/>
      <c r="Y270" s="305"/>
      <c r="Z270" s="305"/>
      <c r="AA270" s="305"/>
      <c r="AB270" s="305"/>
      <c r="AC270" s="309"/>
      <c r="AD270" s="305"/>
      <c r="AE270" s="305"/>
      <c r="AF270" s="305"/>
      <c r="AG270" s="305"/>
      <c r="AH270" s="309"/>
      <c r="AI270" s="305"/>
      <c r="AJ270" s="305"/>
      <c r="AK270" s="305"/>
      <c r="AL270" s="305"/>
      <c r="AM270" s="309"/>
      <c r="AN270" s="305"/>
      <c r="AO270" s="305"/>
      <c r="AP270" s="305"/>
      <c r="AQ270" s="305"/>
      <c r="AR270" s="309"/>
      <c r="AS270" s="305"/>
      <c r="AT270" s="305"/>
      <c r="AU270" s="305"/>
      <c r="AV270" s="305"/>
      <c r="AW270" s="309"/>
      <c r="AX270" s="305"/>
      <c r="AY270" s="305"/>
      <c r="AZ270" s="305"/>
      <c r="BA270" s="305"/>
      <c r="BB270" s="309"/>
      <c r="BC270" s="305"/>
      <c r="BD270" s="305"/>
      <c r="BE270" s="305"/>
      <c r="BF270" s="305"/>
      <c r="BG270" s="309"/>
      <c r="BH270" s="137"/>
      <c r="BI270" s="137"/>
      <c r="BJ270" s="137"/>
      <c r="BK270" s="137"/>
      <c r="BL270" s="136"/>
      <c r="BM270" s="137"/>
      <c r="BN270" s="137"/>
      <c r="BO270" s="137"/>
      <c r="BP270" s="137"/>
      <c r="BQ270" s="136"/>
      <c r="BR270" s="137"/>
      <c r="BS270" s="137"/>
      <c r="BT270" s="137"/>
      <c r="BU270" s="137"/>
      <c r="BV270" s="136"/>
      <c r="BW270" s="137"/>
      <c r="BX270" s="137"/>
      <c r="BY270" s="137"/>
      <c r="BZ270" s="137"/>
      <c r="CA270" s="136"/>
      <c r="CB270" s="137"/>
      <c r="CC270" s="137"/>
      <c r="CD270" s="137"/>
      <c r="CE270" s="137"/>
      <c r="CF270" s="136"/>
      <c r="CG270" s="137"/>
      <c r="CH270" s="137"/>
      <c r="CI270" s="137"/>
      <c r="CJ270" s="137"/>
      <c r="CK270" s="136"/>
      <c r="CL270" s="137"/>
      <c r="CM270" s="137"/>
      <c r="CN270" s="137"/>
      <c r="CO270" s="137"/>
      <c r="CP270" s="136"/>
      <c r="CQ270" s="137"/>
      <c r="CR270" s="137"/>
      <c r="CS270" s="137"/>
      <c r="CT270" s="137"/>
      <c r="CU270" s="136"/>
      <c r="CV270" s="137"/>
      <c r="CW270" s="137"/>
      <c r="CX270" s="137"/>
      <c r="CY270" s="137"/>
      <c r="CZ270" s="136"/>
      <c r="DA270" s="137"/>
      <c r="DB270" s="137"/>
      <c r="DC270" s="137"/>
      <c r="DD270" s="137"/>
      <c r="DE270" s="136"/>
      <c r="DF270" s="137"/>
      <c r="DG270" s="137"/>
      <c r="DH270" s="137"/>
      <c r="DI270" s="137"/>
      <c r="DJ270" s="136"/>
      <c r="DK270" s="137"/>
      <c r="DL270" s="137"/>
      <c r="DM270" s="137"/>
      <c r="DN270" s="137"/>
      <c r="DO270" s="136"/>
      <c r="DP270" s="137"/>
      <c r="DQ270" s="137"/>
      <c r="DR270" s="137"/>
      <c r="DS270" s="137"/>
      <c r="DT270" s="136"/>
      <c r="DU270" s="137"/>
      <c r="DV270" s="137"/>
      <c r="DW270" s="137"/>
      <c r="DX270" s="137"/>
      <c r="DY270" s="136"/>
      <c r="DZ270" s="136"/>
      <c r="EA270" s="136"/>
      <c r="EB270" s="136"/>
    </row>
    <row r="271" spans="2:132" s="241" customFormat="1" ht="12" hidden="1" customHeight="1" outlineLevel="1">
      <c r="B271" s="74" t="s">
        <v>187</v>
      </c>
      <c r="C271" s="309"/>
      <c r="D271" s="309"/>
      <c r="E271" s="309"/>
      <c r="F271" s="309"/>
      <c r="G271" s="309"/>
      <c r="H271" s="309"/>
      <c r="I271" s="309"/>
      <c r="J271" s="305"/>
      <c r="K271" s="305"/>
      <c r="L271" s="305"/>
      <c r="M271" s="305"/>
      <c r="N271" s="309"/>
      <c r="O271" s="305"/>
      <c r="P271" s="305"/>
      <c r="Q271" s="305"/>
      <c r="R271" s="305"/>
      <c r="S271" s="309"/>
      <c r="T271" s="305"/>
      <c r="U271" s="305"/>
      <c r="V271" s="305"/>
      <c r="W271" s="305"/>
      <c r="X271" s="309"/>
      <c r="Y271" s="305"/>
      <c r="Z271" s="305"/>
      <c r="AA271" s="305"/>
      <c r="AB271" s="305"/>
      <c r="AC271" s="309"/>
      <c r="AD271" s="305"/>
      <c r="AE271" s="305"/>
      <c r="AF271" s="305"/>
      <c r="AG271" s="305"/>
      <c r="AH271" s="309"/>
      <c r="AI271" s="305"/>
      <c r="AJ271" s="305"/>
      <c r="AK271" s="305"/>
      <c r="AL271" s="305"/>
      <c r="AM271" s="309"/>
      <c r="AN271" s="305"/>
      <c r="AO271" s="305"/>
      <c r="AP271" s="305"/>
      <c r="AQ271" s="305"/>
      <c r="AR271" s="309"/>
      <c r="AS271" s="305"/>
      <c r="AT271" s="305"/>
      <c r="AU271" s="305"/>
      <c r="AV271" s="305"/>
      <c r="AW271" s="309"/>
      <c r="AX271" s="305"/>
      <c r="AY271" s="305"/>
      <c r="AZ271" s="305"/>
      <c r="BA271" s="305"/>
      <c r="BB271" s="309"/>
      <c r="BC271" s="305"/>
      <c r="BD271" s="305"/>
      <c r="BE271" s="305"/>
      <c r="BF271" s="305"/>
      <c r="BG271" s="309"/>
      <c r="BH271" s="137"/>
      <c r="BI271" s="137"/>
      <c r="BJ271" s="137"/>
      <c r="BK271" s="137"/>
      <c r="BL271" s="136"/>
      <c r="BM271" s="137"/>
      <c r="BN271" s="137"/>
      <c r="BO271" s="137"/>
      <c r="BP271" s="137"/>
      <c r="BQ271" s="136"/>
      <c r="BR271" s="137"/>
      <c r="BS271" s="137"/>
      <c r="BT271" s="137"/>
      <c r="BU271" s="137"/>
      <c r="BV271" s="136"/>
      <c r="BW271" s="137"/>
      <c r="BX271" s="137"/>
      <c r="BY271" s="137"/>
      <c r="BZ271" s="137"/>
      <c r="CA271" s="136"/>
      <c r="CB271" s="137"/>
      <c r="CC271" s="137"/>
      <c r="CD271" s="137"/>
      <c r="CE271" s="137"/>
      <c r="CF271" s="136"/>
      <c r="CG271" s="137"/>
      <c r="CH271" s="137"/>
      <c r="CI271" s="137"/>
      <c r="CJ271" s="137"/>
      <c r="CK271" s="136"/>
      <c r="CL271" s="137"/>
      <c r="CM271" s="137"/>
      <c r="CN271" s="137"/>
      <c r="CO271" s="137"/>
      <c r="CP271" s="136"/>
      <c r="CQ271" s="137"/>
      <c r="CR271" s="137"/>
      <c r="CS271" s="137"/>
      <c r="CT271" s="137"/>
      <c r="CU271" s="136"/>
      <c r="CV271" s="137"/>
      <c r="CW271" s="137"/>
      <c r="CX271" s="137"/>
      <c r="CY271" s="137"/>
      <c r="CZ271" s="136"/>
      <c r="DA271" s="137"/>
      <c r="DB271" s="137"/>
      <c r="DC271" s="137"/>
      <c r="DD271" s="137"/>
      <c r="DE271" s="136"/>
      <c r="DF271" s="137"/>
      <c r="DG271" s="137"/>
      <c r="DH271" s="137"/>
      <c r="DI271" s="137"/>
      <c r="DJ271" s="136"/>
      <c r="DK271" s="137"/>
      <c r="DL271" s="137"/>
      <c r="DM271" s="137"/>
      <c r="DN271" s="137"/>
      <c r="DO271" s="136"/>
      <c r="DP271" s="137"/>
      <c r="DQ271" s="137"/>
      <c r="DR271" s="137"/>
      <c r="DS271" s="137"/>
      <c r="DT271" s="136"/>
      <c r="DU271" s="137"/>
      <c r="DV271" s="137"/>
      <c r="DW271" s="137"/>
      <c r="DX271" s="137"/>
      <c r="DY271" s="136"/>
      <c r="DZ271" s="136"/>
      <c r="EA271" s="136"/>
      <c r="EB271" s="136"/>
    </row>
    <row r="272" spans="2:132" s="241" customFormat="1" ht="12" hidden="1" customHeight="1" outlineLevel="1">
      <c r="B272" s="241" t="s">
        <v>105</v>
      </c>
      <c r="C272" s="301"/>
      <c r="D272" s="301"/>
      <c r="E272" s="301"/>
      <c r="F272" s="301"/>
      <c r="G272" s="301"/>
      <c r="H272" s="301"/>
      <c r="I272" s="301"/>
      <c r="J272" s="242"/>
      <c r="K272" s="242">
        <f t="shared" ref="K272:M282" si="1101">IF(ISERROR(K168/J168-1),"",K168/J168-1)</f>
        <v>8.5227272727272707E-2</v>
      </c>
      <c r="L272" s="242">
        <f t="shared" si="1101"/>
        <v>-0.56020942408376961</v>
      </c>
      <c r="M272" s="242">
        <f t="shared" si="1101"/>
        <v>-1.8869047619047619</v>
      </c>
      <c r="N272" s="301"/>
      <c r="O272" s="242">
        <f t="shared" ref="O272:O282" si="1102">IF(ISERROR(O168/M168-1),"",O168/M168-1)</f>
        <v>-3.6107382550335569</v>
      </c>
      <c r="P272" s="242">
        <f t="shared" ref="P272:R282" si="1103">IF(ISERROR(P168/O168-1),"",P168/O168-1)</f>
        <v>0.22107969151670948</v>
      </c>
      <c r="Q272" s="242">
        <f t="shared" si="1103"/>
        <v>-0.49894736842105258</v>
      </c>
      <c r="R272" s="242">
        <f t="shared" si="1103"/>
        <v>0.38655462184873945</v>
      </c>
      <c r="S272" s="301"/>
      <c r="T272" s="242">
        <f>IF(ISERROR(T168/R168-1),"",T168/R168-1)</f>
        <v>1.1303030303030304</v>
      </c>
      <c r="U272" s="242">
        <f t="shared" ref="U272:W282" si="1104">IF(ISERROR(U168/T168-1),"",U168/T168-1)</f>
        <v>2.2759601706970223E-2</v>
      </c>
      <c r="V272" s="242">
        <f t="shared" si="1104"/>
        <v>-0.10152990264255912</v>
      </c>
      <c r="W272" s="242">
        <f t="shared" si="1104"/>
        <v>2.9411764705882248E-2</v>
      </c>
      <c r="X272" s="301"/>
      <c r="Y272" s="242">
        <f t="shared" ref="Y272:Y282" si="1105">IF(ISERROR(Y168/W168-1),"",Y168/W168-1)</f>
        <v>6.1654135338345961E-2</v>
      </c>
      <c r="Z272" s="242">
        <f t="shared" ref="Z272:AB282" si="1106">IF(ISERROR(Z168/Y168-1),"",Z168/Y168-1)</f>
        <v>0.35977337110481589</v>
      </c>
      <c r="AA272" s="242">
        <f t="shared" si="1106"/>
        <v>-1.5625E-2</v>
      </c>
      <c r="AB272" s="242">
        <f t="shared" si="1106"/>
        <v>2.9629629629629672E-2</v>
      </c>
      <c r="AC272" s="301"/>
      <c r="AD272" s="242">
        <f t="shared" ref="AD272:AD282" si="1107">IF(ISERROR(AD168/AB168-1),"",AD168/AB168-1)</f>
        <v>1.0277492291880685E-2</v>
      </c>
      <c r="AE272" s="242">
        <f t="shared" ref="AE272:AG282" si="1108">IF(ISERROR(AE168/AD168-1),"",AE168/AD168-1)</f>
        <v>-0.20956256358087488</v>
      </c>
      <c r="AF272" s="242">
        <f t="shared" si="1108"/>
        <v>-0.4929214929214929</v>
      </c>
      <c r="AG272" s="242">
        <f t="shared" si="1108"/>
        <v>-3.4568527918781724</v>
      </c>
      <c r="AH272" s="301"/>
      <c r="AI272" s="242">
        <f t="shared" ref="AI272:AI282" si="1109">IF(ISERROR(AI168/AG168-1),"",AI168/AG168-1)</f>
        <v>-1.4307851239669422</v>
      </c>
      <c r="AJ272" s="242">
        <f t="shared" ref="AJ272:AL282" si="1110">IF(ISERROR(AJ168/AI168-1),"",AJ168/AI168-1)</f>
        <v>0.95923261390887293</v>
      </c>
      <c r="AK272" s="242">
        <f t="shared" si="1110"/>
        <v>-4.4724602203182373</v>
      </c>
      <c r="AL272" s="242">
        <f t="shared" si="1110"/>
        <v>-1.3595347197744097</v>
      </c>
      <c r="AM272" s="301"/>
      <c r="AN272" s="242">
        <f t="shared" ref="AN272:AN282" si="1111">IF(ISERROR(AN168/AL168-1),"",AN168/AL168-1)</f>
        <v>-0.33431372549019611</v>
      </c>
      <c r="AO272" s="242">
        <f t="shared" ref="AO272:AQ282" si="1112">IF(ISERROR(AO168/AN168-1),"",AO168/AN168-1)</f>
        <v>5.8910162002945299E-3</v>
      </c>
      <c r="AP272" s="242">
        <f t="shared" si="1112"/>
        <v>0.48901903367496335</v>
      </c>
      <c r="AQ272" s="242">
        <f t="shared" si="1112"/>
        <v>-0.38348082595870203</v>
      </c>
      <c r="AR272" s="309"/>
      <c r="AS272" s="242">
        <f t="shared" ref="AS272:AS282" si="1113">IF(ISERROR(AS168/AQ168-1),"",AS168/AQ168-1)</f>
        <v>-0.18819776714513559</v>
      </c>
      <c r="AT272" s="242">
        <f t="shared" ref="AT272:AV282" si="1114">IF(ISERROR(AT168/AS168-1),"",AT168/AS168-1)</f>
        <v>0.80746561886051071</v>
      </c>
      <c r="AU272" s="242">
        <f t="shared" si="1114"/>
        <v>0.17934782608695654</v>
      </c>
      <c r="AV272" s="242">
        <f t="shared" si="1114"/>
        <v>-9.5852534562211988E-2</v>
      </c>
      <c r="AW272" s="309"/>
      <c r="AX272" s="242">
        <f t="shared" ref="AX272:AX282" si="1115">IF(ISERROR(AX168/AV168-1),"",AX168/AV168-1)</f>
        <v>0.10193679918450571</v>
      </c>
      <c r="AY272" s="242">
        <f t="shared" ref="AY272:BA282" si="1116">IF(ISERROR(AY168/AX168-1),"",AY168/AX168-1)</f>
        <v>0.120259019426457</v>
      </c>
      <c r="AZ272" s="242">
        <f t="shared" si="1116"/>
        <v>-4.7894302229562369E-2</v>
      </c>
      <c r="BA272" s="242">
        <f t="shared" si="1116"/>
        <v>9.8005203816131869E-2</v>
      </c>
      <c r="BB272" s="309"/>
      <c r="BC272" s="242">
        <f t="shared" ref="BC272:BC282" si="1117">IF(ISERROR(BC168/BA168-1),"",BC168/BA168-1)</f>
        <v>-3.7124802527646161E-2</v>
      </c>
      <c r="BD272" s="242">
        <f t="shared" ref="BD272:BF275" si="1118">IF(ISERROR(BD168/BC168-1),"",BD168/BC168-1)</f>
        <v>0.19196062346185405</v>
      </c>
      <c r="BE272" s="242">
        <f t="shared" si="1118"/>
        <v>0.112869924294563</v>
      </c>
      <c r="BF272" s="242">
        <f t="shared" si="1118"/>
        <v>-6.8460111317254158E-2</v>
      </c>
      <c r="BG272" s="309"/>
      <c r="BH272" s="242">
        <f>IF(ISERROR(BH168/BF168-1),"",BH168/BF168-1)</f>
        <v>-2.8546770231693275E-3</v>
      </c>
      <c r="BI272" s="242">
        <f t="shared" ref="BI272:BK275" si="1119">IF(ISERROR(BI168/BH168-1),"",BI168/BH168-1)</f>
        <v>3.1957390146471365E-2</v>
      </c>
      <c r="BJ272" s="242">
        <f t="shared" si="1119"/>
        <v>0.15935483870967748</v>
      </c>
      <c r="BK272" s="242">
        <f t="shared" si="1119"/>
        <v>-0.13077351140790205</v>
      </c>
      <c r="BL272" s="136"/>
      <c r="BM272" s="242">
        <f>IF(ISERROR(BM168/BK168-1),"",BM168/BK168-1)</f>
        <v>3.5211267605633756E-2</v>
      </c>
      <c r="BN272" s="242">
        <f t="shared" ref="BN272:BP275" si="1120">IF(ISERROR(BN168/BM168-1),"",BN168/BM168-1)</f>
        <v>-0.25417439703153988</v>
      </c>
      <c r="BO272" s="242">
        <f t="shared" si="1120"/>
        <v>0.46600331674958539</v>
      </c>
      <c r="BP272" s="242">
        <f t="shared" si="1120"/>
        <v>-0.67986425339366519</v>
      </c>
      <c r="BQ272" s="136"/>
      <c r="BR272" s="242"/>
      <c r="BS272" s="242">
        <f t="shared" ref="BS272:BU275" si="1121">IF(ISERROR(BS168/BR168-1),"",BS168/BR168-1)</f>
        <v>-2.6174242424242422</v>
      </c>
      <c r="BT272" s="242">
        <f t="shared" si="1121"/>
        <v>-2.0093676814988291</v>
      </c>
      <c r="BU272" s="242">
        <f t="shared" si="1121"/>
        <v>-7.8886310904872414E-2</v>
      </c>
      <c r="BV272" s="136"/>
      <c r="BW272" s="242">
        <f>IF(ISERROR(BW168/BU168-1),"",BW168/BU168-1)</f>
        <v>-0.26952141057934509</v>
      </c>
      <c r="BX272" s="242">
        <f>IF(ISERROR(BX168/BW168-1),"",BX168/BW168-1)</f>
        <v>0.47356321839080451</v>
      </c>
      <c r="BY272" s="242">
        <f>IF(ISERROR(BY168/BX168-1),"",BY168/BX168-1)</f>
        <v>0.18018720748829953</v>
      </c>
      <c r="BZ272" s="242">
        <f>IF(ISERROR(BZ168/BY168-1),"",BZ168/BY168-1)</f>
        <v>0.18109715796430925</v>
      </c>
      <c r="CA272" s="136"/>
      <c r="CB272" s="242">
        <f>IF(ISERROR(CB168/BZ168-1),"",CB168/BZ168-1)</f>
        <v>-0.2098489087856743</v>
      </c>
      <c r="CC272" s="242">
        <f t="shared" ref="CC272:CE275" si="1122">IF(ISERROR(CC168/CB168-1),"",CC168/CB168-1)</f>
        <v>0.26416430594900842</v>
      </c>
      <c r="CD272" s="242">
        <f t="shared" si="1122"/>
        <v>0.13893557422969183</v>
      </c>
      <c r="CE272" s="242">
        <f t="shared" si="1122"/>
        <v>0.27889818002951294</v>
      </c>
      <c r="CF272" s="136"/>
      <c r="CG272" s="242">
        <f>IF(ISERROR(CG168/CE168-1),"",CG168/CE168-1)</f>
        <v>-0.54884615384615387</v>
      </c>
      <c r="CH272" s="242">
        <f t="shared" ref="CH272:CJ275" si="1123">IF(ISERROR(CH168/CG168-1),"",CH168/CG168-1)</f>
        <v>-5.2165387894288147</v>
      </c>
      <c r="CI272" s="242">
        <f t="shared" si="1123"/>
        <v>-0.99191265669227657</v>
      </c>
      <c r="CJ272" s="242">
        <f t="shared" si="1123"/>
        <v>70.099999999999994</v>
      </c>
      <c r="CK272" s="136"/>
      <c r="CL272" s="242">
        <f>IF(ISERROR(CL168/CJ168-1),"",CL168/CJ168-1)</f>
        <v>-0.27285513361462732</v>
      </c>
      <c r="CM272" s="242">
        <f t="shared" ref="CM272:CO275" si="1124">IF(ISERROR(CM168/CL168-1),"",CM168/CL168-1)</f>
        <v>0.33558994197292069</v>
      </c>
      <c r="CN272" s="242">
        <f t="shared" si="1124"/>
        <v>-0.50434467776973202</v>
      </c>
      <c r="CO272" s="242">
        <f t="shared" si="1124"/>
        <v>4.5865595325054782</v>
      </c>
      <c r="CP272" s="136"/>
      <c r="CQ272" s="242">
        <f>IF(ISERROR(CQ168/CO168-1),"",CQ168/CO168-1)</f>
        <v>-0.88807531380753135</v>
      </c>
      <c r="CR272" s="242">
        <f t="shared" ref="CR272:CR275" si="1125">IF(ISERROR(CR168/CQ168-1),"",CR168/CQ168-1)</f>
        <v>-0.44859813084112155</v>
      </c>
      <c r="CS272" s="242">
        <f t="shared" ref="CS272:CS275" si="1126">IF(ISERROR(CS168/CR168-1),"",CS168/CR168-1)</f>
        <v>0.46822033898305082</v>
      </c>
      <c r="CT272" s="242">
        <f t="shared" ref="CT272:CT275" si="1127">IF(ISERROR(CT168/CS168-1),"",CT168/CS168-1)</f>
        <v>5.4271284271284275</v>
      </c>
      <c r="CU272" s="136"/>
      <c r="CV272" s="242">
        <f>IF(ISERROR(CV168/CT168-1),"",CV168/CT168-1)</f>
        <v>-0.80713964975303099</v>
      </c>
      <c r="CW272" s="242">
        <f t="shared" ref="CW272:CW275" si="1128">IF(ISERROR(CW168/CV168-1),"",CW168/CV168-1)</f>
        <v>-0.71827706635622812</v>
      </c>
      <c r="CX272" s="242">
        <f t="shared" ref="CX272:CX275" si="1129">IF(ISERROR(CX168/CW168-1),"",CX168/CW168-1)</f>
        <v>1.6570247933884299</v>
      </c>
      <c r="CY272" s="242">
        <f t="shared" ref="CY272:CY275" si="1130">IF(ISERROR(CY168/CX168-1),"",CY168/CX168-1)</f>
        <v>-2.6438569206842955E-2</v>
      </c>
      <c r="CZ272" s="136"/>
      <c r="DA272" s="242">
        <f>IF(ISERROR(DA168/CY168-1),"",DA168/CY168-1)</f>
        <v>-1.757188498402551E-2</v>
      </c>
      <c r="DB272" s="242">
        <f t="shared" ref="DB272:DB275" si="1131">IF(ISERROR(DB168/DA168-1),"",DB168/DA168-1)</f>
        <v>-0.37723577235772354</v>
      </c>
      <c r="DC272" s="242">
        <f t="shared" ref="DC272:DC275" si="1132">IF(ISERROR(DC168/DB168-1),"",DC168/DB168-1)</f>
        <v>0.77023498694516968</v>
      </c>
      <c r="DD272" s="242">
        <f t="shared" ref="DD272:DD275" si="1133">IF(ISERROR(DD168/DC168-1),"",DD168/DC168-1)</f>
        <v>-1.0604719764011798</v>
      </c>
      <c r="DE272" s="136"/>
      <c r="DF272" s="242">
        <f>IF(ISERROR(DF168/DD168-1),"",DF168/DD168-1)</f>
        <v>-28.878048780487806</v>
      </c>
      <c r="DG272" s="242">
        <f t="shared" ref="DG272:DG275" si="1134">IF(ISERROR(DG168/DF168-1),"",DG168/DF168-1)</f>
        <v>-0.37445319335083116</v>
      </c>
      <c r="DH272" s="242">
        <f t="shared" ref="DH272:DH275" si="1135">IF(ISERROR(DH168/DG168-1),"",DH168/DG168-1)</f>
        <v>4.6237762237762237</v>
      </c>
      <c r="DI272" s="242">
        <f t="shared" ref="DI272:DI275" si="1136">IF(ISERROR(DI168/DH168-1),"",DI168/DH168-1)</f>
        <v>-0.48022879880626712</v>
      </c>
      <c r="DJ272" s="136"/>
      <c r="DK272" s="242">
        <f>IF(ISERROR(DK168/DI168-1),"",DK168/DI168-1)</f>
        <v>-0.74306220095693787</v>
      </c>
      <c r="DL272" s="242">
        <f t="shared" ref="DL272:DL275" si="1137">IF(ISERROR(DL168/DK168-1),"",DL168/DK168-1)</f>
        <v>3.7243947858472959E-2</v>
      </c>
      <c r="DM272" s="242">
        <f t="shared" ref="DM272:DM275" si="1138">IF(ISERROR(DM168/DL168-1),"",DM168/DL168-1)</f>
        <v>8.6104129263913816</v>
      </c>
      <c r="DN272" s="242">
        <f t="shared" ref="DN272:DN275" si="1139">IF(ISERROR(DN168/DM168-1),"",DN168/DM168-1)</f>
        <v>-0.88193536334765554</v>
      </c>
      <c r="DO272" s="136"/>
      <c r="DP272" s="242">
        <f>IF(ISERROR(DP168/DN168-1),"",DP168/DN168-1)</f>
        <v>-0.10917721518987344</v>
      </c>
      <c r="DQ272" s="242">
        <f t="shared" ref="DQ272:DQ275" si="1140">IF(ISERROR(DQ168/DP168-1),"",DQ168/DP168-1)</f>
        <v>-0.4280639431616341</v>
      </c>
      <c r="DR272" s="242">
        <f t="shared" ref="DR272:DR275" si="1141">IF(ISERROR(DR168/DQ168-1),"",DR168/DQ168-1)</f>
        <v>7.7148769766728131E-2</v>
      </c>
      <c r="DS272" s="242">
        <f t="shared" ref="DS272:DS275" si="1142">IF(ISERROR(DS168/DR168-1),"",DS168/DR168-1)</f>
        <v>-1</v>
      </c>
      <c r="DT272" s="136"/>
      <c r="DU272" s="242" t="str">
        <f>IF(ISERROR(DU168/DS168-1),"",DU168/DS168-1)</f>
        <v/>
      </c>
      <c r="DV272" s="242">
        <f t="shared" ref="DV272:DV275" si="1143">IF(ISERROR(DV168/DU168-1),"",DV168/DU168-1)</f>
        <v>-1.6647821648361645</v>
      </c>
      <c r="DW272" s="242">
        <f t="shared" ref="DW272:DW275" si="1144">IF(ISERROR(DW168/DV168-1),"",DW168/DV168-1)</f>
        <v>1.6251740502861569</v>
      </c>
      <c r="DX272" s="242">
        <f t="shared" ref="DX272:DX275" si="1145">IF(ISERROR(DX168/DW168-1),"",DX168/DW168-1)</f>
        <v>0.61395440100031728</v>
      </c>
      <c r="DY272" s="136"/>
      <c r="DZ272" s="136"/>
      <c r="EA272" s="136"/>
      <c r="EB272" s="136"/>
    </row>
    <row r="273" spans="2:132" s="241" customFormat="1" ht="12" hidden="1" customHeight="1" outlineLevel="2">
      <c r="B273" s="330" t="s">
        <v>106</v>
      </c>
      <c r="C273" s="325"/>
      <c r="D273" s="325"/>
      <c r="E273" s="325"/>
      <c r="F273" s="325"/>
      <c r="G273" s="325"/>
      <c r="H273" s="325"/>
      <c r="I273" s="325"/>
      <c r="J273" s="326"/>
      <c r="K273" s="326" t="str">
        <f t="shared" si="1101"/>
        <v/>
      </c>
      <c r="L273" s="326" t="str">
        <f t="shared" si="1101"/>
        <v/>
      </c>
      <c r="M273" s="326" t="str">
        <f t="shared" si="1101"/>
        <v/>
      </c>
      <c r="N273" s="325"/>
      <c r="O273" s="326" t="str">
        <f t="shared" si="1102"/>
        <v/>
      </c>
      <c r="P273" s="326">
        <f t="shared" si="1103"/>
        <v>0.15364583333333326</v>
      </c>
      <c r="Q273" s="326">
        <f t="shared" si="1103"/>
        <v>-8.1264108352144482E-2</v>
      </c>
      <c r="R273" s="326">
        <f t="shared" si="1103"/>
        <v>0.28009828009828008</v>
      </c>
      <c r="S273" s="325"/>
      <c r="T273" s="326">
        <f>IF(ISERROR(T169/R169-1),"",T169/R169-1)</f>
        <v>-8.8291746641074864E-2</v>
      </c>
      <c r="U273" s="326">
        <f t="shared" si="1104"/>
        <v>-1.0105263157894737</v>
      </c>
      <c r="V273" s="326">
        <f t="shared" si="1104"/>
        <v>-95.4</v>
      </c>
      <c r="W273" s="326">
        <f t="shared" si="1104"/>
        <v>-0.3728813559322034</v>
      </c>
      <c r="X273" s="325"/>
      <c r="Y273" s="326">
        <f t="shared" si="1105"/>
        <v>0.42567567567567566</v>
      </c>
      <c r="Z273" s="326">
        <f t="shared" si="1106"/>
        <v>-3.7914691943127909E-2</v>
      </c>
      <c r="AA273" s="326">
        <f t="shared" si="1106"/>
        <v>-4.9261083743842304E-3</v>
      </c>
      <c r="AB273" s="326">
        <f t="shared" si="1106"/>
        <v>-1.7326732673267342E-2</v>
      </c>
      <c r="AC273" s="325"/>
      <c r="AD273" s="326">
        <f t="shared" si="1107"/>
        <v>-3.2745591939546626E-2</v>
      </c>
      <c r="AE273" s="326">
        <f t="shared" si="1108"/>
        <v>-0.59114583333333326</v>
      </c>
      <c r="AF273" s="326">
        <f t="shared" si="1108"/>
        <v>1.3757961783439492</v>
      </c>
      <c r="AG273" s="326">
        <f t="shared" si="1108"/>
        <v>-2.9490616621983934E-2</v>
      </c>
      <c r="AH273" s="325"/>
      <c r="AI273" s="326">
        <f t="shared" si="1109"/>
        <v>-0.22099447513812154</v>
      </c>
      <c r="AJ273" s="326">
        <f t="shared" si="1110"/>
        <v>0.39007092198581561</v>
      </c>
      <c r="AK273" s="326">
        <f t="shared" si="1110"/>
        <v>0.23979591836734704</v>
      </c>
      <c r="AL273" s="326">
        <f t="shared" si="1110"/>
        <v>-0.27366255144032925</v>
      </c>
      <c r="AM273" s="325"/>
      <c r="AN273" s="326">
        <f t="shared" si="1111"/>
        <v>-0.24362606232294615</v>
      </c>
      <c r="AO273" s="326">
        <f t="shared" si="1112"/>
        <v>0.33333333333333326</v>
      </c>
      <c r="AP273" s="326">
        <f t="shared" si="1112"/>
        <v>-0.1235955056179775</v>
      </c>
      <c r="AQ273" s="326">
        <f t="shared" si="1112"/>
        <v>3.5256410256410353E-2</v>
      </c>
      <c r="AR273" s="342"/>
      <c r="AS273" s="326">
        <f t="shared" si="1113"/>
        <v>0.14241486068111464</v>
      </c>
      <c r="AT273" s="326">
        <f t="shared" si="1114"/>
        <v>4.6070460704606964E-2</v>
      </c>
      <c r="AU273" s="326">
        <f t="shared" si="1114"/>
        <v>2.8497409326424972E-2</v>
      </c>
      <c r="AV273" s="326">
        <f t="shared" si="1114"/>
        <v>-5.7934508816120944E-2</v>
      </c>
      <c r="AW273" s="342"/>
      <c r="AX273" s="326">
        <f t="shared" si="1115"/>
        <v>0.16844919786096257</v>
      </c>
      <c r="AY273" s="326">
        <f t="shared" si="1116"/>
        <v>-0.16933638443935928</v>
      </c>
      <c r="AZ273" s="326">
        <f t="shared" si="1116"/>
        <v>0.22589531680440778</v>
      </c>
      <c r="BA273" s="326">
        <f t="shared" si="1116"/>
        <v>-0.24494382022471906</v>
      </c>
      <c r="BB273" s="342"/>
      <c r="BC273" s="326">
        <f t="shared" si="1117"/>
        <v>0.27976190476190466</v>
      </c>
      <c r="BD273" s="326">
        <f t="shared" si="1118"/>
        <v>-0.13255813953488371</v>
      </c>
      <c r="BE273" s="326">
        <f t="shared" si="1118"/>
        <v>-0.40750670241286868</v>
      </c>
      <c r="BF273" s="326">
        <f t="shared" si="1118"/>
        <v>0.99547511312217196</v>
      </c>
      <c r="BG273" s="342"/>
      <c r="BH273" s="326">
        <f>IF(ISERROR(BH169/BF169-1),"",BH169/BF169-1)</f>
        <v>-0.24716553287981857</v>
      </c>
      <c r="BI273" s="326">
        <f t="shared" si="1119"/>
        <v>-0.50301204819277112</v>
      </c>
      <c r="BJ273" s="326">
        <f t="shared" si="1119"/>
        <v>1.6666666666666665</v>
      </c>
      <c r="BK273" s="326">
        <f t="shared" si="1119"/>
        <v>-0.16590909090909089</v>
      </c>
      <c r="BL273" s="574"/>
      <c r="BM273" s="326">
        <f>IF(ISERROR(BM169/BK169-1),"",BM169/BK169-1)</f>
        <v>-0.28882833787465945</v>
      </c>
      <c r="BN273" s="326">
        <f t="shared" si="1120"/>
        <v>-0.52873563218390807</v>
      </c>
      <c r="BO273" s="326">
        <f t="shared" si="1120"/>
        <v>3.0325203252032518</v>
      </c>
      <c r="BP273" s="326">
        <f t="shared" si="1120"/>
        <v>-0.11693548387096775</v>
      </c>
      <c r="BQ273" s="574"/>
      <c r="BR273" s="326">
        <f>IF(ISERROR(BR169/BP169-1),"",BR169/BP169-1)</f>
        <v>-0.23744292237442921</v>
      </c>
      <c r="BS273" s="326">
        <f t="shared" si="1121"/>
        <v>-0.4760479041916168</v>
      </c>
      <c r="BT273" s="326">
        <f t="shared" si="1121"/>
        <v>1.48</v>
      </c>
      <c r="BU273" s="326">
        <f t="shared" si="1121"/>
        <v>-0.33640552995391704</v>
      </c>
      <c r="BV273" s="574"/>
      <c r="BW273" s="326">
        <f>IF(ISERROR(BW169/BU169-1),"",BW169/BU169-1)</f>
        <v>0.11458333333333326</v>
      </c>
      <c r="BX273" s="326">
        <f>IF(ISERROR(BX169/BW169-1),"",BX169/BW169-1)</f>
        <v>0.19003115264797499</v>
      </c>
      <c r="BY273" s="326"/>
      <c r="BZ273" s="326"/>
      <c r="CA273" s="574"/>
      <c r="CB273" s="326" t="str">
        <f>IF(ISERROR(CB169/BZ169-1),"",CB169/BZ169-1)</f>
        <v/>
      </c>
      <c r="CC273" s="326" t="str">
        <f t="shared" si="1122"/>
        <v/>
      </c>
      <c r="CD273" s="326" t="str">
        <f t="shared" si="1122"/>
        <v/>
      </c>
      <c r="CE273" s="326" t="str">
        <f t="shared" si="1122"/>
        <v/>
      </c>
      <c r="CF273" s="574"/>
      <c r="CG273" s="326" t="str">
        <f>IF(ISERROR(CG169/CE169-1),"",CG169/CE169-1)</f>
        <v/>
      </c>
      <c r="CH273" s="326" t="str">
        <f t="shared" si="1123"/>
        <v/>
      </c>
      <c r="CI273" s="326" t="str">
        <f t="shared" si="1123"/>
        <v/>
      </c>
      <c r="CJ273" s="326" t="str">
        <f t="shared" si="1123"/>
        <v/>
      </c>
      <c r="CK273" s="574"/>
      <c r="CL273" s="326" t="str">
        <f>IF(ISERROR(CL169/CJ169-1),"",CL169/CJ169-1)</f>
        <v/>
      </c>
      <c r="CM273" s="326" t="str">
        <f t="shared" si="1124"/>
        <v/>
      </c>
      <c r="CN273" s="326" t="str">
        <f t="shared" si="1124"/>
        <v/>
      </c>
      <c r="CO273" s="326" t="str">
        <f t="shared" si="1124"/>
        <v/>
      </c>
      <c r="CP273" s="574"/>
      <c r="CQ273" s="326" t="str">
        <f>IF(ISERROR(CQ169/CO169-1),"",CQ169/CO169-1)</f>
        <v/>
      </c>
      <c r="CR273" s="326" t="str">
        <f t="shared" si="1125"/>
        <v/>
      </c>
      <c r="CS273" s="326" t="str">
        <f t="shared" si="1126"/>
        <v/>
      </c>
      <c r="CT273" s="326" t="str">
        <f t="shared" si="1127"/>
        <v/>
      </c>
      <c r="CU273" s="574"/>
      <c r="CV273" s="326" t="str">
        <f>IF(ISERROR(CV169/CT169-1),"",CV169/CT169-1)</f>
        <v/>
      </c>
      <c r="CW273" s="326" t="str">
        <f t="shared" si="1128"/>
        <v/>
      </c>
      <c r="CX273" s="326" t="str">
        <f t="shared" si="1129"/>
        <v/>
      </c>
      <c r="CY273" s="326" t="str">
        <f t="shared" si="1130"/>
        <v/>
      </c>
      <c r="CZ273" s="574"/>
      <c r="DA273" s="326" t="str">
        <f>IF(ISERROR(DA169/CY169-1),"",DA169/CY169-1)</f>
        <v/>
      </c>
      <c r="DB273" s="326" t="str">
        <f t="shared" si="1131"/>
        <v/>
      </c>
      <c r="DC273" s="326" t="str">
        <f t="shared" si="1132"/>
        <v/>
      </c>
      <c r="DD273" s="326" t="str">
        <f t="shared" si="1133"/>
        <v/>
      </c>
      <c r="DE273" s="574"/>
      <c r="DF273" s="326" t="str">
        <f>IF(ISERROR(DF169/DD169-1),"",DF169/DD169-1)</f>
        <v/>
      </c>
      <c r="DG273" s="326" t="str">
        <f t="shared" si="1134"/>
        <v/>
      </c>
      <c r="DH273" s="326" t="str">
        <f t="shared" si="1135"/>
        <v/>
      </c>
      <c r="DI273" s="326" t="str">
        <f t="shared" si="1136"/>
        <v/>
      </c>
      <c r="DJ273" s="574"/>
      <c r="DK273" s="326" t="str">
        <f>IF(ISERROR(DK169/DI169-1),"",DK169/DI169-1)</f>
        <v/>
      </c>
      <c r="DL273" s="326" t="str">
        <f t="shared" si="1137"/>
        <v/>
      </c>
      <c r="DM273" s="326" t="str">
        <f t="shared" si="1138"/>
        <v/>
      </c>
      <c r="DN273" s="326" t="str">
        <f t="shared" si="1139"/>
        <v/>
      </c>
      <c r="DO273" s="574"/>
      <c r="DP273" s="326" t="str">
        <f>IF(ISERROR(DP169/DN169-1),"",DP169/DN169-1)</f>
        <v/>
      </c>
      <c r="DQ273" s="326" t="str">
        <f t="shared" si="1140"/>
        <v/>
      </c>
      <c r="DR273" s="326" t="str">
        <f t="shared" si="1141"/>
        <v/>
      </c>
      <c r="DS273" s="326" t="str">
        <f t="shared" si="1142"/>
        <v/>
      </c>
      <c r="DT273" s="574"/>
      <c r="DU273" s="326" t="str">
        <f>IF(ISERROR(DU169/DS169-1),"",DU169/DS169-1)</f>
        <v/>
      </c>
      <c r="DV273" s="326" t="str">
        <f t="shared" si="1143"/>
        <v/>
      </c>
      <c r="DW273" s="326" t="str">
        <f t="shared" si="1144"/>
        <v/>
      </c>
      <c r="DX273" s="326" t="str">
        <f t="shared" si="1145"/>
        <v/>
      </c>
      <c r="DY273" s="574"/>
      <c r="DZ273" s="574"/>
      <c r="EA273" s="574"/>
      <c r="EB273" s="574"/>
    </row>
    <row r="274" spans="2:132" s="241" customFormat="1" ht="12" hidden="1" customHeight="1" outlineLevel="2">
      <c r="B274" s="317" t="s">
        <v>107</v>
      </c>
      <c r="C274" s="301"/>
      <c r="D274" s="301"/>
      <c r="E274" s="301"/>
      <c r="F274" s="301"/>
      <c r="G274" s="301"/>
      <c r="H274" s="301"/>
      <c r="I274" s="301"/>
      <c r="J274" s="242"/>
      <c r="K274" s="242" t="str">
        <f t="shared" si="1101"/>
        <v/>
      </c>
      <c r="L274" s="242" t="str">
        <f t="shared" si="1101"/>
        <v/>
      </c>
      <c r="M274" s="242" t="str">
        <f t="shared" si="1101"/>
        <v/>
      </c>
      <c r="N274" s="301"/>
      <c r="O274" s="242" t="str">
        <f t="shared" si="1102"/>
        <v/>
      </c>
      <c r="P274" s="242">
        <f t="shared" si="1103"/>
        <v>-0.32432432432432434</v>
      </c>
      <c r="Q274" s="242">
        <f t="shared" si="1103"/>
        <v>2.56</v>
      </c>
      <c r="R274" s="242">
        <f t="shared" si="1103"/>
        <v>-0.73174157303370779</v>
      </c>
      <c r="S274" s="301"/>
      <c r="T274" s="242">
        <f>IF(ISERROR(T170/R170-1),"",T170/R170-1)</f>
        <v>-0.20418848167539272</v>
      </c>
      <c r="U274" s="242">
        <f t="shared" si="1104"/>
        <v>-0.28289473684210531</v>
      </c>
      <c r="V274" s="242">
        <f t="shared" si="1104"/>
        <v>1.0917431192660549</v>
      </c>
      <c r="W274" s="242">
        <f t="shared" si="1104"/>
        <v>1.057017543859649</v>
      </c>
      <c r="X274" s="301"/>
      <c r="Y274" s="242">
        <f t="shared" si="1105"/>
        <v>-0.65458422174840081</v>
      </c>
      <c r="Z274" s="242">
        <f t="shared" si="1106"/>
        <v>0.58024691358024683</v>
      </c>
      <c r="AA274" s="242">
        <f t="shared" si="1106"/>
        <v>-0.3046875</v>
      </c>
      <c r="AB274" s="242">
        <f t="shared" si="1106"/>
        <v>0.65730337078651679</v>
      </c>
      <c r="AC274" s="301"/>
      <c r="AD274" s="242">
        <f t="shared" si="1107"/>
        <v>-9.4915254237288083E-2</v>
      </c>
      <c r="AE274" s="242">
        <f t="shared" si="1108"/>
        <v>-0.11235955056179781</v>
      </c>
      <c r="AF274" s="242">
        <f t="shared" si="1108"/>
        <v>0.27004219409282704</v>
      </c>
      <c r="AG274" s="242">
        <f t="shared" si="1108"/>
        <v>-0.24252491694352163</v>
      </c>
      <c r="AH274" s="301"/>
      <c r="AI274" s="242">
        <f t="shared" si="1109"/>
        <v>-9.210526315789469E-2</v>
      </c>
      <c r="AJ274" s="242">
        <f t="shared" si="1110"/>
        <v>0.15458937198067635</v>
      </c>
      <c r="AK274" s="242">
        <f t="shared" si="1110"/>
        <v>5.439330543933063E-2</v>
      </c>
      <c r="AL274" s="242">
        <f t="shared" si="1110"/>
        <v>-0.44047619047619047</v>
      </c>
      <c r="AM274" s="301"/>
      <c r="AN274" s="242">
        <f t="shared" si="1111"/>
        <v>0.23404255319148937</v>
      </c>
      <c r="AO274" s="242">
        <f t="shared" si="1112"/>
        <v>-4.0229885057471271E-2</v>
      </c>
      <c r="AP274" s="242">
        <f t="shared" si="1112"/>
        <v>-8.9820359281437168E-2</v>
      </c>
      <c r="AQ274" s="242">
        <f t="shared" si="1112"/>
        <v>0.43421052631578938</v>
      </c>
      <c r="AR274" s="309"/>
      <c r="AS274" s="242">
        <f t="shared" si="1113"/>
        <v>-0.34403669724770647</v>
      </c>
      <c r="AT274" s="242">
        <f t="shared" si="1114"/>
        <v>0.38461538461538458</v>
      </c>
      <c r="AU274" s="242">
        <f t="shared" si="1114"/>
        <v>-9.5959595959595911E-2</v>
      </c>
      <c r="AV274" s="242">
        <f t="shared" si="1114"/>
        <v>-5.027932960893855E-2</v>
      </c>
      <c r="AW274" s="309"/>
      <c r="AX274" s="242">
        <f t="shared" si="1115"/>
        <v>-0.57058823529411762</v>
      </c>
      <c r="AY274" s="242">
        <f t="shared" si="1116"/>
        <v>0.72602739726027399</v>
      </c>
      <c r="AZ274" s="242">
        <f t="shared" si="1116"/>
        <v>0.27777777777777768</v>
      </c>
      <c r="BA274" s="242">
        <f t="shared" si="1116"/>
        <v>-0.26708074534161486</v>
      </c>
      <c r="BB274" s="309"/>
      <c r="BC274" s="242">
        <f t="shared" si="1117"/>
        <v>0.32203389830508478</v>
      </c>
      <c r="BD274" s="242">
        <f t="shared" si="1118"/>
        <v>-0.12179487179487181</v>
      </c>
      <c r="BE274" s="242">
        <f t="shared" si="1118"/>
        <v>0.40875912408759119</v>
      </c>
      <c r="BF274" s="242">
        <f t="shared" si="1118"/>
        <v>0.20725388601036276</v>
      </c>
      <c r="BG274" s="309"/>
      <c r="BH274" s="242">
        <f>IF(ISERROR(BH170/BF170-1),"",BH170/BF170-1)</f>
        <v>-0.27896995708154504</v>
      </c>
      <c r="BI274" s="242">
        <f t="shared" si="1119"/>
        <v>-0.1071428571428571</v>
      </c>
      <c r="BJ274" s="242">
        <f t="shared" si="1119"/>
        <v>0.26</v>
      </c>
      <c r="BK274" s="242">
        <f t="shared" si="1119"/>
        <v>1.0582010582010692E-2</v>
      </c>
      <c r="BL274" s="136"/>
      <c r="BM274" s="242">
        <f>IF(ISERROR(BM170/BK170-1),"",BM170/BK170-1)</f>
        <v>-0.12565445026178013</v>
      </c>
      <c r="BN274" s="242">
        <f t="shared" si="1120"/>
        <v>-9.5808383233532912E-2</v>
      </c>
      <c r="BO274" s="242">
        <f t="shared" si="1120"/>
        <v>0.6225165562913908</v>
      </c>
      <c r="BP274" s="242">
        <f t="shared" si="1120"/>
        <v>-0.33469387755102042</v>
      </c>
      <c r="BQ274" s="136"/>
      <c r="BR274" s="242">
        <f>IF(ISERROR(BR170/BP170-1),"",BR170/BP170-1)</f>
        <v>-9.2024539877300637E-2</v>
      </c>
      <c r="BS274" s="242">
        <f t="shared" si="1121"/>
        <v>3.3783783783783772E-2</v>
      </c>
      <c r="BT274" s="242">
        <f t="shared" si="1121"/>
        <v>-0.77124183006535951</v>
      </c>
      <c r="BU274" s="242">
        <f t="shared" si="1121"/>
        <v>3.4857142857142858</v>
      </c>
      <c r="BV274" s="136"/>
      <c r="BW274" s="242">
        <f>IF(ISERROR(BW170/BU170-1),"",BW170/BU170-1)</f>
        <v>-0.37579617834394907</v>
      </c>
      <c r="BX274" s="242">
        <f>IF(ISERROR(BX170/BW170-1),"",BX170/BW170-1)</f>
        <v>0.55102040816326525</v>
      </c>
      <c r="BY274" s="242"/>
      <c r="BZ274" s="242"/>
      <c r="CA274" s="136"/>
      <c r="CB274" s="242" t="str">
        <f>IF(ISERROR(CB170/BZ170-1),"",CB170/BZ170-1)</f>
        <v/>
      </c>
      <c r="CC274" s="242" t="str">
        <f t="shared" si="1122"/>
        <v/>
      </c>
      <c r="CD274" s="242" t="str">
        <f t="shared" si="1122"/>
        <v/>
      </c>
      <c r="CE274" s="242" t="str">
        <f t="shared" si="1122"/>
        <v/>
      </c>
      <c r="CF274" s="136"/>
      <c r="CG274" s="242" t="str">
        <f>IF(ISERROR(CG170/CE170-1),"",CG170/CE170-1)</f>
        <v/>
      </c>
      <c r="CH274" s="242" t="str">
        <f t="shared" si="1123"/>
        <v/>
      </c>
      <c r="CI274" s="242" t="str">
        <f t="shared" si="1123"/>
        <v/>
      </c>
      <c r="CJ274" s="242" t="str">
        <f t="shared" si="1123"/>
        <v/>
      </c>
      <c r="CK274" s="136"/>
      <c r="CL274" s="242" t="str">
        <f>IF(ISERROR(CL170/CJ170-1),"",CL170/CJ170-1)</f>
        <v/>
      </c>
      <c r="CM274" s="242" t="str">
        <f t="shared" si="1124"/>
        <v/>
      </c>
      <c r="CN274" s="242" t="str">
        <f t="shared" si="1124"/>
        <v/>
      </c>
      <c r="CO274" s="242" t="str">
        <f t="shared" si="1124"/>
        <v/>
      </c>
      <c r="CP274" s="136"/>
      <c r="CQ274" s="242" t="str">
        <f>IF(ISERROR(CQ170/CO170-1),"",CQ170/CO170-1)</f>
        <v/>
      </c>
      <c r="CR274" s="242" t="str">
        <f t="shared" si="1125"/>
        <v/>
      </c>
      <c r="CS274" s="242" t="str">
        <f t="shared" si="1126"/>
        <v/>
      </c>
      <c r="CT274" s="242" t="str">
        <f t="shared" si="1127"/>
        <v/>
      </c>
      <c r="CU274" s="136"/>
      <c r="CV274" s="242" t="str">
        <f>IF(ISERROR(CV170/CT170-1),"",CV170/CT170-1)</f>
        <v/>
      </c>
      <c r="CW274" s="242" t="str">
        <f t="shared" si="1128"/>
        <v/>
      </c>
      <c r="CX274" s="242" t="str">
        <f t="shared" si="1129"/>
        <v/>
      </c>
      <c r="CY274" s="242" t="str">
        <f t="shared" si="1130"/>
        <v/>
      </c>
      <c r="CZ274" s="136"/>
      <c r="DA274" s="242" t="str">
        <f>IF(ISERROR(DA170/CY170-1),"",DA170/CY170-1)</f>
        <v/>
      </c>
      <c r="DB274" s="242" t="str">
        <f t="shared" si="1131"/>
        <v/>
      </c>
      <c r="DC274" s="242" t="str">
        <f t="shared" si="1132"/>
        <v/>
      </c>
      <c r="DD274" s="242" t="str">
        <f t="shared" si="1133"/>
        <v/>
      </c>
      <c r="DE274" s="136"/>
      <c r="DF274" s="242" t="str">
        <f>IF(ISERROR(DF170/DD170-1),"",DF170/DD170-1)</f>
        <v/>
      </c>
      <c r="DG274" s="242" t="str">
        <f t="shared" si="1134"/>
        <v/>
      </c>
      <c r="DH274" s="242" t="str">
        <f t="shared" si="1135"/>
        <v/>
      </c>
      <c r="DI274" s="242" t="str">
        <f t="shared" si="1136"/>
        <v/>
      </c>
      <c r="DJ274" s="136"/>
      <c r="DK274" s="242" t="str">
        <f>IF(ISERROR(DK170/DI170-1),"",DK170/DI170-1)</f>
        <v/>
      </c>
      <c r="DL274" s="242" t="str">
        <f t="shared" si="1137"/>
        <v/>
      </c>
      <c r="DM274" s="242" t="str">
        <f t="shared" si="1138"/>
        <v/>
      </c>
      <c r="DN274" s="242" t="str">
        <f t="shared" si="1139"/>
        <v/>
      </c>
      <c r="DO274" s="136"/>
      <c r="DP274" s="242" t="str">
        <f>IF(ISERROR(DP170/DN170-1),"",DP170/DN170-1)</f>
        <v/>
      </c>
      <c r="DQ274" s="242" t="str">
        <f t="shared" si="1140"/>
        <v/>
      </c>
      <c r="DR274" s="242" t="str">
        <f t="shared" si="1141"/>
        <v/>
      </c>
      <c r="DS274" s="242" t="str">
        <f t="shared" si="1142"/>
        <v/>
      </c>
      <c r="DT274" s="136"/>
      <c r="DU274" s="242" t="str">
        <f>IF(ISERROR(DU170/DS170-1),"",DU170/DS170-1)</f>
        <v/>
      </c>
      <c r="DV274" s="242" t="str">
        <f t="shared" si="1143"/>
        <v/>
      </c>
      <c r="DW274" s="242" t="str">
        <f t="shared" si="1144"/>
        <v/>
      </c>
      <c r="DX274" s="242" t="str">
        <f t="shared" si="1145"/>
        <v/>
      </c>
      <c r="DY274" s="136"/>
      <c r="DZ274" s="136"/>
      <c r="EA274" s="136"/>
      <c r="EB274" s="136"/>
    </row>
    <row r="275" spans="2:132" s="241" customFormat="1" ht="12" hidden="1" customHeight="1" outlineLevel="2">
      <c r="B275" s="335" t="s">
        <v>108</v>
      </c>
      <c r="C275" s="301"/>
      <c r="D275" s="301"/>
      <c r="E275" s="301"/>
      <c r="F275" s="301"/>
      <c r="G275" s="301"/>
      <c r="H275" s="301"/>
      <c r="I275" s="301"/>
      <c r="J275" s="302"/>
      <c r="K275" s="302" t="str">
        <f t="shared" si="1101"/>
        <v/>
      </c>
      <c r="L275" s="302" t="str">
        <f t="shared" si="1101"/>
        <v/>
      </c>
      <c r="M275" s="302" t="str">
        <f t="shared" si="1101"/>
        <v/>
      </c>
      <c r="N275" s="301"/>
      <c r="O275" s="302" t="str">
        <f t="shared" si="1102"/>
        <v/>
      </c>
      <c r="P275" s="302">
        <f t="shared" si="1103"/>
        <v>4.705882352941182E-2</v>
      </c>
      <c r="Q275" s="302">
        <f t="shared" si="1103"/>
        <v>7.8651685393258397E-2</v>
      </c>
      <c r="R275" s="302">
        <f t="shared" si="1103"/>
        <v>0.171875</v>
      </c>
      <c r="S275" s="301"/>
      <c r="T275" s="302">
        <f>IF(ISERROR(T171/R171-1),"",T171/R171-1)</f>
        <v>-0.15555555555555556</v>
      </c>
      <c r="U275" s="302">
        <f t="shared" si="1104"/>
        <v>7.8947368421052655E-2</v>
      </c>
      <c r="V275" s="302">
        <f t="shared" si="1104"/>
        <v>-0.12682926829268293</v>
      </c>
      <c r="W275" s="302">
        <f t="shared" si="1104"/>
        <v>0.46368715083798873</v>
      </c>
      <c r="X275" s="301"/>
      <c r="Y275" s="302">
        <f t="shared" si="1105"/>
        <v>-0.23664122137404575</v>
      </c>
      <c r="Z275" s="302">
        <f t="shared" si="1106"/>
        <v>-4.0000000000000036E-2</v>
      </c>
      <c r="AA275" s="302">
        <f t="shared" si="1106"/>
        <v>0.26041666666666674</v>
      </c>
      <c r="AB275" s="302">
        <f t="shared" si="1106"/>
        <v>0.18181818181818188</v>
      </c>
      <c r="AC275" s="301"/>
      <c r="AD275" s="302">
        <f t="shared" si="1107"/>
        <v>-0.26923076923076927</v>
      </c>
      <c r="AE275" s="302">
        <f t="shared" si="1108"/>
        <v>0.16267942583732053</v>
      </c>
      <c r="AF275" s="302">
        <f t="shared" si="1108"/>
        <v>-0.2592592592592593</v>
      </c>
      <c r="AG275" s="302">
        <f t="shared" si="1108"/>
        <v>0.6166666666666667</v>
      </c>
      <c r="AH275" s="301"/>
      <c r="AI275" s="302">
        <f t="shared" si="1109"/>
        <v>-0.24398625429553267</v>
      </c>
      <c r="AJ275" s="302">
        <f t="shared" si="1110"/>
        <v>0.11363636363636354</v>
      </c>
      <c r="AK275" s="302">
        <f t="shared" si="1110"/>
        <v>-0.4</v>
      </c>
      <c r="AL275" s="302">
        <f t="shared" si="1110"/>
        <v>1.2789115646258504</v>
      </c>
      <c r="AM275" s="301"/>
      <c r="AN275" s="302">
        <f t="shared" si="1111"/>
        <v>-0.33432835820895523</v>
      </c>
      <c r="AO275" s="302">
        <f t="shared" si="1112"/>
        <v>-0.15695067264573992</v>
      </c>
      <c r="AP275" s="302">
        <f t="shared" si="1112"/>
        <v>0.17021276595744683</v>
      </c>
      <c r="AQ275" s="302">
        <f t="shared" si="1112"/>
        <v>0.25</v>
      </c>
      <c r="AR275" s="309"/>
      <c r="AS275" s="302">
        <f t="shared" si="1113"/>
        <v>-0.42181818181818187</v>
      </c>
      <c r="AT275" s="302">
        <f t="shared" si="1114"/>
        <v>0.34591194968553451</v>
      </c>
      <c r="AU275" s="302">
        <f t="shared" si="1114"/>
        <v>0.1588785046728971</v>
      </c>
      <c r="AV275" s="302">
        <f t="shared" si="1114"/>
        <v>0.29435483870967749</v>
      </c>
      <c r="AW275" s="309"/>
      <c r="AX275" s="302">
        <f t="shared" si="1115"/>
        <v>-0.27725856697819318</v>
      </c>
      <c r="AY275" s="302">
        <f t="shared" si="1116"/>
        <v>0.11637931034482762</v>
      </c>
      <c r="AZ275" s="302">
        <f t="shared" si="1116"/>
        <v>-0.14671814671814676</v>
      </c>
      <c r="BA275" s="302">
        <f t="shared" si="1116"/>
        <v>0.34389140271493224</v>
      </c>
      <c r="BB275" s="309"/>
      <c r="BC275" s="302">
        <f t="shared" si="1117"/>
        <v>-0.17171717171717171</v>
      </c>
      <c r="BD275" s="302">
        <f t="shared" si="1118"/>
        <v>8.1300813008130079E-2</v>
      </c>
      <c r="BE275" s="302">
        <f t="shared" si="1118"/>
        <v>-2.6315789473684181E-2</v>
      </c>
      <c r="BF275" s="302">
        <f t="shared" si="1118"/>
        <v>8.1081081081081141E-2</v>
      </c>
      <c r="BG275" s="309"/>
      <c r="BH275" s="302">
        <f>IF(ISERROR(BH171/BF171-1),"",BH171/BF171-1)</f>
        <v>-7.1428571428571175E-3</v>
      </c>
      <c r="BI275" s="302">
        <f t="shared" si="1119"/>
        <v>-3.9568345323740983E-2</v>
      </c>
      <c r="BJ275" s="302">
        <f t="shared" si="1119"/>
        <v>-0.14981273408239704</v>
      </c>
      <c r="BK275" s="302">
        <f t="shared" si="1119"/>
        <v>0.58149779735682827</v>
      </c>
      <c r="BL275" s="136"/>
      <c r="BM275" s="302">
        <f>IF(ISERROR(BM171/BK171-1),"",BM171/BK171-1)</f>
        <v>-0.12256267409470756</v>
      </c>
      <c r="BN275" s="302">
        <f t="shared" si="1120"/>
        <v>-0.13650793650793647</v>
      </c>
      <c r="BO275" s="302">
        <f t="shared" si="1120"/>
        <v>3.3088235294117752E-2</v>
      </c>
      <c r="BP275" s="302">
        <f t="shared" si="1120"/>
        <v>0.28825622775800719</v>
      </c>
      <c r="BQ275" s="136"/>
      <c r="BR275" s="302">
        <f>IF(ISERROR(BR171/BP171-1),"",BR171/BP171-1)</f>
        <v>-6.0773480662983381E-2</v>
      </c>
      <c r="BS275" s="302">
        <f t="shared" si="1121"/>
        <v>-0.22058823529411764</v>
      </c>
      <c r="BT275" s="302">
        <f t="shared" si="1121"/>
        <v>0.18867924528301883</v>
      </c>
      <c r="BU275" s="302">
        <f t="shared" si="1121"/>
        <v>0.15555555555555545</v>
      </c>
      <c r="BV275" s="136"/>
      <c r="BW275" s="302">
        <f>IF(ISERROR(BW171/BU171-1),"",BW171/BU171-1)</f>
        <v>-0.12637362637362637</v>
      </c>
      <c r="BX275" s="302">
        <f>IF(ISERROR(BX171/BW171-1),"",BX171/BW171-1)</f>
        <v>0.11949685534591192</v>
      </c>
      <c r="BY275" s="302"/>
      <c r="BZ275" s="302"/>
      <c r="CA275" s="136"/>
      <c r="CB275" s="302" t="str">
        <f>IF(ISERROR(CB171/BZ171-1),"",CB171/BZ171-1)</f>
        <v/>
      </c>
      <c r="CC275" s="302" t="str">
        <f t="shared" si="1122"/>
        <v/>
      </c>
      <c r="CD275" s="302" t="str">
        <f t="shared" si="1122"/>
        <v/>
      </c>
      <c r="CE275" s="302" t="str">
        <f t="shared" si="1122"/>
        <v/>
      </c>
      <c r="CF275" s="136"/>
      <c r="CG275" s="302" t="str">
        <f>IF(ISERROR(CG171/CE171-1),"",CG171/CE171-1)</f>
        <v/>
      </c>
      <c r="CH275" s="302" t="str">
        <f t="shared" si="1123"/>
        <v/>
      </c>
      <c r="CI275" s="302" t="str">
        <f t="shared" si="1123"/>
        <v/>
      </c>
      <c r="CJ275" s="302" t="str">
        <f t="shared" si="1123"/>
        <v/>
      </c>
      <c r="CK275" s="136"/>
      <c r="CL275" s="302" t="str">
        <f>IF(ISERROR(CL171/CJ171-1),"",CL171/CJ171-1)</f>
        <v/>
      </c>
      <c r="CM275" s="302" t="str">
        <f t="shared" si="1124"/>
        <v/>
      </c>
      <c r="CN275" s="302" t="str">
        <f t="shared" si="1124"/>
        <v/>
      </c>
      <c r="CO275" s="302" t="str">
        <f t="shared" si="1124"/>
        <v/>
      </c>
      <c r="CP275" s="136"/>
      <c r="CQ275" s="302" t="str">
        <f>IF(ISERROR(CQ171/CO171-1),"",CQ171/CO171-1)</f>
        <v/>
      </c>
      <c r="CR275" s="302" t="str">
        <f t="shared" si="1125"/>
        <v/>
      </c>
      <c r="CS275" s="302" t="str">
        <f t="shared" si="1126"/>
        <v/>
      </c>
      <c r="CT275" s="302" t="str">
        <f t="shared" si="1127"/>
        <v/>
      </c>
      <c r="CU275" s="136"/>
      <c r="CV275" s="302" t="str">
        <f>IF(ISERROR(CV171/CT171-1),"",CV171/CT171-1)</f>
        <v/>
      </c>
      <c r="CW275" s="302" t="str">
        <f t="shared" si="1128"/>
        <v/>
      </c>
      <c r="CX275" s="302" t="str">
        <f t="shared" si="1129"/>
        <v/>
      </c>
      <c r="CY275" s="302" t="str">
        <f t="shared" si="1130"/>
        <v/>
      </c>
      <c r="CZ275" s="136"/>
      <c r="DA275" s="302" t="str">
        <f>IF(ISERROR(DA171/CY171-1),"",DA171/CY171-1)</f>
        <v/>
      </c>
      <c r="DB275" s="302" t="str">
        <f t="shared" si="1131"/>
        <v/>
      </c>
      <c r="DC275" s="302" t="str">
        <f t="shared" si="1132"/>
        <v/>
      </c>
      <c r="DD275" s="302" t="str">
        <f t="shared" si="1133"/>
        <v/>
      </c>
      <c r="DE275" s="136"/>
      <c r="DF275" s="302" t="str">
        <f>IF(ISERROR(DF171/DD171-1),"",DF171/DD171-1)</f>
        <v/>
      </c>
      <c r="DG275" s="302" t="str">
        <f t="shared" si="1134"/>
        <v/>
      </c>
      <c r="DH275" s="302" t="str">
        <f t="shared" si="1135"/>
        <v/>
      </c>
      <c r="DI275" s="302" t="str">
        <f t="shared" si="1136"/>
        <v/>
      </c>
      <c r="DJ275" s="136"/>
      <c r="DK275" s="302" t="str">
        <f>IF(ISERROR(DK171/DI171-1),"",DK171/DI171-1)</f>
        <v/>
      </c>
      <c r="DL275" s="302" t="str">
        <f t="shared" si="1137"/>
        <v/>
      </c>
      <c r="DM275" s="302" t="str">
        <f t="shared" si="1138"/>
        <v/>
      </c>
      <c r="DN275" s="302" t="str">
        <f t="shared" si="1139"/>
        <v/>
      </c>
      <c r="DO275" s="136"/>
      <c r="DP275" s="302" t="str">
        <f>IF(ISERROR(DP171/DN171-1),"",DP171/DN171-1)</f>
        <v/>
      </c>
      <c r="DQ275" s="302" t="str">
        <f t="shared" si="1140"/>
        <v/>
      </c>
      <c r="DR275" s="302" t="str">
        <f t="shared" si="1141"/>
        <v/>
      </c>
      <c r="DS275" s="302" t="str">
        <f t="shared" si="1142"/>
        <v/>
      </c>
      <c r="DT275" s="136"/>
      <c r="DU275" s="302" t="str">
        <f>IF(ISERROR(DU171/DS171-1),"",DU171/DS171-1)</f>
        <v/>
      </c>
      <c r="DV275" s="302" t="str">
        <f t="shared" si="1143"/>
        <v/>
      </c>
      <c r="DW275" s="302" t="str">
        <f t="shared" si="1144"/>
        <v/>
      </c>
      <c r="DX275" s="302" t="str">
        <f t="shared" si="1145"/>
        <v/>
      </c>
      <c r="DY275" s="136"/>
      <c r="DZ275" s="136"/>
      <c r="EA275" s="136"/>
      <c r="EB275" s="136"/>
    </row>
    <row r="276" spans="2:132" s="241" customFormat="1" ht="12" hidden="1" customHeight="1" outlineLevel="2">
      <c r="B276" s="330" t="s">
        <v>130</v>
      </c>
      <c r="C276" s="325"/>
      <c r="D276" s="325"/>
      <c r="E276" s="325"/>
      <c r="F276" s="325"/>
      <c r="G276" s="325"/>
      <c r="H276" s="325"/>
      <c r="I276" s="325"/>
      <c r="J276" s="326"/>
      <c r="K276" s="326">
        <f t="shared" si="1101"/>
        <v>-0.19327731092436973</v>
      </c>
      <c r="L276" s="326">
        <f t="shared" si="1101"/>
        <v>0.26041666666666674</v>
      </c>
      <c r="M276" s="326">
        <f t="shared" si="1101"/>
        <v>-0.39669421487603307</v>
      </c>
      <c r="N276" s="325"/>
      <c r="O276" s="326">
        <f t="shared" si="1102"/>
        <v>0.26712328767123283</v>
      </c>
      <c r="P276" s="326">
        <f t="shared" si="1103"/>
        <v>0.19189189189189193</v>
      </c>
      <c r="Q276" s="326">
        <f t="shared" si="1103"/>
        <v>-0.12698412698412698</v>
      </c>
      <c r="R276" s="326">
        <f t="shared" si="1103"/>
        <v>0.32727272727272738</v>
      </c>
      <c r="S276" s="325"/>
      <c r="T276" s="326"/>
      <c r="U276" s="326" t="str">
        <f t="shared" si="1104"/>
        <v/>
      </c>
      <c r="V276" s="326" t="str">
        <f t="shared" si="1104"/>
        <v/>
      </c>
      <c r="W276" s="326" t="str">
        <f t="shared" si="1104"/>
        <v/>
      </c>
      <c r="X276" s="325"/>
      <c r="Y276" s="326" t="str">
        <f t="shared" si="1105"/>
        <v/>
      </c>
      <c r="Z276" s="326" t="str">
        <f t="shared" si="1106"/>
        <v/>
      </c>
      <c r="AA276" s="326" t="str">
        <f t="shared" si="1106"/>
        <v/>
      </c>
      <c r="AB276" s="326" t="str">
        <f t="shared" si="1106"/>
        <v/>
      </c>
      <c r="AC276" s="325"/>
      <c r="AD276" s="326" t="str">
        <f t="shared" si="1107"/>
        <v/>
      </c>
      <c r="AE276" s="326" t="str">
        <f t="shared" si="1108"/>
        <v/>
      </c>
      <c r="AF276" s="326" t="str">
        <f t="shared" si="1108"/>
        <v/>
      </c>
      <c r="AG276" s="326" t="str">
        <f t="shared" si="1108"/>
        <v/>
      </c>
      <c r="AH276" s="325"/>
      <c r="AI276" s="326" t="str">
        <f t="shared" si="1109"/>
        <v/>
      </c>
      <c r="AJ276" s="326" t="str">
        <f t="shared" si="1110"/>
        <v/>
      </c>
      <c r="AK276" s="326" t="str">
        <f t="shared" si="1110"/>
        <v/>
      </c>
      <c r="AL276" s="326" t="str">
        <f t="shared" si="1110"/>
        <v/>
      </c>
      <c r="AM276" s="325"/>
      <c r="AN276" s="326" t="str">
        <f t="shared" si="1111"/>
        <v/>
      </c>
      <c r="AO276" s="326" t="str">
        <f t="shared" si="1112"/>
        <v/>
      </c>
      <c r="AP276" s="326" t="str">
        <f t="shared" si="1112"/>
        <v/>
      </c>
      <c r="AQ276" s="326" t="str">
        <f t="shared" si="1112"/>
        <v/>
      </c>
      <c r="AR276" s="342"/>
      <c r="AS276" s="326" t="str">
        <f t="shared" si="1113"/>
        <v/>
      </c>
      <c r="AT276" s="326" t="str">
        <f t="shared" si="1114"/>
        <v/>
      </c>
      <c r="AU276" s="326" t="str">
        <f t="shared" si="1114"/>
        <v/>
      </c>
      <c r="AV276" s="326" t="str">
        <f t="shared" si="1114"/>
        <v/>
      </c>
      <c r="AW276" s="342"/>
      <c r="AX276" s="326" t="str">
        <f t="shared" si="1115"/>
        <v/>
      </c>
      <c r="AY276" s="326" t="str">
        <f t="shared" si="1116"/>
        <v/>
      </c>
      <c r="AZ276" s="326" t="str">
        <f t="shared" si="1116"/>
        <v/>
      </c>
      <c r="BA276" s="326" t="str">
        <f t="shared" si="1116"/>
        <v/>
      </c>
      <c r="BB276" s="342"/>
      <c r="BC276" s="326" t="str">
        <f t="shared" si="1117"/>
        <v/>
      </c>
      <c r="BD276" s="326"/>
      <c r="BE276" s="326"/>
      <c r="BF276" s="326"/>
      <c r="BG276" s="342"/>
      <c r="BH276" s="609"/>
      <c r="BI276" s="609"/>
      <c r="BJ276" s="609"/>
      <c r="BK276" s="609"/>
      <c r="BL276" s="574"/>
      <c r="BM276" s="609"/>
      <c r="BN276" s="609"/>
      <c r="BO276" s="609"/>
      <c r="BP276" s="609"/>
      <c r="BQ276" s="574"/>
      <c r="BR276" s="609"/>
      <c r="BS276" s="609"/>
      <c r="BT276" s="609"/>
      <c r="BU276" s="609"/>
      <c r="BV276" s="574"/>
      <c r="BW276" s="609"/>
      <c r="BX276" s="609"/>
      <c r="BY276" s="609"/>
      <c r="BZ276" s="609"/>
      <c r="CA276" s="574"/>
      <c r="CB276" s="609"/>
      <c r="CC276" s="609"/>
      <c r="CD276" s="609"/>
      <c r="CE276" s="609"/>
      <c r="CF276" s="574"/>
      <c r="CG276" s="609"/>
      <c r="CH276" s="609"/>
      <c r="CI276" s="609"/>
      <c r="CJ276" s="609"/>
      <c r="CK276" s="574"/>
      <c r="CL276" s="609"/>
      <c r="CM276" s="609"/>
      <c r="CN276" s="609"/>
      <c r="CO276" s="609"/>
      <c r="CP276" s="574"/>
      <c r="CQ276" s="609"/>
      <c r="CR276" s="609"/>
      <c r="CS276" s="609"/>
      <c r="CT276" s="609"/>
      <c r="CU276" s="574"/>
      <c r="CV276" s="609"/>
      <c r="CW276" s="609"/>
      <c r="CX276" s="609"/>
      <c r="CY276" s="609"/>
      <c r="CZ276" s="574"/>
      <c r="DA276" s="609"/>
      <c r="DB276" s="609"/>
      <c r="DC276" s="609"/>
      <c r="DD276" s="609"/>
      <c r="DE276" s="574"/>
      <c r="DF276" s="609"/>
      <c r="DG276" s="609"/>
      <c r="DH276" s="609"/>
      <c r="DI276" s="609"/>
      <c r="DJ276" s="574"/>
      <c r="DK276" s="609"/>
      <c r="DL276" s="609"/>
      <c r="DM276" s="609"/>
      <c r="DN276" s="609"/>
      <c r="DO276" s="574"/>
      <c r="DP276" s="609"/>
      <c r="DQ276" s="609"/>
      <c r="DR276" s="609"/>
      <c r="DS276" s="609"/>
      <c r="DT276" s="574"/>
      <c r="DU276" s="609"/>
      <c r="DV276" s="609"/>
      <c r="DW276" s="609"/>
      <c r="DX276" s="609"/>
      <c r="DY276" s="574"/>
      <c r="DZ276" s="574"/>
      <c r="EA276" s="574"/>
      <c r="EB276" s="574"/>
    </row>
    <row r="277" spans="2:132" s="241" customFormat="1" ht="12" hidden="1" customHeight="1" outlineLevel="2">
      <c r="B277" s="335" t="s">
        <v>131</v>
      </c>
      <c r="C277" s="301"/>
      <c r="D277" s="301"/>
      <c r="E277" s="301"/>
      <c r="F277" s="301"/>
      <c r="G277" s="301"/>
      <c r="H277" s="301"/>
      <c r="I277" s="301"/>
      <c r="J277" s="302"/>
      <c r="K277" s="302">
        <f t="shared" si="1101"/>
        <v>0.24309392265193375</v>
      </c>
      <c r="L277" s="302">
        <f t="shared" si="1101"/>
        <v>0.34666666666666668</v>
      </c>
      <c r="M277" s="302">
        <f t="shared" si="1101"/>
        <v>-6.2706270627062688E-2</v>
      </c>
      <c r="N277" s="301"/>
      <c r="O277" s="302">
        <f t="shared" si="1102"/>
        <v>-0.25</v>
      </c>
      <c r="P277" s="302">
        <f t="shared" si="1103"/>
        <v>-0.215962441314554</v>
      </c>
      <c r="Q277" s="302">
        <f t="shared" si="1103"/>
        <v>-0.44311377245508987</v>
      </c>
      <c r="R277" s="302">
        <f t="shared" si="1103"/>
        <v>0.77419354838709675</v>
      </c>
      <c r="S277" s="301"/>
      <c r="T277" s="302"/>
      <c r="U277" s="302" t="str">
        <f t="shared" si="1104"/>
        <v/>
      </c>
      <c r="V277" s="302" t="str">
        <f t="shared" si="1104"/>
        <v/>
      </c>
      <c r="W277" s="302" t="str">
        <f t="shared" si="1104"/>
        <v/>
      </c>
      <c r="X277" s="301"/>
      <c r="Y277" s="302" t="str">
        <f t="shared" si="1105"/>
        <v/>
      </c>
      <c r="Z277" s="302" t="str">
        <f t="shared" si="1106"/>
        <v/>
      </c>
      <c r="AA277" s="302" t="str">
        <f t="shared" si="1106"/>
        <v/>
      </c>
      <c r="AB277" s="302" t="str">
        <f t="shared" si="1106"/>
        <v/>
      </c>
      <c r="AC277" s="301"/>
      <c r="AD277" s="302" t="str">
        <f t="shared" si="1107"/>
        <v/>
      </c>
      <c r="AE277" s="302" t="str">
        <f t="shared" si="1108"/>
        <v/>
      </c>
      <c r="AF277" s="302" t="str">
        <f t="shared" si="1108"/>
        <v/>
      </c>
      <c r="AG277" s="302" t="str">
        <f t="shared" si="1108"/>
        <v/>
      </c>
      <c r="AH277" s="301"/>
      <c r="AI277" s="302" t="str">
        <f t="shared" si="1109"/>
        <v/>
      </c>
      <c r="AJ277" s="302" t="str">
        <f t="shared" si="1110"/>
        <v/>
      </c>
      <c r="AK277" s="302" t="str">
        <f t="shared" si="1110"/>
        <v/>
      </c>
      <c r="AL277" s="302" t="str">
        <f t="shared" si="1110"/>
        <v/>
      </c>
      <c r="AM277" s="301"/>
      <c r="AN277" s="302" t="str">
        <f t="shared" si="1111"/>
        <v/>
      </c>
      <c r="AO277" s="302" t="str">
        <f t="shared" si="1112"/>
        <v/>
      </c>
      <c r="AP277" s="302" t="str">
        <f t="shared" si="1112"/>
        <v/>
      </c>
      <c r="AQ277" s="302" t="str">
        <f t="shared" si="1112"/>
        <v/>
      </c>
      <c r="AR277" s="309"/>
      <c r="AS277" s="302" t="str">
        <f t="shared" si="1113"/>
        <v/>
      </c>
      <c r="AT277" s="302" t="str">
        <f t="shared" si="1114"/>
        <v/>
      </c>
      <c r="AU277" s="302" t="str">
        <f t="shared" si="1114"/>
        <v/>
      </c>
      <c r="AV277" s="302" t="str">
        <f t="shared" si="1114"/>
        <v/>
      </c>
      <c r="AW277" s="309"/>
      <c r="AX277" s="302" t="str">
        <f t="shared" si="1115"/>
        <v/>
      </c>
      <c r="AY277" s="302" t="str">
        <f t="shared" si="1116"/>
        <v/>
      </c>
      <c r="AZ277" s="302" t="str">
        <f t="shared" si="1116"/>
        <v/>
      </c>
      <c r="BA277" s="302" t="str">
        <f t="shared" si="1116"/>
        <v/>
      </c>
      <c r="BB277" s="309"/>
      <c r="BC277" s="302" t="str">
        <f t="shared" si="1117"/>
        <v/>
      </c>
      <c r="BD277" s="302"/>
      <c r="BE277" s="302"/>
      <c r="BF277" s="302"/>
      <c r="BG277" s="309"/>
      <c r="BH277" s="469"/>
      <c r="BI277" s="469"/>
      <c r="BJ277" s="469"/>
      <c r="BK277" s="469"/>
      <c r="BL277" s="136"/>
      <c r="BM277" s="469"/>
      <c r="BN277" s="469"/>
      <c r="BO277" s="469"/>
      <c r="BP277" s="469"/>
      <c r="BQ277" s="136"/>
      <c r="BR277" s="469"/>
      <c r="BS277" s="469"/>
      <c r="BT277" s="469"/>
      <c r="BU277" s="469"/>
      <c r="BV277" s="136"/>
      <c r="BW277" s="469"/>
      <c r="BX277" s="469"/>
      <c r="BY277" s="469"/>
      <c r="BZ277" s="469"/>
      <c r="CA277" s="136"/>
      <c r="CB277" s="469"/>
      <c r="CC277" s="469"/>
      <c r="CD277" s="469"/>
      <c r="CE277" s="469"/>
      <c r="CF277" s="136"/>
      <c r="CG277" s="469"/>
      <c r="CH277" s="469"/>
      <c r="CI277" s="469"/>
      <c r="CJ277" s="469"/>
      <c r="CK277" s="136"/>
      <c r="CL277" s="469"/>
      <c r="CM277" s="469"/>
      <c r="CN277" s="469"/>
      <c r="CO277" s="469"/>
      <c r="CP277" s="136"/>
      <c r="CQ277" s="469"/>
      <c r="CR277" s="469"/>
      <c r="CS277" s="469"/>
      <c r="CT277" s="469"/>
      <c r="CU277" s="136"/>
      <c r="CV277" s="469"/>
      <c r="CW277" s="469"/>
      <c r="CX277" s="469"/>
      <c r="CY277" s="469"/>
      <c r="CZ277" s="136"/>
      <c r="DA277" s="469"/>
      <c r="DB277" s="469"/>
      <c r="DC277" s="469"/>
      <c r="DD277" s="469"/>
      <c r="DE277" s="136"/>
      <c r="DF277" s="469"/>
      <c r="DG277" s="469"/>
      <c r="DH277" s="469"/>
      <c r="DI277" s="469"/>
      <c r="DJ277" s="136"/>
      <c r="DK277" s="469"/>
      <c r="DL277" s="469"/>
      <c r="DM277" s="469"/>
      <c r="DN277" s="469"/>
      <c r="DO277" s="136"/>
      <c r="DP277" s="469"/>
      <c r="DQ277" s="469"/>
      <c r="DR277" s="469"/>
      <c r="DS277" s="469"/>
      <c r="DT277" s="136"/>
      <c r="DU277" s="469"/>
      <c r="DV277" s="469"/>
      <c r="DW277" s="469"/>
      <c r="DX277" s="469"/>
      <c r="DY277" s="136"/>
      <c r="DZ277" s="136"/>
      <c r="EA277" s="136"/>
      <c r="EB277" s="136"/>
    </row>
    <row r="278" spans="2:132" s="241" customFormat="1" ht="12" hidden="1" customHeight="1" outlineLevel="2">
      <c r="B278" s="335" t="s">
        <v>125</v>
      </c>
      <c r="C278" s="301"/>
      <c r="D278" s="301"/>
      <c r="E278" s="301"/>
      <c r="F278" s="301"/>
      <c r="G278" s="301"/>
      <c r="H278" s="301"/>
      <c r="I278" s="301"/>
      <c r="J278" s="302"/>
      <c r="K278" s="302">
        <f t="shared" si="1101"/>
        <v>-4.861111111111116E-2</v>
      </c>
      <c r="L278" s="302">
        <f t="shared" si="1101"/>
        <v>0.32846715328467146</v>
      </c>
      <c r="M278" s="302">
        <f t="shared" si="1101"/>
        <v>-3.8461538461538436E-2</v>
      </c>
      <c r="N278" s="301"/>
      <c r="O278" s="302">
        <f t="shared" si="1102"/>
        <v>-3.4285714285714253E-2</v>
      </c>
      <c r="P278" s="302">
        <f t="shared" si="1103"/>
        <v>5.9171597633136175E-2</v>
      </c>
      <c r="Q278" s="302">
        <f t="shared" si="1103"/>
        <v>7.2625698324022325E-2</v>
      </c>
      <c r="R278" s="302">
        <f t="shared" si="1103"/>
        <v>0.171875</v>
      </c>
      <c r="S278" s="301"/>
      <c r="T278" s="302"/>
      <c r="U278" s="302" t="str">
        <f t="shared" si="1104"/>
        <v/>
      </c>
      <c r="V278" s="302" t="str">
        <f t="shared" si="1104"/>
        <v/>
      </c>
      <c r="W278" s="302" t="str">
        <f t="shared" si="1104"/>
        <v/>
      </c>
      <c r="X278" s="301"/>
      <c r="Y278" s="302" t="str">
        <f t="shared" si="1105"/>
        <v/>
      </c>
      <c r="Z278" s="302" t="str">
        <f t="shared" si="1106"/>
        <v/>
      </c>
      <c r="AA278" s="302" t="str">
        <f t="shared" si="1106"/>
        <v/>
      </c>
      <c r="AB278" s="302" t="str">
        <f t="shared" si="1106"/>
        <v/>
      </c>
      <c r="AC278" s="301"/>
      <c r="AD278" s="302" t="str">
        <f t="shared" si="1107"/>
        <v/>
      </c>
      <c r="AE278" s="302" t="str">
        <f t="shared" si="1108"/>
        <v/>
      </c>
      <c r="AF278" s="302" t="str">
        <f t="shared" si="1108"/>
        <v/>
      </c>
      <c r="AG278" s="302" t="str">
        <f t="shared" si="1108"/>
        <v/>
      </c>
      <c r="AH278" s="301"/>
      <c r="AI278" s="302" t="str">
        <f t="shared" si="1109"/>
        <v/>
      </c>
      <c r="AJ278" s="302" t="str">
        <f t="shared" si="1110"/>
        <v/>
      </c>
      <c r="AK278" s="302" t="str">
        <f t="shared" si="1110"/>
        <v/>
      </c>
      <c r="AL278" s="302" t="str">
        <f t="shared" si="1110"/>
        <v/>
      </c>
      <c r="AM278" s="301"/>
      <c r="AN278" s="302" t="str">
        <f t="shared" si="1111"/>
        <v/>
      </c>
      <c r="AO278" s="302" t="str">
        <f t="shared" si="1112"/>
        <v/>
      </c>
      <c r="AP278" s="302" t="str">
        <f t="shared" si="1112"/>
        <v/>
      </c>
      <c r="AQ278" s="302" t="str">
        <f t="shared" si="1112"/>
        <v/>
      </c>
      <c r="AR278" s="309"/>
      <c r="AS278" s="302" t="str">
        <f t="shared" si="1113"/>
        <v/>
      </c>
      <c r="AT278" s="302" t="str">
        <f t="shared" si="1114"/>
        <v/>
      </c>
      <c r="AU278" s="302" t="str">
        <f t="shared" si="1114"/>
        <v/>
      </c>
      <c r="AV278" s="302" t="str">
        <f t="shared" si="1114"/>
        <v/>
      </c>
      <c r="AW278" s="309"/>
      <c r="AX278" s="302" t="str">
        <f t="shared" si="1115"/>
        <v/>
      </c>
      <c r="AY278" s="302" t="str">
        <f t="shared" si="1116"/>
        <v/>
      </c>
      <c r="AZ278" s="302" t="str">
        <f t="shared" si="1116"/>
        <v/>
      </c>
      <c r="BA278" s="302" t="str">
        <f t="shared" si="1116"/>
        <v/>
      </c>
      <c r="BB278" s="309"/>
      <c r="BC278" s="302" t="str">
        <f t="shared" si="1117"/>
        <v/>
      </c>
      <c r="BD278" s="302"/>
      <c r="BE278" s="302"/>
      <c r="BF278" s="302"/>
      <c r="BG278" s="309"/>
      <c r="BH278" s="469"/>
      <c r="BI278" s="469"/>
      <c r="BJ278" s="469"/>
      <c r="BK278" s="469"/>
      <c r="BL278" s="136"/>
      <c r="BM278" s="469"/>
      <c r="BN278" s="469"/>
      <c r="BO278" s="469"/>
      <c r="BP278" s="469"/>
      <c r="BQ278" s="136"/>
      <c r="BR278" s="469"/>
      <c r="BS278" s="469"/>
      <c r="BT278" s="469"/>
      <c r="BU278" s="469"/>
      <c r="BV278" s="136"/>
      <c r="BW278" s="469"/>
      <c r="BX278" s="469"/>
      <c r="BY278" s="469"/>
      <c r="BZ278" s="469"/>
      <c r="CA278" s="136"/>
      <c r="CB278" s="469"/>
      <c r="CC278" s="469"/>
      <c r="CD278" s="469"/>
      <c r="CE278" s="469"/>
      <c r="CF278" s="136"/>
      <c r="CG278" s="469"/>
      <c r="CH278" s="469"/>
      <c r="CI278" s="469"/>
      <c r="CJ278" s="469"/>
      <c r="CK278" s="136"/>
      <c r="CL278" s="469"/>
      <c r="CM278" s="469"/>
      <c r="CN278" s="469"/>
      <c r="CO278" s="469"/>
      <c r="CP278" s="136"/>
      <c r="CQ278" s="469"/>
      <c r="CR278" s="469"/>
      <c r="CS278" s="469"/>
      <c r="CT278" s="469"/>
      <c r="CU278" s="136"/>
      <c r="CV278" s="469"/>
      <c r="CW278" s="469"/>
      <c r="CX278" s="469"/>
      <c r="CY278" s="469"/>
      <c r="CZ278" s="136"/>
      <c r="DA278" s="469"/>
      <c r="DB278" s="469"/>
      <c r="DC278" s="469"/>
      <c r="DD278" s="469"/>
      <c r="DE278" s="136"/>
      <c r="DF278" s="469"/>
      <c r="DG278" s="469"/>
      <c r="DH278" s="469"/>
      <c r="DI278" s="469"/>
      <c r="DJ278" s="136"/>
      <c r="DK278" s="469"/>
      <c r="DL278" s="469"/>
      <c r="DM278" s="469"/>
      <c r="DN278" s="469"/>
      <c r="DO278" s="136"/>
      <c r="DP278" s="469"/>
      <c r="DQ278" s="469"/>
      <c r="DR278" s="469"/>
      <c r="DS278" s="469"/>
      <c r="DT278" s="136"/>
      <c r="DU278" s="469"/>
      <c r="DV278" s="469"/>
      <c r="DW278" s="469"/>
      <c r="DX278" s="469"/>
      <c r="DY278" s="136"/>
      <c r="DZ278" s="136"/>
      <c r="EA278" s="136"/>
      <c r="EB278" s="136"/>
    </row>
    <row r="279" spans="2:132" s="241" customFormat="1" ht="12" hidden="1" customHeight="1" outlineLevel="2">
      <c r="B279" s="318" t="s">
        <v>132</v>
      </c>
      <c r="C279" s="328"/>
      <c r="D279" s="328"/>
      <c r="E279" s="328"/>
      <c r="F279" s="328"/>
      <c r="G279" s="328"/>
      <c r="H279" s="328"/>
      <c r="I279" s="328"/>
      <c r="J279" s="329"/>
      <c r="K279" s="329">
        <f t="shared" si="1101"/>
        <v>-0.20634920634920639</v>
      </c>
      <c r="L279" s="329">
        <f t="shared" si="1101"/>
        <v>2.06</v>
      </c>
      <c r="M279" s="329">
        <f t="shared" si="1101"/>
        <v>-0.50326797385620914</v>
      </c>
      <c r="N279" s="328"/>
      <c r="O279" s="329">
        <f t="shared" si="1102"/>
        <v>-2.25</v>
      </c>
      <c r="P279" s="329">
        <f t="shared" si="1103"/>
        <v>-0.6947368421052631</v>
      </c>
      <c r="Q279" s="329">
        <f t="shared" si="1103"/>
        <v>20.827586206896552</v>
      </c>
      <c r="R279" s="329">
        <f t="shared" si="1103"/>
        <v>-0.9636650868878357</v>
      </c>
      <c r="S279" s="328"/>
      <c r="T279" s="329"/>
      <c r="U279" s="329" t="str">
        <f t="shared" si="1104"/>
        <v/>
      </c>
      <c r="V279" s="329" t="str">
        <f t="shared" si="1104"/>
        <v/>
      </c>
      <c r="W279" s="329" t="str">
        <f t="shared" si="1104"/>
        <v/>
      </c>
      <c r="X279" s="328"/>
      <c r="Y279" s="329" t="str">
        <f t="shared" si="1105"/>
        <v/>
      </c>
      <c r="Z279" s="329" t="str">
        <f t="shared" si="1106"/>
        <v/>
      </c>
      <c r="AA279" s="329" t="str">
        <f t="shared" si="1106"/>
        <v/>
      </c>
      <c r="AB279" s="329" t="str">
        <f t="shared" si="1106"/>
        <v/>
      </c>
      <c r="AC279" s="328"/>
      <c r="AD279" s="329" t="str">
        <f t="shared" si="1107"/>
        <v/>
      </c>
      <c r="AE279" s="329" t="str">
        <f t="shared" si="1108"/>
        <v/>
      </c>
      <c r="AF279" s="329" t="str">
        <f t="shared" si="1108"/>
        <v/>
      </c>
      <c r="AG279" s="329" t="str">
        <f t="shared" si="1108"/>
        <v/>
      </c>
      <c r="AH279" s="328"/>
      <c r="AI279" s="329" t="str">
        <f t="shared" si="1109"/>
        <v/>
      </c>
      <c r="AJ279" s="329" t="str">
        <f t="shared" si="1110"/>
        <v/>
      </c>
      <c r="AK279" s="329" t="str">
        <f t="shared" si="1110"/>
        <v/>
      </c>
      <c r="AL279" s="329" t="str">
        <f t="shared" si="1110"/>
        <v/>
      </c>
      <c r="AM279" s="328"/>
      <c r="AN279" s="329" t="str">
        <f t="shared" si="1111"/>
        <v/>
      </c>
      <c r="AO279" s="329" t="str">
        <f t="shared" si="1112"/>
        <v/>
      </c>
      <c r="AP279" s="329" t="str">
        <f t="shared" si="1112"/>
        <v/>
      </c>
      <c r="AQ279" s="329" t="str">
        <f t="shared" si="1112"/>
        <v/>
      </c>
      <c r="AR279" s="346"/>
      <c r="AS279" s="329" t="str">
        <f t="shared" si="1113"/>
        <v/>
      </c>
      <c r="AT279" s="329" t="str">
        <f t="shared" si="1114"/>
        <v/>
      </c>
      <c r="AU279" s="329" t="str">
        <f t="shared" si="1114"/>
        <v/>
      </c>
      <c r="AV279" s="329" t="str">
        <f t="shared" si="1114"/>
        <v/>
      </c>
      <c r="AW279" s="346"/>
      <c r="AX279" s="329" t="str">
        <f t="shared" si="1115"/>
        <v/>
      </c>
      <c r="AY279" s="329" t="str">
        <f t="shared" si="1116"/>
        <v/>
      </c>
      <c r="AZ279" s="329" t="str">
        <f t="shared" si="1116"/>
        <v/>
      </c>
      <c r="BA279" s="329" t="str">
        <f t="shared" si="1116"/>
        <v/>
      </c>
      <c r="BB279" s="346"/>
      <c r="BC279" s="329" t="str">
        <f t="shared" si="1117"/>
        <v/>
      </c>
      <c r="BD279" s="329"/>
      <c r="BE279" s="329"/>
      <c r="BF279" s="329"/>
      <c r="BG279" s="346"/>
      <c r="BH279" s="611"/>
      <c r="BI279" s="611"/>
      <c r="BJ279" s="611"/>
      <c r="BK279" s="611"/>
      <c r="BL279" s="575"/>
      <c r="BM279" s="611"/>
      <c r="BN279" s="611"/>
      <c r="BO279" s="611"/>
      <c r="BP279" s="611"/>
      <c r="BQ279" s="575"/>
      <c r="BR279" s="611"/>
      <c r="BS279" s="611"/>
      <c r="BT279" s="611"/>
      <c r="BU279" s="611"/>
      <c r="BV279" s="575"/>
      <c r="BW279" s="611"/>
      <c r="BX279" s="611"/>
      <c r="BY279" s="611"/>
      <c r="BZ279" s="611"/>
      <c r="CA279" s="575"/>
      <c r="CB279" s="611"/>
      <c r="CC279" s="611"/>
      <c r="CD279" s="611"/>
      <c r="CE279" s="611"/>
      <c r="CF279" s="575"/>
      <c r="CG279" s="611"/>
      <c r="CH279" s="611"/>
      <c r="CI279" s="611"/>
      <c r="CJ279" s="611"/>
      <c r="CK279" s="575"/>
      <c r="CL279" s="611"/>
      <c r="CM279" s="611"/>
      <c r="CN279" s="611"/>
      <c r="CO279" s="611"/>
      <c r="CP279" s="575"/>
      <c r="CQ279" s="611"/>
      <c r="CR279" s="611"/>
      <c r="CS279" s="611"/>
      <c r="CT279" s="611"/>
      <c r="CU279" s="575"/>
      <c r="CV279" s="611"/>
      <c r="CW279" s="611"/>
      <c r="CX279" s="611"/>
      <c r="CY279" s="611"/>
      <c r="CZ279" s="575"/>
      <c r="DA279" s="611"/>
      <c r="DB279" s="611"/>
      <c r="DC279" s="611"/>
      <c r="DD279" s="611"/>
      <c r="DE279" s="575"/>
      <c r="DF279" s="611"/>
      <c r="DG279" s="611"/>
      <c r="DH279" s="611"/>
      <c r="DI279" s="611"/>
      <c r="DJ279" s="575"/>
      <c r="DK279" s="611"/>
      <c r="DL279" s="611"/>
      <c r="DM279" s="611"/>
      <c r="DN279" s="611"/>
      <c r="DO279" s="575"/>
      <c r="DP279" s="611"/>
      <c r="DQ279" s="611"/>
      <c r="DR279" s="611"/>
      <c r="DS279" s="611"/>
      <c r="DT279" s="575"/>
      <c r="DU279" s="611"/>
      <c r="DV279" s="611"/>
      <c r="DW279" s="611"/>
      <c r="DX279" s="611"/>
      <c r="DY279" s="575"/>
      <c r="DZ279" s="575"/>
      <c r="EA279" s="575"/>
      <c r="EB279" s="575"/>
    </row>
    <row r="280" spans="2:132" s="241" customFormat="1" ht="12" hidden="1" customHeight="1" outlineLevel="2">
      <c r="B280" s="335" t="s">
        <v>133</v>
      </c>
      <c r="C280" s="301"/>
      <c r="D280" s="301"/>
      <c r="E280" s="301"/>
      <c r="F280" s="301"/>
      <c r="G280" s="301"/>
      <c r="H280" s="301"/>
      <c r="I280" s="301"/>
      <c r="J280" s="302"/>
      <c r="K280" s="302" t="str">
        <f t="shared" si="1101"/>
        <v/>
      </c>
      <c r="L280" s="302" t="str">
        <f t="shared" si="1101"/>
        <v/>
      </c>
      <c r="M280" s="302" t="str">
        <f t="shared" si="1101"/>
        <v/>
      </c>
      <c r="N280" s="301"/>
      <c r="O280" s="302" t="str">
        <f t="shared" si="1102"/>
        <v/>
      </c>
      <c r="P280" s="302" t="str">
        <f t="shared" si="1103"/>
        <v/>
      </c>
      <c r="Q280" s="302" t="str">
        <f t="shared" si="1103"/>
        <v/>
      </c>
      <c r="R280" s="302" t="str">
        <f t="shared" si="1103"/>
        <v/>
      </c>
      <c r="S280" s="301"/>
      <c r="T280" s="302" t="str">
        <f>IF(ISERROR(T176/R176-1),"",T176/R176-1)</f>
        <v/>
      </c>
      <c r="U280" s="302" t="str">
        <f t="shared" si="1104"/>
        <v/>
      </c>
      <c r="V280" s="302" t="str">
        <f t="shared" si="1104"/>
        <v/>
      </c>
      <c r="W280" s="302" t="str">
        <f t="shared" si="1104"/>
        <v/>
      </c>
      <c r="X280" s="301"/>
      <c r="Y280" s="302" t="str">
        <f t="shared" si="1105"/>
        <v/>
      </c>
      <c r="Z280" s="302" t="str">
        <f t="shared" si="1106"/>
        <v/>
      </c>
      <c r="AA280" s="302" t="str">
        <f t="shared" si="1106"/>
        <v/>
      </c>
      <c r="AB280" s="302" t="str">
        <f t="shared" si="1106"/>
        <v/>
      </c>
      <c r="AC280" s="301"/>
      <c r="AD280" s="302" t="str">
        <f t="shared" si="1107"/>
        <v/>
      </c>
      <c r="AE280" s="302" t="str">
        <f t="shared" si="1108"/>
        <v/>
      </c>
      <c r="AF280" s="302" t="str">
        <f t="shared" si="1108"/>
        <v/>
      </c>
      <c r="AG280" s="302" t="str">
        <f t="shared" si="1108"/>
        <v/>
      </c>
      <c r="AH280" s="301"/>
      <c r="AI280" s="302" t="str">
        <f t="shared" si="1109"/>
        <v/>
      </c>
      <c r="AJ280" s="302" t="str">
        <f t="shared" si="1110"/>
        <v/>
      </c>
      <c r="AK280" s="302" t="str">
        <f t="shared" si="1110"/>
        <v/>
      </c>
      <c r="AL280" s="302" t="str">
        <f t="shared" si="1110"/>
        <v/>
      </c>
      <c r="AM280" s="301"/>
      <c r="AN280" s="302" t="str">
        <f t="shared" si="1111"/>
        <v/>
      </c>
      <c r="AO280" s="302" t="str">
        <f t="shared" si="1112"/>
        <v/>
      </c>
      <c r="AP280" s="302" t="str">
        <f t="shared" si="1112"/>
        <v/>
      </c>
      <c r="AQ280" s="302" t="str">
        <f t="shared" si="1112"/>
        <v/>
      </c>
      <c r="AR280" s="309"/>
      <c r="AS280" s="302" t="str">
        <f t="shared" si="1113"/>
        <v/>
      </c>
      <c r="AT280" s="302" t="str">
        <f t="shared" si="1114"/>
        <v/>
      </c>
      <c r="AU280" s="302" t="str">
        <f t="shared" si="1114"/>
        <v/>
      </c>
      <c r="AV280" s="302" t="str">
        <f t="shared" si="1114"/>
        <v/>
      </c>
      <c r="AW280" s="309"/>
      <c r="AX280" s="302" t="str">
        <f t="shared" si="1115"/>
        <v/>
      </c>
      <c r="AY280" s="302" t="str">
        <f t="shared" si="1116"/>
        <v/>
      </c>
      <c r="AZ280" s="302" t="str">
        <f t="shared" si="1116"/>
        <v/>
      </c>
      <c r="BA280" s="302" t="str">
        <f t="shared" si="1116"/>
        <v/>
      </c>
      <c r="BB280" s="309"/>
      <c r="BC280" s="302" t="str">
        <f t="shared" si="1117"/>
        <v/>
      </c>
      <c r="BD280" s="302"/>
      <c r="BE280" s="302"/>
      <c r="BF280" s="302"/>
      <c r="BG280" s="309"/>
      <c r="BH280" s="469"/>
      <c r="BI280" s="469"/>
      <c r="BJ280" s="469"/>
      <c r="BK280" s="469"/>
      <c r="BL280" s="136"/>
      <c r="BM280" s="469"/>
      <c r="BN280" s="469"/>
      <c r="BO280" s="469"/>
      <c r="BP280" s="469"/>
      <c r="BQ280" s="136"/>
      <c r="BR280" s="469"/>
      <c r="BS280" s="469"/>
      <c r="BT280" s="469"/>
      <c r="BU280" s="469"/>
      <c r="BV280" s="136"/>
      <c r="BW280" s="469"/>
      <c r="BX280" s="469"/>
      <c r="BY280" s="469"/>
      <c r="BZ280" s="469"/>
      <c r="CA280" s="136"/>
      <c r="CB280" s="469"/>
      <c r="CC280" s="469"/>
      <c r="CD280" s="469"/>
      <c r="CE280" s="469"/>
      <c r="CF280" s="136"/>
      <c r="CG280" s="469"/>
      <c r="CH280" s="469"/>
      <c r="CI280" s="469"/>
      <c r="CJ280" s="469"/>
      <c r="CK280" s="136"/>
      <c r="CL280" s="469"/>
      <c r="CM280" s="469"/>
      <c r="CN280" s="469"/>
      <c r="CO280" s="469"/>
      <c r="CP280" s="136"/>
      <c r="CQ280" s="469"/>
      <c r="CR280" s="469"/>
      <c r="CS280" s="469"/>
      <c r="CT280" s="469"/>
      <c r="CU280" s="136"/>
      <c r="CV280" s="469"/>
      <c r="CW280" s="469"/>
      <c r="CX280" s="469"/>
      <c r="CY280" s="469"/>
      <c r="CZ280" s="136"/>
      <c r="DA280" s="469"/>
      <c r="DB280" s="469"/>
      <c r="DC280" s="469"/>
      <c r="DD280" s="469"/>
      <c r="DE280" s="136"/>
      <c r="DF280" s="469"/>
      <c r="DG280" s="469"/>
      <c r="DH280" s="469"/>
      <c r="DI280" s="469"/>
      <c r="DJ280" s="136"/>
      <c r="DK280" s="469"/>
      <c r="DL280" s="469"/>
      <c r="DM280" s="469"/>
      <c r="DN280" s="469"/>
      <c r="DO280" s="136"/>
      <c r="DP280" s="469"/>
      <c r="DQ280" s="469"/>
      <c r="DR280" s="469"/>
      <c r="DS280" s="469"/>
      <c r="DT280" s="136"/>
      <c r="DU280" s="469"/>
      <c r="DV280" s="469"/>
      <c r="DW280" s="469"/>
      <c r="DX280" s="469"/>
      <c r="DY280" s="136"/>
      <c r="DZ280" s="136"/>
      <c r="EA280" s="136"/>
      <c r="EB280" s="136"/>
    </row>
    <row r="281" spans="2:132" s="241" customFormat="1" ht="12" hidden="1" customHeight="1" outlineLevel="2">
      <c r="B281" s="318" t="s">
        <v>134</v>
      </c>
      <c r="C281" s="328"/>
      <c r="D281" s="328"/>
      <c r="E281" s="328"/>
      <c r="F281" s="328"/>
      <c r="G281" s="328"/>
      <c r="H281" s="328"/>
      <c r="I281" s="328"/>
      <c r="J281" s="329"/>
      <c r="K281" s="329" t="str">
        <f t="shared" si="1101"/>
        <v/>
      </c>
      <c r="L281" s="329" t="str">
        <f t="shared" si="1101"/>
        <v/>
      </c>
      <c r="M281" s="329" t="str">
        <f t="shared" si="1101"/>
        <v/>
      </c>
      <c r="N281" s="328"/>
      <c r="O281" s="329" t="str">
        <f t="shared" si="1102"/>
        <v/>
      </c>
      <c r="P281" s="329" t="str">
        <f t="shared" si="1103"/>
        <v/>
      </c>
      <c r="Q281" s="329" t="str">
        <f t="shared" si="1103"/>
        <v/>
      </c>
      <c r="R281" s="329" t="str">
        <f t="shared" si="1103"/>
        <v/>
      </c>
      <c r="S281" s="328"/>
      <c r="T281" s="329" t="str">
        <f>IF(ISERROR(T177/R177-1),"",T177/R177-1)</f>
        <v/>
      </c>
      <c r="U281" s="329" t="str">
        <f t="shared" si="1104"/>
        <v/>
      </c>
      <c r="V281" s="329" t="str">
        <f t="shared" si="1104"/>
        <v/>
      </c>
      <c r="W281" s="329" t="str">
        <f t="shared" si="1104"/>
        <v/>
      </c>
      <c r="X281" s="328"/>
      <c r="Y281" s="329" t="str">
        <f t="shared" si="1105"/>
        <v/>
      </c>
      <c r="Z281" s="329" t="str">
        <f t="shared" si="1106"/>
        <v/>
      </c>
      <c r="AA281" s="329" t="str">
        <f t="shared" si="1106"/>
        <v/>
      </c>
      <c r="AB281" s="329" t="str">
        <f t="shared" si="1106"/>
        <v/>
      </c>
      <c r="AC281" s="328"/>
      <c r="AD281" s="329" t="str">
        <f t="shared" si="1107"/>
        <v/>
      </c>
      <c r="AE281" s="329" t="str">
        <f t="shared" si="1108"/>
        <v/>
      </c>
      <c r="AF281" s="329" t="str">
        <f t="shared" si="1108"/>
        <v/>
      </c>
      <c r="AG281" s="329" t="str">
        <f t="shared" si="1108"/>
        <v/>
      </c>
      <c r="AH281" s="328"/>
      <c r="AI281" s="329" t="str">
        <f t="shared" si="1109"/>
        <v/>
      </c>
      <c r="AJ281" s="329" t="str">
        <f t="shared" si="1110"/>
        <v/>
      </c>
      <c r="AK281" s="329" t="str">
        <f t="shared" si="1110"/>
        <v/>
      </c>
      <c r="AL281" s="329" t="str">
        <f t="shared" si="1110"/>
        <v/>
      </c>
      <c r="AM281" s="328"/>
      <c r="AN281" s="329" t="str">
        <f t="shared" si="1111"/>
        <v/>
      </c>
      <c r="AO281" s="329" t="str">
        <f t="shared" si="1112"/>
        <v/>
      </c>
      <c r="AP281" s="329" t="str">
        <f t="shared" si="1112"/>
        <v/>
      </c>
      <c r="AQ281" s="329" t="str">
        <f t="shared" si="1112"/>
        <v/>
      </c>
      <c r="AR281" s="346"/>
      <c r="AS281" s="329" t="str">
        <f t="shared" si="1113"/>
        <v/>
      </c>
      <c r="AT281" s="329" t="str">
        <f t="shared" si="1114"/>
        <v/>
      </c>
      <c r="AU281" s="329" t="str">
        <f t="shared" si="1114"/>
        <v/>
      </c>
      <c r="AV281" s="329" t="str">
        <f t="shared" si="1114"/>
        <v/>
      </c>
      <c r="AW281" s="346"/>
      <c r="AX281" s="329" t="str">
        <f t="shared" si="1115"/>
        <v/>
      </c>
      <c r="AY281" s="329" t="str">
        <f t="shared" si="1116"/>
        <v/>
      </c>
      <c r="AZ281" s="329" t="str">
        <f t="shared" si="1116"/>
        <v/>
      </c>
      <c r="BA281" s="329" t="str">
        <f t="shared" si="1116"/>
        <v/>
      </c>
      <c r="BB281" s="346"/>
      <c r="BC281" s="329" t="str">
        <f t="shared" si="1117"/>
        <v/>
      </c>
      <c r="BD281" s="329"/>
      <c r="BE281" s="329"/>
      <c r="BF281" s="329"/>
      <c r="BG281" s="346"/>
      <c r="BH281" s="611"/>
      <c r="BI281" s="611"/>
      <c r="BJ281" s="611"/>
      <c r="BK281" s="611"/>
      <c r="BL281" s="575"/>
      <c r="BM281" s="611"/>
      <c r="BN281" s="611"/>
      <c r="BO281" s="611"/>
      <c r="BP281" s="611"/>
      <c r="BQ281" s="575"/>
      <c r="BR281" s="611"/>
      <c r="BS281" s="611"/>
      <c r="BT281" s="611"/>
      <c r="BU281" s="611"/>
      <c r="BV281" s="575"/>
      <c r="BW281" s="611"/>
      <c r="BX281" s="611"/>
      <c r="BY281" s="611"/>
      <c r="BZ281" s="611"/>
      <c r="CA281" s="575"/>
      <c r="CB281" s="611"/>
      <c r="CC281" s="611"/>
      <c r="CD281" s="611"/>
      <c r="CE281" s="611"/>
      <c r="CF281" s="575"/>
      <c r="CG281" s="611"/>
      <c r="CH281" s="611"/>
      <c r="CI281" s="611"/>
      <c r="CJ281" s="611"/>
      <c r="CK281" s="575"/>
      <c r="CL281" s="611"/>
      <c r="CM281" s="611"/>
      <c r="CN281" s="611"/>
      <c r="CO281" s="611"/>
      <c r="CP281" s="575"/>
      <c r="CQ281" s="611"/>
      <c r="CR281" s="611"/>
      <c r="CS281" s="611"/>
      <c r="CT281" s="611"/>
      <c r="CU281" s="575"/>
      <c r="CV281" s="611"/>
      <c r="CW281" s="611"/>
      <c r="CX281" s="611"/>
      <c r="CY281" s="611"/>
      <c r="CZ281" s="575"/>
      <c r="DA281" s="611"/>
      <c r="DB281" s="611"/>
      <c r="DC281" s="611"/>
      <c r="DD281" s="611"/>
      <c r="DE281" s="575"/>
      <c r="DF281" s="611"/>
      <c r="DG281" s="611"/>
      <c r="DH281" s="611"/>
      <c r="DI281" s="611"/>
      <c r="DJ281" s="575"/>
      <c r="DK281" s="611"/>
      <c r="DL281" s="611"/>
      <c r="DM281" s="611"/>
      <c r="DN281" s="611"/>
      <c r="DO281" s="575"/>
      <c r="DP281" s="611"/>
      <c r="DQ281" s="611"/>
      <c r="DR281" s="611"/>
      <c r="DS281" s="611"/>
      <c r="DT281" s="575"/>
      <c r="DU281" s="611"/>
      <c r="DV281" s="611"/>
      <c r="DW281" s="611"/>
      <c r="DX281" s="611"/>
      <c r="DY281" s="575"/>
      <c r="DZ281" s="575"/>
      <c r="EA281" s="575"/>
      <c r="EB281" s="575"/>
    </row>
    <row r="282" spans="2:132" s="241" customFormat="1" ht="12" hidden="1" customHeight="1" outlineLevel="1" collapsed="1">
      <c r="B282" s="121" t="s">
        <v>391</v>
      </c>
      <c r="C282" s="301"/>
      <c r="D282" s="301"/>
      <c r="E282" s="301"/>
      <c r="F282" s="301"/>
      <c r="G282" s="301"/>
      <c r="H282" s="301"/>
      <c r="I282" s="301"/>
      <c r="J282" s="242"/>
      <c r="K282" s="242">
        <f t="shared" si="1101"/>
        <v>-5.6910569105691033E-2</v>
      </c>
      <c r="L282" s="242">
        <f t="shared" si="1101"/>
        <v>0.17241379310344818</v>
      </c>
      <c r="M282" s="242">
        <f t="shared" si="1101"/>
        <v>-0.17279411764705888</v>
      </c>
      <c r="N282" s="301"/>
      <c r="O282" s="242">
        <f t="shared" si="1102"/>
        <v>0.25481481481481483</v>
      </c>
      <c r="P282" s="242">
        <f t="shared" si="1103"/>
        <v>-3.6599763872491198E-2</v>
      </c>
      <c r="Q282" s="242">
        <f t="shared" si="1103"/>
        <v>0.59681372549019618</v>
      </c>
      <c r="R282" s="242">
        <f t="shared" si="1103"/>
        <v>-0.29086722947045285</v>
      </c>
      <c r="S282" s="301"/>
      <c r="T282" s="242">
        <f>IF(ISERROR(T178/R178-1),"",T178/R178-1)</f>
        <v>-0.11580086580086579</v>
      </c>
      <c r="U282" s="242">
        <f t="shared" si="1104"/>
        <v>-0.62178702570379429</v>
      </c>
      <c r="V282" s="242">
        <f t="shared" si="1104"/>
        <v>1.8446601941747574</v>
      </c>
      <c r="W282" s="242">
        <f t="shared" si="1104"/>
        <v>0.16837315130830488</v>
      </c>
      <c r="X282" s="301"/>
      <c r="Y282" s="242">
        <f t="shared" si="1105"/>
        <v>-0.23661148977604674</v>
      </c>
      <c r="Z282" s="242">
        <f t="shared" si="1106"/>
        <v>8.9285714285714191E-2</v>
      </c>
      <c r="AA282" s="242">
        <f t="shared" si="1106"/>
        <v>-3.5128805620608938E-2</v>
      </c>
      <c r="AB282" s="242">
        <f t="shared" si="1106"/>
        <v>0.18689320388349517</v>
      </c>
      <c r="AC282" s="301"/>
      <c r="AD282" s="242">
        <f t="shared" si="1107"/>
        <v>-0.12065439672801637</v>
      </c>
      <c r="AE282" s="242">
        <f t="shared" si="1108"/>
        <v>-0.25930232558139532</v>
      </c>
      <c r="AF282" s="242">
        <f t="shared" si="1108"/>
        <v>0.34065934065934056</v>
      </c>
      <c r="AG282" s="242">
        <f t="shared" si="1108"/>
        <v>3.1615925058547933E-2</v>
      </c>
      <c r="AH282" s="301"/>
      <c r="AI282" s="242">
        <f t="shared" si="1109"/>
        <v>-0.19523269012485811</v>
      </c>
      <c r="AJ282" s="242">
        <f t="shared" si="1110"/>
        <v>0.23554301833568414</v>
      </c>
      <c r="AK282" s="242">
        <f t="shared" si="1110"/>
        <v>1.0273972602739656E-2</v>
      </c>
      <c r="AL282" s="242">
        <f t="shared" si="1110"/>
        <v>-6.3276836158192129E-2</v>
      </c>
      <c r="AM282" s="301"/>
      <c r="AN282" s="242">
        <f t="shared" si="1111"/>
        <v>-0.19903498190591074</v>
      </c>
      <c r="AO282" s="242">
        <f t="shared" si="1112"/>
        <v>7.0783132530120474E-2</v>
      </c>
      <c r="AP282" s="242">
        <f t="shared" si="1112"/>
        <v>-3.7974683544303778E-2</v>
      </c>
      <c r="AQ282" s="242">
        <f t="shared" si="1112"/>
        <v>0.19298245614035081</v>
      </c>
      <c r="AR282" s="309"/>
      <c r="AS282" s="242">
        <f t="shared" si="1113"/>
        <v>-0.17769607843137258</v>
      </c>
      <c r="AT282" s="242">
        <f t="shared" si="1114"/>
        <v>0.18926974664679586</v>
      </c>
      <c r="AU282" s="242">
        <f t="shared" si="1114"/>
        <v>3.2581453634085156E-2</v>
      </c>
      <c r="AV282" s="242">
        <f t="shared" si="1114"/>
        <v>4.9757281553397981E-2</v>
      </c>
      <c r="AW282" s="309"/>
      <c r="AX282" s="242">
        <f t="shared" si="1115"/>
        <v>-0.1421965317919075</v>
      </c>
      <c r="AY282" s="242">
        <f t="shared" si="1116"/>
        <v>8.0862533692722671E-3</v>
      </c>
      <c r="AZ282" s="242">
        <f t="shared" si="1116"/>
        <v>0.10561497326203217</v>
      </c>
      <c r="BA282" s="242">
        <f t="shared" si="1116"/>
        <v>-9.1898428053204362E-2</v>
      </c>
      <c r="BB282" s="309"/>
      <c r="BC282" s="242">
        <f t="shared" si="1117"/>
        <v>0.1078561917443408</v>
      </c>
      <c r="BD282" s="242">
        <f>IF(ISERROR(BD178/BC178-1),"",BD178/BC178-1)</f>
        <v>-6.7307692307692291E-2</v>
      </c>
      <c r="BE282" s="242">
        <f>IF(ISERROR(BE178/BD178-1),"",BE178/BD178-1)</f>
        <v>-0.13273195876288657</v>
      </c>
      <c r="BF282" s="242">
        <f>IF(ISERROR(BF178/BE178-1),"",BF178/BE178-1)</f>
        <v>0.41753343239227347</v>
      </c>
      <c r="BG282" s="309"/>
      <c r="BH282" s="242">
        <f>IF(ISERROR(BH178/BF178-1),"",BH178/BF178-1)</f>
        <v>-0.18448637316561844</v>
      </c>
      <c r="BI282" s="242">
        <f>IF(ISERROR(BI178/BH178-1),"",BI178/BH178-1)</f>
        <v>-0.25192802056555275</v>
      </c>
      <c r="BJ282" s="242">
        <f>IF(ISERROR(BJ178/BI178-1),"",BJ178/BI178-1)</f>
        <v>0.47079037800687296</v>
      </c>
      <c r="BK282" s="242">
        <f>IF(ISERROR(BK178/BJ178-1),"",BK178/BJ178-1)</f>
        <v>7.1261682242990565E-2</v>
      </c>
      <c r="BL282" s="136"/>
      <c r="BM282" s="242">
        <f>IF(ISERROR(BM178/BK178-1),"",BM178/BK178-1)</f>
        <v>-0.18974918211559433</v>
      </c>
      <c r="BN282" s="242">
        <f>IF(ISERROR(BN178/BM178-1),"",BN178/BM178-1)</f>
        <v>-0.26514131897711979</v>
      </c>
      <c r="BO282" s="242">
        <f>IF(ISERROR(BO178/BN178-1),"",BO178/BN178-1)</f>
        <v>0.87179487179487181</v>
      </c>
      <c r="BP282" s="242">
        <f>IF(ISERROR(BP178/BO178-1),"",BP178/BO178-1)</f>
        <v>-5.7729941291585152E-2</v>
      </c>
      <c r="BQ282" s="136"/>
      <c r="BR282" s="242"/>
      <c r="BS282" s="242">
        <f t="shared" ref="BS282:BU285" si="1146">IF(ISERROR(BS178/BR178-1),"",BS178/BR178-1)</f>
        <v>-0.29980657640232111</v>
      </c>
      <c r="BT282" s="242">
        <f t="shared" si="1146"/>
        <v>0.55801104972375692</v>
      </c>
      <c r="BU282" s="242">
        <f t="shared" si="1146"/>
        <v>-7.2695035460992874E-2</v>
      </c>
      <c r="BV282" s="136"/>
      <c r="BW282" s="242">
        <f>IF(ISERROR(BW178/BU178-1),"",BW178/BU178-1)</f>
        <v>4.9713193116634802E-2</v>
      </c>
      <c r="BX282" s="242">
        <f t="shared" ref="BX282:BZ285" si="1147">IF(ISERROR(BX178/BW178-1),"",BX178/BW178-1)</f>
        <v>0.11839708561020035</v>
      </c>
      <c r="BY282" s="242">
        <f t="shared" si="1147"/>
        <v>-0.20846905537459282</v>
      </c>
      <c r="BZ282" s="242">
        <f t="shared" si="1147"/>
        <v>0.11934156378600824</v>
      </c>
      <c r="CA282" s="136"/>
      <c r="CB282" s="242">
        <f>IF(ISERROR(CB178/BZ178-1),"",CB178/BZ178-1)</f>
        <v>0.39154411764705888</v>
      </c>
      <c r="CC282" s="242">
        <f t="shared" ref="CC282:CE285" si="1148">IF(ISERROR(CC178/CB178-1),"",CC178/CB178-1)</f>
        <v>-0.50330250990752967</v>
      </c>
      <c r="CD282" s="242">
        <f t="shared" si="1148"/>
        <v>-1.6569148936170213</v>
      </c>
      <c r="CE282" s="242">
        <f t="shared" si="1148"/>
        <v>-4.1214574898785425</v>
      </c>
      <c r="CF282" s="136"/>
      <c r="CG282" s="242">
        <f>IF(ISERROR(CG178/CE178-1),"",CG178/CE178-1)</f>
        <v>9.8573281452658978E-2</v>
      </c>
      <c r="CH282" s="242">
        <f t="shared" ref="CH282:CJ285" si="1149">IF(ISERROR(CH178/CG178-1),"",CH178/CG178-1)</f>
        <v>0.15112160566706012</v>
      </c>
      <c r="CI282" s="242">
        <f t="shared" si="1149"/>
        <v>-0.22666666666666668</v>
      </c>
      <c r="CJ282" s="242">
        <f t="shared" si="1149"/>
        <v>-0.95888594164456231</v>
      </c>
      <c r="CK282" s="136"/>
      <c r="CL282" s="242">
        <f>IF(ISERROR(CL178/CJ178-1),"",CL178/CJ178-1)</f>
        <v>-7.161290322580645</v>
      </c>
      <c r="CM282" s="242">
        <f t="shared" ref="CM282:CO285" si="1150">IF(ISERROR(CM178/CL178-1),"",CM178/CL178-1)</f>
        <v>-4.1413612565445028</v>
      </c>
      <c r="CN282" s="242">
        <f t="shared" si="1150"/>
        <v>4.6666666666666634E-2</v>
      </c>
      <c r="CO282" s="242">
        <f t="shared" si="1150"/>
        <v>-0.20063694267515919</v>
      </c>
      <c r="CP282" s="136"/>
      <c r="CQ282" s="242">
        <f>IF(ISERROR(CQ178/CO178-1),"",CQ178/CO178-1)</f>
        <v>-0.19322709163346619</v>
      </c>
      <c r="CR282" s="242">
        <f t="shared" ref="CR282:CR285" si="1151">IF(ISERROR(CR178/CQ178-1),"",CR178/CQ178-1)</f>
        <v>1.365432098765432</v>
      </c>
      <c r="CS282" s="242">
        <f t="shared" ref="CS282:CS285" si="1152">IF(ISERROR(CS178/CR178-1),"",CS178/CR178-1)</f>
        <v>-0.54488517745302711</v>
      </c>
      <c r="CT282" s="242">
        <f t="shared" ref="CT282:CT285" si="1153">IF(ISERROR(CT178/CS178-1),"",CT178/CS178-1)</f>
        <v>-1.584862385321101</v>
      </c>
      <c r="CU282" s="136"/>
      <c r="CV282" s="242">
        <f>IF(ISERROR(CV178/CT178-1),"",CV178/CT178-1)</f>
        <v>2.6431372549019607</v>
      </c>
      <c r="CW282" s="242">
        <f t="shared" ref="CW282:CW285" si="1154">IF(ISERROR(CW178/CV178-1),"",CW178/CV178-1)</f>
        <v>-1.0764262648008611</v>
      </c>
      <c r="CX282" s="242">
        <f t="shared" ref="CX282:CX285" si="1155">IF(ISERROR(CX178/CW178-1),"",CX178/CW178-1)</f>
        <v>-40.408450704225352</v>
      </c>
      <c r="CY282" s="242">
        <f t="shared" ref="CY282:CY285" si="1156">IF(ISERROR(CY178/CX178-1),"",CY178/CX178-1)</f>
        <v>-1.0400285918513223</v>
      </c>
      <c r="CZ282" s="136"/>
      <c r="DA282" s="242">
        <f>IF(ISERROR(DA178/CY178-1),"",DA178/CY178-1)</f>
        <v>-2.8928571428571428</v>
      </c>
      <c r="DB282" s="242">
        <f t="shared" ref="DB282:DB285" si="1157">IF(ISERROR(DB178/DA178-1),"",DB178/DA178-1)</f>
        <v>1.4858490566037736</v>
      </c>
      <c r="DC282" s="242">
        <f t="shared" ref="DC282:DC285" si="1158">IF(ISERROR(DC178/DB178-1),"",DC178/DB178-1)</f>
        <v>0.75332068311195455</v>
      </c>
      <c r="DD282" s="242">
        <f t="shared" ref="DD282:DD285" si="1159">IF(ISERROR(DD178/DC178-1),"",DD178/DC178-1)</f>
        <v>-0.89069264069264065</v>
      </c>
      <c r="DE282" s="136"/>
      <c r="DF282" s="242">
        <f>IF(ISERROR(DF178/DD178-1),"",DF178/DD178-1)</f>
        <v>-2.495049504950495</v>
      </c>
      <c r="DG282" s="242">
        <f t="shared" ref="DG282:DG285" si="1160">IF(ISERROR(DG178/DF178-1),"",DG178/DF178-1)</f>
        <v>-7.0463576158940393</v>
      </c>
      <c r="DH282" s="242">
        <f t="shared" ref="DH282:DH285" si="1161">IF(ISERROR(DH178/DG178-1),"",DH178/DG178-1)</f>
        <v>1.6111719605695511</v>
      </c>
      <c r="DI282" s="242">
        <f t="shared" ref="DI282:DI285" si="1162">IF(ISERROR(DI178/DH178-1),"",DI178/DH178-1)</f>
        <v>-4.9077181208053711E-2</v>
      </c>
      <c r="DJ282" s="136"/>
      <c r="DK282" s="242">
        <f>IF(ISERROR(DK178/DI178-1),"",DK178/DI178-1)</f>
        <v>-1.0683722981914425</v>
      </c>
      <c r="DL282" s="242">
        <f t="shared" ref="DL282:DL285" si="1163">IF(ISERROR(DL178/DK178-1),"",DL178/DK178-1)</f>
        <v>-0.29032258064516125</v>
      </c>
      <c r="DM282" s="242">
        <f t="shared" ref="DM282:DM285" si="1164">IF(ISERROR(DM178/DL178-1),"",DM178/DL178-1)</f>
        <v>3.6363636363636376E-2</v>
      </c>
      <c r="DN282" s="242">
        <f t="shared" ref="DN282:DN285" si="1165">IF(ISERROR(DN178/DM178-1),"",DN178/DM178-1)</f>
        <v>-5.4473684210526319</v>
      </c>
      <c r="DO282" s="136"/>
      <c r="DP282" s="242">
        <f>IF(ISERROR(DP178/DN178-1),"",DP178/DN178-1)</f>
        <v>-1.4595660749506902</v>
      </c>
      <c r="DQ282" s="242">
        <f t="shared" ref="DQ282:DQ285" si="1166">IF(ISERROR(DQ178/DP178-1),"",DQ178/DP178-1)</f>
        <v>-1.0643776824034334</v>
      </c>
      <c r="DR282" s="242">
        <f t="shared" ref="DR282:DR285" si="1167">IF(ISERROR(DR178/DQ178-1),"",DR178/DQ178-1)</f>
        <v>-14.642488000000002</v>
      </c>
      <c r="DS282" s="242">
        <f t="shared" ref="DS282:DS285" si="1168">IF(ISERROR(DS178/DR178-1),"",DS178/DR178-1)</f>
        <v>0.40933647880064084</v>
      </c>
      <c r="DT282" s="136"/>
      <c r="DU282" s="242">
        <f>IF(ISERROR(DU178/DS178-1),"",DU178/DS178-1)</f>
        <v>-0.12601821119375933</v>
      </c>
      <c r="DV282" s="242">
        <f t="shared" ref="DV282:DV285" si="1169">IF(ISERROR(DV178/DU178-1),"",DV178/DU178-1)</f>
        <v>0.44756317404155221</v>
      </c>
      <c r="DW282" s="242">
        <f t="shared" ref="DW282:DW285" si="1170">IF(ISERROR(DW178/DV178-1),"",DW178/DV178-1)</f>
        <v>0.18899836731373743</v>
      </c>
      <c r="DX282" s="242">
        <f t="shared" ref="DX282:DX285" si="1171">IF(ISERROR(DX178/DW178-1),"",DX178/DW178-1)</f>
        <v>0.2250443134648128</v>
      </c>
      <c r="DY282" s="136"/>
      <c r="DZ282" s="136"/>
      <c r="EA282" s="136"/>
      <c r="EB282" s="136"/>
    </row>
    <row r="283" spans="2:132" s="241" customFormat="1" ht="12" hidden="1" customHeight="1" outlineLevel="1">
      <c r="B283" s="137" t="s">
        <v>575</v>
      </c>
      <c r="C283" s="301"/>
      <c r="D283" s="301"/>
      <c r="E283" s="301"/>
      <c r="F283" s="301"/>
      <c r="G283" s="301"/>
      <c r="H283" s="301"/>
      <c r="I283" s="301"/>
      <c r="J283" s="242"/>
      <c r="K283" s="242"/>
      <c r="L283" s="242"/>
      <c r="M283" s="242"/>
      <c r="N283" s="301"/>
      <c r="O283" s="242"/>
      <c r="P283" s="242"/>
      <c r="Q283" s="242"/>
      <c r="R283" s="242"/>
      <c r="S283" s="301"/>
      <c r="T283" s="242"/>
      <c r="U283" s="242"/>
      <c r="V283" s="242"/>
      <c r="W283" s="242"/>
      <c r="X283" s="301"/>
      <c r="Y283" s="242"/>
      <c r="Z283" s="242"/>
      <c r="AA283" s="242"/>
      <c r="AB283" s="242"/>
      <c r="AC283" s="301"/>
      <c r="AD283" s="242"/>
      <c r="AE283" s="242"/>
      <c r="AF283" s="242"/>
      <c r="AG283" s="242"/>
      <c r="AH283" s="301"/>
      <c r="AI283" s="242"/>
      <c r="AJ283" s="242"/>
      <c r="AK283" s="242"/>
      <c r="AL283" s="242"/>
      <c r="AM283" s="301"/>
      <c r="AN283" s="242"/>
      <c r="AO283" s="242"/>
      <c r="AP283" s="242"/>
      <c r="AQ283" s="242"/>
      <c r="AR283" s="309"/>
      <c r="AS283" s="242"/>
      <c r="AT283" s="242"/>
      <c r="AU283" s="242"/>
      <c r="AV283" s="242"/>
      <c r="AW283" s="309"/>
      <c r="AX283" s="242"/>
      <c r="AY283" s="242"/>
      <c r="AZ283" s="242"/>
      <c r="BA283" s="242"/>
      <c r="BB283" s="309"/>
      <c r="BC283" s="242"/>
      <c r="BD283" s="242"/>
      <c r="BE283" s="242"/>
      <c r="BF283" s="242"/>
      <c r="BG283" s="309"/>
      <c r="BH283" s="242"/>
      <c r="BI283" s="242"/>
      <c r="BJ283" s="242"/>
      <c r="BK283" s="242"/>
      <c r="BL283" s="136"/>
      <c r="BM283" s="242"/>
      <c r="BN283" s="242"/>
      <c r="BO283" s="242"/>
      <c r="BP283" s="242"/>
      <c r="BQ283" s="136"/>
      <c r="BR283" s="242"/>
      <c r="BS283" s="242">
        <f t="shared" si="1146"/>
        <v>-1.2820512820512775E-2</v>
      </c>
      <c r="BT283" s="242">
        <f t="shared" si="1146"/>
        <v>-2.7829313543599299E-2</v>
      </c>
      <c r="BU283" s="242">
        <f t="shared" si="1146"/>
        <v>8.3969465648854991E-2</v>
      </c>
      <c r="BV283" s="136"/>
      <c r="BW283" s="242">
        <f>IF(ISERROR(BW179/BU179-1),"",BW179/BU179-1)</f>
        <v>9.6830985915492995E-2</v>
      </c>
      <c r="BX283" s="242">
        <f t="shared" si="1147"/>
        <v>-8.6677367576244002E-2</v>
      </c>
      <c r="BY283" s="242">
        <f t="shared" si="1147"/>
        <v>-0.1300527240773286</v>
      </c>
      <c r="BZ283" s="242">
        <f t="shared" si="1147"/>
        <v>0.12929292929292924</v>
      </c>
      <c r="CA283" s="136"/>
      <c r="CB283" s="242">
        <f>IF(ISERROR(CB179/BZ179-1),"",CB179/BZ179-1)</f>
        <v>0.15742397137745967</v>
      </c>
      <c r="CC283" s="242">
        <f t="shared" si="1148"/>
        <v>-6.646058732612059E-2</v>
      </c>
      <c r="CD283" s="242">
        <f t="shared" si="1148"/>
        <v>-9.27152317880795E-2</v>
      </c>
      <c r="CE283" s="242">
        <f t="shared" si="1148"/>
        <v>0.3448905109489051</v>
      </c>
      <c r="CF283" s="136"/>
      <c r="CG283" s="242">
        <f>IF(ISERROR(CG179/CE179-1),"",CG179/CE179-1)</f>
        <v>-0.11397557666214386</v>
      </c>
      <c r="CH283" s="242">
        <f t="shared" si="1149"/>
        <v>5.2067381316998507E-2</v>
      </c>
      <c r="CI283" s="242">
        <f t="shared" si="1149"/>
        <v>-2.0378457059679778E-2</v>
      </c>
      <c r="CJ283" s="242">
        <f t="shared" si="1149"/>
        <v>1.634472511144125E-2</v>
      </c>
      <c r="CK283" s="136"/>
      <c r="CL283" s="242">
        <f>IF(ISERROR(CL179/CJ179-1),"",CL179/CJ179-1)</f>
        <v>3.5087719298245723E-2</v>
      </c>
      <c r="CM283" s="242">
        <f t="shared" si="1150"/>
        <v>-1.9491525423728815</v>
      </c>
      <c r="CN283" s="242">
        <f t="shared" si="1150"/>
        <v>-1.4032738095238095</v>
      </c>
      <c r="CO283" s="242">
        <f t="shared" si="1150"/>
        <v>-0.47232472324723251</v>
      </c>
      <c r="CP283" s="136"/>
      <c r="CQ283" s="242">
        <f>IF(ISERROR(CQ179/CO179-1),"",CQ179/CO179-1)</f>
        <v>2.0839160839160837</v>
      </c>
      <c r="CR283" s="242">
        <f t="shared" si="1151"/>
        <v>0.20408163265306123</v>
      </c>
      <c r="CS283" s="242">
        <f t="shared" si="1152"/>
        <v>0.2128060263653484</v>
      </c>
      <c r="CT283" s="242">
        <f t="shared" si="1153"/>
        <v>-0.37732919254658381</v>
      </c>
      <c r="CU283" s="136"/>
      <c r="CV283" s="242">
        <f>IF(ISERROR(CV179/CT179-1),"",CV179/CT179-1)</f>
        <v>0.57605985037406482</v>
      </c>
      <c r="CW283" s="242">
        <f t="shared" si="1154"/>
        <v>0.15189873417721511</v>
      </c>
      <c r="CX283" s="242">
        <f t="shared" si="1155"/>
        <v>6.8681318681318437E-3</v>
      </c>
      <c r="CY283" s="242">
        <f t="shared" si="1156"/>
        <v>-0.13506139154160979</v>
      </c>
      <c r="CZ283" s="136"/>
      <c r="DA283" s="242">
        <f>IF(ISERROR(DA179/CY179-1),"",DA179/CY179-1)</f>
        <v>0.33596214511041</v>
      </c>
      <c r="DB283" s="242">
        <f t="shared" si="1157"/>
        <v>1.0625737898465104E-2</v>
      </c>
      <c r="DC283" s="242">
        <f t="shared" si="1158"/>
        <v>-8.411214953271029E-2</v>
      </c>
      <c r="DD283" s="242">
        <f t="shared" si="1159"/>
        <v>7.3979591836734748E-2</v>
      </c>
      <c r="DE283" s="136"/>
      <c r="DF283" s="242">
        <f>IF(ISERROR(DF179/DD179-1),"",DF179/DD179-1)</f>
        <v>8.7885985748218598E-2</v>
      </c>
      <c r="DG283" s="242">
        <f t="shared" si="1160"/>
        <v>-5.0218340611353662E-2</v>
      </c>
      <c r="DH283" s="242">
        <f t="shared" si="1161"/>
        <v>-4.1379310344827558E-2</v>
      </c>
      <c r="DI283" s="242">
        <f t="shared" si="1162"/>
        <v>0.19664268585131905</v>
      </c>
      <c r="DJ283" s="136"/>
      <c r="DK283" s="242">
        <f>IF(ISERROR(DK179/DI179-1),"",DK179/DI179-1)</f>
        <v>-5.5110220440881763E-2</v>
      </c>
      <c r="DL283" s="242">
        <f t="shared" si="1163"/>
        <v>0.11240721102863205</v>
      </c>
      <c r="DM283" s="242">
        <f t="shared" si="1164"/>
        <v>-0.10581506196377499</v>
      </c>
      <c r="DN283" s="242">
        <f t="shared" si="1165"/>
        <v>10.240938166311301</v>
      </c>
      <c r="DO283" s="136"/>
      <c r="DP283" s="242">
        <f>IF(ISERROR(DP179/DN179-1),"",DP179/DN179-1)</f>
        <v>-0.90790971168437029</v>
      </c>
      <c r="DQ283" s="242">
        <f t="shared" si="1166"/>
        <v>-3.089598352214229E-3</v>
      </c>
      <c r="DR283" s="242">
        <f t="shared" si="1167"/>
        <v>1.5335761528804559E-2</v>
      </c>
      <c r="DS283" s="242">
        <f t="shared" si="1168"/>
        <v>4.691625034613689E-2</v>
      </c>
      <c r="DT283" s="136"/>
      <c r="DU283" s="242">
        <f>IF(ISERROR(DU179/DS179-1),"",DU179/DS179-1)</f>
        <v>-2.6640358309214074E-2</v>
      </c>
      <c r="DV283" s="242">
        <f t="shared" si="1169"/>
        <v>2.8122793720235739E-2</v>
      </c>
      <c r="DW283" s="242">
        <f t="shared" si="1170"/>
        <v>7.5241762772310317E-2</v>
      </c>
      <c r="DX283" s="242">
        <f t="shared" si="1171"/>
        <v>-3.3383717253382406E-3</v>
      </c>
      <c r="DY283" s="136"/>
      <c r="DZ283" s="136"/>
      <c r="EA283" s="136"/>
      <c r="EB283" s="136"/>
    </row>
    <row r="284" spans="2:132" s="241" customFormat="1" ht="12" hidden="1" customHeight="1" outlineLevel="1">
      <c r="B284" s="241" t="s">
        <v>144</v>
      </c>
      <c r="C284" s="301"/>
      <c r="D284" s="301"/>
      <c r="E284" s="301"/>
      <c r="F284" s="301"/>
      <c r="G284" s="301"/>
      <c r="H284" s="301"/>
      <c r="I284" s="301"/>
      <c r="J284" s="242"/>
      <c r="K284" s="242">
        <f t="shared" ref="K284:M285" si="1172">IF(ISERROR(K180/J180-1),"",K180/J180-1)</f>
        <v>-0.82758620689655171</v>
      </c>
      <c r="L284" s="242">
        <f t="shared" si="1172"/>
        <v>3</v>
      </c>
      <c r="M284" s="242">
        <f t="shared" si="1172"/>
        <v>-0.65</v>
      </c>
      <c r="N284" s="301"/>
      <c r="O284" s="242">
        <f>IF(ISERROR(O180/M180-1),"",O180/M180-1)</f>
        <v>1.0952380952380953</v>
      </c>
      <c r="P284" s="242">
        <f t="shared" ref="P284:R285" si="1173">IF(ISERROR(P180/O180-1),"",P180/O180-1)</f>
        <v>1.5454545454545454</v>
      </c>
      <c r="Q284" s="242">
        <f t="shared" si="1173"/>
        <v>-0.75</v>
      </c>
      <c r="R284" s="242">
        <f t="shared" si="1173"/>
        <v>0.71428571428571419</v>
      </c>
      <c r="S284" s="301"/>
      <c r="T284" s="242">
        <f>IF(ISERROR(T180/R180-1),"",T180/R180-1)</f>
        <v>0.45833333333333326</v>
      </c>
      <c r="U284" s="242">
        <f t="shared" ref="U284:W285" si="1174">IF(ISERROR(U180/T180-1),"",U180/T180-1)</f>
        <v>-0.11428571428571432</v>
      </c>
      <c r="V284" s="242">
        <f t="shared" si="1174"/>
        <v>0.967741935483871</v>
      </c>
      <c r="W284" s="242">
        <f t="shared" si="1174"/>
        <v>-0.69672131147540983</v>
      </c>
      <c r="X284" s="301"/>
      <c r="Y284" s="242">
        <f>IF(ISERROR(Y180/W180-1),"",Y180/W180-1)</f>
        <v>0.97297297297297303</v>
      </c>
      <c r="Z284" s="242">
        <f t="shared" ref="Z284:AB285" si="1175">IF(ISERROR(Z180/Y180-1),"",Z180/Y180-1)</f>
        <v>-4.1095890410958957E-2</v>
      </c>
      <c r="AA284" s="242">
        <f t="shared" si="1175"/>
        <v>-0.12857142857142856</v>
      </c>
      <c r="AB284" s="242">
        <f t="shared" si="1175"/>
        <v>-0.50819672131147542</v>
      </c>
      <c r="AC284" s="301"/>
      <c r="AD284" s="242">
        <f>IF(ISERROR(AD180/AB180-1),"",AD180/AB180-1)</f>
        <v>1.0333333333333332</v>
      </c>
      <c r="AE284" s="242">
        <f t="shared" ref="AE284:AG285" si="1176">IF(ISERROR(AE180/AD180-1),"",AE180/AD180-1)</f>
        <v>-0.26229508196721307</v>
      </c>
      <c r="AF284" s="242">
        <f t="shared" si="1176"/>
        <v>-0.17777777777777781</v>
      </c>
      <c r="AG284" s="242">
        <f t="shared" si="1176"/>
        <v>-0.48648648648648651</v>
      </c>
      <c r="AH284" s="301"/>
      <c r="AI284" s="242">
        <f>IF(ISERROR(AI180/AG180-1),"",AI180/AG180-1)</f>
        <v>0.94736842105263164</v>
      </c>
      <c r="AJ284" s="242">
        <f t="shared" ref="AJ284:AL285" si="1177">IF(ISERROR(AJ180/AI180-1),"",AJ180/AI180-1)</f>
        <v>-2.7027027027026973E-2</v>
      </c>
      <c r="AK284" s="242">
        <f t="shared" si="1177"/>
        <v>8.3333333333333259E-2</v>
      </c>
      <c r="AL284" s="242">
        <f t="shared" si="1177"/>
        <v>-0.64102564102564097</v>
      </c>
      <c r="AM284" s="301"/>
      <c r="AN284" s="242">
        <f>IF(ISERROR(AN180/AL180-1),"",AN180/AL180-1)</f>
        <v>2.2857142857142856</v>
      </c>
      <c r="AO284" s="242">
        <f t="shared" ref="AO284:AQ285" si="1178">IF(ISERROR(AO180/AN180-1),"",AO180/AN180-1)</f>
        <v>0.19565217391304346</v>
      </c>
      <c r="AP284" s="242">
        <f t="shared" si="1178"/>
        <v>-0.18181818181818177</v>
      </c>
      <c r="AQ284" s="242">
        <f t="shared" si="1178"/>
        <v>-0.8666666666666667</v>
      </c>
      <c r="AR284" s="309"/>
      <c r="AS284" s="242">
        <f>IF(ISERROR(AS180/AQ180-1),"",AS180/AQ180-1)</f>
        <v>7.6666666666666661</v>
      </c>
      <c r="AT284" s="242">
        <f t="shared" ref="AT284:AV285" si="1179">IF(ISERROR(AT180/AS180-1),"",AT180/AS180-1)</f>
        <v>0.19230769230769229</v>
      </c>
      <c r="AU284" s="242">
        <f t="shared" si="1179"/>
        <v>-0.69354838709677424</v>
      </c>
      <c r="AV284" s="242">
        <f t="shared" si="1179"/>
        <v>-1.4210526315789473</v>
      </c>
      <c r="AW284" s="309"/>
      <c r="AX284" s="242">
        <f>IF(ISERROR(AX180/AV180-1),"",AX180/AV180-1)</f>
        <v>-5.75</v>
      </c>
      <c r="AY284" s="242">
        <f t="shared" ref="AY284:BA285" si="1180">IF(ISERROR(AY180/AX180-1),"",AY180/AX180-1)</f>
        <v>-0.18421052631578949</v>
      </c>
      <c r="AZ284" s="242">
        <f t="shared" si="1180"/>
        <v>6.4516129032258007E-2</v>
      </c>
      <c r="BA284" s="242">
        <f t="shared" si="1180"/>
        <v>-1.606060606060606</v>
      </c>
      <c r="BB284" s="309"/>
      <c r="BC284" s="242">
        <f>IF(ISERROR(BC180/BA180-1),"",BC180/BA180-1)</f>
        <v>-3.2</v>
      </c>
      <c r="BD284" s="242">
        <f t="shared" ref="BD284:BF285" si="1181">IF(ISERROR(BD180/BC180-1),"",BD180/BC180-1)</f>
        <v>-0.56818181818181812</v>
      </c>
      <c r="BE284" s="242">
        <f t="shared" si="1181"/>
        <v>0.84210526315789469</v>
      </c>
      <c r="BF284" s="242">
        <f t="shared" si="1181"/>
        <v>-0.74285714285714288</v>
      </c>
      <c r="BG284" s="309"/>
      <c r="BH284" s="242">
        <f>IF(ISERROR(BH180/BF180-1),"",BH180/BF180-1)</f>
        <v>3.8888888888888893</v>
      </c>
      <c r="BI284" s="242">
        <f t="shared" ref="BI284:BK285" si="1182">IF(ISERROR(BI180/BH180-1),"",BI180/BH180-1)</f>
        <v>-0.25</v>
      </c>
      <c r="BJ284" s="242">
        <f t="shared" si="1182"/>
        <v>-1.3333333333333333</v>
      </c>
      <c r="BK284" s="242">
        <f t="shared" si="1182"/>
        <v>-3.3636363636363638</v>
      </c>
      <c r="BL284" s="136"/>
      <c r="BM284" s="242">
        <f>IF(ISERROR(BM180/BK180-1),"",BM180/BK180-1)</f>
        <v>-0.23076923076923073</v>
      </c>
      <c r="BN284" s="242">
        <f t="shared" ref="BN284:BP285" si="1183">IF(ISERROR(BN180/BM180-1),"",BN180/BM180-1)</f>
        <v>-0.44999999999999996</v>
      </c>
      <c r="BO284" s="242">
        <f t="shared" si="1183"/>
        <v>-9.0909090909090939E-2</v>
      </c>
      <c r="BP284" s="242">
        <f t="shared" si="1183"/>
        <v>-9.9999999999999978E-2</v>
      </c>
      <c r="BQ284" s="136"/>
      <c r="BR284" s="242">
        <f>IF(ISERROR(BR180/BP180-1),"",BR180/BP180-1)</f>
        <v>-0.44444444444444442</v>
      </c>
      <c r="BS284" s="242">
        <f t="shared" si="1146"/>
        <v>2.6</v>
      </c>
      <c r="BT284" s="242">
        <f t="shared" si="1146"/>
        <v>-0.27777777777777779</v>
      </c>
      <c r="BU284" s="242">
        <f t="shared" si="1146"/>
        <v>0.76923076923076916</v>
      </c>
      <c r="BV284" s="136"/>
      <c r="BW284" s="242">
        <f>IF(ISERROR(BW180/BU180-1),"",BW180/BU180-1)</f>
        <v>0.69565217391304346</v>
      </c>
      <c r="BX284" s="242">
        <f t="shared" si="1147"/>
        <v>-0.35897435897435892</v>
      </c>
      <c r="BY284" s="242">
        <f t="shared" si="1147"/>
        <v>-7.999999999999996E-2</v>
      </c>
      <c r="BZ284" s="242">
        <f t="shared" si="1147"/>
        <v>0.17391304347826098</v>
      </c>
      <c r="CA284" s="136"/>
      <c r="CB284" s="242">
        <f>IF(ISERROR(CB180/BZ180-1),"",CB180/BZ180-1)</f>
        <v>-0.2592592592592593</v>
      </c>
      <c r="CC284" s="242">
        <f t="shared" si="1148"/>
        <v>0.19999999999999996</v>
      </c>
      <c r="CD284" s="242">
        <f t="shared" si="1148"/>
        <v>0.125</v>
      </c>
      <c r="CE284" s="242">
        <f t="shared" si="1148"/>
        <v>-0.70370370370370372</v>
      </c>
      <c r="CF284" s="136"/>
      <c r="CG284" s="242">
        <f>IF(ISERROR(CG180/CE180-1),"",CG180/CE180-1)</f>
        <v>1.5</v>
      </c>
      <c r="CH284" s="242">
        <f t="shared" si="1149"/>
        <v>0.85000000000000009</v>
      </c>
      <c r="CI284" s="242">
        <f t="shared" si="1149"/>
        <v>-0.21621621621621623</v>
      </c>
      <c r="CJ284" s="242">
        <f t="shared" si="1149"/>
        <v>-3</v>
      </c>
      <c r="CK284" s="136"/>
      <c r="CL284" s="242">
        <f>IF(ISERROR(CL180/CJ180-1),"",CL180/CJ180-1)</f>
        <v>-1.4137931034482758</v>
      </c>
      <c r="CM284" s="242">
        <f t="shared" si="1150"/>
        <v>-1.2916666666666667</v>
      </c>
      <c r="CN284" s="242">
        <f t="shared" si="1150"/>
        <v>-5.2857142857142856</v>
      </c>
      <c r="CO284" s="242">
        <f t="shared" si="1150"/>
        <v>-0.46666666666666667</v>
      </c>
      <c r="CP284" s="136"/>
      <c r="CQ284" s="242">
        <f>IF(ISERROR(CQ180/CO180-1),"",CQ180/CO180-1)</f>
        <v>0.3125</v>
      </c>
      <c r="CR284" s="242">
        <f t="shared" si="1151"/>
        <v>0.71428571428571419</v>
      </c>
      <c r="CS284" s="242">
        <f t="shared" si="1152"/>
        <v>0.16666666666666674</v>
      </c>
      <c r="CT284" s="242">
        <f t="shared" si="1153"/>
        <v>-0.83333333333333337</v>
      </c>
      <c r="CU284" s="136"/>
      <c r="CV284" s="242">
        <f>IF(ISERROR(CV180/CT180-1),"",CV180/CT180-1)</f>
        <v>-6.1428571428571432</v>
      </c>
      <c r="CW284" s="242">
        <f t="shared" si="1154"/>
        <v>-1.75</v>
      </c>
      <c r="CX284" s="242">
        <f t="shared" si="1155"/>
        <v>-0.14814814814814814</v>
      </c>
      <c r="CY284" s="242">
        <f t="shared" si="1156"/>
        <v>-0.34782608695652173</v>
      </c>
      <c r="CZ284" s="136"/>
      <c r="DA284" s="242">
        <f>IF(ISERROR(DA180/CY180-1),"",DA180/CY180-1)</f>
        <v>-1</v>
      </c>
      <c r="DB284" s="242" t="str">
        <f t="shared" si="1157"/>
        <v/>
      </c>
      <c r="DC284" s="242" t="str">
        <f t="shared" si="1158"/>
        <v/>
      </c>
      <c r="DD284" s="242" t="str">
        <f t="shared" si="1159"/>
        <v/>
      </c>
      <c r="DE284" s="136"/>
      <c r="DF284" s="242" t="str">
        <f>IF(ISERROR(DF180/DD180-1),"",DF180/DD180-1)</f>
        <v/>
      </c>
      <c r="DG284" s="242" t="str">
        <f t="shared" si="1160"/>
        <v/>
      </c>
      <c r="DH284" s="242" t="str">
        <f t="shared" si="1161"/>
        <v/>
      </c>
      <c r="DI284" s="242" t="str">
        <f t="shared" si="1162"/>
        <v/>
      </c>
      <c r="DJ284" s="136"/>
      <c r="DK284" s="242" t="str">
        <f>IF(ISERROR(DK180/DI180-1),"",DK180/DI180-1)</f>
        <v/>
      </c>
      <c r="DL284" s="242" t="str">
        <f t="shared" si="1163"/>
        <v/>
      </c>
      <c r="DM284" s="242" t="str">
        <f t="shared" si="1164"/>
        <v/>
      </c>
      <c r="DN284" s="242" t="str">
        <f t="shared" si="1165"/>
        <v/>
      </c>
      <c r="DO284" s="136"/>
      <c r="DP284" s="242" t="str">
        <f>IF(ISERROR(DP180/DN180-1),"",DP180/DN180-1)</f>
        <v/>
      </c>
      <c r="DQ284" s="242" t="str">
        <f t="shared" si="1166"/>
        <v/>
      </c>
      <c r="DR284" s="242" t="str">
        <f t="shared" si="1167"/>
        <v/>
      </c>
      <c r="DS284" s="242" t="str">
        <f t="shared" si="1168"/>
        <v/>
      </c>
      <c r="DT284" s="136"/>
      <c r="DU284" s="242" t="str">
        <f>IF(ISERROR(DU180/DS180-1),"",DU180/DS180-1)</f>
        <v/>
      </c>
      <c r="DV284" s="242" t="str">
        <f t="shared" si="1169"/>
        <v/>
      </c>
      <c r="DW284" s="242" t="str">
        <f t="shared" si="1170"/>
        <v/>
      </c>
      <c r="DX284" s="242" t="str">
        <f t="shared" si="1171"/>
        <v/>
      </c>
      <c r="DY284" s="136"/>
      <c r="DZ284" s="136"/>
      <c r="EA284" s="136"/>
      <c r="EB284" s="136"/>
    </row>
    <row r="285" spans="2:132" s="241" customFormat="1" ht="12" hidden="1" customHeight="1" outlineLevel="1">
      <c r="B285" s="241" t="s">
        <v>93</v>
      </c>
      <c r="C285" s="301"/>
      <c r="D285" s="301"/>
      <c r="E285" s="301"/>
      <c r="F285" s="301"/>
      <c r="G285" s="301"/>
      <c r="H285" s="301"/>
      <c r="I285" s="301"/>
      <c r="J285" s="242"/>
      <c r="K285" s="242">
        <f t="shared" si="1172"/>
        <v>0.19230769230769229</v>
      </c>
      <c r="L285" s="242">
        <f t="shared" si="1172"/>
        <v>0.16935483870967749</v>
      </c>
      <c r="M285" s="242">
        <f t="shared" si="1172"/>
        <v>0.11724137931034484</v>
      </c>
      <c r="N285" s="301"/>
      <c r="O285" s="242">
        <f>IF(ISERROR(O181/M181-1),"",O181/M181-1)</f>
        <v>-0.55555555555555558</v>
      </c>
      <c r="P285" s="242">
        <f t="shared" si="1173"/>
        <v>0.45833333333333326</v>
      </c>
      <c r="Q285" s="242">
        <f t="shared" si="1173"/>
        <v>-7.6190476190476142E-2</v>
      </c>
      <c r="R285" s="242">
        <f t="shared" si="1173"/>
        <v>-0.38144329896907214</v>
      </c>
      <c r="S285" s="301"/>
      <c r="T285" s="242">
        <f>IF(ISERROR(T181/R181-1),"",T181/R181-1)</f>
        <v>1.6666666666666607E-2</v>
      </c>
      <c r="U285" s="242">
        <f t="shared" si="1174"/>
        <v>0.47540983606557385</v>
      </c>
      <c r="V285" s="242">
        <f t="shared" si="1174"/>
        <v>4.4888888888888889</v>
      </c>
      <c r="W285" s="242">
        <f t="shared" si="1174"/>
        <v>-0.81174089068825905</v>
      </c>
      <c r="X285" s="301"/>
      <c r="Y285" s="242">
        <f>IF(ISERROR(Y181/W181-1),"",Y181/W181-1)</f>
        <v>-0.978494623655914</v>
      </c>
      <c r="Z285" s="242">
        <f t="shared" si="1175"/>
        <v>14</v>
      </c>
      <c r="AA285" s="242">
        <f t="shared" si="1175"/>
        <v>0.53333333333333344</v>
      </c>
      <c r="AB285" s="242">
        <f t="shared" si="1175"/>
        <v>2.5869565217391304</v>
      </c>
      <c r="AC285" s="301"/>
      <c r="AD285" s="242">
        <f>IF(ISERROR(AD181/AB181-1),"",AD181/AB181-1)</f>
        <v>-0.69696969696969702</v>
      </c>
      <c r="AE285" s="242">
        <f t="shared" si="1176"/>
        <v>1.7000000000000002</v>
      </c>
      <c r="AF285" s="242">
        <f t="shared" si="1176"/>
        <v>-0.64444444444444438</v>
      </c>
      <c r="AG285" s="242">
        <f t="shared" si="1176"/>
        <v>0.54166666666666674</v>
      </c>
      <c r="AH285" s="301"/>
      <c r="AI285" s="242">
        <f>IF(ISERROR(AI181/AG181-1),"",AI181/AG181-1)</f>
        <v>-0.68918918918918926</v>
      </c>
      <c r="AJ285" s="242">
        <f t="shared" si="1177"/>
        <v>1</v>
      </c>
      <c r="AK285" s="242">
        <f t="shared" si="1177"/>
        <v>-0.21739130434782605</v>
      </c>
      <c r="AL285" s="242">
        <f t="shared" si="1177"/>
        <v>0.30555555555555558</v>
      </c>
      <c r="AM285" s="301"/>
      <c r="AN285" s="242">
        <f>IF(ISERROR(AN181/AL181-1),"",AN181/AL181-1)</f>
        <v>6.3829787234042534E-2</v>
      </c>
      <c r="AO285" s="242">
        <f t="shared" si="1178"/>
        <v>0.43999999999999995</v>
      </c>
      <c r="AP285" s="242">
        <f t="shared" si="1178"/>
        <v>0.83333333333333326</v>
      </c>
      <c r="AQ285" s="242">
        <f t="shared" si="1178"/>
        <v>-0.44696969696969702</v>
      </c>
      <c r="AR285" s="309"/>
      <c r="AS285" s="242">
        <f>IF(ISERROR(AS181/AQ181-1),"",AS181/AQ181-1)</f>
        <v>-0.69863013698630139</v>
      </c>
      <c r="AT285" s="242">
        <f t="shared" si="1179"/>
        <v>1.6363636363636362</v>
      </c>
      <c r="AU285" s="242">
        <f t="shared" si="1179"/>
        <v>-2.5862068965517242</v>
      </c>
      <c r="AV285" s="242">
        <f t="shared" si="1179"/>
        <v>-0.53260869565217384</v>
      </c>
      <c r="AW285" s="309"/>
      <c r="AX285" s="242">
        <f>IF(ISERROR(AX181/AV181-1),"",AX181/AV181-1)</f>
        <v>-2.8372093023255811</v>
      </c>
      <c r="AY285" s="242">
        <f t="shared" si="1180"/>
        <v>-0.36708860759493667</v>
      </c>
      <c r="AZ285" s="242">
        <f t="shared" si="1180"/>
        <v>0.48</v>
      </c>
      <c r="BA285" s="242">
        <f t="shared" si="1180"/>
        <v>-1.5945945945945947</v>
      </c>
      <c r="BB285" s="309"/>
      <c r="BC285" s="242">
        <f>IF(ISERROR(BC181/BA181-1),"",BC181/BA181-1)</f>
        <v>-2.3181818181818183</v>
      </c>
      <c r="BD285" s="242">
        <f t="shared" si="1181"/>
        <v>-0.25862068965517238</v>
      </c>
      <c r="BE285" s="242">
        <f t="shared" si="1181"/>
        <v>-2.0232558139534884</v>
      </c>
      <c r="BF285" s="242">
        <f t="shared" si="1181"/>
        <v>-3.25</v>
      </c>
      <c r="BG285" s="309"/>
      <c r="BH285" s="242">
        <f>IF(ISERROR(BH181/BF181-1),"",BH181/BF181-1)</f>
        <v>-0.3737373737373737</v>
      </c>
      <c r="BI285" s="242">
        <f t="shared" si="1182"/>
        <v>-0.22580645161290325</v>
      </c>
      <c r="BJ285" s="242">
        <f t="shared" si="1182"/>
        <v>-0.60416666666666674</v>
      </c>
      <c r="BK285" s="242">
        <f t="shared" si="1182"/>
        <v>-1</v>
      </c>
      <c r="BL285" s="136"/>
      <c r="BM285" s="242" t="str">
        <f>IF(ISERROR(BM181/BK181-1),"",BM181/BK181-1)</f>
        <v/>
      </c>
      <c r="BN285" s="242" t="str">
        <f t="shared" si="1183"/>
        <v/>
      </c>
      <c r="BO285" s="242" t="str">
        <f t="shared" si="1183"/>
        <v/>
      </c>
      <c r="BP285" s="242">
        <f t="shared" si="1183"/>
        <v>-1</v>
      </c>
      <c r="BQ285" s="136"/>
      <c r="BR285" s="242" t="str">
        <f>IF(ISERROR(BR181/BP181-1),"",BR181/BP181-1)</f>
        <v/>
      </c>
      <c r="BS285" s="242" t="str">
        <f t="shared" si="1146"/>
        <v/>
      </c>
      <c r="BT285" s="242" t="str">
        <f t="shared" si="1146"/>
        <v/>
      </c>
      <c r="BU285" s="242" t="str">
        <f t="shared" si="1146"/>
        <v/>
      </c>
      <c r="BV285" s="136"/>
      <c r="BW285" s="242" t="str">
        <f>IF(ISERROR(BW181/BU181-1),"",BW181/BU181-1)</f>
        <v/>
      </c>
      <c r="BX285" s="242" t="str">
        <f t="shared" si="1147"/>
        <v/>
      </c>
      <c r="BY285" s="242" t="str">
        <f t="shared" si="1147"/>
        <v/>
      </c>
      <c r="BZ285" s="242" t="str">
        <f t="shared" si="1147"/>
        <v/>
      </c>
      <c r="CA285" s="136"/>
      <c r="CB285" s="242" t="str">
        <f>IF(ISERROR(CB181/BZ181-1),"",CB181/BZ181-1)</f>
        <v/>
      </c>
      <c r="CC285" s="242" t="str">
        <f t="shared" si="1148"/>
        <v/>
      </c>
      <c r="CD285" s="242" t="str">
        <f t="shared" si="1148"/>
        <v/>
      </c>
      <c r="CE285" s="242" t="str">
        <f t="shared" si="1148"/>
        <v/>
      </c>
      <c r="CF285" s="136"/>
      <c r="CG285" s="242" t="str">
        <f>IF(ISERROR(CG181/CE181-1),"",CG181/CE181-1)</f>
        <v/>
      </c>
      <c r="CH285" s="242" t="str">
        <f t="shared" si="1149"/>
        <v/>
      </c>
      <c r="CI285" s="242" t="str">
        <f t="shared" si="1149"/>
        <v/>
      </c>
      <c r="CJ285" s="242" t="str">
        <f t="shared" si="1149"/>
        <v/>
      </c>
      <c r="CK285" s="136"/>
      <c r="CL285" s="242" t="str">
        <f>IF(ISERROR(CL181/CJ181-1),"",CL181/CJ181-1)</f>
        <v/>
      </c>
      <c r="CM285" s="242" t="str">
        <f t="shared" si="1150"/>
        <v/>
      </c>
      <c r="CN285" s="242" t="str">
        <f t="shared" si="1150"/>
        <v/>
      </c>
      <c r="CO285" s="242" t="str">
        <f t="shared" si="1150"/>
        <v/>
      </c>
      <c r="CP285" s="136"/>
      <c r="CQ285" s="242" t="str">
        <f>IF(ISERROR(CQ181/CO181-1),"",CQ181/CO181-1)</f>
        <v/>
      </c>
      <c r="CR285" s="242" t="str">
        <f t="shared" si="1151"/>
        <v/>
      </c>
      <c r="CS285" s="242" t="str">
        <f t="shared" si="1152"/>
        <v/>
      </c>
      <c r="CT285" s="242" t="str">
        <f t="shared" si="1153"/>
        <v/>
      </c>
      <c r="CU285" s="136"/>
      <c r="CV285" s="242" t="str">
        <f>IF(ISERROR(CV181/CT181-1),"",CV181/CT181-1)</f>
        <v/>
      </c>
      <c r="CW285" s="242" t="str">
        <f t="shared" si="1154"/>
        <v/>
      </c>
      <c r="CX285" s="242" t="str">
        <f t="shared" si="1155"/>
        <v/>
      </c>
      <c r="CY285" s="242" t="str">
        <f t="shared" si="1156"/>
        <v/>
      </c>
      <c r="CZ285" s="136"/>
      <c r="DA285" s="242" t="str">
        <f>IF(ISERROR(DA181/CY181-1),"",DA181/CY181-1)</f>
        <v/>
      </c>
      <c r="DB285" s="242" t="str">
        <f t="shared" si="1157"/>
        <v/>
      </c>
      <c r="DC285" s="242" t="str">
        <f t="shared" si="1158"/>
        <v/>
      </c>
      <c r="DD285" s="242" t="str">
        <f t="shared" si="1159"/>
        <v/>
      </c>
      <c r="DE285" s="136"/>
      <c r="DF285" s="242" t="str">
        <f>IF(ISERROR(DF181/DD181-1),"",DF181/DD181-1)</f>
        <v/>
      </c>
      <c r="DG285" s="242" t="str">
        <f t="shared" si="1160"/>
        <v/>
      </c>
      <c r="DH285" s="242" t="str">
        <f t="shared" si="1161"/>
        <v/>
      </c>
      <c r="DI285" s="242" t="str">
        <f t="shared" si="1162"/>
        <v/>
      </c>
      <c r="DJ285" s="136"/>
      <c r="DK285" s="242" t="str">
        <f>IF(ISERROR(DK181/DI181-1),"",DK181/DI181-1)</f>
        <v/>
      </c>
      <c r="DL285" s="242" t="str">
        <f t="shared" si="1163"/>
        <v/>
      </c>
      <c r="DM285" s="242" t="str">
        <f t="shared" si="1164"/>
        <v/>
      </c>
      <c r="DN285" s="242" t="str">
        <f t="shared" si="1165"/>
        <v/>
      </c>
      <c r="DO285" s="136"/>
      <c r="DP285" s="242" t="str">
        <f>IF(ISERROR(DP181/DN181-1),"",DP181/DN181-1)</f>
        <v/>
      </c>
      <c r="DQ285" s="242" t="str">
        <f t="shared" si="1166"/>
        <v/>
      </c>
      <c r="DR285" s="242" t="str">
        <f t="shared" si="1167"/>
        <v/>
      </c>
      <c r="DS285" s="242" t="str">
        <f t="shared" si="1168"/>
        <v/>
      </c>
      <c r="DT285" s="136"/>
      <c r="DU285" s="242" t="str">
        <f>IF(ISERROR(DU181/DS181-1),"",DU181/DS181-1)</f>
        <v/>
      </c>
      <c r="DV285" s="242" t="str">
        <f t="shared" si="1169"/>
        <v/>
      </c>
      <c r="DW285" s="242" t="str">
        <f t="shared" si="1170"/>
        <v/>
      </c>
      <c r="DX285" s="242" t="str">
        <f t="shared" si="1171"/>
        <v/>
      </c>
      <c r="DY285" s="136"/>
      <c r="DZ285" s="136"/>
      <c r="EA285" s="136"/>
      <c r="EB285" s="136"/>
    </row>
    <row r="286" spans="2:132" s="241" customFormat="1" ht="12.75" hidden="1" customHeight="1" outlineLevel="1">
      <c r="B286" s="241" t="s">
        <v>109</v>
      </c>
      <c r="C286" s="301"/>
      <c r="D286" s="301"/>
      <c r="E286" s="301"/>
      <c r="F286" s="301"/>
      <c r="G286" s="301"/>
      <c r="H286" s="301"/>
      <c r="I286" s="301"/>
      <c r="J286" s="242"/>
      <c r="K286" s="242">
        <f>IF(ISERROR(K186/J186-1),"",K186/J186-1)</f>
        <v>0.38297872340425543</v>
      </c>
      <c r="L286" s="242">
        <f>IF(ISERROR(L186/K186-1),"",L186/K186-1)</f>
        <v>0.19384615384615378</v>
      </c>
      <c r="M286" s="242">
        <f>IF(ISERROR(M186/L186-1),"",M186/L186-1)</f>
        <v>-4.3814432989690677E-2</v>
      </c>
      <c r="N286" s="301"/>
      <c r="O286" s="242">
        <f>IF(ISERROR(O186/M186-1),"",O186/M186-1)</f>
        <v>0.40161725067385445</v>
      </c>
      <c r="P286" s="242">
        <f>IF(ISERROR(P186/O186-1),"",P186/O186-1)</f>
        <v>-6.1538461538461542E-2</v>
      </c>
      <c r="Q286" s="242">
        <f>IF(ISERROR(Q186/P186-1),"",Q186/P186-1)</f>
        <v>0.45286885245901631</v>
      </c>
      <c r="R286" s="242">
        <f>IF(ISERROR(R186/Q186-1),"",R186/Q186-1)</f>
        <v>-2.5387870239774291E-2</v>
      </c>
      <c r="S286" s="301"/>
      <c r="T286" s="242">
        <f>IF(ISERROR(T186/R186-1),"",T186/R186-1)</f>
        <v>-0.17510853835021711</v>
      </c>
      <c r="U286" s="242">
        <f>IF(ISERROR(U186/T186-1),"",U186/T186-1)</f>
        <v>-0.16315789473684206</v>
      </c>
      <c r="V286" s="242">
        <f>IF(ISERROR(V186/U186-1),"",V186/U186-1)</f>
        <v>-0.5765199161425576</v>
      </c>
      <c r="W286" s="242">
        <f>IF(ISERROR(W186/V186-1),"",W186/V186-1)</f>
        <v>1.3960396039603959</v>
      </c>
      <c r="X286" s="301"/>
      <c r="Y286" s="242">
        <f>IF(ISERROR(Y186/W186-1),"",Y186/W186-1)</f>
        <v>-0.47933884297520657</v>
      </c>
      <c r="Z286" s="242">
        <f>IF(ISERROR(Z186/Y186-1),"",Z186/Y186-1)</f>
        <v>0.38095238095238093</v>
      </c>
      <c r="AA286" s="242">
        <f>IF(ISERROR(AA186/Z186-1),"",AA186/Z186-1)</f>
        <v>-0.18103448275862066</v>
      </c>
      <c r="AB286" s="242">
        <f>IF(ISERROR(AB186/AA186-1),"",AB186/AA186-1)</f>
        <v>5.2631578947368363E-2</v>
      </c>
      <c r="AC286" s="301"/>
      <c r="AD286" s="242">
        <f>IF(ISERROR(AD186/AB186-1),"",AD186/AB186-1)</f>
        <v>-0.81666666666666665</v>
      </c>
      <c r="AE286" s="242">
        <f>IF(ISERROR(AE186/AD186-1),"",AE186/AD186-1)</f>
        <v>0.39999999999999991</v>
      </c>
      <c r="AF286" s="242">
        <f>IF(ISERROR(AF186/AE186-1),"",AF186/AE186-1)</f>
        <v>0.16883116883116878</v>
      </c>
      <c r="AG286" s="242">
        <f>IF(ISERROR(AG186/AF186-1),"",AG186/AF186-1)</f>
        <v>0.12222222222222223</v>
      </c>
      <c r="AH286" s="301"/>
      <c r="AI286" s="242">
        <f>IF(ISERROR(AI186/AG186-1),"",AI186/AG186-1)</f>
        <v>0.13861386138613851</v>
      </c>
      <c r="AJ286" s="242">
        <f>IF(ISERROR(AJ186/AI186-1),"",AJ186/AI186-1)</f>
        <v>0.33913043478260874</v>
      </c>
      <c r="AK286" s="242">
        <f>IF(ISERROR(AK186/AJ186-1),"",AK186/AJ186-1)</f>
        <v>0.31168831168831179</v>
      </c>
      <c r="AL286" s="242">
        <f>IF(ISERROR(AL186/AK186-1),"",AL186/AK186-1)</f>
        <v>-0.3910891089108911</v>
      </c>
      <c r="AM286" s="301"/>
      <c r="AN286" s="242">
        <f>IF(ISERROR(AN186/AL186-1),"",AN186/AL186-1)</f>
        <v>0.34146341463414642</v>
      </c>
      <c r="AO286" s="242">
        <f>IF(ISERROR(AO186/AN186-1),"",AO186/AN186-1)</f>
        <v>-0.57575757575757569</v>
      </c>
      <c r="AP286" s="242">
        <f>IF(ISERROR(AP186/AO186-1),"",AP186/AO186-1)</f>
        <v>2.2428571428571429</v>
      </c>
      <c r="AQ286" s="242">
        <f>IF(ISERROR(AQ186/AP186-1),"",AQ186/AP186-1)</f>
        <v>0.20264317180616742</v>
      </c>
      <c r="AR286" s="309"/>
      <c r="AS286" s="242">
        <f>IF(ISERROR(AS186/AQ186-1),"",AS186/AQ186-1)</f>
        <v>-0.23076923076923073</v>
      </c>
      <c r="AT286" s="242">
        <f>IF(ISERROR(AT186/AS186-1),"",AT186/AS186-1)</f>
        <v>-0.10476190476190472</v>
      </c>
      <c r="AU286" s="242">
        <f>IF(ISERROR(AU186/AT186-1),"",AU186/AT186-1)</f>
        <v>0.62765957446808507</v>
      </c>
      <c r="AV286" s="242">
        <f>IF(ISERROR(AV186/AU186-1),"",AV186/AU186-1)</f>
        <v>-7.1895424836601274E-2</v>
      </c>
      <c r="AW286" s="309"/>
      <c r="AX286" s="242">
        <f>IF(ISERROR(AX186/AV186-1),"",AX186/AV186-1)</f>
        <v>-0.25352112676056338</v>
      </c>
      <c r="AY286" s="242">
        <f>IF(ISERROR(AY186/AX186-1),"",AY186/AX186-1)</f>
        <v>0.84905660377358494</v>
      </c>
      <c r="AZ286" s="242">
        <f>IF(ISERROR(AZ186/AY186-1),"",AZ186/AY186-1)</f>
        <v>-4.3367346938775531E-2</v>
      </c>
      <c r="BA286" s="242">
        <f>IF(ISERROR(BA186/AZ186-1),"",BA186/AZ186-1)</f>
        <v>9.866666666666668E-2</v>
      </c>
      <c r="BB286" s="309"/>
      <c r="BC286" s="242">
        <f>IF(ISERROR(BC186/BA186-1),"",BC186/BA186-1)</f>
        <v>0.2354368932038835</v>
      </c>
      <c r="BD286" s="242">
        <f>IF(ISERROR(BD186/BC186-1),"",BD186/BC186-1)</f>
        <v>-3.9292730844793677E-2</v>
      </c>
      <c r="BE286" s="242">
        <f>IF(ISERROR(BE186/BD186-1),"",BE186/BD186-1)</f>
        <v>0.15746421267893651</v>
      </c>
      <c r="BF286" s="242">
        <f>IF(ISERROR(BF186/BE186-1),"",BF186/BE186-1)</f>
        <v>0.51060070671378099</v>
      </c>
      <c r="BG286" s="309"/>
      <c r="BH286" s="242">
        <f>IF(ISERROR(BH186/BF186-1),"",BH186/BF186-1)</f>
        <v>-0.15789473684210531</v>
      </c>
      <c r="BI286" s="242">
        <f>IF(ISERROR(BI186/BH186-1),"",BI186/BH186-1)</f>
        <v>-0.54166666666666674</v>
      </c>
      <c r="BJ286" s="242">
        <f>IF(ISERROR(BJ186/BI186-1),"",BJ186/BI186-1)</f>
        <v>0.52727272727272734</v>
      </c>
      <c r="BK286" s="242">
        <f>IF(ISERROR(BK186/BJ186-1),"",BK186/BJ186-1)</f>
        <v>-4.7619047619047672E-2</v>
      </c>
      <c r="BL286" s="136"/>
      <c r="BM286" s="242">
        <f>IF(ISERROR(BM186/BK186-1),"",BM186/BK186-1)</f>
        <v>-0.24791666666666667</v>
      </c>
      <c r="BN286" s="242">
        <f>IF(ISERROR(BN186/BM186-1),"",BN186/BM186-1)</f>
        <v>-0.77839335180055402</v>
      </c>
      <c r="BO286" s="242">
        <f>IF(ISERROR(BO186/BN186-1),"",BO186/BN186-1)</f>
        <v>1.4874999999999998</v>
      </c>
      <c r="BP286" s="242">
        <f>IF(ISERROR(BP186/BO186-1),"",BP186/BO186-1)</f>
        <v>0.89447236180904532</v>
      </c>
      <c r="BQ286" s="136"/>
      <c r="BR286" s="242">
        <f>IF(ISERROR(BR186/BP186-1),"",BR186/BP186-1)</f>
        <v>-0.80901856763925728</v>
      </c>
      <c r="BS286" s="242">
        <f>IF(ISERROR(BS186/BR186-1),"",BS186/BR186-1)</f>
        <v>-0.20833333333333337</v>
      </c>
      <c r="BT286" s="242">
        <f>IF(ISERROR(BT186/BS186-1),"",BT186/BS186-1)</f>
        <v>0.96491228070175428</v>
      </c>
      <c r="BU286" s="242">
        <f>IF(ISERROR(BU186/BT186-1),"",BU186/BT186-1)</f>
        <v>8.9285714285714191E-2</v>
      </c>
      <c r="BV286" s="136"/>
      <c r="BW286" s="242">
        <f>IF(ISERROR(BW186/BU186-1),"",BW186/BU186-1)</f>
        <v>0.81147540983606548</v>
      </c>
      <c r="BX286" s="242">
        <f>IF(ISERROR(BX186/BW186-1),"",BX186/BW186-1)</f>
        <v>0.43438914027149322</v>
      </c>
      <c r="BY286" s="242">
        <f>IF(ISERROR(BY186/BX186-1),"",BY186/BX186-1)</f>
        <v>-0.26498422712933756</v>
      </c>
      <c r="BZ286" s="242">
        <f>IF(ISERROR(BZ186/BY186-1),"",BZ186/BY186-1)</f>
        <v>0.40772532188841204</v>
      </c>
      <c r="CA286" s="136"/>
      <c r="CB286" s="242">
        <f>IF(ISERROR(CB186/BZ186-1),"",CB186/BZ186-1)</f>
        <v>-6.0975609756097615E-3</v>
      </c>
      <c r="CC286" s="242">
        <f>IF(ISERROR(CC186/CB186-1),"",CC186/CB186-1)</f>
        <v>0.21472392638036819</v>
      </c>
      <c r="CD286" s="242">
        <f>IF(ISERROR(CD186/CC186-1),"",CD186/CC186-1)</f>
        <v>0.18939393939393945</v>
      </c>
      <c r="CE286" s="242">
        <f>IF(ISERROR(CE186/CD186-1),"",CE186/CD186-1)</f>
        <v>-0.4713375796178344</v>
      </c>
      <c r="CF286" s="136"/>
      <c r="CG286" s="242">
        <f>IF(ISERROR(CG186/CE186-1),"",CG186/CE186-1)</f>
        <v>1.8393574297188753</v>
      </c>
      <c r="CH286" s="242">
        <f>IF(ISERROR(CH186/CG186-1),"",CH186/CG186-1)</f>
        <v>-0.29561527581329561</v>
      </c>
      <c r="CI286" s="242">
        <f>IF(ISERROR(CI186/CH186-1),"",CI186/CH186-1)</f>
        <v>4.6184738955823201E-2</v>
      </c>
      <c r="CJ286" s="242">
        <f>IF(ISERROR(CJ186/CI186-1),"",CJ186/CI186-1)</f>
        <v>-0.34932821497120925</v>
      </c>
      <c r="CK286" s="136"/>
      <c r="CL286" s="242">
        <f>IF(ISERROR(CL186/CJ186-1),"",CL186/CJ186-1)</f>
        <v>-0.48967551622418881</v>
      </c>
      <c r="CM286" s="242">
        <f>IF(ISERROR(CM186/CL186-1),"",CM186/CL186-1)</f>
        <v>1.7630057803468207</v>
      </c>
      <c r="CN286" s="242">
        <f>IF(ISERROR(CN186/CM186-1),"",CN186/CM186-1)</f>
        <v>-0.34309623430962344</v>
      </c>
      <c r="CO286" s="242">
        <f>IF(ISERROR(CO186/CN186-1),"",CO186/CN186-1)</f>
        <v>3.4267515923566876</v>
      </c>
      <c r="CP286" s="136"/>
      <c r="CQ286" s="242">
        <f>IF(ISERROR(CQ186/CO186-1),"",CQ186/CO186-1)</f>
        <v>-0.73812949640287773</v>
      </c>
      <c r="CR286" s="242">
        <f>IF(ISERROR(CR186/CQ186-1),"",CR186/CQ186-1)</f>
        <v>-0.18131868131868134</v>
      </c>
      <c r="CS286" s="242">
        <f>IF(ISERROR(CS186/CR186-1),"",CS186/CR186-1)</f>
        <v>0.24161073825503365</v>
      </c>
      <c r="CT286" s="242">
        <f>IF(ISERROR(CT186/CS186-1),"",CT186/CS186-1)</f>
        <v>-0.36486486486486491</v>
      </c>
      <c r="CU286" s="136"/>
      <c r="CV286" s="242">
        <f>IF(ISERROR(CV186/CT186-1),"",CV186/CT186-1)</f>
        <v>0.1063829787234043</v>
      </c>
      <c r="CW286" s="242">
        <f>IF(ISERROR(CW186/CV186-1),"",CW186/CV186-1)</f>
        <v>-0.63846153846153841</v>
      </c>
      <c r="CX286" s="242">
        <f>IF(ISERROR(CX186/CW186-1),"",CX186/CW186-1)</f>
        <v>3.1808510638297873</v>
      </c>
      <c r="CY286" s="242">
        <f>IF(ISERROR(CY186/CX186-1),"",CY186/CX186-1)</f>
        <v>0.99745547073791352</v>
      </c>
      <c r="CZ286" s="136"/>
      <c r="DA286" s="242">
        <f>IF(ISERROR(DA186/CY186-1),"",DA186/CY186-1)</f>
        <v>-0.4140127388535032</v>
      </c>
      <c r="DB286" s="242">
        <f>IF(ISERROR(DB186/DA186-1),"",DB186/DA186-1)</f>
        <v>-0.26956521739130435</v>
      </c>
      <c r="DC286" s="242">
        <f>IF(ISERROR(DC186/DB186-1),"",DC186/DB186-1)</f>
        <v>-0.19345238095238093</v>
      </c>
      <c r="DD286" s="242">
        <f>IF(ISERROR(DD186/DC186-1),"",DD186/DC186-1)</f>
        <v>1.5535055350553506</v>
      </c>
      <c r="DE286" s="136"/>
      <c r="DF286" s="242">
        <f>IF(ISERROR(DF186/DD186-1),"",DF186/DD186-1)</f>
        <v>-0.54913294797687862</v>
      </c>
      <c r="DG286" s="242">
        <f>IF(ISERROR(DG186/DF186-1),"",DG186/DF186-1)</f>
        <v>1.0320512820512819</v>
      </c>
      <c r="DH286" s="242">
        <f>IF(ISERROR(DH186/DG186-1),"",DH186/DG186-1)</f>
        <v>-0.34069400630914826</v>
      </c>
      <c r="DI286" s="242">
        <f>IF(ISERROR(DI186/DH186-1),"",DI186/DH186-1)</f>
        <v>0.63397129186602874</v>
      </c>
      <c r="DJ286" s="136"/>
      <c r="DK286" s="242">
        <f>IF(ISERROR(DK186/DI186-1),"",DK186/DI186-1)</f>
        <v>-0.46998535871156666</v>
      </c>
      <c r="DL286" s="242">
        <f>IF(ISERROR(DL186/DK186-1),"",DL186/DK186-1)</f>
        <v>1.8591160220994474</v>
      </c>
      <c r="DM286" s="242">
        <f>IF(ISERROR(DM186/DL186-1),"",DM186/DL186-1)</f>
        <v>-0.27729468599033813</v>
      </c>
      <c r="DN286" s="242">
        <f>IF(ISERROR(DN186/DM186-1),"",DN186/DM186-1)</f>
        <v>0.18449197860962574</v>
      </c>
      <c r="DO286" s="136"/>
      <c r="DP286" s="242">
        <f>IF(ISERROR(DP186/DN186-1),"",DP186/DN186-1)</f>
        <v>-0.60722347629796847</v>
      </c>
      <c r="DQ286" s="242">
        <f>IF(ISERROR(DQ186/DP186-1),"",DQ186/DP186-1)</f>
        <v>0.81034482758620685</v>
      </c>
      <c r="DR286" s="242">
        <f>IF(ISERROR(DR186/DQ186-1),"",DR186/DQ186-1)</f>
        <v>-0.29365079365079361</v>
      </c>
      <c r="DS286" s="242">
        <f>IF(ISERROR(DS186/DR186-1),"",DS186/DR186-1)</f>
        <v>0.11235955056179781</v>
      </c>
      <c r="DT286" s="136"/>
      <c r="DU286" s="242">
        <f>IF(ISERROR(DU186/DS186-1),"",DU186/DS186-1)</f>
        <v>-0.17171717171717171</v>
      </c>
      <c r="DV286" s="242">
        <f>IF(ISERROR(DV186/DU186-1),"",DV186/DU186-1)</f>
        <v>0.23170731707317072</v>
      </c>
      <c r="DW286" s="242">
        <f>IF(ISERROR(DW186/DV186-1),"",DW186/DV186-1)</f>
        <v>7.9207920792079278E-2</v>
      </c>
      <c r="DX286" s="242">
        <f>IF(ISERROR(DX186/DW186-1),"",DX186/DW186-1)</f>
        <v>0.14678899082568808</v>
      </c>
      <c r="DY286" s="136"/>
      <c r="DZ286" s="136"/>
      <c r="EA286" s="136"/>
      <c r="EB286" s="136"/>
    </row>
    <row r="287" spans="2:132" s="74" customFormat="1" ht="12" hidden="1" customHeight="1" outlineLevel="1">
      <c r="B287" s="32" t="s">
        <v>188</v>
      </c>
      <c r="C287" s="30"/>
      <c r="D287" s="30"/>
      <c r="E287" s="30"/>
      <c r="F287" s="30"/>
      <c r="G287" s="30"/>
      <c r="H287" s="30"/>
      <c r="I287" s="30"/>
      <c r="J287" s="29"/>
      <c r="K287" s="29">
        <f t="shared" ref="K287:M287" si="1184">IF(ISERROR(K188/J188-1),"",K188/J188-1)</f>
        <v>-0.23150357995226734</v>
      </c>
      <c r="L287" s="29">
        <f t="shared" si="1184"/>
        <v>-0.20652173913043481</v>
      </c>
      <c r="M287" s="29">
        <f t="shared" si="1184"/>
        <v>-0.9726027397260274</v>
      </c>
      <c r="N287" s="30"/>
      <c r="O287" s="29">
        <f>IF(ISERROR(O188/M188-1),"",O188/M188-1)</f>
        <v>48.142857142857146</v>
      </c>
      <c r="P287" s="29">
        <f t="shared" ref="P287:R287" si="1185">IF(ISERROR(P188/O188-1),"",P188/O188-1)</f>
        <v>0.17732558139534893</v>
      </c>
      <c r="Q287" s="29">
        <f t="shared" si="1185"/>
        <v>-5.8024691358024683E-2</v>
      </c>
      <c r="R287" s="29">
        <f t="shared" si="1185"/>
        <v>-0.27785058977719523</v>
      </c>
      <c r="S287" s="30"/>
      <c r="T287" s="29">
        <f>IF(ISERROR(T188/R188-1),"",T188/R188-1)</f>
        <v>0.74047186932849374</v>
      </c>
      <c r="U287" s="29">
        <f t="shared" ref="U287:W287" si="1186">IF(ISERROR(U188/T188-1),"",U188/T188-1)</f>
        <v>-0.45464025026068822</v>
      </c>
      <c r="V287" s="29">
        <f t="shared" si="1186"/>
        <v>0.81835564053537291</v>
      </c>
      <c r="W287" s="29">
        <f t="shared" si="1186"/>
        <v>0.21135646687697163</v>
      </c>
      <c r="X287" s="30"/>
      <c r="Y287" s="29">
        <f>IF(ISERROR(Y188/W188-1),"",Y188/W188-1)</f>
        <v>0.13628472222222232</v>
      </c>
      <c r="Z287" s="29">
        <f t="shared" ref="Z287:AB287" si="1187">IF(ISERROR(Z188/Y188-1),"",Z188/Y188-1)</f>
        <v>0.15049656226126817</v>
      </c>
      <c r="AA287" s="29">
        <f t="shared" si="1187"/>
        <v>-4.6480743691899029E-3</v>
      </c>
      <c r="AB287" s="29">
        <f t="shared" si="1187"/>
        <v>1.1340893929286278E-2</v>
      </c>
      <c r="AC287" s="30"/>
      <c r="AD287" s="29">
        <f>IF(ISERROR(AD188/AB188-1),"",AD188/AB188-1)</f>
        <v>0.1866754617414248</v>
      </c>
      <c r="AE287" s="29">
        <f t="shared" ref="AE287:AG287" si="1188">IF(ISERROR(AE188/AD188-1),"",AE188/AD188-1)</f>
        <v>-0.3068371317398555</v>
      </c>
      <c r="AF287" s="29">
        <f t="shared" si="1188"/>
        <v>-8.0192461908580648E-2</v>
      </c>
      <c r="AG287" s="29">
        <f t="shared" si="1188"/>
        <v>-1.2118570183086312</v>
      </c>
      <c r="AH287" s="30"/>
      <c r="AI287" s="29">
        <f>IF(ISERROR(AI188/AG188-1),"",AI188/AG188-1)</f>
        <v>-5.2181069958847734</v>
      </c>
      <c r="AJ287" s="29">
        <f t="shared" ref="AJ287:AL287" si="1189">IF(ISERROR(AJ188/AI188-1),"",AJ188/AI188-1)</f>
        <v>0.49170731707317072</v>
      </c>
      <c r="AK287" s="29">
        <f t="shared" si="1189"/>
        <v>-2.4068018312622632</v>
      </c>
      <c r="AL287" s="29">
        <f t="shared" si="1189"/>
        <v>-1.7870757787075777</v>
      </c>
      <c r="AM287" s="30"/>
      <c r="AN287" s="29">
        <f>IF(ISERROR(AN188/AL188-1),"",AN188/AL188-1)</f>
        <v>-0.30655640874187828</v>
      </c>
      <c r="AO287" s="29">
        <f t="shared" ref="AO287:AQ287" si="1190">IF(ISERROR(AO188/AN188-1),"",AO188/AN188-1)</f>
        <v>0.11328790459965932</v>
      </c>
      <c r="AP287" s="29">
        <f t="shared" si="1190"/>
        <v>6.1208875286916653E-2</v>
      </c>
      <c r="AQ287" s="29">
        <f t="shared" si="1190"/>
        <v>-0.20475847152126891</v>
      </c>
      <c r="AR287" s="28"/>
      <c r="AS287" s="29">
        <f>IF(ISERROR(AS188/AQ188-1),"",AS188/AQ188-1)</f>
        <v>-9.3381686310063494E-2</v>
      </c>
      <c r="AT287" s="29">
        <f t="shared" ref="AT287:AV287" si="1191">IF(ISERROR(AT188/AS188-1),"",AT188/AS188-1)</f>
        <v>0.53400000000000003</v>
      </c>
      <c r="AU287" s="29">
        <f t="shared" si="1191"/>
        <v>0.1173402868318123</v>
      </c>
      <c r="AV287" s="29">
        <f t="shared" si="1191"/>
        <v>-6.8261376896149306E-2</v>
      </c>
      <c r="AW287" s="28"/>
      <c r="AX287" s="29">
        <f>IF(ISERROR(AX188/AV188-1),"",AX188/AV188-1)</f>
        <v>-1.6906700062617408E-2</v>
      </c>
      <c r="AY287" s="29">
        <f t="shared" ref="AY287:BA287" si="1192">IF(ISERROR(AY188/AX188-1),"",AY188/AX188-1)</f>
        <v>-1.4012738853503182E-2</v>
      </c>
      <c r="AZ287" s="29">
        <f t="shared" si="1192"/>
        <v>1.0335917312661591E-2</v>
      </c>
      <c r="BA287" s="29">
        <f t="shared" si="1192"/>
        <v>4.1560102301790192E-2</v>
      </c>
      <c r="BB287" s="28"/>
      <c r="BC287" s="29">
        <f>IF(ISERROR(BC188/BA188-1),"",BC188/BA188-1)</f>
        <v>-6.2001227747084053E-2</v>
      </c>
      <c r="BD287" s="29">
        <f t="shared" ref="BD287:BF287" si="1193">IF(ISERROR(BD188/BC188-1),"",BD188/BC188-1)</f>
        <v>0.12303664921465973</v>
      </c>
      <c r="BE287" s="29">
        <f t="shared" si="1193"/>
        <v>5.069930069930062E-2</v>
      </c>
      <c r="BF287" s="29">
        <f t="shared" si="1193"/>
        <v>-0.15956738768718803</v>
      </c>
      <c r="BG287" s="28"/>
      <c r="BH287" s="29">
        <f>IF(ISERROR(BH188/BF188-1),"",BH188/BF188-1)</f>
        <v>1.7620273213225124E-2</v>
      </c>
      <c r="BI287" s="29">
        <f t="shared" ref="BI287:BK287" si="1194">IF(ISERROR(BI188/BH188-1),"",BI188/BH188-1)</f>
        <v>0.15888456549935159</v>
      </c>
      <c r="BJ287" s="29">
        <f t="shared" si="1194"/>
        <v>0.18578623391158366</v>
      </c>
      <c r="BK287" s="29">
        <f t="shared" si="1194"/>
        <v>-4.4360547428032082E-2</v>
      </c>
      <c r="BL287" s="28"/>
      <c r="BM287" s="29">
        <f>IF(ISERROR(BM188/BK188-1),"",BM188/BK188-1)</f>
        <v>-2.962962962962945E-3</v>
      </c>
      <c r="BN287" s="29">
        <f t="shared" ref="BN287:BP287" si="1195">IF(ISERROR(BN188/BM188-1),"",BN188/BM188-1)</f>
        <v>-0.16641901931649328</v>
      </c>
      <c r="BO287" s="29">
        <f t="shared" si="1195"/>
        <v>0.53297682709447414</v>
      </c>
      <c r="BP287" s="29">
        <f t="shared" si="1195"/>
        <v>-0.55000000000000004</v>
      </c>
      <c r="BQ287" s="28"/>
      <c r="BR287" s="29">
        <f>IF(ISERROR(BR188/BP188-1),"",BR188/BP188-1)</f>
        <v>0.5400516795865633</v>
      </c>
      <c r="BS287" s="29">
        <f t="shared" ref="BS287:BU287" si="1196">IF(ISERROR(BS188/BR188-1),"",BS188/BR188-1)</f>
        <v>-1.2343400447427293</v>
      </c>
      <c r="BT287" s="29">
        <f t="shared" si="1196"/>
        <v>-6.4463007159904535</v>
      </c>
      <c r="BU287" s="29">
        <f t="shared" si="1196"/>
        <v>-4.3382997370727483E-2</v>
      </c>
      <c r="BV287" s="28"/>
      <c r="BW287" s="29">
        <f>IF(ISERROR(BW188/BU188-1),"",BW188/BU188-1)</f>
        <v>1.0535959688501961E-2</v>
      </c>
      <c r="BX287" s="29">
        <f t="shared" ref="BX287:BZ287" si="1197">IF(ISERROR(BX188/BW188-1),"",BX188/BW188-1)</f>
        <v>0.14687216681776971</v>
      </c>
      <c r="BY287" s="29">
        <f t="shared" si="1197"/>
        <v>3.9525691699604737E-2</v>
      </c>
      <c r="BZ287" s="29">
        <f t="shared" si="1197"/>
        <v>0.13231939163498097</v>
      </c>
      <c r="CA287" s="28"/>
      <c r="CB287" s="29">
        <f>IF(ISERROR(CB188/BZ188-1),"",CB188/BZ188-1)</f>
        <v>-3.4586971121558063E-2</v>
      </c>
      <c r="CC287" s="29">
        <f t="shared" ref="CC287:CE287" si="1198">IF(ISERROR(CC188/CB188-1),"",CC188/CB188-1)</f>
        <v>-5.7391304347826133E-2</v>
      </c>
      <c r="CD287" s="29">
        <f t="shared" si="1198"/>
        <v>-0.17822878228782291</v>
      </c>
      <c r="CE287" s="29">
        <f t="shared" si="1198"/>
        <v>0.87471935339021112</v>
      </c>
      <c r="CF287" s="28"/>
      <c r="CG287" s="29">
        <f>IF(ISERROR(CG188/CE188-1),"",CG188/CE188-1)</f>
        <v>-0.43712574850299402</v>
      </c>
      <c r="CH287" s="29">
        <f t="shared" ref="CH287" si="1199">IF(ISERROR(CH188/CG188-1),"",CH188/CG188-1)</f>
        <v>-2.4382978723404256</v>
      </c>
      <c r="CI287" s="29">
        <f t="shared" ref="CI287" si="1200">IF(ISERROR(CI188/CH188-1),"",CI188/CH188-1)</f>
        <v>-1.3724852071005917</v>
      </c>
      <c r="CJ287" s="29">
        <f t="shared" ref="CJ287" si="1201">IF(ISERROR(CJ188/CI188-1),"",CJ188/CI188-1)</f>
        <v>-2.7505957108816519</v>
      </c>
      <c r="CK287" s="28"/>
      <c r="CL287" s="29">
        <f>IF(ISERROR(CL188/CJ188-1),"",CL188/CJ188-1)</f>
        <v>-0.38611615245009079</v>
      </c>
      <c r="CM287" s="29">
        <f t="shared" ref="CM287" si="1202">IF(ISERROR(CM188/CL188-1),"",CM188/CL188-1)</f>
        <v>1.1906873614190689</v>
      </c>
      <c r="CN287" s="29">
        <f t="shared" ref="CN287" si="1203">IF(ISERROR(CN188/CM188-1),"",CN188/CM188-1)</f>
        <v>-0.86470985155195679</v>
      </c>
      <c r="CO287" s="29">
        <f t="shared" ref="CO287" si="1204">IF(ISERROR(CO188/CN188-1),"",CO188/CN188-1)</f>
        <v>19.072319201995011</v>
      </c>
      <c r="CP287" s="28"/>
      <c r="CQ287" s="29">
        <f>IF(ISERROR(CQ188/CO188-1),"",CQ188/CO188-1)</f>
        <v>-0.98968816001987825</v>
      </c>
      <c r="CR287" s="29">
        <f t="shared" ref="CR287" si="1205">IF(ISERROR(CR188/CQ188-1),"",CR188/CQ188-1)</f>
        <v>-13.325301204819278</v>
      </c>
      <c r="CS287" s="29">
        <f t="shared" ref="CS287" si="1206">IF(ISERROR(CS188/CR188-1),"",CS188/CR188-1)</f>
        <v>-0.67839687194525911</v>
      </c>
      <c r="CT287" s="29">
        <f t="shared" ref="CT287" si="1207">IF(ISERROR(CT188/CS188-1),"",CT188/CS188-1)</f>
        <v>-13.677811550151976</v>
      </c>
      <c r="CU287" s="28"/>
      <c r="CV287" s="29">
        <f>IF(ISERROR(CV188/CT188-1),"",CV188/CT188-1)</f>
        <v>-0.719731479261568</v>
      </c>
      <c r="CW287" s="29">
        <f t="shared" ref="CW287" si="1208">IF(ISERROR(CW188/CV188-1),"",CW188/CV188-1)</f>
        <v>-1.6621043627031651</v>
      </c>
      <c r="CX287" s="29">
        <f t="shared" ref="CX287" si="1209">IF(ISERROR(CX188/CW188-1),"",CX188/CW188-1)</f>
        <v>-4.6162790697674421</v>
      </c>
      <c r="CY287" s="29">
        <f t="shared" ref="CY287" si="1210">IF(ISERROR(CY188/CX188-1),"",CY188/CX188-1)</f>
        <v>-0.87388352983208284</v>
      </c>
      <c r="CZ287" s="28"/>
      <c r="DA287" s="29">
        <f>IF(ISERROR(DA188/CY188-1),"",DA188/CY188-1)</f>
        <v>-0.57790368271954673</v>
      </c>
      <c r="DB287" s="29">
        <f t="shared" ref="DB287" si="1211">IF(ISERROR(DB188/DA188-1),"",DB188/DA188-1)</f>
        <v>-0.33557046979865768</v>
      </c>
      <c r="DC287" s="29">
        <f t="shared" ref="DC287" si="1212">IF(ISERROR(DC188/DB188-1),"",DC188/DB188-1)</f>
        <v>7.1616161616161609</v>
      </c>
      <c r="DD287" s="29">
        <f t="shared" ref="DD287" si="1213">IF(ISERROR(DD188/DC188-1),"",DD188/DC188-1)</f>
        <v>-1.3502475247524752</v>
      </c>
      <c r="DE287" s="28"/>
      <c r="DF287" s="29">
        <f>IF(ISERROR(DF188/DD188-1),"",DF188/DD188-1)</f>
        <v>-1.3038869257950529</v>
      </c>
      <c r="DG287" s="29">
        <f t="shared" ref="DG287" si="1214">IF(ISERROR(DG188/DF188-1),"",DG188/DF188-1)</f>
        <v>11.674418604651162</v>
      </c>
      <c r="DH287" s="29">
        <f t="shared" ref="DH287" si="1215">IF(ISERROR(DH188/DG188-1),"",DH188/DG188-1)</f>
        <v>4.2853211009174315</v>
      </c>
      <c r="DI287" s="29">
        <f t="shared" ref="DI287" si="1216">IF(ISERROR(DI188/DH188-1),"",DI188/DH188-1)</f>
        <v>-0.34559972227043911</v>
      </c>
      <c r="DJ287" s="28"/>
      <c r="DK287" s="29">
        <f>IF(ISERROR(DK188/DI188-1),"",DK188/DI188-1)</f>
        <v>-1.1222811671087534</v>
      </c>
      <c r="DL287" s="29">
        <f t="shared" ref="DL287" si="1217">IF(ISERROR(DL188/DK188-1),"",DL188/DK188-1)</f>
        <v>-1.3817787418655096</v>
      </c>
      <c r="DM287" s="29">
        <f t="shared" ref="DM287" si="1218">IF(ISERROR(DM188/DL188-1),"",DM188/DL188-1)</f>
        <v>26.164772727272727</v>
      </c>
      <c r="DN287" s="29">
        <f t="shared" ref="DN287" si="1219">IF(ISERROR(DN188/DM188-1),"",DN188/DM188-1)</f>
        <v>-2.8358084082827864</v>
      </c>
      <c r="DO287" s="28"/>
      <c r="DP287" s="29">
        <f>IF(ISERROR(DP188/DN188-1),"",DP188/DN188-1)</f>
        <v>-0.9489575025635183</v>
      </c>
      <c r="DQ287" s="29">
        <f t="shared" ref="DQ287" si="1220">IF(ISERROR(DQ188/DP188-1),"",DQ188/DP188-1)</f>
        <v>-0.6517857142857143</v>
      </c>
      <c r="DR287" s="29">
        <f t="shared" ref="DR287" si="1221">IF(ISERROR(DR188/DQ188-1),"",DR188/DQ188-1)</f>
        <v>2.5297463672756177</v>
      </c>
      <c r="DS287" s="29">
        <f t="shared" ref="DS287" si="1222">IF(ISERROR(DS188/DR188-1),"",DS188/DR188-1)</f>
        <v>0.77495004169591253</v>
      </c>
      <c r="DT287" s="28"/>
      <c r="DU287" s="29">
        <f>IF(ISERROR(DU188/DS188-1),"",DU188/DS188-1)</f>
        <v>-0.37756940478541035</v>
      </c>
      <c r="DV287" s="29">
        <f t="shared" ref="DV287" si="1223">IF(ISERROR(DV188/DU188-1),"",DV188/DU188-1)</f>
        <v>1.1298993853525983</v>
      </c>
      <c r="DW287" s="29">
        <f t="shared" ref="DW287" si="1224">IF(ISERROR(DW188/DV188-1),"",DW188/DV188-1)</f>
        <v>0.40339039178342895</v>
      </c>
      <c r="DX287" s="29">
        <f t="shared" ref="DX287" si="1225">IF(ISERROR(DX188/DW188-1),"",DX188/DW188-1)</f>
        <v>0.23467638379765177</v>
      </c>
      <c r="DY287" s="28"/>
      <c r="DZ287" s="28"/>
      <c r="EA287" s="28"/>
      <c r="EB287" s="28"/>
    </row>
    <row r="288" spans="2:132" s="241" customFormat="1" ht="12" customHeight="1" collapsed="1">
      <c r="B288" s="300"/>
      <c r="C288" s="309"/>
      <c r="D288" s="309"/>
      <c r="E288" s="309"/>
      <c r="F288" s="309"/>
      <c r="G288" s="309"/>
      <c r="H288" s="309"/>
      <c r="I288" s="309"/>
      <c r="J288" s="306"/>
      <c r="K288" s="306"/>
      <c r="L288" s="306"/>
      <c r="M288" s="306"/>
      <c r="N288" s="309"/>
      <c r="O288" s="306"/>
      <c r="P288" s="306"/>
      <c r="Q288" s="306"/>
      <c r="R288" s="306"/>
      <c r="S288" s="309"/>
      <c r="T288" s="306"/>
      <c r="U288" s="306"/>
      <c r="V288" s="306"/>
      <c r="W288" s="306"/>
      <c r="X288" s="309"/>
      <c r="Y288" s="306"/>
      <c r="Z288" s="306"/>
      <c r="AA288" s="306"/>
      <c r="AB288" s="306"/>
      <c r="AC288" s="309"/>
      <c r="AD288" s="306"/>
      <c r="AE288" s="306"/>
      <c r="AF288" s="306"/>
      <c r="AG288" s="306"/>
      <c r="AH288" s="309"/>
      <c r="AI288" s="306"/>
      <c r="AJ288" s="306"/>
      <c r="AK288" s="306"/>
      <c r="AL288" s="306"/>
      <c r="AM288" s="309"/>
      <c r="AN288" s="306"/>
      <c r="AO288" s="306"/>
      <c r="AP288" s="306"/>
      <c r="AQ288" s="306"/>
      <c r="AR288" s="309"/>
      <c r="AS288" s="306"/>
      <c r="AT288" s="306"/>
      <c r="AU288" s="306"/>
      <c r="AV288" s="306"/>
      <c r="AW288" s="309"/>
      <c r="AX288" s="306"/>
      <c r="AY288" s="306"/>
      <c r="AZ288" s="306"/>
      <c r="BA288" s="306"/>
      <c r="BB288" s="309"/>
      <c r="BC288" s="306"/>
      <c r="BD288" s="306"/>
      <c r="BE288" s="306"/>
      <c r="BF288" s="306"/>
      <c r="BG288" s="309"/>
      <c r="BH288" s="295"/>
      <c r="BI288" s="295"/>
      <c r="BJ288" s="295"/>
      <c r="BK288" s="295"/>
      <c r="BL288" s="136"/>
      <c r="BM288" s="295"/>
      <c r="BN288" s="295"/>
      <c r="BO288" s="295"/>
      <c r="BP288" s="295"/>
      <c r="BQ288" s="136"/>
      <c r="BR288" s="295"/>
      <c r="BS288" s="295"/>
      <c r="BT288" s="295"/>
      <c r="BU288" s="295"/>
      <c r="BV288" s="136"/>
      <c r="BW288" s="295"/>
      <c r="BX288" s="295"/>
      <c r="BY288" s="295"/>
      <c r="BZ288" s="295"/>
      <c r="CA288" s="136"/>
      <c r="CB288" s="295"/>
      <c r="CC288" s="295"/>
      <c r="CD288" s="295"/>
      <c r="CE288" s="295"/>
      <c r="CF288" s="136"/>
      <c r="CG288" s="295"/>
      <c r="CH288" s="295"/>
      <c r="CI288" s="295"/>
      <c r="CJ288" s="295"/>
      <c r="CK288" s="136"/>
      <c r="CL288" s="295"/>
      <c r="CM288" s="295"/>
      <c r="CN288" s="295"/>
      <c r="CO288" s="295"/>
      <c r="CP288" s="136"/>
      <c r="CQ288" s="295"/>
      <c r="CR288" s="295"/>
      <c r="CS288" s="295"/>
      <c r="CT288" s="295"/>
      <c r="CU288" s="136"/>
      <c r="CV288" s="295"/>
      <c r="CW288" s="295"/>
      <c r="CX288" s="295"/>
      <c r="CY288" s="295"/>
      <c r="CZ288" s="136"/>
      <c r="DA288" s="295"/>
      <c r="DB288" s="295"/>
      <c r="DC288" s="295"/>
      <c r="DD288" s="295"/>
      <c r="DE288" s="136"/>
      <c r="DF288" s="295"/>
      <c r="DG288" s="295"/>
      <c r="DH288" s="295"/>
      <c r="DI288" s="295"/>
      <c r="DJ288" s="136"/>
      <c r="DK288" s="295"/>
      <c r="DL288" s="295"/>
      <c r="DM288" s="295"/>
      <c r="DN288" s="295"/>
      <c r="DO288" s="136"/>
      <c r="DP288" s="295"/>
      <c r="DQ288" s="295"/>
      <c r="DR288" s="295"/>
      <c r="DS288" s="295"/>
      <c r="DT288" s="136"/>
      <c r="DU288" s="295"/>
      <c r="DV288" s="295"/>
      <c r="DW288" s="295"/>
      <c r="DX288" s="295"/>
      <c r="DY288" s="136"/>
      <c r="DZ288" s="136"/>
      <c r="EA288" s="136"/>
      <c r="EB288" s="136"/>
    </row>
    <row r="289" spans="2:132" s="241" customFormat="1" ht="12" customHeight="1">
      <c r="B289" s="42" t="s">
        <v>114</v>
      </c>
      <c r="C289" s="285"/>
      <c r="D289" s="285"/>
      <c r="E289" s="285"/>
      <c r="F289" s="285"/>
      <c r="G289" s="285"/>
      <c r="H289" s="285"/>
      <c r="I289" s="285"/>
      <c r="N289" s="285"/>
      <c r="S289" s="285"/>
      <c r="X289" s="285"/>
      <c r="AC289" s="285"/>
      <c r="AH289" s="285"/>
      <c r="AM289" s="285"/>
      <c r="AR289" s="285"/>
      <c r="AW289" s="285"/>
      <c r="BB289" s="285"/>
      <c r="BF289" s="12"/>
      <c r="BG289" s="13"/>
      <c r="BH289" s="121"/>
      <c r="BI289" s="121"/>
      <c r="BJ289" s="121"/>
      <c r="BK289" s="121"/>
      <c r="BL289" s="120"/>
      <c r="BM289" s="121"/>
      <c r="BN289" s="121"/>
      <c r="BO289" s="121"/>
      <c r="BP289" s="121"/>
      <c r="BQ289" s="120"/>
      <c r="BR289" s="121"/>
      <c r="BS289" s="121"/>
      <c r="BT289" s="121"/>
      <c r="BU289" s="121"/>
      <c r="BV289" s="120"/>
      <c r="BW289" s="121"/>
      <c r="BX289" s="121"/>
      <c r="BY289" s="121"/>
      <c r="BZ289" s="121"/>
      <c r="CA289" s="120"/>
      <c r="CB289" s="121"/>
      <c r="CC289" s="121"/>
      <c r="CD289" s="121"/>
      <c r="CE289" s="121"/>
      <c r="CF289" s="120"/>
      <c r="CG289" s="121"/>
      <c r="CH289" s="121"/>
      <c r="CI289" s="121"/>
      <c r="CJ289" s="121"/>
      <c r="CK289" s="120"/>
      <c r="CL289" s="121"/>
      <c r="CM289" s="121"/>
      <c r="CN289" s="121"/>
      <c r="CO289" s="121"/>
      <c r="CP289" s="120"/>
      <c r="CQ289" s="121"/>
      <c r="CR289" s="121"/>
      <c r="CS289" s="121"/>
      <c r="CT289" s="121"/>
      <c r="CU289" s="120"/>
      <c r="CV289" s="121"/>
      <c r="CW289" s="121"/>
      <c r="CX289" s="121"/>
      <c r="CY289" s="121"/>
      <c r="CZ289" s="120"/>
      <c r="DA289" s="121"/>
      <c r="DB289" s="121"/>
      <c r="DC289" s="121"/>
      <c r="DD289" s="121"/>
      <c r="DE289" s="120"/>
      <c r="DF289" s="121"/>
      <c r="DG289" s="121"/>
      <c r="DH289" s="121"/>
      <c r="DI289" s="121"/>
      <c r="DJ289" s="120"/>
      <c r="DK289" s="121"/>
      <c r="DL289" s="121"/>
      <c r="DM289" s="121"/>
      <c r="DN289" s="121"/>
      <c r="DO289" s="120"/>
      <c r="DP289" s="121"/>
      <c r="DQ289" s="121"/>
      <c r="DR289" s="121"/>
      <c r="DS289" s="121"/>
      <c r="DT289" s="120"/>
      <c r="DU289" s="121"/>
      <c r="DV289" s="121"/>
      <c r="DW289" s="121"/>
      <c r="DX289" s="121"/>
      <c r="DY289" s="120"/>
      <c r="DZ289" s="120"/>
      <c r="EA289" s="120"/>
      <c r="EB289" s="120"/>
    </row>
    <row r="290" spans="2:132" s="241" customFormat="1" ht="12" customHeight="1">
      <c r="B290" s="348" t="s">
        <v>105</v>
      </c>
      <c r="C290" s="314">
        <f>Data!C193</f>
        <v>93788</v>
      </c>
      <c r="D290" s="314">
        <f>Data!D193</f>
        <v>86057</v>
      </c>
      <c r="E290" s="314">
        <f>Data!E193</f>
        <v>72972</v>
      </c>
      <c r="F290" s="314">
        <f>Data!F193</f>
        <v>89780</v>
      </c>
      <c r="G290" s="314">
        <f>Data!G193</f>
        <v>75850</v>
      </c>
      <c r="H290" s="314">
        <f>Data!H193</f>
        <v>68159</v>
      </c>
      <c r="I290" s="314">
        <f>Data!I193</f>
        <v>63929</v>
      </c>
      <c r="J290" s="315">
        <f>Data!J193</f>
        <v>62224</v>
      </c>
      <c r="K290" s="315">
        <f>Data!K193</f>
        <v>62179</v>
      </c>
      <c r="L290" s="315">
        <f>Data!L193</f>
        <v>68184</v>
      </c>
      <c r="M290" s="315">
        <f>Data!M193</f>
        <v>70449</v>
      </c>
      <c r="N290" s="314">
        <f>M290</f>
        <v>70449</v>
      </c>
      <c r="O290" s="315">
        <f>Data!O193</f>
        <v>68682</v>
      </c>
      <c r="P290" s="315">
        <f>Data!P193</f>
        <v>86678</v>
      </c>
      <c r="Q290" s="315">
        <f>Data!Q193</f>
        <v>98065</v>
      </c>
      <c r="R290" s="315">
        <f>Data!R193</f>
        <v>124132</v>
      </c>
      <c r="S290" s="314">
        <f t="shared" ref="S290:S297" si="1226">R290</f>
        <v>124132</v>
      </c>
      <c r="T290" s="315">
        <f>Data!T193</f>
        <v>131577</v>
      </c>
      <c r="U290" s="315">
        <f>Data!U193</f>
        <v>141670</v>
      </c>
      <c r="V290" s="315">
        <f>Data!V193</f>
        <v>154016</v>
      </c>
      <c r="W290" s="315">
        <f>Data!W193</f>
        <v>174276</v>
      </c>
      <c r="X290" s="314">
        <f>Data!X193</f>
        <v>174276</v>
      </c>
      <c r="Y290" s="315">
        <f>Data!Y193</f>
        <v>188466</v>
      </c>
      <c r="Z290" s="315">
        <f>Data!Z193</f>
        <v>207730</v>
      </c>
      <c r="AA290" s="315">
        <f>Data!AA193</f>
        <v>224414</v>
      </c>
      <c r="AB290" s="315">
        <f>Data!AB193</f>
        <v>255176</v>
      </c>
      <c r="AC290" s="314">
        <f>AB290</f>
        <v>255176</v>
      </c>
      <c r="AD290" s="315">
        <f>Data!AD193</f>
        <v>271189</v>
      </c>
      <c r="AE290" s="315">
        <f>Data!AE193</f>
        <v>274546</v>
      </c>
      <c r="AF290" s="315">
        <f>Data!AF193</f>
        <v>275869</v>
      </c>
      <c r="AG290" s="315">
        <f>Data!AG193</f>
        <v>278575</v>
      </c>
      <c r="AH290" s="314">
        <f>AG290</f>
        <v>278575</v>
      </c>
      <c r="AI290" s="315">
        <f>Data!AI193</f>
        <v>266023</v>
      </c>
      <c r="AJ290" s="315">
        <f>Data!AJ193</f>
        <v>257443</v>
      </c>
      <c r="AK290" s="315">
        <f>Data!AK193</f>
        <v>253938</v>
      </c>
      <c r="AL290" s="315">
        <f>Data!AL193</f>
        <v>250476</v>
      </c>
      <c r="AM290" s="314">
        <f>AL290</f>
        <v>250476</v>
      </c>
      <c r="AN290" s="315">
        <f>Data!AN193</f>
        <v>250400</v>
      </c>
      <c r="AO290" s="315">
        <f>Data!AO193</f>
        <v>251600</v>
      </c>
      <c r="AP290" s="315">
        <f>Data!AP193</f>
        <v>255176</v>
      </c>
      <c r="AQ290" s="315">
        <f>Data!AQ193</f>
        <v>255600</v>
      </c>
      <c r="AR290" s="314">
        <f>AQ290</f>
        <v>255600</v>
      </c>
      <c r="AS290" s="315">
        <f>Data!AS193</f>
        <v>260900</v>
      </c>
      <c r="AT290" s="315">
        <f>Data!AT193</f>
        <v>259900</v>
      </c>
      <c r="AU290" s="315">
        <f>Data!AU193</f>
        <v>270300</v>
      </c>
      <c r="AV290" s="315">
        <f>Data!AV193</f>
        <v>293300</v>
      </c>
      <c r="AW290" s="314">
        <f>Data!AW193</f>
        <v>293300</v>
      </c>
      <c r="AX290" s="315">
        <f>Data!AX193</f>
        <v>305300</v>
      </c>
      <c r="AY290" s="315">
        <f>Data!AY193</f>
        <v>300400</v>
      </c>
      <c r="AZ290" s="315">
        <f>Data!AZ193</f>
        <v>305400</v>
      </c>
      <c r="BA290" s="315">
        <f>Data!BA193</f>
        <v>317300</v>
      </c>
      <c r="BB290" s="314">
        <f>Data!BB193</f>
        <v>317300</v>
      </c>
      <c r="BC290" s="315">
        <f>Data!BC193</f>
        <v>322000</v>
      </c>
      <c r="BD290" s="315">
        <f>Data!BD193</f>
        <v>337700</v>
      </c>
      <c r="BE290" s="315">
        <f>Data!BE193</f>
        <v>344300</v>
      </c>
      <c r="BF290" s="315">
        <f>Data!BF193</f>
        <v>373000</v>
      </c>
      <c r="BG290" s="314">
        <f>Data!BG193</f>
        <v>373000</v>
      </c>
      <c r="BH290" s="315">
        <f>Data!BH193</f>
        <v>374000</v>
      </c>
      <c r="BI290" s="315">
        <f>Data!BI193</f>
        <v>376300</v>
      </c>
      <c r="BJ290" s="315">
        <f>Data!BJ193</f>
        <v>429600</v>
      </c>
      <c r="BK290" s="315">
        <f>Data!BK193</f>
        <v>440100</v>
      </c>
      <c r="BL290" s="314">
        <f>Data!BL193</f>
        <v>440100</v>
      </c>
      <c r="BM290" s="315">
        <f>Data!BM193</f>
        <v>435000</v>
      </c>
      <c r="BN290" s="315">
        <f>Data!BN193</f>
        <v>430800</v>
      </c>
      <c r="BO290" s="315">
        <f>Data!BO193</f>
        <v>426000</v>
      </c>
      <c r="BP290" s="620">
        <f>Data!BP193</f>
        <v>431400</v>
      </c>
      <c r="BQ290" s="630">
        <f>Data!BQ193</f>
        <v>431400</v>
      </c>
      <c r="BR290" s="315">
        <f>Data!BR193</f>
        <v>423000</v>
      </c>
      <c r="BS290" s="315">
        <f>Data!BS193</f>
        <v>416600</v>
      </c>
      <c r="BT290" s="620">
        <f>Data!BT193</f>
        <v>408800</v>
      </c>
      <c r="BU290" s="620">
        <f>Data!BU193</f>
        <v>413036</v>
      </c>
      <c r="BV290" s="630">
        <f>Data!BV193</f>
        <v>413036</v>
      </c>
      <c r="BW290" s="315">
        <f>Data!BW193</f>
        <v>415100</v>
      </c>
      <c r="BX290" s="315">
        <f>Data!BX193</f>
        <v>423400</v>
      </c>
      <c r="BY290" s="620">
        <f>Data!BY193</f>
        <v>412185</v>
      </c>
      <c r="BZ290" s="620">
        <f>Data!BZ193</f>
        <v>411188</v>
      </c>
      <c r="CA290" s="630">
        <f>Data!CA193</f>
        <v>411188</v>
      </c>
      <c r="CB290" s="620">
        <f>Data!CB193</f>
        <v>415377</v>
      </c>
      <c r="CC290" s="315">
        <f>Data!CC193</f>
        <v>415723</v>
      </c>
      <c r="CD290" s="315">
        <f>Data!CD193</f>
        <v>413064</v>
      </c>
      <c r="CE290" s="620">
        <f>Data!CE193</f>
        <v>412307</v>
      </c>
      <c r="CF290" s="630">
        <f>Data!CF193</f>
        <v>412307</v>
      </c>
      <c r="CG290" s="620">
        <f>Data!CG193</f>
        <v>399371</v>
      </c>
      <c r="CH290" s="620">
        <f>Data!CH193</f>
        <v>390405</v>
      </c>
      <c r="CI290" s="620">
        <f>Data!CI193</f>
        <v>387397</v>
      </c>
      <c r="CJ290" s="620">
        <f>Data!CJ193</f>
        <v>376593</v>
      </c>
      <c r="CK290" s="630">
        <f>Data!CK193</f>
        <v>376593</v>
      </c>
      <c r="CL290" s="620">
        <f>Data!CL193</f>
        <v>351778</v>
      </c>
      <c r="CM290" s="620">
        <f>Data!CM193</f>
        <v>325674</v>
      </c>
      <c r="CN290" s="620">
        <f>Data!CN193</f>
        <v>312684</v>
      </c>
      <c r="CO290" s="620">
        <f>Data!CO193</f>
        <v>281588</v>
      </c>
      <c r="CP290" s="630">
        <f>Data!CP193</f>
        <v>281588</v>
      </c>
      <c r="CQ290" s="620">
        <f>Data!CQ193</f>
        <v>282621</v>
      </c>
      <c r="CR290" s="620">
        <f>Data!CR193</f>
        <v>285332</v>
      </c>
      <c r="CS290" s="620">
        <f>Data!CS193</f>
        <v>289644</v>
      </c>
      <c r="CT290" s="620">
        <f>Data!CT193</f>
        <v>296882</v>
      </c>
      <c r="CU290" s="630">
        <f>Data!CU193</f>
        <v>296882</v>
      </c>
      <c r="CV290" s="620">
        <f>Data!CV193</f>
        <v>290930</v>
      </c>
      <c r="CW290" s="620">
        <f>Data!CW193</f>
        <v>297044</v>
      </c>
      <c r="CX290" s="620">
        <f>Data!CX193</f>
        <v>307168</v>
      </c>
      <c r="CY290" s="620">
        <f>Data!CY193</f>
        <v>329824</v>
      </c>
      <c r="CZ290" s="630">
        <f>Data!CZ193</f>
        <v>329824</v>
      </c>
      <c r="DA290" s="620">
        <f>Data!DA193</f>
        <v>333656</v>
      </c>
      <c r="DB290" s="620">
        <f>Data!DB193</f>
        <v>362866</v>
      </c>
      <c r="DC290" s="620">
        <f>Data!DC193</f>
        <v>392105</v>
      </c>
      <c r="DD290" s="620">
        <f>Data!DD193</f>
        <v>440507</v>
      </c>
      <c r="DE290" s="630">
        <f>Data!DE193</f>
        <v>440507</v>
      </c>
      <c r="DF290" s="620">
        <f>Data!DF193</f>
        <v>447533</v>
      </c>
      <c r="DG290" s="620">
        <f>Data!DG193</f>
        <v>436574</v>
      </c>
      <c r="DH290" s="620">
        <f>Data!DH193</f>
        <v>427733</v>
      </c>
      <c r="DI290" s="620">
        <f>Data!DI193</f>
        <v>435175</v>
      </c>
      <c r="DJ290" s="630">
        <f>Data!DJ193</f>
        <v>435175</v>
      </c>
      <c r="DK290" s="620">
        <f>Data!DK193</f>
        <v>460447</v>
      </c>
      <c r="DL290" s="620">
        <f>Data!DL193</f>
        <v>522197</v>
      </c>
      <c r="DM290" s="620">
        <f>Data!DM193</f>
        <v>534613</v>
      </c>
      <c r="DN290" s="620">
        <f>Data!DN193</f>
        <v>567290</v>
      </c>
      <c r="DO290" s="630">
        <f>Data!DO193</f>
        <v>567290</v>
      </c>
      <c r="DP290" s="620">
        <f>Data!DP193</f>
        <v>575583</v>
      </c>
      <c r="DQ290" s="620">
        <f>Data!DQ193</f>
        <v>596724</v>
      </c>
      <c r="DR290" s="620">
        <f>Data!DR193</f>
        <v>0</v>
      </c>
      <c r="DS290" s="620">
        <f>Data!DS193</f>
        <v>0</v>
      </c>
      <c r="DT290" s="630">
        <f>Data!DT193</f>
        <v>0</v>
      </c>
      <c r="DU290" s="620">
        <f>Data!DU193</f>
        <v>0</v>
      </c>
      <c r="DV290" s="620">
        <f>Data!DV193</f>
        <v>0</v>
      </c>
      <c r="DW290" s="620">
        <f>Data!DW193</f>
        <v>0</v>
      </c>
      <c r="DX290" s="620">
        <f>Data!DX193</f>
        <v>0</v>
      </c>
      <c r="DY290" s="630">
        <f>Data!DY193</f>
        <v>0</v>
      </c>
      <c r="DZ290" s="630">
        <f>Data!DZ193</f>
        <v>0</v>
      </c>
      <c r="EA290" s="630">
        <f>Data!EA193</f>
        <v>0</v>
      </c>
      <c r="EB290" s="630">
        <f>Data!EB193</f>
        <v>0</v>
      </c>
    </row>
    <row r="291" spans="2:132" s="241" customFormat="1" ht="12" hidden="1" customHeight="1">
      <c r="B291" s="324" t="s">
        <v>106</v>
      </c>
      <c r="C291" s="331"/>
      <c r="D291" s="331"/>
      <c r="E291" s="331"/>
      <c r="F291" s="331"/>
      <c r="G291" s="331"/>
      <c r="H291" s="331"/>
      <c r="I291" s="331"/>
      <c r="J291" s="332"/>
      <c r="K291" s="332"/>
      <c r="L291" s="332"/>
      <c r="M291" s="332"/>
      <c r="N291" s="331"/>
      <c r="O291" s="332"/>
      <c r="P291" s="332"/>
      <c r="Q291" s="332"/>
      <c r="R291" s="332">
        <f>Data!R194</f>
        <v>21815</v>
      </c>
      <c r="S291" s="331">
        <f t="shared" si="1226"/>
        <v>21815</v>
      </c>
      <c r="T291" s="332">
        <f>Data!T194</f>
        <v>25174</v>
      </c>
      <c r="U291" s="332">
        <f>Data!U194</f>
        <v>22672</v>
      </c>
      <c r="V291" s="332">
        <f>Data!V194</f>
        <v>19980</v>
      </c>
      <c r="W291" s="332">
        <f>Data!W194</f>
        <v>24988</v>
      </c>
      <c r="X291" s="331">
        <f>Data!X194</f>
        <v>24988</v>
      </c>
      <c r="Y291" s="332">
        <f>Data!Y194</f>
        <v>23038</v>
      </c>
      <c r="Z291" s="332">
        <f>Data!Z194</f>
        <v>21688</v>
      </c>
      <c r="AA291" s="332">
        <f>Data!AA194</f>
        <v>22058</v>
      </c>
      <c r="AB291" s="332">
        <f>Data!AB194</f>
        <v>22957</v>
      </c>
      <c r="AC291" s="331">
        <f>AB291</f>
        <v>22957</v>
      </c>
      <c r="AD291" s="332">
        <f>Data!AD194</f>
        <v>23069</v>
      </c>
      <c r="AE291" s="332">
        <f>Data!AE194</f>
        <v>23823</v>
      </c>
      <c r="AF291" s="332">
        <f>Data!AF194</f>
        <v>23951</v>
      </c>
      <c r="AG291" s="332">
        <f>Data!AG194</f>
        <v>25855</v>
      </c>
      <c r="AH291" s="331">
        <f>AG291</f>
        <v>25855</v>
      </c>
      <c r="AI291" s="332">
        <f>Data!AI194</f>
        <v>28157</v>
      </c>
      <c r="AJ291" s="332">
        <f>Data!AJ194</f>
        <v>28157</v>
      </c>
      <c r="AK291" s="332">
        <f>Data!AK194</f>
        <v>26112</v>
      </c>
      <c r="AL291" s="332">
        <f>Data!AL194</f>
        <v>26311</v>
      </c>
      <c r="AM291" s="331">
        <f>AL291</f>
        <v>26311</v>
      </c>
      <c r="AN291" s="332">
        <f>Data!AN194</f>
        <v>27500</v>
      </c>
      <c r="AO291" s="332">
        <f>Data!AO194</f>
        <v>26600</v>
      </c>
      <c r="AP291" s="332">
        <f>Data!AP194</f>
        <v>25683</v>
      </c>
      <c r="AQ291" s="332">
        <f>Data!AQ194</f>
        <v>25100</v>
      </c>
      <c r="AR291" s="331">
        <f>AQ291</f>
        <v>25100</v>
      </c>
      <c r="AS291" s="332">
        <f>Data!AS194</f>
        <v>26500</v>
      </c>
      <c r="AT291" s="332">
        <f>Data!AT194</f>
        <v>25700</v>
      </c>
      <c r="AU291" s="332">
        <f>Data!AU194</f>
        <v>24200</v>
      </c>
      <c r="AV291" s="332">
        <f>Data!AV194</f>
        <v>24100</v>
      </c>
      <c r="AW291" s="331">
        <f>Data!AW194</f>
        <v>24100</v>
      </c>
      <c r="AX291" s="332">
        <f>Data!AX194</f>
        <v>29000</v>
      </c>
      <c r="AY291" s="332">
        <f>Data!AY194</f>
        <v>29700</v>
      </c>
      <c r="AZ291" s="332">
        <f>Data!AZ194</f>
        <v>28500</v>
      </c>
      <c r="BA291" s="332">
        <f>Data!BA194</f>
        <v>29700</v>
      </c>
      <c r="BB291" s="331">
        <f>Data!BB194</f>
        <v>29700</v>
      </c>
      <c r="BC291" s="332">
        <f>Data!BC194</f>
        <v>26600</v>
      </c>
      <c r="BD291" s="332">
        <f>Data!BD194</f>
        <v>26500</v>
      </c>
      <c r="BE291" s="332">
        <f>Data!BE194</f>
        <v>26400</v>
      </c>
      <c r="BF291" s="332">
        <f>Data!BF194</f>
        <v>24800</v>
      </c>
      <c r="BG291" s="331">
        <f>Data!BG194</f>
        <v>24800</v>
      </c>
      <c r="BH291" s="332">
        <f>Data!BH194</f>
        <v>23200</v>
      </c>
      <c r="BI291" s="332">
        <f>Data!BI194</f>
        <v>23800</v>
      </c>
      <c r="BJ291" s="332">
        <f>Data!BJ194</f>
        <v>21200</v>
      </c>
      <c r="BK291" s="332">
        <f>Data!BK194</f>
        <v>21100</v>
      </c>
      <c r="BL291" s="331">
        <f>Data!BL194</f>
        <v>21100</v>
      </c>
      <c r="BM291" s="332">
        <f>Data!BM194</f>
        <v>21300</v>
      </c>
      <c r="BN291" s="332">
        <f>Data!BN194</f>
        <v>22800</v>
      </c>
      <c r="BO291" s="332">
        <f>Data!BO194</f>
        <v>21200</v>
      </c>
      <c r="BP291" s="650">
        <f>Data!BP194</f>
        <v>20000</v>
      </c>
      <c r="BQ291" s="651">
        <f>Data!BQ194</f>
        <v>20000</v>
      </c>
      <c r="BR291" s="332">
        <f>Data!BR194</f>
        <v>22100</v>
      </c>
      <c r="BS291" s="332">
        <f>Data!BS194</f>
        <v>22600</v>
      </c>
      <c r="BT291" s="650">
        <f>Data!BT194</f>
        <v>20800</v>
      </c>
      <c r="BU291" s="650">
        <f>Data!BU194</f>
        <v>21400</v>
      </c>
      <c r="BV291" s="651">
        <f>Data!BV194</f>
        <v>21400</v>
      </c>
      <c r="BW291" s="332">
        <f>Data!BW194</f>
        <v>23400</v>
      </c>
      <c r="BX291" s="332">
        <f>Data!BX194</f>
        <v>22400</v>
      </c>
      <c r="BY291" s="650"/>
      <c r="BZ291" s="650"/>
      <c r="CA291" s="651"/>
      <c r="CB291" s="332"/>
      <c r="CC291" s="332"/>
      <c r="CD291" s="332"/>
      <c r="CE291" s="650"/>
      <c r="CF291" s="651"/>
      <c r="CG291" s="650"/>
      <c r="CH291" s="650"/>
      <c r="CI291" s="650"/>
      <c r="CJ291" s="650"/>
      <c r="CK291" s="651"/>
      <c r="CL291" s="650"/>
      <c r="CM291" s="650"/>
      <c r="CN291" s="650"/>
      <c r="CO291" s="650"/>
      <c r="CP291" s="651"/>
      <c r="CQ291" s="650"/>
      <c r="CR291" s="650"/>
      <c r="CS291" s="650"/>
      <c r="CT291" s="650"/>
      <c r="CU291" s="651"/>
      <c r="CV291" s="650"/>
      <c r="CW291" s="650"/>
      <c r="CX291" s="650"/>
      <c r="CY291" s="650"/>
      <c r="CZ291" s="651"/>
      <c r="DA291" s="650"/>
      <c r="DB291" s="650"/>
      <c r="DC291" s="650"/>
      <c r="DD291" s="650"/>
      <c r="DE291" s="651"/>
      <c r="DF291" s="650"/>
      <c r="DG291" s="650"/>
      <c r="DH291" s="650"/>
      <c r="DI291" s="650"/>
      <c r="DJ291" s="651"/>
      <c r="DK291" s="650"/>
      <c r="DL291" s="650"/>
      <c r="DM291" s="650"/>
      <c r="DN291" s="650"/>
      <c r="DO291" s="651"/>
      <c r="DP291" s="650"/>
      <c r="DQ291" s="650"/>
      <c r="DR291" s="650"/>
      <c r="DS291" s="650"/>
      <c r="DT291" s="651"/>
      <c r="DU291" s="650"/>
      <c r="DV291" s="650"/>
      <c r="DW291" s="650"/>
      <c r="DX291" s="650"/>
      <c r="DY291" s="651"/>
      <c r="DZ291" s="651"/>
      <c r="EA291" s="651"/>
      <c r="EB291" s="651"/>
    </row>
    <row r="292" spans="2:132" s="241" customFormat="1" ht="12" hidden="1" customHeight="1">
      <c r="B292" s="311" t="s">
        <v>107</v>
      </c>
      <c r="C292" s="314"/>
      <c r="D292" s="314"/>
      <c r="E292" s="314"/>
      <c r="F292" s="314"/>
      <c r="G292" s="314"/>
      <c r="H292" s="314"/>
      <c r="I292" s="314"/>
      <c r="J292" s="315"/>
      <c r="K292" s="315"/>
      <c r="L292" s="315"/>
      <c r="M292" s="315"/>
      <c r="N292" s="314"/>
      <c r="O292" s="315"/>
      <c r="P292" s="315"/>
      <c r="Q292" s="315"/>
      <c r="R292" s="315">
        <f>Data!R195</f>
        <v>6324</v>
      </c>
      <c r="S292" s="314">
        <f t="shared" si="1226"/>
        <v>6324</v>
      </c>
      <c r="T292" s="315">
        <f>Data!T195</f>
        <v>8802</v>
      </c>
      <c r="U292" s="315">
        <f>Data!U195</f>
        <v>7796</v>
      </c>
      <c r="V292" s="315">
        <f>Data!V195</f>
        <v>7796</v>
      </c>
      <c r="W292" s="315">
        <f>Data!W195</f>
        <v>8001</v>
      </c>
      <c r="X292" s="314">
        <f>Data!X195</f>
        <v>8001</v>
      </c>
      <c r="Y292" s="315">
        <f>Data!Y195</f>
        <v>8931</v>
      </c>
      <c r="Z292" s="315">
        <f>Data!Z195</f>
        <v>9148</v>
      </c>
      <c r="AA292" s="315">
        <f>Data!AA195</f>
        <v>7045</v>
      </c>
      <c r="AB292" s="315">
        <f>Data!AB195</f>
        <v>9167</v>
      </c>
      <c r="AC292" s="314">
        <f>AB292</f>
        <v>9167</v>
      </c>
      <c r="AD292" s="315">
        <f>Data!AD195</f>
        <v>10521</v>
      </c>
      <c r="AE292" s="315">
        <f>Data!AE195</f>
        <v>11024</v>
      </c>
      <c r="AF292" s="315">
        <f>Data!AF195</f>
        <v>7650</v>
      </c>
      <c r="AG292" s="315">
        <f>Data!AG195</f>
        <v>8864</v>
      </c>
      <c r="AH292" s="314">
        <f>AG292</f>
        <v>8864</v>
      </c>
      <c r="AI292" s="315">
        <f>Data!AI195</f>
        <v>8907</v>
      </c>
      <c r="AJ292" s="315">
        <f>Data!AJ195</f>
        <v>7957</v>
      </c>
      <c r="AK292" s="315">
        <f>Data!AK195</f>
        <v>7764</v>
      </c>
      <c r="AL292" s="315">
        <f>Data!AL195</f>
        <v>7746</v>
      </c>
      <c r="AM292" s="314">
        <f>AL292</f>
        <v>7746</v>
      </c>
      <c r="AN292" s="315">
        <f>Data!AN195</f>
        <v>8500</v>
      </c>
      <c r="AO292" s="315">
        <f>Data!AO195</f>
        <v>7500</v>
      </c>
      <c r="AP292" s="315">
        <f>Data!AP195</f>
        <v>8295</v>
      </c>
      <c r="AQ292" s="315">
        <f>Data!AQ195</f>
        <v>9600</v>
      </c>
      <c r="AR292" s="314">
        <f>AQ292</f>
        <v>9600</v>
      </c>
      <c r="AS292" s="315">
        <f>Data!AS195</f>
        <v>9400</v>
      </c>
      <c r="AT292" s="315">
        <f>Data!AT195</f>
        <v>9400</v>
      </c>
      <c r="AU292" s="315">
        <f>Data!AU195</f>
        <v>9500</v>
      </c>
      <c r="AV292" s="315">
        <f>Data!AV195</f>
        <v>9100</v>
      </c>
      <c r="AW292" s="314">
        <f>Data!AW195</f>
        <v>9100</v>
      </c>
      <c r="AX292" s="315">
        <f>Data!AX195</f>
        <v>10100</v>
      </c>
      <c r="AY292" s="315">
        <f>Data!AY195</f>
        <v>9900</v>
      </c>
      <c r="AZ292" s="315">
        <f>Data!AZ195</f>
        <v>9700</v>
      </c>
      <c r="BA292" s="315">
        <f>Data!BA195</f>
        <v>9700</v>
      </c>
      <c r="BB292" s="314">
        <f>Data!BB195</f>
        <v>9700</v>
      </c>
      <c r="BC292" s="315">
        <f>Data!BC195</f>
        <v>9600</v>
      </c>
      <c r="BD292" s="315">
        <f>Data!BD195</f>
        <v>10200</v>
      </c>
      <c r="BE292" s="315">
        <f>Data!BE195</f>
        <v>9900</v>
      </c>
      <c r="BF292" s="315">
        <f>Data!BF195</f>
        <v>9800</v>
      </c>
      <c r="BG292" s="314">
        <f>Data!BG195</f>
        <v>9800</v>
      </c>
      <c r="BH292" s="315">
        <f>Data!BH195</f>
        <v>9400</v>
      </c>
      <c r="BI292" s="315">
        <f>Data!BI195</f>
        <v>9600</v>
      </c>
      <c r="BJ292" s="315">
        <f>Data!BJ195</f>
        <v>8800</v>
      </c>
      <c r="BK292" s="315">
        <f>Data!BK195</f>
        <v>8900</v>
      </c>
      <c r="BL292" s="314">
        <f>Data!BL195</f>
        <v>8900</v>
      </c>
      <c r="BM292" s="315">
        <f>Data!BM195</f>
        <v>9400</v>
      </c>
      <c r="BN292" s="315">
        <f>Data!BN195</f>
        <v>9100</v>
      </c>
      <c r="BO292" s="315">
        <f>Data!BO195</f>
        <v>8300</v>
      </c>
      <c r="BP292" s="620">
        <f>Data!BP195</f>
        <v>7400</v>
      </c>
      <c r="BQ292" s="630">
        <f>Data!BQ195</f>
        <v>7400</v>
      </c>
      <c r="BR292" s="315">
        <f>Data!BR195</f>
        <v>8000</v>
      </c>
      <c r="BS292" s="315">
        <f>Data!BS195</f>
        <v>6900</v>
      </c>
      <c r="BT292" s="620">
        <f>Data!BT195</f>
        <v>6500</v>
      </c>
      <c r="BU292" s="620">
        <f>Data!BU195</f>
        <v>5100</v>
      </c>
      <c r="BV292" s="630">
        <f>Data!BV195</f>
        <v>5100</v>
      </c>
      <c r="BW292" s="315">
        <f>Data!BW195</f>
        <v>6000</v>
      </c>
      <c r="BX292" s="315">
        <f>Data!BX195</f>
        <v>4500</v>
      </c>
      <c r="BY292" s="620"/>
      <c r="BZ292" s="620"/>
      <c r="CA292" s="630"/>
      <c r="CB292" s="315"/>
      <c r="CC292" s="315"/>
      <c r="CD292" s="315"/>
      <c r="CE292" s="620"/>
      <c r="CF292" s="630"/>
      <c r="CG292" s="620"/>
      <c r="CH292" s="620"/>
      <c r="CI292" s="620"/>
      <c r="CJ292" s="620"/>
      <c r="CK292" s="630"/>
      <c r="CL292" s="620"/>
      <c r="CM292" s="620"/>
      <c r="CN292" s="620"/>
      <c r="CO292" s="620"/>
      <c r="CP292" s="630"/>
      <c r="CQ292" s="620"/>
      <c r="CR292" s="620"/>
      <c r="CS292" s="620"/>
      <c r="CT292" s="620"/>
      <c r="CU292" s="630"/>
      <c r="CV292" s="620"/>
      <c r="CW292" s="620"/>
      <c r="CX292" s="620"/>
      <c r="CY292" s="620"/>
      <c r="CZ292" s="630"/>
      <c r="DA292" s="620"/>
      <c r="DB292" s="620"/>
      <c r="DC292" s="620"/>
      <c r="DD292" s="620"/>
      <c r="DE292" s="630"/>
      <c r="DF292" s="620"/>
      <c r="DG292" s="620"/>
      <c r="DH292" s="620"/>
      <c r="DI292" s="620"/>
      <c r="DJ292" s="630"/>
      <c r="DK292" s="620"/>
      <c r="DL292" s="620"/>
      <c r="DM292" s="620"/>
      <c r="DN292" s="620"/>
      <c r="DO292" s="630"/>
      <c r="DP292" s="620"/>
      <c r="DQ292" s="620"/>
      <c r="DR292" s="620"/>
      <c r="DS292" s="620"/>
      <c r="DT292" s="630"/>
      <c r="DU292" s="620"/>
      <c r="DV292" s="620"/>
      <c r="DW292" s="620"/>
      <c r="DX292" s="620"/>
      <c r="DY292" s="630"/>
      <c r="DZ292" s="630"/>
      <c r="EA292" s="630"/>
      <c r="EB292" s="630"/>
    </row>
    <row r="293" spans="2:132" s="241" customFormat="1" ht="12" hidden="1" customHeight="1">
      <c r="B293" s="312" t="s">
        <v>108</v>
      </c>
      <c r="C293" s="314"/>
      <c r="D293" s="314"/>
      <c r="E293" s="314"/>
      <c r="F293" s="314"/>
      <c r="G293" s="314"/>
      <c r="H293" s="314"/>
      <c r="I293" s="314"/>
      <c r="J293" s="315"/>
      <c r="K293" s="315"/>
      <c r="L293" s="315"/>
      <c r="M293" s="315"/>
      <c r="N293" s="314"/>
      <c r="O293" s="315"/>
      <c r="P293" s="315"/>
      <c r="Q293" s="315"/>
      <c r="R293" s="315">
        <f>Data!R196</f>
        <v>8366</v>
      </c>
      <c r="S293" s="314">
        <f t="shared" si="1226"/>
        <v>8366</v>
      </c>
      <c r="T293" s="315">
        <f>Data!T196</f>
        <v>8275</v>
      </c>
      <c r="U293" s="315">
        <f>Data!U196</f>
        <v>8315</v>
      </c>
      <c r="V293" s="315">
        <f>Data!V196</f>
        <v>8343</v>
      </c>
      <c r="W293" s="315">
        <f>Data!W196</f>
        <v>9302</v>
      </c>
      <c r="X293" s="314">
        <f>Data!X196</f>
        <v>9302</v>
      </c>
      <c r="Y293" s="315">
        <f>Data!Y196</f>
        <v>9802</v>
      </c>
      <c r="Z293" s="315">
        <f>Data!Z196</f>
        <v>9650</v>
      </c>
      <c r="AA293" s="315">
        <f>Data!AA196</f>
        <v>9427</v>
      </c>
      <c r="AB293" s="315">
        <f>Data!AB196</f>
        <v>9664</v>
      </c>
      <c r="AC293" s="314">
        <f>AB293</f>
        <v>9664</v>
      </c>
      <c r="AD293" s="315">
        <f>Data!AD196</f>
        <v>10841</v>
      </c>
      <c r="AE293" s="315">
        <f>Data!AE196</f>
        <v>10715</v>
      </c>
      <c r="AF293" s="315">
        <f>Data!AF196</f>
        <v>9799</v>
      </c>
      <c r="AG293" s="315">
        <f>Data!AG196</f>
        <v>10566</v>
      </c>
      <c r="AH293" s="314">
        <f>AG293</f>
        <v>10566</v>
      </c>
      <c r="AI293" s="315">
        <f>Data!AI196</f>
        <v>11631</v>
      </c>
      <c r="AJ293" s="315">
        <f>Data!AJ196</f>
        <v>11716</v>
      </c>
      <c r="AK293" s="315">
        <f>Data!AK196</f>
        <v>11144</v>
      </c>
      <c r="AL293" s="315">
        <f>Data!AL196</f>
        <v>11967</v>
      </c>
      <c r="AM293" s="314">
        <f>AL293</f>
        <v>11967</v>
      </c>
      <c r="AN293" s="315">
        <f>Data!AN196</f>
        <v>12500</v>
      </c>
      <c r="AO293" s="315">
        <f>Data!AO196</f>
        <v>11900</v>
      </c>
      <c r="AP293" s="315">
        <f>Data!AP196</f>
        <v>12317</v>
      </c>
      <c r="AQ293" s="315">
        <f>Data!AQ196</f>
        <v>13700</v>
      </c>
      <c r="AR293" s="314">
        <f>AQ293</f>
        <v>13700</v>
      </c>
      <c r="AS293" s="315">
        <f>Data!AS196</f>
        <v>13900</v>
      </c>
      <c r="AT293" s="315">
        <f>Data!AT196</f>
        <v>13000</v>
      </c>
      <c r="AU293" s="315">
        <f>Data!AU196</f>
        <v>12900</v>
      </c>
      <c r="AV293" s="315">
        <f>Data!AV196</f>
        <v>13200</v>
      </c>
      <c r="AW293" s="314">
        <f>Data!AW196</f>
        <v>13200</v>
      </c>
      <c r="AX293" s="315">
        <f>Data!AX196</f>
        <v>14200</v>
      </c>
      <c r="AY293" s="315">
        <f>Data!AY196</f>
        <v>14600</v>
      </c>
      <c r="AZ293" s="315">
        <f>Data!AZ196</f>
        <v>14100</v>
      </c>
      <c r="BA293" s="315">
        <f>Data!BA196</f>
        <v>15700</v>
      </c>
      <c r="BB293" s="314">
        <f>Data!BB196</f>
        <v>15700</v>
      </c>
      <c r="BC293" s="315">
        <f>Data!BC196</f>
        <v>15400</v>
      </c>
      <c r="BD293" s="315">
        <f>Data!BD196</f>
        <v>14800</v>
      </c>
      <c r="BE293" s="315">
        <f>Data!BE196</f>
        <v>14600</v>
      </c>
      <c r="BF293" s="315">
        <f>Data!BF196</f>
        <v>15000</v>
      </c>
      <c r="BG293" s="314">
        <f>Data!BG196</f>
        <v>15000</v>
      </c>
      <c r="BH293" s="315">
        <f>Data!BH196</f>
        <v>16100</v>
      </c>
      <c r="BI293" s="315">
        <f>Data!BI196</f>
        <v>16300</v>
      </c>
      <c r="BJ293" s="315">
        <f>Data!BJ196</f>
        <v>15500</v>
      </c>
      <c r="BK293" s="315">
        <f>Data!BK196</f>
        <v>16900</v>
      </c>
      <c r="BL293" s="314">
        <f>Data!BL196</f>
        <v>16900</v>
      </c>
      <c r="BM293" s="315">
        <f>Data!BM196</f>
        <v>16900</v>
      </c>
      <c r="BN293" s="315">
        <f>Data!BN196</f>
        <v>16500</v>
      </c>
      <c r="BO293" s="315">
        <f>Data!BO196</f>
        <v>16700</v>
      </c>
      <c r="BP293" s="620">
        <f>Data!BP196</f>
        <v>17800</v>
      </c>
      <c r="BQ293" s="630">
        <f>Data!BQ196</f>
        <v>17800</v>
      </c>
      <c r="BR293" s="315">
        <f>Data!BR196</f>
        <v>17100</v>
      </c>
      <c r="BS293" s="315">
        <f>Data!BS196</f>
        <v>16900</v>
      </c>
      <c r="BT293" s="620">
        <f>Data!BT196</f>
        <v>12800</v>
      </c>
      <c r="BU293" s="620">
        <f>Data!BU196</f>
        <v>15600</v>
      </c>
      <c r="BV293" s="630">
        <f>Data!BV196</f>
        <v>15600</v>
      </c>
      <c r="BW293" s="315">
        <f>Data!BW196</f>
        <v>17000</v>
      </c>
      <c r="BX293" s="315">
        <f>Data!BX196</f>
        <v>17300</v>
      </c>
      <c r="BY293" s="620"/>
      <c r="BZ293" s="620"/>
      <c r="CA293" s="630"/>
      <c r="CB293" s="315"/>
      <c r="CC293" s="315"/>
      <c r="CD293" s="315"/>
      <c r="CE293" s="620"/>
      <c r="CF293" s="630"/>
      <c r="CG293" s="620"/>
      <c r="CH293" s="620"/>
      <c r="CI293" s="620"/>
      <c r="CJ293" s="620"/>
      <c r="CK293" s="630"/>
      <c r="CL293" s="620"/>
      <c r="CM293" s="620"/>
      <c r="CN293" s="620"/>
      <c r="CO293" s="620"/>
      <c r="CP293" s="630"/>
      <c r="CQ293" s="620"/>
      <c r="CR293" s="620"/>
      <c r="CS293" s="620"/>
      <c r="CT293" s="620"/>
      <c r="CU293" s="630"/>
      <c r="CV293" s="620"/>
      <c r="CW293" s="620"/>
      <c r="CX293" s="620"/>
      <c r="CY293" s="620"/>
      <c r="CZ293" s="630"/>
      <c r="DA293" s="620"/>
      <c r="DB293" s="620"/>
      <c r="DC293" s="620"/>
      <c r="DD293" s="620"/>
      <c r="DE293" s="630"/>
      <c r="DF293" s="620"/>
      <c r="DG293" s="620"/>
      <c r="DH293" s="620"/>
      <c r="DI293" s="620"/>
      <c r="DJ293" s="630"/>
      <c r="DK293" s="620"/>
      <c r="DL293" s="620"/>
      <c r="DM293" s="620"/>
      <c r="DN293" s="620"/>
      <c r="DO293" s="630"/>
      <c r="DP293" s="620"/>
      <c r="DQ293" s="620"/>
      <c r="DR293" s="620"/>
      <c r="DS293" s="620"/>
      <c r="DT293" s="630"/>
      <c r="DU293" s="620"/>
      <c r="DV293" s="620"/>
      <c r="DW293" s="620"/>
      <c r="DX293" s="620"/>
      <c r="DY293" s="630"/>
      <c r="DZ293" s="630"/>
      <c r="EA293" s="630"/>
      <c r="EB293" s="630"/>
    </row>
    <row r="294" spans="2:132" s="300" customFormat="1" ht="12" hidden="1" customHeight="1">
      <c r="B294" s="330" t="s">
        <v>130</v>
      </c>
      <c r="C294" s="331"/>
      <c r="D294" s="331"/>
      <c r="E294" s="331"/>
      <c r="F294" s="331"/>
      <c r="G294" s="331"/>
      <c r="H294" s="331"/>
      <c r="I294" s="331">
        <f>Data!I197</f>
        <v>19352</v>
      </c>
      <c r="J294" s="332">
        <f>Data!J197</f>
        <v>20185</v>
      </c>
      <c r="K294" s="332">
        <f>Data!K197</f>
        <v>19661</v>
      </c>
      <c r="L294" s="332">
        <f>Data!L197</f>
        <v>17692</v>
      </c>
      <c r="M294" s="332">
        <f>Data!M197</f>
        <v>18256</v>
      </c>
      <c r="N294" s="331">
        <f>M294</f>
        <v>18256</v>
      </c>
      <c r="O294" s="332">
        <f>Data!O197</f>
        <v>22227</v>
      </c>
      <c r="P294" s="332">
        <f>Data!P197</f>
        <v>20609</v>
      </c>
      <c r="Q294" s="332">
        <f>Data!Q197</f>
        <v>18672</v>
      </c>
      <c r="R294" s="332">
        <f>Data!R197</f>
        <v>19161</v>
      </c>
      <c r="S294" s="331">
        <f t="shared" si="1226"/>
        <v>19161</v>
      </c>
      <c r="T294" s="332"/>
      <c r="U294" s="332"/>
      <c r="V294" s="332"/>
      <c r="W294" s="332"/>
      <c r="X294" s="331"/>
      <c r="Y294" s="332"/>
      <c r="Z294" s="332"/>
      <c r="AA294" s="332"/>
      <c r="AB294" s="332"/>
      <c r="AC294" s="331"/>
      <c r="AD294" s="332"/>
      <c r="AE294" s="332"/>
      <c r="AF294" s="332"/>
      <c r="AG294" s="332"/>
      <c r="AH294" s="331"/>
      <c r="AI294" s="332"/>
      <c r="AJ294" s="332"/>
      <c r="AK294" s="332"/>
      <c r="AL294" s="332"/>
      <c r="AM294" s="331"/>
      <c r="AN294" s="332"/>
      <c r="AO294" s="332"/>
      <c r="AP294" s="332"/>
      <c r="AQ294" s="332"/>
      <c r="AR294" s="331"/>
      <c r="AS294" s="332"/>
      <c r="AT294" s="332"/>
      <c r="AU294" s="332"/>
      <c r="AV294" s="332"/>
      <c r="AW294" s="331"/>
      <c r="AX294" s="332"/>
      <c r="AY294" s="332"/>
      <c r="AZ294" s="332"/>
      <c r="BA294" s="332"/>
      <c r="BB294" s="331"/>
      <c r="BC294" s="332"/>
      <c r="BD294" s="332"/>
      <c r="BE294" s="332"/>
      <c r="BF294" s="332"/>
      <c r="BG294" s="331"/>
      <c r="BH294" s="332"/>
      <c r="BI294" s="332"/>
      <c r="BJ294" s="332"/>
      <c r="BK294" s="332"/>
      <c r="BL294" s="331"/>
      <c r="BM294" s="332"/>
      <c r="BN294" s="650"/>
      <c r="BO294" s="650"/>
      <c r="BP294" s="650"/>
      <c r="BQ294" s="651"/>
      <c r="BR294" s="332"/>
      <c r="BS294" s="650"/>
      <c r="BT294" s="650"/>
      <c r="BU294" s="650"/>
      <c r="BV294" s="651"/>
      <c r="BW294" s="332"/>
      <c r="BX294" s="650"/>
      <c r="BY294" s="650"/>
      <c r="BZ294" s="650"/>
      <c r="CA294" s="651"/>
      <c r="CB294" s="332"/>
      <c r="CC294" s="650"/>
      <c r="CD294" s="650"/>
      <c r="CE294" s="650"/>
      <c r="CF294" s="651"/>
      <c r="CG294" s="650"/>
      <c r="CH294" s="650"/>
      <c r="CI294" s="650"/>
      <c r="CJ294" s="650"/>
      <c r="CK294" s="651"/>
      <c r="CL294" s="650"/>
      <c r="CM294" s="650"/>
      <c r="CN294" s="650"/>
      <c r="CO294" s="650"/>
      <c r="CP294" s="651"/>
      <c r="CQ294" s="650"/>
      <c r="CR294" s="650"/>
      <c r="CS294" s="650"/>
      <c r="CT294" s="650"/>
      <c r="CU294" s="651"/>
      <c r="CV294" s="650"/>
      <c r="CW294" s="650"/>
      <c r="CX294" s="650"/>
      <c r="CY294" s="650"/>
      <c r="CZ294" s="651"/>
      <c r="DA294" s="650"/>
      <c r="DB294" s="650"/>
      <c r="DC294" s="650"/>
      <c r="DD294" s="650"/>
      <c r="DE294" s="651"/>
      <c r="DF294" s="650"/>
      <c r="DG294" s="650"/>
      <c r="DH294" s="650"/>
      <c r="DI294" s="650"/>
      <c r="DJ294" s="651"/>
      <c r="DK294" s="650"/>
      <c r="DL294" s="650"/>
      <c r="DM294" s="650"/>
      <c r="DN294" s="650"/>
      <c r="DO294" s="651"/>
      <c r="DP294" s="650"/>
      <c r="DQ294" s="650"/>
      <c r="DR294" s="650"/>
      <c r="DS294" s="650"/>
      <c r="DT294" s="651"/>
      <c r="DU294" s="650"/>
      <c r="DV294" s="650"/>
      <c r="DW294" s="650"/>
      <c r="DX294" s="650"/>
      <c r="DY294" s="651"/>
      <c r="DZ294" s="651"/>
      <c r="EA294" s="651"/>
      <c r="EB294" s="651"/>
    </row>
    <row r="295" spans="2:132" s="300" customFormat="1" ht="12" hidden="1" customHeight="1">
      <c r="B295" s="335" t="s">
        <v>131</v>
      </c>
      <c r="C295" s="314"/>
      <c r="D295" s="314"/>
      <c r="E295" s="314"/>
      <c r="F295" s="314"/>
      <c r="G295" s="314"/>
      <c r="H295" s="314"/>
      <c r="I295" s="314">
        <f>Data!I198</f>
        <v>11715</v>
      </c>
      <c r="J295" s="315">
        <f>Data!J198</f>
        <v>11405</v>
      </c>
      <c r="K295" s="315">
        <f>Data!K198</f>
        <v>12266</v>
      </c>
      <c r="L295" s="315">
        <f>Data!L198</f>
        <v>9884</v>
      </c>
      <c r="M295" s="315">
        <f>Data!M198</f>
        <v>10190</v>
      </c>
      <c r="N295" s="314">
        <f>M295</f>
        <v>10190</v>
      </c>
      <c r="O295" s="315">
        <f>Data!O198</f>
        <v>10549</v>
      </c>
      <c r="P295" s="315">
        <f>Data!P198</f>
        <v>9459</v>
      </c>
      <c r="Q295" s="315">
        <f>Data!Q198</f>
        <v>7042</v>
      </c>
      <c r="R295" s="315">
        <f>Data!R198</f>
        <v>6228</v>
      </c>
      <c r="S295" s="314">
        <f t="shared" si="1226"/>
        <v>6228</v>
      </c>
      <c r="T295" s="315"/>
      <c r="U295" s="315"/>
      <c r="V295" s="315"/>
      <c r="W295" s="315"/>
      <c r="X295" s="314"/>
      <c r="Y295" s="315"/>
      <c r="Z295" s="315"/>
      <c r="AA295" s="315"/>
      <c r="AB295" s="315"/>
      <c r="AC295" s="314"/>
      <c r="AD295" s="315"/>
      <c r="AE295" s="315"/>
      <c r="AF295" s="315"/>
      <c r="AG295" s="315"/>
      <c r="AH295" s="314"/>
      <c r="AI295" s="315"/>
      <c r="AJ295" s="315"/>
      <c r="AK295" s="315"/>
      <c r="AL295" s="315"/>
      <c r="AM295" s="314"/>
      <c r="AN295" s="315"/>
      <c r="AO295" s="315"/>
      <c r="AP295" s="315"/>
      <c r="AQ295" s="315"/>
      <c r="AR295" s="314"/>
      <c r="AS295" s="315"/>
      <c r="AT295" s="315"/>
      <c r="AU295" s="315"/>
      <c r="AV295" s="315"/>
      <c r="AW295" s="314"/>
      <c r="AX295" s="315"/>
      <c r="AY295" s="315"/>
      <c r="AZ295" s="315"/>
      <c r="BA295" s="315"/>
      <c r="BB295" s="314"/>
      <c r="BC295" s="315"/>
      <c r="BD295" s="315"/>
      <c r="BE295" s="315"/>
      <c r="BF295" s="315"/>
      <c r="BG295" s="314"/>
      <c r="BH295" s="315"/>
      <c r="BI295" s="315"/>
      <c r="BJ295" s="315"/>
      <c r="BK295" s="315"/>
      <c r="BL295" s="314"/>
      <c r="BM295" s="315"/>
      <c r="BN295" s="620"/>
      <c r="BO295" s="620"/>
      <c r="BP295" s="620"/>
      <c r="BQ295" s="630"/>
      <c r="BR295" s="315"/>
      <c r="BS295" s="620"/>
      <c r="BT295" s="620"/>
      <c r="BU295" s="620"/>
      <c r="BV295" s="630"/>
      <c r="BW295" s="315"/>
      <c r="BX295" s="620"/>
      <c r="BY295" s="620"/>
      <c r="BZ295" s="620"/>
      <c r="CA295" s="630"/>
      <c r="CB295" s="315"/>
      <c r="CC295" s="620"/>
      <c r="CD295" s="620"/>
      <c r="CE295" s="620"/>
      <c r="CF295" s="630"/>
      <c r="CG295" s="620"/>
      <c r="CH295" s="620"/>
      <c r="CI295" s="620"/>
      <c r="CJ295" s="620"/>
      <c r="CK295" s="630"/>
      <c r="CL295" s="620"/>
      <c r="CM295" s="620"/>
      <c r="CN295" s="620"/>
      <c r="CO295" s="620"/>
      <c r="CP295" s="630"/>
      <c r="CQ295" s="620"/>
      <c r="CR295" s="620"/>
      <c r="CS295" s="620"/>
      <c r="CT295" s="620"/>
      <c r="CU295" s="630"/>
      <c r="CV295" s="620"/>
      <c r="CW295" s="620"/>
      <c r="CX295" s="620"/>
      <c r="CY295" s="620"/>
      <c r="CZ295" s="630"/>
      <c r="DA295" s="620"/>
      <c r="DB295" s="620"/>
      <c r="DC295" s="620"/>
      <c r="DD295" s="620"/>
      <c r="DE295" s="630"/>
      <c r="DF295" s="620"/>
      <c r="DG295" s="620"/>
      <c r="DH295" s="620"/>
      <c r="DI295" s="620"/>
      <c r="DJ295" s="630"/>
      <c r="DK295" s="620"/>
      <c r="DL295" s="620"/>
      <c r="DM295" s="620"/>
      <c r="DN295" s="620"/>
      <c r="DO295" s="630"/>
      <c r="DP295" s="620"/>
      <c r="DQ295" s="620"/>
      <c r="DR295" s="620"/>
      <c r="DS295" s="620"/>
      <c r="DT295" s="630"/>
      <c r="DU295" s="620"/>
      <c r="DV295" s="620"/>
      <c r="DW295" s="620"/>
      <c r="DX295" s="620"/>
      <c r="DY295" s="630"/>
      <c r="DZ295" s="630"/>
      <c r="EA295" s="630"/>
      <c r="EB295" s="630"/>
    </row>
    <row r="296" spans="2:132" s="300" customFormat="1" ht="12" hidden="1" customHeight="1">
      <c r="B296" s="335" t="s">
        <v>125</v>
      </c>
      <c r="C296" s="314"/>
      <c r="D296" s="314"/>
      <c r="E296" s="314"/>
      <c r="F296" s="314"/>
      <c r="G296" s="314"/>
      <c r="H296" s="314"/>
      <c r="I296" s="314">
        <f>Data!I199</f>
        <v>5882</v>
      </c>
      <c r="J296" s="315">
        <f>Data!J199</f>
        <v>6456</v>
      </c>
      <c r="K296" s="315">
        <f>Data!K199</f>
        <v>6143</v>
      </c>
      <c r="L296" s="315">
        <f>Data!L199</f>
        <v>5665</v>
      </c>
      <c r="M296" s="315">
        <f>Data!M199</f>
        <v>6505</v>
      </c>
      <c r="N296" s="314">
        <f>M296</f>
        <v>6505</v>
      </c>
      <c r="O296" s="315">
        <f>Data!O199</f>
        <v>6726</v>
      </c>
      <c r="P296" s="315">
        <f>Data!P199</f>
        <v>6845</v>
      </c>
      <c r="Q296" s="315">
        <f>Data!Q199</f>
        <v>6015</v>
      </c>
      <c r="R296" s="315">
        <f>Data!R199</f>
        <v>8366</v>
      </c>
      <c r="S296" s="314">
        <f t="shared" si="1226"/>
        <v>8366</v>
      </c>
      <c r="T296" s="315"/>
      <c r="U296" s="315"/>
      <c r="V296" s="315"/>
      <c r="W296" s="315"/>
      <c r="X296" s="314"/>
      <c r="Y296" s="315"/>
      <c r="Z296" s="315"/>
      <c r="AA296" s="315"/>
      <c r="AB296" s="315"/>
      <c r="AC296" s="314"/>
      <c r="AD296" s="315"/>
      <c r="AE296" s="315"/>
      <c r="AF296" s="315"/>
      <c r="AG296" s="315"/>
      <c r="AH296" s="314"/>
      <c r="AI296" s="315"/>
      <c r="AJ296" s="315"/>
      <c r="AK296" s="315"/>
      <c r="AL296" s="315"/>
      <c r="AM296" s="314"/>
      <c r="AN296" s="315"/>
      <c r="AO296" s="315"/>
      <c r="AP296" s="315"/>
      <c r="AQ296" s="315"/>
      <c r="AR296" s="314"/>
      <c r="AS296" s="315"/>
      <c r="AT296" s="315"/>
      <c r="AU296" s="315"/>
      <c r="AV296" s="315"/>
      <c r="AW296" s="314"/>
      <c r="AX296" s="315"/>
      <c r="AY296" s="315"/>
      <c r="AZ296" s="315"/>
      <c r="BA296" s="315"/>
      <c r="BB296" s="314"/>
      <c r="BC296" s="315"/>
      <c r="BD296" s="315"/>
      <c r="BE296" s="315"/>
      <c r="BF296" s="315"/>
      <c r="BG296" s="314"/>
      <c r="BH296" s="315"/>
      <c r="BI296" s="315"/>
      <c r="BJ296" s="315"/>
      <c r="BK296" s="315"/>
      <c r="BL296" s="314"/>
      <c r="BM296" s="315"/>
      <c r="BN296" s="620"/>
      <c r="BO296" s="620"/>
      <c r="BP296" s="620"/>
      <c r="BQ296" s="630"/>
      <c r="BR296" s="315"/>
      <c r="BS296" s="620"/>
      <c r="BT296" s="620"/>
      <c r="BU296" s="620"/>
      <c r="BV296" s="630"/>
      <c r="BW296" s="315"/>
      <c r="BX296" s="620"/>
      <c r="BY296" s="620"/>
      <c r="BZ296" s="620"/>
      <c r="CA296" s="630"/>
      <c r="CB296" s="315"/>
      <c r="CC296" s="620"/>
      <c r="CD296" s="620"/>
      <c r="CE296" s="620"/>
      <c r="CF296" s="630"/>
      <c r="CG296" s="620"/>
      <c r="CH296" s="620"/>
      <c r="CI296" s="620"/>
      <c r="CJ296" s="620"/>
      <c r="CK296" s="630"/>
      <c r="CL296" s="620"/>
      <c r="CM296" s="620"/>
      <c r="CN296" s="620"/>
      <c r="CO296" s="620"/>
      <c r="CP296" s="630"/>
      <c r="CQ296" s="620"/>
      <c r="CR296" s="620"/>
      <c r="CS296" s="620"/>
      <c r="CT296" s="620"/>
      <c r="CU296" s="630"/>
      <c r="CV296" s="620"/>
      <c r="CW296" s="620"/>
      <c r="CX296" s="620"/>
      <c r="CY296" s="620"/>
      <c r="CZ296" s="630"/>
      <c r="DA296" s="620"/>
      <c r="DB296" s="620"/>
      <c r="DC296" s="620"/>
      <c r="DD296" s="620"/>
      <c r="DE296" s="630"/>
      <c r="DF296" s="620"/>
      <c r="DG296" s="620"/>
      <c r="DH296" s="620"/>
      <c r="DI296" s="620"/>
      <c r="DJ296" s="630"/>
      <c r="DK296" s="620"/>
      <c r="DL296" s="620"/>
      <c r="DM296" s="620"/>
      <c r="DN296" s="620"/>
      <c r="DO296" s="630"/>
      <c r="DP296" s="620"/>
      <c r="DQ296" s="620"/>
      <c r="DR296" s="620"/>
      <c r="DS296" s="620"/>
      <c r="DT296" s="630"/>
      <c r="DU296" s="620"/>
      <c r="DV296" s="620"/>
      <c r="DW296" s="620"/>
      <c r="DX296" s="620"/>
      <c r="DY296" s="630"/>
      <c r="DZ296" s="630"/>
      <c r="EA296" s="630"/>
      <c r="EB296" s="630"/>
    </row>
    <row r="297" spans="2:132" s="300" customFormat="1" ht="12" hidden="1" customHeight="1">
      <c r="B297" s="318" t="s">
        <v>132</v>
      </c>
      <c r="C297" s="321"/>
      <c r="D297" s="321"/>
      <c r="E297" s="321"/>
      <c r="F297" s="321"/>
      <c r="G297" s="321"/>
      <c r="H297" s="321"/>
      <c r="I297" s="321">
        <f>Data!I200</f>
        <v>3934</v>
      </c>
      <c r="J297" s="322">
        <f>Data!J200</f>
        <v>3533</v>
      </c>
      <c r="K297" s="322">
        <f>Data!K200</f>
        <v>3101</v>
      </c>
      <c r="L297" s="322">
        <f>Data!L200</f>
        <v>4227</v>
      </c>
      <c r="M297" s="322">
        <f>Data!M200</f>
        <v>4200</v>
      </c>
      <c r="N297" s="321">
        <f>M297</f>
        <v>4200</v>
      </c>
      <c r="O297" s="322">
        <f>Data!O200</f>
        <v>4339</v>
      </c>
      <c r="P297" s="322">
        <f>Data!P200</f>
        <v>4031</v>
      </c>
      <c r="Q297" s="322">
        <f>Data!Q200</f>
        <v>3637</v>
      </c>
      <c r="R297" s="322">
        <f>Data!R200</f>
        <v>2586</v>
      </c>
      <c r="S297" s="321">
        <f t="shared" si="1226"/>
        <v>2586</v>
      </c>
      <c r="T297" s="322"/>
      <c r="U297" s="322"/>
      <c r="V297" s="322"/>
      <c r="W297" s="322"/>
      <c r="X297" s="321"/>
      <c r="Y297" s="322"/>
      <c r="Z297" s="322"/>
      <c r="AA297" s="322"/>
      <c r="AB297" s="322"/>
      <c r="AC297" s="321"/>
      <c r="AD297" s="322"/>
      <c r="AE297" s="322"/>
      <c r="AF297" s="322"/>
      <c r="AG297" s="322"/>
      <c r="AH297" s="321"/>
      <c r="AI297" s="322"/>
      <c r="AJ297" s="322"/>
      <c r="AK297" s="322"/>
      <c r="AL297" s="322"/>
      <c r="AM297" s="321"/>
      <c r="AN297" s="322"/>
      <c r="AO297" s="322"/>
      <c r="AP297" s="322"/>
      <c r="AQ297" s="322"/>
      <c r="AR297" s="321"/>
      <c r="AS297" s="322"/>
      <c r="AT297" s="322"/>
      <c r="AU297" s="322"/>
      <c r="AV297" s="322"/>
      <c r="AW297" s="321"/>
      <c r="AX297" s="322"/>
      <c r="AY297" s="322"/>
      <c r="AZ297" s="322"/>
      <c r="BA297" s="322"/>
      <c r="BB297" s="321"/>
      <c r="BC297" s="322"/>
      <c r="BD297" s="322"/>
      <c r="BE297" s="322"/>
      <c r="BF297" s="322"/>
      <c r="BG297" s="321"/>
      <c r="BH297" s="322"/>
      <c r="BI297" s="322"/>
      <c r="BJ297" s="322"/>
      <c r="BK297" s="322"/>
      <c r="BL297" s="321"/>
      <c r="BM297" s="322"/>
      <c r="BN297" s="652"/>
      <c r="BO297" s="652"/>
      <c r="BP297" s="652"/>
      <c r="BQ297" s="653"/>
      <c r="BR297" s="322"/>
      <c r="BS297" s="652"/>
      <c r="BT297" s="652"/>
      <c r="BU297" s="652"/>
      <c r="BV297" s="653"/>
      <c r="BW297" s="322"/>
      <c r="BX297" s="652"/>
      <c r="BY297" s="652"/>
      <c r="BZ297" s="652"/>
      <c r="CA297" s="653"/>
      <c r="CB297" s="322"/>
      <c r="CC297" s="652"/>
      <c r="CD297" s="652"/>
      <c r="CE297" s="652"/>
      <c r="CF297" s="653"/>
      <c r="CG297" s="652"/>
      <c r="CH297" s="652"/>
      <c r="CI297" s="652"/>
      <c r="CJ297" s="652"/>
      <c r="CK297" s="653"/>
      <c r="CL297" s="652"/>
      <c r="CM297" s="652"/>
      <c r="CN297" s="652"/>
      <c r="CO297" s="652"/>
      <c r="CP297" s="653"/>
      <c r="CQ297" s="652"/>
      <c r="CR297" s="652"/>
      <c r="CS297" s="652"/>
      <c r="CT297" s="652"/>
      <c r="CU297" s="653"/>
      <c r="CV297" s="652"/>
      <c r="CW297" s="652"/>
      <c r="CX297" s="652"/>
      <c r="CY297" s="652"/>
      <c r="CZ297" s="653"/>
      <c r="DA297" s="652"/>
      <c r="DB297" s="652"/>
      <c r="DC297" s="652"/>
      <c r="DD297" s="652"/>
      <c r="DE297" s="653"/>
      <c r="DF297" s="652"/>
      <c r="DG297" s="652"/>
      <c r="DH297" s="652"/>
      <c r="DI297" s="652"/>
      <c r="DJ297" s="653"/>
      <c r="DK297" s="652"/>
      <c r="DL297" s="652"/>
      <c r="DM297" s="652"/>
      <c r="DN297" s="652"/>
      <c r="DO297" s="653"/>
      <c r="DP297" s="652"/>
      <c r="DQ297" s="652"/>
      <c r="DR297" s="652"/>
      <c r="DS297" s="652"/>
      <c r="DT297" s="653"/>
      <c r="DU297" s="652"/>
      <c r="DV297" s="652"/>
      <c r="DW297" s="652"/>
      <c r="DX297" s="652"/>
      <c r="DY297" s="653"/>
      <c r="DZ297" s="653"/>
      <c r="EA297" s="653"/>
      <c r="EB297" s="653"/>
    </row>
    <row r="298" spans="2:132" s="300" customFormat="1" ht="12" hidden="1" customHeight="1">
      <c r="B298" s="335" t="s">
        <v>133</v>
      </c>
      <c r="C298" s="314"/>
      <c r="D298" s="314">
        <f>Data!D201</f>
        <v>17007</v>
      </c>
      <c r="E298" s="314">
        <f>Data!E201</f>
        <v>15691</v>
      </c>
      <c r="F298" s="314">
        <f>Data!F201</f>
        <v>17113</v>
      </c>
      <c r="G298" s="314">
        <f>Data!G201</f>
        <v>17630</v>
      </c>
      <c r="H298" s="314">
        <f>Data!H201</f>
        <v>21073</v>
      </c>
      <c r="I298" s="314"/>
      <c r="J298" s="315"/>
      <c r="K298" s="315"/>
      <c r="L298" s="315"/>
      <c r="M298" s="315"/>
      <c r="N298" s="314"/>
      <c r="O298" s="315"/>
      <c r="P298" s="315"/>
      <c r="Q298" s="315"/>
      <c r="R298" s="315"/>
      <c r="S298" s="314"/>
      <c r="T298" s="315"/>
      <c r="U298" s="315"/>
      <c r="V298" s="315"/>
      <c r="W298" s="315"/>
      <c r="X298" s="314"/>
      <c r="Y298" s="315"/>
      <c r="Z298" s="315"/>
      <c r="AA298" s="315"/>
      <c r="AB298" s="315"/>
      <c r="AC298" s="314"/>
      <c r="AD298" s="315"/>
      <c r="AE298" s="315"/>
      <c r="AF298" s="315"/>
      <c r="AG298" s="315"/>
      <c r="AH298" s="314"/>
      <c r="AI298" s="315"/>
      <c r="AJ298" s="315"/>
      <c r="AK298" s="315"/>
      <c r="AL298" s="315"/>
      <c r="AM298" s="314"/>
      <c r="AN298" s="315"/>
      <c r="AO298" s="315"/>
      <c r="AP298" s="315"/>
      <c r="AQ298" s="315"/>
      <c r="AR298" s="314"/>
      <c r="AS298" s="315"/>
      <c r="AT298" s="315"/>
      <c r="AU298" s="315"/>
      <c r="AV298" s="315"/>
      <c r="AW298" s="314"/>
      <c r="AX298" s="315"/>
      <c r="AY298" s="315"/>
      <c r="AZ298" s="315"/>
      <c r="BA298" s="315"/>
      <c r="BB298" s="314"/>
      <c r="BC298" s="315"/>
      <c r="BD298" s="315"/>
      <c r="BE298" s="315"/>
      <c r="BF298" s="315"/>
      <c r="BG298" s="314"/>
      <c r="BH298" s="315"/>
      <c r="BI298" s="315"/>
      <c r="BJ298" s="315"/>
      <c r="BK298" s="315"/>
      <c r="BL298" s="314"/>
      <c r="BM298" s="315"/>
      <c r="BN298" s="620"/>
      <c r="BO298" s="620"/>
      <c r="BP298" s="620"/>
      <c r="BQ298" s="630"/>
      <c r="BR298" s="315"/>
      <c r="BS298" s="620"/>
      <c r="BT298" s="620"/>
      <c r="BU298" s="620"/>
      <c r="BV298" s="630"/>
      <c r="BW298" s="315"/>
      <c r="BX298" s="620"/>
      <c r="BY298" s="620"/>
      <c r="BZ298" s="620"/>
      <c r="CA298" s="630"/>
      <c r="CB298" s="315"/>
      <c r="CC298" s="620"/>
      <c r="CD298" s="620"/>
      <c r="CE298" s="620"/>
      <c r="CF298" s="630"/>
      <c r="CG298" s="620"/>
      <c r="CH298" s="620"/>
      <c r="CI298" s="620"/>
      <c r="CJ298" s="620"/>
      <c r="CK298" s="630"/>
      <c r="CL298" s="620"/>
      <c r="CM298" s="620"/>
      <c r="CN298" s="620"/>
      <c r="CO298" s="620"/>
      <c r="CP298" s="630"/>
      <c r="CQ298" s="620"/>
      <c r="CR298" s="620"/>
      <c r="CS298" s="620"/>
      <c r="CT298" s="620"/>
      <c r="CU298" s="630"/>
      <c r="CV298" s="620"/>
      <c r="CW298" s="620"/>
      <c r="CX298" s="620"/>
      <c r="CY298" s="620"/>
      <c r="CZ298" s="630"/>
      <c r="DA298" s="620"/>
      <c r="DB298" s="620"/>
      <c r="DC298" s="620"/>
      <c r="DD298" s="620"/>
      <c r="DE298" s="630"/>
      <c r="DF298" s="620"/>
      <c r="DG298" s="620"/>
      <c r="DH298" s="620"/>
      <c r="DI298" s="620"/>
      <c r="DJ298" s="630"/>
      <c r="DK298" s="620"/>
      <c r="DL298" s="620"/>
      <c r="DM298" s="620"/>
      <c r="DN298" s="620"/>
      <c r="DO298" s="630"/>
      <c r="DP298" s="620"/>
      <c r="DQ298" s="620"/>
      <c r="DR298" s="620"/>
      <c r="DS298" s="620"/>
      <c r="DT298" s="630"/>
      <c r="DU298" s="620"/>
      <c r="DV298" s="620"/>
      <c r="DW298" s="620"/>
      <c r="DX298" s="620"/>
      <c r="DY298" s="630"/>
      <c r="DZ298" s="630"/>
      <c r="EA298" s="630"/>
      <c r="EB298" s="630"/>
    </row>
    <row r="299" spans="2:132" s="300" customFormat="1" ht="12" hidden="1" customHeight="1">
      <c r="B299" s="318" t="s">
        <v>134</v>
      </c>
      <c r="C299" s="321"/>
      <c r="D299" s="321">
        <f>Data!D202</f>
        <v>9832</v>
      </c>
      <c r="E299" s="321">
        <f>Data!E202</f>
        <v>10585</v>
      </c>
      <c r="F299" s="321">
        <f>Data!F202</f>
        <v>13707</v>
      </c>
      <c r="G299" s="321">
        <f>Data!G202</f>
        <v>13111</v>
      </c>
      <c r="H299" s="321">
        <f>Data!H202</f>
        <v>14941</v>
      </c>
      <c r="I299" s="321"/>
      <c r="J299" s="322"/>
      <c r="K299" s="322"/>
      <c r="L299" s="322"/>
      <c r="M299" s="322"/>
      <c r="N299" s="321"/>
      <c r="O299" s="322"/>
      <c r="P299" s="322"/>
      <c r="Q299" s="322"/>
      <c r="R299" s="322"/>
      <c r="S299" s="321"/>
      <c r="T299" s="322"/>
      <c r="U299" s="322"/>
      <c r="V299" s="322"/>
      <c r="W299" s="322"/>
      <c r="X299" s="321"/>
      <c r="Y299" s="322"/>
      <c r="Z299" s="322"/>
      <c r="AA299" s="322"/>
      <c r="AB299" s="322"/>
      <c r="AC299" s="321"/>
      <c r="AD299" s="322"/>
      <c r="AE299" s="322"/>
      <c r="AF299" s="322"/>
      <c r="AG299" s="322"/>
      <c r="AH299" s="321"/>
      <c r="AI299" s="322"/>
      <c r="AJ299" s="322"/>
      <c r="AK299" s="322"/>
      <c r="AL299" s="322"/>
      <c r="AM299" s="321"/>
      <c r="AN299" s="322"/>
      <c r="AO299" s="322"/>
      <c r="AP299" s="322"/>
      <c r="AQ299" s="322"/>
      <c r="AR299" s="321"/>
      <c r="AS299" s="322"/>
      <c r="AT299" s="322"/>
      <c r="AU299" s="322"/>
      <c r="AV299" s="322"/>
      <c r="AW299" s="321"/>
      <c r="AX299" s="322"/>
      <c r="AY299" s="322"/>
      <c r="AZ299" s="322"/>
      <c r="BA299" s="322"/>
      <c r="BB299" s="321"/>
      <c r="BC299" s="322"/>
      <c r="BD299" s="322"/>
      <c r="BE299" s="322"/>
      <c r="BF299" s="322"/>
      <c r="BG299" s="321"/>
      <c r="BH299" s="322"/>
      <c r="BI299" s="322"/>
      <c r="BJ299" s="322"/>
      <c r="BK299" s="322"/>
      <c r="BL299" s="321"/>
      <c r="BM299" s="322"/>
      <c r="BN299" s="652"/>
      <c r="BO299" s="652"/>
      <c r="BP299" s="652"/>
      <c r="BQ299" s="653"/>
      <c r="BR299" s="322"/>
      <c r="BS299" s="652"/>
      <c r="BT299" s="652"/>
      <c r="BU299" s="652"/>
      <c r="BV299" s="653"/>
      <c r="BW299" s="322"/>
      <c r="BX299" s="652"/>
      <c r="BY299" s="652"/>
      <c r="BZ299" s="652"/>
      <c r="CA299" s="653"/>
      <c r="CB299" s="322"/>
      <c r="CC299" s="652"/>
      <c r="CD299" s="652"/>
      <c r="CE299" s="652"/>
      <c r="CF299" s="653"/>
      <c r="CG299" s="652"/>
      <c r="CH299" s="652"/>
      <c r="CI299" s="652"/>
      <c r="CJ299" s="652"/>
      <c r="CK299" s="653"/>
      <c r="CL299" s="652"/>
      <c r="CM299" s="652"/>
      <c r="CN299" s="652"/>
      <c r="CO299" s="652"/>
      <c r="CP299" s="653"/>
      <c r="CQ299" s="652"/>
      <c r="CR299" s="652"/>
      <c r="CS299" s="652"/>
      <c r="CT299" s="652"/>
      <c r="CU299" s="653"/>
      <c r="CV299" s="652"/>
      <c r="CW299" s="652"/>
      <c r="CX299" s="652"/>
      <c r="CY299" s="652"/>
      <c r="CZ299" s="653"/>
      <c r="DA299" s="652"/>
      <c r="DB299" s="652"/>
      <c r="DC299" s="652"/>
      <c r="DD299" s="652"/>
      <c r="DE299" s="653"/>
      <c r="DF299" s="652"/>
      <c r="DG299" s="652"/>
      <c r="DH299" s="652"/>
      <c r="DI299" s="652"/>
      <c r="DJ299" s="653"/>
      <c r="DK299" s="652"/>
      <c r="DL299" s="652"/>
      <c r="DM299" s="652"/>
      <c r="DN299" s="652"/>
      <c r="DO299" s="653"/>
      <c r="DP299" s="652"/>
      <c r="DQ299" s="652"/>
      <c r="DR299" s="652"/>
      <c r="DS299" s="652"/>
      <c r="DT299" s="653"/>
      <c r="DU299" s="652"/>
      <c r="DV299" s="652"/>
      <c r="DW299" s="652"/>
      <c r="DX299" s="652"/>
      <c r="DY299" s="653"/>
      <c r="DZ299" s="653"/>
      <c r="EA299" s="653"/>
      <c r="EB299" s="653"/>
    </row>
    <row r="300" spans="2:132" s="241" customFormat="1" ht="12" customHeight="1" collapsed="1">
      <c r="B300" s="437" t="s">
        <v>391</v>
      </c>
      <c r="C300" s="314">
        <f>Data!C203</f>
        <v>27852</v>
      </c>
      <c r="D300" s="314">
        <f>SUM(D298:D299)</f>
        <v>26839</v>
      </c>
      <c r="E300" s="314">
        <f>SUM(E298:E299)</f>
        <v>26276</v>
      </c>
      <c r="F300" s="314">
        <f>SUM(F298:F299)</f>
        <v>30820</v>
      </c>
      <c r="G300" s="314">
        <f>SUM(G298:G299)</f>
        <v>30741</v>
      </c>
      <c r="H300" s="314">
        <f>SUM(H298:H299)</f>
        <v>36014</v>
      </c>
      <c r="I300" s="314">
        <f>SUM(I294:I297)</f>
        <v>40883</v>
      </c>
      <c r="J300" s="315">
        <f t="shared" ref="J300:S300" si="1227">SUM(J294:J297)</f>
        <v>41579</v>
      </c>
      <c r="K300" s="315">
        <f t="shared" si="1227"/>
        <v>41171</v>
      </c>
      <c r="L300" s="315">
        <f t="shared" si="1227"/>
        <v>37468</v>
      </c>
      <c r="M300" s="315">
        <f t="shared" si="1227"/>
        <v>39151</v>
      </c>
      <c r="N300" s="314">
        <f t="shared" si="1227"/>
        <v>39151</v>
      </c>
      <c r="O300" s="315">
        <f t="shared" si="1227"/>
        <v>43841</v>
      </c>
      <c r="P300" s="315">
        <f t="shared" si="1227"/>
        <v>40944</v>
      </c>
      <c r="Q300" s="315">
        <f t="shared" si="1227"/>
        <v>35366</v>
      </c>
      <c r="R300" s="315">
        <f t="shared" si="1227"/>
        <v>36341</v>
      </c>
      <c r="S300" s="314">
        <f t="shared" si="1227"/>
        <v>36341</v>
      </c>
      <c r="T300" s="315">
        <f t="shared" ref="T300:AK300" si="1228">SUM(T291:T293)</f>
        <v>42251</v>
      </c>
      <c r="U300" s="315">
        <f t="shared" si="1228"/>
        <v>38783</v>
      </c>
      <c r="V300" s="315">
        <f t="shared" si="1228"/>
        <v>36119</v>
      </c>
      <c r="W300" s="315">
        <f t="shared" si="1228"/>
        <v>42291</v>
      </c>
      <c r="X300" s="314">
        <f t="shared" si="1228"/>
        <v>42291</v>
      </c>
      <c r="Y300" s="315">
        <f t="shared" si="1228"/>
        <v>41771</v>
      </c>
      <c r="Z300" s="315">
        <f t="shared" si="1228"/>
        <v>40486</v>
      </c>
      <c r="AA300" s="315">
        <f t="shared" si="1228"/>
        <v>38530</v>
      </c>
      <c r="AB300" s="315">
        <f t="shared" si="1228"/>
        <v>41788</v>
      </c>
      <c r="AC300" s="314">
        <f t="shared" si="1228"/>
        <v>41788</v>
      </c>
      <c r="AD300" s="315">
        <f t="shared" si="1228"/>
        <v>44431</v>
      </c>
      <c r="AE300" s="315">
        <f t="shared" si="1228"/>
        <v>45562</v>
      </c>
      <c r="AF300" s="315">
        <f t="shared" si="1228"/>
        <v>41400</v>
      </c>
      <c r="AG300" s="315">
        <f t="shared" si="1228"/>
        <v>45285</v>
      </c>
      <c r="AH300" s="314">
        <f t="shared" si="1228"/>
        <v>45285</v>
      </c>
      <c r="AI300" s="315">
        <f t="shared" si="1228"/>
        <v>48695</v>
      </c>
      <c r="AJ300" s="315">
        <f t="shared" si="1228"/>
        <v>47830</v>
      </c>
      <c r="AK300" s="315">
        <f t="shared" si="1228"/>
        <v>45020</v>
      </c>
      <c r="AL300" s="315">
        <f t="shared" ref="AL300:BB300" si="1229">SUM(AL291:AL293)</f>
        <v>46024</v>
      </c>
      <c r="AM300" s="314">
        <f t="shared" si="1229"/>
        <v>46024</v>
      </c>
      <c r="AN300" s="315">
        <f t="shared" si="1229"/>
        <v>48500</v>
      </c>
      <c r="AO300" s="315">
        <f t="shared" si="1229"/>
        <v>46000</v>
      </c>
      <c r="AP300" s="315">
        <f t="shared" si="1229"/>
        <v>46295</v>
      </c>
      <c r="AQ300" s="315">
        <f t="shared" si="1229"/>
        <v>48400</v>
      </c>
      <c r="AR300" s="314">
        <f>SUM(AR291:AR293)</f>
        <v>48400</v>
      </c>
      <c r="AS300" s="315">
        <f t="shared" si="1229"/>
        <v>49800</v>
      </c>
      <c r="AT300" s="315">
        <f t="shared" si="1229"/>
        <v>48100</v>
      </c>
      <c r="AU300" s="315">
        <f t="shared" si="1229"/>
        <v>46600</v>
      </c>
      <c r="AV300" s="315">
        <f t="shared" si="1229"/>
        <v>46400</v>
      </c>
      <c r="AW300" s="314">
        <f t="shared" si="1229"/>
        <v>46400</v>
      </c>
      <c r="AX300" s="315">
        <f>SUM(AX291:AX293)</f>
        <v>53300</v>
      </c>
      <c r="AY300" s="315">
        <f>SUM(AY291:AY293)</f>
        <v>54200</v>
      </c>
      <c r="AZ300" s="315">
        <f>SUM(AZ291:AZ293)</f>
        <v>52300</v>
      </c>
      <c r="BA300" s="315">
        <f>SUM(BA291:BA293)</f>
        <v>55100</v>
      </c>
      <c r="BB300" s="314">
        <f t="shared" si="1229"/>
        <v>55100</v>
      </c>
      <c r="BC300" s="315">
        <f>SUM(BC291:BC293)</f>
        <v>51600</v>
      </c>
      <c r="BD300" s="315">
        <f t="shared" ref="BD300:BG300" si="1230">SUM(BD291:BD293)</f>
        <v>51500</v>
      </c>
      <c r="BE300" s="315">
        <f t="shared" si="1230"/>
        <v>50900</v>
      </c>
      <c r="BF300" s="315">
        <f t="shared" si="1230"/>
        <v>49600</v>
      </c>
      <c r="BG300" s="314">
        <f t="shared" si="1230"/>
        <v>49600</v>
      </c>
      <c r="BH300" s="315">
        <f>SUM(BH291:BH293)</f>
        <v>48700</v>
      </c>
      <c r="BI300" s="315">
        <f t="shared" ref="BI300" si="1231">SUM(BI291:BI293)</f>
        <v>49700</v>
      </c>
      <c r="BJ300" s="315">
        <f t="shared" ref="BJ300:BL300" si="1232">SUM(BJ291:BJ293)</f>
        <v>45500</v>
      </c>
      <c r="BK300" s="315">
        <f t="shared" si="1232"/>
        <v>46900</v>
      </c>
      <c r="BL300" s="314">
        <f t="shared" si="1232"/>
        <v>46900</v>
      </c>
      <c r="BM300" s="315">
        <f t="shared" ref="BM300:BN300" si="1233">SUM(BM291:BM293)</f>
        <v>47600</v>
      </c>
      <c r="BN300" s="620">
        <f t="shared" si="1233"/>
        <v>48400</v>
      </c>
      <c r="BO300" s="620">
        <f t="shared" ref="BO300:BX300" si="1234">SUM(BO291:BO293)</f>
        <v>46200</v>
      </c>
      <c r="BP300" s="620">
        <f t="shared" si="1234"/>
        <v>45200</v>
      </c>
      <c r="BQ300" s="630">
        <f t="shared" si="1234"/>
        <v>45200</v>
      </c>
      <c r="BR300" s="315">
        <f t="shared" si="1234"/>
        <v>47200</v>
      </c>
      <c r="BS300" s="620">
        <f t="shared" si="1234"/>
        <v>46400</v>
      </c>
      <c r="BT300" s="620">
        <f t="shared" si="1234"/>
        <v>40100</v>
      </c>
      <c r="BU300" s="620">
        <f>Data!BU203</f>
        <v>44825</v>
      </c>
      <c r="BV300" s="630">
        <f>Data!BV203</f>
        <v>44825</v>
      </c>
      <c r="BW300" s="315">
        <f t="shared" si="1234"/>
        <v>46400</v>
      </c>
      <c r="BX300" s="620">
        <f t="shared" si="1234"/>
        <v>44200</v>
      </c>
      <c r="BY300" s="620">
        <f>Data!BY203</f>
        <v>45852</v>
      </c>
      <c r="BZ300" s="620">
        <f>Data!BZ203</f>
        <v>44049</v>
      </c>
      <c r="CA300" s="630">
        <f>Data!CA203</f>
        <v>44049</v>
      </c>
      <c r="CB300" s="620">
        <f>Data!CB203</f>
        <v>50404</v>
      </c>
      <c r="CC300" s="620">
        <f>Data!CC203</f>
        <v>51925</v>
      </c>
      <c r="CD300" s="620">
        <f>Data!CD203</f>
        <v>57875</v>
      </c>
      <c r="CE300" s="620">
        <f>Data!CE203</f>
        <v>57166</v>
      </c>
      <c r="CF300" s="630">
        <f>Data!CF203</f>
        <v>57166</v>
      </c>
      <c r="CG300" s="620">
        <f>Data!CG203</f>
        <v>66790</v>
      </c>
      <c r="CH300" s="620">
        <f>Data!CH203</f>
        <v>63872</v>
      </c>
      <c r="CI300" s="620">
        <f>Data!CI203</f>
        <v>61740</v>
      </c>
      <c r="CJ300" s="620">
        <f>Data!CJ203</f>
        <v>63908</v>
      </c>
      <c r="CK300" s="630">
        <f>Data!CK203</f>
        <v>63908</v>
      </c>
      <c r="CL300" s="620">
        <f>Data!CL203</f>
        <v>63578</v>
      </c>
      <c r="CM300" s="620">
        <f>Data!CM203</f>
        <v>64286</v>
      </c>
      <c r="CN300" s="620">
        <f>Data!CN203</f>
        <v>62375</v>
      </c>
      <c r="CO300" s="620">
        <f>Data!CO203</f>
        <v>60847</v>
      </c>
      <c r="CP300" s="630">
        <f>Data!CP203</f>
        <v>60847</v>
      </c>
      <c r="CQ300" s="620">
        <f>Data!CQ203</f>
        <v>61269</v>
      </c>
      <c r="CR300" s="620">
        <f>Data!CR203</f>
        <v>58705</v>
      </c>
      <c r="CS300" s="620">
        <f>Data!CS203</f>
        <v>58435</v>
      </c>
      <c r="CT300" s="620">
        <f>Data!CT203</f>
        <v>59828</v>
      </c>
      <c r="CU300" s="630">
        <f>Data!CU203</f>
        <v>59828</v>
      </c>
      <c r="CV300" s="620">
        <f>Data!CV203</f>
        <v>59739</v>
      </c>
      <c r="CW300" s="620">
        <f>Data!CW203</f>
        <v>55401</v>
      </c>
      <c r="CX300" s="620">
        <f>Data!CX203</f>
        <v>54740</v>
      </c>
      <c r="CY300" s="620">
        <f>Data!CY203</f>
        <v>54373</v>
      </c>
      <c r="CZ300" s="630">
        <f>Data!CZ203</f>
        <v>54373</v>
      </c>
      <c r="DA300" s="620">
        <f>Data!DA203</f>
        <v>58150</v>
      </c>
      <c r="DB300" s="620">
        <f>Data!DB203</f>
        <v>57505</v>
      </c>
      <c r="DC300" s="620">
        <f>Data!DC203</f>
        <v>57802</v>
      </c>
      <c r="DD300" s="620">
        <f>Data!DD203</f>
        <v>59012</v>
      </c>
      <c r="DE300" s="630">
        <f>Data!DE203</f>
        <v>59012</v>
      </c>
      <c r="DF300" s="620">
        <f>Data!DF203</f>
        <v>60744</v>
      </c>
      <c r="DG300" s="620">
        <f>Data!DG203</f>
        <v>59055</v>
      </c>
      <c r="DH300" s="620">
        <f>Data!DH203</f>
        <v>61621</v>
      </c>
      <c r="DI300" s="620">
        <f>Data!DI203</f>
        <v>64023</v>
      </c>
      <c r="DJ300" s="630">
        <f>Data!DJ203</f>
        <v>64023</v>
      </c>
      <c r="DK300" s="620">
        <f>Data!DK203</f>
        <v>61567</v>
      </c>
      <c r="DL300" s="620">
        <f>Data!DL203</f>
        <v>73957</v>
      </c>
      <c r="DM300" s="620">
        <f>Data!DM203</f>
        <v>76084</v>
      </c>
      <c r="DN300" s="620">
        <f>Data!DN203</f>
        <v>84786</v>
      </c>
      <c r="DO300" s="630">
        <f>Data!DO203</f>
        <v>84786</v>
      </c>
      <c r="DP300" s="620">
        <f>Data!DP203</f>
        <v>85821</v>
      </c>
      <c r="DQ300" s="620">
        <f>Data!DQ203</f>
        <v>85322</v>
      </c>
      <c r="DR300" s="620">
        <f>Data!DR203</f>
        <v>0</v>
      </c>
      <c r="DS300" s="620">
        <f>Data!DS203</f>
        <v>0</v>
      </c>
      <c r="DT300" s="630">
        <f>Data!DT203</f>
        <v>0</v>
      </c>
      <c r="DU300" s="620">
        <f>Data!DU203</f>
        <v>0</v>
      </c>
      <c r="DV300" s="620">
        <f>Data!DV203</f>
        <v>0</v>
      </c>
      <c r="DW300" s="620">
        <f>Data!DW203</f>
        <v>0</v>
      </c>
      <c r="DX300" s="620">
        <f>Data!DX203</f>
        <v>0</v>
      </c>
      <c r="DY300" s="630">
        <f>Data!DY203</f>
        <v>0</v>
      </c>
      <c r="DZ300" s="630">
        <f>Data!DZ203</f>
        <v>0</v>
      </c>
      <c r="EA300" s="630">
        <f>Data!EA203</f>
        <v>0</v>
      </c>
      <c r="EB300" s="630">
        <f>Data!EB203</f>
        <v>0</v>
      </c>
    </row>
    <row r="301" spans="2:132" s="241" customFormat="1" ht="12" customHeight="1">
      <c r="B301" s="121" t="s">
        <v>575</v>
      </c>
      <c r="C301" s="314"/>
      <c r="D301" s="314"/>
      <c r="E301" s="314"/>
      <c r="F301" s="314"/>
      <c r="G301" s="314"/>
      <c r="H301" s="314"/>
      <c r="I301" s="314"/>
      <c r="J301" s="315"/>
      <c r="K301" s="315"/>
      <c r="L301" s="315"/>
      <c r="M301" s="315"/>
      <c r="N301" s="314"/>
      <c r="O301" s="315"/>
      <c r="P301" s="315"/>
      <c r="Q301" s="315"/>
      <c r="R301" s="315"/>
      <c r="S301" s="314"/>
      <c r="T301" s="315"/>
      <c r="U301" s="315"/>
      <c r="V301" s="315"/>
      <c r="W301" s="315"/>
      <c r="X301" s="314"/>
      <c r="Y301" s="315"/>
      <c r="Z301" s="315"/>
      <c r="AA301" s="315"/>
      <c r="AB301" s="315"/>
      <c r="AC301" s="314"/>
      <c r="AD301" s="315"/>
      <c r="AE301" s="315"/>
      <c r="AF301" s="315"/>
      <c r="AG301" s="315"/>
      <c r="AH301" s="314"/>
      <c r="AI301" s="315"/>
      <c r="AJ301" s="315"/>
      <c r="AK301" s="315"/>
      <c r="AL301" s="315"/>
      <c r="AM301" s="314"/>
      <c r="AN301" s="315"/>
      <c r="AO301" s="315"/>
      <c r="AP301" s="315"/>
      <c r="AQ301" s="315"/>
      <c r="AR301" s="314"/>
      <c r="AS301" s="315"/>
      <c r="AT301" s="315"/>
      <c r="AU301" s="315"/>
      <c r="AV301" s="315"/>
      <c r="AW301" s="314"/>
      <c r="AX301" s="315"/>
      <c r="AY301" s="315"/>
      <c r="AZ301" s="315"/>
      <c r="BA301" s="315"/>
      <c r="BB301" s="314"/>
      <c r="BC301" s="315"/>
      <c r="BD301" s="315"/>
      <c r="BE301" s="315"/>
      <c r="BF301" s="315"/>
      <c r="BG301" s="314"/>
      <c r="BH301" s="315"/>
      <c r="BI301" s="315"/>
      <c r="BJ301" s="315"/>
      <c r="BK301" s="315"/>
      <c r="BL301" s="314"/>
      <c r="BM301" s="315"/>
      <c r="BN301" s="620"/>
      <c r="BO301" s="620"/>
      <c r="BP301" s="620"/>
      <c r="BQ301" s="630"/>
      <c r="BR301" s="315"/>
      <c r="BS301" s="620"/>
      <c r="BT301" s="620"/>
      <c r="BU301" s="620">
        <f>Data!BU204</f>
        <v>15631</v>
      </c>
      <c r="BV301" s="630">
        <f>Data!BV204</f>
        <v>15631</v>
      </c>
      <c r="BW301" s="315"/>
      <c r="BX301" s="620"/>
      <c r="BY301" s="620">
        <f>Data!BY204</f>
        <v>16251</v>
      </c>
      <c r="BZ301" s="620">
        <f>Data!BZ204</f>
        <v>19605</v>
      </c>
      <c r="CA301" s="630">
        <f>Data!CA204</f>
        <v>19605</v>
      </c>
      <c r="CB301" s="620">
        <f>Data!CB204</f>
        <v>20464</v>
      </c>
      <c r="CC301" s="620">
        <f>Data!CC204</f>
        <v>20388</v>
      </c>
      <c r="CD301" s="620">
        <f>Data!CD204</f>
        <v>20240</v>
      </c>
      <c r="CE301" s="620">
        <f>Data!CE204</f>
        <v>21008</v>
      </c>
      <c r="CF301" s="630">
        <f>Data!CF204</f>
        <v>21008</v>
      </c>
      <c r="CG301" s="620">
        <f>Data!CG204</f>
        <v>20688</v>
      </c>
      <c r="CH301" s="620">
        <f>Data!CH204</f>
        <v>19974</v>
      </c>
      <c r="CI301" s="620">
        <f>Data!CI204</f>
        <v>21088</v>
      </c>
      <c r="CJ301" s="620">
        <f>Data!CJ204</f>
        <v>22902</v>
      </c>
      <c r="CK301" s="630">
        <f>Data!CK204</f>
        <v>22902</v>
      </c>
      <c r="CL301" s="620">
        <f>Data!CL204</f>
        <v>22747</v>
      </c>
      <c r="CM301" s="620">
        <f>Data!CM204</f>
        <v>18168</v>
      </c>
      <c r="CN301" s="620">
        <f>Data!CN204</f>
        <v>17464</v>
      </c>
      <c r="CO301" s="620">
        <f>Data!CO204</f>
        <v>20632</v>
      </c>
      <c r="CP301" s="630">
        <f>Data!CP204</f>
        <v>20632</v>
      </c>
      <c r="CQ301" s="620">
        <f>Data!CQ204</f>
        <v>19614</v>
      </c>
      <c r="CR301" s="620">
        <f>Data!CR204</f>
        <v>19029</v>
      </c>
      <c r="CS301" s="620">
        <f>Data!CS204</f>
        <v>18781</v>
      </c>
      <c r="CT301" s="620">
        <f>Data!CT204</f>
        <v>20495</v>
      </c>
      <c r="CU301" s="630">
        <f>Data!CU204</f>
        <v>20495</v>
      </c>
      <c r="CV301" s="620">
        <f>Data!CV204</f>
        <v>19822</v>
      </c>
      <c r="CW301" s="620">
        <f>Data!CW204</f>
        <v>18960</v>
      </c>
      <c r="CX301" s="620">
        <f>Data!CX204</f>
        <v>19072</v>
      </c>
      <c r="CY301" s="620">
        <f>Data!CY204</f>
        <v>19338</v>
      </c>
      <c r="CZ301" s="630">
        <f>Data!CZ204</f>
        <v>19338</v>
      </c>
      <c r="DA301" s="620">
        <f>Data!DA204</f>
        <v>18835</v>
      </c>
      <c r="DB301" s="620">
        <f>Data!DB204</f>
        <v>18455</v>
      </c>
      <c r="DC301" s="620">
        <f>Data!DC204</f>
        <v>18441</v>
      </c>
      <c r="DD301" s="620">
        <f>Data!DD204</f>
        <v>19869</v>
      </c>
      <c r="DE301" s="630">
        <f>Data!DE204</f>
        <v>19869</v>
      </c>
      <c r="DF301" s="620">
        <f>Data!DF204</f>
        <v>19693</v>
      </c>
      <c r="DG301" s="620">
        <f>Data!DG204</f>
        <v>19487</v>
      </c>
      <c r="DH301" s="620">
        <f>Data!DH204</f>
        <v>20449</v>
      </c>
      <c r="DI301" s="620">
        <f>Data!DI204</f>
        <v>21403</v>
      </c>
      <c r="DJ301" s="630">
        <f>Data!DJ204</f>
        <v>21403</v>
      </c>
      <c r="DK301" s="620">
        <f>Data!DK204</f>
        <v>22036</v>
      </c>
      <c r="DL301" s="620">
        <f>Data!DL204</f>
        <v>21939</v>
      </c>
      <c r="DM301" s="620">
        <f>Data!DM204</f>
        <v>24634</v>
      </c>
      <c r="DN301" s="620">
        <f>Data!DN204</f>
        <v>29720</v>
      </c>
      <c r="DO301" s="630">
        <f>Data!DO204</f>
        <v>29720</v>
      </c>
      <c r="DP301" s="620">
        <f>Data!DP204</f>
        <v>32957</v>
      </c>
      <c r="DQ301" s="620">
        <f>Data!DQ204</f>
        <v>32840</v>
      </c>
      <c r="DR301" s="620">
        <f>Data!DR204</f>
        <v>0</v>
      </c>
      <c r="DS301" s="620">
        <f>Data!DS204</f>
        <v>0</v>
      </c>
      <c r="DT301" s="630">
        <f>Data!DT204</f>
        <v>0</v>
      </c>
      <c r="DU301" s="620">
        <f>Data!DU204</f>
        <v>0</v>
      </c>
      <c r="DV301" s="620">
        <f>Data!DV204</f>
        <v>0</v>
      </c>
      <c r="DW301" s="620">
        <f>Data!DW204</f>
        <v>0</v>
      </c>
      <c r="DX301" s="620">
        <f>Data!DX204</f>
        <v>0</v>
      </c>
      <c r="DY301" s="630">
        <f>Data!DY204</f>
        <v>0</v>
      </c>
      <c r="DZ301" s="630">
        <f>Data!DZ204</f>
        <v>0</v>
      </c>
      <c r="EA301" s="630">
        <f>Data!EA204</f>
        <v>0</v>
      </c>
      <c r="EB301" s="630">
        <f>Data!EB204</f>
        <v>0</v>
      </c>
    </row>
    <row r="302" spans="2:132" s="241" customFormat="1" ht="12" customHeight="1">
      <c r="B302" s="348" t="s">
        <v>116</v>
      </c>
      <c r="C302" s="314">
        <f>C290+C300</f>
        <v>121640</v>
      </c>
      <c r="D302" s="314">
        <f t="shared" ref="D302:AJ302" si="1235">D290+D300</f>
        <v>112896</v>
      </c>
      <c r="E302" s="314">
        <f>E290+E300</f>
        <v>99248</v>
      </c>
      <c r="F302" s="314">
        <f>F290+F300</f>
        <v>120600</v>
      </c>
      <c r="G302" s="314">
        <f>G290+G300</f>
        <v>106591</v>
      </c>
      <c r="H302" s="314">
        <f t="shared" si="1235"/>
        <v>104173</v>
      </c>
      <c r="I302" s="314">
        <f t="shared" si="1235"/>
        <v>104812</v>
      </c>
      <c r="J302" s="315">
        <f t="shared" si="1235"/>
        <v>103803</v>
      </c>
      <c r="K302" s="315">
        <f t="shared" si="1235"/>
        <v>103350</v>
      </c>
      <c r="L302" s="315">
        <f t="shared" si="1235"/>
        <v>105652</v>
      </c>
      <c r="M302" s="315">
        <f t="shared" si="1235"/>
        <v>109600</v>
      </c>
      <c r="N302" s="314">
        <f t="shared" si="1235"/>
        <v>109600</v>
      </c>
      <c r="O302" s="315">
        <f t="shared" si="1235"/>
        <v>112523</v>
      </c>
      <c r="P302" s="315">
        <f t="shared" si="1235"/>
        <v>127622</v>
      </c>
      <c r="Q302" s="315">
        <f t="shared" si="1235"/>
        <v>133431</v>
      </c>
      <c r="R302" s="315">
        <f t="shared" si="1235"/>
        <v>160473</v>
      </c>
      <c r="S302" s="314">
        <f t="shared" si="1235"/>
        <v>160473</v>
      </c>
      <c r="T302" s="315">
        <f t="shared" si="1235"/>
        <v>173828</v>
      </c>
      <c r="U302" s="315">
        <f t="shared" si="1235"/>
        <v>180453</v>
      </c>
      <c r="V302" s="315">
        <f t="shared" si="1235"/>
        <v>190135</v>
      </c>
      <c r="W302" s="315">
        <f t="shared" si="1235"/>
        <v>216567</v>
      </c>
      <c r="X302" s="314">
        <f t="shared" si="1235"/>
        <v>216567</v>
      </c>
      <c r="Y302" s="315">
        <f t="shared" si="1235"/>
        <v>230237</v>
      </c>
      <c r="Z302" s="315">
        <f t="shared" si="1235"/>
        <v>248216</v>
      </c>
      <c r="AA302" s="315">
        <f t="shared" si="1235"/>
        <v>262944</v>
      </c>
      <c r="AB302" s="315">
        <f t="shared" si="1235"/>
        <v>296964</v>
      </c>
      <c r="AC302" s="314">
        <f t="shared" si="1235"/>
        <v>296964</v>
      </c>
      <c r="AD302" s="315">
        <f t="shared" si="1235"/>
        <v>315620</v>
      </c>
      <c r="AE302" s="315">
        <f t="shared" si="1235"/>
        <v>320108</v>
      </c>
      <c r="AF302" s="315">
        <f t="shared" si="1235"/>
        <v>317269</v>
      </c>
      <c r="AG302" s="315">
        <f t="shared" si="1235"/>
        <v>323860</v>
      </c>
      <c r="AH302" s="314">
        <f t="shared" si="1235"/>
        <v>323860</v>
      </c>
      <c r="AI302" s="315">
        <f t="shared" si="1235"/>
        <v>314718</v>
      </c>
      <c r="AJ302" s="315">
        <f t="shared" si="1235"/>
        <v>305273</v>
      </c>
      <c r="AK302" s="315">
        <f>AK290+AK300</f>
        <v>298958</v>
      </c>
      <c r="AL302" s="315">
        <f t="shared" ref="AL302:BB302" si="1236">AL290+AL300</f>
        <v>296500</v>
      </c>
      <c r="AM302" s="314">
        <f t="shared" si="1236"/>
        <v>296500</v>
      </c>
      <c r="AN302" s="315">
        <f t="shared" si="1236"/>
        <v>298900</v>
      </c>
      <c r="AO302" s="315">
        <f t="shared" si="1236"/>
        <v>297600</v>
      </c>
      <c r="AP302" s="315">
        <f t="shared" si="1236"/>
        <v>301471</v>
      </c>
      <c r="AQ302" s="315">
        <f t="shared" si="1236"/>
        <v>304000</v>
      </c>
      <c r="AR302" s="314">
        <f>AR290+AR300</f>
        <v>304000</v>
      </c>
      <c r="AS302" s="315">
        <f t="shared" si="1236"/>
        <v>310700</v>
      </c>
      <c r="AT302" s="315">
        <f t="shared" si="1236"/>
        <v>308000</v>
      </c>
      <c r="AU302" s="315">
        <f t="shared" si="1236"/>
        <v>316900</v>
      </c>
      <c r="AV302" s="315">
        <f t="shared" si="1236"/>
        <v>339700</v>
      </c>
      <c r="AW302" s="314">
        <f t="shared" si="1236"/>
        <v>339700</v>
      </c>
      <c r="AX302" s="315">
        <f>AX290+AX300</f>
        <v>358600</v>
      </c>
      <c r="AY302" s="315">
        <f>AY290+AY300</f>
        <v>354600</v>
      </c>
      <c r="AZ302" s="315">
        <f>AZ290+AZ300</f>
        <v>357700</v>
      </c>
      <c r="BA302" s="315">
        <f>BA290+BA300</f>
        <v>372400</v>
      </c>
      <c r="BB302" s="314">
        <f t="shared" si="1236"/>
        <v>372400</v>
      </c>
      <c r="BC302" s="315">
        <f>BC290+BC300</f>
        <v>373600</v>
      </c>
      <c r="BD302" s="315">
        <f t="shared" ref="BD302:BG302" si="1237">BD290+BD300</f>
        <v>389200</v>
      </c>
      <c r="BE302" s="315">
        <f t="shared" si="1237"/>
        <v>395200</v>
      </c>
      <c r="BF302" s="315">
        <f t="shared" si="1237"/>
        <v>422600</v>
      </c>
      <c r="BG302" s="314">
        <f t="shared" si="1237"/>
        <v>422600</v>
      </c>
      <c r="BH302" s="315">
        <f>BH290+BH300</f>
        <v>422700</v>
      </c>
      <c r="BI302" s="315">
        <f t="shared" ref="BI302" si="1238">BI290+BI300</f>
        <v>426000</v>
      </c>
      <c r="BJ302" s="315">
        <f t="shared" ref="BJ302:BL302" si="1239">BJ290+BJ300</f>
        <v>475100</v>
      </c>
      <c r="BK302" s="315">
        <f t="shared" si="1239"/>
        <v>487000</v>
      </c>
      <c r="BL302" s="314">
        <f t="shared" si="1239"/>
        <v>487000</v>
      </c>
      <c r="BM302" s="315">
        <f t="shared" ref="BM302:BN302" si="1240">BM290+BM300</f>
        <v>482600</v>
      </c>
      <c r="BN302" s="620">
        <f t="shared" si="1240"/>
        <v>479200</v>
      </c>
      <c r="BO302" s="620">
        <f t="shared" ref="BO302:BX302" si="1241">BO290+BO300</f>
        <v>472200</v>
      </c>
      <c r="BP302" s="620">
        <f t="shared" si="1241"/>
        <v>476600</v>
      </c>
      <c r="BQ302" s="630">
        <f t="shared" si="1241"/>
        <v>476600</v>
      </c>
      <c r="BR302" s="315">
        <f t="shared" si="1241"/>
        <v>470200</v>
      </c>
      <c r="BS302" s="620">
        <f t="shared" si="1241"/>
        <v>463000</v>
      </c>
      <c r="BT302" s="620">
        <f t="shared" si="1241"/>
        <v>448900</v>
      </c>
      <c r="BU302" s="315">
        <f>Data!BU206</f>
        <v>458277</v>
      </c>
      <c r="BV302" s="630">
        <f>Data!BV206</f>
        <v>458277</v>
      </c>
      <c r="BW302" s="315">
        <f t="shared" si="1241"/>
        <v>461500</v>
      </c>
      <c r="BX302" s="620">
        <f t="shared" si="1241"/>
        <v>467600</v>
      </c>
      <c r="BY302" s="315">
        <f>Data!BY206</f>
        <v>459871</v>
      </c>
      <c r="BZ302" s="315">
        <f>Data!BZ206</f>
        <v>457186</v>
      </c>
      <c r="CA302" s="630">
        <f>Data!CA206</f>
        <v>457186</v>
      </c>
      <c r="CB302" s="315">
        <f>Data!CB206</f>
        <v>461742</v>
      </c>
      <c r="CC302" s="315">
        <f>Data!CC206</f>
        <v>464237</v>
      </c>
      <c r="CD302" s="315">
        <f>Data!CD206</f>
        <v>462468</v>
      </c>
      <c r="CE302" s="620">
        <f t="shared" ref="CE302:CG302" si="1242">CE290+CE300</f>
        <v>469473</v>
      </c>
      <c r="CF302" s="630">
        <f>CF290+CF300</f>
        <v>469473</v>
      </c>
      <c r="CG302" s="620">
        <f t="shared" si="1242"/>
        <v>466161</v>
      </c>
      <c r="CH302" s="620">
        <f t="shared" ref="CH302:CJ302" si="1243">CH290+CH300</f>
        <v>454277</v>
      </c>
      <c r="CI302" s="620">
        <f t="shared" si="1243"/>
        <v>449137</v>
      </c>
      <c r="CJ302" s="620">
        <f t="shared" si="1243"/>
        <v>440501</v>
      </c>
      <c r="CK302" s="630">
        <f>CK290+CK300</f>
        <v>440501</v>
      </c>
      <c r="CL302" s="620">
        <f t="shared" ref="CL302:CO302" si="1244">CL290+CL300</f>
        <v>415356</v>
      </c>
      <c r="CM302" s="620">
        <f t="shared" si="1244"/>
        <v>389960</v>
      </c>
      <c r="CN302" s="620">
        <f t="shared" si="1244"/>
        <v>375059</v>
      </c>
      <c r="CO302" s="620">
        <f t="shared" si="1244"/>
        <v>342435</v>
      </c>
      <c r="CP302" s="630">
        <f>CP290+CP300</f>
        <v>342435</v>
      </c>
      <c r="CQ302" s="620">
        <f t="shared" ref="CQ302:CT302" si="1245">CQ290+CQ300</f>
        <v>343890</v>
      </c>
      <c r="CR302" s="620">
        <f t="shared" si="1245"/>
        <v>344037</v>
      </c>
      <c r="CS302" s="620">
        <f t="shared" si="1245"/>
        <v>348079</v>
      </c>
      <c r="CT302" s="620">
        <f t="shared" si="1245"/>
        <v>356710</v>
      </c>
      <c r="CU302" s="630">
        <f>CU290+CU300</f>
        <v>356710</v>
      </c>
      <c r="CV302" s="620">
        <f t="shared" ref="CV302:CY302" si="1246">CV290+CV300</f>
        <v>350669</v>
      </c>
      <c r="CW302" s="620">
        <f t="shared" si="1246"/>
        <v>352445</v>
      </c>
      <c r="CX302" s="620">
        <f t="shared" si="1246"/>
        <v>361908</v>
      </c>
      <c r="CY302" s="620">
        <f t="shared" si="1246"/>
        <v>384197</v>
      </c>
      <c r="CZ302" s="630">
        <f>CZ290+CZ300</f>
        <v>384197</v>
      </c>
      <c r="DA302" s="620">
        <f t="shared" ref="DA302:DD302" si="1247">DA290+DA300</f>
        <v>391806</v>
      </c>
      <c r="DB302" s="620">
        <f t="shared" si="1247"/>
        <v>420371</v>
      </c>
      <c r="DC302" s="620">
        <f t="shared" si="1247"/>
        <v>449907</v>
      </c>
      <c r="DD302" s="620">
        <f t="shared" si="1247"/>
        <v>499519</v>
      </c>
      <c r="DE302" s="630">
        <f>DE290+DE300</f>
        <v>499519</v>
      </c>
      <c r="DF302" s="620">
        <f t="shared" ref="DF302:DI302" si="1248">DF290+DF300</f>
        <v>508277</v>
      </c>
      <c r="DG302" s="620">
        <f t="shared" si="1248"/>
        <v>495629</v>
      </c>
      <c r="DH302" s="620">
        <f t="shared" si="1248"/>
        <v>489354</v>
      </c>
      <c r="DI302" s="620">
        <f t="shared" si="1248"/>
        <v>499198</v>
      </c>
      <c r="DJ302" s="630">
        <f>DJ290+DJ300</f>
        <v>499198</v>
      </c>
      <c r="DK302" s="620">
        <f t="shared" ref="DK302:DN302" si="1249">DK290+DK300</f>
        <v>522014</v>
      </c>
      <c r="DL302" s="620">
        <f t="shared" si="1249"/>
        <v>596154</v>
      </c>
      <c r="DM302" s="620">
        <f t="shared" si="1249"/>
        <v>610697</v>
      </c>
      <c r="DN302" s="620">
        <f t="shared" si="1249"/>
        <v>652076</v>
      </c>
      <c r="DO302" s="630">
        <f>DO290+DO300</f>
        <v>652076</v>
      </c>
      <c r="DP302" s="620">
        <f t="shared" ref="DP302" si="1250">DP290+DP300</f>
        <v>661404</v>
      </c>
      <c r="DQ302" s="620">
        <f t="shared" ref="DQ302:DS302" si="1251">DQ290+DQ300</f>
        <v>682046</v>
      </c>
      <c r="DR302" s="620">
        <f t="shared" si="1251"/>
        <v>0</v>
      </c>
      <c r="DS302" s="620">
        <f t="shared" si="1251"/>
        <v>0</v>
      </c>
      <c r="DT302" s="630">
        <f>DT290+DT300</f>
        <v>0</v>
      </c>
      <c r="DU302" s="620">
        <f t="shared" ref="DU302:DX302" si="1252">DU290+DU300</f>
        <v>0</v>
      </c>
      <c r="DV302" s="620">
        <f t="shared" si="1252"/>
        <v>0</v>
      </c>
      <c r="DW302" s="620">
        <f t="shared" si="1252"/>
        <v>0</v>
      </c>
      <c r="DX302" s="620">
        <f t="shared" si="1252"/>
        <v>0</v>
      </c>
      <c r="DY302" s="630">
        <f>DY290+DY300</f>
        <v>0</v>
      </c>
      <c r="DZ302" s="630">
        <f t="shared" ref="DZ302:EB302" si="1253">DZ290+DZ300</f>
        <v>0</v>
      </c>
      <c r="EA302" s="630">
        <f t="shared" si="1253"/>
        <v>0</v>
      </c>
      <c r="EB302" s="630">
        <f t="shared" si="1253"/>
        <v>0</v>
      </c>
    </row>
    <row r="303" spans="2:132" s="241" customFormat="1" ht="12" customHeight="1">
      <c r="B303" s="348" t="s">
        <v>117</v>
      </c>
      <c r="C303" s="314">
        <f>Data!C207</f>
        <v>26100</v>
      </c>
      <c r="D303" s="314">
        <f>Data!D207</f>
        <v>23500</v>
      </c>
      <c r="E303" s="314">
        <f>Data!E207</f>
        <v>24400</v>
      </c>
      <c r="F303" s="314">
        <f>Data!F207</f>
        <v>31300</v>
      </c>
      <c r="G303" s="314">
        <f>Data!G207</f>
        <v>27500</v>
      </c>
      <c r="H303" s="314">
        <f>Data!H207</f>
        <v>34700</v>
      </c>
      <c r="I303" s="314">
        <f>Data!I207</f>
        <v>50600</v>
      </c>
      <c r="J303" s="315">
        <f>Data!J207</f>
        <v>44235</v>
      </c>
      <c r="K303" s="315">
        <f>Data!K207</f>
        <v>46076</v>
      </c>
      <c r="L303" s="315">
        <f>Data!L207</f>
        <v>53038</v>
      </c>
      <c r="M303" s="315">
        <f>Data!M207</f>
        <v>47900</v>
      </c>
      <c r="N303" s="314">
        <f>M303</f>
        <v>47900</v>
      </c>
      <c r="O303" s="315">
        <f>Data!O207</f>
        <v>42528</v>
      </c>
      <c r="P303" s="315">
        <f>Data!P207</f>
        <v>41726</v>
      </c>
      <c r="Q303" s="315">
        <f>Data!Q207</f>
        <v>43583</v>
      </c>
      <c r="R303" s="315">
        <f>Data!R207</f>
        <v>44600</v>
      </c>
      <c r="S303" s="314">
        <f>R303</f>
        <v>44600</v>
      </c>
      <c r="T303" s="315">
        <f>Data!T207</f>
        <v>38781</v>
      </c>
      <c r="U303" s="315">
        <f>Data!U207</f>
        <v>39508</v>
      </c>
      <c r="V303" s="315">
        <f>Data!V207</f>
        <v>38666</v>
      </c>
      <c r="W303" s="315">
        <f>Data!W207</f>
        <v>33700</v>
      </c>
      <c r="X303" s="314">
        <f>W303</f>
        <v>33700</v>
      </c>
      <c r="Y303" s="315">
        <f>Data!Y207</f>
        <v>31866</v>
      </c>
      <c r="Z303" s="315">
        <f>Data!Z207</f>
        <v>32288</v>
      </c>
      <c r="AA303" s="315">
        <f>Data!AA207</f>
        <v>32187</v>
      </c>
      <c r="AB303" s="315">
        <f>Data!AB207</f>
        <v>30200</v>
      </c>
      <c r="AC303" s="314">
        <f>AB303</f>
        <v>30200</v>
      </c>
      <c r="AD303" s="315">
        <f>Data!AD207</f>
        <v>30621</v>
      </c>
      <c r="AE303" s="315">
        <f>Data!AE207</f>
        <v>26047</v>
      </c>
      <c r="AF303" s="315">
        <f>Data!AF207</f>
        <v>32100</v>
      </c>
      <c r="AG303" s="315">
        <f>Data!AG207</f>
        <v>28200</v>
      </c>
      <c r="AH303" s="314">
        <f>AG303</f>
        <v>28200</v>
      </c>
      <c r="AI303" s="315">
        <f>Data!AI207</f>
        <v>24734</v>
      </c>
      <c r="AJ303" s="315">
        <f>Data!AJ207</f>
        <v>22204</v>
      </c>
      <c r="AK303" s="315">
        <f>Data!AK207</f>
        <v>21054</v>
      </c>
      <c r="AL303" s="315">
        <f>Data!AL207</f>
        <v>19058</v>
      </c>
      <c r="AM303" s="314">
        <f>AL303</f>
        <v>19058</v>
      </c>
      <c r="AN303" s="315">
        <f>Data!AN207</f>
        <v>15900</v>
      </c>
      <c r="AO303" s="315">
        <f>Data!AO207</f>
        <v>14700</v>
      </c>
      <c r="AP303" s="315">
        <f>Data!AP207</f>
        <v>19425</v>
      </c>
      <c r="AQ303" s="315">
        <f>Data!AQ207</f>
        <v>16900</v>
      </c>
      <c r="AR303" s="314">
        <f>AQ303</f>
        <v>16900</v>
      </c>
      <c r="AS303" s="315">
        <f>Data!AS207</f>
        <v>18300</v>
      </c>
      <c r="AT303" s="315">
        <f>Data!AT207</f>
        <v>15600</v>
      </c>
      <c r="AU303" s="315">
        <f>Data!AU207</f>
        <v>14700</v>
      </c>
      <c r="AV303" s="315">
        <f>Data!AV207</f>
        <v>15800</v>
      </c>
      <c r="AW303" s="314">
        <f>AV303</f>
        <v>15800</v>
      </c>
      <c r="AX303" s="315">
        <f>Data!AX207</f>
        <v>21200</v>
      </c>
      <c r="AY303" s="315">
        <f>Data!AY207</f>
        <v>19200</v>
      </c>
      <c r="AZ303" s="315">
        <f>Data!AZ207</f>
        <v>19900</v>
      </c>
      <c r="BA303" s="315">
        <f>Data!BA207</f>
        <v>17900</v>
      </c>
      <c r="BB303" s="314">
        <f>Data!BB207</f>
        <v>17900</v>
      </c>
      <c r="BC303" s="315">
        <f>Data!BC207</f>
        <v>18100</v>
      </c>
      <c r="BD303" s="315">
        <f>Data!BD207</f>
        <v>21100</v>
      </c>
      <c r="BE303" s="315">
        <f>Data!BE207</f>
        <v>19900</v>
      </c>
      <c r="BF303" s="315">
        <f>Data!BF207</f>
        <v>18300</v>
      </c>
      <c r="BG303" s="314">
        <f>Data!BG207</f>
        <v>18300</v>
      </c>
      <c r="BH303" s="315">
        <f>Data!BH207</f>
        <v>17100</v>
      </c>
      <c r="BI303" s="315">
        <f>Data!BI207</f>
        <v>14300</v>
      </c>
      <c r="BJ303" s="315">
        <f>Data!BJ207</f>
        <v>14900</v>
      </c>
      <c r="BK303" s="315">
        <f>Data!BK207</f>
        <v>15300</v>
      </c>
      <c r="BL303" s="314">
        <f>Data!BL207</f>
        <v>15300</v>
      </c>
      <c r="BM303" s="315">
        <f>Data!BM207</f>
        <v>12500</v>
      </c>
      <c r="BN303" s="315">
        <f>Data!BN207</f>
        <v>9600</v>
      </c>
      <c r="BO303" s="315">
        <f>Data!BO207</f>
        <v>12600</v>
      </c>
      <c r="BP303" s="315">
        <f>Data!BP207</f>
        <v>12700</v>
      </c>
      <c r="BQ303" s="630">
        <f>Data!BQ207</f>
        <v>12700</v>
      </c>
      <c r="BR303" s="315">
        <f>Data!BR207</f>
        <v>9800</v>
      </c>
      <c r="BS303" s="315">
        <f>Data!BS207</f>
        <v>9200</v>
      </c>
      <c r="BT303" s="315">
        <f>Data!BT207</f>
        <v>13100</v>
      </c>
      <c r="BU303" s="315">
        <f>Data!BU207</f>
        <v>15215</v>
      </c>
      <c r="BV303" s="630">
        <f>Data!BV207</f>
        <v>15215</v>
      </c>
      <c r="BW303" s="315">
        <f>Data!BW207</f>
        <v>18000</v>
      </c>
      <c r="BX303" s="315">
        <f>Data!BX207</f>
        <v>14600</v>
      </c>
      <c r="BY303" s="315">
        <f>Data!BY207</f>
        <v>14417</v>
      </c>
      <c r="BZ303" s="315">
        <f>Data!BZ207</f>
        <v>17656</v>
      </c>
      <c r="CA303" s="630">
        <f>Data!CA207</f>
        <v>17656</v>
      </c>
      <c r="CB303" s="315">
        <f>Data!CB207</f>
        <v>24503</v>
      </c>
      <c r="CC303" s="315">
        <f>Data!CC207</f>
        <v>23799</v>
      </c>
      <c r="CD303" s="315">
        <f>Data!CD207</f>
        <v>28711</v>
      </c>
      <c r="CE303" s="315">
        <f>Data!CE207</f>
        <v>28411</v>
      </c>
      <c r="CF303" s="630">
        <f>Data!CF207</f>
        <v>28411</v>
      </c>
      <c r="CG303" s="315">
        <f>Data!CG207</f>
        <v>27851</v>
      </c>
      <c r="CH303" s="315">
        <f>Data!CH207</f>
        <v>25435</v>
      </c>
      <c r="CI303" s="315">
        <f>Data!CI207</f>
        <v>25514</v>
      </c>
      <c r="CJ303" s="315">
        <f>Data!CJ207</f>
        <v>26930</v>
      </c>
      <c r="CK303" s="630">
        <f>Data!CK207</f>
        <v>26930</v>
      </c>
      <c r="CL303" s="315">
        <f>Data!CL207</f>
        <v>24429</v>
      </c>
      <c r="CM303" s="315">
        <f>Data!CM207</f>
        <v>23261</v>
      </c>
      <c r="CN303" s="315">
        <f>Data!CN207</f>
        <v>24151</v>
      </c>
      <c r="CO303" s="315">
        <f>Data!CO207</f>
        <v>24095</v>
      </c>
      <c r="CP303" s="630">
        <f>Data!CP207</f>
        <v>24095</v>
      </c>
      <c r="CQ303" s="315">
        <f>Data!CQ207</f>
        <v>22161</v>
      </c>
      <c r="CR303" s="315">
        <f>Data!CR207</f>
        <v>21205</v>
      </c>
      <c r="CS303" s="315">
        <f>Data!CS207</f>
        <v>18915</v>
      </c>
      <c r="CT303" s="315">
        <f>Data!CT207</f>
        <v>21137</v>
      </c>
      <c r="CU303" s="630">
        <f>Data!CU207</f>
        <v>21137</v>
      </c>
      <c r="CV303" s="315">
        <f>Data!CV207</f>
        <v>22421</v>
      </c>
      <c r="CW303" s="315">
        <f>Data!CW207</f>
        <v>20488</v>
      </c>
      <c r="CX303" s="315">
        <f>Data!CX207</f>
        <v>18389</v>
      </c>
      <c r="CY303" s="315">
        <f>Data!CY207</f>
        <v>22404</v>
      </c>
      <c r="CZ303" s="630">
        <f>Data!CZ207</f>
        <v>22404</v>
      </c>
      <c r="DA303" s="315">
        <f>Data!DA207</f>
        <v>22693</v>
      </c>
      <c r="DB303" s="315">
        <f>Data!DB207</f>
        <v>22527</v>
      </c>
      <c r="DC303" s="315">
        <f>Data!DC207</f>
        <v>22979</v>
      </c>
      <c r="DD303" s="315">
        <f>Data!DD207</f>
        <v>23101</v>
      </c>
      <c r="DE303" s="630">
        <f>Data!DE207</f>
        <v>23101</v>
      </c>
      <c r="DF303" s="315">
        <f>Data!DF207</f>
        <v>22831</v>
      </c>
      <c r="DG303" s="315">
        <f>Data!DG207</f>
        <v>20516</v>
      </c>
      <c r="DH303" s="315">
        <f>Data!DH207</f>
        <v>21184</v>
      </c>
      <c r="DI303" s="315">
        <f>Data!DI207</f>
        <v>22534</v>
      </c>
      <c r="DJ303" s="630">
        <f>Data!DJ207</f>
        <v>22534</v>
      </c>
      <c r="DK303" s="315">
        <f>Data!DK207</f>
        <v>20772</v>
      </c>
      <c r="DL303" s="315">
        <f>Data!DL207</f>
        <v>34791</v>
      </c>
      <c r="DM303" s="315">
        <f>Data!DM207</f>
        <v>37137</v>
      </c>
      <c r="DN303" s="315">
        <f>Data!DN207</f>
        <v>42486</v>
      </c>
      <c r="DO303" s="630">
        <f>Data!DO207</f>
        <v>42486</v>
      </c>
      <c r="DP303" s="315">
        <f>Data!DP207</f>
        <v>42038</v>
      </c>
      <c r="DQ303" s="315">
        <f>Data!DQ207</f>
        <v>40755</v>
      </c>
      <c r="DR303" s="315">
        <f>Data!DR207</f>
        <v>0</v>
      </c>
      <c r="DS303" s="315">
        <f>Data!DS207</f>
        <v>0</v>
      </c>
      <c r="DT303" s="630">
        <f>Data!DT207</f>
        <v>0</v>
      </c>
      <c r="DU303" s="315">
        <f>Data!DU207</f>
        <v>0</v>
      </c>
      <c r="DV303" s="315">
        <f>Data!DV207</f>
        <v>0</v>
      </c>
      <c r="DW303" s="315">
        <f>Data!DW207</f>
        <v>0</v>
      </c>
      <c r="DX303" s="315">
        <f>Data!DX207</f>
        <v>0</v>
      </c>
      <c r="DY303" s="630">
        <f>Data!DY207</f>
        <v>0</v>
      </c>
      <c r="DZ303" s="630">
        <f>Data!DZ207</f>
        <v>0</v>
      </c>
      <c r="EA303" s="630">
        <f>Data!EA207</f>
        <v>0</v>
      </c>
      <c r="EB303" s="630">
        <f>Data!EB207</f>
        <v>0</v>
      </c>
    </row>
    <row r="304" spans="2:132" s="241" customFormat="1" ht="12" customHeight="1">
      <c r="B304" s="167" t="s">
        <v>118</v>
      </c>
      <c r="C304" s="349">
        <f>C303+C302</f>
        <v>147740</v>
      </c>
      <c r="D304" s="349">
        <f t="shared" ref="D304:AJ304" si="1254">D303+D302</f>
        <v>136396</v>
      </c>
      <c r="E304" s="349">
        <f t="shared" si="1254"/>
        <v>123648</v>
      </c>
      <c r="F304" s="349">
        <f t="shared" si="1254"/>
        <v>151900</v>
      </c>
      <c r="G304" s="349">
        <f t="shared" si="1254"/>
        <v>134091</v>
      </c>
      <c r="H304" s="349">
        <f t="shared" si="1254"/>
        <v>138873</v>
      </c>
      <c r="I304" s="349">
        <f t="shared" si="1254"/>
        <v>155412</v>
      </c>
      <c r="J304" s="350">
        <f t="shared" si="1254"/>
        <v>148038</v>
      </c>
      <c r="K304" s="350">
        <f t="shared" si="1254"/>
        <v>149426</v>
      </c>
      <c r="L304" s="350">
        <f t="shared" si="1254"/>
        <v>158690</v>
      </c>
      <c r="M304" s="350">
        <f t="shared" si="1254"/>
        <v>157500</v>
      </c>
      <c r="N304" s="349">
        <f t="shared" si="1254"/>
        <v>157500</v>
      </c>
      <c r="O304" s="350">
        <f t="shared" si="1254"/>
        <v>155051</v>
      </c>
      <c r="P304" s="350">
        <f t="shared" si="1254"/>
        <v>169348</v>
      </c>
      <c r="Q304" s="350">
        <f t="shared" si="1254"/>
        <v>177014</v>
      </c>
      <c r="R304" s="350">
        <f t="shared" si="1254"/>
        <v>205073</v>
      </c>
      <c r="S304" s="349">
        <f t="shared" si="1254"/>
        <v>205073</v>
      </c>
      <c r="T304" s="350">
        <f t="shared" si="1254"/>
        <v>212609</v>
      </c>
      <c r="U304" s="350">
        <f t="shared" si="1254"/>
        <v>219961</v>
      </c>
      <c r="V304" s="350">
        <f t="shared" si="1254"/>
        <v>228801</v>
      </c>
      <c r="W304" s="350">
        <f t="shared" si="1254"/>
        <v>250267</v>
      </c>
      <c r="X304" s="349">
        <f t="shared" si="1254"/>
        <v>250267</v>
      </c>
      <c r="Y304" s="350">
        <f t="shared" si="1254"/>
        <v>262103</v>
      </c>
      <c r="Z304" s="350">
        <f t="shared" si="1254"/>
        <v>280504</v>
      </c>
      <c r="AA304" s="350">
        <f t="shared" si="1254"/>
        <v>295131</v>
      </c>
      <c r="AB304" s="350">
        <f t="shared" si="1254"/>
        <v>327164</v>
      </c>
      <c r="AC304" s="349">
        <f t="shared" si="1254"/>
        <v>327164</v>
      </c>
      <c r="AD304" s="350">
        <f t="shared" si="1254"/>
        <v>346241</v>
      </c>
      <c r="AE304" s="350">
        <f t="shared" si="1254"/>
        <v>346155</v>
      </c>
      <c r="AF304" s="350">
        <f t="shared" si="1254"/>
        <v>349369</v>
      </c>
      <c r="AG304" s="350">
        <f t="shared" si="1254"/>
        <v>352060</v>
      </c>
      <c r="AH304" s="349">
        <f t="shared" si="1254"/>
        <v>352060</v>
      </c>
      <c r="AI304" s="350">
        <f t="shared" si="1254"/>
        <v>339452</v>
      </c>
      <c r="AJ304" s="350">
        <f t="shared" si="1254"/>
        <v>327477</v>
      </c>
      <c r="AK304" s="350">
        <f>AK303+AK302</f>
        <v>320012</v>
      </c>
      <c r="AL304" s="350">
        <f t="shared" ref="AL304:BB304" si="1255">AL303+AL302</f>
        <v>315558</v>
      </c>
      <c r="AM304" s="349">
        <f t="shared" si="1255"/>
        <v>315558</v>
      </c>
      <c r="AN304" s="406">
        <f t="shared" si="1255"/>
        <v>314800</v>
      </c>
      <c r="AO304" s="350">
        <f t="shared" si="1255"/>
        <v>312300</v>
      </c>
      <c r="AP304" s="350">
        <f t="shared" si="1255"/>
        <v>320896</v>
      </c>
      <c r="AQ304" s="350">
        <f t="shared" si="1255"/>
        <v>320900</v>
      </c>
      <c r="AR304" s="349">
        <f>AR303+AR302</f>
        <v>320900</v>
      </c>
      <c r="AS304" s="350">
        <f t="shared" si="1255"/>
        <v>329000</v>
      </c>
      <c r="AT304" s="350">
        <f t="shared" si="1255"/>
        <v>323600</v>
      </c>
      <c r="AU304" s="350">
        <f t="shared" si="1255"/>
        <v>331600</v>
      </c>
      <c r="AV304" s="351">
        <f t="shared" si="1255"/>
        <v>355500</v>
      </c>
      <c r="AW304" s="352">
        <f t="shared" si="1255"/>
        <v>355500</v>
      </c>
      <c r="AX304" s="351">
        <f>AX303+AX302</f>
        <v>379800</v>
      </c>
      <c r="AY304" s="351">
        <f>AY303+AY302</f>
        <v>373800</v>
      </c>
      <c r="AZ304" s="351">
        <f>AZ303+AZ302</f>
        <v>377600</v>
      </c>
      <c r="BA304" s="351">
        <f>BA303+BA302</f>
        <v>390300</v>
      </c>
      <c r="BB304" s="352">
        <f t="shared" si="1255"/>
        <v>390300</v>
      </c>
      <c r="BC304" s="351">
        <f>BC303+BC302</f>
        <v>391700</v>
      </c>
      <c r="BD304" s="351">
        <f t="shared" ref="BD304:BG304" si="1256">BD303+BD302</f>
        <v>410300</v>
      </c>
      <c r="BE304" s="351">
        <f t="shared" si="1256"/>
        <v>415100</v>
      </c>
      <c r="BF304" s="351">
        <f t="shared" si="1256"/>
        <v>440900</v>
      </c>
      <c r="BG304" s="352">
        <f t="shared" si="1256"/>
        <v>440900</v>
      </c>
      <c r="BH304" s="654">
        <f>BH303+BH302</f>
        <v>439800</v>
      </c>
      <c r="BI304" s="351">
        <f t="shared" ref="BI304" si="1257">BI303+BI302</f>
        <v>440300</v>
      </c>
      <c r="BJ304" s="654">
        <f>BJ303+BJ302</f>
        <v>490000</v>
      </c>
      <c r="BK304" s="654">
        <f>BK303+BK302</f>
        <v>502300</v>
      </c>
      <c r="BL304" s="352">
        <f t="shared" ref="BL304" si="1258">BL303+BL302</f>
        <v>502300</v>
      </c>
      <c r="BM304" s="654">
        <f>BM303+BM302</f>
        <v>495100</v>
      </c>
      <c r="BN304" s="654">
        <f>BN303+BN302</f>
        <v>488800</v>
      </c>
      <c r="BO304" s="654">
        <f>BO303+BO302</f>
        <v>484800</v>
      </c>
      <c r="BP304" s="654">
        <f t="shared" ref="BP304:CB304" si="1259">BP303+BP302</f>
        <v>489300</v>
      </c>
      <c r="BQ304" s="655">
        <f t="shared" si="1259"/>
        <v>489300</v>
      </c>
      <c r="BR304" s="654">
        <f t="shared" si="1259"/>
        <v>480000</v>
      </c>
      <c r="BS304" s="654">
        <f t="shared" si="1259"/>
        <v>472200</v>
      </c>
      <c r="BT304" s="654">
        <f t="shared" si="1259"/>
        <v>462000</v>
      </c>
      <c r="BU304" s="654">
        <f t="shared" si="1259"/>
        <v>473492</v>
      </c>
      <c r="BV304" s="655">
        <f t="shared" si="1259"/>
        <v>473492</v>
      </c>
      <c r="BW304" s="654">
        <f t="shared" si="1259"/>
        <v>479500</v>
      </c>
      <c r="BX304" s="654">
        <f t="shared" si="1259"/>
        <v>482200</v>
      </c>
      <c r="BY304" s="654">
        <f t="shared" si="1259"/>
        <v>474288</v>
      </c>
      <c r="BZ304" s="654">
        <f t="shared" si="1259"/>
        <v>474842</v>
      </c>
      <c r="CA304" s="655">
        <f t="shared" si="1259"/>
        <v>474842</v>
      </c>
      <c r="CB304" s="654">
        <f t="shared" si="1259"/>
        <v>486245</v>
      </c>
      <c r="CC304" s="654">
        <f t="shared" ref="CC304:CE304" si="1260">CC303+CC302</f>
        <v>488036</v>
      </c>
      <c r="CD304" s="654">
        <f t="shared" ref="CD304" si="1261">CD303+CD302</f>
        <v>491179</v>
      </c>
      <c r="CE304" s="654">
        <f t="shared" si="1260"/>
        <v>497884</v>
      </c>
      <c r="CF304" s="655">
        <f>CF303+CF302</f>
        <v>497884</v>
      </c>
      <c r="CG304" s="654">
        <f t="shared" ref="CG304" si="1262">CG303+CG302</f>
        <v>494012</v>
      </c>
      <c r="CH304" s="654">
        <f t="shared" ref="CH304:CJ304" si="1263">CH303+CH302</f>
        <v>479712</v>
      </c>
      <c r="CI304" s="654">
        <f t="shared" si="1263"/>
        <v>474651</v>
      </c>
      <c r="CJ304" s="654">
        <f t="shared" si="1263"/>
        <v>467431</v>
      </c>
      <c r="CK304" s="655">
        <f>CK303+CK302</f>
        <v>467431</v>
      </c>
      <c r="CL304" s="654">
        <f t="shared" ref="CL304:CO304" si="1264">CL303+CL302</f>
        <v>439785</v>
      </c>
      <c r="CM304" s="654">
        <f t="shared" si="1264"/>
        <v>413221</v>
      </c>
      <c r="CN304" s="654">
        <f t="shared" si="1264"/>
        <v>399210</v>
      </c>
      <c r="CO304" s="654">
        <f t="shared" si="1264"/>
        <v>366530</v>
      </c>
      <c r="CP304" s="655">
        <f>CP303+CP302</f>
        <v>366530</v>
      </c>
      <c r="CQ304" s="654">
        <f t="shared" ref="CQ304:CT304" si="1265">CQ303+CQ302</f>
        <v>366051</v>
      </c>
      <c r="CR304" s="654">
        <f t="shared" si="1265"/>
        <v>365242</v>
      </c>
      <c r="CS304" s="654">
        <f t="shared" si="1265"/>
        <v>366994</v>
      </c>
      <c r="CT304" s="654">
        <f t="shared" si="1265"/>
        <v>377847</v>
      </c>
      <c r="CU304" s="655">
        <f>CU303+CU302</f>
        <v>377847</v>
      </c>
      <c r="CV304" s="654">
        <f t="shared" ref="CV304:CY304" si="1266">CV303+CV302</f>
        <v>373090</v>
      </c>
      <c r="CW304" s="654">
        <f t="shared" si="1266"/>
        <v>372933</v>
      </c>
      <c r="CX304" s="654">
        <f t="shared" si="1266"/>
        <v>380297</v>
      </c>
      <c r="CY304" s="654">
        <f t="shared" si="1266"/>
        <v>406601</v>
      </c>
      <c r="CZ304" s="655">
        <f>CZ303+CZ302</f>
        <v>406601</v>
      </c>
      <c r="DA304" s="654">
        <f t="shared" ref="DA304:DD304" si="1267">DA303+DA302</f>
        <v>414499</v>
      </c>
      <c r="DB304" s="654">
        <f t="shared" si="1267"/>
        <v>442898</v>
      </c>
      <c r="DC304" s="654">
        <f t="shared" si="1267"/>
        <v>472886</v>
      </c>
      <c r="DD304" s="654">
        <f t="shared" si="1267"/>
        <v>522620</v>
      </c>
      <c r="DE304" s="655">
        <f>DE303+DE302</f>
        <v>522620</v>
      </c>
      <c r="DF304" s="654">
        <f t="shared" ref="DF304:DI304" si="1268">DF303+DF302</f>
        <v>531108</v>
      </c>
      <c r="DG304" s="654">
        <f>DG303+DG302</f>
        <v>516145</v>
      </c>
      <c r="DH304" s="654">
        <f t="shared" si="1268"/>
        <v>510538</v>
      </c>
      <c r="DI304" s="654">
        <f t="shared" si="1268"/>
        <v>521732</v>
      </c>
      <c r="DJ304" s="655">
        <f>DJ303+DJ302</f>
        <v>521732</v>
      </c>
      <c r="DK304" s="654">
        <f t="shared" ref="DK304:DN304" si="1269">DK303+DK302</f>
        <v>542786</v>
      </c>
      <c r="DL304" s="654">
        <f t="shared" si="1269"/>
        <v>630945</v>
      </c>
      <c r="DM304" s="654">
        <f t="shared" si="1269"/>
        <v>647834</v>
      </c>
      <c r="DN304" s="654">
        <f t="shared" si="1269"/>
        <v>694562</v>
      </c>
      <c r="DO304" s="655">
        <f>DO303+DO302</f>
        <v>694562</v>
      </c>
      <c r="DP304" s="654">
        <f t="shared" ref="DP304" si="1270">DP303+DP302</f>
        <v>703442</v>
      </c>
      <c r="DQ304" s="654">
        <f t="shared" ref="DQ304:DS304" si="1271">DQ303+DQ302</f>
        <v>722801</v>
      </c>
      <c r="DR304" s="654">
        <f t="shared" si="1271"/>
        <v>0</v>
      </c>
      <c r="DS304" s="654">
        <f t="shared" si="1271"/>
        <v>0</v>
      </c>
      <c r="DT304" s="655">
        <f>DT303+DT302</f>
        <v>0</v>
      </c>
      <c r="DU304" s="654">
        <f t="shared" ref="DU304:DX304" si="1272">DU303+DU302</f>
        <v>0</v>
      </c>
      <c r="DV304" s="654">
        <f t="shared" si="1272"/>
        <v>0</v>
      </c>
      <c r="DW304" s="654">
        <f t="shared" si="1272"/>
        <v>0</v>
      </c>
      <c r="DX304" s="654">
        <f t="shared" si="1272"/>
        <v>0</v>
      </c>
      <c r="DY304" s="655">
        <f>DY303+DY302</f>
        <v>0</v>
      </c>
      <c r="DZ304" s="655">
        <f t="shared" ref="DZ304:EB304" si="1273">DZ303+DZ302</f>
        <v>0</v>
      </c>
      <c r="EA304" s="655">
        <f t="shared" si="1273"/>
        <v>0</v>
      </c>
      <c r="EB304" s="655">
        <f t="shared" si="1273"/>
        <v>0</v>
      </c>
    </row>
    <row r="305" spans="2:132" s="241" customFormat="1" ht="12" hidden="1" customHeight="1" outlineLevel="1">
      <c r="B305" s="392" t="s">
        <v>359</v>
      </c>
      <c r="C305" s="390"/>
      <c r="D305" s="390"/>
      <c r="E305" s="390"/>
      <c r="F305" s="390"/>
      <c r="G305" s="390"/>
      <c r="H305" s="390"/>
      <c r="I305" s="390"/>
      <c r="J305" s="391"/>
      <c r="K305" s="391"/>
      <c r="L305" s="391"/>
      <c r="M305" s="391"/>
      <c r="N305" s="390"/>
      <c r="O305" s="391"/>
      <c r="P305" s="391"/>
      <c r="Q305" s="391"/>
      <c r="R305" s="391"/>
      <c r="S305" s="390"/>
      <c r="T305" s="391"/>
      <c r="U305" s="391"/>
      <c r="V305" s="391"/>
      <c r="W305" s="391"/>
      <c r="X305" s="390"/>
      <c r="Y305" s="391"/>
      <c r="Z305" s="391"/>
      <c r="AA305" s="391"/>
      <c r="AB305" s="391"/>
      <c r="AC305" s="390"/>
      <c r="AD305" s="393">
        <f>Data!AD215</f>
        <v>0</v>
      </c>
      <c r="AE305" s="393">
        <f>Data!AE215</f>
        <v>5</v>
      </c>
      <c r="AF305" s="393">
        <f>Data!AF215</f>
        <v>75</v>
      </c>
      <c r="AG305" s="393">
        <f>Data!AG215</f>
        <v>30</v>
      </c>
      <c r="AH305" s="394">
        <f>SUM(AD305:AG305)</f>
        <v>110</v>
      </c>
      <c r="AI305" s="393">
        <f>Data!AI215</f>
        <v>60</v>
      </c>
      <c r="AJ305" s="393">
        <f>Data!AJ215</f>
        <v>70</v>
      </c>
      <c r="AK305" s="393">
        <f>Data!AK215</f>
        <v>85</v>
      </c>
      <c r="AL305" s="393">
        <f>Data!AL215</f>
        <v>57</v>
      </c>
      <c r="AM305" s="394">
        <f>SUM(AI305:AL305)</f>
        <v>272</v>
      </c>
      <c r="AN305" s="315"/>
      <c r="AO305" s="315"/>
      <c r="AP305" s="315"/>
      <c r="AQ305" s="315"/>
      <c r="AR305" s="314"/>
      <c r="AS305" s="315"/>
      <c r="AT305" s="315"/>
      <c r="AU305" s="315"/>
      <c r="AV305" s="315"/>
      <c r="AW305" s="314"/>
      <c r="AX305" s="315"/>
      <c r="AY305" s="315"/>
      <c r="AZ305" s="315"/>
      <c r="BA305" s="315"/>
      <c r="BB305" s="314"/>
      <c r="BC305" s="486"/>
      <c r="BD305" s="315"/>
      <c r="BE305" s="315"/>
      <c r="BF305" s="315"/>
      <c r="BG305" s="314"/>
      <c r="BH305" s="620"/>
      <c r="BI305" s="315"/>
      <c r="BJ305" s="620"/>
      <c r="BK305" s="620"/>
      <c r="BL305" s="314"/>
      <c r="BM305" s="620"/>
      <c r="BN305" s="620"/>
      <c r="BO305" s="620"/>
      <c r="BP305" s="620"/>
      <c r="BQ305" s="630"/>
      <c r="BR305" s="620"/>
      <c r="BS305" s="620"/>
      <c r="BT305" s="620"/>
      <c r="BU305" s="620"/>
      <c r="BV305" s="630"/>
      <c r="BW305" s="620"/>
      <c r="BX305" s="620"/>
      <c r="BY305" s="620"/>
      <c r="BZ305" s="620"/>
      <c r="CA305" s="630"/>
      <c r="CB305" s="620"/>
      <c r="CC305" s="620"/>
      <c r="CD305" s="620"/>
      <c r="CE305" s="620"/>
      <c r="CF305" s="630"/>
      <c r="CG305" s="620"/>
      <c r="CH305" s="620"/>
      <c r="CI305" s="620"/>
      <c r="CJ305" s="620"/>
      <c r="CK305" s="630"/>
      <c r="CL305" s="620"/>
      <c r="CM305" s="620"/>
      <c r="CN305" s="620"/>
      <c r="CO305" s="620"/>
      <c r="CP305" s="630"/>
      <c r="CQ305" s="620"/>
      <c r="CR305" s="620"/>
      <c r="CS305" s="620"/>
      <c r="CT305" s="620"/>
      <c r="CU305" s="630"/>
      <c r="CV305" s="620"/>
      <c r="CW305" s="620"/>
      <c r="CX305" s="620"/>
      <c r="CY305" s="620"/>
      <c r="CZ305" s="630"/>
      <c r="DA305" s="620"/>
      <c r="DB305" s="620"/>
      <c r="DC305" s="620"/>
      <c r="DD305" s="620"/>
      <c r="DE305" s="630"/>
      <c r="DF305" s="620"/>
      <c r="DG305" s="620"/>
      <c r="DH305" s="620"/>
      <c r="DI305" s="620"/>
      <c r="DJ305" s="630"/>
      <c r="DK305" s="620"/>
      <c r="DL305" s="620"/>
      <c r="DM305" s="620"/>
      <c r="DN305" s="620"/>
      <c r="DO305" s="630"/>
      <c r="DP305" s="620"/>
      <c r="DQ305" s="620"/>
      <c r="DR305" s="620"/>
      <c r="DS305" s="620"/>
      <c r="DT305" s="630"/>
      <c r="DU305" s="620"/>
      <c r="DV305" s="620"/>
      <c r="DW305" s="620"/>
      <c r="DX305" s="620"/>
      <c r="DY305" s="630"/>
      <c r="DZ305" s="630"/>
      <c r="EA305" s="630"/>
      <c r="EB305" s="630"/>
    </row>
    <row r="306" spans="2:132" s="241" customFormat="1" ht="12" hidden="1" customHeight="1" outlineLevel="1">
      <c r="B306" s="348"/>
      <c r="C306" s="353"/>
      <c r="D306" s="353"/>
      <c r="E306" s="353"/>
      <c r="F306" s="353"/>
      <c r="G306" s="353"/>
      <c r="H306" s="353"/>
      <c r="I306" s="353"/>
      <c r="J306" s="354"/>
      <c r="K306" s="354"/>
      <c r="L306" s="354"/>
      <c r="M306" s="354"/>
      <c r="N306" s="353"/>
      <c r="O306" s="354"/>
      <c r="P306" s="354"/>
      <c r="Q306" s="354"/>
      <c r="R306" s="354"/>
      <c r="S306" s="353"/>
      <c r="T306" s="354"/>
      <c r="U306" s="354"/>
      <c r="V306" s="354"/>
      <c r="W306" s="354"/>
      <c r="X306" s="353"/>
      <c r="Y306" s="354"/>
      <c r="Z306" s="354"/>
      <c r="AA306" s="354"/>
      <c r="AB306" s="354"/>
      <c r="AC306" s="353"/>
      <c r="AD306" s="354"/>
      <c r="AE306" s="354"/>
      <c r="AF306" s="354"/>
      <c r="AG306" s="354"/>
      <c r="AH306" s="353"/>
      <c r="AI306" s="354"/>
      <c r="AJ306" s="354"/>
      <c r="AK306" s="354"/>
      <c r="AL306" s="354"/>
      <c r="AM306" s="353"/>
      <c r="AN306" s="354"/>
      <c r="AO306" s="354"/>
      <c r="AP306" s="354"/>
      <c r="AQ306" s="354"/>
      <c r="AR306" s="353"/>
      <c r="AS306" s="354"/>
      <c r="AT306" s="354"/>
      <c r="AU306" s="354"/>
      <c r="AV306" s="354"/>
      <c r="AW306" s="353"/>
      <c r="AX306" s="354"/>
      <c r="AY306" s="354"/>
      <c r="AZ306" s="354"/>
      <c r="BA306" s="354"/>
      <c r="BB306" s="353"/>
      <c r="BC306" s="450"/>
      <c r="BD306" s="354"/>
      <c r="BE306" s="354"/>
      <c r="BF306" s="354"/>
      <c r="BG306" s="353"/>
      <c r="BH306" s="615"/>
      <c r="BI306" s="354"/>
      <c r="BJ306" s="615"/>
      <c r="BK306" s="615"/>
      <c r="BL306" s="353"/>
      <c r="BM306" s="615"/>
      <c r="BN306" s="615"/>
      <c r="BO306" s="615"/>
      <c r="BP306" s="615"/>
      <c r="BQ306" s="14"/>
      <c r="BR306" s="615"/>
      <c r="BS306" s="615"/>
      <c r="BT306" s="615"/>
      <c r="BU306" s="615"/>
      <c r="BV306" s="14"/>
      <c r="BW306" s="615"/>
      <c r="BX306" s="615"/>
      <c r="BY306" s="615"/>
      <c r="BZ306" s="615"/>
      <c r="CA306" s="14"/>
      <c r="CB306" s="615"/>
      <c r="CC306" s="615"/>
      <c r="CD306" s="615"/>
      <c r="CE306" s="615"/>
      <c r="CF306" s="14"/>
      <c r="CG306" s="615"/>
      <c r="CH306" s="615"/>
      <c r="CI306" s="615"/>
      <c r="CJ306" s="615"/>
      <c r="CK306" s="14"/>
      <c r="CL306" s="615"/>
      <c r="CM306" s="615"/>
      <c r="CN306" s="615"/>
      <c r="CO306" s="615"/>
      <c r="CP306" s="14"/>
      <c r="CQ306" s="615"/>
      <c r="CR306" s="615"/>
      <c r="CS306" s="615"/>
      <c r="CT306" s="615"/>
      <c r="CU306" s="14"/>
      <c r="CV306" s="615"/>
      <c r="CW306" s="615"/>
      <c r="CX306" s="615"/>
      <c r="CY306" s="615"/>
      <c r="CZ306" s="14"/>
      <c r="DA306" s="615"/>
      <c r="DB306" s="615"/>
      <c r="DC306" s="615"/>
      <c r="DD306" s="615"/>
      <c r="DE306" s="14"/>
      <c r="DF306" s="615"/>
      <c r="DG306" s="615"/>
      <c r="DH306" s="615"/>
      <c r="DI306" s="615"/>
      <c r="DJ306" s="14"/>
      <c r="DK306" s="615"/>
      <c r="DL306" s="615"/>
      <c r="DM306" s="615"/>
      <c r="DN306" s="615"/>
      <c r="DO306" s="14"/>
      <c r="DP306" s="615"/>
      <c r="DQ306" s="615"/>
      <c r="DR306" s="615"/>
      <c r="DS306" s="615"/>
      <c r="DT306" s="14"/>
      <c r="DU306" s="615"/>
      <c r="DV306" s="615"/>
      <c r="DW306" s="615"/>
      <c r="DX306" s="615"/>
      <c r="DY306" s="14"/>
      <c r="DZ306" s="14"/>
      <c r="EA306" s="14"/>
      <c r="EB306" s="14"/>
    </row>
    <row r="307" spans="2:132" s="241" customFormat="1" ht="12" hidden="1" customHeight="1" outlineLevel="1">
      <c r="B307" s="48" t="s">
        <v>385</v>
      </c>
      <c r="C307" s="353"/>
      <c r="D307" s="353"/>
      <c r="E307" s="353"/>
      <c r="F307" s="517"/>
      <c r="G307" s="353"/>
      <c r="H307" s="353"/>
      <c r="I307" s="353"/>
      <c r="J307" s="354"/>
      <c r="K307" s="354"/>
      <c r="L307" s="354"/>
      <c r="M307" s="354"/>
      <c r="N307" s="353"/>
      <c r="O307" s="354"/>
      <c r="P307" s="354"/>
      <c r="Q307" s="354"/>
      <c r="R307" s="354"/>
      <c r="S307" s="353"/>
      <c r="T307" s="354"/>
      <c r="U307" s="354"/>
      <c r="V307" s="354"/>
      <c r="W307" s="354"/>
      <c r="X307" s="353"/>
      <c r="Y307" s="354"/>
      <c r="Z307" s="354"/>
      <c r="AA307" s="354"/>
      <c r="AB307" s="354"/>
      <c r="AC307" s="353"/>
      <c r="AD307" s="354"/>
      <c r="AE307" s="354"/>
      <c r="AF307" s="354"/>
      <c r="AG307" s="354"/>
      <c r="AH307" s="353"/>
      <c r="AI307" s="354"/>
      <c r="AJ307" s="354"/>
      <c r="AK307" s="354"/>
      <c r="AL307" s="354"/>
      <c r="AM307" s="353"/>
      <c r="AN307" s="354"/>
      <c r="AO307" s="354"/>
      <c r="AP307" s="354"/>
      <c r="AQ307" s="354"/>
      <c r="AR307" s="353"/>
      <c r="AS307" s="354"/>
      <c r="AT307" s="354"/>
      <c r="AU307" s="354"/>
      <c r="AV307" s="354"/>
      <c r="AW307" s="353"/>
      <c r="AX307" s="354"/>
      <c r="AY307" s="354"/>
      <c r="AZ307" s="354"/>
      <c r="BA307" s="354"/>
      <c r="BB307" s="353"/>
      <c r="BC307" s="450"/>
      <c r="BD307" s="354"/>
      <c r="BE307" s="354"/>
      <c r="BF307" s="354"/>
      <c r="BG307" s="353"/>
      <c r="BH307" s="615"/>
      <c r="BI307" s="354"/>
      <c r="BJ307" s="615"/>
      <c r="BK307" s="615"/>
      <c r="BL307" s="353"/>
      <c r="BM307" s="615"/>
      <c r="BN307" s="615"/>
      <c r="BO307" s="615"/>
      <c r="BP307" s="615"/>
      <c r="BQ307" s="14"/>
      <c r="BR307" s="615"/>
      <c r="BS307" s="615"/>
      <c r="BT307" s="615"/>
      <c r="BU307" s="615"/>
      <c r="BV307" s="14"/>
      <c r="BW307" s="615"/>
      <c r="BX307" s="615"/>
      <c r="BY307" s="615"/>
      <c r="BZ307" s="615"/>
      <c r="CA307" s="14"/>
      <c r="CB307" s="615"/>
      <c r="CC307" s="615"/>
      <c r="CD307" s="615"/>
      <c r="CE307" s="615"/>
      <c r="CF307" s="14"/>
      <c r="CG307" s="615"/>
      <c r="CH307" s="615"/>
      <c r="CI307" s="615"/>
      <c r="CJ307" s="615"/>
      <c r="CK307" s="14"/>
      <c r="CL307" s="615"/>
      <c r="CM307" s="615"/>
      <c r="CN307" s="615"/>
      <c r="CO307" s="615"/>
      <c r="CP307" s="14"/>
      <c r="CQ307" s="615"/>
      <c r="CR307" s="615"/>
      <c r="CS307" s="615"/>
      <c r="CT307" s="615"/>
      <c r="CU307" s="14"/>
      <c r="CV307" s="615"/>
      <c r="CW307" s="615"/>
      <c r="CX307" s="615"/>
      <c r="CY307" s="615"/>
      <c r="CZ307" s="14"/>
      <c r="DA307" s="615"/>
      <c r="DB307" s="615"/>
      <c r="DC307" s="615"/>
      <c r="DD307" s="615"/>
      <c r="DE307" s="14"/>
      <c r="DF307" s="615"/>
      <c r="DG307" s="615"/>
      <c r="DH307" s="615"/>
      <c r="DI307" s="615"/>
      <c r="DJ307" s="14"/>
      <c r="DK307" s="615"/>
      <c r="DL307" s="615"/>
      <c r="DM307" s="615"/>
      <c r="DN307" s="615"/>
      <c r="DO307" s="14"/>
      <c r="DP307" s="615"/>
      <c r="DQ307" s="615"/>
      <c r="DR307" s="615"/>
      <c r="DS307" s="615"/>
      <c r="DT307" s="14"/>
      <c r="DU307" s="615"/>
      <c r="DV307" s="615"/>
      <c r="DW307" s="615"/>
      <c r="DX307" s="615"/>
      <c r="DY307" s="14"/>
      <c r="DZ307" s="14"/>
      <c r="EA307" s="14"/>
      <c r="EB307" s="14"/>
    </row>
    <row r="308" spans="2:132" s="241" customFormat="1" ht="12" hidden="1" customHeight="1" outlineLevel="1">
      <c r="B308" s="348" t="s">
        <v>119</v>
      </c>
      <c r="C308" s="355">
        <f t="shared" ref="C308:I308" si="1274">C290/C36</f>
        <v>3.4827880723383711</v>
      </c>
      <c r="D308" s="355">
        <f t="shared" si="1274"/>
        <v>2.421071880714587</v>
      </c>
      <c r="E308" s="355">
        <f t="shared" si="1274"/>
        <v>1.8998672186206358</v>
      </c>
      <c r="F308" s="356">
        <f t="shared" si="1274"/>
        <v>2.8802412498796959</v>
      </c>
      <c r="G308" s="355">
        <f t="shared" si="1274"/>
        <v>2.1636809675947055</v>
      </c>
      <c r="H308" s="355">
        <f t="shared" si="1274"/>
        <v>2.4010638672631837</v>
      </c>
      <c r="I308" s="355">
        <f t="shared" si="1274"/>
        <v>2.8529543020349877</v>
      </c>
      <c r="J308" s="356">
        <f>J290/(J36*4)</f>
        <v>2.918574108818011</v>
      </c>
      <c r="K308" s="356">
        <f>K290/(K36*4)</f>
        <v>2.7410950449656144</v>
      </c>
      <c r="L308" s="356">
        <f>L290/(L36*4)</f>
        <v>3.6752910737386806</v>
      </c>
      <c r="M308" s="356">
        <f>M290/(M36*4)</f>
        <v>3.2627361985920711</v>
      </c>
      <c r="N308" s="355">
        <f>N290/N36</f>
        <v>3.3488139943908353</v>
      </c>
      <c r="O308" s="356">
        <f>O290/(O36*4)</f>
        <v>3.3826832151300237</v>
      </c>
      <c r="P308" s="356">
        <f>P290/(P36*4)</f>
        <v>3.1838818689391712</v>
      </c>
      <c r="Q308" s="356">
        <f>Q290/(Q36*4)</f>
        <v>4.9900773458172196</v>
      </c>
      <c r="R308" s="356">
        <f>R290/(R36*4)</f>
        <v>5.2993510928961749</v>
      </c>
      <c r="S308" s="355">
        <f>S290/S36</f>
        <v>5.4801995496887557</v>
      </c>
      <c r="T308" s="356">
        <f>T290/(T36*4)</f>
        <v>4.6638664398128453</v>
      </c>
      <c r="U308" s="356">
        <f>U290/(U36*4)</f>
        <v>4.9792633206804444</v>
      </c>
      <c r="V308" s="356">
        <f>V290/(V36*4)</f>
        <v>5.7528761392499623</v>
      </c>
      <c r="W308" s="356">
        <f>W290/(W36*4)</f>
        <v>5.7282408624769916</v>
      </c>
      <c r="X308" s="355">
        <f>X290/X36</f>
        <v>6.1224661865448793</v>
      </c>
      <c r="Y308" s="356">
        <f>Y290/(Y36*4)</f>
        <v>6.2364659166115155</v>
      </c>
      <c r="Z308" s="356">
        <f>Z290/(Z36*4)</f>
        <v>5.9644538876765818</v>
      </c>
      <c r="AA308" s="356">
        <f>AA290/(AA36*4)</f>
        <v>6.7938362799709369</v>
      </c>
      <c r="AB308" s="356">
        <f>AB290/(AB36*4)</f>
        <v>7.1953530340627117</v>
      </c>
      <c r="AC308" s="355">
        <f>AC290/AC36</f>
        <v>7.6432037380938116</v>
      </c>
      <c r="AD308" s="356">
        <f>AD290/(AD36*4)</f>
        <v>8.3074684474941805</v>
      </c>
      <c r="AE308" s="356">
        <f>AE290/(AE36*4)</f>
        <v>8.0117310610482075</v>
      </c>
      <c r="AF308" s="356">
        <f>AF290/(AF36*4)</f>
        <v>9.9290598905845098</v>
      </c>
      <c r="AG308" s="356">
        <f>AG290/(AG36*4)</f>
        <v>15.176236652865548</v>
      </c>
      <c r="AH308" s="355">
        <f>AH290/AH36</f>
        <v>9.8565262003325902</v>
      </c>
      <c r="AI308" s="356">
        <f>AI290/(AI36*4)</f>
        <v>7.7748129530044423</v>
      </c>
      <c r="AJ308" s="356">
        <f>AJ290/(AJ36*4)</f>
        <v>7.6338216107223342</v>
      </c>
      <c r="AK308" s="356">
        <f>AK290/(AK36*4)</f>
        <v>8.053342636052264</v>
      </c>
      <c r="AL308" s="356">
        <f>AL290/(AL36*4)</f>
        <v>6.8190133943155828</v>
      </c>
      <c r="AM308" s="355">
        <f>AM290/AM36</f>
        <v>7.3559073154973422</v>
      </c>
      <c r="AN308" s="356">
        <f>AN290/(AN36*4)</f>
        <v>8.3824317086234608</v>
      </c>
      <c r="AO308" s="356">
        <f>AO290/(AO36*4)</f>
        <v>8.4622628817435768</v>
      </c>
      <c r="AP308" s="356">
        <f>AP290/(AP36*4)</f>
        <v>7.2915761801348724</v>
      </c>
      <c r="AQ308" s="356">
        <f>AQ290/(AQ36*4)</f>
        <v>7.8079178885630496</v>
      </c>
      <c r="AR308" s="355">
        <f>AR290/AR36</f>
        <v>8.0291512219639376</v>
      </c>
      <c r="AS308" s="356">
        <f>AS290/(AW36)</f>
        <v>7.2129606590915376</v>
      </c>
      <c r="AT308" s="356">
        <f>AT290/(AW36)</f>
        <v>7.1853142019850154</v>
      </c>
      <c r="AU308" s="356">
        <f>AU290/(AU36*4)</f>
        <v>7.1019442984760905</v>
      </c>
      <c r="AV308" s="356">
        <f>AV290/(AV36*4)</f>
        <v>6.8560074801309021</v>
      </c>
      <c r="AW308" s="355">
        <f>AW290/AW36</f>
        <v>8.1087058693428435</v>
      </c>
      <c r="AX308" s="356">
        <f t="shared" ref="AX308:AY308" si="1275">AX290/($BB$36)</f>
        <v>6.21450526187229</v>
      </c>
      <c r="AY308" s="356">
        <f t="shared" si="1275"/>
        <v>6.1147637755205899</v>
      </c>
      <c r="AZ308" s="356">
        <f>AZ290/($BB$36)</f>
        <v>6.2165408024100799</v>
      </c>
      <c r="BA308" s="356">
        <f t="shared" ref="BA308" si="1276">BA290/($BB$36)</f>
        <v>6.4587701264070674</v>
      </c>
      <c r="BB308" s="355">
        <f>BB290/BB36</f>
        <v>6.4587701264070674</v>
      </c>
      <c r="BC308" s="356">
        <f t="shared" ref="BC308:BD308" si="1277">BC290/($BG$36)</f>
        <v>6.0776160645359774</v>
      </c>
      <c r="BD308" s="356">
        <f t="shared" si="1277"/>
        <v>6.3739470341422351</v>
      </c>
      <c r="BE308" s="356">
        <f>BE290/($BG$36)</f>
        <v>6.4985192888811714</v>
      </c>
      <c r="BF308" s="356">
        <f>BF290/($BG$36)</f>
        <v>7.0402198511550296</v>
      </c>
      <c r="BG308" s="355">
        <f>BG290/BG36</f>
        <v>7.0402198511550296</v>
      </c>
      <c r="BH308" s="356">
        <f>BH290/($BL$36)</f>
        <v>6.2343723953992329</v>
      </c>
      <c r="BI308" s="356">
        <f>BI290/($BL$36)</f>
        <v>6.2727121186864476</v>
      </c>
      <c r="BJ308" s="356">
        <f>BJ290/($BL$36)</f>
        <v>7.1611935322553757</v>
      </c>
      <c r="BK308" s="356">
        <f>BK290/($BL$36)</f>
        <v>7.3362227037839638</v>
      </c>
      <c r="BL308" s="355">
        <f>BL290/BL36</f>
        <v>7.3362227037839638</v>
      </c>
      <c r="BM308" s="356">
        <f>BM290/($BQ$36)</f>
        <v>6.5861191860465116</v>
      </c>
      <c r="BN308" s="356">
        <f t="shared" ref="BN308:BP308" si="1278">BN290/($BQ$36)</f>
        <v>6.5225290697674421</v>
      </c>
      <c r="BO308" s="356">
        <f t="shared" si="1278"/>
        <v>6.4498546511627906</v>
      </c>
      <c r="BP308" s="356">
        <f t="shared" si="1278"/>
        <v>6.5316133720930232</v>
      </c>
      <c r="BQ308" s="657">
        <f>BQ290/BQ36</f>
        <v>6.5316133720930232</v>
      </c>
      <c r="BR308" s="356">
        <f>BR290/($BV$36)</f>
        <v>7.2915948424463908</v>
      </c>
      <c r="BS308" s="356">
        <f t="shared" ref="BS308:BU308" si="1279">BS290/($BV$36)</f>
        <v>7.1812728401020482</v>
      </c>
      <c r="BT308" s="356">
        <f t="shared" si="1279"/>
        <v>7.0468178997448803</v>
      </c>
      <c r="BU308" s="356">
        <f t="shared" si="1279"/>
        <v>7.1198372750465424</v>
      </c>
      <c r="BV308" s="657">
        <f>BV290/BV36</f>
        <v>7.1198372750465424</v>
      </c>
      <c r="BW308" s="356">
        <f>BW290/($CA$36)</f>
        <v>7.1551694418588614</v>
      </c>
      <c r="BX308" s="356">
        <f>BX290/($CA$36)</f>
        <v>7.2982383562588344</v>
      </c>
      <c r="BY308" s="356">
        <f>BY290/($CA$36)</f>
        <v>7.1049229496328472</v>
      </c>
      <c r="BZ308" s="356">
        <f>BZ290/($CA$36)</f>
        <v>7.0877374426862483</v>
      </c>
      <c r="CA308" s="657">
        <f>CA290/CA36</f>
        <v>7.0877374426862483</v>
      </c>
      <c r="CB308" s="356">
        <f>CB290/($CF$36)</f>
        <v>7.2240734621471674</v>
      </c>
      <c r="CC308" s="356">
        <f t="shared" ref="CC308:CE308" si="1280">CC290/($CF$36)</f>
        <v>7.2300909581036192</v>
      </c>
      <c r="CD308" s="356">
        <f t="shared" si="1280"/>
        <v>7.1838466755943582</v>
      </c>
      <c r="CE308" s="356">
        <f t="shared" si="1280"/>
        <v>7.1706812292387694</v>
      </c>
      <c r="CF308" s="657">
        <f>CF290/CF36</f>
        <v>7.1706812292387694</v>
      </c>
      <c r="CG308" s="356">
        <f t="shared" ref="CG308:CJ308" si="1281">CG290/($CF$36)</f>
        <v>6.9457034035374532</v>
      </c>
      <c r="CH308" s="356">
        <f t="shared" si="1281"/>
        <v>6.789770256874033</v>
      </c>
      <c r="CI308" s="356">
        <f t="shared" si="1281"/>
        <v>6.7374563035878881</v>
      </c>
      <c r="CJ308" s="356">
        <f t="shared" si="1281"/>
        <v>6.5495573836066718</v>
      </c>
      <c r="CK308" s="657">
        <f>CK290/CK36</f>
        <v>11.675492171756316</v>
      </c>
      <c r="CL308" s="356">
        <f t="shared" ref="CL308:CO308" si="1282">CL290/($CF$36)</f>
        <v>6.1179846606027928</v>
      </c>
      <c r="CM308" s="356">
        <f t="shared" si="1282"/>
        <v>5.6639941564201113</v>
      </c>
      <c r="CN308" s="356">
        <f t="shared" si="1282"/>
        <v>5.4380771839510249</v>
      </c>
      <c r="CO308" s="356">
        <f t="shared" si="1282"/>
        <v>4.897267778570062</v>
      </c>
      <c r="CP308" s="657">
        <f>CP290/CP36</f>
        <v>17.422843707461947</v>
      </c>
      <c r="CQ308" s="356">
        <f t="shared" ref="CQ308:CT308" si="1283">CQ290/($CF$36)</f>
        <v>4.9152333084053632</v>
      </c>
      <c r="CR308" s="356">
        <f t="shared" si="1283"/>
        <v>4.9623819544687731</v>
      </c>
      <c r="CS308" s="356">
        <f t="shared" si="1283"/>
        <v>5.037374563035879</v>
      </c>
      <c r="CT308" s="356">
        <f t="shared" si="1283"/>
        <v>5.1632550131306632</v>
      </c>
      <c r="CU308" s="657">
        <f>CU290/CU36</f>
        <v>15.230185194685271</v>
      </c>
      <c r="CV308" s="356">
        <f t="shared" ref="CV308:CY308" si="1284">CV290/($CF$36)</f>
        <v>5.0597401693942503</v>
      </c>
      <c r="CW308" s="356">
        <f t="shared" si="1284"/>
        <v>5.1660724534339728</v>
      </c>
      <c r="CX308" s="356">
        <f t="shared" si="1284"/>
        <v>5.3421450807840136</v>
      </c>
      <c r="CY308" s="356">
        <f t="shared" si="1284"/>
        <v>5.7361693246839076</v>
      </c>
      <c r="CZ308" s="657">
        <f>CZ290/CZ36</f>
        <v>12.750763521088645</v>
      </c>
      <c r="DA308" s="356">
        <f t="shared" ref="DA308:DD308" si="1285">DA290/($CF$36)</f>
        <v>5.8028139619819479</v>
      </c>
      <c r="DB308" s="356">
        <f t="shared" si="1285"/>
        <v>6.3108227969182069</v>
      </c>
      <c r="DC308" s="356">
        <f t="shared" si="1285"/>
        <v>6.8193359884519733</v>
      </c>
      <c r="DD308" s="356">
        <f t="shared" si="1285"/>
        <v>7.6611245412963704</v>
      </c>
      <c r="DE308" s="657">
        <f>DE290/DE36</f>
        <v>12.993923483083094</v>
      </c>
      <c r="DF308" s="356">
        <f t="shared" ref="DF308:DI308" si="1286">DF290/($CF$36)</f>
        <v>7.7833179707473175</v>
      </c>
      <c r="DG308" s="356">
        <f t="shared" si="1286"/>
        <v>7.5927233517104646</v>
      </c>
      <c r="DH308" s="356">
        <f t="shared" si="1286"/>
        <v>7.438964155898363</v>
      </c>
      <c r="DI308" s="356">
        <f t="shared" si="1286"/>
        <v>7.5683924937825005</v>
      </c>
      <c r="DJ308" s="657">
        <f>DJ290/DJ36</f>
        <v>19.035693976641443</v>
      </c>
      <c r="DK308" s="356">
        <f t="shared" ref="DK308:DN308" si="1287">DK290/($CF$36)</f>
        <v>8.007913181098802</v>
      </c>
      <c r="DL308" s="356">
        <f t="shared" si="1287"/>
        <v>9.081844901650463</v>
      </c>
      <c r="DM308" s="356">
        <f t="shared" si="1287"/>
        <v>9.2977790918102929</v>
      </c>
      <c r="DN308" s="356">
        <f t="shared" si="1287"/>
        <v>9.8660846275587399</v>
      </c>
      <c r="DO308" s="657">
        <f>DO290/DO36</f>
        <v>13.671615173278065</v>
      </c>
      <c r="DP308" s="356">
        <f t="shared" ref="DP308" si="1288">DP290/($CF$36)</f>
        <v>10.010313222838658</v>
      </c>
      <c r="DQ308" s="356">
        <f t="shared" ref="DQ308:DS308" si="1289">DQ290/($CF$36)</f>
        <v>10.377989182420563</v>
      </c>
      <c r="DR308" s="356">
        <f t="shared" si="1289"/>
        <v>0</v>
      </c>
      <c r="DS308" s="356">
        <f t="shared" si="1289"/>
        <v>0</v>
      </c>
      <c r="DT308" s="657">
        <f>DT290/DT36</f>
        <v>0</v>
      </c>
      <c r="DU308" s="356">
        <f t="shared" ref="DU308:DX308" si="1290">DU290/($CF$36)</f>
        <v>0</v>
      </c>
      <c r="DV308" s="356">
        <f t="shared" si="1290"/>
        <v>0</v>
      </c>
      <c r="DW308" s="356">
        <f t="shared" si="1290"/>
        <v>0</v>
      </c>
      <c r="DX308" s="356">
        <f t="shared" si="1290"/>
        <v>0</v>
      </c>
      <c r="DY308" s="657">
        <f>DY290/DY36</f>
        <v>0</v>
      </c>
      <c r="DZ308" s="657">
        <f>DZ290/DZ36</f>
        <v>0</v>
      </c>
      <c r="EA308" s="657">
        <f>EA290/EA36</f>
        <v>0</v>
      </c>
      <c r="EB308" s="657">
        <f>EB290/EB36</f>
        <v>0</v>
      </c>
    </row>
    <row r="309" spans="2:132" s="241" customFormat="1" ht="12" hidden="1" customHeight="1" outlineLevel="1">
      <c r="B309" s="547" t="s">
        <v>553</v>
      </c>
      <c r="C309" s="355">
        <f t="shared" ref="C309:I309" si="1291">C300/C69</f>
        <v>1.5366620689655173</v>
      </c>
      <c r="D309" s="355">
        <f t="shared" si="1291"/>
        <v>1.3501182152019719</v>
      </c>
      <c r="E309" s="355">
        <f t="shared" si="1291"/>
        <v>1.3792451839798436</v>
      </c>
      <c r="F309" s="356">
        <f t="shared" si="1291"/>
        <v>1.5230282664558212</v>
      </c>
      <c r="G309" s="355">
        <f t="shared" si="1291"/>
        <v>1.3474030243261013</v>
      </c>
      <c r="H309" s="355">
        <f t="shared" si="1291"/>
        <v>1.4430420322955484</v>
      </c>
      <c r="I309" s="355">
        <f t="shared" si="1291"/>
        <v>1.4942070830744489</v>
      </c>
      <c r="J309" s="356">
        <f>J300/(J69*4)</f>
        <v>1.401476338142106</v>
      </c>
      <c r="K309" s="356">
        <f>K300/(K69*4)</f>
        <v>1.437133482267523</v>
      </c>
      <c r="L309" s="356">
        <f>L300/(L69*4)</f>
        <v>1.1341566775638696</v>
      </c>
      <c r="M309" s="356">
        <f>M300/(M69*4)</f>
        <v>1.2833027402648485</v>
      </c>
      <c r="N309" s="355">
        <f>N300/N69</f>
        <v>1.2851140653208599</v>
      </c>
      <c r="O309" s="356">
        <f>O300/(O69*4)</f>
        <v>1.4530359273498608</v>
      </c>
      <c r="P309" s="356">
        <f>P300/(P69*4)</f>
        <v>1.3221389821751486</v>
      </c>
      <c r="Q309" s="356">
        <f>Q300/(Q69*4)</f>
        <v>1.1978729169489228</v>
      </c>
      <c r="R309" s="356">
        <f>R300/(R69*4)</f>
        <v>1.1181846153846153</v>
      </c>
      <c r="S309" s="355">
        <f>S300/S69</f>
        <v>1.1802474749115002</v>
      </c>
      <c r="T309" s="356">
        <f>T300/(T69*4)</f>
        <v>1.4699067631505705</v>
      </c>
      <c r="U309" s="356">
        <f>U300/(U69*4)</f>
        <v>1.2472022125032158</v>
      </c>
      <c r="V309" s="356">
        <f>V300/(V69*4)</f>
        <v>1.158848819301848</v>
      </c>
      <c r="W309" s="356">
        <f>W300/(W69*4)</f>
        <v>1.0914369773923815</v>
      </c>
      <c r="X309" s="355">
        <f>X300/X69</f>
        <v>1.3037084990289467</v>
      </c>
      <c r="Y309" s="356">
        <f>Y300/(Y69*4)</f>
        <v>1.3525126278979407</v>
      </c>
      <c r="Z309" s="356">
        <f>Z300/(Z69*4)</f>
        <v>1.2681994737501565</v>
      </c>
      <c r="AA309" s="356">
        <f>AA300/(AA69*4)</f>
        <v>1.2028596403596403</v>
      </c>
      <c r="AB309" s="356">
        <f>AB300/(AB69*4)</f>
        <v>1.2481481481481482</v>
      </c>
      <c r="AC309" s="355">
        <f>AC300/AC69</f>
        <v>1.3026184538653367</v>
      </c>
      <c r="AD309" s="356">
        <f>AD300/(AD69*4)</f>
        <v>1.4663696369636963</v>
      </c>
      <c r="AE309" s="356">
        <f>AE300/(AE69*4)</f>
        <v>1.4356566675069322</v>
      </c>
      <c r="AF309" s="356">
        <f>AF300/(AF69*4)</f>
        <v>1.2180769683417676</v>
      </c>
      <c r="AG309" s="356">
        <f>AG300/(AG69*4)</f>
        <v>1.4061917774189541</v>
      </c>
      <c r="AH309" s="355">
        <f>AH300/AH69</f>
        <v>1.4126399850266713</v>
      </c>
      <c r="AI309" s="356">
        <f>AI300/(AI69*4)</f>
        <v>1.576910621761658</v>
      </c>
      <c r="AJ309" s="356">
        <f>AJ300/(AJ69*4)</f>
        <v>1.3823699421965319</v>
      </c>
      <c r="AK309" s="356">
        <f>AK300/(AK69*4)</f>
        <v>1.2871683440073194</v>
      </c>
      <c r="AL309" s="356">
        <f>AL300/(AL69*4)</f>
        <v>1.3462033462033463</v>
      </c>
      <c r="AM309" s="355">
        <f>AM300/AM69</f>
        <v>1.3672796411277146</v>
      </c>
      <c r="AN309" s="356">
        <f>AN300/(AN69*4)</f>
        <v>1.5926704321555234</v>
      </c>
      <c r="AO309" s="356">
        <f>AO300/(AO69*4)</f>
        <v>1.4405611925341351</v>
      </c>
      <c r="AP309" s="356">
        <f>AP300/(AP69*4)</f>
        <v>1.4145380102664384</v>
      </c>
      <c r="AQ309" s="356">
        <f>AQ300/(AQ69*4)</f>
        <v>1.4819350887936313</v>
      </c>
      <c r="AR309" s="355">
        <f>AR300/AR69</f>
        <v>1.5151989481263501</v>
      </c>
      <c r="AS309" s="356">
        <f>AS300/(AS69*4)</f>
        <v>1.6345017723513193</v>
      </c>
      <c r="AT309" s="356">
        <f>AT300/(AT69*4)</f>
        <v>1.5641259105098855</v>
      </c>
      <c r="AU309" s="356">
        <f>AU300/(AU69*4)</f>
        <v>1.4207317073170731</v>
      </c>
      <c r="AV309" s="356">
        <f>AV300/(AV69*4)</f>
        <v>1.36937787746429</v>
      </c>
      <c r="AW309" s="355">
        <f>AW300/AW69</f>
        <v>1.4510883162371779</v>
      </c>
      <c r="AX309" s="356">
        <f>AX300/(AX69*4)</f>
        <v>1.6184865784039839</v>
      </c>
      <c r="AY309" s="356">
        <f>AY300/(AY69*4)</f>
        <v>1.654052734375</v>
      </c>
      <c r="AZ309" s="356">
        <f>AZ300/(AZ69*4)</f>
        <v>1.6679423395841306</v>
      </c>
      <c r="BA309" s="356">
        <f>BA300/(BA69*4)</f>
        <v>1.6510847416996284</v>
      </c>
      <c r="BB309" s="355">
        <f>BB300/BB69</f>
        <v>1.6898212040359433</v>
      </c>
      <c r="BC309" s="356">
        <f>BC300/(BC69*4)</f>
        <v>1.590628853267571</v>
      </c>
      <c r="BD309" s="356">
        <f>BD300/(BD69*4)</f>
        <v>1.5728072318592718</v>
      </c>
      <c r="BE309" s="356">
        <f>BE300/(BE69*4)</f>
        <v>1.5815311956251554</v>
      </c>
      <c r="BF309" s="356">
        <f>BF300/(BF69*4)</f>
        <v>1.4003387916431396</v>
      </c>
      <c r="BG309" s="355">
        <f>BG300/BG69</f>
        <v>1.4941109136367745</v>
      </c>
      <c r="BH309" s="656">
        <f>BH300/(BH69*4)</f>
        <v>1.5950478186820385</v>
      </c>
      <c r="BI309" s="356">
        <f>BI300/(BI69*4)</f>
        <v>1.6038466503162514</v>
      </c>
      <c r="BJ309" s="656">
        <f>BJ300/(BJ69*4)</f>
        <v>1.4375078983950462</v>
      </c>
      <c r="BK309" s="656">
        <f>BK300/(BK69*4)</f>
        <v>1.5452029520295203</v>
      </c>
      <c r="BL309" s="355">
        <f>BL300/BL69</f>
        <v>1.5187332016450243</v>
      </c>
      <c r="BM309" s="656">
        <f>BM300/(BM69*4)</f>
        <v>1.7737367715009689</v>
      </c>
      <c r="BN309" s="656">
        <f>BN300/(BN69*4)</f>
        <v>1.6039236479321315</v>
      </c>
      <c r="BO309" s="656">
        <f>BO300/(BO69*4)</f>
        <v>1.3832335329341316</v>
      </c>
      <c r="BP309" s="656">
        <f>BP300/(BP69*4)</f>
        <v>1.451509312780989</v>
      </c>
      <c r="BQ309" s="657">
        <f>BQ300/BQ69</f>
        <v>1.4874292483875213</v>
      </c>
      <c r="BR309" s="656">
        <f>BR300/(BR69*4)</f>
        <v>1.9230769230769231</v>
      </c>
      <c r="BS309" s="656">
        <f>BS300/(BS69*4)</f>
        <v>2.150537634408602</v>
      </c>
      <c r="BT309" s="656">
        <f>BT300/(BT69*4)</f>
        <v>1.7431750999826117</v>
      </c>
      <c r="BU309" s="656">
        <f>BU300/(BU69*4)</f>
        <v>2.1215921999242711</v>
      </c>
      <c r="BV309" s="657">
        <f>BV300/BV69</f>
        <v>1.9866595754110712</v>
      </c>
      <c r="BW309" s="656">
        <f>BW300/(BW69*4)</f>
        <v>2.2691705790297338</v>
      </c>
      <c r="BX309" s="656">
        <f>BX300/(BX69*4)</f>
        <v>2.1489692726565539</v>
      </c>
      <c r="BY309" s="656">
        <f>BY300/(BY69*4)</f>
        <v>2.2699009900990097</v>
      </c>
      <c r="BZ309" s="656">
        <f>BZ300/(BZ69*4)</f>
        <v>2.0947783907171389</v>
      </c>
      <c r="CA309" s="657">
        <f>CA300/CA69</f>
        <v>2.1423568892563591</v>
      </c>
      <c r="CB309" s="656">
        <f>CB300/(CB69*4)</f>
        <v>1.9442987193334362</v>
      </c>
      <c r="CC309" s="656">
        <f>CC300/(CC69*4)</f>
        <v>2.1280737704918034</v>
      </c>
      <c r="CD309" s="656">
        <f>CD300/(CD69*4)</f>
        <v>2.0857359088943346</v>
      </c>
      <c r="CE309" s="656">
        <f>CE300/(CE69*4)</f>
        <v>2.0790660459703227</v>
      </c>
      <c r="CF309" s="657">
        <f>CF300/CF69</f>
        <v>2.1660351621703549</v>
      </c>
      <c r="CG309" s="656">
        <f>CG300/(CG69*4)</f>
        <v>2.5257147178944184</v>
      </c>
      <c r="CH309" s="656">
        <f>CH300/(CH69*4)</f>
        <v>2.4150030248033878</v>
      </c>
      <c r="CI309" s="656">
        <f>CI300/(CI69*4)</f>
        <v>2.2043701799485862</v>
      </c>
      <c r="CJ309" s="656">
        <f>CJ300/(CJ69*4)</f>
        <v>2.6798054344179807</v>
      </c>
      <c r="CK309" s="657">
        <f>CK300/CK69</f>
        <v>2.4404475503112231</v>
      </c>
      <c r="CL309" s="656">
        <f>CL300/(CL69*4)</f>
        <v>2.6306686527639855</v>
      </c>
      <c r="CM309" s="656">
        <f>CM300/(CM69*4)</f>
        <v>2.4395112325440196</v>
      </c>
      <c r="CN309" s="656">
        <f>CN300/(CN69*4)</f>
        <v>2.2771247079439254</v>
      </c>
      <c r="CO309" s="656">
        <f>CO300/(CO69*4)</f>
        <v>2.2439519103112553</v>
      </c>
      <c r="CP309" s="657">
        <f>CP300/CP69</f>
        <v>2.3173629889172411</v>
      </c>
      <c r="CQ309" s="656">
        <f>CQ300/(CQ69*4)</f>
        <v>2.1318371607515658</v>
      </c>
      <c r="CR309" s="656">
        <f>CR300/(CR69*4)</f>
        <v>2.1344168121000582</v>
      </c>
      <c r="CS309" s="656">
        <f>CS300/(CS69*4)</f>
        <v>2.2077603143418467</v>
      </c>
      <c r="CT309" s="656">
        <f>CT300/(CT69*4)</f>
        <v>2.5515182531559195</v>
      </c>
      <c r="CU309" s="657">
        <f>CU300/CU69</f>
        <v>2.2542577241899022</v>
      </c>
      <c r="CV309" s="656">
        <f>CV300/(CV69*4)</f>
        <v>2.7238281962429327</v>
      </c>
      <c r="CW309" s="656">
        <f>CW300/(CW69*4)</f>
        <v>2.2371587788725571</v>
      </c>
      <c r="CX309" s="656">
        <f>CX300/(CX69*4)</f>
        <v>2.5786696815526664</v>
      </c>
      <c r="CY309" s="656">
        <f>CY300/(CY69*4)</f>
        <v>2.1991991587121826</v>
      </c>
      <c r="CZ309" s="657">
        <f>CZ300/CZ69</f>
        <v>2.3475088507037389</v>
      </c>
      <c r="DA309" s="656">
        <f>DA300/(DA69*4)</f>
        <v>2.2231992659428048</v>
      </c>
      <c r="DB309" s="656">
        <f>DB300/(DB69*4)</f>
        <v>2.3311577752553916</v>
      </c>
      <c r="DC309" s="656">
        <f>DC300/(DC69*4)</f>
        <v>2.6364714468162744</v>
      </c>
      <c r="DD309" s="656">
        <f>DD300/(DD69*4)</f>
        <v>2.1869255855321672</v>
      </c>
      <c r="DE309" s="657">
        <f>DE300/DE69</f>
        <v>2.366823085870132</v>
      </c>
      <c r="DF309" s="656">
        <f>DF300/(DF69*4)</f>
        <v>2.1850359712230216</v>
      </c>
      <c r="DG309" s="656">
        <f>DG300/(DG69*4)</f>
        <v>2.4520428500249127</v>
      </c>
      <c r="DH309" s="656">
        <f>DH300/(DH69*4)</f>
        <v>2.7827402456647401</v>
      </c>
      <c r="DI309" s="656">
        <f>DI300/(DI69*4)</f>
        <v>2.9580022177046756</v>
      </c>
      <c r="DJ309" s="657">
        <f>DJ300/DJ69</f>
        <v>2.6767706329960701</v>
      </c>
      <c r="DK309" s="656">
        <f>DK300/(DK69*4)</f>
        <v>2.4439107653223244</v>
      </c>
      <c r="DL309" s="656">
        <f>DL300/(DL69*4)</f>
        <v>2.7942043222003927</v>
      </c>
      <c r="DM309" s="656">
        <f>DM300/(DM69*4)</f>
        <v>2.7558678643871342</v>
      </c>
      <c r="DN309" s="656">
        <f>DN300/(DN69*4)</f>
        <v>2.8578266145341784</v>
      </c>
      <c r="DO309" s="657">
        <f>DO300/DO69</f>
        <v>3.113240801938753</v>
      </c>
      <c r="DP309" s="656">
        <f>DP300/(DP69*4)</f>
        <v>2.8234307145677064</v>
      </c>
      <c r="DQ309" s="656">
        <f>DQ300/(DQ69*4)</f>
        <v>2.8505278631564881</v>
      </c>
      <c r="DR309" s="656">
        <f>DR300/(DR69*4)</f>
        <v>0</v>
      </c>
      <c r="DS309" s="656">
        <f>DS300/(DS69*4)</f>
        <v>0</v>
      </c>
      <c r="DT309" s="657">
        <f>DT300/DT69</f>
        <v>0</v>
      </c>
      <c r="DU309" s="656">
        <f>DU300/(DU69*4)</f>
        <v>0</v>
      </c>
      <c r="DV309" s="656">
        <f>DV300/(DV69*4)</f>
        <v>0</v>
      </c>
      <c r="DW309" s="656">
        <f>DW300/(DW69*4)</f>
        <v>0</v>
      </c>
      <c r="DX309" s="656">
        <f>DX300/(DX69*4)</f>
        <v>0</v>
      </c>
      <c r="DY309" s="657">
        <f>DY300/DY69</f>
        <v>0</v>
      </c>
      <c r="DZ309" s="657">
        <f>DZ300/DZ69</f>
        <v>0</v>
      </c>
      <c r="EA309" s="657">
        <f>EA300/EA69</f>
        <v>0</v>
      </c>
      <c r="EB309" s="657">
        <f>EB300/EB69</f>
        <v>0</v>
      </c>
    </row>
    <row r="310" spans="2:132" s="241" customFormat="1" ht="12" hidden="1" customHeight="1" outlineLevel="1">
      <c r="B310" s="547" t="s">
        <v>583</v>
      </c>
      <c r="C310" s="355"/>
      <c r="D310" s="355"/>
      <c r="E310" s="355"/>
      <c r="F310" s="356"/>
      <c r="G310" s="355"/>
      <c r="H310" s="355"/>
      <c r="I310" s="355"/>
      <c r="J310" s="356"/>
      <c r="K310" s="356"/>
      <c r="L310" s="356"/>
      <c r="M310" s="356"/>
      <c r="N310" s="355"/>
      <c r="O310" s="356"/>
      <c r="P310" s="356"/>
      <c r="Q310" s="356"/>
      <c r="R310" s="356"/>
      <c r="S310" s="355"/>
      <c r="T310" s="356"/>
      <c r="U310" s="356"/>
      <c r="V310" s="356"/>
      <c r="W310" s="356"/>
      <c r="X310" s="355"/>
      <c r="Y310" s="356"/>
      <c r="Z310" s="356"/>
      <c r="AA310" s="356"/>
      <c r="AB310" s="356"/>
      <c r="AC310" s="355"/>
      <c r="AD310" s="356"/>
      <c r="AE310" s="356"/>
      <c r="AF310" s="356"/>
      <c r="AG310" s="356"/>
      <c r="AH310" s="355"/>
      <c r="AI310" s="356"/>
      <c r="AJ310" s="356"/>
      <c r="AK310" s="356"/>
      <c r="AL310" s="356"/>
      <c r="AM310" s="355"/>
      <c r="AN310" s="356"/>
      <c r="AO310" s="356"/>
      <c r="AP310" s="356"/>
      <c r="AQ310" s="356"/>
      <c r="AR310" s="355"/>
      <c r="AS310" s="356"/>
      <c r="AT310" s="356"/>
      <c r="AU310" s="356"/>
      <c r="AV310" s="356"/>
      <c r="AW310" s="355"/>
      <c r="AX310" s="356"/>
      <c r="AY310" s="356"/>
      <c r="AZ310" s="356"/>
      <c r="BA310" s="356"/>
      <c r="BB310" s="355"/>
      <c r="BC310" s="356"/>
      <c r="BD310" s="356"/>
      <c r="BE310" s="356"/>
      <c r="BF310" s="356"/>
      <c r="BG310" s="355"/>
      <c r="BH310" s="656"/>
      <c r="BI310" s="356"/>
      <c r="BJ310" s="656"/>
      <c r="BK310" s="656"/>
      <c r="BL310" s="355"/>
      <c r="BM310" s="656"/>
      <c r="BN310" s="656"/>
      <c r="BO310" s="656"/>
      <c r="BP310" s="656"/>
      <c r="BQ310" s="657"/>
      <c r="BR310" s="656"/>
      <c r="BS310" s="656"/>
      <c r="BT310" s="656"/>
      <c r="BU310" s="656"/>
      <c r="BV310" s="657"/>
      <c r="BW310" s="656"/>
      <c r="BX310" s="656"/>
      <c r="BY310" s="656">
        <f>BY301/(BY74*4)</f>
        <v>1.1351634534786252</v>
      </c>
      <c r="BZ310" s="656"/>
      <c r="CA310" s="657"/>
      <c r="CB310" s="656"/>
      <c r="CC310" s="656"/>
      <c r="CD310" s="656"/>
      <c r="CE310" s="656"/>
      <c r="CF310" s="657"/>
      <c r="CG310" s="656"/>
      <c r="CH310" s="656"/>
      <c r="CI310" s="656"/>
      <c r="CJ310" s="656"/>
      <c r="CK310" s="657"/>
      <c r="CL310" s="656"/>
      <c r="CM310" s="656"/>
      <c r="CN310" s="656"/>
      <c r="CO310" s="656"/>
      <c r="CP310" s="657"/>
      <c r="CQ310" s="656"/>
      <c r="CR310" s="656"/>
      <c r="CS310" s="656"/>
      <c r="CT310" s="656"/>
      <c r="CU310" s="657"/>
      <c r="CV310" s="656"/>
      <c r="CW310" s="656"/>
      <c r="CX310" s="656"/>
      <c r="CY310" s="656"/>
      <c r="CZ310" s="657"/>
      <c r="DA310" s="656"/>
      <c r="DB310" s="656"/>
      <c r="DC310" s="656"/>
      <c r="DD310" s="656"/>
      <c r="DE310" s="657"/>
      <c r="DF310" s="656"/>
      <c r="DG310" s="656"/>
      <c r="DH310" s="656"/>
      <c r="DI310" s="656"/>
      <c r="DJ310" s="657"/>
      <c r="DK310" s="656"/>
      <c r="DL310" s="656"/>
      <c r="DM310" s="656"/>
      <c r="DN310" s="656"/>
      <c r="DO310" s="657"/>
      <c r="DP310" s="656"/>
      <c r="DQ310" s="656"/>
      <c r="DR310" s="656"/>
      <c r="DS310" s="656"/>
      <c r="DT310" s="657"/>
      <c r="DU310" s="656"/>
      <c r="DV310" s="656"/>
      <c r="DW310" s="656"/>
      <c r="DX310" s="656"/>
      <c r="DY310" s="657"/>
      <c r="DZ310" s="657"/>
      <c r="EA310" s="657"/>
      <c r="EB310" s="657"/>
    </row>
    <row r="311" spans="2:132" s="241" customFormat="1" ht="12" hidden="1" customHeight="1" outlineLevel="1">
      <c r="B311" s="348" t="s">
        <v>120</v>
      </c>
      <c r="C311" s="355">
        <f t="shared" ref="C311:I311" si="1292">C304/C82</f>
        <v>3.2257641921397382</v>
      </c>
      <c r="D311" s="355">
        <f t="shared" si="1292"/>
        <v>2.4289632083199773</v>
      </c>
      <c r="E311" s="355">
        <f t="shared" si="1292"/>
        <v>2.1321193937199316</v>
      </c>
      <c r="F311" s="356">
        <f t="shared" si="1292"/>
        <v>2.9598020303579431</v>
      </c>
      <c r="G311" s="355">
        <f t="shared" si="1292"/>
        <v>2.3040482490807244</v>
      </c>
      <c r="H311" s="355">
        <f t="shared" si="1292"/>
        <v>2.5684403262497919</v>
      </c>
      <c r="I311" s="355">
        <f t="shared" si="1292"/>
        <v>3.0783797167475488</v>
      </c>
      <c r="J311" s="356">
        <f>J304/(J82*4)</f>
        <v>2.8558916583069682</v>
      </c>
      <c r="K311" s="356">
        <f>K304/(K82*4)</f>
        <v>2.8542558068459658</v>
      </c>
      <c r="L311" s="356">
        <f>L304/(L82*4)</f>
        <v>3.0164613746958637</v>
      </c>
      <c r="M311" s="356">
        <f>M304/(M82*4)</f>
        <v>2.9699049630411829</v>
      </c>
      <c r="N311" s="355">
        <f>N304/N82</f>
        <v>3.0024591570238481</v>
      </c>
      <c r="O311" s="356">
        <f>O304/(O82*4)</f>
        <v>2.9847347347347348</v>
      </c>
      <c r="P311" s="356">
        <f>P304/(P82*4)</f>
        <v>2.8172078786265637</v>
      </c>
      <c r="Q311" s="356">
        <f>Q304/(Q82*4)</f>
        <v>3.5041175073244122</v>
      </c>
      <c r="R311" s="356">
        <f>R304/(R82*4)</f>
        <v>3.6101859024012395</v>
      </c>
      <c r="S311" s="355">
        <f>S304/S82</f>
        <v>3.7391375695140852</v>
      </c>
      <c r="T311" s="356">
        <f>T304/(T82*4)</f>
        <v>3.7263215086932138</v>
      </c>
      <c r="U311" s="356">
        <f>U304/(U82*4)</f>
        <v>3.6694414787134657</v>
      </c>
      <c r="V311" s="356">
        <f>V304/(V82*4)</f>
        <v>3.8808772644005698</v>
      </c>
      <c r="W311" s="356">
        <f>W304/(W82*4)</f>
        <v>3.5668861524428483</v>
      </c>
      <c r="X311" s="355">
        <f>X304/X82</f>
        <v>4.0673980172273687</v>
      </c>
      <c r="Y311" s="356">
        <f>Y304/(Y82*4)</f>
        <v>4.2646111291897171</v>
      </c>
      <c r="Z311" s="356">
        <f>Z304/(Z82*4)</f>
        <v>4.1182757810664787</v>
      </c>
      <c r="AA311" s="356">
        <f>AA304/(AA82*4)</f>
        <v>4.4670793727674516</v>
      </c>
      <c r="AB311" s="356">
        <f>AB304/(AB82*4)</f>
        <v>4.6799221834410938</v>
      </c>
      <c r="AC311" s="355">
        <f>AC304/AC82</f>
        <v>4.9281335201168908</v>
      </c>
      <c r="AD311" s="356">
        <f>AD304/(AD82*4)</f>
        <v>5.4133989993746088</v>
      </c>
      <c r="AE311" s="356">
        <f>AE304/(AE82*4)</f>
        <v>5.1019189954014861</v>
      </c>
      <c r="AF311" s="356">
        <f>AF304/(AF82*4)</f>
        <v>5.7112567841496107</v>
      </c>
      <c r="AG311" s="356">
        <f>AG304/(AG82*4)</f>
        <v>6.9445321129872175</v>
      </c>
      <c r="AH311" s="355">
        <f>AH304/AH82</f>
        <v>5.7791493622679297</v>
      </c>
      <c r="AI311" s="356">
        <f>AI304/(AI82*4)</f>
        <v>5.1425887771179255</v>
      </c>
      <c r="AJ311" s="356">
        <f>AJ304/(AJ82*4)</f>
        <v>4.772604057362714</v>
      </c>
      <c r="AK311" s="356">
        <f>AK304/(AK82*4)</f>
        <v>4.7940436241610742</v>
      </c>
      <c r="AL311" s="356">
        <f>AL304/(AL82*4)</f>
        <v>4.398143502257903</v>
      </c>
      <c r="AM311" s="355">
        <f>AM304/AM82</f>
        <v>4.6214613142748346</v>
      </c>
      <c r="AN311" s="356">
        <f>AN304/(AN82*4)</f>
        <v>5.1721871713985275</v>
      </c>
      <c r="AO311" s="356">
        <f>AO304/(AO82*4)</f>
        <v>5.0134848776728953</v>
      </c>
      <c r="AP311" s="356">
        <f>AP304/(AP82*4)</f>
        <v>4.7282371662639244</v>
      </c>
      <c r="AQ311" s="356">
        <f>AQ304/(AQ82*4)</f>
        <v>4.8474320241691844</v>
      </c>
      <c r="AR311" s="355">
        <f>AR304/AR82</f>
        <v>4.9902030914689144</v>
      </c>
      <c r="AS311" s="356">
        <f>AS304/(AS82*4)</f>
        <v>5.516431924882629</v>
      </c>
      <c r="AT311" s="356">
        <f>AT304/(AT82*4)</f>
        <v>4.8902859215378109</v>
      </c>
      <c r="AU311" s="356">
        <f>AU304/(AU82*4)</f>
        <v>4.6764822022902912</v>
      </c>
      <c r="AV311" s="356">
        <f>AV304/(AV82*4)</f>
        <v>4.5448734339043719</v>
      </c>
      <c r="AW311" s="355">
        <f>AW304/AW82</f>
        <v>5.172037535462283</v>
      </c>
      <c r="AX311" s="356">
        <f>AX304/(AX82*4)</f>
        <v>4.8986225042563074</v>
      </c>
      <c r="AY311" s="356">
        <f>AY304/(AY82*4)</f>
        <v>4.6713321669582601</v>
      </c>
      <c r="AZ311" s="356">
        <f>AZ304/(AZ82*4)</f>
        <v>4.7181127548980406</v>
      </c>
      <c r="BA311" s="356">
        <f>BA304/(BA82*4)</f>
        <v>4.3751681463545866</v>
      </c>
      <c r="BB311" s="355">
        <f>BB304/BB82</f>
        <v>4.7773507307400429</v>
      </c>
      <c r="BC311" s="356">
        <f>BC304/(BC82*4)</f>
        <v>5.1831366114433921</v>
      </c>
      <c r="BD311" s="356">
        <f>BD304/(BD82*4)</f>
        <v>4.7020398808159527</v>
      </c>
      <c r="BE311" s="356">
        <f>BE304/(BE82*4)</f>
        <v>4.6893357433348397</v>
      </c>
      <c r="BF311" s="356">
        <f>BF304/(BF82*4)</f>
        <v>4.6341647992667738</v>
      </c>
      <c r="BG311" s="355">
        <f>BG304/BG82</f>
        <v>5.0898545772326846</v>
      </c>
      <c r="BH311" s="656">
        <f>BH304/(BH82*4)</f>
        <v>5.3725873442462744</v>
      </c>
      <c r="BI311" s="356">
        <f>BI304/(BI82*4)</f>
        <v>4.9931957359945569</v>
      </c>
      <c r="BJ311" s="656">
        <f>BJ304/(BJ82*4)</f>
        <v>5.1505213588967376</v>
      </c>
      <c r="BK311" s="656">
        <f>BK304/(BK82*4)</f>
        <v>5.1322135033513163</v>
      </c>
      <c r="BL311" s="355">
        <f>BL304/BL82</f>
        <v>5.5342544236574778</v>
      </c>
      <c r="BM311" s="656">
        <f>BM304/(BM82*4)</f>
        <v>5.5882884103119776</v>
      </c>
      <c r="BN311" s="656">
        <f>BN304/(BN82*4)</f>
        <v>4.9790164201605345</v>
      </c>
      <c r="BO311" s="656">
        <f>BO304/(BO82*4)</f>
        <v>4.6887693914658204</v>
      </c>
      <c r="BP311" s="656">
        <f>BP304/(BP82*4)</f>
        <v>5.189199507911594</v>
      </c>
      <c r="BQ311" s="657">
        <f>BQ304/BQ82</f>
        <v>5.0908296398027346</v>
      </c>
      <c r="BR311" s="656">
        <f>BR304/(BR82*4)</f>
        <v>5.3022269353128317</v>
      </c>
      <c r="BS311" s="656">
        <f t="shared" ref="BS311:BU311" si="1293">BS304/(BS82*4)</f>
        <v>4.7687335891739044</v>
      </c>
      <c r="BT311" s="656">
        <f t="shared" si="1293"/>
        <v>4.8330404217926191</v>
      </c>
      <c r="BU311" s="656">
        <f t="shared" si="1293"/>
        <v>5.0834406939792149</v>
      </c>
      <c r="BV311" s="657">
        <f>BV304/BV82</f>
        <v>5.0067356800710581</v>
      </c>
      <c r="BW311" s="656">
        <f>BW304/(BW82*4)</f>
        <v>5.4585401393379174</v>
      </c>
      <c r="BX311" s="656">
        <f>BX304/(BX82*4)</f>
        <v>5.2297080386968027</v>
      </c>
      <c r="BY311" s="656">
        <f>BY304/(BY82*4)</f>
        <v>4.8950171324773972</v>
      </c>
      <c r="BZ311" s="656">
        <f>BZ304/(BZ82*4)</f>
        <v>4.7925111021396853</v>
      </c>
      <c r="CA311" s="657">
        <f>CA304/CA82</f>
        <v>5.051241955215148</v>
      </c>
      <c r="CB311" s="656">
        <f>CB304/(CB82*4)</f>
        <v>5.1989243862800443</v>
      </c>
      <c r="CC311" s="656">
        <f>CC304/(CC82*4)</f>
        <v>5.0296397064885809</v>
      </c>
      <c r="CD311" s="656">
        <f>CD304/(CD82*4)</f>
        <v>4.8832716933110634</v>
      </c>
      <c r="CE311" s="656">
        <f>CE304/(CE82*4)</f>
        <v>4.3919057196288067</v>
      </c>
      <c r="CF311" s="657">
        <f>CF304/CF82</f>
        <v>4.9233538026441996</v>
      </c>
      <c r="CG311" s="656">
        <f t="shared" ref="CG311:CJ311" si="1294">CG304/(CG82*4)</f>
        <v>5.3891434306410089</v>
      </c>
      <c r="CH311" s="656">
        <f t="shared" si="1294"/>
        <v>7.613992762364294</v>
      </c>
      <c r="CI311" s="656">
        <f t="shared" si="1294"/>
        <v>5.9390765765765767</v>
      </c>
      <c r="CJ311" s="656">
        <f t="shared" si="1294"/>
        <v>6.5243565406733293</v>
      </c>
      <c r="CK311" s="657">
        <f>CK304/CK82</f>
        <v>6.105500333076451</v>
      </c>
      <c r="CL311" s="656">
        <f t="shared" ref="CL311:CO311" si="1295">CL304/(CL82*4)</f>
        <v>6.5026171043293113</v>
      </c>
      <c r="CM311" s="656">
        <f t="shared" si="1295"/>
        <v>8.7494918268823572</v>
      </c>
      <c r="CN311" s="656">
        <f t="shared" si="1295"/>
        <v>7.0586675153829832</v>
      </c>
      <c r="CO311" s="656">
        <f t="shared" si="1295"/>
        <v>5.987486931521171</v>
      </c>
      <c r="CP311" s="657">
        <f>CP304/CP82</f>
        <v>6.3023143849513392</v>
      </c>
      <c r="CQ311" s="656">
        <f t="shared" ref="CQ311:CT311" si="1296">CQ304/(CQ82*4)</f>
        <v>6.0138496418479335</v>
      </c>
      <c r="CR311" s="656">
        <f t="shared" si="1296"/>
        <v>5.3718378632780324</v>
      </c>
      <c r="CS311" s="656">
        <f t="shared" si="1296"/>
        <v>6.0052690142688832</v>
      </c>
      <c r="CT311" s="656">
        <f t="shared" si="1296"/>
        <v>6.3855708781180285</v>
      </c>
      <c r="CU311" s="657">
        <f>CU304/CU82</f>
        <v>6.0663230902610534</v>
      </c>
      <c r="CV311" s="656">
        <f t="shared" ref="CV311:CY311" si="1297">CV304/(CV82*4)</f>
        <v>6.6666071045672215</v>
      </c>
      <c r="CW311" s="656">
        <f t="shared" si="1297"/>
        <v>5.5891882980636653</v>
      </c>
      <c r="CX311" s="656">
        <f t="shared" si="1297"/>
        <v>5.9585265730759591</v>
      </c>
      <c r="CY311" s="656">
        <f t="shared" si="1297"/>
        <v>5.0876001001000999</v>
      </c>
      <c r="CZ311" s="657">
        <f>CZ304/CZ82</f>
        <v>6.1043868604371845</v>
      </c>
      <c r="DA311" s="656">
        <f t="shared" ref="DA311:DD311" si="1298">DA304/(DA82*4)</f>
        <v>5.7823084649294128</v>
      </c>
      <c r="DB311" s="656">
        <f t="shared" si="1298"/>
        <v>5.6060199483570452</v>
      </c>
      <c r="DC311" s="656">
        <f t="shared" si="1298"/>
        <v>6.5301314626601856</v>
      </c>
      <c r="DD311" s="656">
        <f t="shared" si="1298"/>
        <v>5.9340085384685262</v>
      </c>
      <c r="DE311" s="657">
        <f>DE304/DE82</f>
        <v>6.7179988173895158</v>
      </c>
      <c r="DF311" s="656">
        <f t="shared" ref="DF311:DI311" si="1299">DF304/(DF82*4)</f>
        <v>8.0135795763172197</v>
      </c>
      <c r="DG311" s="656">
        <f t="shared" si="1299"/>
        <v>7.6506729515000593</v>
      </c>
      <c r="DH311" s="656">
        <f t="shared" si="1299"/>
        <v>7.1544002242152462</v>
      </c>
      <c r="DI311" s="656">
        <f t="shared" si="1299"/>
        <v>8.5574727726020203</v>
      </c>
      <c r="DJ311" s="657">
        <f>DJ304/DJ82</f>
        <v>7.8435888569839287</v>
      </c>
      <c r="DK311" s="656">
        <f t="shared" ref="DK311:DN311" si="1300">DK304/(DK82*4)</f>
        <v>6.960222609766106</v>
      </c>
      <c r="DL311" s="656">
        <f t="shared" si="1300"/>
        <v>6.9337663193986545</v>
      </c>
      <c r="DM311" s="656">
        <f t="shared" si="1300"/>
        <v>6.9599699183498069</v>
      </c>
      <c r="DN311" s="656">
        <f t="shared" si="1300"/>
        <v>7.250730749958243</v>
      </c>
      <c r="DO311" s="657">
        <f>DO304/DO82</f>
        <v>7.7636788392966922</v>
      </c>
      <c r="DP311" s="656">
        <f t="shared" ref="DP311" si="1301">DP304/(DP82*4)</f>
        <v>7.9155826619255523</v>
      </c>
      <c r="DQ311" s="656">
        <f t="shared" ref="DQ311:DS311" si="1302">DQ304/(DQ82*4)</f>
        <v>7.3575020358306187</v>
      </c>
      <c r="DR311" s="656">
        <f t="shared" si="1302"/>
        <v>0</v>
      </c>
      <c r="DS311" s="656">
        <f t="shared" si="1302"/>
        <v>0</v>
      </c>
      <c r="DT311" s="657">
        <f>DT304/DT82</f>
        <v>0</v>
      </c>
      <c r="DU311" s="656">
        <f t="shared" ref="DU311:DX311" si="1303">DU304/(DU82*4)</f>
        <v>0</v>
      </c>
      <c r="DV311" s="656">
        <f t="shared" si="1303"/>
        <v>0</v>
      </c>
      <c r="DW311" s="656">
        <f t="shared" si="1303"/>
        <v>0</v>
      </c>
      <c r="DX311" s="656">
        <f t="shared" si="1303"/>
        <v>0</v>
      </c>
      <c r="DY311" s="657">
        <f>DY304/DY82</f>
        <v>0</v>
      </c>
      <c r="DZ311" s="657">
        <f t="shared" ref="DZ311:EB311" si="1304">DZ304/DZ82</f>
        <v>0</v>
      </c>
      <c r="EA311" s="657">
        <f t="shared" si="1304"/>
        <v>0</v>
      </c>
      <c r="EB311" s="657">
        <f t="shared" si="1304"/>
        <v>0</v>
      </c>
    </row>
    <row r="312" spans="2:132" s="241" customFormat="1" ht="12" hidden="1" customHeight="1" outlineLevel="1">
      <c r="B312" s="348"/>
      <c r="C312" s="355"/>
      <c r="D312" s="355"/>
      <c r="E312" s="355"/>
      <c r="F312" s="356"/>
      <c r="G312" s="355"/>
      <c r="H312" s="355"/>
      <c r="I312" s="355"/>
      <c r="J312" s="356"/>
      <c r="K312" s="356"/>
      <c r="L312" s="356"/>
      <c r="M312" s="356"/>
      <c r="N312" s="355"/>
      <c r="O312" s="356"/>
      <c r="P312" s="356"/>
      <c r="Q312" s="356"/>
      <c r="R312" s="356"/>
      <c r="S312" s="355"/>
      <c r="T312" s="356"/>
      <c r="U312" s="356"/>
      <c r="V312" s="356"/>
      <c r="W312" s="356"/>
      <c r="X312" s="355"/>
      <c r="Y312" s="356"/>
      <c r="Z312" s="356"/>
      <c r="AA312" s="356"/>
      <c r="AB312" s="356"/>
      <c r="AC312" s="355"/>
      <c r="AD312" s="356"/>
      <c r="AE312" s="356"/>
      <c r="AF312" s="356"/>
      <c r="AG312" s="356"/>
      <c r="AH312" s="355"/>
      <c r="AI312" s="356"/>
      <c r="AJ312" s="356"/>
      <c r="AK312" s="356"/>
      <c r="AL312" s="356"/>
      <c r="AM312" s="355"/>
      <c r="AN312" s="356"/>
      <c r="AO312" s="356"/>
      <c r="AP312" s="356"/>
      <c r="AQ312" s="356"/>
      <c r="AR312" s="355"/>
      <c r="AS312" s="356"/>
      <c r="AT312" s="356"/>
      <c r="AU312" s="356"/>
      <c r="AV312" s="356"/>
      <c r="AW312" s="355"/>
      <c r="AX312" s="356"/>
      <c r="AY312" s="356"/>
      <c r="AZ312" s="356"/>
      <c r="BA312" s="356"/>
      <c r="BB312" s="355"/>
      <c r="BC312" s="356"/>
      <c r="BD312" s="356"/>
      <c r="BE312" s="356"/>
      <c r="BF312" s="356"/>
      <c r="BG312" s="355"/>
      <c r="BH312" s="656"/>
      <c r="BI312" s="356"/>
      <c r="BJ312" s="656"/>
      <c r="BK312" s="656"/>
      <c r="BL312" s="355"/>
      <c r="BM312" s="656"/>
      <c r="BN312" s="656"/>
      <c r="BO312" s="656"/>
      <c r="BP312" s="656"/>
      <c r="BQ312" s="657"/>
      <c r="BR312" s="656"/>
      <c r="BS312" s="656"/>
      <c r="BT312" s="656"/>
      <c r="BU312" s="656"/>
      <c r="BV312" s="657"/>
      <c r="BW312" s="656"/>
      <c r="BX312" s="656"/>
      <c r="BY312" s="656"/>
      <c r="BZ312" s="656"/>
      <c r="CA312" s="657"/>
      <c r="CB312" s="656"/>
      <c r="CC312" s="656"/>
      <c r="CD312" s="656"/>
      <c r="CE312" s="656"/>
      <c r="CF312" s="657"/>
      <c r="CG312" s="656"/>
      <c r="CH312" s="656"/>
      <c r="CI312" s="656"/>
      <c r="CJ312" s="656"/>
      <c r="CK312" s="657"/>
      <c r="CL312" s="656"/>
      <c r="CM312" s="656"/>
      <c r="CN312" s="656"/>
      <c r="CO312" s="656"/>
      <c r="CP312" s="657"/>
      <c r="CQ312" s="656"/>
      <c r="CR312" s="656"/>
      <c r="CS312" s="656"/>
      <c r="CT312" s="656"/>
      <c r="CU312" s="657"/>
      <c r="CV312" s="656"/>
      <c r="CW312" s="656"/>
      <c r="CX312" s="656"/>
      <c r="CY312" s="656"/>
      <c r="CZ312" s="657"/>
      <c r="DA312" s="656"/>
      <c r="DB312" s="656"/>
      <c r="DC312" s="656"/>
      <c r="DD312" s="656"/>
      <c r="DE312" s="657"/>
      <c r="DF312" s="656"/>
      <c r="DG312" s="656"/>
      <c r="DH312" s="656"/>
      <c r="DI312" s="656"/>
      <c r="DJ312" s="657"/>
      <c r="DK312" s="656"/>
      <c r="DL312" s="656"/>
      <c r="DM312" s="656"/>
      <c r="DN312" s="656"/>
      <c r="DO312" s="657"/>
      <c r="DP312" s="656"/>
      <c r="DQ312" s="656"/>
      <c r="DR312" s="656"/>
      <c r="DS312" s="656"/>
      <c r="DT312" s="657"/>
      <c r="DU312" s="656"/>
      <c r="DV312" s="656"/>
      <c r="DW312" s="656"/>
      <c r="DX312" s="656"/>
      <c r="DY312" s="657"/>
      <c r="DZ312" s="657"/>
      <c r="EA312" s="657"/>
      <c r="EB312" s="657"/>
    </row>
    <row r="313" spans="2:132" s="241" customFormat="1" ht="12" hidden="1" customHeight="1" outlineLevel="1">
      <c r="B313" s="48" t="s">
        <v>387</v>
      </c>
      <c r="C313" s="355"/>
      <c r="D313" s="355"/>
      <c r="E313" s="355"/>
      <c r="F313" s="356"/>
      <c r="G313" s="355"/>
      <c r="H313" s="355"/>
      <c r="I313" s="355"/>
      <c r="J313" s="356"/>
      <c r="K313" s="356"/>
      <c r="L313" s="356"/>
      <c r="M313" s="356"/>
      <c r="N313" s="355"/>
      <c r="O313" s="356"/>
      <c r="P313" s="356"/>
      <c r="Q313" s="356"/>
      <c r="R313" s="356"/>
      <c r="S313" s="355"/>
      <c r="T313" s="356"/>
      <c r="U313" s="356"/>
      <c r="V313" s="356"/>
      <c r="W313" s="356"/>
      <c r="X313" s="355"/>
      <c r="Y313" s="356"/>
      <c r="Z313" s="356"/>
      <c r="AA313" s="356"/>
      <c r="AB313" s="356"/>
      <c r="AC313" s="355"/>
      <c r="AD313" s="356"/>
      <c r="AE313" s="356"/>
      <c r="AF313" s="356"/>
      <c r="AG313" s="356"/>
      <c r="AH313" s="355"/>
      <c r="AI313" s="356"/>
      <c r="AJ313" s="356"/>
      <c r="AK313" s="356"/>
      <c r="AL313" s="356"/>
      <c r="AM313" s="355"/>
      <c r="AN313" s="356"/>
      <c r="AO313" s="356"/>
      <c r="AP313" s="356"/>
      <c r="AQ313" s="356"/>
      <c r="AR313" s="355"/>
      <c r="AS313" s="356"/>
      <c r="AT313" s="356"/>
      <c r="AU313" s="356"/>
      <c r="AV313" s="356"/>
      <c r="AW313" s="355"/>
      <c r="AX313" s="356"/>
      <c r="AY313" s="356"/>
      <c r="AZ313" s="356"/>
      <c r="BA313" s="356"/>
      <c r="BB313" s="355"/>
      <c r="BC313" s="356"/>
      <c r="BD313" s="356"/>
      <c r="BE313" s="356"/>
      <c r="BF313" s="356"/>
      <c r="BG313" s="355"/>
      <c r="BH313" s="656"/>
      <c r="BI313" s="356"/>
      <c r="BJ313" s="656"/>
      <c r="BK313" s="656"/>
      <c r="BL313" s="355"/>
      <c r="BM313" s="656"/>
      <c r="BN313" s="656"/>
      <c r="BO313" s="656"/>
      <c r="BP313" s="656"/>
      <c r="BQ313" s="657"/>
      <c r="BR313" s="656"/>
      <c r="BS313" s="656"/>
      <c r="BT313" s="656"/>
      <c r="BU313" s="656"/>
      <c r="BV313" s="657"/>
      <c r="BW313" s="656"/>
      <c r="BX313" s="656"/>
      <c r="BY313" s="656"/>
      <c r="BZ313" s="656"/>
      <c r="CA313" s="657"/>
      <c r="CB313" s="656"/>
      <c r="CC313" s="656"/>
      <c r="CD313" s="656"/>
      <c r="CE313" s="656"/>
      <c r="CF313" s="657"/>
      <c r="CG313" s="656"/>
      <c r="CH313" s="656"/>
      <c r="CI313" s="656"/>
      <c r="CJ313" s="656"/>
      <c r="CK313" s="657"/>
      <c r="CL313" s="656"/>
      <c r="CM313" s="656"/>
      <c r="CN313" s="656"/>
      <c r="CO313" s="656"/>
      <c r="CP313" s="630"/>
      <c r="CQ313" s="656"/>
      <c r="CR313" s="656"/>
      <c r="CS313" s="656"/>
      <c r="CT313" s="656"/>
      <c r="CU313" s="630"/>
      <c r="CV313" s="656"/>
      <c r="CW313" s="656"/>
      <c r="CX313" s="656"/>
      <c r="CY313" s="656"/>
      <c r="CZ313" s="630"/>
      <c r="DA313" s="656"/>
      <c r="DB313" s="656"/>
      <c r="DC313" s="656"/>
      <c r="DD313" s="656"/>
      <c r="DE313" s="630"/>
      <c r="DF313" s="656"/>
      <c r="DG313" s="656"/>
      <c r="DH313" s="656"/>
      <c r="DI313" s="656"/>
      <c r="DJ313" s="630"/>
      <c r="DK313" s="656"/>
      <c r="DL313" s="656"/>
      <c r="DM313" s="656"/>
      <c r="DN313" s="656"/>
      <c r="DO313" s="630"/>
      <c r="DP313" s="656"/>
      <c r="DQ313" s="656"/>
      <c r="DR313" s="656"/>
      <c r="DS313" s="656"/>
      <c r="DT313" s="630"/>
      <c r="DU313" s="656"/>
      <c r="DV313" s="656"/>
      <c r="DW313" s="656"/>
      <c r="DX313" s="656"/>
      <c r="DY313" s="630"/>
      <c r="DZ313" s="658"/>
      <c r="EA313" s="658"/>
      <c r="EB313" s="658"/>
    </row>
    <row r="314" spans="2:132" s="241" customFormat="1" ht="12" hidden="1" customHeight="1" outlineLevel="1">
      <c r="B314" s="514">
        <v>717</v>
      </c>
      <c r="C314" s="518">
        <f>Data!C218</f>
        <v>0</v>
      </c>
      <c r="D314" s="518">
        <f>Data!D218</f>
        <v>0</v>
      </c>
      <c r="E314" s="518">
        <f>Data!E218</f>
        <v>0</v>
      </c>
      <c r="F314" s="519">
        <f>Data!F218</f>
        <v>107</v>
      </c>
      <c r="G314" s="518">
        <f>Data!G218</f>
        <v>30</v>
      </c>
      <c r="H314" s="518">
        <f>Data!H218</f>
        <v>26</v>
      </c>
      <c r="I314" s="518">
        <f>Data!I218</f>
        <v>22</v>
      </c>
      <c r="J314" s="519">
        <f>Data!J218</f>
        <v>19</v>
      </c>
      <c r="K314" s="519">
        <f>Data!K218</f>
        <v>22</v>
      </c>
      <c r="L314" s="519">
        <f>Data!L218</f>
        <v>19</v>
      </c>
      <c r="M314" s="519">
        <f>Data!M218</f>
        <v>18</v>
      </c>
      <c r="N314" s="518">
        <f>Data!N218</f>
        <v>18</v>
      </c>
      <c r="O314" s="519">
        <f>Data!O218</f>
        <v>15</v>
      </c>
      <c r="P314" s="519">
        <f>Data!P218</f>
        <v>12</v>
      </c>
      <c r="Q314" s="519">
        <f>Data!Q218</f>
        <v>9</v>
      </c>
      <c r="R314" s="519">
        <f>Data!R218</f>
        <v>5</v>
      </c>
      <c r="S314" s="518">
        <f>Data!S218</f>
        <v>5</v>
      </c>
      <c r="T314" s="519">
        <f>Data!T218</f>
        <v>3</v>
      </c>
      <c r="U314" s="519">
        <f>Data!U218</f>
        <v>0</v>
      </c>
      <c r="V314" s="519">
        <f>Data!V218</f>
        <v>0</v>
      </c>
      <c r="W314" s="519">
        <f>Data!W218</f>
        <v>0</v>
      </c>
      <c r="X314" s="518">
        <f>Data!X218</f>
        <v>0</v>
      </c>
      <c r="Y314" s="519">
        <f>Data!Y218</f>
        <v>0</v>
      </c>
      <c r="Z314" s="519">
        <f>Data!Z218</f>
        <v>0</v>
      </c>
      <c r="AA314" s="519">
        <f>Data!AA218</f>
        <v>0</v>
      </c>
      <c r="AB314" s="519">
        <f>Data!AB218</f>
        <v>0</v>
      </c>
      <c r="AC314" s="518">
        <f>Data!AC218</f>
        <v>0</v>
      </c>
      <c r="AD314" s="519">
        <f>Data!AD218</f>
        <v>0</v>
      </c>
      <c r="AE314" s="519">
        <f>Data!AE218</f>
        <v>0</v>
      </c>
      <c r="AF314" s="519">
        <f>Data!AF218</f>
        <v>0</v>
      </c>
      <c r="AG314" s="519">
        <f>Data!AG218</f>
        <v>0</v>
      </c>
      <c r="AH314" s="518">
        <f>Data!AH218</f>
        <v>0</v>
      </c>
      <c r="AI314" s="519">
        <f>Data!AI218</f>
        <v>0</v>
      </c>
      <c r="AJ314" s="519">
        <f>Data!AJ218</f>
        <v>0</v>
      </c>
      <c r="AK314" s="519">
        <f>Data!AK218</f>
        <v>0</v>
      </c>
      <c r="AL314" s="519">
        <f>Data!AL218</f>
        <v>0</v>
      </c>
      <c r="AM314" s="518">
        <f>Data!AM218</f>
        <v>0</v>
      </c>
      <c r="AN314" s="519">
        <f>Data!AN218</f>
        <v>0</v>
      </c>
      <c r="AO314" s="519">
        <f>Data!AO218</f>
        <v>0</v>
      </c>
      <c r="AP314" s="315">
        <f>Data!AP218</f>
        <v>0</v>
      </c>
      <c r="AQ314" s="315">
        <f>Data!AQ218</f>
        <v>0</v>
      </c>
      <c r="AR314" s="314">
        <f>Data!AR218</f>
        <v>0</v>
      </c>
      <c r="AS314" s="315">
        <f>Data!AS218</f>
        <v>0</v>
      </c>
      <c r="AT314" s="315">
        <f>Data!AT218</f>
        <v>0</v>
      </c>
      <c r="AU314" s="315">
        <f>Data!AU218</f>
        <v>0</v>
      </c>
      <c r="AV314" s="315">
        <f>Data!AV218</f>
        <v>0</v>
      </c>
      <c r="AW314" s="314">
        <f>Data!AW218</f>
        <v>0</v>
      </c>
      <c r="AX314" s="315">
        <f>Data!AX218</f>
        <v>0</v>
      </c>
      <c r="AY314" s="315">
        <f>Data!AY218</f>
        <v>0</v>
      </c>
      <c r="AZ314" s="315">
        <f>Data!AZ218</f>
        <v>0</v>
      </c>
      <c r="BA314" s="315">
        <f>Data!BA218</f>
        <v>0</v>
      </c>
      <c r="BB314" s="314">
        <f>Data!BB218</f>
        <v>0</v>
      </c>
      <c r="BC314" s="315">
        <f>Data!BC218</f>
        <v>0</v>
      </c>
      <c r="BD314" s="315">
        <f>Data!BD218</f>
        <v>0</v>
      </c>
      <c r="BE314" s="315">
        <f>Data!BE218</f>
        <v>0</v>
      </c>
      <c r="BF314" s="315">
        <f>Data!BF218</f>
        <v>0</v>
      </c>
      <c r="BG314" s="314">
        <f>Data!BG218</f>
        <v>0</v>
      </c>
      <c r="BH314" s="315">
        <f>Data!BH218</f>
        <v>0</v>
      </c>
      <c r="BI314" s="315">
        <f>Data!BI218</f>
        <v>0</v>
      </c>
      <c r="BJ314" s="315">
        <f>Data!BJ218</f>
        <v>0</v>
      </c>
      <c r="BK314" s="315">
        <f>Data!BK218</f>
        <v>0</v>
      </c>
      <c r="BL314" s="314">
        <f>Data!BL218</f>
        <v>0</v>
      </c>
      <c r="BM314" s="315">
        <f>Data!BM218</f>
        <v>0</v>
      </c>
      <c r="BN314" s="315">
        <f>Data!BN218</f>
        <v>0</v>
      </c>
      <c r="BO314" s="315">
        <f>Data!BO218</f>
        <v>0</v>
      </c>
      <c r="BP314" s="315">
        <f>Data!BP218</f>
        <v>0</v>
      </c>
      <c r="BQ314" s="630">
        <f>Data!BQ218</f>
        <v>0</v>
      </c>
      <c r="BR314" s="315">
        <f>Data!BR218</f>
        <v>0</v>
      </c>
      <c r="BS314" s="315">
        <f>Data!BS218</f>
        <v>0</v>
      </c>
      <c r="BT314" s="315">
        <f>Data!BT218</f>
        <v>0</v>
      </c>
      <c r="BU314" s="315">
        <f>Data!BU218</f>
        <v>0</v>
      </c>
      <c r="BV314" s="630">
        <f>Data!BV218</f>
        <v>0</v>
      </c>
      <c r="BW314" s="315">
        <f>Data!BW218</f>
        <v>0</v>
      </c>
      <c r="BX314" s="315">
        <f>Data!BX218</f>
        <v>0</v>
      </c>
      <c r="BY314" s="315">
        <f>Data!BY218</f>
        <v>0</v>
      </c>
      <c r="BZ314" s="315">
        <f>Data!BZ218</f>
        <v>0</v>
      </c>
      <c r="CA314" s="630">
        <f>Data!CA218</f>
        <v>0</v>
      </c>
      <c r="CB314" s="315">
        <f>Data!CB218</f>
        <v>0</v>
      </c>
      <c r="CC314" s="315">
        <f>Data!CC218</f>
        <v>0</v>
      </c>
      <c r="CD314" s="315">
        <f>Data!CD218</f>
        <v>0</v>
      </c>
      <c r="CE314" s="315">
        <f>Data!CE218</f>
        <v>0</v>
      </c>
      <c r="CF314" s="630">
        <f>Data!CF218</f>
        <v>0</v>
      </c>
      <c r="CG314" s="315">
        <f>Data!CG218</f>
        <v>0</v>
      </c>
      <c r="CH314" s="315">
        <f>Data!CH218</f>
        <v>0</v>
      </c>
      <c r="CI314" s="315">
        <f>Data!CI218</f>
        <v>0</v>
      </c>
      <c r="CJ314" s="315">
        <f>Data!CJ218</f>
        <v>0</v>
      </c>
      <c r="CK314" s="630">
        <f>Data!CK218</f>
        <v>0</v>
      </c>
      <c r="CL314" s="315">
        <f>Data!CL218</f>
        <v>0</v>
      </c>
      <c r="CM314" s="315">
        <f>Data!CM218</f>
        <v>0</v>
      </c>
      <c r="CN314" s="315">
        <f>Data!CN218</f>
        <v>0</v>
      </c>
      <c r="CO314" s="315">
        <f>Data!CO218</f>
        <v>0</v>
      </c>
      <c r="CP314" s="630">
        <f>Data!CP218</f>
        <v>0</v>
      </c>
      <c r="CQ314" s="315">
        <f>Data!CQ218</f>
        <v>0</v>
      </c>
      <c r="CR314" s="315">
        <f>Data!CR218</f>
        <v>0</v>
      </c>
      <c r="CS314" s="315">
        <f>Data!CS218</f>
        <v>0</v>
      </c>
      <c r="CT314" s="315">
        <f>Data!CT218</f>
        <v>0</v>
      </c>
      <c r="CU314" s="630">
        <f>Data!CU218</f>
        <v>0</v>
      </c>
      <c r="CV314" s="315">
        <f>Data!CV218</f>
        <v>0</v>
      </c>
      <c r="CW314" s="315">
        <f>Data!CW218</f>
        <v>0</v>
      </c>
      <c r="CX314" s="315">
        <f>Data!CX218</f>
        <v>0</v>
      </c>
      <c r="CY314" s="315">
        <f>Data!CY218</f>
        <v>0</v>
      </c>
      <c r="CZ314" s="630">
        <f>Data!CZ218</f>
        <v>0</v>
      </c>
      <c r="DA314" s="315">
        <f>Data!DA218</f>
        <v>0</v>
      </c>
      <c r="DB314" s="315">
        <f>Data!DB218</f>
        <v>0</v>
      </c>
      <c r="DC314" s="315">
        <f>Data!DC218</f>
        <v>0</v>
      </c>
      <c r="DD314" s="315">
        <f>Data!DD218</f>
        <v>0</v>
      </c>
      <c r="DE314" s="630">
        <f>Data!DE218</f>
        <v>0</v>
      </c>
      <c r="DF314" s="315">
        <f>Data!DF218</f>
        <v>0</v>
      </c>
      <c r="DG314" s="315">
        <f>Data!DG218</f>
        <v>0</v>
      </c>
      <c r="DH314" s="315">
        <f>Data!DH218</f>
        <v>0</v>
      </c>
      <c r="DI314" s="315">
        <f>Data!DI218</f>
        <v>0</v>
      </c>
      <c r="DJ314" s="630">
        <f>Data!DJ218</f>
        <v>0</v>
      </c>
      <c r="DK314" s="315">
        <f>Data!DK218</f>
        <v>0</v>
      </c>
      <c r="DL314" s="315">
        <f>Data!DL218</f>
        <v>0</v>
      </c>
      <c r="DM314" s="315">
        <f>Data!DM218</f>
        <v>0</v>
      </c>
      <c r="DN314" s="315">
        <f>Data!DN218</f>
        <v>0</v>
      </c>
      <c r="DO314" s="630">
        <f>Data!DO218</f>
        <v>0</v>
      </c>
      <c r="DP314" s="315">
        <f>Data!DP218</f>
        <v>0</v>
      </c>
      <c r="DQ314" s="315">
        <f>Data!DQ218</f>
        <v>0</v>
      </c>
      <c r="DR314" s="315">
        <f>Data!DR218</f>
        <v>0</v>
      </c>
      <c r="DS314" s="315">
        <f>Data!DS218</f>
        <v>0</v>
      </c>
      <c r="DT314" s="630">
        <f>Data!DT218</f>
        <v>0</v>
      </c>
      <c r="DU314" s="315">
        <f>Data!DU218</f>
        <v>0</v>
      </c>
      <c r="DV314" s="315">
        <f>Data!DV218</f>
        <v>0</v>
      </c>
      <c r="DW314" s="315">
        <f>Data!DW218</f>
        <v>0</v>
      </c>
      <c r="DX314" s="315">
        <f>Data!DX218</f>
        <v>0</v>
      </c>
      <c r="DY314" s="630">
        <f>Data!DY218</f>
        <v>0</v>
      </c>
      <c r="DZ314" s="630">
        <f>Data!DZ218</f>
        <v>0</v>
      </c>
      <c r="EA314" s="630">
        <f>Data!EA218</f>
        <v>0</v>
      </c>
      <c r="EB314" s="630">
        <f>Data!EB218</f>
        <v>0</v>
      </c>
    </row>
    <row r="315" spans="2:132" s="241" customFormat="1" ht="12" hidden="1" customHeight="1" outlineLevel="1">
      <c r="B315" s="512">
        <v>737</v>
      </c>
      <c r="C315" s="518">
        <f>Data!C219</f>
        <v>0</v>
      </c>
      <c r="D315" s="518">
        <f>Data!D219</f>
        <v>0</v>
      </c>
      <c r="E315" s="518">
        <f>Data!E219</f>
        <v>0</v>
      </c>
      <c r="F315" s="519">
        <f>Data!F219</f>
        <v>997</v>
      </c>
      <c r="G315" s="518">
        <f>Data!G219</f>
        <v>857</v>
      </c>
      <c r="H315" s="518">
        <f>Data!H219</f>
        <v>765</v>
      </c>
      <c r="I315" s="518">
        <f>Data!I219</f>
        <v>800</v>
      </c>
      <c r="J315" s="519">
        <f>Data!J219</f>
        <v>785</v>
      </c>
      <c r="K315" s="519">
        <f>Data!K219</f>
        <v>773</v>
      </c>
      <c r="L315" s="519">
        <f>Data!L219</f>
        <v>774</v>
      </c>
      <c r="M315" s="519">
        <f>Data!M219</f>
        <v>771</v>
      </c>
      <c r="N315" s="518">
        <f>Data!N219</f>
        <v>771</v>
      </c>
      <c r="O315" s="519">
        <f>Data!O219</f>
        <v>766</v>
      </c>
      <c r="P315" s="519">
        <f>Data!P219</f>
        <v>970</v>
      </c>
      <c r="Q315" s="519">
        <f>Data!Q219</f>
        <v>1038</v>
      </c>
      <c r="R315" s="519">
        <f>Data!R219</f>
        <v>1123</v>
      </c>
      <c r="S315" s="518">
        <f>Data!S219</f>
        <v>1123</v>
      </c>
      <c r="T315" s="519">
        <f>Data!T219</f>
        <v>1167</v>
      </c>
      <c r="U315" s="519">
        <f>Data!U219</f>
        <v>1365</v>
      </c>
      <c r="V315" s="519">
        <f>Data!V219</f>
        <v>1449</v>
      </c>
      <c r="W315" s="519">
        <f>Data!W219</f>
        <v>1560</v>
      </c>
      <c r="X315" s="518">
        <f>Data!X219</f>
        <v>1560</v>
      </c>
      <c r="Y315" s="519">
        <f>Data!Y219</f>
        <v>1515</v>
      </c>
      <c r="Z315" s="519">
        <f>Data!Z219</f>
        <v>1630</v>
      </c>
      <c r="AA315" s="519">
        <f>Data!AA219</f>
        <v>1796</v>
      </c>
      <c r="AB315" s="519">
        <f>Data!AB219</f>
        <v>2076</v>
      </c>
      <c r="AC315" s="518">
        <f>Data!AC219</f>
        <v>2076</v>
      </c>
      <c r="AD315" s="519">
        <f>Data!AD219</f>
        <v>2175</v>
      </c>
      <c r="AE315" s="519">
        <f>Data!AE219</f>
        <v>2243</v>
      </c>
      <c r="AF315" s="519">
        <f>Data!AF219</f>
        <v>2292</v>
      </c>
      <c r="AG315" s="519">
        <f>Data!AG219</f>
        <v>2270</v>
      </c>
      <c r="AH315" s="518">
        <f>Data!AH219</f>
        <v>2270</v>
      </c>
      <c r="AI315" s="519">
        <f>Data!AI219</f>
        <v>2203</v>
      </c>
      <c r="AJ315" s="519">
        <f>Data!AJ219</f>
        <v>2137</v>
      </c>
      <c r="AK315" s="519">
        <f>Data!AK219</f>
        <v>2118</v>
      </c>
      <c r="AL315" s="519">
        <f>Data!AL219</f>
        <v>2076</v>
      </c>
      <c r="AM315" s="518">
        <f>Data!AM219</f>
        <v>2076</v>
      </c>
      <c r="AN315" s="519">
        <f>Data!AN219</f>
        <v>2061</v>
      </c>
      <c r="AO315" s="519">
        <f>Data!AO219</f>
        <v>2007</v>
      </c>
      <c r="AP315" s="315">
        <f>Data!AP219</f>
        <v>2127</v>
      </c>
      <c r="AQ315" s="315">
        <f>Data!AQ219</f>
        <v>2186</v>
      </c>
      <c r="AR315" s="314">
        <f>Data!AR219</f>
        <v>2186</v>
      </c>
      <c r="AS315" s="315">
        <f>Data!AS219</f>
        <v>2162</v>
      </c>
      <c r="AT315" s="315">
        <f>Data!AT219</f>
        <v>2109</v>
      </c>
      <c r="AU315" s="315">
        <f>Data!AU219</f>
        <v>2215</v>
      </c>
      <c r="AV315" s="315">
        <f>Data!AV219</f>
        <v>2365</v>
      </c>
      <c r="AW315" s="314">
        <f>Data!AW219</f>
        <v>2365</v>
      </c>
      <c r="AX315" s="315">
        <f>Data!AX219</f>
        <v>2679</v>
      </c>
      <c r="AY315" s="315">
        <f>Data!AY219</f>
        <v>2570</v>
      </c>
      <c r="AZ315" s="315">
        <f>Data!AZ219</f>
        <v>2845</v>
      </c>
      <c r="BA315" s="315">
        <f>Data!BA219</f>
        <v>3074</v>
      </c>
      <c r="BB315" s="314">
        <f>Data!BB219</f>
        <v>3074</v>
      </c>
      <c r="BC315" s="315">
        <f>Data!BC219</f>
        <v>3125</v>
      </c>
      <c r="BD315" s="315">
        <f>Data!BD219</f>
        <v>3445</v>
      </c>
      <c r="BE315" s="315">
        <f>Data!BE219</f>
        <v>3467</v>
      </c>
      <c r="BF315" s="315">
        <f>Data!BF219</f>
        <v>3680</v>
      </c>
      <c r="BG315" s="314">
        <f>Data!BG219</f>
        <v>3680</v>
      </c>
      <c r="BH315" s="315">
        <f>Data!BH219</f>
        <v>3794</v>
      </c>
      <c r="BI315" s="315">
        <f>Data!BI219</f>
        <v>3931</v>
      </c>
      <c r="BJ315" s="315">
        <f>Data!BJ219</f>
        <v>4033</v>
      </c>
      <c r="BK315" s="315">
        <f>Data!BK219</f>
        <v>4299</v>
      </c>
      <c r="BL315" s="314">
        <f>Data!BL219</f>
        <v>4299</v>
      </c>
      <c r="BM315" s="315">
        <f>Data!BM219</f>
        <v>4244</v>
      </c>
      <c r="BN315" s="315">
        <f>Data!BN219</f>
        <v>4253</v>
      </c>
      <c r="BO315" s="315">
        <f>Data!BO219</f>
        <v>4243</v>
      </c>
      <c r="BP315" s="315">
        <f>Data!BP219</f>
        <v>4392</v>
      </c>
      <c r="BQ315" s="630">
        <f>Data!BQ219</f>
        <v>4392</v>
      </c>
      <c r="BR315" s="315">
        <f>Data!BR219</f>
        <v>4380</v>
      </c>
      <c r="BS315" s="315">
        <f>Data!BS219</f>
        <v>4385</v>
      </c>
      <c r="BT315" s="315">
        <f>Data!BT219</f>
        <v>4350</v>
      </c>
      <c r="BU315" s="315">
        <f>Data!BU219</f>
        <v>4452</v>
      </c>
      <c r="BV315" s="630">
        <f>Data!BV219</f>
        <v>4452</v>
      </c>
      <c r="BW315" s="315">
        <f>Data!BW219</f>
        <v>4506</v>
      </c>
      <c r="BX315" s="315">
        <f>Data!BX219</f>
        <v>4478</v>
      </c>
      <c r="BY315" s="315">
        <f>Data!BY219</f>
        <v>4431</v>
      </c>
      <c r="BZ315" s="315">
        <f>Data!BZ219</f>
        <v>4688</v>
      </c>
      <c r="CA315" s="630">
        <f>Data!CA219</f>
        <v>4688</v>
      </c>
      <c r="CB315" s="315">
        <v>4707</v>
      </c>
      <c r="CC315" s="315">
        <f>Data!CC219</f>
        <v>4667</v>
      </c>
      <c r="CD315" s="315">
        <f>Data!CD219</f>
        <v>4654</v>
      </c>
      <c r="CE315" s="315">
        <f>Data!CE219</f>
        <v>4708</v>
      </c>
      <c r="CF315" s="630">
        <f>Data!CF219</f>
        <v>4708</v>
      </c>
      <c r="CG315" s="315">
        <f>Data!CG219</f>
        <v>4448</v>
      </c>
      <c r="CH315" s="315">
        <f>Data!CH219</f>
        <v>4415</v>
      </c>
      <c r="CI315" s="315">
        <f>Data!CI219</f>
        <v>4406</v>
      </c>
      <c r="CJ315" s="315">
        <f>Data!CJ219</f>
        <v>4398</v>
      </c>
      <c r="CK315" s="630">
        <f>Data!CK219</f>
        <v>4398</v>
      </c>
      <c r="CL315" s="315">
        <f>Data!CL219</f>
        <v>4079</v>
      </c>
      <c r="CM315" s="315">
        <f>Data!CM219</f>
        <v>3595</v>
      </c>
      <c r="CN315" s="315">
        <f>Data!CN219</f>
        <v>3403</v>
      </c>
      <c r="CO315" s="315">
        <f>Data!CO219</f>
        <v>3282</v>
      </c>
      <c r="CP315" s="630">
        <f>Data!CP219</f>
        <v>3282</v>
      </c>
      <c r="CQ315" s="315">
        <f>Data!CQ219</f>
        <v>3240</v>
      </c>
      <c r="CR315" s="315">
        <f>Data!CR219</f>
        <v>3334</v>
      </c>
      <c r="CS315" s="315">
        <f>Data!CS219</f>
        <v>3334</v>
      </c>
      <c r="CT315" s="315">
        <f>Data!CT219</f>
        <v>3414</v>
      </c>
      <c r="CU315" s="630">
        <f>Data!CU219</f>
        <v>3414</v>
      </c>
      <c r="CV315" s="315">
        <f>Data!CV219</f>
        <v>3365</v>
      </c>
      <c r="CW315" s="315">
        <f>Data!CW219</f>
        <v>3431</v>
      </c>
      <c r="CX315" s="315">
        <f>Data!CX219</f>
        <v>3510</v>
      </c>
      <c r="CY315" s="315">
        <f>Data!CY219</f>
        <v>3653</v>
      </c>
      <c r="CZ315" s="630">
        <f>Data!CZ219</f>
        <v>3653</v>
      </c>
      <c r="DA315" s="315">
        <f>Data!DA219</f>
        <v>3585</v>
      </c>
      <c r="DB315" s="315">
        <f>Data!DB219</f>
        <v>3818</v>
      </c>
      <c r="DC315" s="315">
        <f>Data!DC219</f>
        <v>4031</v>
      </c>
      <c r="DD315" s="315">
        <f>Data!DD219</f>
        <v>4332</v>
      </c>
      <c r="DE315" s="630">
        <f>Data!DE219</f>
        <v>4332</v>
      </c>
      <c r="DF315" s="315">
        <f>Data!DF219</f>
        <v>4357</v>
      </c>
      <c r="DG315" s="315">
        <f>Data!DG219</f>
        <v>4173</v>
      </c>
      <c r="DH315" s="315">
        <f>Data!DH219</f>
        <v>4031</v>
      </c>
      <c r="DI315" s="315">
        <f>Data!DI219</f>
        <v>4303</v>
      </c>
      <c r="DJ315" s="630">
        <f>Data!DJ219</f>
        <v>4303</v>
      </c>
      <c r="DK315" s="315">
        <f>Data!DK219</f>
        <v>4277</v>
      </c>
      <c r="DL315" s="315">
        <f>Data!DL219</f>
        <v>4372</v>
      </c>
      <c r="DM315" s="315">
        <f>Data!DM219</f>
        <v>4031</v>
      </c>
      <c r="DN315" s="315">
        <f>Data!DN219</f>
        <v>4404</v>
      </c>
      <c r="DO315" s="630">
        <f>Data!DO219</f>
        <v>4404</v>
      </c>
      <c r="DP315" s="315">
        <f>Data!DP219</f>
        <v>4368</v>
      </c>
      <c r="DQ315" s="315">
        <f>Data!DQ219</f>
        <v>0</v>
      </c>
      <c r="DR315" s="315">
        <f>Data!DR219</f>
        <v>0</v>
      </c>
      <c r="DS315" s="315">
        <f>Data!DS219</f>
        <v>0</v>
      </c>
      <c r="DT315" s="630">
        <f>Data!DT219</f>
        <v>0</v>
      </c>
      <c r="DU315" s="315">
        <f>Data!DU219</f>
        <v>0</v>
      </c>
      <c r="DV315" s="315">
        <f>Data!DV219</f>
        <v>0</v>
      </c>
      <c r="DW315" s="315">
        <f>Data!DW219</f>
        <v>0</v>
      </c>
      <c r="DX315" s="315">
        <f>Data!DX219</f>
        <v>0</v>
      </c>
      <c r="DY315" s="630">
        <f>Data!DY219</f>
        <v>0</v>
      </c>
      <c r="DZ315" s="630">
        <f>Data!DZ219</f>
        <v>0</v>
      </c>
      <c r="EA315" s="630">
        <f>Data!EA219</f>
        <v>0</v>
      </c>
      <c r="EB315" s="630">
        <f>Data!EB219</f>
        <v>0</v>
      </c>
    </row>
    <row r="316" spans="2:132" s="241" customFormat="1" ht="12" hidden="1" customHeight="1" outlineLevel="1">
      <c r="B316" s="512">
        <v>747</v>
      </c>
      <c r="C316" s="518">
        <f>Data!C220</f>
        <v>0</v>
      </c>
      <c r="D316" s="518">
        <f>Data!D220</f>
        <v>0</v>
      </c>
      <c r="E316" s="518">
        <f>Data!E220</f>
        <v>0</v>
      </c>
      <c r="F316" s="519">
        <f>Data!F220</f>
        <v>77</v>
      </c>
      <c r="G316" s="518">
        <f>Data!G220</f>
        <v>59</v>
      </c>
      <c r="H316" s="518">
        <f>Data!H220</f>
        <v>52</v>
      </c>
      <c r="I316" s="518">
        <f>Data!I220</f>
        <v>32</v>
      </c>
      <c r="J316" s="519">
        <f>Data!J220</f>
        <v>30</v>
      </c>
      <c r="K316" s="519">
        <f>Data!K220</f>
        <v>31</v>
      </c>
      <c r="L316" s="519">
        <f>Data!L220</f>
        <v>31</v>
      </c>
      <c r="M316" s="519">
        <f>Data!M220</f>
        <v>27</v>
      </c>
      <c r="N316" s="518">
        <f>Data!N220</f>
        <v>27</v>
      </c>
      <c r="O316" s="519">
        <f>Data!O220</f>
        <v>24</v>
      </c>
      <c r="P316" s="519">
        <f>Data!P220</f>
        <v>24</v>
      </c>
      <c r="Q316" s="519">
        <f>Data!Q220</f>
        <v>38</v>
      </c>
      <c r="R316" s="519">
        <f>Data!R220</f>
        <v>58</v>
      </c>
      <c r="S316" s="518">
        <f>Data!S220</f>
        <v>58</v>
      </c>
      <c r="T316" s="519">
        <f>Data!T220</f>
        <v>56</v>
      </c>
      <c r="U316" s="519">
        <f>Data!U220</f>
        <v>61</v>
      </c>
      <c r="V316" s="519">
        <f>Data!V220</f>
        <v>88</v>
      </c>
      <c r="W316" s="519">
        <f>Data!W220</f>
        <v>116</v>
      </c>
      <c r="X316" s="518">
        <f>Data!X220</f>
        <v>116</v>
      </c>
      <c r="Y316" s="519">
        <f>Data!Y220</f>
        <v>122</v>
      </c>
      <c r="Z316" s="519">
        <f>Data!Z220</f>
        <v>118</v>
      </c>
      <c r="AA316" s="519">
        <f>Data!AA220</f>
        <v>114</v>
      </c>
      <c r="AB316" s="519">
        <f>Data!AB220</f>
        <v>125</v>
      </c>
      <c r="AC316" s="518">
        <f>Data!AC220</f>
        <v>125</v>
      </c>
      <c r="AD316" s="519">
        <f>Data!AD220</f>
        <v>122</v>
      </c>
      <c r="AE316" s="519">
        <f>Data!AE220</f>
        <v>118</v>
      </c>
      <c r="AF316" s="519">
        <f>Data!AF220</f>
        <v>115</v>
      </c>
      <c r="AG316" s="519">
        <f>Data!AG220</f>
        <v>114</v>
      </c>
      <c r="AH316" s="518">
        <f>Data!AH220</f>
        <v>114</v>
      </c>
      <c r="AI316" s="519">
        <f>Data!AI220</f>
        <v>110</v>
      </c>
      <c r="AJ316" s="519">
        <f>Data!AJ220</f>
        <v>107</v>
      </c>
      <c r="AK316" s="519">
        <f>Data!AK220</f>
        <v>107</v>
      </c>
      <c r="AL316" s="519">
        <f>Data!AL220</f>
        <v>108</v>
      </c>
      <c r="AM316" s="518">
        <f>Data!AM220</f>
        <v>108</v>
      </c>
      <c r="AN316" s="519">
        <f>Data!AN220</f>
        <v>108</v>
      </c>
      <c r="AO316" s="519">
        <f>Data!AO220</f>
        <v>109</v>
      </c>
      <c r="AP316" s="315">
        <f>Data!AP220</f>
        <v>109</v>
      </c>
      <c r="AQ316" s="315">
        <f>Data!AQ220</f>
        <v>107</v>
      </c>
      <c r="AR316" s="314">
        <f>Data!AR220</f>
        <v>107</v>
      </c>
      <c r="AS316" s="315">
        <f>Data!AS220</f>
        <v>109</v>
      </c>
      <c r="AT316" s="315">
        <f>Data!AT220</f>
        <v>111</v>
      </c>
      <c r="AU316" s="315">
        <f>Data!AU220</f>
        <v>111</v>
      </c>
      <c r="AV316" s="315">
        <f>Data!AV220</f>
        <v>97</v>
      </c>
      <c r="AW316" s="314">
        <f>Data!AW220</f>
        <v>97</v>
      </c>
      <c r="AX316" s="315">
        <f>Data!AX220</f>
        <v>91</v>
      </c>
      <c r="AY316" s="315">
        <f>Data!AY220</f>
        <v>84</v>
      </c>
      <c r="AZ316" s="315">
        <f>Data!AZ220</f>
        <v>81</v>
      </c>
      <c r="BA316" s="315">
        <f>Data!BA220</f>
        <v>67</v>
      </c>
      <c r="BB316" s="314">
        <f>Data!BB220</f>
        <v>67</v>
      </c>
      <c r="BC316" s="315">
        <f>Data!BC220</f>
        <v>64</v>
      </c>
      <c r="BD316" s="315">
        <f>Data!BD220</f>
        <v>53</v>
      </c>
      <c r="BE316" s="315">
        <f>Data!BE220</f>
        <v>51</v>
      </c>
      <c r="BF316" s="315">
        <f>Data!BF220</f>
        <v>55</v>
      </c>
      <c r="BG316" s="314">
        <f>Data!BG220</f>
        <v>55</v>
      </c>
      <c r="BH316" s="315">
        <f>Data!BH220</f>
        <v>52</v>
      </c>
      <c r="BI316" s="315">
        <f>Data!BI220</f>
        <v>50</v>
      </c>
      <c r="BJ316" s="315">
        <f>Data!BJ220</f>
        <v>42</v>
      </c>
      <c r="BK316" s="315">
        <f>Data!BK220</f>
        <v>36</v>
      </c>
      <c r="BL316" s="314">
        <f>Data!BL220</f>
        <v>36</v>
      </c>
      <c r="BM316" s="315">
        <f>Data!BM220</f>
        <v>35</v>
      </c>
      <c r="BN316" s="315">
        <f>Data!BN220</f>
        <v>31</v>
      </c>
      <c r="BO316" s="315">
        <f>Data!BO220</f>
        <v>23</v>
      </c>
      <c r="BP316" s="315">
        <f>Data!BP220</f>
        <v>20</v>
      </c>
      <c r="BQ316" s="630">
        <f>Data!BQ220</f>
        <v>20</v>
      </c>
      <c r="BR316" s="315">
        <f>Data!BR220</f>
        <v>23</v>
      </c>
      <c r="BS316" s="315">
        <f>Data!BS220</f>
        <v>21</v>
      </c>
      <c r="BT316" s="315">
        <f>Data!BT220</f>
        <v>15</v>
      </c>
      <c r="BU316" s="315">
        <f>Data!BU220</f>
        <v>28</v>
      </c>
      <c r="BV316" s="630">
        <f>Data!BV220</f>
        <v>28</v>
      </c>
      <c r="BW316" s="315">
        <f>Data!BW220</f>
        <v>23</v>
      </c>
      <c r="BX316" s="315">
        <f>Data!BX220</f>
        <v>20</v>
      </c>
      <c r="BY316" s="315">
        <f>Data!BY220</f>
        <v>17</v>
      </c>
      <c r="BZ316" s="315">
        <f>Data!BZ220</f>
        <v>12</v>
      </c>
      <c r="CA316" s="630">
        <f>Data!CA220</f>
        <v>12</v>
      </c>
      <c r="CB316" s="315">
        <v>24</v>
      </c>
      <c r="CC316" s="315">
        <f>Data!CC220</f>
        <v>23</v>
      </c>
      <c r="CD316" s="315">
        <f>Data!CD220</f>
        <v>21</v>
      </c>
      <c r="CE316" s="315">
        <f>Data!CE220</f>
        <v>24</v>
      </c>
      <c r="CF316" s="630">
        <f>Data!CF220</f>
        <v>24</v>
      </c>
      <c r="CG316" s="315">
        <f>Data!CG220</f>
        <v>22</v>
      </c>
      <c r="CH316" s="315">
        <f>Data!CH220</f>
        <v>20</v>
      </c>
      <c r="CI316" s="315">
        <f>Data!CI220</f>
        <v>19</v>
      </c>
      <c r="CJ316" s="315">
        <f>Data!CJ220</f>
        <v>17</v>
      </c>
      <c r="CK316" s="630">
        <f>Data!CK220</f>
        <v>17</v>
      </c>
      <c r="CL316" s="315">
        <f>Data!CL220</f>
        <v>13</v>
      </c>
      <c r="CM316" s="315">
        <f>Data!CM220</f>
        <v>12</v>
      </c>
      <c r="CN316" s="315">
        <f>Data!CN220</f>
        <v>11</v>
      </c>
      <c r="CO316" s="315">
        <f>Data!CO220</f>
        <v>8</v>
      </c>
      <c r="CP316" s="630">
        <f>Data!CP220</f>
        <v>8</v>
      </c>
      <c r="CQ316" s="315">
        <f>Data!CQ220</f>
        <v>12</v>
      </c>
      <c r="CR316" s="315">
        <f>Data!CR220</f>
        <v>11</v>
      </c>
      <c r="CS316" s="315">
        <f>Data!CS220</f>
        <v>9</v>
      </c>
      <c r="CT316" s="315">
        <f>Data!CT220</f>
        <v>6</v>
      </c>
      <c r="CU316" s="630">
        <f>Data!CU220</f>
        <v>6</v>
      </c>
      <c r="CV316" s="315">
        <f>Data!CV220</f>
        <v>5</v>
      </c>
      <c r="CW316" s="315">
        <f>Data!CW220</f>
        <v>3</v>
      </c>
      <c r="CX316" s="315">
        <f>Data!CX220</f>
        <v>3</v>
      </c>
      <c r="CY316" s="315">
        <f>Data!CY220</f>
        <v>1</v>
      </c>
      <c r="CZ316" s="630">
        <f>Data!CZ220</f>
        <v>1</v>
      </c>
      <c r="DA316" s="315">
        <f>Data!DA220</f>
        <v>0</v>
      </c>
      <c r="DB316" s="315">
        <f>Data!DB220</f>
        <v>0</v>
      </c>
      <c r="DC316" s="315">
        <f>Data!DC220</f>
        <v>0</v>
      </c>
      <c r="DD316" s="315">
        <f>Data!DD220</f>
        <v>0</v>
      </c>
      <c r="DE316" s="630">
        <f>Data!DE220</f>
        <v>0</v>
      </c>
      <c r="DF316" s="315">
        <f>Data!DF220</f>
        <v>0</v>
      </c>
      <c r="DG316" s="315">
        <f>Data!DG220</f>
        <v>0</v>
      </c>
      <c r="DH316" s="315">
        <f>Data!DH220</f>
        <v>0</v>
      </c>
      <c r="DI316" s="315">
        <f>Data!DI220</f>
        <v>0</v>
      </c>
      <c r="DJ316" s="630">
        <f>Data!DJ220</f>
        <v>0</v>
      </c>
      <c r="DK316" s="315">
        <f>Data!DK220</f>
        <v>0</v>
      </c>
      <c r="DL316" s="315">
        <f>Data!DL220</f>
        <v>0</v>
      </c>
      <c r="DM316" s="315">
        <f>Data!DM220</f>
        <v>0</v>
      </c>
      <c r="DN316" s="315">
        <f>Data!DN220</f>
        <v>0</v>
      </c>
      <c r="DO316" s="630">
        <f>Data!DO220</f>
        <v>0</v>
      </c>
      <c r="DP316" s="315">
        <f>Data!DP220</f>
        <v>0</v>
      </c>
      <c r="DQ316" s="315">
        <f>Data!DQ220</f>
        <v>0</v>
      </c>
      <c r="DR316" s="315">
        <f>Data!DR220</f>
        <v>0</v>
      </c>
      <c r="DS316" s="315">
        <f>Data!DS220</f>
        <v>0</v>
      </c>
      <c r="DT316" s="630">
        <f>Data!DT220</f>
        <v>0</v>
      </c>
      <c r="DU316" s="315">
        <f>Data!DU220</f>
        <v>0</v>
      </c>
      <c r="DV316" s="315">
        <f>Data!DV220</f>
        <v>0</v>
      </c>
      <c r="DW316" s="315">
        <f>Data!DW220</f>
        <v>0</v>
      </c>
      <c r="DX316" s="315">
        <f>Data!DX220</f>
        <v>0</v>
      </c>
      <c r="DY316" s="630">
        <f>Data!DY220</f>
        <v>0</v>
      </c>
      <c r="DZ316" s="630">
        <f>Data!DZ220</f>
        <v>0</v>
      </c>
      <c r="EA316" s="630">
        <f>Data!EA220</f>
        <v>0</v>
      </c>
      <c r="EB316" s="630">
        <f>Data!EB220</f>
        <v>0</v>
      </c>
    </row>
    <row r="317" spans="2:132" s="241" customFormat="1" ht="12" hidden="1" customHeight="1" outlineLevel="1">
      <c r="B317" s="512">
        <v>757</v>
      </c>
      <c r="C317" s="518">
        <f>Data!C221</f>
        <v>0</v>
      </c>
      <c r="D317" s="518">
        <f>Data!D221</f>
        <v>0</v>
      </c>
      <c r="E317" s="518">
        <f>Data!E221</f>
        <v>0</v>
      </c>
      <c r="F317" s="519">
        <f>Data!F221</f>
        <v>94</v>
      </c>
      <c r="G317" s="518">
        <f>Data!G221</f>
        <v>55</v>
      </c>
      <c r="H317" s="518">
        <f>Data!H221</f>
        <v>28</v>
      </c>
      <c r="I317" s="518">
        <f>Data!I221</f>
        <v>13</v>
      </c>
      <c r="J317" s="519">
        <f>Data!J221</f>
        <v>9</v>
      </c>
      <c r="K317" s="519">
        <f>Data!K221</f>
        <v>5</v>
      </c>
      <c r="L317" s="519">
        <f>Data!L221</f>
        <v>2</v>
      </c>
      <c r="M317" s="519">
        <f>Data!M221</f>
        <v>2</v>
      </c>
      <c r="N317" s="518">
        <f>Data!N221</f>
        <v>2</v>
      </c>
      <c r="O317" s="519">
        <f>Data!O221</f>
        <v>1</v>
      </c>
      <c r="P317" s="519">
        <f>Data!P221</f>
        <v>0</v>
      </c>
      <c r="Q317" s="519">
        <f>Data!Q221</f>
        <v>0</v>
      </c>
      <c r="R317" s="519">
        <f>Data!R221</f>
        <v>0</v>
      </c>
      <c r="S317" s="518">
        <f>Data!S221</f>
        <v>0</v>
      </c>
      <c r="T317" s="519">
        <f>Data!T221</f>
        <v>0</v>
      </c>
      <c r="U317" s="519">
        <f>Data!U221</f>
        <v>0</v>
      </c>
      <c r="V317" s="519">
        <f>Data!V221</f>
        <v>0</v>
      </c>
      <c r="W317" s="519">
        <f>Data!W221</f>
        <v>0</v>
      </c>
      <c r="X317" s="518">
        <f>Data!X221</f>
        <v>0</v>
      </c>
      <c r="Y317" s="519">
        <f>Data!Y221</f>
        <v>0</v>
      </c>
      <c r="Z317" s="519">
        <f>Data!Z221</f>
        <v>0</v>
      </c>
      <c r="AA317" s="519">
        <f>Data!AA221</f>
        <v>0</v>
      </c>
      <c r="AB317" s="519">
        <f>Data!AB221</f>
        <v>0</v>
      </c>
      <c r="AC317" s="518">
        <f>Data!AC221</f>
        <v>0</v>
      </c>
      <c r="AD317" s="519">
        <f>Data!AD221</f>
        <v>0</v>
      </c>
      <c r="AE317" s="519">
        <f>Data!AE221</f>
        <v>0</v>
      </c>
      <c r="AF317" s="519">
        <f>Data!AF221</f>
        <v>0</v>
      </c>
      <c r="AG317" s="519">
        <f>Data!AG221</f>
        <v>0</v>
      </c>
      <c r="AH317" s="518">
        <f>Data!AH221</f>
        <v>0</v>
      </c>
      <c r="AI317" s="519">
        <f>Data!AI221</f>
        <v>0</v>
      </c>
      <c r="AJ317" s="519">
        <f>Data!AJ221</f>
        <v>0</v>
      </c>
      <c r="AK317" s="519">
        <f>Data!AK221</f>
        <v>0</v>
      </c>
      <c r="AL317" s="519">
        <f>Data!AL221</f>
        <v>0</v>
      </c>
      <c r="AM317" s="518">
        <f>Data!AM221</f>
        <v>0</v>
      </c>
      <c r="AN317" s="519">
        <f>Data!AN221</f>
        <v>0</v>
      </c>
      <c r="AO317" s="519">
        <f>Data!AO221</f>
        <v>0</v>
      </c>
      <c r="AP317" s="315">
        <f>Data!AP221</f>
        <v>0</v>
      </c>
      <c r="AQ317" s="315">
        <f>Data!AQ221</f>
        <v>0</v>
      </c>
      <c r="AR317" s="314">
        <f>Data!AR221</f>
        <v>0</v>
      </c>
      <c r="AS317" s="315">
        <f>Data!AS221</f>
        <v>0</v>
      </c>
      <c r="AT317" s="315">
        <f>Data!AT221</f>
        <v>0</v>
      </c>
      <c r="AU317" s="315">
        <f>Data!AU221</f>
        <v>0</v>
      </c>
      <c r="AV317" s="315">
        <f>Data!AV221</f>
        <v>0</v>
      </c>
      <c r="AW317" s="314">
        <f>Data!AW221</f>
        <v>0</v>
      </c>
      <c r="AX317" s="315">
        <f>Data!AX221</f>
        <v>0</v>
      </c>
      <c r="AY317" s="315">
        <f>Data!AY221</f>
        <v>0</v>
      </c>
      <c r="AZ317" s="315">
        <f>Data!AZ221</f>
        <v>0</v>
      </c>
      <c r="BA317" s="315">
        <f>Data!BA221</f>
        <v>0</v>
      </c>
      <c r="BB317" s="314">
        <f>Data!BB221</f>
        <v>0</v>
      </c>
      <c r="BC317" s="315">
        <f>Data!BC221</f>
        <v>0</v>
      </c>
      <c r="BD317" s="315">
        <f>Data!BD221</f>
        <v>0</v>
      </c>
      <c r="BE317" s="315">
        <f>Data!BE221</f>
        <v>0</v>
      </c>
      <c r="BF317" s="315">
        <f>Data!BF221</f>
        <v>0</v>
      </c>
      <c r="BG317" s="314">
        <f>Data!BG221</f>
        <v>0</v>
      </c>
      <c r="BH317" s="315">
        <f>Data!BH221</f>
        <v>0</v>
      </c>
      <c r="BI317" s="315">
        <f>Data!BI221</f>
        <v>0</v>
      </c>
      <c r="BJ317" s="315">
        <f>Data!BJ221</f>
        <v>0</v>
      </c>
      <c r="BK317" s="315">
        <f>Data!BK221</f>
        <v>0</v>
      </c>
      <c r="BL317" s="314">
        <f>Data!BL221</f>
        <v>0</v>
      </c>
      <c r="BM317" s="315">
        <f>Data!BM221</f>
        <v>0</v>
      </c>
      <c r="BN317" s="315">
        <f>Data!BN221</f>
        <v>0</v>
      </c>
      <c r="BO317" s="315">
        <f>Data!BO221</f>
        <v>0</v>
      </c>
      <c r="BP317" s="315">
        <f>Data!BP221</f>
        <v>0</v>
      </c>
      <c r="BQ317" s="630">
        <f>Data!BQ221</f>
        <v>0</v>
      </c>
      <c r="BR317" s="315">
        <f>Data!BR221</f>
        <v>0</v>
      </c>
      <c r="BS317" s="315">
        <f>Data!BS221</f>
        <v>0</v>
      </c>
      <c r="BT317" s="315">
        <f>Data!BT221</f>
        <v>0</v>
      </c>
      <c r="BU317" s="315">
        <f>Data!BU221</f>
        <v>0</v>
      </c>
      <c r="BV317" s="630">
        <f>Data!BV221</f>
        <v>0</v>
      </c>
      <c r="BW317" s="315">
        <f>Data!BW221</f>
        <v>0</v>
      </c>
      <c r="BX317" s="315">
        <f>Data!BX221</f>
        <v>0</v>
      </c>
      <c r="BY317" s="315">
        <f>Data!BY221</f>
        <v>0</v>
      </c>
      <c r="BZ317" s="315">
        <f>Data!BZ221</f>
        <v>0</v>
      </c>
      <c r="CA317" s="630">
        <f>Data!CA221</f>
        <v>0</v>
      </c>
      <c r="CB317" s="315">
        <f>Data!CB221</f>
        <v>0</v>
      </c>
      <c r="CC317" s="315">
        <f>Data!CC221</f>
        <v>0</v>
      </c>
      <c r="CD317" s="315">
        <f>Data!CD221</f>
        <v>0</v>
      </c>
      <c r="CE317" s="315">
        <f>Data!CE221</f>
        <v>0</v>
      </c>
      <c r="CF317" s="630">
        <f>Data!CF221</f>
        <v>0</v>
      </c>
      <c r="CG317" s="315">
        <f>Data!CG221</f>
        <v>0</v>
      </c>
      <c r="CH317" s="315">
        <f>Data!CH221</f>
        <v>0</v>
      </c>
      <c r="CI317" s="315">
        <f>Data!CI221</f>
        <v>0</v>
      </c>
      <c r="CJ317" s="315">
        <f>Data!CJ221</f>
        <v>0</v>
      </c>
      <c r="CK317" s="630">
        <f>Data!CK221</f>
        <v>0</v>
      </c>
      <c r="CL317" s="315">
        <f>Data!CL221</f>
        <v>0</v>
      </c>
      <c r="CM317" s="315">
        <f>Data!CM221</f>
        <v>0</v>
      </c>
      <c r="CN317" s="315">
        <f>Data!CN221</f>
        <v>0</v>
      </c>
      <c r="CO317" s="315">
        <f>Data!CO221</f>
        <v>0</v>
      </c>
      <c r="CP317" s="630">
        <f>Data!CP221</f>
        <v>0</v>
      </c>
      <c r="CQ317" s="315">
        <f>Data!CQ221</f>
        <v>0</v>
      </c>
      <c r="CR317" s="315">
        <f>Data!CR221</f>
        <v>0</v>
      </c>
      <c r="CS317" s="315">
        <f>Data!CS221</f>
        <v>0</v>
      </c>
      <c r="CT317" s="315">
        <f>Data!CT221</f>
        <v>0</v>
      </c>
      <c r="CU317" s="630">
        <f>Data!CU221</f>
        <v>0</v>
      </c>
      <c r="CV317" s="315">
        <f>Data!CV221</f>
        <v>0</v>
      </c>
      <c r="CW317" s="315">
        <f>Data!CW221</f>
        <v>0</v>
      </c>
      <c r="CX317" s="315">
        <f>Data!CX221</f>
        <v>0</v>
      </c>
      <c r="CY317" s="315">
        <f>Data!CY221</f>
        <v>0</v>
      </c>
      <c r="CZ317" s="630">
        <f>Data!CZ221</f>
        <v>0</v>
      </c>
      <c r="DA317" s="315">
        <f>Data!DA221</f>
        <v>0</v>
      </c>
      <c r="DB317" s="315">
        <f>Data!DB221</f>
        <v>0</v>
      </c>
      <c r="DC317" s="315">
        <f>Data!DC221</f>
        <v>0</v>
      </c>
      <c r="DD317" s="315">
        <f>Data!DD221</f>
        <v>0</v>
      </c>
      <c r="DE317" s="630">
        <f>Data!DE221</f>
        <v>0</v>
      </c>
      <c r="DF317" s="315">
        <f>Data!DF221</f>
        <v>0</v>
      </c>
      <c r="DG317" s="315">
        <f>Data!DG221</f>
        <v>0</v>
      </c>
      <c r="DH317" s="315">
        <f>Data!DH221</f>
        <v>0</v>
      </c>
      <c r="DI317" s="315">
        <f>Data!DI221</f>
        <v>0</v>
      </c>
      <c r="DJ317" s="630">
        <f>Data!DJ221</f>
        <v>0</v>
      </c>
      <c r="DK317" s="315">
        <f>Data!DK221</f>
        <v>0</v>
      </c>
      <c r="DL317" s="315">
        <f>Data!DL221</f>
        <v>0</v>
      </c>
      <c r="DM317" s="315">
        <f>Data!DM221</f>
        <v>0</v>
      </c>
      <c r="DN317" s="315">
        <f>Data!DN221</f>
        <v>0</v>
      </c>
      <c r="DO317" s="630">
        <f>Data!DO221</f>
        <v>0</v>
      </c>
      <c r="DP317" s="315">
        <f>Data!DP221</f>
        <v>0</v>
      </c>
      <c r="DQ317" s="315">
        <f>Data!DQ221</f>
        <v>0</v>
      </c>
      <c r="DR317" s="315">
        <f>Data!DR221</f>
        <v>0</v>
      </c>
      <c r="DS317" s="315">
        <f>Data!DS221</f>
        <v>0</v>
      </c>
      <c r="DT317" s="630">
        <f>Data!DT221</f>
        <v>0</v>
      </c>
      <c r="DU317" s="315">
        <f>Data!DU221</f>
        <v>0</v>
      </c>
      <c r="DV317" s="315">
        <f>Data!DV221</f>
        <v>0</v>
      </c>
      <c r="DW317" s="315">
        <f>Data!DW221</f>
        <v>0</v>
      </c>
      <c r="DX317" s="315">
        <f>Data!DX221</f>
        <v>0</v>
      </c>
      <c r="DY317" s="630">
        <f>Data!DY221</f>
        <v>0</v>
      </c>
      <c r="DZ317" s="630">
        <f>Data!DZ221</f>
        <v>0</v>
      </c>
      <c r="EA317" s="630">
        <f>Data!EA221</f>
        <v>0</v>
      </c>
      <c r="EB317" s="630">
        <f>Data!EB221</f>
        <v>0</v>
      </c>
    </row>
    <row r="318" spans="2:132" s="241" customFormat="1" ht="12" hidden="1" customHeight="1" outlineLevel="1">
      <c r="B318" s="512">
        <v>767</v>
      </c>
      <c r="C318" s="518">
        <f>Data!C222</f>
        <v>0</v>
      </c>
      <c r="D318" s="518">
        <f>Data!D222</f>
        <v>0</v>
      </c>
      <c r="E318" s="518">
        <f>Data!E222</f>
        <v>0</v>
      </c>
      <c r="F318" s="519">
        <f>Data!F222</f>
        <v>82</v>
      </c>
      <c r="G318" s="518">
        <f>Data!G222</f>
        <v>77</v>
      </c>
      <c r="H318" s="518">
        <f>Data!H222</f>
        <v>39</v>
      </c>
      <c r="I318" s="518">
        <f>Data!I222</f>
        <v>25</v>
      </c>
      <c r="J318" s="519">
        <f>Data!J222</f>
        <v>24</v>
      </c>
      <c r="K318" s="519">
        <f>Data!K222</f>
        <v>25</v>
      </c>
      <c r="L318" s="519">
        <f>Data!L222</f>
        <v>24</v>
      </c>
      <c r="M318" s="519">
        <f>Data!M222</f>
        <v>25</v>
      </c>
      <c r="N318" s="518">
        <f>Data!N222</f>
        <v>25</v>
      </c>
      <c r="O318" s="519">
        <f>Data!O222</f>
        <v>20</v>
      </c>
      <c r="P318" s="519">
        <f>Data!P222</f>
        <v>20</v>
      </c>
      <c r="Q318" s="519">
        <f>Data!Q222</f>
        <v>32</v>
      </c>
      <c r="R318" s="519">
        <f>Data!R222</f>
        <v>30</v>
      </c>
      <c r="S318" s="518">
        <f>Data!S222</f>
        <v>30</v>
      </c>
      <c r="T318" s="519">
        <f>Data!T222</f>
        <v>31</v>
      </c>
      <c r="U318" s="519">
        <f>Data!U222</f>
        <v>28</v>
      </c>
      <c r="V318" s="519">
        <f>Data!V222</f>
        <v>29</v>
      </c>
      <c r="W318" s="519">
        <f>Data!W222</f>
        <v>28</v>
      </c>
      <c r="X318" s="518">
        <f>Data!X222</f>
        <v>28</v>
      </c>
      <c r="Y318" s="519">
        <f>Data!Y222</f>
        <v>61</v>
      </c>
      <c r="Z318" s="519">
        <f>Data!Z222</f>
        <v>58</v>
      </c>
      <c r="AA318" s="519">
        <f>Data!AA222</f>
        <v>55</v>
      </c>
      <c r="AB318" s="519">
        <f>Data!AB222</f>
        <v>52</v>
      </c>
      <c r="AC318" s="518">
        <f>Data!AC222</f>
        <v>52</v>
      </c>
      <c r="AD318" s="519">
        <f>Data!AD222</f>
        <v>49</v>
      </c>
      <c r="AE318" s="519">
        <f>Data!AE222</f>
        <v>46</v>
      </c>
      <c r="AF318" s="519">
        <f>Data!AF222</f>
        <v>64</v>
      </c>
      <c r="AG318" s="519">
        <f>Data!AG222</f>
        <v>70</v>
      </c>
      <c r="AH318" s="518">
        <f>Data!AH222</f>
        <v>70</v>
      </c>
      <c r="AI318" s="519">
        <f>Data!AI222</f>
        <v>67</v>
      </c>
      <c r="AJ318" s="519">
        <f>Data!AJ222</f>
        <v>61</v>
      </c>
      <c r="AK318" s="519">
        <f>Data!AK222</f>
        <v>57</v>
      </c>
      <c r="AL318" s="519">
        <f>Data!AL222</f>
        <v>59</v>
      </c>
      <c r="AM318" s="518">
        <f>Data!AM222</f>
        <v>59</v>
      </c>
      <c r="AN318" s="519">
        <f>Data!AN222</f>
        <v>56</v>
      </c>
      <c r="AO318" s="519">
        <f>Data!AO222</f>
        <v>55</v>
      </c>
      <c r="AP318" s="315">
        <f>Data!AP222</f>
        <v>53</v>
      </c>
      <c r="AQ318" s="315">
        <f>Data!AQ222</f>
        <v>50</v>
      </c>
      <c r="AR318" s="314">
        <f>Data!AR222</f>
        <v>50</v>
      </c>
      <c r="AS318" s="315">
        <f>Data!AS222</f>
        <v>53</v>
      </c>
      <c r="AT318" s="315">
        <f>Data!AT222</f>
        <v>54</v>
      </c>
      <c r="AU318" s="315">
        <f>Data!AU222</f>
        <v>49</v>
      </c>
      <c r="AV318" s="315">
        <f>Data!AV222</f>
        <v>72</v>
      </c>
      <c r="AW318" s="314">
        <f>Data!AW222</f>
        <v>72</v>
      </c>
      <c r="AX318" s="315">
        <f>Data!AX222</f>
        <v>69</v>
      </c>
      <c r="AY318" s="315">
        <f>Data!AY222</f>
        <v>78</v>
      </c>
      <c r="AZ318" s="315">
        <f>Data!AZ222</f>
        <v>71</v>
      </c>
      <c r="BA318" s="315">
        <f>Data!BA222</f>
        <v>68</v>
      </c>
      <c r="BB318" s="314">
        <f>Data!BB222</f>
        <v>68</v>
      </c>
      <c r="BC318" s="315">
        <f>Data!BC222</f>
        <v>64</v>
      </c>
      <c r="BD318" s="315">
        <f>Data!BD222</f>
        <v>56</v>
      </c>
      <c r="BE318" s="315">
        <f>Data!BE222</f>
        <v>51</v>
      </c>
      <c r="BF318" s="315">
        <f>Data!BF222</f>
        <v>49</v>
      </c>
      <c r="BG318" s="314">
        <f>Data!BG222</f>
        <v>49</v>
      </c>
      <c r="BH318" s="315">
        <f>Data!BH222</f>
        <v>49</v>
      </c>
      <c r="BI318" s="315">
        <f>Data!BI222</f>
        <v>48</v>
      </c>
      <c r="BJ318" s="315">
        <f>Data!BJ222</f>
        <v>50</v>
      </c>
      <c r="BK318" s="315">
        <f>Data!BK222</f>
        <v>47</v>
      </c>
      <c r="BL318" s="314">
        <f>Data!BL222</f>
        <v>47</v>
      </c>
      <c r="BM318" s="315">
        <f>Data!BM222</f>
        <v>42</v>
      </c>
      <c r="BN318" s="315">
        <f>Data!BN222</f>
        <v>39</v>
      </c>
      <c r="BO318" s="315">
        <f>Data!BO222</f>
        <v>81</v>
      </c>
      <c r="BP318" s="315">
        <f>Data!BP222</f>
        <v>80</v>
      </c>
      <c r="BQ318" s="630">
        <f>Data!BQ222</f>
        <v>80</v>
      </c>
      <c r="BR318" s="315">
        <f>Data!BR222</f>
        <v>80</v>
      </c>
      <c r="BS318" s="315">
        <f>Data!BS222</f>
        <v>82</v>
      </c>
      <c r="BT318" s="315">
        <f>Data!BT222</f>
        <v>96</v>
      </c>
      <c r="BU318" s="315">
        <f>Data!BU222</f>
        <v>93</v>
      </c>
      <c r="BV318" s="630">
        <f>Data!BV222</f>
        <v>93</v>
      </c>
      <c r="BW318" s="315">
        <f>Data!BW222</f>
        <v>106</v>
      </c>
      <c r="BX318" s="315">
        <f>Data!BX222</f>
        <v>103</v>
      </c>
      <c r="BY318" s="315">
        <f>Data!BY222</f>
        <v>101</v>
      </c>
      <c r="BZ318" s="315">
        <f>Data!BZ222</f>
        <v>98</v>
      </c>
      <c r="CA318" s="630">
        <f>Data!CA222</f>
        <v>98</v>
      </c>
      <c r="CB318" s="315">
        <v>101</v>
      </c>
      <c r="CC318" s="315">
        <f>Data!CC222</f>
        <v>109</v>
      </c>
      <c r="CD318" s="315">
        <f>Data!CD222</f>
        <v>123</v>
      </c>
      <c r="CE318" s="315">
        <f>Data!CE222</f>
        <v>111</v>
      </c>
      <c r="CF318" s="630">
        <f>Data!CF222</f>
        <v>111</v>
      </c>
      <c r="CG318" s="315">
        <f>Data!CG222</f>
        <v>103</v>
      </c>
      <c r="CH318" s="315">
        <f>Data!CH222</f>
        <v>99</v>
      </c>
      <c r="CI318" s="315">
        <f>Data!CI222</f>
        <v>105</v>
      </c>
      <c r="CJ318" s="315">
        <f>Data!CJ222</f>
        <v>94</v>
      </c>
      <c r="CK318" s="630">
        <f>Data!CK222</f>
        <v>94</v>
      </c>
      <c r="CL318" s="315">
        <f>Data!CL222</f>
        <v>86</v>
      </c>
      <c r="CM318" s="315">
        <f>Data!CM222</f>
        <v>89</v>
      </c>
      <c r="CN318" s="315">
        <f>Data!CN222</f>
        <v>83</v>
      </c>
      <c r="CO318" s="315">
        <f>Data!CO222</f>
        <v>75</v>
      </c>
      <c r="CP318" s="630">
        <f>Data!CP222</f>
        <v>75</v>
      </c>
      <c r="CQ318" s="315">
        <f>Data!CQ222</f>
        <v>97</v>
      </c>
      <c r="CR318" s="315">
        <f>Data!CR222</f>
        <v>107</v>
      </c>
      <c r="CS318" s="315">
        <f>Data!CS222</f>
        <v>97</v>
      </c>
      <c r="CT318" s="315">
        <f>Data!CT222</f>
        <v>108</v>
      </c>
      <c r="CU318" s="630">
        <f>Data!CU222</f>
        <v>108</v>
      </c>
      <c r="CV318" s="315">
        <f>Data!CV222</f>
        <v>103</v>
      </c>
      <c r="CW318" s="315">
        <f>Data!CW222</f>
        <v>96</v>
      </c>
      <c r="CX318" s="315">
        <f>Data!CX222</f>
        <v>114</v>
      </c>
      <c r="CY318" s="315">
        <f>Data!CY222</f>
        <v>106</v>
      </c>
      <c r="CZ318" s="630">
        <f>Data!CZ222</f>
        <v>106</v>
      </c>
      <c r="DA318" s="315">
        <f>Data!DA222</f>
        <v>120</v>
      </c>
      <c r="DB318" s="315">
        <f>Data!DB222</f>
        <v>112</v>
      </c>
      <c r="DC318" s="315">
        <f>Data!DC222</f>
        <v>104</v>
      </c>
      <c r="DD318" s="315">
        <f>Data!DD222</f>
        <v>104</v>
      </c>
      <c r="DE318" s="630">
        <f>Data!DE222</f>
        <v>104</v>
      </c>
      <c r="DF318" s="315">
        <f>Data!DF222</f>
        <v>101</v>
      </c>
      <c r="DG318" s="315">
        <f>Data!DG222</f>
        <v>95</v>
      </c>
      <c r="DH318" s="315">
        <f>Data!DH222</f>
        <v>104</v>
      </c>
      <c r="DI318" s="315">
        <f>Data!DI222</f>
        <v>109</v>
      </c>
      <c r="DJ318" s="630">
        <f>Data!DJ222</f>
        <v>109</v>
      </c>
      <c r="DK318" s="315">
        <f>Data!DK222</f>
        <v>104</v>
      </c>
      <c r="DL318" s="315">
        <f>Data!DL222</f>
        <v>95</v>
      </c>
      <c r="DM318" s="315">
        <f>Data!DM222</f>
        <v>104</v>
      </c>
      <c r="DN318" s="315">
        <f>Data!DN222</f>
        <v>94</v>
      </c>
      <c r="DO318" s="630">
        <f>Data!DO222</f>
        <v>94</v>
      </c>
      <c r="DP318" s="315">
        <f>Data!DP222</f>
        <v>94</v>
      </c>
      <c r="DQ318" s="315">
        <f>Data!DQ222</f>
        <v>0</v>
      </c>
      <c r="DR318" s="315">
        <f>Data!DR222</f>
        <v>0</v>
      </c>
      <c r="DS318" s="315">
        <f>Data!DS222</f>
        <v>0</v>
      </c>
      <c r="DT318" s="630">
        <f>Data!DT222</f>
        <v>0</v>
      </c>
      <c r="DU318" s="315">
        <f>Data!DU222</f>
        <v>0</v>
      </c>
      <c r="DV318" s="315">
        <f>Data!DV222</f>
        <v>0</v>
      </c>
      <c r="DW318" s="315">
        <f>Data!DW222</f>
        <v>0</v>
      </c>
      <c r="DX318" s="315">
        <f>Data!DX222</f>
        <v>0</v>
      </c>
      <c r="DY318" s="630">
        <f>Data!DY222</f>
        <v>0</v>
      </c>
      <c r="DZ318" s="630">
        <f>Data!DZ222</f>
        <v>0</v>
      </c>
      <c r="EA318" s="630">
        <f>Data!EA222</f>
        <v>0</v>
      </c>
      <c r="EB318" s="630">
        <f>Data!EB222</f>
        <v>0</v>
      </c>
    </row>
    <row r="319" spans="2:132" s="241" customFormat="1" ht="12" hidden="1" customHeight="1" outlineLevel="1">
      <c r="B319" s="512">
        <v>777</v>
      </c>
      <c r="C319" s="518">
        <f>Data!C223</f>
        <v>0</v>
      </c>
      <c r="D319" s="518">
        <f>Data!D223</f>
        <v>0</v>
      </c>
      <c r="E319" s="518">
        <f>Data!E223</f>
        <v>0</v>
      </c>
      <c r="F319" s="519">
        <f>Data!F223</f>
        <v>241</v>
      </c>
      <c r="G319" s="518">
        <f>Data!G223</f>
        <v>198</v>
      </c>
      <c r="H319" s="518">
        <f>Data!H223</f>
        <v>173</v>
      </c>
      <c r="I319" s="518">
        <f>Data!I223</f>
        <v>159</v>
      </c>
      <c r="J319" s="519">
        <f>Data!J223</f>
        <v>153</v>
      </c>
      <c r="K319" s="519">
        <f>Data!K223</f>
        <v>145</v>
      </c>
      <c r="L319" s="519">
        <f>Data!L223</f>
        <v>145</v>
      </c>
      <c r="M319" s="519">
        <f>Data!M223</f>
        <v>167</v>
      </c>
      <c r="N319" s="518">
        <f>Data!N223</f>
        <v>167</v>
      </c>
      <c r="O319" s="519">
        <f>Data!O223</f>
        <v>167</v>
      </c>
      <c r="P319" s="519">
        <f>Data!P223</f>
        <v>172</v>
      </c>
      <c r="Q319" s="519">
        <f>Data!Q223</f>
        <v>189</v>
      </c>
      <c r="R319" s="519">
        <f>Data!R223</f>
        <v>288</v>
      </c>
      <c r="S319" s="518">
        <f>Data!S223</f>
        <v>288</v>
      </c>
      <c r="T319" s="519">
        <f>Data!T223</f>
        <v>271</v>
      </c>
      <c r="U319" s="519">
        <f>Data!U223</f>
        <v>276</v>
      </c>
      <c r="V319" s="519">
        <f>Data!V223</f>
        <v>265</v>
      </c>
      <c r="W319" s="519">
        <f>Data!W223</f>
        <v>299</v>
      </c>
      <c r="X319" s="518">
        <f>Data!X223</f>
        <v>299</v>
      </c>
      <c r="Y319" s="519">
        <f>Data!Y223</f>
        <v>322</v>
      </c>
      <c r="Z319" s="519">
        <f>Data!Z223</f>
        <v>331</v>
      </c>
      <c r="AA319" s="519">
        <f>Data!AA223</f>
        <v>344</v>
      </c>
      <c r="AB319" s="519">
        <f>Data!AB223</f>
        <v>357</v>
      </c>
      <c r="AC319" s="518">
        <f>Data!AC223</f>
        <v>357</v>
      </c>
      <c r="AD319" s="519">
        <f>Data!AD223</f>
        <v>362</v>
      </c>
      <c r="AE319" s="519">
        <f>Data!AE223</f>
        <v>358</v>
      </c>
      <c r="AF319" s="519">
        <f>Data!AF223</f>
        <v>359</v>
      </c>
      <c r="AG319" s="519">
        <f>Data!AG223</f>
        <v>350</v>
      </c>
      <c r="AH319" s="518">
        <f>Data!AH223</f>
        <v>350</v>
      </c>
      <c r="AI319" s="519">
        <f>Data!AI223</f>
        <v>331</v>
      </c>
      <c r="AJ319" s="519">
        <f>Data!AJ223</f>
        <v>314</v>
      </c>
      <c r="AK319" s="519">
        <f>Data!AK223</f>
        <v>303</v>
      </c>
      <c r="AL319" s="519">
        <f>Data!AL223</f>
        <v>281</v>
      </c>
      <c r="AM319" s="518">
        <f>Data!AM223</f>
        <v>281</v>
      </c>
      <c r="AN319" s="519">
        <f>Data!AN223</f>
        <v>259</v>
      </c>
      <c r="AO319" s="519">
        <f>Data!AO223</f>
        <v>270</v>
      </c>
      <c r="AP319" s="315">
        <f>Data!AP223</f>
        <v>265</v>
      </c>
      <c r="AQ319" s="315">
        <f>Data!AQ223</f>
        <v>253</v>
      </c>
      <c r="AR319" s="518">
        <f>Data!AR223</f>
        <v>253</v>
      </c>
      <c r="AS319" s="315">
        <f>Data!AS223</f>
        <v>286</v>
      </c>
      <c r="AT319" s="315">
        <f>Data!AT223</f>
        <v>291</v>
      </c>
      <c r="AU319" s="315">
        <f>Data!AU223</f>
        <v>325</v>
      </c>
      <c r="AV319" s="315">
        <f>AU319+76-21</f>
        <v>380</v>
      </c>
      <c r="AW319" s="314">
        <f>Data!AW223</f>
        <v>380</v>
      </c>
      <c r="AX319" s="315">
        <f>Data!AX223</f>
        <v>364</v>
      </c>
      <c r="AY319" s="315">
        <f>Data!AY223</f>
        <v>347</v>
      </c>
      <c r="AZ319" s="315">
        <f>Data!AZ223</f>
        <v>335</v>
      </c>
      <c r="BA319" s="315">
        <f>Data!BA223</f>
        <v>365</v>
      </c>
      <c r="BB319" s="314">
        <f>Data!BB223</f>
        <v>365</v>
      </c>
      <c r="BC319" s="315">
        <f>Data!BC223</f>
        <v>352</v>
      </c>
      <c r="BD319" s="315">
        <f>Data!BD223</f>
        <v>339</v>
      </c>
      <c r="BE319" s="315">
        <f>Data!BE223</f>
        <v>328</v>
      </c>
      <c r="BF319" s="315">
        <f>Data!BF223</f>
        <v>380</v>
      </c>
      <c r="BG319" s="314">
        <f>Data!BG223</f>
        <v>380</v>
      </c>
      <c r="BH319" s="315">
        <f>Data!BH223</f>
        <v>360</v>
      </c>
      <c r="BI319" s="315">
        <f>Data!BI223</f>
        <v>339</v>
      </c>
      <c r="BJ319" s="315">
        <f>Data!BJ223</f>
        <v>566</v>
      </c>
      <c r="BK319" s="315">
        <f>Data!BK223</f>
        <v>564</v>
      </c>
      <c r="BL319" s="314">
        <f>Data!BL223</f>
        <v>564</v>
      </c>
      <c r="BM319" s="315">
        <f>Data!BM223</f>
        <v>544</v>
      </c>
      <c r="BN319" s="315">
        <f>Data!BN223</f>
        <v>563</v>
      </c>
      <c r="BO319" s="315">
        <f>Data!BO223</f>
        <v>541</v>
      </c>
      <c r="BP319" s="315">
        <f>Data!BP223</f>
        <v>524</v>
      </c>
      <c r="BQ319" s="630">
        <f>Data!BQ223</f>
        <v>524</v>
      </c>
      <c r="BR319" s="315">
        <f>Data!BR223</f>
        <v>511</v>
      </c>
      <c r="BS319" s="315">
        <f>Data!BS223</f>
        <v>481</v>
      </c>
      <c r="BT319" s="315">
        <f>Data!BT223</f>
        <v>457</v>
      </c>
      <c r="BU319" s="315">
        <f>Data!BU223</f>
        <v>442</v>
      </c>
      <c r="BV319" s="630">
        <f>Data!BV223</f>
        <v>442</v>
      </c>
      <c r="BW319" s="315">
        <f>Data!BW223</f>
        <v>430</v>
      </c>
      <c r="BX319" s="315">
        <f>Data!BX223</f>
        <v>433</v>
      </c>
      <c r="BY319" s="315">
        <f>Data!BY223</f>
        <v>427</v>
      </c>
      <c r="BZ319" s="315">
        <f>Data!BZ223</f>
        <v>428</v>
      </c>
      <c r="CA319" s="630">
        <f>Data!CA223</f>
        <v>428</v>
      </c>
      <c r="CB319" s="315">
        <v>421</v>
      </c>
      <c r="CC319" s="315">
        <f>Data!CC223</f>
        <v>422</v>
      </c>
      <c r="CD319" s="315">
        <f>Data!CD223</f>
        <v>413</v>
      </c>
      <c r="CE319" s="315">
        <f>Data!CE223</f>
        <v>426</v>
      </c>
      <c r="CF319" s="630">
        <f>Data!CF223</f>
        <v>426</v>
      </c>
      <c r="CG319" s="315">
        <f>Data!CG223</f>
        <v>436</v>
      </c>
      <c r="CH319" s="315">
        <f>Data!CH223</f>
        <v>426</v>
      </c>
      <c r="CI319" s="315">
        <f>Data!CI223</f>
        <v>429</v>
      </c>
      <c r="CJ319" s="315">
        <f>Data!CJ223</f>
        <v>377</v>
      </c>
      <c r="CK319" s="630">
        <f>Data!CK223</f>
        <v>377</v>
      </c>
      <c r="CL319" s="315">
        <f>Data!CL223</f>
        <v>47</v>
      </c>
      <c r="CM319" s="315">
        <f>Data!CM223</f>
        <v>46</v>
      </c>
      <c r="CN319" s="315">
        <f>Data!CN223</f>
        <v>44</v>
      </c>
      <c r="CO319" s="315">
        <f>Data!CO223</f>
        <v>41</v>
      </c>
      <c r="CP319" s="630">
        <f>Data!CP223</f>
        <v>41</v>
      </c>
      <c r="CQ319" s="315">
        <f>Data!CQ223</f>
        <v>35</v>
      </c>
      <c r="CR319" s="315">
        <f>Data!CR223</f>
        <v>40</v>
      </c>
      <c r="CS319" s="315">
        <f>Data!CS223</f>
        <v>57</v>
      </c>
      <c r="CT319" s="315">
        <f>Data!CT223</f>
        <v>58</v>
      </c>
      <c r="CU319" s="630">
        <f>Data!CU223</f>
        <v>58</v>
      </c>
      <c r="CV319" s="315">
        <f>Data!CV223</f>
        <v>74</v>
      </c>
      <c r="CW319" s="315">
        <f>Data!CW223</f>
        <v>71</v>
      </c>
      <c r="CX319" s="315">
        <f>Data!CX223</f>
        <v>70</v>
      </c>
      <c r="CY319" s="315">
        <f>Data!CY223</f>
        <v>69</v>
      </c>
      <c r="CZ319" s="630">
        <f>Data!CZ223</f>
        <v>69</v>
      </c>
      <c r="DA319" s="315">
        <f>Data!DA223</f>
        <v>0</v>
      </c>
      <c r="DB319" s="315">
        <f>Data!DB223</f>
        <v>62</v>
      </c>
      <c r="DC319" s="315">
        <f>Data!DC223</f>
        <v>53</v>
      </c>
      <c r="DD319" s="315">
        <f>Data!DD223</f>
        <v>0</v>
      </c>
      <c r="DE319" s="630">
        <f>Data!DE223</f>
        <v>0</v>
      </c>
      <c r="DF319" s="315">
        <f>Data!DF223</f>
        <v>47</v>
      </c>
      <c r="DG319" s="315">
        <f>Data!DG223</f>
        <v>51</v>
      </c>
      <c r="DH319" s="315">
        <f>Data!DH223</f>
        <v>53</v>
      </c>
      <c r="DI319" s="315">
        <f>Data!DI223</f>
        <v>68</v>
      </c>
      <c r="DJ319" s="630">
        <f>Data!DJ223</f>
        <v>68</v>
      </c>
      <c r="DK319" s="315">
        <f>Data!DK223</f>
        <v>72</v>
      </c>
      <c r="DL319" s="315">
        <f>Data!DL223</f>
        <v>59</v>
      </c>
      <c r="DM319" s="315">
        <f>Data!DM223</f>
        <v>53</v>
      </c>
      <c r="DN319" s="315">
        <f>Data!DN223</f>
        <v>46</v>
      </c>
      <c r="DO319" s="630">
        <f>Data!DO223</f>
        <v>46</v>
      </c>
      <c r="DP319" s="315">
        <f>Data!DP223</f>
        <v>38</v>
      </c>
      <c r="DQ319" s="315">
        <f>Data!DQ223</f>
        <v>0</v>
      </c>
      <c r="DR319" s="315">
        <f>Data!DR223</f>
        <v>0</v>
      </c>
      <c r="DS319" s="315">
        <f>Data!DS223</f>
        <v>0</v>
      </c>
      <c r="DT319" s="630">
        <f>Data!DT223</f>
        <v>0</v>
      </c>
      <c r="DU319" s="315">
        <f>Data!DU223</f>
        <v>0</v>
      </c>
      <c r="DV319" s="315">
        <f>Data!DV223</f>
        <v>0</v>
      </c>
      <c r="DW319" s="315">
        <f>Data!DW223</f>
        <v>0</v>
      </c>
      <c r="DX319" s="315">
        <f>Data!DX223</f>
        <v>0</v>
      </c>
      <c r="DY319" s="630">
        <f>Data!DY223</f>
        <v>0</v>
      </c>
      <c r="DZ319" s="630">
        <f>Data!DZ223</f>
        <v>0</v>
      </c>
      <c r="EA319" s="630">
        <f>Data!EA223</f>
        <v>0</v>
      </c>
      <c r="EB319" s="630">
        <f>Data!EB223</f>
        <v>0</v>
      </c>
    </row>
    <row r="320" spans="2:132" s="241" customFormat="1" ht="12" hidden="1" customHeight="1" outlineLevel="1">
      <c r="B320" s="514">
        <v>787</v>
      </c>
      <c r="C320" s="522">
        <f>Data!C225</f>
        <v>0</v>
      </c>
      <c r="D320" s="522">
        <f>Data!D225</f>
        <v>0</v>
      </c>
      <c r="E320" s="522">
        <f>Data!E225</f>
        <v>0</v>
      </c>
      <c r="F320" s="523">
        <f>Data!F225</f>
        <v>0</v>
      </c>
      <c r="G320" s="522">
        <f>Data!G225</f>
        <v>0</v>
      </c>
      <c r="H320" s="522">
        <f>Data!H225</f>
        <v>0</v>
      </c>
      <c r="I320" s="522">
        <f>Data!I225</f>
        <v>0</v>
      </c>
      <c r="J320" s="523">
        <f>Data!J225</f>
        <v>0</v>
      </c>
      <c r="K320" s="523">
        <f>Data!K225</f>
        <v>0</v>
      </c>
      <c r="L320" s="523">
        <f>Data!L225</f>
        <v>52</v>
      </c>
      <c r="M320" s="523">
        <f>Data!M225</f>
        <v>52</v>
      </c>
      <c r="N320" s="522">
        <f>Data!N225</f>
        <v>52</v>
      </c>
      <c r="O320" s="523">
        <f>Data!O225</f>
        <v>60</v>
      </c>
      <c r="P320" s="523">
        <f>Data!P225</f>
        <v>139</v>
      </c>
      <c r="Q320" s="523">
        <f>Data!Q225</f>
        <v>170</v>
      </c>
      <c r="R320" s="523">
        <f>Data!R225</f>
        <v>287</v>
      </c>
      <c r="S320" s="522">
        <f>Data!S225</f>
        <v>287</v>
      </c>
      <c r="T320" s="523">
        <f>Data!T225</f>
        <v>341</v>
      </c>
      <c r="U320" s="523">
        <f>Data!U225</f>
        <v>356</v>
      </c>
      <c r="V320" s="523">
        <f>Data!V225</f>
        <v>402</v>
      </c>
      <c r="W320" s="523">
        <f>Data!W225</f>
        <v>448</v>
      </c>
      <c r="X320" s="522">
        <f>Data!X225</f>
        <v>448</v>
      </c>
      <c r="Y320" s="523">
        <f>Data!Y225</f>
        <v>514</v>
      </c>
      <c r="Z320" s="523">
        <f>Data!Z225</f>
        <v>637</v>
      </c>
      <c r="AA320" s="523">
        <f>Data!AA225</f>
        <v>710</v>
      </c>
      <c r="AB320" s="523">
        <f>Data!AB225</f>
        <v>817</v>
      </c>
      <c r="AC320" s="522">
        <f>Data!AC225</f>
        <v>817</v>
      </c>
      <c r="AD320" s="523">
        <f>Data!AD225</f>
        <v>892</v>
      </c>
      <c r="AE320" s="523">
        <f>Data!AE225</f>
        <v>892</v>
      </c>
      <c r="AF320" s="523">
        <f>Data!AF225</f>
        <v>891</v>
      </c>
      <c r="AG320" s="523">
        <f>Data!AG225</f>
        <v>910</v>
      </c>
      <c r="AH320" s="522">
        <f>Data!AH225</f>
        <v>910</v>
      </c>
      <c r="AI320" s="523">
        <f>Data!AI225</f>
        <v>878</v>
      </c>
      <c r="AJ320" s="523">
        <f>Data!AJ225</f>
        <v>850</v>
      </c>
      <c r="AK320" s="523">
        <f>Data!AK225</f>
        <v>850</v>
      </c>
      <c r="AL320" s="523">
        <f>Data!AL225</f>
        <v>851</v>
      </c>
      <c r="AM320" s="522">
        <f>Data!AM225</f>
        <v>851</v>
      </c>
      <c r="AN320" s="523">
        <f>Data!AN225</f>
        <v>866</v>
      </c>
      <c r="AO320" s="523">
        <f>Data!AO225</f>
        <v>863</v>
      </c>
      <c r="AP320" s="245">
        <f>Data!AP225</f>
        <v>847</v>
      </c>
      <c r="AQ320" s="245">
        <f>Data!AQ225</f>
        <v>847</v>
      </c>
      <c r="AR320" s="244">
        <f>Data!AR225</f>
        <v>847</v>
      </c>
      <c r="AS320" s="245">
        <f>Data!AS225</f>
        <v>835</v>
      </c>
      <c r="AT320" s="245">
        <f>Data!AT225</f>
        <v>827</v>
      </c>
      <c r="AU320" s="245">
        <f>Data!AU225</f>
        <v>820</v>
      </c>
      <c r="AV320" s="245">
        <f>Data!AV225</f>
        <v>857</v>
      </c>
      <c r="AW320" s="244">
        <f>Data!AW225</f>
        <v>857</v>
      </c>
      <c r="AX320" s="245">
        <f>Data!AX225</f>
        <v>843</v>
      </c>
      <c r="AY320" s="245">
        <f>Data!AY225</f>
        <v>845</v>
      </c>
      <c r="AZ320" s="245">
        <f>Data!AZ225</f>
        <v>812</v>
      </c>
      <c r="BA320" s="245">
        <f>Data!BA225</f>
        <v>799</v>
      </c>
      <c r="BB320" s="244">
        <f>Data!BB225</f>
        <v>799</v>
      </c>
      <c r="BC320" s="245">
        <f>Data!BC225</f>
        <v>840</v>
      </c>
      <c r="BD320" s="245">
        <f>Data!BD225</f>
        <v>864</v>
      </c>
      <c r="BE320" s="245">
        <f>Data!BE225</f>
        <v>890</v>
      </c>
      <c r="BF320" s="245">
        <f>Data!BF225</f>
        <v>916</v>
      </c>
      <c r="BG320" s="244">
        <f>Data!BG225</f>
        <v>916</v>
      </c>
      <c r="BH320" s="245">
        <f>Data!BH225</f>
        <v>899</v>
      </c>
      <c r="BI320" s="245">
        <f>Data!BI225</f>
        <v>869</v>
      </c>
      <c r="BJ320" s="245">
        <f>Data!BJ225</f>
        <v>861</v>
      </c>
      <c r="BK320" s="245">
        <f>Data!BK225</f>
        <v>843</v>
      </c>
      <c r="BL320" s="244">
        <f>Data!BL225</f>
        <v>843</v>
      </c>
      <c r="BM320" s="245">
        <f>Data!BM225</f>
        <v>847</v>
      </c>
      <c r="BN320" s="245">
        <f>Data!BN225</f>
        <v>803</v>
      </c>
      <c r="BO320" s="245">
        <f>Data!BO225</f>
        <v>768</v>
      </c>
      <c r="BP320" s="245">
        <f>Data!BP225</f>
        <v>779</v>
      </c>
      <c r="BQ320" s="631">
        <f>Data!BQ225</f>
        <v>779</v>
      </c>
      <c r="BR320" s="245">
        <f>Data!BR225</f>
        <v>746</v>
      </c>
      <c r="BS320" s="245">
        <f>Data!BS225</f>
        <v>724</v>
      </c>
      <c r="BT320" s="245">
        <f>Data!BT225</f>
        <v>694</v>
      </c>
      <c r="BU320" s="245">
        <f>Data!BU225</f>
        <v>700</v>
      </c>
      <c r="BV320" s="631">
        <f>Data!BV225</f>
        <v>700</v>
      </c>
      <c r="BW320" s="245">
        <f>Data!BW225</f>
        <v>679</v>
      </c>
      <c r="BX320" s="245">
        <f>Data!BX225</f>
        <v>710</v>
      </c>
      <c r="BY320" s="245">
        <f>Data!BY225</f>
        <v>683</v>
      </c>
      <c r="BZ320" s="245">
        <f>Data!BZ225</f>
        <v>658</v>
      </c>
      <c r="CA320" s="631">
        <f>Data!CA225</f>
        <v>658</v>
      </c>
      <c r="CB320" s="245">
        <v>648</v>
      </c>
      <c r="CC320" s="245">
        <f>Data!CC225</f>
        <v>655</v>
      </c>
      <c r="CD320" s="245">
        <f>Data!CD225</f>
        <v>638</v>
      </c>
      <c r="CE320" s="245">
        <f>Data!CE225</f>
        <v>604</v>
      </c>
      <c r="CF320" s="631">
        <f>Data!CF225</f>
        <v>604</v>
      </c>
      <c r="CG320" s="245">
        <f>Data!CG225</f>
        <v>596</v>
      </c>
      <c r="CH320" s="245">
        <f>Data!CH225</f>
        <v>555</v>
      </c>
      <c r="CI320" s="245">
        <f>Data!CI225</f>
        <v>529</v>
      </c>
      <c r="CJ320" s="245">
        <f>Data!CJ225</f>
        <v>520</v>
      </c>
      <c r="CK320" s="631">
        <f>Data!CK225</f>
        <v>520</v>
      </c>
      <c r="CL320" s="245">
        <f>Data!CL225</f>
        <v>515</v>
      </c>
      <c r="CM320" s="245">
        <f>Data!CM225</f>
        <v>501</v>
      </c>
      <c r="CN320" s="245">
        <f>Data!CN225</f>
        <v>475</v>
      </c>
      <c r="CO320" s="245">
        <f>Data!CO225</f>
        <v>458</v>
      </c>
      <c r="CP320" s="631">
        <f>Data!CP225</f>
        <v>458</v>
      </c>
      <c r="CQ320" s="245">
        <f>Data!CQ225</f>
        <v>442</v>
      </c>
      <c r="CR320" s="245">
        <f>Data!CR225</f>
        <v>417</v>
      </c>
      <c r="CS320" s="245">
        <f>Data!CS225</f>
        <v>413</v>
      </c>
      <c r="CT320" s="245">
        <f>Data!CT225</f>
        <v>411</v>
      </c>
      <c r="CU320" s="631">
        <f>Data!CU225</f>
        <v>411</v>
      </c>
      <c r="CV320" s="245">
        <f>Data!CV225</f>
        <v>405</v>
      </c>
      <c r="CW320" s="245">
        <f>Data!CW225</f>
        <v>407</v>
      </c>
      <c r="CX320" s="245">
        <f>Data!CX225</f>
        <v>413</v>
      </c>
      <c r="CY320" s="245">
        <f>Data!CY225</f>
        <v>505</v>
      </c>
      <c r="CZ320" s="631">
        <f>Data!CZ225</f>
        <v>505</v>
      </c>
      <c r="DA320" s="245">
        <f>Data!DA225</f>
        <v>522</v>
      </c>
      <c r="DB320" s="245">
        <f>Data!DB225</f>
        <v>569</v>
      </c>
      <c r="DC320" s="245">
        <f>Data!DC225</f>
        <v>666</v>
      </c>
      <c r="DD320" s="245">
        <f>Data!DD225</f>
        <v>726</v>
      </c>
      <c r="DE320" s="631">
        <f>Data!DE225</f>
        <v>726</v>
      </c>
      <c r="DF320" s="245">
        <f>Data!DF225</f>
        <v>719</v>
      </c>
      <c r="DG320" s="245">
        <f>Data!DG225</f>
        <v>716</v>
      </c>
      <c r="DH320" s="245">
        <f>Data!DH225</f>
        <v>666</v>
      </c>
      <c r="DI320" s="245">
        <f>Data!DI225</f>
        <v>719</v>
      </c>
      <c r="DJ320" s="631">
        <f>Data!DJ225</f>
        <v>719</v>
      </c>
      <c r="DK320" s="245">
        <f>Data!DK225</f>
        <v>767</v>
      </c>
      <c r="DL320" s="245">
        <f>Data!DL225</f>
        <v>941</v>
      </c>
      <c r="DM320" s="245">
        <f>Data!DM225</f>
        <v>666</v>
      </c>
      <c r="DN320" s="245">
        <f>Data!DN225</f>
        <v>1026</v>
      </c>
      <c r="DO320" s="631">
        <f>Data!DO225</f>
        <v>1026</v>
      </c>
      <c r="DP320" s="245">
        <f>Data!DP225</f>
        <v>1059</v>
      </c>
      <c r="DQ320" s="245">
        <f>Data!DQ225</f>
        <v>0</v>
      </c>
      <c r="DR320" s="245">
        <f>Data!DR225</f>
        <v>0</v>
      </c>
      <c r="DS320" s="245">
        <f>Data!DS225</f>
        <v>0</v>
      </c>
      <c r="DT320" s="631">
        <f>Data!DT225</f>
        <v>0</v>
      </c>
      <c r="DU320" s="245">
        <f>Data!DU225</f>
        <v>0</v>
      </c>
      <c r="DV320" s="245">
        <f>Data!DV225</f>
        <v>0</v>
      </c>
      <c r="DW320" s="245">
        <f>Data!DW225</f>
        <v>0</v>
      </c>
      <c r="DX320" s="245">
        <f>Data!DX225</f>
        <v>0</v>
      </c>
      <c r="DY320" s="631">
        <f>Data!DY225</f>
        <v>0</v>
      </c>
      <c r="DZ320" s="631">
        <f>Data!DZ225</f>
        <v>0</v>
      </c>
      <c r="EA320" s="631">
        <f>Data!EA225</f>
        <v>0</v>
      </c>
      <c r="EB320" s="631">
        <f>Data!EB225</f>
        <v>0</v>
      </c>
    </row>
    <row r="321" spans="2:132" s="241" customFormat="1" ht="12" hidden="1" customHeight="1" outlineLevel="1">
      <c r="B321" s="48" t="s">
        <v>188</v>
      </c>
      <c r="C321" s="520">
        <f>Data!C226</f>
        <v>0</v>
      </c>
      <c r="D321" s="520">
        <f>Data!D226</f>
        <v>0</v>
      </c>
      <c r="E321" s="520">
        <f>Data!E226</f>
        <v>0</v>
      </c>
      <c r="F321" s="521">
        <f>Data!F226</f>
        <v>1598</v>
      </c>
      <c r="G321" s="520">
        <f>Data!G226</f>
        <v>1276</v>
      </c>
      <c r="H321" s="520">
        <f>Data!H226</f>
        <v>1083</v>
      </c>
      <c r="I321" s="520">
        <f>Data!I226</f>
        <v>1051</v>
      </c>
      <c r="J321" s="521">
        <f>Data!J226</f>
        <v>1020</v>
      </c>
      <c r="K321" s="521">
        <f>Data!K226</f>
        <v>1001</v>
      </c>
      <c r="L321" s="521">
        <f>Data!L226</f>
        <v>1047</v>
      </c>
      <c r="M321" s="521">
        <f>Data!M226</f>
        <v>1062</v>
      </c>
      <c r="N321" s="520">
        <f>Data!N226</f>
        <v>1062</v>
      </c>
      <c r="O321" s="521">
        <f>Data!O226</f>
        <v>1053</v>
      </c>
      <c r="P321" s="521">
        <f>Data!P226</f>
        <v>1337</v>
      </c>
      <c r="Q321" s="521">
        <f>Data!Q226</f>
        <v>1476</v>
      </c>
      <c r="R321" s="521">
        <f>Data!R226</f>
        <v>1791</v>
      </c>
      <c r="S321" s="520">
        <f>Data!S226</f>
        <v>1791</v>
      </c>
      <c r="T321" s="521">
        <f>Data!T226</f>
        <v>1869</v>
      </c>
      <c r="U321" s="521">
        <f>Data!U226</f>
        <v>2086</v>
      </c>
      <c r="V321" s="521">
        <f>Data!V226</f>
        <v>2233</v>
      </c>
      <c r="W321" s="521">
        <f>Data!W226</f>
        <v>2451</v>
      </c>
      <c r="X321" s="520">
        <f>Data!X226</f>
        <v>2451</v>
      </c>
      <c r="Y321" s="521">
        <f>Data!Y226</f>
        <v>2534</v>
      </c>
      <c r="Z321" s="521">
        <f>Data!Z226</f>
        <v>2774</v>
      </c>
      <c r="AA321" s="521">
        <f>Data!AA226</f>
        <v>3019</v>
      </c>
      <c r="AB321" s="521">
        <f>Data!AB226</f>
        <v>3427</v>
      </c>
      <c r="AC321" s="520">
        <f>Data!AC226</f>
        <v>3427</v>
      </c>
      <c r="AD321" s="521">
        <f>Data!AD226</f>
        <v>3600</v>
      </c>
      <c r="AE321" s="521">
        <f>Data!AE226</f>
        <v>3657</v>
      </c>
      <c r="AF321" s="521">
        <f>Data!AF226</f>
        <v>3721</v>
      </c>
      <c r="AG321" s="521">
        <f>Data!AG226</f>
        <v>3714</v>
      </c>
      <c r="AH321" s="520">
        <f>Data!AH226</f>
        <v>3714</v>
      </c>
      <c r="AI321" s="521">
        <f>Data!AI226</f>
        <v>3589</v>
      </c>
      <c r="AJ321" s="521">
        <f>Data!AJ226</f>
        <v>3469</v>
      </c>
      <c r="AK321" s="521">
        <f>Data!AK226</f>
        <v>3435</v>
      </c>
      <c r="AL321" s="521">
        <f>Data!AL226</f>
        <v>3375</v>
      </c>
      <c r="AM321" s="520">
        <f>Data!AM226</f>
        <v>3375</v>
      </c>
      <c r="AN321" s="521">
        <f>Data!AN226</f>
        <v>3350</v>
      </c>
      <c r="AO321" s="521">
        <f>Data!AO226</f>
        <v>3304</v>
      </c>
      <c r="AP321" s="391">
        <f>Data!AP226</f>
        <v>3401</v>
      </c>
      <c r="AQ321" s="391">
        <f>Data!AQ226</f>
        <v>3443</v>
      </c>
      <c r="AR321" s="390">
        <f>Data!AR226</f>
        <v>3443</v>
      </c>
      <c r="AS321" s="391">
        <f>Data!AS226</f>
        <v>3445</v>
      </c>
      <c r="AT321" s="391">
        <f>Data!AT226</f>
        <v>3392</v>
      </c>
      <c r="AU321" s="391">
        <f>Data!AU226</f>
        <v>3520</v>
      </c>
      <c r="AV321" s="391">
        <f>Data!AV226</f>
        <v>3771</v>
      </c>
      <c r="AW321" s="390">
        <f>Data!AW226</f>
        <v>3771</v>
      </c>
      <c r="AX321" s="391">
        <f>Data!AX226</f>
        <v>4046</v>
      </c>
      <c r="AY321" s="391">
        <f>Data!AY226</f>
        <v>3924</v>
      </c>
      <c r="AZ321" s="391">
        <f>Data!AZ226</f>
        <v>4144</v>
      </c>
      <c r="BA321" s="391">
        <f>Data!BA226</f>
        <v>4373</v>
      </c>
      <c r="BB321" s="390">
        <f>Data!BB226</f>
        <v>4373</v>
      </c>
      <c r="BC321" s="391">
        <f>Data!BC226</f>
        <v>4445</v>
      </c>
      <c r="BD321" s="391">
        <f>Data!BD226</f>
        <v>4757</v>
      </c>
      <c r="BE321" s="391">
        <f>Data!BE226</f>
        <v>4787</v>
      </c>
      <c r="BF321" s="391">
        <f>Data!BF226</f>
        <v>5080</v>
      </c>
      <c r="BG321" s="390">
        <f>Data!BG226</f>
        <v>5080</v>
      </c>
      <c r="BH321" s="391">
        <f>Data!BH226</f>
        <v>5154</v>
      </c>
      <c r="BI321" s="391">
        <f>Data!BI226</f>
        <v>5237</v>
      </c>
      <c r="BJ321" s="391">
        <f>Data!BJ226</f>
        <v>5552</v>
      </c>
      <c r="BK321" s="391">
        <f>Data!BK226</f>
        <v>5789</v>
      </c>
      <c r="BL321" s="390">
        <f>Data!BL226</f>
        <v>5789</v>
      </c>
      <c r="BM321" s="391">
        <f>Data!BM226</f>
        <v>5712</v>
      </c>
      <c r="BN321" s="391">
        <f>Data!BN226</f>
        <v>5689</v>
      </c>
      <c r="BO321" s="391">
        <f>Data!BO226</f>
        <v>5656</v>
      </c>
      <c r="BP321" s="391">
        <f>Data!BP226</f>
        <v>5795</v>
      </c>
      <c r="BQ321" s="660">
        <f>Data!BQ226</f>
        <v>5795</v>
      </c>
      <c r="BR321" s="391">
        <f>Data!BR226</f>
        <v>5740</v>
      </c>
      <c r="BS321" s="391">
        <f>Data!BS226</f>
        <v>5693</v>
      </c>
      <c r="BT321" s="391">
        <f>Data!BT226</f>
        <v>5612</v>
      </c>
      <c r="BU321" s="391">
        <f>Data!BU226</f>
        <v>5715</v>
      </c>
      <c r="BV321" s="660">
        <f>Data!BV226</f>
        <v>5715</v>
      </c>
      <c r="BW321" s="391">
        <f>Data!BW226</f>
        <v>5744</v>
      </c>
      <c r="BX321" s="391">
        <f>Data!BX226</f>
        <v>5744</v>
      </c>
      <c r="BY321" s="391">
        <f>Data!BY226</f>
        <v>5659</v>
      </c>
      <c r="BZ321" s="391">
        <f>Data!BZ226</f>
        <v>5884</v>
      </c>
      <c r="CA321" s="660">
        <f>Data!CA226</f>
        <v>5884</v>
      </c>
      <c r="CB321" s="391">
        <f>Data!CB226</f>
        <v>5835</v>
      </c>
      <c r="CC321" s="391">
        <f>Data!CC226</f>
        <v>5876</v>
      </c>
      <c r="CD321" s="391">
        <f>Data!CD226</f>
        <v>5849</v>
      </c>
      <c r="CE321" s="391">
        <f>Data!CE226</f>
        <v>5873</v>
      </c>
      <c r="CF321" s="660">
        <f>Data!CF226</f>
        <v>5873</v>
      </c>
      <c r="CG321" s="391">
        <f>Data!CG226</f>
        <v>5605</v>
      </c>
      <c r="CH321" s="391">
        <f>Data!CH226</f>
        <v>5515</v>
      </c>
      <c r="CI321" s="391">
        <f>Data!CI226</f>
        <v>5488</v>
      </c>
      <c r="CJ321" s="391">
        <f>Data!CJ226</f>
        <v>5406</v>
      </c>
      <c r="CK321" s="660">
        <f>Data!CK226</f>
        <v>5406</v>
      </c>
      <c r="CL321" s="391">
        <f>Data!CL226</f>
        <v>5049</v>
      </c>
      <c r="CM321" s="391">
        <f>Data!CM226</f>
        <v>4552</v>
      </c>
      <c r="CN321" s="391">
        <f>Data!CN226</f>
        <v>4325</v>
      </c>
      <c r="CO321" s="391">
        <f>Data!CO226</f>
        <v>4055</v>
      </c>
      <c r="CP321" s="660">
        <f>Data!CP226</f>
        <v>4055</v>
      </c>
      <c r="CQ321" s="391">
        <f>Data!CQ226</f>
        <v>4054</v>
      </c>
      <c r="CR321" s="391">
        <f>Data!CR226</f>
        <v>4155</v>
      </c>
      <c r="CS321" s="391">
        <f>Data!CS226</f>
        <v>4163</v>
      </c>
      <c r="CT321" s="391">
        <f>Data!CT226</f>
        <v>4250</v>
      </c>
      <c r="CU321" s="660">
        <f>Data!CU226</f>
        <v>4250</v>
      </c>
      <c r="CV321" s="391">
        <f>Data!CV226</f>
        <v>4176</v>
      </c>
      <c r="CW321" s="391">
        <f>Data!CW226</f>
        <v>4239</v>
      </c>
      <c r="CX321" s="391">
        <f>Data!CX226</f>
        <v>4354</v>
      </c>
      <c r="CY321" s="391">
        <f>Data!CY226</f>
        <v>4578</v>
      </c>
      <c r="CZ321" s="660">
        <f>Data!CZ226</f>
        <v>4578</v>
      </c>
      <c r="DA321" s="391">
        <f>Data!DA226</f>
        <v>4555</v>
      </c>
      <c r="DB321" s="391">
        <f>Data!DB226</f>
        <v>4879</v>
      </c>
      <c r="DC321" s="391">
        <f>Data!DC226</f>
        <v>5172</v>
      </c>
      <c r="DD321" s="391">
        <f>Data!DD226</f>
        <v>5626</v>
      </c>
      <c r="DE321" s="660">
        <f>Data!DE226</f>
        <v>5626</v>
      </c>
      <c r="DF321" s="391">
        <f>Data!DF226</f>
        <v>5668</v>
      </c>
      <c r="DG321" s="391">
        <f>Data!DG226</f>
        <v>5477</v>
      </c>
      <c r="DH321" s="391">
        <f>Data!DH226</f>
        <v>5172</v>
      </c>
      <c r="DI321" s="391">
        <f>Data!DI226</f>
        <v>5557</v>
      </c>
      <c r="DJ321" s="660">
        <f>Data!DJ226</f>
        <v>5557</v>
      </c>
      <c r="DK321" s="391">
        <f>Data!DK226</f>
        <v>5648</v>
      </c>
      <c r="DL321" s="391">
        <f>Data!DL226</f>
        <v>5953</v>
      </c>
      <c r="DM321" s="391">
        <f>Data!DM226</f>
        <v>5172</v>
      </c>
      <c r="DN321" s="391">
        <f>Data!DN226</f>
        <v>6130</v>
      </c>
      <c r="DO321" s="660">
        <f>Data!DO226</f>
        <v>6130</v>
      </c>
      <c r="DP321" s="391">
        <f>Data!DP226</f>
        <v>6127</v>
      </c>
      <c r="DQ321" s="391">
        <f>Data!DQ226</f>
        <v>0</v>
      </c>
      <c r="DR321" s="391">
        <f>Data!DR226</f>
        <v>0</v>
      </c>
      <c r="DS321" s="391">
        <f>Data!DS226</f>
        <v>0</v>
      </c>
      <c r="DT321" s="660">
        <f>Data!DT226</f>
        <v>0</v>
      </c>
      <c r="DU321" s="391">
        <f>Data!DU226</f>
        <v>0</v>
      </c>
      <c r="DV321" s="391">
        <f>Data!DV226</f>
        <v>0</v>
      </c>
      <c r="DW321" s="391">
        <f>Data!DW226</f>
        <v>0</v>
      </c>
      <c r="DX321" s="391">
        <f>Data!DX226</f>
        <v>0</v>
      </c>
      <c r="DY321" s="660">
        <f>Data!DY226</f>
        <v>0</v>
      </c>
      <c r="DZ321" s="660">
        <f>Data!DZ226</f>
        <v>0</v>
      </c>
      <c r="EA321" s="660">
        <f>Data!EA226</f>
        <v>0</v>
      </c>
      <c r="EB321" s="660">
        <f>Data!EB226</f>
        <v>0</v>
      </c>
    </row>
    <row r="322" spans="2:132" s="241" customFormat="1" ht="12" hidden="1" customHeight="1" outlineLevel="1">
      <c r="B322" s="348"/>
      <c r="C322" s="355"/>
      <c r="D322" s="355"/>
      <c r="E322" s="355"/>
      <c r="F322" s="356"/>
      <c r="G322" s="355"/>
      <c r="H322" s="355"/>
      <c r="I322" s="355"/>
      <c r="J322" s="356"/>
      <c r="K322" s="356"/>
      <c r="L322" s="356"/>
      <c r="M322" s="356"/>
      <c r="N322" s="466"/>
      <c r="O322" s="356"/>
      <c r="P322" s="356"/>
      <c r="Q322" s="356"/>
      <c r="R322" s="356"/>
      <c r="S322" s="466"/>
      <c r="T322" s="356"/>
      <c r="U322" s="356"/>
      <c r="V322" s="356"/>
      <c r="W322" s="356"/>
      <c r="X322" s="466"/>
      <c r="Y322" s="356"/>
      <c r="Z322" s="356"/>
      <c r="AA322" s="356"/>
      <c r="AB322" s="356"/>
      <c r="AC322" s="466"/>
      <c r="AD322" s="356"/>
      <c r="AE322" s="356"/>
      <c r="AF322" s="356"/>
      <c r="AG322" s="356"/>
      <c r="AH322" s="466"/>
      <c r="AI322" s="356"/>
      <c r="AJ322" s="356"/>
      <c r="AK322" s="356"/>
      <c r="AL322" s="356"/>
      <c r="AM322" s="466"/>
      <c r="AN322" s="356"/>
      <c r="AO322" s="356"/>
      <c r="AP322" s="356"/>
      <c r="AQ322" s="356"/>
      <c r="AR322" s="466"/>
      <c r="AS322" s="356"/>
      <c r="AT322" s="356"/>
      <c r="AU322" s="356"/>
      <c r="AV322" s="356"/>
      <c r="AW322" s="355"/>
      <c r="AX322" s="356"/>
      <c r="AY322" s="356"/>
      <c r="AZ322" s="356"/>
      <c r="BA322" s="356"/>
      <c r="BB322" s="355"/>
      <c r="BC322" s="356"/>
      <c r="BD322" s="356"/>
      <c r="BE322" s="356"/>
      <c r="BF322" s="356"/>
      <c r="BG322" s="355"/>
      <c r="BH322" s="656"/>
      <c r="BI322" s="356"/>
      <c r="BJ322" s="656"/>
      <c r="BK322" s="656"/>
      <c r="BL322" s="355"/>
      <c r="BM322" s="656"/>
      <c r="BN322" s="656"/>
      <c r="BO322" s="656"/>
      <c r="BP322" s="656"/>
      <c r="BQ322" s="657"/>
      <c r="BR322" s="656"/>
      <c r="BS322" s="656"/>
      <c r="BT322" s="656"/>
      <c r="BU322" s="656"/>
      <c r="BV322" s="657"/>
      <c r="BW322" s="656"/>
      <c r="BX322" s="656"/>
      <c r="BY322" s="656"/>
      <c r="BZ322" s="656"/>
      <c r="CA322" s="657"/>
      <c r="CB322" s="656"/>
      <c r="CC322" s="656"/>
      <c r="CD322" s="656"/>
      <c r="CE322" s="656"/>
      <c r="CF322" s="660"/>
      <c r="CG322" s="656"/>
      <c r="CH322" s="656"/>
      <c r="CI322" s="656"/>
      <c r="CJ322" s="656"/>
      <c r="CK322" s="657"/>
      <c r="CL322" s="656"/>
      <c r="CM322" s="656"/>
      <c r="CN322" s="656"/>
      <c r="CO322" s="656"/>
      <c r="CP322" s="657"/>
      <c r="CQ322" s="656"/>
      <c r="CR322" s="656"/>
      <c r="CS322" s="656"/>
      <c r="CT322" s="656"/>
      <c r="CU322" s="657"/>
      <c r="CV322" s="656"/>
      <c r="CW322" s="656"/>
      <c r="CX322" s="656"/>
      <c r="CY322" s="656"/>
      <c r="CZ322" s="657"/>
      <c r="DA322" s="656"/>
      <c r="DB322" s="656"/>
      <c r="DC322" s="656"/>
      <c r="DD322" s="656"/>
      <c r="DE322" s="657"/>
      <c r="DF322" s="656"/>
      <c r="DG322" s="656"/>
      <c r="DH322" s="656"/>
      <c r="DI322" s="656"/>
      <c r="DJ322" s="660"/>
      <c r="DK322" s="656"/>
      <c r="DL322" s="656"/>
      <c r="DM322" s="656"/>
      <c r="DN322" s="656"/>
      <c r="DO322" s="660"/>
      <c r="DP322" s="656"/>
      <c r="DQ322" s="656"/>
      <c r="DR322" s="656"/>
      <c r="DS322" s="656"/>
      <c r="DT322" s="660"/>
      <c r="DU322" s="656"/>
      <c r="DV322" s="656"/>
      <c r="DW322" s="656"/>
      <c r="DX322" s="656"/>
      <c r="DY322" s="660"/>
      <c r="DZ322" s="658"/>
      <c r="EA322" s="658"/>
      <c r="EB322" s="658"/>
    </row>
    <row r="323" spans="2:132" s="241" customFormat="1" ht="12" hidden="1" customHeight="1" outlineLevel="1">
      <c r="B323" s="48" t="s">
        <v>386</v>
      </c>
      <c r="C323" s="355"/>
      <c r="D323" s="355"/>
      <c r="E323" s="355"/>
      <c r="F323" s="356"/>
      <c r="G323" s="355"/>
      <c r="H323" s="355"/>
      <c r="I323" s="355"/>
      <c r="J323" s="356"/>
      <c r="K323" s="356"/>
      <c r="L323" s="356"/>
      <c r="M323" s="356"/>
      <c r="N323" s="355"/>
      <c r="O323" s="356"/>
      <c r="P323" s="356"/>
      <c r="Q323" s="356"/>
      <c r="R323" s="356"/>
      <c r="S323" s="355"/>
      <c r="T323" s="356"/>
      <c r="U323" s="356"/>
      <c r="V323" s="356"/>
      <c r="W323" s="356"/>
      <c r="X323" s="355"/>
      <c r="Y323" s="356"/>
      <c r="Z323" s="356"/>
      <c r="AA323" s="356"/>
      <c r="AB323" s="356"/>
      <c r="AC323" s="355"/>
      <c r="AD323" s="356"/>
      <c r="AE323" s="356"/>
      <c r="AF323" s="356"/>
      <c r="AG323" s="356"/>
      <c r="AH323" s="355"/>
      <c r="AI323" s="356"/>
      <c r="AJ323" s="356"/>
      <c r="AK323" s="356"/>
      <c r="AL323" s="356"/>
      <c r="AM323" s="355"/>
      <c r="AN323" s="356"/>
      <c r="AO323" s="356"/>
      <c r="AP323" s="356"/>
      <c r="AQ323" s="356"/>
      <c r="AR323" s="355"/>
      <c r="AS323" s="356"/>
      <c r="AT323" s="356"/>
      <c r="AU323" s="356"/>
      <c r="AV323" s="356"/>
      <c r="AW323" s="355"/>
      <c r="AX323" s="356"/>
      <c r="AY323" s="356"/>
      <c r="AZ323" s="356"/>
      <c r="BA323" s="356"/>
      <c r="BB323" s="355"/>
      <c r="BC323" s="356"/>
      <c r="BD323" s="356"/>
      <c r="BE323" s="356"/>
      <c r="BF323" s="356"/>
      <c r="BG323" s="355"/>
      <c r="BH323" s="656"/>
      <c r="BI323" s="356"/>
      <c r="BJ323" s="656"/>
      <c r="BK323" s="656"/>
      <c r="BL323" s="355"/>
      <c r="BM323" s="656"/>
      <c r="BN323" s="656"/>
      <c r="BO323" s="656"/>
      <c r="BP323" s="656"/>
      <c r="BQ323" s="657"/>
      <c r="BR323" s="656"/>
      <c r="BS323" s="656"/>
      <c r="BT323" s="656"/>
      <c r="BU323" s="656"/>
      <c r="BV323" s="657"/>
      <c r="BW323" s="656"/>
      <c r="BX323" s="656"/>
      <c r="BY323" s="656"/>
      <c r="BZ323" s="656"/>
      <c r="CA323" s="657"/>
      <c r="CB323" s="656"/>
      <c r="CC323" s="656"/>
      <c r="CD323" s="656"/>
      <c r="CE323" s="656"/>
      <c r="CF323" s="657"/>
      <c r="CG323" s="656"/>
      <c r="CH323" s="656"/>
      <c r="CI323" s="656"/>
      <c r="CJ323" s="656"/>
      <c r="CK323" s="657"/>
      <c r="CL323" s="656"/>
      <c r="CM323" s="656"/>
      <c r="CN323" s="656"/>
      <c r="CO323" s="656"/>
      <c r="CP323" s="657"/>
      <c r="CQ323" s="656"/>
      <c r="CR323" s="656"/>
      <c r="CS323" s="656"/>
      <c r="CT323" s="656"/>
      <c r="CU323" s="657"/>
      <c r="CV323" s="656"/>
      <c r="CW323" s="656"/>
      <c r="CX323" s="656"/>
      <c r="CY323" s="656"/>
      <c r="CZ323" s="657"/>
      <c r="DA323" s="656"/>
      <c r="DB323" s="656"/>
      <c r="DC323" s="656"/>
      <c r="DD323" s="656"/>
      <c r="DE323" s="657"/>
      <c r="DF323" s="656"/>
      <c r="DG323" s="656"/>
      <c r="DH323" s="656"/>
      <c r="DI323" s="656"/>
      <c r="DJ323" s="657"/>
      <c r="DK323" s="656"/>
      <c r="DL323" s="656"/>
      <c r="DM323" s="656"/>
      <c r="DN323" s="656"/>
      <c r="DO323" s="657"/>
      <c r="DP323" s="656"/>
      <c r="DQ323" s="656"/>
      <c r="DR323" s="656"/>
      <c r="DS323" s="656"/>
      <c r="DT323" s="657"/>
      <c r="DU323" s="656"/>
      <c r="DV323" s="656"/>
      <c r="DW323" s="656"/>
      <c r="DX323" s="656"/>
      <c r="DY323" s="657"/>
      <c r="DZ323" s="657"/>
      <c r="EA323" s="657"/>
      <c r="EB323" s="657"/>
    </row>
    <row r="324" spans="2:132" s="241" customFormat="1" ht="12" hidden="1" customHeight="1" outlineLevel="1">
      <c r="B324" s="514">
        <v>717</v>
      </c>
      <c r="C324" s="355"/>
      <c r="D324" s="355"/>
      <c r="E324" s="526"/>
      <c r="F324" s="526">
        <f>IF(ISERROR(F314/Commercial!F83), "-", F314/Commercial!F83)</f>
        <v>3.34375</v>
      </c>
      <c r="G324" s="526">
        <f>IF(ISERROR(G314/Commercial!G83), "-", G314/Commercial!G83)</f>
        <v>0.61224489795918369</v>
      </c>
      <c r="H324" s="526">
        <f>IF(ISERROR(H314/Commercial!H83), "-", H314/Commercial!H83)</f>
        <v>1.3</v>
      </c>
      <c r="I324" s="526">
        <f>IF(ISERROR(I314/Commercial!I83), "-", I314/Commercial!I83)</f>
        <v>1.8333333333333333</v>
      </c>
      <c r="J324" s="524">
        <f>IF(ISERROR(J314/Commercial!N83), "-", J314/Commercial!N83)</f>
        <v>1.5833333333333333</v>
      </c>
      <c r="K324" s="524">
        <f>IF(ISERROR(K314/Commercial!N83), "-", K314/Commercial!N83)</f>
        <v>1.8333333333333333</v>
      </c>
      <c r="L324" s="524">
        <f>IF(ISERROR(L314/Commercial!N83), "-", L314/Commercial!N83)</f>
        <v>1.5833333333333333</v>
      </c>
      <c r="M324" s="524">
        <f>IF(ISERROR(M314/Commercial!N83), "-", M314/Commercial!N83)</f>
        <v>1.5</v>
      </c>
      <c r="N324" s="526">
        <f>IF(ISERROR(N314/Commercial!N83), "-", N314/Commercial!N83)</f>
        <v>1.5</v>
      </c>
      <c r="O324" s="524">
        <f>IF(ISERROR(O314/Commercial!S83), "-", O314/Commercial!S83)</f>
        <v>1.1538461538461537</v>
      </c>
      <c r="P324" s="524">
        <f>IF(ISERROR(P314/Commercial!S83), "-", P314/Commercial!S83)</f>
        <v>0.92307692307692313</v>
      </c>
      <c r="Q324" s="524">
        <f>IF(ISERROR(Q314/Commercial!S83), "-", Q314/Commercial!S83)</f>
        <v>0.69230769230769229</v>
      </c>
      <c r="R324" s="524">
        <f>IF(ISERROR(R314/Commercial!S83), "-", R314/Commercial!S83)</f>
        <v>0.38461538461538464</v>
      </c>
      <c r="S324" s="526">
        <f>IF(ISERROR(S314/Commercial!S83), "-", S314/Commercial!S83)</f>
        <v>0.38461538461538464</v>
      </c>
      <c r="T324" s="524">
        <f>IF(ISERROR(T314/Commercial!X83), "-", T314/Commercial!X83)</f>
        <v>0.6</v>
      </c>
      <c r="U324" s="524">
        <f>IF(ISERROR(U314/Commercial!X83), "-", U314/Commercial!X83)</f>
        <v>0</v>
      </c>
      <c r="V324" s="524">
        <f>IF(ISERROR(V314/Commercial!X83), "-", V314/Commercial!X83)</f>
        <v>0</v>
      </c>
      <c r="W324" s="524">
        <f>IF(ISERROR(W314/Commercial!X83), "-", W314/Commercial!X83)</f>
        <v>0</v>
      </c>
      <c r="X324" s="526">
        <f>IF(ISERROR(X314/Commercial!X83), "-", X314/Commercial!X83)</f>
        <v>0</v>
      </c>
      <c r="Y324" s="524" t="str">
        <f>IF(ISERROR(Y314/Commercial!AC83), "-", Y314/Commercial!AC83)</f>
        <v>-</v>
      </c>
      <c r="Z324" s="524" t="str">
        <f>IF(ISERROR(Z314/Commercial!AC83), "-", Z314/Commercial!AC83)</f>
        <v>-</v>
      </c>
      <c r="AA324" s="524" t="str">
        <f>IF(ISERROR(AA314/Commercial!AC83), "-", AA314/Commercial!AC83)</f>
        <v>-</v>
      </c>
      <c r="AB324" s="524" t="str">
        <f>IF(ISERROR(AB314/Commercial!AC83), "-", AB314/Commercial!AC83)</f>
        <v>-</v>
      </c>
      <c r="AC324" s="526" t="str">
        <f>IF(ISERROR(AC314/Commercial!AC83), "-", AC314/Commercial!AC83)</f>
        <v>-</v>
      </c>
      <c r="AD324" s="524" t="str">
        <f>IF(ISERROR(AD314/Commercial!AH83), "-", AD314/Commercial!AH83)</f>
        <v>-</v>
      </c>
      <c r="AE324" s="524" t="str">
        <f>IF(ISERROR(AE314/Commercial!AH83), "-", AE314/Commercial!AH83)</f>
        <v>-</v>
      </c>
      <c r="AF324" s="524" t="str">
        <f>IF(ISERROR(AF314/Commercial!AH83), "-", AF314/Commercial!AH83)</f>
        <v>-</v>
      </c>
      <c r="AG324" s="524" t="str">
        <f>IF(ISERROR(AG314/Commercial!AH83), "-", AG314/Commercial!AH83)</f>
        <v>-</v>
      </c>
      <c r="AH324" s="526" t="str">
        <f>IF(ISERROR(AH314/Commercial!AH83), "-", AH314/Commercial!AH83)</f>
        <v>-</v>
      </c>
      <c r="AI324" s="524" t="str">
        <f>IF(ISERROR(AI314/Commercial!AM83), "-", AI314/Commercial!AM83)</f>
        <v>-</v>
      </c>
      <c r="AJ324" s="524" t="str">
        <f>IF(ISERROR(AJ314/Commercial!AM83), "-", AJ314/Commercial!AM83)</f>
        <v>-</v>
      </c>
      <c r="AK324" s="524" t="str">
        <f>IF(ISERROR(AK314/Commercial!AM83), "-", AK314/Commercial!AM83)</f>
        <v>-</v>
      </c>
      <c r="AL324" s="524" t="str">
        <f>IF(ISERROR(AL314/Commercial!AM83), "-", AL314/Commercial!AM83)</f>
        <v>-</v>
      </c>
      <c r="AM324" s="526" t="str">
        <f>IF(ISERROR(AM314/Commercial!AM83), "-", AM314/Commercial!AM83)</f>
        <v>-</v>
      </c>
      <c r="AN324" s="524" t="str">
        <f>IF(ISERROR(AN314/Commercial!AR83), "-", AN314/Commercial!AR83)</f>
        <v>-</v>
      </c>
      <c r="AO324" s="524" t="str">
        <f>IF(ISERROR(AO314/Commercial!AR83), "-", AO314/Commercial!AR83)</f>
        <v>-</v>
      </c>
      <c r="AP324" s="524" t="str">
        <f>IF(ISERROR(AP314/Commercial!AR83), "-", AP314/Commercial!AR83)</f>
        <v>-</v>
      </c>
      <c r="AQ324" s="524" t="str">
        <f>IF(ISERROR(AQ314/Commercial!AR83), "-", AQ314/Commercial!AR83)</f>
        <v>-</v>
      </c>
      <c r="AR324" s="526" t="str">
        <f>IF(ISERROR(AR314/Commercial!AR83), "-", AR314/Commercial!AR83)</f>
        <v>-</v>
      </c>
      <c r="AS324" s="524" t="str">
        <f>IF(ISERROR(AS314/Commercial!AW83), "-", AS314/Commercial!AW83)</f>
        <v>-</v>
      </c>
      <c r="AT324" s="524" t="str">
        <f>IF(ISERROR(AT314/Commercial!AW83), "-", AT314/Commercial!AW83)</f>
        <v>-</v>
      </c>
      <c r="AU324" s="524" t="str">
        <f>IF(ISERROR(AU314/Commercial!AW83), "-", AU314/Commercial!AW83)</f>
        <v>-</v>
      </c>
      <c r="AV324" s="524" t="str">
        <f>IF(ISERROR(AV314/Commercial!AW83), "-", AV314/Commercial!AW83)</f>
        <v>-</v>
      </c>
      <c r="AW324" s="526" t="str">
        <f>IF(ISERROR(AW314/Commercial!AW83), "-", AW314/Commercial!AW83)</f>
        <v>-</v>
      </c>
      <c r="AX324" s="524" t="str">
        <f>IF(ISERROR(AX314/Commercial!BB83), "-", AX314/Commercial!BB83)</f>
        <v>-</v>
      </c>
      <c r="AY324" s="524" t="str">
        <f>IF(ISERROR(AY314/Commercial!BB83), "-", AY314/Commercial!BB83)</f>
        <v>-</v>
      </c>
      <c r="AZ324" s="524" t="str">
        <f>IF(ISERROR(AZ314/Commercial!BB83), "-", AZ314/Commercial!BB83)</f>
        <v>-</v>
      </c>
      <c r="BA324" s="524" t="str">
        <f>IF(ISERROR(BA314/Commercial!BB83), "-", BA314/Commercial!BB83)</f>
        <v>-</v>
      </c>
      <c r="BB324" s="526" t="str">
        <f>IF(ISERROR(BB314/Commercial!BB83), "-", BB314/Commercial!BB83)</f>
        <v>-</v>
      </c>
      <c r="BC324" s="524" t="str">
        <f>IF(ISERROR(BC314/Commercial!BG83), "-", BC314/Commercial!BG83)</f>
        <v>-</v>
      </c>
      <c r="BD324" s="524" t="str">
        <f>IF(ISERROR(BD314/Commercial!BG83), "-", BD314/Commercial!BG83)</f>
        <v>-</v>
      </c>
      <c r="BE324" s="524" t="str">
        <f>IF(ISERROR(BE314/Commercial!BG83), "-", BE314/Commercial!BG83)</f>
        <v>-</v>
      </c>
      <c r="BF324" s="524" t="str">
        <f>IF(ISERROR(BF314/Commercial!BG83), "-", BF314/Commercial!BG83)</f>
        <v>-</v>
      </c>
      <c r="BG324" s="526" t="str">
        <f>IF(ISERROR(BG314/Commercial!BG83), "-", BG314/Commercial!BG83)</f>
        <v>-</v>
      </c>
      <c r="BH324" s="524" t="str">
        <f>IF(ISERROR(BH314/Commercial!BL83), "-", BH314/Commercial!BL83)</f>
        <v>-</v>
      </c>
      <c r="BI324" s="524" t="str">
        <f>IF(ISERROR(BI314/Commercial!BL83), "-", BI314/Commercial!BL83)</f>
        <v>-</v>
      </c>
      <c r="BJ324" s="661" t="str">
        <f>IF(ISERROR(BJ314/Commercial!BL83), "-", BJ314/Commercial!BL83)</f>
        <v>-</v>
      </c>
      <c r="BK324" s="661" t="str">
        <f>IF(ISERROR(BK314/Commercial!BL83), "-", BK314/Commercial!BL83)</f>
        <v>-</v>
      </c>
      <c r="BL324" s="526" t="str">
        <f>IF(ISERROR(BL314/Commercial!BL83), "-", BL314/Commercial!BL83)</f>
        <v>-</v>
      </c>
      <c r="BM324" s="661" t="str">
        <f>IF(ISERROR(BM314/Commercial!BQ83), "-", BM314/Commercial!BQ83)</f>
        <v>-</v>
      </c>
      <c r="BN324" s="661" t="str">
        <f>IF(ISERROR(BN314/Commercial!BQ83), "-", BN314/Commercial!BQ83)</f>
        <v>-</v>
      </c>
      <c r="BO324" s="661" t="str">
        <f>IF(ISERROR(BO314/Commercial!BQ83), "-", BO314/Commercial!BQ83)</f>
        <v>-</v>
      </c>
      <c r="BP324" s="661" t="str">
        <f>IF(ISERROR(BP314/Commercial!BQ83), "-", BP314/Commercial!BQ83)</f>
        <v>-</v>
      </c>
      <c r="BQ324" s="662" t="str">
        <f>IF(ISERROR(BQ314/Commercial!BQ83), "-", BQ314/Commercial!BQ83)</f>
        <v>-</v>
      </c>
      <c r="BR324" s="661" t="str">
        <f>IF(ISERROR(BR314/Commercial!BV83), "-", BR314/Commercial!BV83)</f>
        <v>-</v>
      </c>
      <c r="BS324" s="661" t="str">
        <f>IF(ISERROR(BS314/Commercial!BV83), "-", BS314/Commercial!BV83)</f>
        <v>-</v>
      </c>
      <c r="BT324" s="661" t="str">
        <f>IF(ISERROR(BT314/Commercial!BV83), "-", BT314/Commercial!BV83)</f>
        <v>-</v>
      </c>
      <c r="BU324" s="661" t="str">
        <f>IF(ISERROR(BU314/Commercial!BV83), "-", BU314/Commercial!BV83)</f>
        <v>-</v>
      </c>
      <c r="BV324" s="662" t="str">
        <f>IF(ISERROR(BV314/Commercial!BV83), "-", BV314/Commercial!BV83)</f>
        <v>-</v>
      </c>
      <c r="BW324" s="661" t="str">
        <f>IF(ISERROR(BW314/Commercial!CA83), "-", BW314/Commercial!CA83)</f>
        <v>-</v>
      </c>
      <c r="BX324" s="661" t="str">
        <f>IF(ISERROR(BX314/Commercial!CA83), "-", BX314/Commercial!CA83)</f>
        <v>-</v>
      </c>
      <c r="BY324" s="661" t="str">
        <f>IF(ISERROR(BY314/Commercial!CA83), "-", BY314/Commercial!CA83)</f>
        <v>-</v>
      </c>
      <c r="BZ324" s="661" t="str">
        <f>IF(ISERROR(BZ314/Commercial!CA83), "-", BZ314/Commercial!CA83)</f>
        <v>-</v>
      </c>
      <c r="CA324" s="662" t="str">
        <f>IF(ISERROR(CA314/Commercial!CA83), "-", CA314/Commercial!CA83)</f>
        <v>-</v>
      </c>
      <c r="CB324" s="661" t="str">
        <f>IF(ISERROR(CB314/Commercial!CF83), "-", CB314/Commercial!CF83)</f>
        <v>-</v>
      </c>
      <c r="CC324" s="661" t="str">
        <f>IF(ISERROR(CC314/Commercial!CF83), "-", CC314/Commercial!CF83)</f>
        <v>-</v>
      </c>
      <c r="CD324" s="661" t="str">
        <f>IF(ISERROR(CD314/Commercial!CF83), "-", CD314/Commercial!CF83)</f>
        <v>-</v>
      </c>
      <c r="CE324" s="661" t="str">
        <f>IF(ISERROR(CE314/Commercial!CF83), "-", CE314/Commercial!CF83)</f>
        <v>-</v>
      </c>
      <c r="CF324" s="662" t="str">
        <f>IF(ISERROR(CF314/Commercial!CF83), "-", CF314/Commercial!CF83)</f>
        <v>-</v>
      </c>
      <c r="CG324" s="661" t="str">
        <f>IF(ISERROR(CG314/Commercial!CH83), "-", CG314/Commercial!CH83)</f>
        <v>-</v>
      </c>
      <c r="CH324" s="661" t="str">
        <f>IF(ISERROR(CH314/Commercial!CI83), "-", CH314/Commercial!CI83)</f>
        <v>-</v>
      </c>
      <c r="CI324" s="661" t="str">
        <f>IF(ISERROR(CI314/Commercial!CJ83), "-", CI314/Commercial!CJ83)</f>
        <v>-</v>
      </c>
      <c r="CJ324" s="661" t="str">
        <f>IF(ISERROR(CJ314/Commercial!CK83), "-", CJ314/Commercial!CK83)</f>
        <v>-</v>
      </c>
      <c r="CK324" s="662" t="str">
        <f>IF(ISERROR(CK314/Commercial!CK83), "-", CK314/Commercial!CK83)</f>
        <v>-</v>
      </c>
      <c r="CL324" s="661" t="str">
        <f>IF(ISERROR(CL314/Commercial!CM83), "-", CL314/Commercial!CM83)</f>
        <v>-</v>
      </c>
      <c r="CM324" s="661" t="str">
        <f>IF(ISERROR(CM314/Commercial!CN83), "-", CM314/Commercial!CN83)</f>
        <v>-</v>
      </c>
      <c r="CN324" s="661" t="str">
        <f>IF(ISERROR(CN314/Commercial!CO83), "-", CN314/Commercial!CO83)</f>
        <v>-</v>
      </c>
      <c r="CO324" s="661" t="str">
        <f>IF(ISERROR(CO314/Commercial!CP83), "-", CO314/Commercial!CP83)</f>
        <v>-</v>
      </c>
      <c r="CP324" s="662" t="str">
        <f>IF(ISERROR(CP314/Commercial!CP83), "-", CP314/Commercial!CP83)</f>
        <v>-</v>
      </c>
      <c r="CQ324" s="661" t="str">
        <f>IF(ISERROR(CQ314/Commercial!CR83), "-", CQ314/Commercial!CR83)</f>
        <v>-</v>
      </c>
      <c r="CR324" s="661" t="str">
        <f>IF(ISERROR(CR314/Commercial!CS83), "-", CR314/Commercial!CS83)</f>
        <v>-</v>
      </c>
      <c r="CS324" s="661" t="str">
        <f>IF(ISERROR(CS314/Commercial!CT83), "-", CS314/Commercial!CT83)</f>
        <v>-</v>
      </c>
      <c r="CT324" s="661" t="str">
        <f>IF(ISERROR(CT314/Commercial!CU83), "-", CT314/Commercial!CU83)</f>
        <v>-</v>
      </c>
      <c r="CU324" s="662" t="str">
        <f>IF(ISERROR(CU314/Commercial!CU83), "-", CU314/Commercial!CU83)</f>
        <v>-</v>
      </c>
      <c r="CV324" s="661" t="str">
        <f>IF(ISERROR(CV314/Commercial!CW83), "-", CV314/Commercial!CW83)</f>
        <v>-</v>
      </c>
      <c r="CW324" s="661" t="str">
        <f>IF(ISERROR(CW314/Commercial!CX83), "-", CW314/Commercial!CX83)</f>
        <v>-</v>
      </c>
      <c r="CX324" s="661" t="str">
        <f>IF(ISERROR(CX314/Commercial!CY83), "-", CX314/Commercial!CY83)</f>
        <v>-</v>
      </c>
      <c r="CY324" s="661" t="str">
        <f>IF(ISERROR(CY314/Commercial!CZ83), "-", CY314/Commercial!CZ83)</f>
        <v>-</v>
      </c>
      <c r="CZ324" s="662" t="str">
        <f>IF(ISERROR(CZ314/Commercial!CZ83), "-", CZ314/Commercial!CZ83)</f>
        <v>-</v>
      </c>
      <c r="DA324" s="661" t="str">
        <f>IF(ISERROR(DA314/Commercial!DB83), "-", DA314/Commercial!DB83)</f>
        <v>-</v>
      </c>
      <c r="DB324" s="661" t="str">
        <f>IF(ISERROR(DB314/Commercial!DC83), "-", DB314/Commercial!DC83)</f>
        <v>-</v>
      </c>
      <c r="DC324" s="661" t="str">
        <f>IF(ISERROR(DC314/Commercial!DD83), "-", DC314/Commercial!DD83)</f>
        <v>-</v>
      </c>
      <c r="DD324" s="661" t="str">
        <f>IF(ISERROR(DD314/Commercial!DE83), "-", DD314/Commercial!DE83)</f>
        <v>-</v>
      </c>
      <c r="DE324" s="662" t="str">
        <f>IF(ISERROR(DE314/Commercial!DE83), "-", DE314/Commercial!DE83)</f>
        <v>-</v>
      </c>
      <c r="DF324" s="661" t="str">
        <f>IF(ISERROR(DF314/Commercial!DG83), "-", DF314/Commercial!DG83)</f>
        <v>-</v>
      </c>
      <c r="DG324" s="661" t="str">
        <f>IF(ISERROR(DG314/Commercial!DH83), "-", DG314/Commercial!DH83)</f>
        <v>-</v>
      </c>
      <c r="DH324" s="661" t="str">
        <f>IF(ISERROR(DH314/Commercial!DI83), "-", DH314/Commercial!DI83)</f>
        <v>-</v>
      </c>
      <c r="DI324" s="661" t="str">
        <f>IF(ISERROR(DI314/Commercial!DJ83), "-", DI314/Commercial!DJ83)</f>
        <v>-</v>
      </c>
      <c r="DJ324" s="662" t="str">
        <f>IF(ISERROR(DJ314/Commercial!DJ83), "-", DJ314/Commercial!DJ83)</f>
        <v>-</v>
      </c>
      <c r="DK324" s="661" t="str">
        <f>IF(ISERROR(DK314/Commercial!DL83), "-", DK314/Commercial!DL83)</f>
        <v>-</v>
      </c>
      <c r="DL324" s="661" t="str">
        <f>IF(ISERROR(DL314/Commercial!DM83), "-", DL314/Commercial!DM83)</f>
        <v>-</v>
      </c>
      <c r="DM324" s="661" t="str">
        <f>IF(ISERROR(DM314/Commercial!DN83), "-", DM314/Commercial!DN83)</f>
        <v>-</v>
      </c>
      <c r="DN324" s="661" t="str">
        <f>IF(ISERROR(DN314/Commercial!DO83), "-", DN314/Commercial!DO83)</f>
        <v>-</v>
      </c>
      <c r="DO324" s="662" t="str">
        <f>IF(ISERROR(DO314/Commercial!DO83), "-", DO314/Commercial!DO83)</f>
        <v>-</v>
      </c>
      <c r="DP324" s="661" t="str">
        <f>IF(ISERROR(DP314/Commercial!DQ83), "-", DP314/Commercial!DQ83)</f>
        <v>-</v>
      </c>
      <c r="DQ324" s="661" t="str">
        <f>IF(ISERROR(DQ314/Commercial!DR83), "-", DQ314/Commercial!DR83)</f>
        <v>-</v>
      </c>
      <c r="DR324" s="661" t="str">
        <f>IF(ISERROR(DR314/Commercial!DS83), "-", DR314/Commercial!DS83)</f>
        <v>-</v>
      </c>
      <c r="DS324" s="661" t="str">
        <f>IF(ISERROR(DS314/Commercial!DT83), "-", DS314/Commercial!DT83)</f>
        <v>-</v>
      </c>
      <c r="DT324" s="662" t="str">
        <f>IF(ISERROR(DT314/Commercial!DT83), "-", DT314/Commercial!DT83)</f>
        <v>-</v>
      </c>
      <c r="DU324" s="661" t="str">
        <f>IF(ISERROR(DU314/Commercial!DV83), "-", DU314/Commercial!DV83)</f>
        <v>-</v>
      </c>
      <c r="DV324" s="661" t="str">
        <f>IF(ISERROR(DV314/Commercial!DW83), "-", DV314/Commercial!DW83)</f>
        <v>-</v>
      </c>
      <c r="DW324" s="661" t="str">
        <f>IF(ISERROR(DW314/Commercial!DX83), "-", DW314/Commercial!DX83)</f>
        <v>-</v>
      </c>
      <c r="DX324" s="661" t="str">
        <f>IF(ISERROR(DX314/Commercial!DY83), "-", DX314/Commercial!DY83)</f>
        <v>-</v>
      </c>
      <c r="DY324" s="662" t="str">
        <f>IF(ISERROR(DY314/Commercial!DY83), "-", DY314/Commercial!DY83)</f>
        <v>-</v>
      </c>
      <c r="DZ324" s="662" t="str">
        <f>IF(ISERROR(DZ314/Commercial!DZ83), "-", DZ314/Commercial!DZ83)</f>
        <v>-</v>
      </c>
      <c r="EA324" s="662" t="str">
        <f>IF(ISERROR(EA314/Commercial!EA83), "-", EA314/Commercial!EA83)</f>
        <v>-</v>
      </c>
      <c r="EB324" s="662" t="str">
        <f>IF(ISERROR(EB314/Commercial!EB83), "-", EB314/Commercial!EB83)</f>
        <v>-</v>
      </c>
    </row>
    <row r="325" spans="2:132" s="241" customFormat="1" ht="12" hidden="1" customHeight="1" outlineLevel="1">
      <c r="B325" s="512">
        <v>737</v>
      </c>
      <c r="C325" s="355"/>
      <c r="D325" s="355"/>
      <c r="E325" s="526"/>
      <c r="F325" s="526">
        <f>IF(ISERROR(F315/Commercial!F32), "-", F315/Commercial!F32)</f>
        <v>3.5354609929078014</v>
      </c>
      <c r="G325" s="526">
        <f>IF(ISERROR(G315/Commercial!G32), "-", G315/Commercial!G32)</f>
        <v>2.8662207357859533</v>
      </c>
      <c r="H325" s="526">
        <f>IF(ISERROR(H315/Commercial!H32), "-", H315/Commercial!H32)</f>
        <v>3.4304932735426008</v>
      </c>
      <c r="I325" s="526">
        <f>IF(ISERROR(I315/Commercial!I32), "-", I315/Commercial!I32)</f>
        <v>4.6242774566473992</v>
      </c>
      <c r="J325" s="524">
        <f>IF(ISERROR(J315/Commercial!N32), "-", J315/Commercial!N32)</f>
        <v>3.886138613861386</v>
      </c>
      <c r="K325" s="524">
        <f>IF(ISERROR(K315/Commercial!N32), "-", K315/Commercial!N32)</f>
        <v>3.8267326732673266</v>
      </c>
      <c r="L325" s="524">
        <f>IF(ISERROR(L315/Commercial!N32), "-", L315/Commercial!N32)</f>
        <v>3.8316831683168315</v>
      </c>
      <c r="M325" s="524">
        <f>IF(ISERROR(M315/Commercial!N32), "-", M315/Commercial!N32)</f>
        <v>3.8168316831683167</v>
      </c>
      <c r="N325" s="526">
        <f>IF(ISERROR(N315/Commercial!N32), "-", N315/Commercial!N32)</f>
        <v>3.8168316831683167</v>
      </c>
      <c r="O325" s="524">
        <f>IF(ISERROR(O315/Commercial!S32), "-", O315/Commercial!S32)</f>
        <v>3.6132075471698113</v>
      </c>
      <c r="P325" s="524">
        <f>IF(ISERROR(P315/Commercial!S32), "-", P315/Commercial!S32)</f>
        <v>4.5754716981132075</v>
      </c>
      <c r="Q325" s="524">
        <f>IF(ISERROR(Q315/Commercial!S32), "-", Q315/Commercial!S32)</f>
        <v>4.8962264150943398</v>
      </c>
      <c r="R325" s="524">
        <f>IF(ISERROR(R315/Commercial!S32), "-", R315/Commercial!S32)</f>
        <v>5.2971698113207548</v>
      </c>
      <c r="S325" s="526">
        <f>IF(ISERROR(S315/Commercial!S32), "-", S315/Commercial!S32)</f>
        <v>5.2971698113207548</v>
      </c>
      <c r="T325" s="524">
        <f>IF(ISERROR(T315/Commercial!X32), "-", T315/Commercial!X32)</f>
        <v>3.8642384105960264</v>
      </c>
      <c r="U325" s="524">
        <f>IF(ISERROR(U315/Commercial!X32), "-", U315/Commercial!X32)</f>
        <v>4.5198675496688745</v>
      </c>
      <c r="V325" s="524">
        <f>IF(ISERROR(V315/Commercial!X32), "-", V315/Commercial!X32)</f>
        <v>4.798013245033113</v>
      </c>
      <c r="W325" s="524">
        <f>IF(ISERROR(W315/Commercial!X32), "-", W315/Commercial!X32)</f>
        <v>5.1655629139072845</v>
      </c>
      <c r="X325" s="526">
        <f>IF(ISERROR(X315/Commercial!X32), "-", X315/Commercial!X32)</f>
        <v>5.1655629139072845</v>
      </c>
      <c r="Y325" s="524">
        <f>IF(ISERROR(Y315/Commercial!AC32), "-", Y315/Commercial!AC32)</f>
        <v>4.5909090909090908</v>
      </c>
      <c r="Z325" s="524">
        <f>IF(ISERROR(Z315/Commercial!AC32), "-", Z315/Commercial!AC32)</f>
        <v>4.9393939393939394</v>
      </c>
      <c r="AA325" s="524">
        <f>IF(ISERROR(AA315/Commercial!AC32), "-", AA315/Commercial!AC32)</f>
        <v>5.4424242424242424</v>
      </c>
      <c r="AB325" s="524">
        <f>IF(ISERROR(AB315/Commercial!AC32), "-", AB315/Commercial!AC32)</f>
        <v>6.290909090909091</v>
      </c>
      <c r="AC325" s="526">
        <f>IF(ISERROR(AC315/Commercial!AC32), "-", AC315/Commercial!AC32)</f>
        <v>6.290909090909091</v>
      </c>
      <c r="AD325" s="524">
        <f>IF(ISERROR(AD315/Commercial!AH32), "-", AD315/Commercial!AH32)</f>
        <v>7.5</v>
      </c>
      <c r="AE325" s="524">
        <f>IF(ISERROR(AE315/Commercial!AH32), "-", AE315/Commercial!AH32)</f>
        <v>7.7344827586206897</v>
      </c>
      <c r="AF325" s="524">
        <f>IF(ISERROR(AF315/Commercial!AH32), "-", AF315/Commercial!AH32)</f>
        <v>7.9034482758620692</v>
      </c>
      <c r="AG325" s="524">
        <f>IF(ISERROR(AG315/Commercial!AH32), "-", AG315/Commercial!AH32)</f>
        <v>7.8275862068965516</v>
      </c>
      <c r="AH325" s="526">
        <f>IF(ISERROR(AH315/Commercial!AH32), "-", AH315/Commercial!AH32)</f>
        <v>7.8275862068965516</v>
      </c>
      <c r="AI325" s="524">
        <f>IF(ISERROR(AI315/Commercial!AM32), "-", AI315/Commercial!AM32)</f>
        <v>5.922043010752688</v>
      </c>
      <c r="AJ325" s="524">
        <f>IF(ISERROR(AJ315/Commercial!AM32), "-", AJ315/Commercial!AM32)</f>
        <v>5.7446236559139781</v>
      </c>
      <c r="AK325" s="524">
        <f>IF(ISERROR(AK315/Commercial!AM32), "-", AK315/Commercial!AM32)</f>
        <v>5.693548387096774</v>
      </c>
      <c r="AL325" s="524">
        <f>IF(ISERROR(AL315/Commercial!AM32), "-", AL315/Commercial!AM32)</f>
        <v>5.580645161290323</v>
      </c>
      <c r="AM325" s="526">
        <f>IF(ISERROR(AM315/Commercial!AM32), "-", AM315/Commercial!AM32)</f>
        <v>5.580645161290323</v>
      </c>
      <c r="AN325" s="524">
        <f>IF(ISERROR(AN315/Commercial!AR32), "-", AN315/Commercial!AR32)</f>
        <v>5.4813829787234045</v>
      </c>
      <c r="AO325" s="524">
        <f>IF(ISERROR(AO315/Commercial!AR32), "-", AO315/Commercial!AR32)</f>
        <v>5.3377659574468082</v>
      </c>
      <c r="AP325" s="524">
        <f>IF(ISERROR(AP315/Commercial!AR32), "-", AP315/Commercial!AR32)</f>
        <v>5.6569148936170217</v>
      </c>
      <c r="AQ325" s="524">
        <f>IF(ISERROR(AQ315/Commercial!AR32), "-", AQ315/Commercial!AR32)</f>
        <v>5.8138297872340425</v>
      </c>
      <c r="AR325" s="526">
        <f>IF(ISERROR(AR315/Commercial!AR32), "-", AR315/Commercial!AR32)</f>
        <v>5.8138297872340425</v>
      </c>
      <c r="AS325" s="524">
        <f>IF(ISERROR(AS315/Commercial!AW32), "-", AS315/Commercial!AW32)</f>
        <v>5.811827956989247</v>
      </c>
      <c r="AT325" s="524">
        <f>IF(ISERROR(AT315/Commercial!AW32), "-", AT315/Commercial!AW32)</f>
        <v>5.669354838709677</v>
      </c>
      <c r="AU325" s="524">
        <f>IF(ISERROR(AU315/Commercial!AW32), "-", AU315/Commercial!AW32)</f>
        <v>5.954301075268817</v>
      </c>
      <c r="AV325" s="524">
        <f>IF(ISERROR(AV315/Commercial!AW32), "-", AV315/Commercial!AW32)</f>
        <v>6.35752688172043</v>
      </c>
      <c r="AW325" s="526">
        <f>IF(ISERROR(AW315/Commercial!AW32), "-", AW315/Commercial!AW32)</f>
        <v>6.35752688172043</v>
      </c>
      <c r="AX325" s="524">
        <f>IF(ISERROR(AX315/Commercial!BB32), "-", AX315/Commercial!BB32)</f>
        <v>6.4554216867469876</v>
      </c>
      <c r="AY325" s="524">
        <f>IF(ISERROR(AY315/Commercial!BB32), "-", AY315/Commercial!BB32)</f>
        <v>6.1927710843373491</v>
      </c>
      <c r="AZ325" s="524">
        <f>IF(ISERROR(AZ315/Commercial!BB32), "-", AZ315/Commercial!BB32)</f>
        <v>6.8554216867469879</v>
      </c>
      <c r="BA325" s="524">
        <f>IF(ISERROR(BA315/Commercial!BB32), "-", BA315/Commercial!BB32)</f>
        <v>7.4072289156626505</v>
      </c>
      <c r="BB325" s="526">
        <f>IF(ISERROR(BB315/Commercial!BB32), "-", BB315/Commercial!BB32)</f>
        <v>7.4072289156626505</v>
      </c>
      <c r="BC325" s="524">
        <f>IF(ISERROR(BC315/Commercial!BG32), "-", BC315/Commercial!BG32)</f>
        <v>7.1022727272727275</v>
      </c>
      <c r="BD325" s="524">
        <f>IF(ISERROR(BD315/Commercial!BG32), "-", BD315/Commercial!BG32)</f>
        <v>7.8295454545454541</v>
      </c>
      <c r="BE325" s="524">
        <f>IF(ISERROR(BE315/Commercial!BG32), "-", BE315/Commercial!BG32)</f>
        <v>7.8795454545454549</v>
      </c>
      <c r="BF325" s="524">
        <f>IF(ISERROR(BF315/Commercial!BG32), "-", BF315/Commercial!BG32)</f>
        <v>8.3636363636363633</v>
      </c>
      <c r="BG325" s="526">
        <f>IF(ISERROR(BG315/Commercial!BG32), "-", BG315/Commercial!BG32)</f>
        <v>8.3636363636363633</v>
      </c>
      <c r="BH325" s="524">
        <f>IF(ISERROR(BH315/Commercial!BL32), "-", BH315/Commercial!BL32)</f>
        <v>7.8226804123711338</v>
      </c>
      <c r="BI325" s="524">
        <f>IF(ISERROR(BI315/Commercial!BL32), "-", BI315/Commercial!BL32)</f>
        <v>8.1051546391752574</v>
      </c>
      <c r="BJ325" s="661">
        <f>IF(ISERROR(BJ315/Commercial!BL32), "-", BJ315/Commercial!BL32)</f>
        <v>8.3154639175257739</v>
      </c>
      <c r="BK325" s="661">
        <f>IF(ISERROR(BK315/Commercial!BL32), "-", BK315/Commercial!BL32)</f>
        <v>8.8639175257731964</v>
      </c>
      <c r="BL325" s="526">
        <f>IF(ISERROR(BL315/Commercial!BL32), "-", BL315/Commercial!BL32)</f>
        <v>8.8639175257731964</v>
      </c>
      <c r="BM325" s="661">
        <f>IF(ISERROR(BM315/Commercial!BQ32), "-", BM315/Commercial!BQ32)</f>
        <v>8.573737373737373</v>
      </c>
      <c r="BN325" s="661">
        <f>IF(ISERROR(BN315/Commercial!BQ32), "-", BN315/Commercial!BQ32)</f>
        <v>8.5919191919191924</v>
      </c>
      <c r="BO325" s="661">
        <f>IF(ISERROR(BO315/Commercial!BQ32), "-", BO315/Commercial!BQ32)</f>
        <v>8.5717171717171716</v>
      </c>
      <c r="BP325" s="661">
        <f>IF(ISERROR(BP315/Commercial!BQ32), "-", BP315/Commercial!BQ32)</f>
        <v>8.872727272727273</v>
      </c>
      <c r="BQ325" s="662">
        <f>IF(ISERROR(BQ315/Commercial!BQ32), "-", BQ315/Commercial!BQ32)</f>
        <v>8.872727272727273</v>
      </c>
      <c r="BR325" s="661">
        <f>IF(ISERROR(BR315/Commercial!BV32), "-", BR315/Commercial!BV32)</f>
        <v>8.9387755102040813</v>
      </c>
      <c r="BS325" s="661">
        <f>IF(ISERROR(BS315/Commercial!BV32), "-", BS315/Commercial!BV32)</f>
        <v>8.9489795918367339</v>
      </c>
      <c r="BT325" s="661">
        <f>IF(ISERROR(BT315/Commercial!BV32), "-", BT315/Commercial!BV32)</f>
        <v>8.8775510204081627</v>
      </c>
      <c r="BU325" s="661">
        <f>IF(ISERROR(BU315/Commercial!BV32), "-", BU315/Commercial!BV32)</f>
        <v>9.0857142857142854</v>
      </c>
      <c r="BV325" s="662">
        <f>IF(ISERROR(BV315/Commercial!BV32), "-", BV315/Commercial!BV32)</f>
        <v>9.0857142857142854</v>
      </c>
      <c r="BW325" s="661">
        <f>IF(ISERROR(BW315/Commercial!CA32), "-", BW315/Commercial!CA32)</f>
        <v>8.5179584120982987</v>
      </c>
      <c r="BX325" s="661">
        <f>IF(ISERROR(BX315/Commercial!CA32), "-", BX315/Commercial!CA32)</f>
        <v>8.4650283553875241</v>
      </c>
      <c r="BY325" s="661">
        <f>IF(ISERROR(BY315/Commercial!CA32), "-", BY315/Commercial!CA32)</f>
        <v>8.3761814744801519</v>
      </c>
      <c r="BZ325" s="661">
        <f>IF(ISERROR(BZ315/Commercial!CA32), "-", BZ315/Commercial!CA32)</f>
        <v>8.8620037807183358</v>
      </c>
      <c r="CA325" s="662">
        <f>IF(ISERROR(CA315/Commercial!CA32), "-", CA315/Commercial!CA32)</f>
        <v>8.8620037807183358</v>
      </c>
      <c r="CB325" s="661">
        <f>IF(ISERROR(CB315/Commercial!CF32), "-", CB315/Commercial!CF32)</f>
        <v>8.11551724137931</v>
      </c>
      <c r="CC325" s="661">
        <f>IF(ISERROR(CC315/Commercial!CF32), "-", CC315/Commercial!CF32)</f>
        <v>8.046551724137931</v>
      </c>
      <c r="CD325" s="661">
        <f>IF(ISERROR(CD315/Commercial!CF32), "-", CD315/Commercial!CF32)</f>
        <v>8.0241379310344829</v>
      </c>
      <c r="CE325" s="661">
        <f>IF(ISERROR(CE315/Commercial!CF32), "-", CE315/Commercial!CF32)</f>
        <v>8.1172413793103448</v>
      </c>
      <c r="CF325" s="662">
        <f>IF(ISERROR(CF315/Commercial!CF32), "-", CF315/Commercial!CF32)</f>
        <v>8.1172413793103448</v>
      </c>
      <c r="CG325" s="661">
        <f>IF(ISERROR(CG315/Commercial!CK32), "-", CG315/Commercial!CK32)</f>
        <v>35.023622047244096</v>
      </c>
      <c r="CH325" s="661">
        <f>IF(ISERROR(CH315/Commercial!CI32), "-", CH315/Commercial!CI32)</f>
        <v>883</v>
      </c>
      <c r="CI325" s="661">
        <f>IF(ISERROR(CI315/Commercial!CJ32), "-", CI315/Commercial!CJ32)</f>
        <v>489.55555555555554</v>
      </c>
      <c r="CJ325" s="661">
        <f>IF(ISERROR(CJ315/Commercial!CK32), "-", CJ315/Commercial!CK32)</f>
        <v>34.629921259842519</v>
      </c>
      <c r="CK325" s="662">
        <f>IF(ISERROR(CK315/Commercial!CK32), "-", CK315/Commercial!CK32)</f>
        <v>34.629921259842519</v>
      </c>
      <c r="CL325" s="661">
        <f>IF(ISERROR(CL315/Commercial!CM32), "-", CL315/Commercial!CM32)</f>
        <v>1019.75</v>
      </c>
      <c r="CM325" s="661">
        <f>IF(ISERROR(CM315/Commercial!CN32), "-", CM315/Commercial!CN32)</f>
        <v>1198.3333333333333</v>
      </c>
      <c r="CN325" s="661">
        <f>IF(ISERROR(CN315/Commercial!CO32), "-", CN315/Commercial!CO32)</f>
        <v>109.7741935483871</v>
      </c>
      <c r="CO325" s="661">
        <f>IF(ISERROR(CO315/Commercial!CP32), "-", CO315/Commercial!CP32)</f>
        <v>76.325581395348834</v>
      </c>
      <c r="CP325" s="662">
        <f>IF(ISERROR(CP315/Commercial!CP32), "-", CP315/Commercial!CP32)</f>
        <v>76.325581395348834</v>
      </c>
      <c r="CQ325" s="661">
        <f>IF(ISERROR(CQ315/Commercial!CR32), "-", CQ315/Commercial!CR32)</f>
        <v>64.8</v>
      </c>
      <c r="CR325" s="661">
        <f>IF(ISERROR(CR315/Commercial!CS32), "-", CR315/Commercial!CS32)</f>
        <v>50.515151515151516</v>
      </c>
      <c r="CS325" s="661">
        <f>IF(ISERROR(CS315/Commercial!CT32), "-", CS315/Commercial!CT32)</f>
        <v>39.69047619047619</v>
      </c>
      <c r="CT325" s="661">
        <f>IF(ISERROR(CT315/Commercial!CU32), "-", CT315/Commercial!CU32)</f>
        <v>12.980988593155894</v>
      </c>
      <c r="CU325" s="662">
        <f>IF(ISERROR(CU315/Commercial!CU32), "-", CU315/Commercial!CU32)</f>
        <v>12.980988593155894</v>
      </c>
      <c r="CV325" s="661">
        <f>IF(ISERROR(CV315/Commercial!CW32), "-", CV315/Commercial!CW32)</f>
        <v>32.66990291262136</v>
      </c>
      <c r="CW325" s="661">
        <f>IF(ISERROR(CW315/Commercial!CX32), "-", CW315/Commercial!CX32)</f>
        <v>38.988636363636367</v>
      </c>
      <c r="CX325" s="661">
        <f>IF(ISERROR(CX315/Commercial!CY32), "-", CX315/Commercial!CY32)</f>
        <v>31.90909090909091</v>
      </c>
      <c r="CY325" s="661">
        <f>IF(ISERROR(CY315/Commercial!CZ32), "-", CY315/Commercial!CZ32)</f>
        <v>9.4392764857881133</v>
      </c>
      <c r="CZ325" s="662">
        <f>IF(ISERROR(CZ315/Commercial!CZ32), "-", CZ315/Commercial!CZ32)</f>
        <v>9.4392764857881133</v>
      </c>
      <c r="DA325" s="661">
        <f>IF(ISERROR(DA315/Commercial!DB32), "-", DA315/Commercial!DB32)</f>
        <v>34.805825242718448</v>
      </c>
      <c r="DB325" s="661">
        <f>IF(ISERROR(DB315/Commercial!DC32), "-", DB315/Commercial!DC32)</f>
        <v>54.542857142857144</v>
      </c>
      <c r="DC325" s="661">
        <f>IF(ISERROR(DC315/Commercial!DD32), "-", DC315/Commercial!DD32)</f>
        <v>36.645454545454548</v>
      </c>
      <c r="DD325" s="661">
        <f>IF(ISERROR(DD315/Commercial!DE32), "-", DD315/Commercial!DE32)</f>
        <v>10.939393939393939</v>
      </c>
      <c r="DE325" s="662">
        <f>IF(ISERROR(DE315/Commercial!DE32), "-", DE315/Commercial!DE32)</f>
        <v>10.939393939393939</v>
      </c>
      <c r="DF325" s="661">
        <f>IF(ISERROR(DF315/Commercial!DG32), "-", DF315/Commercial!DG32)</f>
        <v>62.24285714285714</v>
      </c>
      <c r="DG325" s="661">
        <f>IF(ISERROR(DG315/Commercial!DH32), "-", DG315/Commercial!DH32)</f>
        <v>45.358695652173914</v>
      </c>
      <c r="DH325" s="661">
        <f>IF(ISERROR(DH315/Commercial!DI32), "-", DH315/Commercial!DI32)</f>
        <v>111.97222222222223</v>
      </c>
      <c r="DI325" s="661">
        <f>IF(ISERROR(DI315/Commercial!DJ32), "-", DI315/Commercial!DJ32)</f>
        <v>16.237735849056605</v>
      </c>
      <c r="DJ325" s="662">
        <f>IF(ISERROR(DJ315/Commercial!DJ32), "-", DJ315/Commercial!DJ32)</f>
        <v>16.237735849056605</v>
      </c>
      <c r="DK325" s="661">
        <f>IF(ISERROR(DK315/Commercial!DL32), "-", DK315/Commercial!DL32)</f>
        <v>41.125</v>
      </c>
      <c r="DL325" s="661">
        <f>IF(ISERROR(DL315/Commercial!DM32), "-", DL315/Commercial!DM32)</f>
        <v>36.132231404958681</v>
      </c>
      <c r="DM325" s="661">
        <f>IF(ISERROR(DM315/Commercial!DN32), "-", DM315/Commercial!DN32)</f>
        <v>34.452991452991455</v>
      </c>
      <c r="DN325" s="661">
        <f>IF(ISERROR(DN315/Commercial!DO32), "-", DN315/Commercial!DO32)</f>
        <v>9.8523489932885902</v>
      </c>
      <c r="DO325" s="662">
        <f>IF(ISERROR(DO315/Commercial!DO32), "-", DO315/Commercial!DO32)</f>
        <v>9.8523489932885902</v>
      </c>
      <c r="DP325" s="661">
        <f>IF(ISERROR(DP315/Commercial!DQ32), "-", DP315/Commercial!DQ32)</f>
        <v>33.860465116279073</v>
      </c>
      <c r="DQ325" s="661">
        <f>IF(ISERROR(DQ315/Commercial!DR32), "-", DQ315/Commercial!DR32)</f>
        <v>0</v>
      </c>
      <c r="DR325" s="661">
        <f>IF(ISERROR(DR315/Commercial!DS32), "-", DR315/Commercial!DS32)</f>
        <v>0</v>
      </c>
      <c r="DS325" s="661">
        <f>IF(ISERROR(DS315/Commercial!DT32), "-", DS315/Commercial!DT32)</f>
        <v>0</v>
      </c>
      <c r="DT325" s="662">
        <f>IF(ISERROR(DT315/Commercial!DT32), "-", DT315/Commercial!DT32)</f>
        <v>0</v>
      </c>
      <c r="DU325" s="661">
        <f>IF(ISERROR(DU315/Commercial!DV32), "-", DU315/Commercial!DV32)</f>
        <v>0</v>
      </c>
      <c r="DV325" s="661">
        <f>IF(ISERROR(DV315/Commercial!DW32), "-", DV315/Commercial!DW32)</f>
        <v>0</v>
      </c>
      <c r="DW325" s="661">
        <f>IF(ISERROR(DW315/Commercial!DX32), "-", DW315/Commercial!DX32)</f>
        <v>0</v>
      </c>
      <c r="DX325" s="661">
        <f>IF(ISERROR(DX315/Commercial!DY32), "-", DX315/Commercial!DY32)</f>
        <v>0</v>
      </c>
      <c r="DY325" s="662">
        <f>IF(ISERROR(DY315/Commercial!DY32), "-", DY315/Commercial!DY32)</f>
        <v>0</v>
      </c>
      <c r="DZ325" s="662">
        <f>IF(ISERROR(DZ315/Commercial!DZ32), "-", DZ315/Commercial!DZ32)</f>
        <v>0</v>
      </c>
      <c r="EA325" s="662">
        <f>IF(ISERROR(EA315/Commercial!EA32), "-", EA315/Commercial!EA32)</f>
        <v>0</v>
      </c>
      <c r="EB325" s="662">
        <f>IF(ISERROR(EB315/Commercial!EB32), "-", EB315/Commercial!EB32)</f>
        <v>0</v>
      </c>
    </row>
    <row r="326" spans="2:132" s="241" customFormat="1" ht="12" hidden="1" customHeight="1" outlineLevel="1">
      <c r="B326" s="512">
        <v>747</v>
      </c>
      <c r="C326" s="355"/>
      <c r="D326" s="355"/>
      <c r="E326" s="526"/>
      <c r="F326" s="526">
        <f>IF(ISERROR(F316/(Commercial!F37+Commercial!F42)), "-", F316/(Commercial!F37+Commercial!F42))</f>
        <v>3.08</v>
      </c>
      <c r="G326" s="526">
        <f>IF(ISERROR(G316/(Commercial!G37+Commercial!G42)), "-", G316/(Commercial!G37+Commercial!G42))</f>
        <v>1.903225806451613</v>
      </c>
      <c r="H326" s="526">
        <f>IF(ISERROR(H316/(Commercial!H37+Commercial!H42)), "-", H316/(Commercial!H37+Commercial!H42))</f>
        <v>1.9259259259259258</v>
      </c>
      <c r="I326" s="526">
        <f>IF(ISERROR(I316/(Commercial!I37+Commercial!I42)), "-", I316/(Commercial!I37+Commercial!I42))</f>
        <v>1.6842105263157894</v>
      </c>
      <c r="J326" s="524">
        <f>IF(ISERROR(J316/(Commercial!N37+Commercial!N42)), "-", J316/(Commercial!N37+Commercial!N42))</f>
        <v>2</v>
      </c>
      <c r="K326" s="524">
        <f>IF(ISERROR(K316/(Commercial!N37+Commercial!N42)), "-", K316/(Commercial!N37+Commercial!N42))</f>
        <v>2.0666666666666669</v>
      </c>
      <c r="L326" s="524">
        <f>IF(ISERROR(L316/(Commercial!N37+Commercial!N42)), "-", L316/(Commercial!N37+Commercial!N42))</f>
        <v>2.0666666666666669</v>
      </c>
      <c r="M326" s="524">
        <f>IF(ISERROR(M316/(Commercial!N37+Commercial!N42)), "-", M316/(Commercial!N37+Commercial!N42))</f>
        <v>1.8</v>
      </c>
      <c r="N326" s="526">
        <f>IF(ISERROR(N316/(Commercial!N37+Commercial!N42)), "-", N316/(Commercial!N37+Commercial!N42))</f>
        <v>1.8</v>
      </c>
      <c r="O326" s="524">
        <f>IF(ISERROR(O316/(Commercial!S37+Commercial!S42)), "-", O316/(Commercial!S37+Commercial!S42))</f>
        <v>1.8461538461538463</v>
      </c>
      <c r="P326" s="524">
        <f>IF(ISERROR(P316/(Commercial!S37+Commercial!S42)), "-", P316/(Commercial!S37+Commercial!S42))</f>
        <v>1.8461538461538463</v>
      </c>
      <c r="Q326" s="524">
        <f>IF(ISERROR(Q316/(Commercial!S37+Commercial!S42)), "-", Q316/(Commercial!S37+Commercial!S42))</f>
        <v>2.9230769230769229</v>
      </c>
      <c r="R326" s="524">
        <f>IF(ISERROR(R316/(Commercial!S37+Commercial!S42)), "-", R316/(Commercial!S37+Commercial!S42))</f>
        <v>4.4615384615384617</v>
      </c>
      <c r="S326" s="526">
        <f>IF(ISERROR(S316/(Commercial!S37+Commercial!S42)), "-", S316/(Commercial!S37+Commercial!S42))</f>
        <v>4.4615384615384617</v>
      </c>
      <c r="T326" s="524">
        <f>IF(ISERROR(T316/(Commercial!X37+Commercial!X42)), "-", T316/(Commercial!X37+Commercial!X42))</f>
        <v>4</v>
      </c>
      <c r="U326" s="524">
        <f>IF(ISERROR(U316/(Commercial!X37+Commercial!X42)), "-", U316/(Commercial!X37+Commercial!X42))</f>
        <v>4.3571428571428568</v>
      </c>
      <c r="V326" s="524">
        <f>IF(ISERROR(V316/(Commercial!X37+Commercial!X42)), "-", V316/(Commercial!X37+Commercial!X42))</f>
        <v>6.2857142857142856</v>
      </c>
      <c r="W326" s="524">
        <f>IF(ISERROR(W316/(Commercial!X37+Commercial!X42)), "-", W316/(Commercial!X37+Commercial!X42))</f>
        <v>8.2857142857142865</v>
      </c>
      <c r="X326" s="526">
        <f>IF(ISERROR(X316/(Commercial!X37+Commercial!X42)), "-", X316/(Commercial!X37+Commercial!X42))</f>
        <v>8.2857142857142865</v>
      </c>
      <c r="Y326" s="524">
        <f>IF(ISERROR(Y316/(Commercial!AC37+Commercial!AC42)), "-", Y316/(Commercial!AC37+Commercial!AC42))</f>
        <v>7.625</v>
      </c>
      <c r="Z326" s="524">
        <f>IF(ISERROR(Z316/(Commercial!AC37+Commercial!AC42)), "-", Z316/(Commercial!AC37+Commercial!AC42))</f>
        <v>7.375</v>
      </c>
      <c r="AA326" s="524">
        <f>IF(ISERROR(AA316/(Commercial!AC37+Commercial!AC42)), "-", AA316/(Commercial!AC37+Commercial!AC42))</f>
        <v>7.125</v>
      </c>
      <c r="AB326" s="524">
        <f>IF(ISERROR(AB316/(Commercial!AC37+Commercial!AC42)), "-", AB316/(Commercial!AC37+Commercial!AC42))</f>
        <v>7.8125</v>
      </c>
      <c r="AC326" s="526">
        <f>IF(ISERROR(AC316/(Commercial!AC37+Commercial!AC42)), "-", AC316/(Commercial!AC37+Commercial!AC42))</f>
        <v>7.8125</v>
      </c>
      <c r="AD326" s="524">
        <f>IF(ISERROR(AD316/(Commercial!AH37+Commercial!AH42)), "-", AD316/(Commercial!AH37+Commercial!AH42))</f>
        <v>8.7142857142857135</v>
      </c>
      <c r="AE326" s="524">
        <f>IF(ISERROR(AE316/(Commercial!AH37+Commercial!AH42)), "-", AE316/(Commercial!AH37+Commercial!AH42))</f>
        <v>8.4285714285714288</v>
      </c>
      <c r="AF326" s="524">
        <f>IF(ISERROR(AF316/(Commercial!AH37+Commercial!AH42)), "-", AF316/(Commercial!AH37+Commercial!AH42))</f>
        <v>8.2142857142857135</v>
      </c>
      <c r="AG326" s="524">
        <f>IF(ISERROR(AG316/(Commercial!AH37+Commercial!AH42)), "-", AG316/(Commercial!AH37+Commercial!AH42))</f>
        <v>8.1428571428571423</v>
      </c>
      <c r="AH326" s="526">
        <f>IF(ISERROR(AH316/(Commercial!AH37+Commercial!AH42)), "-", AH316/(Commercial!AH37+Commercial!AH42))</f>
        <v>8.1428571428571423</v>
      </c>
      <c r="AI326" s="524">
        <f>IF(ISERROR(AI316/(Commercial!AM37+Commercial!AM42)), "-", AI316/(Commercial!AM37+Commercial!AM42))</f>
        <v>13.75</v>
      </c>
      <c r="AJ326" s="524">
        <f>IF(ISERROR(AJ316/(Commercial!AM37+Commercial!AM42)), "-", AJ316/(Commercial!AM37+Commercial!AM42))</f>
        <v>13.375</v>
      </c>
      <c r="AK326" s="524">
        <f>IF(ISERROR(AK316/(Commercial!AM37+Commercial!AM42)), "-", AK316/(Commercial!AM37+Commercial!AM42))</f>
        <v>13.375</v>
      </c>
      <c r="AL326" s="524">
        <f>IF(ISERROR(AL316/(Commercial!AM37+Commercial!AM42)), "-", AL316/(Commercial!AM37+Commercial!AM42))</f>
        <v>13.5</v>
      </c>
      <c r="AM326" s="526">
        <f>IF(ISERROR(AM316/(Commercial!AM37+Commercial!AM42)), "-", AM316/(Commercial!AM37+Commercial!AM42))</f>
        <v>13.5</v>
      </c>
      <c r="AN326" s="524" t="str">
        <f>IF(ISERROR(AN316/(Commercial!AR37+Commercial!AR42)), "-", AN316/(Commercial!AR37+Commercial!AR42))</f>
        <v>-</v>
      </c>
      <c r="AO326" s="524" t="str">
        <f>IF(ISERROR(AO316/(Commercial!AR37+Commercial!AR42)), "-", AO316/(Commercial!AR37+Commercial!AR42))</f>
        <v>-</v>
      </c>
      <c r="AP326" s="524" t="str">
        <f>IF(ISERROR(AP316/(Commercial!AR37+Commercial!AR42)), "-", AP316/(Commercial!AR37+Commercial!AR42))</f>
        <v>-</v>
      </c>
      <c r="AQ326" s="524" t="str">
        <f>IF(ISERROR(AQ316/(Commercial!AR37+Commercial!AR42)), "-", AQ316/(Commercial!AR37+Commercial!AR42))</f>
        <v>-</v>
      </c>
      <c r="AR326" s="526" t="str">
        <f>IF(ISERROR(AR316/(Commercial!AR37+Commercial!AR42)), "-", AR316/(Commercial!AR37+Commercial!AR42))</f>
        <v>-</v>
      </c>
      <c r="AS326" s="524">
        <f>IF(ISERROR(AS316/(Commercial!AW37+Commercial!AW42)), "-", AS316/(Commercial!AW37+Commercial!AW42))</f>
        <v>12.111111111111111</v>
      </c>
      <c r="AT326" s="524">
        <f>IF(ISERROR(AT316/(Commercial!AW37+Commercial!AW42)), "-", AT316/(Commercial!AW37+Commercial!AW42))</f>
        <v>12.333333333333334</v>
      </c>
      <c r="AU326" s="524">
        <f>IF(ISERROR(AU316/(Commercial!AW37+Commercial!AW42)), "-", AU316/(Commercial!AW37+Commercial!AW42))</f>
        <v>12.333333333333334</v>
      </c>
      <c r="AV326" s="524">
        <f>IF(ISERROR(AV316/(Commercial!AW37+Commercial!AW42)), "-", AV316/(Commercial!AW37+Commercial!AW42))</f>
        <v>10.777777777777779</v>
      </c>
      <c r="AW326" s="526">
        <f>IF(ISERROR(AW316/(Commercial!AW37+Commercial!AW42)), "-", AW316/(Commercial!AW37+Commercial!AW42))</f>
        <v>10.777777777777779</v>
      </c>
      <c r="AX326" s="524">
        <f>IF(ISERROR(AX316/(Commercial!BB37+Commercial!BB42)), "-", AX316/(Commercial!BB37+Commercial!BB42))</f>
        <v>2.935483870967742</v>
      </c>
      <c r="AY326" s="524">
        <f>IF(ISERROR(AY316/(Commercial!BB37+Commercial!BB42)), "-", AY316/(Commercial!BB37+Commercial!BB42))</f>
        <v>2.7096774193548385</v>
      </c>
      <c r="AZ326" s="524">
        <f>IF(ISERROR(AZ316/(Commercial!BB37+Commercial!BB42)), "-", AZ316/(Commercial!BB37+Commercial!BB42))</f>
        <v>2.6129032258064515</v>
      </c>
      <c r="BA326" s="524">
        <f>IF(ISERROR(BA316/(Commercial!BB37+Commercial!BB42)), "-", BA316/(Commercial!BB37+Commercial!BB42))</f>
        <v>2.161290322580645</v>
      </c>
      <c r="BB326" s="526">
        <f>IF(ISERROR(BB316/(Commercial!BB37+Commercial!BB42)), "-", BB316/(Commercial!BB37+Commercial!BB42))</f>
        <v>2.161290322580645</v>
      </c>
      <c r="BC326" s="524">
        <f>IF(ISERROR(BC316/(Commercial!BG37+Commercial!BG42)), "-", BC316/(Commercial!BG37+Commercial!BG42))</f>
        <v>2.6666666666666665</v>
      </c>
      <c r="BD326" s="524">
        <f>IF(ISERROR(BD316/(Commercial!BG37+Commercial!BG42)), "-", BD316/(Commercial!BG37+Commercial!BG42))</f>
        <v>2.2083333333333335</v>
      </c>
      <c r="BE326" s="524">
        <f>IF(ISERROR(BE316/(Commercial!BG37+Commercial!BG42)), "-", BE316/(Commercial!BG37+Commercial!BG42))</f>
        <v>2.125</v>
      </c>
      <c r="BF326" s="524">
        <f>IF(ISERROR(BF316/(Commercial!BG37+Commercial!BG42)), "-", BF316/(Commercial!BG37+Commercial!BG42))</f>
        <v>2.2916666666666665</v>
      </c>
      <c r="BG326" s="526">
        <f>IF(ISERROR(BG316/(Commercial!BG37+Commercial!BG42)), "-", BG316/(Commercial!BG37+Commercial!BG42))</f>
        <v>2.2916666666666665</v>
      </c>
      <c r="BH326" s="524">
        <f>IF(ISERROR(BH316/(Commercial!BL37+Commercial!BL42)), "-", BH316/(Commercial!BL37+Commercial!BL42))</f>
        <v>2.736842105263158</v>
      </c>
      <c r="BI326" s="524">
        <f>IF(ISERROR(BI316/(Commercial!BL37+Commercial!BL42)), "-", BI316/(Commercial!BL37+Commercial!BL42))</f>
        <v>2.6315789473684212</v>
      </c>
      <c r="BJ326" s="661">
        <f>IF(ISERROR(BJ316/(Commercial!BL37+Commercial!BL42)), "-", BJ316/(Commercial!BL37+Commercial!BL42))</f>
        <v>2.2105263157894739</v>
      </c>
      <c r="BK326" s="661">
        <f>IF(ISERROR(BK316/(Commercial!BL37+Commercial!BL42)), "-", BK316/(Commercial!BL37+Commercial!BL42))</f>
        <v>1.8947368421052631</v>
      </c>
      <c r="BL326" s="526">
        <f>IF(ISERROR(BL316/(Commercial!BL37+Commercial!BL42)), "-", BL316/(Commercial!BL37+Commercial!BL42))</f>
        <v>1.8947368421052631</v>
      </c>
      <c r="BM326" s="661">
        <f>IF(ISERROR(BM316/(Commercial!BQ37+Commercial!BQ42)), "-", BM316/(Commercial!BQ37+Commercial!BQ42))</f>
        <v>1.9444444444444444</v>
      </c>
      <c r="BN326" s="661">
        <f>IF(ISERROR(BN316/(Commercial!BQ37+Commercial!BQ42)), "-", BN316/(Commercial!BQ37+Commercial!BQ42))</f>
        <v>1.7222222222222223</v>
      </c>
      <c r="BO326" s="661">
        <f>IF(ISERROR(BO316/(Commercial!BQ37+Commercial!BQ42)), "-", BO316/(Commercial!BQ37+Commercial!BQ42))</f>
        <v>1.2777777777777777</v>
      </c>
      <c r="BP326" s="661">
        <f>IF(ISERROR(BP316/(Commercial!BQ37+Commercial!BQ42)), "-", BP316/(Commercial!BQ37+Commercial!BQ42))</f>
        <v>1.1111111111111112</v>
      </c>
      <c r="BQ326" s="662">
        <f>IF(ISERROR(BQ316/(Commercial!BQ37+Commercial!BQ42)), "-", BQ316/(Commercial!BQ37+Commercial!BQ42))</f>
        <v>1.1111111111111112</v>
      </c>
      <c r="BR326" s="661">
        <f>IF(ISERROR(BR316/(Commercial!BV37+Commercial!BV42)), "-", BR316/(Commercial!BV37+Commercial!BV42))</f>
        <v>2.5555555555555554</v>
      </c>
      <c r="BS326" s="661">
        <f>IF(ISERROR(BS316/(Commercial!BV37+Commercial!BV42)), "-", BS316/(Commercial!BV37+Commercial!BV42))</f>
        <v>2.3333333333333335</v>
      </c>
      <c r="BT326" s="661">
        <f>IF(ISERROR(BT316/(Commercial!BV37+Commercial!BV42)), "-", BT316/(Commercial!BV37+Commercial!BV42))</f>
        <v>1.6666666666666667</v>
      </c>
      <c r="BU326" s="661">
        <f>IF(ISERROR(BU316/(Commercial!BV37+Commercial!BV42)), "-", BU316/(Commercial!BV37+Commercial!BV42))</f>
        <v>3.1111111111111112</v>
      </c>
      <c r="BV326" s="662">
        <f>IF(ISERROR(BV316/(Commercial!BV37+Commercial!BV42)), "-", BV316/(Commercial!BV37+Commercial!BV42))</f>
        <v>3.1111111111111112</v>
      </c>
      <c r="BW326" s="661">
        <f>IF(ISERROR(BW316/(Commercial!CA37+Commercial!CA42)), "-", BW316/(Commercial!CA37+Commercial!CA42))</f>
        <v>1.6428571428571428</v>
      </c>
      <c r="BX326" s="661">
        <f>IF(ISERROR(BX316/(Commercial!CA37+Commercial!CA42)), "-", BX316/(Commercial!CA37+Commercial!CA42))</f>
        <v>1.4285714285714286</v>
      </c>
      <c r="BY326" s="661">
        <f>IF(ISERROR(BY316/(Commercial!CA37+Commercial!CA42)), "-", BY316/(Commercial!CA37+Commercial!CA42))</f>
        <v>1.2142857142857142</v>
      </c>
      <c r="BZ326" s="661">
        <f>IF(ISERROR(BZ316/(Commercial!CA37+Commercial!CA42)), "-", BZ316/(Commercial!CA37+Commercial!CA42))</f>
        <v>0.8571428571428571</v>
      </c>
      <c r="CA326" s="662">
        <f>IF(ISERROR(CA316/(Commercial!CA37+Commercial!CA42)), "-", CA316/(Commercial!CA37+Commercial!CA42))</f>
        <v>0.8571428571428571</v>
      </c>
      <c r="CB326" s="661">
        <f>IF(ISERROR(CB316/(Commercial!CF37+Commercial!CF42)), "-", CB316/(Commercial!CF37+Commercial!CF42))</f>
        <v>4</v>
      </c>
      <c r="CC326" s="661">
        <f>IF(ISERROR(CC316/(Commercial!CF37+Commercial!CF42)), "-", CC316/(Commercial!CF37+Commercial!CF42))</f>
        <v>3.8333333333333335</v>
      </c>
      <c r="CD326" s="661">
        <f>IF(ISERROR(CD316/(Commercial!CF37+Commercial!CF42)), "-", CD316/(Commercial!CF37+Commercial!CF42))</f>
        <v>3.5</v>
      </c>
      <c r="CE326" s="661">
        <f>IF(ISERROR(CE316/(Commercial!CF37+Commercial!CF42)), "-", CE316/(Commercial!CF37+Commercial!CF42))</f>
        <v>4</v>
      </c>
      <c r="CF326" s="662">
        <f>IF(ISERROR(CF316/(Commercial!CF37+Commercial!CF42)), "-", CF316/(Commercial!CF37+Commercial!CF42))</f>
        <v>4</v>
      </c>
      <c r="CG326" s="661">
        <f>IF(ISERROR(CG316/(Commercial!CK37+Commercial!CK42)), "-", CG316/(Commercial!CK37+Commercial!CK42))</f>
        <v>3.1428571428571428</v>
      </c>
      <c r="CH326" s="661">
        <f>IF(ISERROR(CH316/(Commercial!CI37+Commercial!CI42)), "-", CH316/(Commercial!CI37+Commercial!CI42))</f>
        <v>20</v>
      </c>
      <c r="CI326" s="661">
        <f>IF(ISERROR(CI316/(Commercial!CJ37+Commercial!CJ42)), "-", CI316/(Commercial!CJ37+Commercial!CJ42))</f>
        <v>9.5</v>
      </c>
      <c r="CJ326" s="661">
        <f>IF(ISERROR(CJ316/(Commercial!CK37+Commercial!CK42)), "-", CJ316/(Commercial!CK37+Commercial!CK42))</f>
        <v>2.4285714285714284</v>
      </c>
      <c r="CK326" s="662">
        <f>IF(ISERROR(CK316/(Commercial!CK37+Commercial!CK42)), "-", CK316/(Commercial!CK37+Commercial!CK42))</f>
        <v>2.4285714285714284</v>
      </c>
      <c r="CL326" s="661">
        <f>IF(ISERROR(CL316/(Commercial!CM37+Commercial!CM42)), "-", CL316/(Commercial!CM37+Commercial!CM42))</f>
        <v>13</v>
      </c>
      <c r="CM326" s="661">
        <f>IF(ISERROR(CM316/(Commercial!CN37+Commercial!CN42)), "-", CM316/(Commercial!CN37+Commercial!CN42))</f>
        <v>12</v>
      </c>
      <c r="CN326" s="661">
        <f>IF(ISERROR(CN316/(Commercial!CO37+Commercial!CO42)), "-", CN316/(Commercial!CO37+Commercial!CO42))</f>
        <v>3.6666666666666665</v>
      </c>
      <c r="CO326" s="661">
        <f>IF(ISERROR(CO316/(Commercial!CP37+Commercial!CP42)), "-", CO316/(Commercial!CP37+Commercial!CP42))</f>
        <v>1.6</v>
      </c>
      <c r="CP326" s="662">
        <f>IF(ISERROR(CP316/(Commercial!CP37+Commercial!CP42)), "-", CP316/(Commercial!CP37+Commercial!CP42))</f>
        <v>1.6</v>
      </c>
      <c r="CQ326" s="661">
        <f>IF(ISERROR(CQ316/(Commercial!CR37+Commercial!CR42)), "-", CQ316/(Commercial!CR37+Commercial!CR42))</f>
        <v>12</v>
      </c>
      <c r="CR326" s="661">
        <f>IF(ISERROR(CR316/(Commercial!CS37+Commercial!CS42)), "-", CR316/(Commercial!CS37+Commercial!CS42))</f>
        <v>5.5</v>
      </c>
      <c r="CS326" s="661">
        <f>IF(ISERROR(CS316/(Commercial!CT37+Commercial!CT42)), "-", CS316/(Commercial!CT37+Commercial!CT42))</f>
        <v>3</v>
      </c>
      <c r="CT326" s="661">
        <f>IF(ISERROR(CT316/(Commercial!CU37+Commercial!CU42)), "-", CT316/(Commercial!CU37+Commercial!CU42))</f>
        <v>0.8571428571428571</v>
      </c>
      <c r="CU326" s="662">
        <f>IF(ISERROR(CU316/(Commercial!CU37+Commercial!CU42)), "-", CU316/(Commercial!CU37+Commercial!CU42))</f>
        <v>0.8571428571428571</v>
      </c>
      <c r="CV326" s="661">
        <f>IF(ISERROR(CV316/(Commercial!CW37+Commercial!CW42)), "-", CV316/(Commercial!CW37+Commercial!CW42))</f>
        <v>2.5</v>
      </c>
      <c r="CW326" s="661" t="str">
        <f>IF(ISERROR(CW316/(Commercial!CX37+Commercial!CX42)), "-", CW316/(Commercial!CX37+Commercial!CX42))</f>
        <v>-</v>
      </c>
      <c r="CX326" s="661">
        <f>IF(ISERROR(CX316/(Commercial!CY37+Commercial!CY42)), "-", CX316/(Commercial!CY37+Commercial!CY42))</f>
        <v>1.5</v>
      </c>
      <c r="CY326" s="661">
        <f>IF(ISERROR(CY316/(Commercial!CZ37+Commercial!CZ42)), "-", CY316/(Commercial!CZ37+Commercial!CZ42))</f>
        <v>0.2</v>
      </c>
      <c r="CZ326" s="662">
        <f>IF(ISERROR(CZ316/(Commercial!CZ37+Commercial!CZ42)), "-", CZ316/(Commercial!CZ37+Commercial!CZ42))</f>
        <v>0.2</v>
      </c>
      <c r="DA326" s="661" t="str">
        <f>IF(ISERROR(DA316/(Commercial!DB37+Commercial!DB42)), "-", DA316/(Commercial!DB37+Commercial!DB42))</f>
        <v>-</v>
      </c>
      <c r="DB326" s="661" t="str">
        <f>IF(ISERROR(DB316/(Commercial!DC37+Commercial!DC42)), "-", DB316/(Commercial!DC37+Commercial!DC42))</f>
        <v>-</v>
      </c>
      <c r="DC326" s="661" t="str">
        <f>IF(ISERROR(DC316/(Commercial!DD37+Commercial!DD42)), "-", DC316/(Commercial!DD37+Commercial!DD42))</f>
        <v>-</v>
      </c>
      <c r="DD326" s="661">
        <f>IF(ISERROR(DD316/(Commercial!DE37+Commercial!DE42)), "-", DD316/(Commercial!DE37+Commercial!DE42))</f>
        <v>0</v>
      </c>
      <c r="DE326" s="662">
        <f>IF(ISERROR(DE316/(Commercial!DE37+Commercial!DE42)), "-", DE316/(Commercial!DE37+Commercial!DE42))</f>
        <v>0</v>
      </c>
      <c r="DF326" s="661" t="str">
        <f>IF(ISERROR(DF316/(Commercial!DG37+Commercial!DG42)), "-", DF316/(Commercial!DG37+Commercial!DG42))</f>
        <v>-</v>
      </c>
      <c r="DG326" s="661" t="str">
        <f>IF(ISERROR(DG316/(Commercial!DH37+Commercial!DH42)), "-", DG316/(Commercial!DH37+Commercial!DH42))</f>
        <v>-</v>
      </c>
      <c r="DH326" s="661" t="str">
        <f>IF(ISERROR(DH316/(Commercial!DI37+Commercial!DI42)), "-", DH316/(Commercial!DI37+Commercial!DI42))</f>
        <v>-</v>
      </c>
      <c r="DI326" s="661" t="str">
        <f>IF(ISERROR(DI316/(Commercial!DJ37+Commercial!DJ42)), "-", DI316/(Commercial!DJ37+Commercial!DJ42))</f>
        <v>-</v>
      </c>
      <c r="DJ326" s="662" t="str">
        <f>IF(ISERROR(DJ316/(Commercial!DJ37+Commercial!DJ42)), "-", DJ316/(Commercial!DJ37+Commercial!DJ42))</f>
        <v>-</v>
      </c>
      <c r="DK326" s="661" t="str">
        <f>IF(ISERROR(DK316/(Commercial!DL37+Commercial!DL42)), "-", DK316/(Commercial!DL37+Commercial!DL42))</f>
        <v>-</v>
      </c>
      <c r="DL326" s="661" t="str">
        <f>IF(ISERROR(DL316/(Commercial!DM37+Commercial!DM42)), "-", DL316/(Commercial!DM37+Commercial!DM42))</f>
        <v>-</v>
      </c>
      <c r="DM326" s="661" t="str">
        <f>IF(ISERROR(DM316/(Commercial!DN37+Commercial!DN42)), "-", DM316/(Commercial!DN37+Commercial!DN42))</f>
        <v>-</v>
      </c>
      <c r="DN326" s="661" t="str">
        <f>IF(ISERROR(DN316/(Commercial!DO37+Commercial!DO42)), "-", DN316/(Commercial!DO37+Commercial!DO42))</f>
        <v>-</v>
      </c>
      <c r="DO326" s="662" t="str">
        <f>IF(ISERROR(DO316/(Commercial!DO37+Commercial!DO42)), "-", DO316/(Commercial!DO37+Commercial!DO42))</f>
        <v>-</v>
      </c>
      <c r="DP326" s="661" t="str">
        <f>IF(ISERROR(DP316/(Commercial!DQ37+Commercial!DQ42)), "-", DP316/(Commercial!DQ37+Commercial!DQ42))</f>
        <v>-</v>
      </c>
      <c r="DQ326" s="661" t="str">
        <f>IF(ISERROR(DQ316/(Commercial!DR37+Commercial!DR42)), "-", DQ316/(Commercial!DR37+Commercial!DR42))</f>
        <v>-</v>
      </c>
      <c r="DR326" s="661" t="str">
        <f>IF(ISERROR(DR316/(Commercial!DS37+Commercial!DS42)), "-", DR316/(Commercial!DS37+Commercial!DS42))</f>
        <v>-</v>
      </c>
      <c r="DS326" s="661" t="str">
        <f>IF(ISERROR(DS316/(Commercial!DT37+Commercial!DT42)), "-", DS316/(Commercial!DT37+Commercial!DT42))</f>
        <v>-</v>
      </c>
      <c r="DT326" s="662" t="str">
        <f>IF(ISERROR(DT316/(Commercial!DT37+Commercial!DT42)), "-", DT316/(Commercial!DT37+Commercial!DT42))</f>
        <v>-</v>
      </c>
      <c r="DU326" s="661" t="str">
        <f>IF(ISERROR(DU316/(Commercial!DV37+Commercial!DV42)), "-", DU316/(Commercial!DV37+Commercial!DV42))</f>
        <v>-</v>
      </c>
      <c r="DV326" s="661" t="str">
        <f>IF(ISERROR(DV316/(Commercial!DW37+Commercial!DW42)), "-", DV316/(Commercial!DW37+Commercial!DW42))</f>
        <v>-</v>
      </c>
      <c r="DW326" s="661" t="str">
        <f>IF(ISERROR(DW316/(Commercial!DX37+Commercial!DX42)), "-", DW316/(Commercial!DX37+Commercial!DX42))</f>
        <v>-</v>
      </c>
      <c r="DX326" s="661" t="str">
        <f>IF(ISERROR(DX316/(Commercial!DY37+Commercial!DY42)), "-", DX316/(Commercial!DY37+Commercial!DY42))</f>
        <v>-</v>
      </c>
      <c r="DY326" s="662" t="str">
        <f>IF(ISERROR(DY316/(Commercial!DY37+Commercial!DY42)), "-", DY316/(Commercial!DY37+Commercial!DY42))</f>
        <v>-</v>
      </c>
      <c r="DZ326" s="662" t="str">
        <f>IF(ISERROR(DZ316/(Commercial!DZ37+Commercial!DZ42)), "-", DZ316/(Commercial!DZ37+Commercial!DZ42))</f>
        <v>-</v>
      </c>
      <c r="EA326" s="662" t="str">
        <f>IF(ISERROR(EA316/(Commercial!EA37+Commercial!EA42)), "-", EA316/(Commercial!EA37+Commercial!EA42))</f>
        <v>-</v>
      </c>
      <c r="EB326" s="662" t="str">
        <f>IF(ISERROR(EB316/(Commercial!EB37+Commercial!EB42)), "-", EB316/(Commercial!EB37+Commercial!EB42))</f>
        <v>-</v>
      </c>
    </row>
    <row r="327" spans="2:132" s="241" customFormat="1" ht="12" hidden="1" customHeight="1" outlineLevel="1">
      <c r="B327" s="512">
        <v>757</v>
      </c>
      <c r="C327" s="355"/>
      <c r="D327" s="355"/>
      <c r="E327" s="526"/>
      <c r="F327" s="526">
        <f>IF(ISERROR(F317/Commercial!F47), "-", F317/Commercial!F47)</f>
        <v>2.088888888888889</v>
      </c>
      <c r="G327" s="526">
        <f>IF(ISERROR(G317/Commercial!G47), "-", G317/Commercial!G47)</f>
        <v>1.2222222222222223</v>
      </c>
      <c r="H327" s="526">
        <f>IF(ISERROR(H317/Commercial!H47), "-", H317/Commercial!H47)</f>
        <v>0.96551724137931039</v>
      </c>
      <c r="I327" s="526">
        <f>IF(ISERROR(I317/Commercial!I47), "-", I317/Commercial!I47)</f>
        <v>0.9285714285714286</v>
      </c>
      <c r="J327" s="524">
        <f>IF(ISERROR(J317/Commercial!N47), "-", J317/Commercial!N47)</f>
        <v>0.81818181818181823</v>
      </c>
      <c r="K327" s="524">
        <f>IF(ISERROR(K317/Commercial!N47), "-", K317/Commercial!N47)</f>
        <v>0.45454545454545453</v>
      </c>
      <c r="L327" s="524">
        <f>IF(ISERROR(L317/Commercial!N47), "-", L317/Commercial!N47)</f>
        <v>0.18181818181818182</v>
      </c>
      <c r="M327" s="524">
        <f>IF(ISERROR(M317/Commercial!N47), "-", M317/Commercial!N47)</f>
        <v>0.18181818181818182</v>
      </c>
      <c r="N327" s="526">
        <f>IF(ISERROR(N317/Commercial!N47), "-", N317/Commercial!N47)</f>
        <v>0.18181818181818182</v>
      </c>
      <c r="O327" s="524">
        <f>IF(ISERROR(O317/Commercial!S47), "-", O317/Commercial!S47)</f>
        <v>0.5</v>
      </c>
      <c r="P327" s="524">
        <f>IF(ISERROR(P317/Commercial!S47), "-", P317/Commercial!S47)</f>
        <v>0</v>
      </c>
      <c r="Q327" s="524">
        <f>IF(ISERROR(Q317/Commercial!S47), "-", Q317/Commercial!S47)</f>
        <v>0</v>
      </c>
      <c r="R327" s="524">
        <f>IF(ISERROR(R317/Commercial!S47), "-", R317/Commercial!S47)</f>
        <v>0</v>
      </c>
      <c r="S327" s="526">
        <f>IF(ISERROR(S317/Commercial!S47), "-", S317/Commercial!S47)</f>
        <v>0</v>
      </c>
      <c r="T327" s="524" t="str">
        <f>IF(ISERROR(T317/Commercial!X47), "-", T317/Commercial!X47)</f>
        <v>-</v>
      </c>
      <c r="U327" s="524" t="str">
        <f>IF(ISERROR(U317/Commercial!X47), "-", U317/Commercial!X47)</f>
        <v>-</v>
      </c>
      <c r="V327" s="524" t="str">
        <f>IF(ISERROR(V317/Commercial!X47), "-", V317/Commercial!X47)</f>
        <v>-</v>
      </c>
      <c r="W327" s="524" t="str">
        <f>IF(ISERROR(W317/Commercial!X47), "-", W317/Commercial!X47)</f>
        <v>-</v>
      </c>
      <c r="X327" s="526" t="str">
        <f>IF(ISERROR(X317/Commercial!X47), "-", X317/Commercial!X47)</f>
        <v>-</v>
      </c>
      <c r="Y327" s="524" t="str">
        <f>IF(ISERROR(Y317/Commercial!AC47), "-", Y317/Commercial!AC47)</f>
        <v>-</v>
      </c>
      <c r="Z327" s="524" t="str">
        <f>IF(ISERROR(Z317/Commercial!AC47), "-", Z317/Commercial!AC47)</f>
        <v>-</v>
      </c>
      <c r="AA327" s="524" t="str">
        <f>IF(ISERROR(AA317/Commercial!AC47), "-", AA317/Commercial!AC47)</f>
        <v>-</v>
      </c>
      <c r="AB327" s="524" t="str">
        <f>IF(ISERROR(AB317/Commercial!AC47), "-", AB317/Commercial!AC47)</f>
        <v>-</v>
      </c>
      <c r="AC327" s="526" t="str">
        <f>IF(ISERROR(AC317/Commercial!AC47), "-", AC317/Commercial!AC47)</f>
        <v>-</v>
      </c>
      <c r="AD327" s="524" t="str">
        <f>IF(ISERROR(AD317/Commercial!AH47), "-", AD317/Commercial!AH47)</f>
        <v>-</v>
      </c>
      <c r="AE327" s="524" t="str">
        <f>IF(ISERROR(AE317/Commercial!AH47), "-", AE317/Commercial!AH47)</f>
        <v>-</v>
      </c>
      <c r="AF327" s="524" t="str">
        <f>IF(ISERROR(AF317/Commercial!AH47), "-", AF317/Commercial!AH47)</f>
        <v>-</v>
      </c>
      <c r="AG327" s="524" t="str">
        <f>IF(ISERROR(AG317/Commercial!AH47), "-", AG317/Commercial!AH47)</f>
        <v>-</v>
      </c>
      <c r="AH327" s="526" t="str">
        <f>IF(ISERROR(AH317/Commercial!AH47), "-", AH317/Commercial!AH47)</f>
        <v>-</v>
      </c>
      <c r="AI327" s="524" t="str">
        <f>IF(ISERROR(AI317/Commercial!AM47), "-", AI317/Commercial!AM47)</f>
        <v>-</v>
      </c>
      <c r="AJ327" s="524" t="str">
        <f>IF(ISERROR(AJ317/Commercial!AM47), "-", AJ317/Commercial!AM47)</f>
        <v>-</v>
      </c>
      <c r="AK327" s="524" t="str">
        <f>IF(ISERROR(AK317/Commercial!AM47), "-", AK317/Commercial!AM47)</f>
        <v>-</v>
      </c>
      <c r="AL327" s="524" t="str">
        <f>IF(ISERROR(AL317/Commercial!AM47), "-", AL317/Commercial!AM47)</f>
        <v>-</v>
      </c>
      <c r="AM327" s="526" t="str">
        <f>IF(ISERROR(AM317/Commercial!AM47), "-", AM317/Commercial!AM47)</f>
        <v>-</v>
      </c>
      <c r="AN327" s="524" t="str">
        <f>IF(ISERROR(AN317/Commercial!AR47), "-", AN317/Commercial!AR47)</f>
        <v>-</v>
      </c>
      <c r="AO327" s="524" t="str">
        <f>IF(ISERROR(AO317/Commercial!AR47), "-", AO317/Commercial!AR47)</f>
        <v>-</v>
      </c>
      <c r="AP327" s="524" t="str">
        <f>IF(ISERROR(AP317/Commercial!AR47), "-", AP317/Commercial!AR47)</f>
        <v>-</v>
      </c>
      <c r="AQ327" s="524" t="str">
        <f>IF(ISERROR(AQ317/Commercial!AR47), "-", AQ317/Commercial!AR47)</f>
        <v>-</v>
      </c>
      <c r="AR327" s="526" t="str">
        <f>IF(ISERROR(AR317/Commercial!AR47), "-", AR317/Commercial!AR47)</f>
        <v>-</v>
      </c>
      <c r="AS327" s="524" t="str">
        <f>IF(ISERROR(AS317/Commercial!AW47), "-", AS317/Commercial!AW47)</f>
        <v>-</v>
      </c>
      <c r="AT327" s="524" t="str">
        <f>IF(ISERROR(AT317/Commercial!AW47), "-", AT317/Commercial!AW47)</f>
        <v>-</v>
      </c>
      <c r="AU327" s="524" t="str">
        <f>IF(ISERROR(AU317/Commercial!AW47), "-", AU317/Commercial!AW47)</f>
        <v>-</v>
      </c>
      <c r="AV327" s="524" t="str">
        <f>IF(ISERROR(AV317/Commercial!AW47), "-", AV317/Commercial!AW47)</f>
        <v>-</v>
      </c>
      <c r="AW327" s="526" t="str">
        <f>IF(ISERROR(AW317/Commercial!AW47), "-", AW317/Commercial!AW47)</f>
        <v>-</v>
      </c>
      <c r="AX327" s="524" t="str">
        <f>IF(ISERROR(AX317/Commercial!BB47), "-", AX317/Commercial!BB47)</f>
        <v>-</v>
      </c>
      <c r="AY327" s="524" t="str">
        <f>IF(ISERROR(AY317/Commercial!BB47), "-", AY317/Commercial!BB47)</f>
        <v>-</v>
      </c>
      <c r="AZ327" s="524" t="str">
        <f>IF(ISERROR(AZ317/Commercial!BB47), "-", AZ317/Commercial!BB47)</f>
        <v>-</v>
      </c>
      <c r="BA327" s="524" t="str">
        <f>IF(ISERROR(BA317/Commercial!BB47), "-", BA317/Commercial!BB47)</f>
        <v>-</v>
      </c>
      <c r="BB327" s="526" t="str">
        <f>IF(ISERROR(BB317/Commercial!BB47), "-", BB317/Commercial!BB47)</f>
        <v>-</v>
      </c>
      <c r="BC327" s="524" t="str">
        <f>IF(ISERROR(BC317/Commercial!BG47), "-", BC317/Commercial!BG47)</f>
        <v>-</v>
      </c>
      <c r="BD327" s="524" t="str">
        <f>IF(ISERROR(BD317/Commercial!BG47), "-", BD317/Commercial!BG47)</f>
        <v>-</v>
      </c>
      <c r="BE327" s="524" t="str">
        <f>IF(ISERROR(BE317/Commercial!BG47), "-", BE317/Commercial!BG47)</f>
        <v>-</v>
      </c>
      <c r="BF327" s="524" t="str">
        <f>IF(ISERROR(BF317/Commercial!BG47), "-", BF317/Commercial!BG47)</f>
        <v>-</v>
      </c>
      <c r="BG327" s="526" t="str">
        <f>IF(ISERROR(BG317/Commercial!BG47), "-", BG317/Commercial!BG47)</f>
        <v>-</v>
      </c>
      <c r="BH327" s="524" t="str">
        <f>IF(ISERROR(BH317/Commercial!BL47), "-", BH317/Commercial!BL47)</f>
        <v>-</v>
      </c>
      <c r="BI327" s="524" t="str">
        <f>IF(ISERROR(BI317/Commercial!BL47), "-", BI317/Commercial!BL47)</f>
        <v>-</v>
      </c>
      <c r="BJ327" s="661" t="str">
        <f>IF(ISERROR(BJ317/Commercial!BL47), "-", BJ317/Commercial!BL47)</f>
        <v>-</v>
      </c>
      <c r="BK327" s="661" t="str">
        <f>IF(ISERROR(BK317/Commercial!BL47), "-", BK317/Commercial!BL47)</f>
        <v>-</v>
      </c>
      <c r="BL327" s="526" t="str">
        <f>IF(ISERROR(BL317/Commercial!BL47), "-", BL317/Commercial!BL47)</f>
        <v>-</v>
      </c>
      <c r="BM327" s="661" t="str">
        <f>IF(ISERROR(BM317/Commercial!BQ47), "-", BM317/Commercial!BQ47)</f>
        <v>-</v>
      </c>
      <c r="BN327" s="661" t="str">
        <f>IF(ISERROR(BN317/Commercial!BQ47), "-", BN317/Commercial!BQ47)</f>
        <v>-</v>
      </c>
      <c r="BO327" s="661" t="str">
        <f>IF(ISERROR(BO317/Commercial!BQ47), "-", BO317/Commercial!BQ47)</f>
        <v>-</v>
      </c>
      <c r="BP327" s="661" t="str">
        <f>IF(ISERROR(BP317/Commercial!BQ47), "-", BP317/Commercial!BQ47)</f>
        <v>-</v>
      </c>
      <c r="BQ327" s="662" t="str">
        <f>IF(ISERROR(BQ317/Commercial!BQ47), "-", BQ317/Commercial!BQ47)</f>
        <v>-</v>
      </c>
      <c r="BR327" s="661" t="str">
        <f>IF(ISERROR(BR317/Commercial!BV47), "-", BR317/Commercial!BV47)</f>
        <v>-</v>
      </c>
      <c r="BS327" s="661" t="str">
        <f>IF(ISERROR(BS317/Commercial!BV47), "-", BS317/Commercial!BV47)</f>
        <v>-</v>
      </c>
      <c r="BT327" s="661" t="str">
        <f>IF(ISERROR(BT317/Commercial!BV47), "-", BT317/Commercial!BV47)</f>
        <v>-</v>
      </c>
      <c r="BU327" s="661" t="str">
        <f>IF(ISERROR(BU317/Commercial!BV47), "-", BU317/Commercial!BV47)</f>
        <v>-</v>
      </c>
      <c r="BV327" s="662" t="str">
        <f>IF(ISERROR(BV317/Commercial!BV47), "-", BV317/Commercial!BV47)</f>
        <v>-</v>
      </c>
      <c r="BW327" s="661" t="str">
        <f>IF(ISERROR(BW317/Commercial!CA47), "-", BW317/Commercial!CA47)</f>
        <v>-</v>
      </c>
      <c r="BX327" s="661" t="str">
        <f>IF(ISERROR(BX317/Commercial!CA47), "-", BX317/Commercial!CA47)</f>
        <v>-</v>
      </c>
      <c r="BY327" s="661" t="str">
        <f>IF(ISERROR(BY317/Commercial!CA47), "-", BY317/Commercial!CA47)</f>
        <v>-</v>
      </c>
      <c r="BZ327" s="661" t="str">
        <f>IF(ISERROR(BZ317/Commercial!CA47), "-", BZ317/Commercial!CA47)</f>
        <v>-</v>
      </c>
      <c r="CA327" s="662" t="str">
        <f>IF(ISERROR(CA317/Commercial!CA47), "-", CA317/Commercial!CA47)</f>
        <v>-</v>
      </c>
      <c r="CB327" s="661" t="str">
        <f>IF(ISERROR(CB317/Commercial!CF47), "-", CB317/Commercial!CF47)</f>
        <v>-</v>
      </c>
      <c r="CC327" s="661" t="str">
        <f>IF(ISERROR(CC317/Commercial!CF47), "-", CC317/Commercial!CF47)</f>
        <v>-</v>
      </c>
      <c r="CD327" s="661" t="str">
        <f>IF(ISERROR(CD317/Commercial!CF47), "-", CD317/Commercial!CF47)</f>
        <v>-</v>
      </c>
      <c r="CE327" s="661" t="str">
        <f>IF(ISERROR(CE317/Commercial!CF47), "-", CE317/Commercial!CF47)</f>
        <v>-</v>
      </c>
      <c r="CF327" s="662" t="str">
        <f>IF(ISERROR(CF317/Commercial!CF47), "-", CF317/Commercial!CF47)</f>
        <v>-</v>
      </c>
      <c r="CG327" s="661" t="str">
        <f>IF(ISERROR(CG317/Commercial!CK47), "-", CG317/Commercial!CK47)</f>
        <v>-</v>
      </c>
      <c r="CH327" s="661" t="str">
        <f>IF(ISERROR(CH317/Commercial!CI47), "-", CH317/Commercial!CI47)</f>
        <v>-</v>
      </c>
      <c r="CI327" s="661" t="str">
        <f>IF(ISERROR(CI317/Commercial!CJ47), "-", CI317/Commercial!CJ47)</f>
        <v>-</v>
      </c>
      <c r="CJ327" s="661" t="str">
        <f>IF(ISERROR(CJ317/Commercial!CK47), "-", CJ317/Commercial!CK47)</f>
        <v>-</v>
      </c>
      <c r="CK327" s="662" t="str">
        <f>IF(ISERROR(CK317/Commercial!CK47), "-", CK317/Commercial!CK47)</f>
        <v>-</v>
      </c>
      <c r="CL327" s="661" t="str">
        <f>IF(ISERROR(CL317/Commercial!CM47), "-", CL317/Commercial!CM47)</f>
        <v>-</v>
      </c>
      <c r="CM327" s="661" t="str">
        <f>IF(ISERROR(CM317/Commercial!CN47), "-", CM317/Commercial!CN47)</f>
        <v>-</v>
      </c>
      <c r="CN327" s="661" t="str">
        <f>IF(ISERROR(CN317/Commercial!CO47), "-", CN317/Commercial!CO47)</f>
        <v>-</v>
      </c>
      <c r="CO327" s="661" t="str">
        <f>IF(ISERROR(CO317/Commercial!CP47), "-", CO317/Commercial!CP47)</f>
        <v>-</v>
      </c>
      <c r="CP327" s="662" t="str">
        <f>IF(ISERROR(CP317/Commercial!CP47), "-", CP317/Commercial!CP47)</f>
        <v>-</v>
      </c>
      <c r="CQ327" s="661" t="str">
        <f>IF(ISERROR(CQ317/Commercial!CR47), "-", CQ317/Commercial!CR47)</f>
        <v>-</v>
      </c>
      <c r="CR327" s="661" t="str">
        <f>IF(ISERROR(CR317/Commercial!CS47), "-", CR317/Commercial!CS47)</f>
        <v>-</v>
      </c>
      <c r="CS327" s="661" t="str">
        <f>IF(ISERROR(CS317/Commercial!CT47), "-", CS317/Commercial!CT47)</f>
        <v>-</v>
      </c>
      <c r="CT327" s="661" t="str">
        <f>IF(ISERROR(CT317/Commercial!CU47), "-", CT317/Commercial!CU47)</f>
        <v>-</v>
      </c>
      <c r="CU327" s="662" t="str">
        <f>IF(ISERROR(CU317/Commercial!CU47), "-", CU317/Commercial!CU47)</f>
        <v>-</v>
      </c>
      <c r="CV327" s="661" t="str">
        <f>IF(ISERROR(CV317/Commercial!CW47), "-", CV317/Commercial!CW47)</f>
        <v>-</v>
      </c>
      <c r="CW327" s="661" t="str">
        <f>IF(ISERROR(CW317/Commercial!CX47), "-", CW317/Commercial!CX47)</f>
        <v>-</v>
      </c>
      <c r="CX327" s="661" t="str">
        <f>IF(ISERROR(CX317/Commercial!CY47), "-", CX317/Commercial!CY47)</f>
        <v>-</v>
      </c>
      <c r="CY327" s="661" t="str">
        <f>IF(ISERROR(CY317/Commercial!CZ47), "-", CY317/Commercial!CZ47)</f>
        <v>-</v>
      </c>
      <c r="CZ327" s="662" t="str">
        <f>IF(ISERROR(CZ317/Commercial!CZ47), "-", CZ317/Commercial!CZ47)</f>
        <v>-</v>
      </c>
      <c r="DA327" s="661" t="str">
        <f>IF(ISERROR(DA317/Commercial!DB47), "-", DA317/Commercial!DB47)</f>
        <v>-</v>
      </c>
      <c r="DB327" s="661" t="str">
        <f>IF(ISERROR(DB317/Commercial!DC47), "-", DB317/Commercial!DC47)</f>
        <v>-</v>
      </c>
      <c r="DC327" s="661" t="str">
        <f>IF(ISERROR(DC317/Commercial!DD47), "-", DC317/Commercial!DD47)</f>
        <v>-</v>
      </c>
      <c r="DD327" s="661" t="str">
        <f>IF(ISERROR(DD317/Commercial!DE47), "-", DD317/Commercial!DE47)</f>
        <v>-</v>
      </c>
      <c r="DE327" s="662" t="str">
        <f>IF(ISERROR(DE317/Commercial!DE47), "-", DE317/Commercial!DE47)</f>
        <v>-</v>
      </c>
      <c r="DF327" s="661" t="str">
        <f>IF(ISERROR(DF317/Commercial!DG47), "-", DF317/Commercial!DG47)</f>
        <v>-</v>
      </c>
      <c r="DG327" s="661" t="str">
        <f>IF(ISERROR(DG317/Commercial!DH47), "-", DG317/Commercial!DH47)</f>
        <v>-</v>
      </c>
      <c r="DH327" s="661" t="str">
        <f>IF(ISERROR(DH317/Commercial!DI47), "-", DH317/Commercial!DI47)</f>
        <v>-</v>
      </c>
      <c r="DI327" s="661" t="str">
        <f>IF(ISERROR(DI317/Commercial!DJ47), "-", DI317/Commercial!DJ47)</f>
        <v>-</v>
      </c>
      <c r="DJ327" s="662" t="str">
        <f>IF(ISERROR(DJ317/Commercial!DJ47), "-", DJ317/Commercial!DJ47)</f>
        <v>-</v>
      </c>
      <c r="DK327" s="661" t="str">
        <f>IF(ISERROR(DK317/Commercial!DL47), "-", DK317/Commercial!DL47)</f>
        <v>-</v>
      </c>
      <c r="DL327" s="661" t="str">
        <f>IF(ISERROR(DL317/Commercial!DM47), "-", DL317/Commercial!DM47)</f>
        <v>-</v>
      </c>
      <c r="DM327" s="661" t="str">
        <f>IF(ISERROR(DM317/Commercial!DN47), "-", DM317/Commercial!DN47)</f>
        <v>-</v>
      </c>
      <c r="DN327" s="661" t="str">
        <f>IF(ISERROR(DN317/Commercial!DO47), "-", DN317/Commercial!DO47)</f>
        <v>-</v>
      </c>
      <c r="DO327" s="662" t="str">
        <f>IF(ISERROR(DO317/Commercial!DO47), "-", DO317/Commercial!DO47)</f>
        <v>-</v>
      </c>
      <c r="DP327" s="661" t="str">
        <f>IF(ISERROR(DP317/Commercial!DQ47), "-", DP317/Commercial!DQ47)</f>
        <v>-</v>
      </c>
      <c r="DQ327" s="661" t="str">
        <f>IF(ISERROR(DQ317/Commercial!DR47), "-", DQ317/Commercial!DR47)</f>
        <v>-</v>
      </c>
      <c r="DR327" s="661" t="str">
        <f>IF(ISERROR(DR317/Commercial!DS47), "-", DR317/Commercial!DS47)</f>
        <v>-</v>
      </c>
      <c r="DS327" s="661" t="str">
        <f>IF(ISERROR(DS317/Commercial!DT47), "-", DS317/Commercial!DT47)</f>
        <v>-</v>
      </c>
      <c r="DT327" s="662" t="str">
        <f>IF(ISERROR(DT317/Commercial!DT47), "-", DT317/Commercial!DT47)</f>
        <v>-</v>
      </c>
      <c r="DU327" s="661" t="str">
        <f>IF(ISERROR(DU317/Commercial!DV47), "-", DU317/Commercial!DV47)</f>
        <v>-</v>
      </c>
      <c r="DV327" s="661" t="str">
        <f>IF(ISERROR(DV317/Commercial!DW47), "-", DV317/Commercial!DW47)</f>
        <v>-</v>
      </c>
      <c r="DW327" s="661" t="str">
        <f>IF(ISERROR(DW317/Commercial!DX47), "-", DW317/Commercial!DX47)</f>
        <v>-</v>
      </c>
      <c r="DX327" s="661" t="str">
        <f>IF(ISERROR(DX317/Commercial!DY47), "-", DX317/Commercial!DY47)</f>
        <v>-</v>
      </c>
      <c r="DY327" s="662" t="str">
        <f>IF(ISERROR(DY317/Commercial!DY47), "-", DY317/Commercial!DY47)</f>
        <v>-</v>
      </c>
      <c r="DZ327" s="662" t="str">
        <f>IF(ISERROR(DZ317/Commercial!DZ47), "-", DZ317/Commercial!DZ47)</f>
        <v>-</v>
      </c>
      <c r="EA327" s="662" t="str">
        <f>IF(ISERROR(EA317/Commercial!EA47), "-", EA317/Commercial!EA47)</f>
        <v>-</v>
      </c>
      <c r="EB327" s="662" t="str">
        <f>IF(ISERROR(EB317/Commercial!EB47), "-", EB317/Commercial!EB47)</f>
        <v>-</v>
      </c>
    </row>
    <row r="328" spans="2:132" s="241" customFormat="1" ht="12" hidden="1" customHeight="1" outlineLevel="1">
      <c r="B328" s="512">
        <v>767</v>
      </c>
      <c r="C328" s="355"/>
      <c r="D328" s="355"/>
      <c r="E328" s="526"/>
      <c r="F328" s="526">
        <f>IF(ISERROR(F318/Commercial!F52), "-", F318/Commercial!F52)</f>
        <v>1.8636363636363635</v>
      </c>
      <c r="G328" s="526">
        <f>IF(ISERROR(G318/Commercial!G52), "-", G318/Commercial!G52)</f>
        <v>1.925</v>
      </c>
      <c r="H328" s="526">
        <f>IF(ISERROR(H318/Commercial!H52), "-", H318/Commercial!H52)</f>
        <v>1.1142857142857143</v>
      </c>
      <c r="I328" s="526">
        <f>IF(ISERROR(I318/Commercial!I52), "-", I318/Commercial!I52)</f>
        <v>1.0416666666666667</v>
      </c>
      <c r="J328" s="524">
        <f>IF(ISERROR(J318/Commercial!N52), "-", J318/Commercial!N52)</f>
        <v>2.6666666666666665</v>
      </c>
      <c r="K328" s="524">
        <f>IF(ISERROR(K318/Commercial!N52), "-", K318/Commercial!N52)</f>
        <v>2.7777777777777777</v>
      </c>
      <c r="L328" s="524">
        <f>IF(ISERROR(L318/Commercial!N52), "-", L318/Commercial!N52)</f>
        <v>2.6666666666666665</v>
      </c>
      <c r="M328" s="524">
        <f>IF(ISERROR(M318/Commercial!N52), "-", M318/Commercial!N52)</f>
        <v>2.7777777777777777</v>
      </c>
      <c r="N328" s="526">
        <f>IF(ISERROR(N318/Commercial!N52), "-", N318/Commercial!N52)</f>
        <v>2.7777777777777777</v>
      </c>
      <c r="O328" s="524">
        <f>IF(ISERROR(O318/Commercial!S52), "-", O318/Commercial!S52)</f>
        <v>2</v>
      </c>
      <c r="P328" s="524">
        <f>IF(ISERROR(P318/Commercial!S52), "-", P318/Commercial!S52)</f>
        <v>2</v>
      </c>
      <c r="Q328" s="524">
        <f>IF(ISERROR(Q318/Commercial!S52), "-", Q318/Commercial!S52)</f>
        <v>3.2</v>
      </c>
      <c r="R328" s="524">
        <f>IF(ISERROR(R318/Commercial!S52), "-", R318/Commercial!S52)</f>
        <v>3</v>
      </c>
      <c r="S328" s="526">
        <f>IF(ISERROR(S318/Commercial!S52), "-", S318/Commercial!S52)</f>
        <v>3</v>
      </c>
      <c r="T328" s="524">
        <f>IF(ISERROR(T318/Commercial!X52), "-", T318/Commercial!X52)</f>
        <v>2.5833333333333335</v>
      </c>
      <c r="U328" s="524">
        <f>IF(ISERROR(U318/Commercial!X52), "-", U318/Commercial!X52)</f>
        <v>2.3333333333333335</v>
      </c>
      <c r="V328" s="524">
        <f>IF(ISERROR(V318/Commercial!X52), "-", V318/Commercial!X52)</f>
        <v>2.4166666666666665</v>
      </c>
      <c r="W328" s="524">
        <f>IF(ISERROR(W318/Commercial!X52), "-", W318/Commercial!X52)</f>
        <v>2.3333333333333335</v>
      </c>
      <c r="X328" s="526">
        <f>IF(ISERROR(X318/Commercial!X52), "-", X318/Commercial!X52)</f>
        <v>2.3333333333333335</v>
      </c>
      <c r="Y328" s="524">
        <f>IF(ISERROR(Y318/Commercial!AC52), "-", Y318/Commercial!AC52)</f>
        <v>5.083333333333333</v>
      </c>
      <c r="Z328" s="524">
        <f>IF(ISERROR(Z318/Commercial!AC52), "-", Z318/Commercial!AC52)</f>
        <v>4.833333333333333</v>
      </c>
      <c r="AA328" s="524">
        <f>IF(ISERROR(AA318/Commercial!AC52), "-", AA318/Commercial!AC52)</f>
        <v>4.583333333333333</v>
      </c>
      <c r="AB328" s="524">
        <f>IF(ISERROR(AB318/Commercial!AC52), "-", AB318/Commercial!AC52)</f>
        <v>4.333333333333333</v>
      </c>
      <c r="AC328" s="526">
        <f>IF(ISERROR(AC318/Commercial!AC52), "-", AC318/Commercial!AC52)</f>
        <v>4.333333333333333</v>
      </c>
      <c r="AD328" s="524">
        <f>IF(ISERROR(AD318/Commercial!AH52), "-", AD318/Commercial!AH52)</f>
        <v>4.9000000000000004</v>
      </c>
      <c r="AE328" s="524">
        <f>IF(ISERROR(AE318/Commercial!AH52), "-", AE318/Commercial!AH52)</f>
        <v>4.5999999999999996</v>
      </c>
      <c r="AF328" s="524">
        <f>IF(ISERROR(AF318/Commercial!AH52), "-", AF318/Commercial!AH52)</f>
        <v>6.4</v>
      </c>
      <c r="AG328" s="524">
        <f>IF(ISERROR(AG318/Commercial!AH52), "-", AG318/Commercial!AH52)</f>
        <v>7</v>
      </c>
      <c r="AH328" s="526">
        <f>IF(ISERROR(AH318/Commercial!AH52), "-", AH318/Commercial!AH52)</f>
        <v>7</v>
      </c>
      <c r="AI328" s="524">
        <f>IF(ISERROR(AI318/Commercial!AM52), "-", AI318/Commercial!AM52)</f>
        <v>5.1538461538461542</v>
      </c>
      <c r="AJ328" s="524">
        <f>IF(ISERROR(AJ318/Commercial!AM52), "-", AJ318/Commercial!AM52)</f>
        <v>4.6923076923076925</v>
      </c>
      <c r="AK328" s="524">
        <f>IF(ISERROR(AK318/Commercial!AM52), "-", AK318/Commercial!AM52)</f>
        <v>4.384615384615385</v>
      </c>
      <c r="AL328" s="524">
        <f>IF(ISERROR(AL318/Commercial!AM52), "-", AL318/Commercial!AM52)</f>
        <v>4.5384615384615383</v>
      </c>
      <c r="AM328" s="526">
        <f>IF(ISERROR(AM318/Commercial!AM52), "-", AM318/Commercial!AM52)</f>
        <v>4.5384615384615383</v>
      </c>
      <c r="AN328" s="524">
        <f>IF(ISERROR(AN318/Commercial!AR52), "-", AN318/Commercial!AR52)</f>
        <v>4.666666666666667</v>
      </c>
      <c r="AO328" s="524">
        <f>IF(ISERROR(AO318/Commercial!AR52), "-", AO318/Commercial!AR52)</f>
        <v>4.583333333333333</v>
      </c>
      <c r="AP328" s="524">
        <f>IF(ISERROR(AP318/Commercial!AR52), "-", AP318/Commercial!AR52)</f>
        <v>4.416666666666667</v>
      </c>
      <c r="AQ328" s="524">
        <f>IF(ISERROR(AQ318/Commercial!AR52), "-", AQ318/Commercial!AR52)</f>
        <v>4.166666666666667</v>
      </c>
      <c r="AR328" s="526">
        <f>IF(ISERROR(AR318/Commercial!AR52), "-", AR318/Commercial!AR52)</f>
        <v>4.166666666666667</v>
      </c>
      <c r="AS328" s="524">
        <f>IF(ISERROR(AS318/Commercial!AW52), "-", AS318/Commercial!AW52)</f>
        <v>2.65</v>
      </c>
      <c r="AT328" s="524">
        <f>IF(ISERROR(AT318/Commercial!AW52), "-", AT318/Commercial!AW52)</f>
        <v>2.7</v>
      </c>
      <c r="AU328" s="524">
        <f>IF(ISERROR(AU318/Commercial!AW52), "-", AU318/Commercial!AW52)</f>
        <v>2.4500000000000002</v>
      </c>
      <c r="AV328" s="524">
        <f>IF(ISERROR(AV318/Commercial!AW52), "-", AV318/Commercial!AW52)</f>
        <v>3.6</v>
      </c>
      <c r="AW328" s="526">
        <f>IF(ISERROR(AW318/Commercial!AW52), "-", AW318/Commercial!AW52)</f>
        <v>3.6</v>
      </c>
      <c r="AX328" s="524">
        <f>IF(ISERROR(AX318/Commercial!BB52), "-", AX318/Commercial!BB52)</f>
        <v>2.6538461538461537</v>
      </c>
      <c r="AY328" s="524">
        <f>IF(ISERROR(AY318/Commercial!BB52), "-", AY318/Commercial!BB52)</f>
        <v>3</v>
      </c>
      <c r="AZ328" s="524">
        <f>IF(ISERROR(AZ318/Commercial!BB52), "-", AZ318/Commercial!BB52)</f>
        <v>2.7307692307692308</v>
      </c>
      <c r="BA328" s="524">
        <f>IF(ISERROR(BA318/Commercial!BB52), "-", BA318/Commercial!BB52)</f>
        <v>2.6153846153846154</v>
      </c>
      <c r="BB328" s="526">
        <f>IF(ISERROR(BB318/Commercial!BB52), "-", BB318/Commercial!BB52)</f>
        <v>2.6153846153846154</v>
      </c>
      <c r="BC328" s="524">
        <f>IF(ISERROR(BC318/Commercial!BG52), "-", BC318/Commercial!BG52)</f>
        <v>3.0476190476190474</v>
      </c>
      <c r="BD328" s="524">
        <f>IF(ISERROR(BD318/Commercial!BG52), "-", BD318/Commercial!BG52)</f>
        <v>2.6666666666666665</v>
      </c>
      <c r="BE328" s="524">
        <f>IF(ISERROR(BE318/Commercial!BG52), "-", BE318/Commercial!BG52)</f>
        <v>2.4285714285714284</v>
      </c>
      <c r="BF328" s="524">
        <f>IF(ISERROR(BF318/Commercial!BG52), "-", BF318/Commercial!BG52)</f>
        <v>2.3333333333333335</v>
      </c>
      <c r="BG328" s="526">
        <f>IF(ISERROR(BG318/Commercial!BG52), "-", BG318/Commercial!BG52)</f>
        <v>2.3333333333333335</v>
      </c>
      <c r="BH328" s="524">
        <f>IF(ISERROR(BH318/Commercial!BL52), "-", BH318/Commercial!BL52)</f>
        <v>8.1666666666666661</v>
      </c>
      <c r="BI328" s="524">
        <f>IF(ISERROR(BI318/Commercial!BL52), "-", BI318/Commercial!BL52)</f>
        <v>8</v>
      </c>
      <c r="BJ328" s="661">
        <f>IF(ISERROR(BJ318/Commercial!BL52), "-", BJ318/Commercial!BL52)</f>
        <v>8.3333333333333339</v>
      </c>
      <c r="BK328" s="661">
        <f>IF(ISERROR(BK318/Commercial!BL52), "-", BK318/Commercial!BL52)</f>
        <v>7.833333333333333</v>
      </c>
      <c r="BL328" s="526">
        <f>IF(ISERROR(BL318/Commercial!BL52), "-", BL318/Commercial!BL52)</f>
        <v>7.833333333333333</v>
      </c>
      <c r="BM328" s="661">
        <f>IF(ISERROR(BM318/Commercial!BQ52), "-", BM318/Commercial!BQ52)</f>
        <v>2.625</v>
      </c>
      <c r="BN328" s="661">
        <f>IF(ISERROR(BN318/Commercial!BQ52), "-", BN318/Commercial!BQ52)</f>
        <v>2.4375</v>
      </c>
      <c r="BO328" s="661">
        <f>IF(ISERROR(BO318/Commercial!BQ52), "-", BO318/Commercial!BQ52)</f>
        <v>5.0625</v>
      </c>
      <c r="BP328" s="661">
        <f>IF(ISERROR(BP318/Commercial!BQ52), "-", BP318/Commercial!BQ52)</f>
        <v>5</v>
      </c>
      <c r="BQ328" s="662">
        <f>IF(ISERROR(BQ318/Commercial!BQ52), "-", BQ318/Commercial!BQ52)</f>
        <v>5</v>
      </c>
      <c r="BR328" s="661">
        <f>IF(ISERROR(BR318/Commercial!BV52), "-", BR318/Commercial!BV52)</f>
        <v>6.1538461538461542</v>
      </c>
      <c r="BS328" s="661">
        <f>IF(ISERROR(BS318/Commercial!BV52), "-", BS318/Commercial!BV52)</f>
        <v>6.3076923076923075</v>
      </c>
      <c r="BT328" s="661">
        <f>IF(ISERROR(BT318/Commercial!BV52), "-", BT318/Commercial!BV52)</f>
        <v>7.384615384615385</v>
      </c>
      <c r="BU328" s="661">
        <f>IF(ISERROR(BU318/Commercial!BV52), "-", BU318/Commercial!BV52)</f>
        <v>7.1538461538461542</v>
      </c>
      <c r="BV328" s="662">
        <f>IF(ISERROR(BV318/Commercial!BV52), "-", BV318/Commercial!BV52)</f>
        <v>7.1538461538461542</v>
      </c>
      <c r="BW328" s="661">
        <f>IF(ISERROR(BW318/Commercial!CA52), "-", BW318/Commercial!CA52)</f>
        <v>10.6</v>
      </c>
      <c r="BX328" s="661">
        <f>IF(ISERROR(BX318/Commercial!CA52), "-", BX318/Commercial!CA52)</f>
        <v>10.3</v>
      </c>
      <c r="BY328" s="661">
        <f>IF(ISERROR(BY318/Commercial!CA52), "-", BY318/Commercial!CA52)</f>
        <v>10.1</v>
      </c>
      <c r="BZ328" s="661">
        <f>IF(ISERROR(BZ318/Commercial!CA52), "-", BZ318/Commercial!CA52)</f>
        <v>9.8000000000000007</v>
      </c>
      <c r="CA328" s="662">
        <f>IF(ISERROR(CA318/Commercial!CA52), "-", CA318/Commercial!CA52)</f>
        <v>9.8000000000000007</v>
      </c>
      <c r="CB328" s="661">
        <f>IF(ISERROR(CB318/Commercial!CF52), "-", CB318/Commercial!CF52)</f>
        <v>3.7407407407407409</v>
      </c>
      <c r="CC328" s="661">
        <f>IF(ISERROR(CC318/Commercial!CF52), "-", CC318/Commercial!CF52)</f>
        <v>4.0370370370370372</v>
      </c>
      <c r="CD328" s="661">
        <f>IF(ISERROR(CD318/Commercial!CF52), "-", CD318/Commercial!CF52)</f>
        <v>4.5555555555555554</v>
      </c>
      <c r="CE328" s="661">
        <f>IF(ISERROR(CE318/Commercial!CF52), "-", CE318/Commercial!CF52)</f>
        <v>4.1111111111111107</v>
      </c>
      <c r="CF328" s="662">
        <f>IF(ISERROR(CF318/Commercial!CF52), "-", CF318/Commercial!CF52)</f>
        <v>4.1111111111111107</v>
      </c>
      <c r="CG328" s="661">
        <f>IF(ISERROR(CG318/Commercial!CK52), "-", CG318/Commercial!CK52)</f>
        <v>2.3953488372093021</v>
      </c>
      <c r="CH328" s="661">
        <f>IF(ISERROR(CH318/Commercial!CI52), "-", CH318/Commercial!CI52)</f>
        <v>9.9</v>
      </c>
      <c r="CI328" s="661">
        <f>IF(ISERROR(CI318/Commercial!CJ52), "-", CI318/Commercial!CJ52)</f>
        <v>9.545454545454545</v>
      </c>
      <c r="CJ328" s="661">
        <f>IF(ISERROR(CJ318/Commercial!CK52), "-", CJ318/Commercial!CK52)</f>
        <v>2.1860465116279069</v>
      </c>
      <c r="CK328" s="662">
        <f>IF(ISERROR(CK318/Commercial!CK52), "-", CK318/Commercial!CK52)</f>
        <v>2.1860465116279069</v>
      </c>
      <c r="CL328" s="661">
        <f>IF(ISERROR(CL318/Commercial!CM52), "-", CL318/Commercial!CM52)</f>
        <v>21.5</v>
      </c>
      <c r="CM328" s="661">
        <f>IF(ISERROR(CM318/Commercial!CN52), "-", CM318/Commercial!CN52)</f>
        <v>14.833333333333334</v>
      </c>
      <c r="CN328" s="661">
        <f>IF(ISERROR(CN318/Commercial!CO52), "-", CN318/Commercial!CO52)</f>
        <v>8.3000000000000007</v>
      </c>
      <c r="CO328" s="661">
        <f>IF(ISERROR(CO318/Commercial!CP52), "-", CO318/Commercial!CP52)</f>
        <v>2.5</v>
      </c>
      <c r="CP328" s="662">
        <f>IF(ISERROR(CP318/Commercial!CP52), "-", CP318/Commercial!CP52)</f>
        <v>2.5</v>
      </c>
      <c r="CQ328" s="661">
        <f>IF(ISERROR(CQ318/Commercial!CR52), "-", CQ318/Commercial!CR52)</f>
        <v>12.125</v>
      </c>
      <c r="CR328" s="661">
        <f>IF(ISERROR(CR318/Commercial!CS52), "-", CR318/Commercial!CS52)</f>
        <v>9.7272727272727266</v>
      </c>
      <c r="CS328" s="661">
        <f>IF(ISERROR(CS318/Commercial!CT52), "-", CS318/Commercial!CT52)</f>
        <v>12.125</v>
      </c>
      <c r="CT328" s="661">
        <f>IF(ISERROR(CT318/Commercial!CU52), "-", CT318/Commercial!CU52)</f>
        <v>3.375</v>
      </c>
      <c r="CU328" s="662">
        <f>IF(ISERROR(CU318/Commercial!CU52), "-", CU318/Commercial!CU52)</f>
        <v>3.375</v>
      </c>
      <c r="CV328" s="661">
        <f>IF(ISERROR(CV318/Commercial!CW52), "-", CV318/Commercial!CW52)</f>
        <v>14.714285714285714</v>
      </c>
      <c r="CW328" s="661">
        <f>IF(ISERROR(CW318/Commercial!CX52), "-", CW318/Commercial!CX52)</f>
        <v>10.666666666666666</v>
      </c>
      <c r="CX328" s="661">
        <f>IF(ISERROR(CX318/Commercial!CY52), "-", CX318/Commercial!CY52)</f>
        <v>9.5</v>
      </c>
      <c r="CY328" s="661">
        <f>IF(ISERROR(CY318/Commercial!CZ52), "-", CY318/Commercial!CZ52)</f>
        <v>3.2121212121212119</v>
      </c>
      <c r="CZ328" s="662">
        <f>IF(ISERROR(CZ318/Commercial!CZ52), "-", CZ318/Commercial!CZ52)</f>
        <v>3.2121212121212119</v>
      </c>
      <c r="DA328" s="661">
        <f>IF(ISERROR(DA318/Commercial!DB52), "-", DA318/Commercial!DB52)</f>
        <v>15</v>
      </c>
      <c r="DB328" s="661">
        <f>IF(ISERROR(DB318/Commercial!DC52), "-", DB318/Commercial!DC52)</f>
        <v>14</v>
      </c>
      <c r="DC328" s="661">
        <f>IF(ISERROR(DC318/Commercial!DD52), "-", DC318/Commercial!DD52)</f>
        <v>6.9333333333333336</v>
      </c>
      <c r="DD328" s="661">
        <f>IF(ISERROR(DD318/Commercial!DE52), "-", DD318/Commercial!DE52)</f>
        <v>3.25</v>
      </c>
      <c r="DE328" s="662">
        <f>IF(ISERROR(DE318/Commercial!DE52), "-", DE318/Commercial!DE52)</f>
        <v>3.25</v>
      </c>
      <c r="DF328" s="661">
        <f>IF(ISERROR(DF318/Commercial!DG52), "-", DF318/Commercial!DG52)</f>
        <v>16.833333333333332</v>
      </c>
      <c r="DG328" s="661">
        <f>IF(ISERROR(DG318/Commercial!DH52), "-", DG318/Commercial!DH52)</f>
        <v>15.833333333333334</v>
      </c>
      <c r="DH328" s="661">
        <f>IF(ISERROR(DH318/Commercial!DI52), "-", DH318/Commercial!DI52)</f>
        <v>34.666666666666664</v>
      </c>
      <c r="DI328" s="661">
        <f>IF(ISERROR(DI318/Commercial!DJ52), "-", DI318/Commercial!DJ52)</f>
        <v>6.0555555555555554</v>
      </c>
      <c r="DJ328" s="662">
        <f>IF(ISERROR(DJ318/Commercial!DJ52), "-", DJ318/Commercial!DJ52)</f>
        <v>6.0555555555555554</v>
      </c>
      <c r="DK328" s="661">
        <f>IF(ISERROR(DK318/Commercial!DL52), "-", DK318/Commercial!DL52)</f>
        <v>11.555555555555555</v>
      </c>
      <c r="DL328" s="661">
        <f>IF(ISERROR(DL318/Commercial!DM52), "-", DL318/Commercial!DM52)</f>
        <v>15.833333333333334</v>
      </c>
      <c r="DM328" s="661">
        <f>IF(ISERROR(DM318/Commercial!DN52), "-", DM318/Commercial!DN52)</f>
        <v>10.4</v>
      </c>
      <c r="DN328" s="661">
        <f>IF(ISERROR(DN318/Commercial!DO52), "-", DN318/Commercial!DO52)</f>
        <v>3.1333333333333333</v>
      </c>
      <c r="DO328" s="662">
        <f>IF(ISERROR(DO318/Commercial!DO52), "-", DO318/Commercial!DO52)</f>
        <v>3.1333333333333333</v>
      </c>
      <c r="DP328" s="661">
        <f>IF(ISERROR(DP318/Commercial!DQ52), "-", DP318/Commercial!DQ52)</f>
        <v>9.4</v>
      </c>
      <c r="DQ328" s="661">
        <f>IF(ISERROR(DQ318/Commercial!DR52), "-", DQ318/Commercial!DR52)</f>
        <v>0</v>
      </c>
      <c r="DR328" s="661">
        <f>IF(ISERROR(DR318/Commercial!DS52), "-", DR318/Commercial!DS52)</f>
        <v>0</v>
      </c>
      <c r="DS328" s="661">
        <f>IF(ISERROR(DS318/Commercial!DT52), "-", DS318/Commercial!DT52)</f>
        <v>0</v>
      </c>
      <c r="DT328" s="662">
        <f>IF(ISERROR(DT318/Commercial!DT52), "-", DT318/Commercial!DT52)</f>
        <v>0</v>
      </c>
      <c r="DU328" s="661">
        <f>IF(ISERROR(DU318/Commercial!DV52), "-", DU318/Commercial!DV52)</f>
        <v>0</v>
      </c>
      <c r="DV328" s="661">
        <f>IF(ISERROR(DV318/Commercial!DW52), "-", DV318/Commercial!DW52)</f>
        <v>0</v>
      </c>
      <c r="DW328" s="661">
        <f>IF(ISERROR(DW318/Commercial!DX52), "-", DW318/Commercial!DX52)</f>
        <v>0</v>
      </c>
      <c r="DX328" s="661">
        <f>IF(ISERROR(DX318/Commercial!DY52), "-", DX318/Commercial!DY52)</f>
        <v>0</v>
      </c>
      <c r="DY328" s="662">
        <f>IF(ISERROR(DY318/Commercial!DY52), "-", DY318/Commercial!DY52)</f>
        <v>0</v>
      </c>
      <c r="DZ328" s="662">
        <f>IF(ISERROR(DZ318/Commercial!DZ52), "-", DZ318/Commercial!DZ52)</f>
        <v>0</v>
      </c>
      <c r="EA328" s="662">
        <f>IF(ISERROR(EA318/Commercial!EA52), "-", EA318/Commercial!EA52)</f>
        <v>0</v>
      </c>
      <c r="EB328" s="662">
        <f>IF(ISERROR(EB318/Commercial!EB52), "-", EB318/Commercial!EB52)</f>
        <v>0</v>
      </c>
    </row>
    <row r="329" spans="2:132" s="241" customFormat="1" ht="12" hidden="1" customHeight="1" outlineLevel="1">
      <c r="B329" s="512">
        <v>777</v>
      </c>
      <c r="C329" s="355"/>
      <c r="D329" s="355"/>
      <c r="E329" s="526"/>
      <c r="F329" s="526">
        <f>IF(ISERROR(F319/Commercial!F67), "-", F319/Commercial!F67)</f>
        <v>4.3818181818181818</v>
      </c>
      <c r="G329" s="526">
        <f>IF(ISERROR(G319/Commercial!G67), "-", G319/Commercial!G67)</f>
        <v>3.2459016393442623</v>
      </c>
      <c r="H329" s="526">
        <f>IF(ISERROR(H319/Commercial!H67), "-", H319/Commercial!H67)</f>
        <v>3.6808510638297873</v>
      </c>
      <c r="I329" s="526">
        <f>IF(ISERROR(I319/Commercial!I67), "-", I319/Commercial!I67)</f>
        <v>4.0769230769230766</v>
      </c>
      <c r="J329" s="524">
        <f>IF(ISERROR(J319/Commercial!N67), "-", J319/Commercial!N67)</f>
        <v>4.25</v>
      </c>
      <c r="K329" s="524">
        <f>IF(ISERROR(K319/Commercial!N67), "-", K319/Commercial!N67)</f>
        <v>4.0277777777777777</v>
      </c>
      <c r="L329" s="524">
        <f>IF(ISERROR(L319/Commercial!N67), "-", L319/Commercial!N67)</f>
        <v>4.0277777777777777</v>
      </c>
      <c r="M329" s="524">
        <f>IF(ISERROR(M319/Commercial!N67), "-", M319/Commercial!N67)</f>
        <v>4.6388888888888893</v>
      </c>
      <c r="N329" s="526">
        <f>IF(ISERROR(N319/Commercial!N67), "-", N319/Commercial!N67)</f>
        <v>4.6388888888888893</v>
      </c>
      <c r="O329" s="524">
        <f>IF(ISERROR(O319/Commercial!S67), "-", O319/Commercial!S67)</f>
        <v>4.1749999999999998</v>
      </c>
      <c r="P329" s="524">
        <f>IF(ISERROR(P319/Commercial!S67), "-", P319/Commercial!S67)</f>
        <v>4.3</v>
      </c>
      <c r="Q329" s="524">
        <f>IF(ISERROR(Q319/Commercial!S67), "-", Q319/Commercial!S67)</f>
        <v>4.7249999999999996</v>
      </c>
      <c r="R329" s="524">
        <f>IF(ISERROR(R319/Commercial!S67), "-", R319/Commercial!S67)</f>
        <v>7.2</v>
      </c>
      <c r="S329" s="526">
        <f>IF(ISERROR(S319/Commercial!S67), "-", S319/Commercial!S67)</f>
        <v>7.2</v>
      </c>
      <c r="T329" s="524">
        <f>IF(ISERROR(T319/Commercial!X67), "-", T319/Commercial!X67)</f>
        <v>4.1692307692307695</v>
      </c>
      <c r="U329" s="524">
        <f>IF(ISERROR(U319/Commercial!X67), "-", U319/Commercial!X67)</f>
        <v>4.2461538461538462</v>
      </c>
      <c r="V329" s="524">
        <f>IF(ISERROR(V319/Commercial!X67), "-", V319/Commercial!X67)</f>
        <v>4.0769230769230766</v>
      </c>
      <c r="W329" s="524">
        <f>IF(ISERROR(W319/Commercial!X67), "-", W319/Commercial!X67)</f>
        <v>4.5999999999999996</v>
      </c>
      <c r="X329" s="526">
        <f>IF(ISERROR(X319/Commercial!X67), "-", X319/Commercial!X67)</f>
        <v>4.5999999999999996</v>
      </c>
      <c r="Y329" s="524">
        <f>IF(ISERROR(Y319/Commercial!AC67), "-", Y319/Commercial!AC67)</f>
        <v>3.8795180722891565</v>
      </c>
      <c r="Z329" s="524">
        <f>IF(ISERROR(Z319/Commercial!AC67), "-", Z319/Commercial!AC67)</f>
        <v>3.9879518072289155</v>
      </c>
      <c r="AA329" s="524">
        <f>IF(ISERROR(AA319/Commercial!AC67), "-", AA319/Commercial!AC67)</f>
        <v>4.1445783132530121</v>
      </c>
      <c r="AB329" s="524">
        <f>IF(ISERROR(AB319/Commercial!AC67), "-", AB319/Commercial!AC67)</f>
        <v>4.3012048192771086</v>
      </c>
      <c r="AC329" s="526">
        <f>IF(ISERROR(AC319/Commercial!AC67), "-", AC319/Commercial!AC67)</f>
        <v>4.3012048192771086</v>
      </c>
      <c r="AD329" s="524">
        <f>IF(ISERROR(AD319/Commercial!AH67), "-", AD319/Commercial!AH67)</f>
        <v>5.9344262295081966</v>
      </c>
      <c r="AE329" s="524">
        <f>IF(ISERROR(AE319/Commercial!AH67), "-", AE319/Commercial!AH67)</f>
        <v>5.8688524590163933</v>
      </c>
      <c r="AF329" s="524">
        <f>IF(ISERROR(AF319/Commercial!AH67), "-", AF319/Commercial!AH67)</f>
        <v>5.8852459016393439</v>
      </c>
      <c r="AG329" s="524">
        <f>IF(ISERROR(AG319/Commercial!AH67), "-", AG319/Commercial!AH67)</f>
        <v>5.7377049180327866</v>
      </c>
      <c r="AH329" s="526">
        <f>IF(ISERROR(AH319/Commercial!AH67), "-", AH319/Commercial!AH67)</f>
        <v>5.7377049180327866</v>
      </c>
      <c r="AI329" s="524">
        <f>IF(ISERROR(AI319/Commercial!AM67), "-", AI319/Commercial!AM67)</f>
        <v>3.7613636363636362</v>
      </c>
      <c r="AJ329" s="524">
        <f>IF(ISERROR(AJ319/Commercial!AM67), "-", AJ319/Commercial!AM67)</f>
        <v>3.5681818181818183</v>
      </c>
      <c r="AK329" s="524">
        <f>IF(ISERROR(AK319/Commercial!AM67), "-", AK319/Commercial!AM67)</f>
        <v>3.4431818181818183</v>
      </c>
      <c r="AL329" s="524">
        <f>IF(ISERROR(AL319/Commercial!AM67), "-", AL319/Commercial!AM67)</f>
        <v>3.1931818181818183</v>
      </c>
      <c r="AM329" s="526">
        <f>IF(ISERROR(AM319/Commercial!AM67), "-", AM319/Commercial!AM67)</f>
        <v>3.1931818181818183</v>
      </c>
      <c r="AN329" s="524">
        <f>IF(ISERROR(AN319/Commercial!AR67), "-", AN319/Commercial!AR67)</f>
        <v>3.5</v>
      </c>
      <c r="AO329" s="524">
        <f>IF(ISERROR(AO319/Commercial!AR67), "-", AO319/Commercial!AR67)</f>
        <v>3.6486486486486487</v>
      </c>
      <c r="AP329" s="524">
        <f>IF(ISERROR(AP319/Commercial!AR67), "-", AP319/Commercial!AR67)</f>
        <v>3.5810810810810811</v>
      </c>
      <c r="AQ329" s="524">
        <f>IF(ISERROR(AQ319/Commercial!AR67), "-", AQ319/Commercial!AR67)</f>
        <v>3.4189189189189189</v>
      </c>
      <c r="AR329" s="526">
        <f>IF(ISERROR(AR319/Commercial!AR67), "-", AR319/Commercial!AR67)</f>
        <v>3.4189189189189189</v>
      </c>
      <c r="AS329" s="524">
        <f>IF(ISERROR(AS319/Commercial!AW67), "-", AS319/Commercial!AW67)</f>
        <v>3.9178082191780823</v>
      </c>
      <c r="AT329" s="524">
        <f>IF(ISERROR(AT319/Commercial!AW67), "-", AT319/Commercial!AW67)</f>
        <v>3.9863013698630136</v>
      </c>
      <c r="AU329" s="524">
        <f>IF(ISERROR(AU319/Commercial!AW67), "-", AU319/Commercial!AW67)</f>
        <v>4.4520547945205475</v>
      </c>
      <c r="AV329" s="524">
        <f>IF(ISERROR(AV319/Commercial!AW67), "-", AV319/Commercial!AW67)</f>
        <v>5.2054794520547949</v>
      </c>
      <c r="AW329" s="526">
        <f>IF(ISERROR(AW319/Commercial!AW67), "-", AW319/Commercial!AW67)</f>
        <v>5.2054794520547949</v>
      </c>
      <c r="AX329" s="524">
        <f>IF(ISERROR(AX319/Commercial!BB67), "-", AX319/Commercial!BB67)</f>
        <v>4.3855421686746991</v>
      </c>
      <c r="AY329" s="524">
        <f>IF(ISERROR(AY319/Commercial!BB67), "-", AY319/Commercial!BB67)</f>
        <v>4.1807228915662646</v>
      </c>
      <c r="AZ329" s="524">
        <f>IF(ISERROR(AZ319/Commercial!BB67), "-", AZ319/Commercial!BB67)</f>
        <v>4.0361445783132526</v>
      </c>
      <c r="BA329" s="524">
        <f>IF(ISERROR(BA319/Commercial!BB67), "-", BA319/Commercial!BB67)</f>
        <v>4.3975903614457827</v>
      </c>
      <c r="BB329" s="526">
        <f>IF(ISERROR(BB319/Commercial!BB67), "-", BB319/Commercial!BB67)</f>
        <v>4.3975903614457827</v>
      </c>
      <c r="BC329" s="524">
        <f>IF(ISERROR(BC319/Commercial!BG67), "-", BC319/Commercial!BG67)</f>
        <v>3.5918367346938775</v>
      </c>
      <c r="BD329" s="524">
        <f>IF(ISERROR(BD319/Commercial!BG67), "-", BD319/Commercial!BG67)</f>
        <v>3.4591836734693877</v>
      </c>
      <c r="BE329" s="524">
        <f>IF(ISERROR(BE319/Commercial!BG67), "-", BE319/Commercial!BG67)</f>
        <v>3.3469387755102042</v>
      </c>
      <c r="BF329" s="524">
        <f>IF(ISERROR(BF319/Commercial!BG67), "-", BF319/Commercial!BG67)</f>
        <v>3.8775510204081631</v>
      </c>
      <c r="BG329" s="526">
        <f>IF(ISERROR(BG319/Commercial!BG67), "-", BG319/Commercial!BG67)</f>
        <v>3.8775510204081631</v>
      </c>
      <c r="BH329" s="524">
        <f>IF(ISERROR(BH319/Commercial!BL67), "-", BH319/Commercial!BL67)</f>
        <v>3.6363636363636362</v>
      </c>
      <c r="BI329" s="524">
        <f>IF(ISERROR(BI319/Commercial!BL67), "-", BI319/Commercial!BL67)</f>
        <v>3.4242424242424243</v>
      </c>
      <c r="BJ329" s="661">
        <f>IF(ISERROR(BJ319/Commercial!BL67), "-", BJ319/Commercial!BL67)</f>
        <v>5.7171717171717171</v>
      </c>
      <c r="BK329" s="661">
        <f>IF(ISERROR(BK319/Commercial!BL67), "-", BK319/Commercial!BL67)</f>
        <v>5.6969696969696972</v>
      </c>
      <c r="BL329" s="526">
        <f>IF(ISERROR(BL319/Commercial!BL67), "-", BL319/Commercial!BL67)</f>
        <v>5.6969696969696972</v>
      </c>
      <c r="BM329" s="661">
        <f>IF(ISERROR(BM319/Commercial!BQ67), "-", BM319/Commercial!BQ67)</f>
        <v>5.5510204081632653</v>
      </c>
      <c r="BN329" s="661">
        <f>IF(ISERROR(BN319/Commercial!BQ67), "-", BN319/Commercial!BQ67)</f>
        <v>5.7448979591836737</v>
      </c>
      <c r="BO329" s="661">
        <f>IF(ISERROR(BO319/Commercial!BQ67), "-", BO319/Commercial!BQ67)</f>
        <v>5.5204081632653059</v>
      </c>
      <c r="BP329" s="661">
        <f>IF(ISERROR(BP319/Commercial!BQ67), "-", BP319/Commercial!BQ67)</f>
        <v>5.3469387755102042</v>
      </c>
      <c r="BQ329" s="662">
        <f>IF(ISERROR(BQ319/Commercial!BQ67), "-", BQ319/Commercial!BQ67)</f>
        <v>5.3469387755102042</v>
      </c>
      <c r="BR329" s="661">
        <f>IF(ISERROR(BR319/Commercial!BV67), "-", BR319/Commercial!BV67)</f>
        <v>5.1616161616161618</v>
      </c>
      <c r="BS329" s="661">
        <f>IF(ISERROR(BS319/Commercial!BV67), "-", BS319/Commercial!BV67)</f>
        <v>4.858585858585859</v>
      </c>
      <c r="BT329" s="661">
        <f>IF(ISERROR(BT319/Commercial!BV67), "-", BT319/Commercial!BV67)</f>
        <v>4.6161616161616159</v>
      </c>
      <c r="BU329" s="661">
        <f>IF(ISERROR(BU319/Commercial!BV67), "-", BU319/Commercial!BV67)</f>
        <v>4.4646464646464645</v>
      </c>
      <c r="BV329" s="662">
        <f>IF(ISERROR(BV319/Commercial!BV67), "-", BV319/Commercial!BV67)</f>
        <v>4.4646464646464645</v>
      </c>
      <c r="BW329" s="661">
        <f>IF(ISERROR(BW319/Commercial!CA67), "-", BW319/Commercial!CA67)</f>
        <v>5.8108108108108105</v>
      </c>
      <c r="BX329" s="661">
        <f>IF(ISERROR(BX319/Commercial!CA67), "-", BX319/Commercial!CA67)</f>
        <v>5.8513513513513518</v>
      </c>
      <c r="BY329" s="661">
        <f>IF(ISERROR(BY319/Commercial!CA67), "-", BY319/Commercial!CA67)</f>
        <v>5.7702702702702702</v>
      </c>
      <c r="BZ329" s="661">
        <f>IF(ISERROR(BZ319/Commercial!CA67), "-", BZ319/Commercial!CA67)</f>
        <v>5.7837837837837842</v>
      </c>
      <c r="CA329" s="662">
        <f>IF(ISERROR(CA319/Commercial!CA67), "-", CA319/Commercial!CA67)</f>
        <v>5.7837837837837842</v>
      </c>
      <c r="CB329" s="661">
        <f>IF(ISERROR(CB319/Commercial!CF67), "-", CB319/Commercial!CF67)</f>
        <v>8.7708333333333339</v>
      </c>
      <c r="CC329" s="661">
        <f>IF(ISERROR(CC319/Commercial!CF67), "-", CC319/Commercial!CF67)</f>
        <v>8.7916666666666661</v>
      </c>
      <c r="CD329" s="661">
        <f>IF(ISERROR(CD319/Commercial!CF67), "-", CD319/Commercial!CF67)</f>
        <v>8.6041666666666661</v>
      </c>
      <c r="CE329" s="661">
        <f>IF(ISERROR(CE319/Commercial!CF67), "-", CE319/Commercial!CF67)</f>
        <v>8.875</v>
      </c>
      <c r="CF329" s="662">
        <f>IF(ISERROR(CF319/Commercial!CF67), "-", CF319/Commercial!CF67)</f>
        <v>8.875</v>
      </c>
      <c r="CG329" s="661">
        <f>IF(ISERROR(CG319/Commercial!CK67), "-", CG319/Commercial!CK67)</f>
        <v>9.6888888888888882</v>
      </c>
      <c r="CH329" s="661">
        <f>IF(ISERROR(CH319/Commercial!CI67), "-", CH319/Commercial!CI67)</f>
        <v>38.727272727272727</v>
      </c>
      <c r="CI329" s="661">
        <f>IF(ISERROR(CI319/Commercial!CJ67), "-", CI319/Commercial!CJ67)</f>
        <v>35.75</v>
      </c>
      <c r="CJ329" s="661">
        <f>IF(ISERROR(CJ319/Commercial!CK67), "-", CJ319/Commercial!CK67)</f>
        <v>8.3777777777777782</v>
      </c>
      <c r="CK329" s="662">
        <f>IF(ISERROR(CK319/Commercial!CK67), "-", CK319/Commercial!CK67)</f>
        <v>8.3777777777777782</v>
      </c>
      <c r="CL329" s="661">
        <f>IF(ISERROR(CL319/Commercial!CM67), "-", CL319/Commercial!CM67)</f>
        <v>11.75</v>
      </c>
      <c r="CM329" s="661">
        <f>IF(ISERROR(CM319/Commercial!CN67), "-", CM319/Commercial!CN67)</f>
        <v>9.1999999999999993</v>
      </c>
      <c r="CN329" s="661">
        <f>IF(ISERROR(CN319/Commercial!CO67), "-", CN319/Commercial!CO67)</f>
        <v>4</v>
      </c>
      <c r="CO329" s="661">
        <f>IF(ISERROR(CO319/Commercial!CP67), "-", CO319/Commercial!CP67)</f>
        <v>1.5769230769230769</v>
      </c>
      <c r="CP329" s="662">
        <f>IF(ISERROR(CP319/Commercial!CP67), "-", CP319/Commercial!CP67)</f>
        <v>1.5769230769230769</v>
      </c>
      <c r="CQ329" s="661">
        <f>IF(ISERROR(CQ319/Commercial!CR67), "-", CQ319/Commercial!CR67)</f>
        <v>4.375</v>
      </c>
      <c r="CR329" s="661">
        <f>IF(ISERROR(CR319/Commercial!CS67), "-", CR319/Commercial!CS67)</f>
        <v>6.666666666666667</v>
      </c>
      <c r="CS329" s="661">
        <f>IF(ISERROR(CS319/Commercial!CT67), "-", CS319/Commercial!CT67)</f>
        <v>14.25</v>
      </c>
      <c r="CT329" s="661">
        <f>IF(ISERROR(CT319/Commercial!CU67), "-", CT319/Commercial!CU67)</f>
        <v>2.4166666666666665</v>
      </c>
      <c r="CU329" s="662">
        <f>IF(ISERROR(CU319/Commercial!CU67), "-", CU319/Commercial!CU67)</f>
        <v>2.4166666666666665</v>
      </c>
      <c r="CV329" s="661">
        <f>IF(ISERROR(CV319/Commercial!CW67), "-", CV319/Commercial!CW67)</f>
        <v>8.2222222222222214</v>
      </c>
      <c r="CW329" s="661">
        <f>IF(ISERROR(CW319/Commercial!CX67), "-", CW319/Commercial!CX67)</f>
        <v>11.833333333333334</v>
      </c>
      <c r="CX329" s="661">
        <f>IF(ISERROR(CX319/Commercial!CY67), "-", CX319/Commercial!CY67)</f>
        <v>11.666666666666666</v>
      </c>
      <c r="CY329" s="661">
        <f>IF(ISERROR(CY319/Commercial!CZ67), "-", CY319/Commercial!CZ67)</f>
        <v>2.875</v>
      </c>
      <c r="CZ329" s="662">
        <f>IF(ISERROR(CZ319/Commercial!CZ67), "-", CZ319/Commercial!CZ67)</f>
        <v>2.875</v>
      </c>
      <c r="DA329" s="661">
        <f>IF(ISERROR(DA319/Commercial!DB67), "-", DA319/Commercial!DB67)</f>
        <v>0</v>
      </c>
      <c r="DB329" s="661">
        <f>IF(ISERROR(DB319/Commercial!DC67), "-", DB319/Commercial!DC67)</f>
        <v>7.75</v>
      </c>
      <c r="DC329" s="661">
        <f>IF(ISERROR(DC319/Commercial!DD67), "-", DC319/Commercial!DD67)</f>
        <v>5.8888888888888893</v>
      </c>
      <c r="DD329" s="661">
        <f>IF(ISERROR(DD319/Commercial!DE67), "-", DD319/Commercial!DE67)</f>
        <v>0</v>
      </c>
      <c r="DE329" s="662">
        <f>IF(ISERROR(DE319/Commercial!DE67), "-", DE319/Commercial!DE67)</f>
        <v>0</v>
      </c>
      <c r="DF329" s="661">
        <f>IF(ISERROR(DF319/Commercial!DG67), "-", DF319/Commercial!DG67)</f>
        <v>6.7142857142857144</v>
      </c>
      <c r="DG329" s="661">
        <f>IF(ISERROR(DG319/Commercial!DH67), "-", DG319/Commercial!DH67)</f>
        <v>12.75</v>
      </c>
      <c r="DH329" s="661">
        <f>IF(ISERROR(DH319/Commercial!DI67), "-", DH319/Commercial!DI67)</f>
        <v>17.666666666666668</v>
      </c>
      <c r="DI329" s="661">
        <f>IF(ISERROR(DI319/Commercial!DJ67), "-", DI319/Commercial!DJ67)</f>
        <v>4.8571428571428568</v>
      </c>
      <c r="DJ329" s="662">
        <f>IF(ISERROR(DJ319/Commercial!DJ67), "-", DJ319/Commercial!DJ67)</f>
        <v>4.8571428571428568</v>
      </c>
      <c r="DK329" s="661">
        <f>IF(ISERROR(DK319/Commercial!DL67), "-", DK319/Commercial!DL67)</f>
        <v>5.5384615384615383</v>
      </c>
      <c r="DL329" s="661">
        <f>IF(ISERROR(DL319/Commercial!DM67), "-", DL319/Commercial!DM67)</f>
        <v>6.5555555555555554</v>
      </c>
      <c r="DM329" s="661">
        <f>IF(ISERROR(DM319/Commercial!DN67), "-", DM319/Commercial!DN67)</f>
        <v>8.8333333333333339</v>
      </c>
      <c r="DN329" s="661">
        <f>IF(ISERROR(DN319/Commercial!DO67), "-", DN319/Commercial!DO67)</f>
        <v>1.3142857142857143</v>
      </c>
      <c r="DO329" s="662">
        <f>IF(ISERROR(DO319/Commercial!DO67), "-", DO319/Commercial!DO67)</f>
        <v>1.3142857142857143</v>
      </c>
      <c r="DP329" s="661">
        <f>IF(ISERROR(DP319/Commercial!DQ67), "-", DP319/Commercial!DQ67)</f>
        <v>5.4285714285714288</v>
      </c>
      <c r="DQ329" s="661">
        <f>IF(ISERROR(DQ319/Commercial!DR67), "-", DQ319/Commercial!DR67)</f>
        <v>0</v>
      </c>
      <c r="DR329" s="661">
        <f>IF(ISERROR(DR319/Commercial!DS67), "-", DR319/Commercial!DS67)</f>
        <v>0</v>
      </c>
      <c r="DS329" s="661">
        <f>IF(ISERROR(DS319/Commercial!DT67), "-", DS319/Commercial!DT67)</f>
        <v>0</v>
      </c>
      <c r="DT329" s="662">
        <f>IF(ISERROR(DT319/Commercial!DT67), "-", DT319/Commercial!DT67)</f>
        <v>0</v>
      </c>
      <c r="DU329" s="661">
        <f>IF(ISERROR(DU319/Commercial!DV67), "-", DU319/Commercial!DV67)</f>
        <v>0</v>
      </c>
      <c r="DV329" s="661">
        <f>IF(ISERROR(DV319/Commercial!DW67), "-", DV319/Commercial!DW67)</f>
        <v>0</v>
      </c>
      <c r="DW329" s="661">
        <f>IF(ISERROR(DW319/Commercial!DX67), "-", DW319/Commercial!DX67)</f>
        <v>0</v>
      </c>
      <c r="DX329" s="661">
        <f>IF(ISERROR(DX319/Commercial!DY67), "-", DX319/Commercial!DY67)</f>
        <v>0</v>
      </c>
      <c r="DY329" s="662">
        <f>IF(ISERROR(DY319/Commercial!DY67), "-", DY319/Commercial!DY67)</f>
        <v>0</v>
      </c>
      <c r="DZ329" s="662">
        <f>IF(ISERROR(DZ319/Commercial!DZ67), "-", DZ319/Commercial!DZ67)</f>
        <v>0</v>
      </c>
      <c r="EA329" s="662">
        <f>IF(ISERROR(EA319/Commercial!EA67), "-", EA319/Commercial!EA67)</f>
        <v>0</v>
      </c>
      <c r="EB329" s="662">
        <f>IF(ISERROR(EB319/Commercial!EB67), "-", EB319/Commercial!EB67)</f>
        <v>0</v>
      </c>
    </row>
    <row r="330" spans="2:132" s="241" customFormat="1" ht="12" hidden="1" customHeight="1" outlineLevel="1">
      <c r="B330" s="514">
        <v>787</v>
      </c>
      <c r="C330" s="355"/>
      <c r="D330" s="355"/>
      <c r="E330" s="526"/>
      <c r="F330" s="526" t="str">
        <f>IF(ISERROR(F320/Commercial!F78), "-", F320/Commercial!F78)</f>
        <v>-</v>
      </c>
      <c r="G330" s="526" t="str">
        <f>IF(ISERROR(G320/Commercial!G78), "-", G320/Commercial!G78)</f>
        <v>-</v>
      </c>
      <c r="H330" s="526" t="str">
        <f>IF(ISERROR(H320/Commercial!H78), "-", H320/Commercial!H78)</f>
        <v>-</v>
      </c>
      <c r="I330" s="526" t="str">
        <f>IF(ISERROR(I320/Commercial!I78), "-", I320/Commercial!I78)</f>
        <v>-</v>
      </c>
      <c r="J330" s="524" t="str">
        <f>IF(ISERROR(J320/Commercial!N78), "-", J320/Commercial!N78)</f>
        <v>-</v>
      </c>
      <c r="K330" s="524" t="str">
        <f>IF(ISERROR(K320/Commercial!N78), "-", K320/Commercial!N78)</f>
        <v>-</v>
      </c>
      <c r="L330" s="524" t="str">
        <f>IF(ISERROR(L320/Commercial!N78), "-", L320/Commercial!N78)</f>
        <v>-</v>
      </c>
      <c r="M330" s="524" t="str">
        <f>IF(ISERROR(M320/Commercial!N78), "-", M320/Commercial!N78)</f>
        <v>-</v>
      </c>
      <c r="N330" s="526" t="str">
        <f>IF(ISERROR(N320/Commercial!N78), "-", N320/Commercial!N78)</f>
        <v>-</v>
      </c>
      <c r="O330" s="524" t="str">
        <f>IF(ISERROR(O320/Commercial!S78), "-", O320/Commercial!S78)</f>
        <v>-</v>
      </c>
      <c r="P330" s="524" t="str">
        <f>IF(ISERROR(P320/Commercial!S78), "-", P320/Commercial!S78)</f>
        <v>-</v>
      </c>
      <c r="Q330" s="524" t="str">
        <f>IF(ISERROR(Q320/Commercial!S78), "-", Q320/Commercial!S78)</f>
        <v>-</v>
      </c>
      <c r="R330" s="524" t="str">
        <f>IF(ISERROR(R320/Commercial!S78), "-", R320/Commercial!S78)</f>
        <v>-</v>
      </c>
      <c r="S330" s="526" t="str">
        <f>IF(ISERROR(S320/Commercial!S78), "-", S320/Commercial!S78)</f>
        <v>-</v>
      </c>
      <c r="T330" s="524" t="str">
        <f>IF(ISERROR(T320/Commercial!X78), "-", T320/Commercial!X78)</f>
        <v>-</v>
      </c>
      <c r="U330" s="524" t="str">
        <f>IF(ISERROR(U320/Commercial!X78), "-", U320/Commercial!X78)</f>
        <v>-</v>
      </c>
      <c r="V330" s="524" t="str">
        <f>IF(ISERROR(V320/Commercial!X78), "-", V320/Commercial!X78)</f>
        <v>-</v>
      </c>
      <c r="W330" s="524" t="str">
        <f>IF(ISERROR(W320/Commercial!X78), "-", W320/Commercial!X78)</f>
        <v>-</v>
      </c>
      <c r="X330" s="526" t="str">
        <f>IF(ISERROR(X320/Commercial!X78), "-", X320/Commercial!X78)</f>
        <v>-</v>
      </c>
      <c r="Y330" s="524" t="str">
        <f>IF(ISERROR(Y320/Commercial!AC78), "-", Y320/Commercial!AC78)</f>
        <v>-</v>
      </c>
      <c r="Z330" s="524" t="str">
        <f>IF(ISERROR(Z320/Commercial!AC78), "-", Z320/Commercial!AC78)</f>
        <v>-</v>
      </c>
      <c r="AA330" s="524" t="str">
        <f>IF(ISERROR(AA320/Commercial!AC78), "-", AA320/Commercial!AC78)</f>
        <v>-</v>
      </c>
      <c r="AB330" s="524" t="str">
        <f>IF(ISERROR(AB320/Commercial!AC78), "-", AB320/Commercial!AC78)</f>
        <v>-</v>
      </c>
      <c r="AC330" s="526" t="str">
        <f>IF(ISERROR(AC320/Commercial!AC78), "-", AC320/Commercial!AC78)</f>
        <v>-</v>
      </c>
      <c r="AD330" s="524" t="str">
        <f>IF(ISERROR(AD320/Commercial!AH78), "-", AD320/Commercial!AH78)</f>
        <v>-</v>
      </c>
      <c r="AE330" s="524" t="str">
        <f>IF(ISERROR(AE320/Commercial!AH78), "-", AE320/Commercial!AH78)</f>
        <v>-</v>
      </c>
      <c r="AF330" s="524" t="str">
        <f>IF(ISERROR(AF320/Commercial!AH78), "-", AF320/Commercial!AH78)</f>
        <v>-</v>
      </c>
      <c r="AG330" s="524" t="str">
        <f>IF(ISERROR(AG320/Commercial!AH78), "-", AG320/Commercial!AH78)</f>
        <v>-</v>
      </c>
      <c r="AH330" s="526" t="str">
        <f>IF(ISERROR(AH320/Commercial!AH78), "-", AH320/Commercial!AH78)</f>
        <v>-</v>
      </c>
      <c r="AI330" s="524" t="str">
        <f>IF(ISERROR(AI320/Commercial!AM78), "-", AI320/Commercial!AM78)</f>
        <v>-</v>
      </c>
      <c r="AJ330" s="524" t="str">
        <f>IF(ISERROR(AJ320/Commercial!AM78), "-", AJ320/Commercial!AM78)</f>
        <v>-</v>
      </c>
      <c r="AK330" s="524" t="str">
        <f>IF(ISERROR(AK320/Commercial!AM78), "-", AK320/Commercial!AM78)</f>
        <v>-</v>
      </c>
      <c r="AL330" s="524" t="str">
        <f>IF(ISERROR(AL320/Commercial!AM78), "-", AL320/Commercial!AM78)</f>
        <v>-</v>
      </c>
      <c r="AM330" s="526" t="str">
        <f>IF(ISERROR(AM320/Commercial!AM78), "-", AM320/Commercial!AM78)</f>
        <v>-</v>
      </c>
      <c r="AN330" s="524" t="str">
        <f>IF(ISERROR(AN320/Commercial!AR78), "-", AN320/Commercial!AR78)</f>
        <v>-</v>
      </c>
      <c r="AO330" s="524" t="str">
        <f>IF(ISERROR(AO320/Commercial!AR78), "-", AO320/Commercial!AR78)</f>
        <v>-</v>
      </c>
      <c r="AP330" s="524" t="str">
        <f>IF(ISERROR(AP320/Commercial!AR78), "-", AP320/Commercial!AR78)</f>
        <v>-</v>
      </c>
      <c r="AQ330" s="524" t="str">
        <f>IF(ISERROR(AQ320/Commercial!AR78), "-", AQ320/Commercial!AR78)</f>
        <v>-</v>
      </c>
      <c r="AR330" s="526" t="str">
        <f>IF(ISERROR(AR320/Commercial!AR78), "-", AR320/Commercial!AR78)</f>
        <v>-</v>
      </c>
      <c r="AS330" s="561" t="s">
        <v>383</v>
      </c>
      <c r="AT330" s="561" t="s">
        <v>383</v>
      </c>
      <c r="AU330" s="561" t="s">
        <v>383</v>
      </c>
      <c r="AV330" s="524">
        <f>IF(ISERROR(AV320/Commercial!AW78), "-", AV320/Commercial!AW78)</f>
        <v>285.66666666666669</v>
      </c>
      <c r="AW330" s="526">
        <f>IF(ISERROR(AW320/Commercial!AW78), "-", AW320/Commercial!AW78)</f>
        <v>285.66666666666669</v>
      </c>
      <c r="AX330" s="524">
        <f>IF(ISERROR(AX320/Commercial!BB78), "-", AX320/Commercial!BB78)</f>
        <v>18.326086956521738</v>
      </c>
      <c r="AY330" s="524">
        <f>IF(ISERROR(AY320/Commercial!BB78), "-", AY320/Commercial!BB78)</f>
        <v>18.369565217391305</v>
      </c>
      <c r="AZ330" s="524">
        <f>IF(ISERROR(AZ320/Commercial!BB78), "-", AZ320/Commercial!BB78)</f>
        <v>17.652173913043477</v>
      </c>
      <c r="BA330" s="524">
        <f>IF(ISERROR(BA320/Commercial!BB78), "-", BA320/Commercial!BB78)</f>
        <v>17.369565217391305</v>
      </c>
      <c r="BB330" s="526">
        <f>IF(ISERROR(BB320/Commercial!BB78), "-", BB320/Commercial!BB78)</f>
        <v>17.369565217391305</v>
      </c>
      <c r="BC330" s="524">
        <f>IF(ISERROR(BC320/Commercial!BG78), "-", BC320/Commercial!BG78)</f>
        <v>12.923076923076923</v>
      </c>
      <c r="BD330" s="524">
        <f>IF(ISERROR(BD320/Commercial!BG78), "-", BD320/Commercial!BG78)</f>
        <v>13.292307692307693</v>
      </c>
      <c r="BE330" s="524">
        <f>IF(ISERROR(BE320/Commercial!BG78), "-", BE320/Commercial!BG78)</f>
        <v>13.692307692307692</v>
      </c>
      <c r="BF330" s="524">
        <f>IF(ISERROR(BF320/Commercial!BG78), "-", BF320/Commercial!BG78)</f>
        <v>14.092307692307692</v>
      </c>
      <c r="BG330" s="526">
        <f>IF(ISERROR(BG320/Commercial!BG78), "-", BG320/Commercial!BG78)</f>
        <v>14.092307692307692</v>
      </c>
      <c r="BH330" s="524">
        <f>IF(ISERROR(BH320/Commercial!BL78), "-", BH320/Commercial!BL78)</f>
        <v>7.8859649122807021</v>
      </c>
      <c r="BI330" s="524">
        <f>IF(ISERROR(BI320/Commercial!BL78), "-", BI320/Commercial!BL78)</f>
        <v>7.6228070175438596</v>
      </c>
      <c r="BJ330" s="661">
        <f>IF(ISERROR(BJ320/Commercial!BL78), "-", BJ320/Commercial!BL78)</f>
        <v>7.5526315789473681</v>
      </c>
      <c r="BK330" s="661">
        <f>IF(ISERROR(BK320/Commercial!BL78), "-", BK320/Commercial!BL78)</f>
        <v>7.3947368421052628</v>
      </c>
      <c r="BL330" s="526">
        <f>IF(ISERROR(BL320/Commercial!BL78), "-", BL320/Commercial!BL78)</f>
        <v>7.3947368421052628</v>
      </c>
      <c r="BM330" s="661">
        <f>IF(ISERROR(BM320/Commercial!BQ78), "-", BM320/Commercial!BQ78)</f>
        <v>6.2740740740740737</v>
      </c>
      <c r="BN330" s="661">
        <f>IF(ISERROR(BN320/Commercial!BQ78), "-", BN320/Commercial!BQ78)</f>
        <v>5.9481481481481477</v>
      </c>
      <c r="BO330" s="661">
        <f>IF(ISERROR(BO320/Commercial!BQ78), "-", BO320/Commercial!BQ78)</f>
        <v>5.6888888888888891</v>
      </c>
      <c r="BP330" s="661">
        <f>IF(ISERROR(BP320/Commercial!BQ78), "-", BP320/Commercial!BQ78)</f>
        <v>5.7703703703703706</v>
      </c>
      <c r="BQ330" s="662">
        <f>IF(ISERROR(BQ320/Commercial!BQ78), "-", BQ320/Commercial!BQ78)</f>
        <v>5.7703703703703706</v>
      </c>
      <c r="BR330" s="661">
        <f>IF(ISERROR(BR320/Commercial!BV78), "-", BR320/Commercial!BV78)</f>
        <v>5.445255474452555</v>
      </c>
      <c r="BS330" s="661">
        <f>IF(ISERROR(BS320/Commercial!BV78), "-", BS320/Commercial!BV78)</f>
        <v>5.2846715328467155</v>
      </c>
      <c r="BT330" s="661">
        <f>IF(ISERROR(BT320/Commercial!BV78), "-", BT320/Commercial!BV78)</f>
        <v>5.0656934306569346</v>
      </c>
      <c r="BU330" s="661">
        <f>IF(ISERROR(BU320/Commercial!BV78), "-", BU320/Commercial!BV78)</f>
        <v>5.1094890510948909</v>
      </c>
      <c r="BV330" s="662">
        <f>IF(ISERROR(BV320/Commercial!BV78), "-", BV320/Commercial!BV78)</f>
        <v>5.1094890510948909</v>
      </c>
      <c r="BW330" s="661">
        <f>IF(ISERROR(BW320/Commercial!CA78), "-", BW320/Commercial!CA78)</f>
        <v>4.992647058823529</v>
      </c>
      <c r="BX330" s="661">
        <f>IF(ISERROR(BX320/Commercial!CA78), "-", BX320/Commercial!CA78)</f>
        <v>5.2205882352941178</v>
      </c>
      <c r="BY330" s="661">
        <f>IF(ISERROR(BY320/Commercial!CA78), "-", BY320/Commercial!CA78)</f>
        <v>5.0220588235294121</v>
      </c>
      <c r="BZ330" s="661">
        <f>IF(ISERROR(BZ320/Commercial!CA78), "-", BZ320/Commercial!CA78)</f>
        <v>4.8382352941176467</v>
      </c>
      <c r="CA330" s="662">
        <f>IF(ISERROR(CA320/Commercial!CA78), "-", CA320/Commercial!CA78)</f>
        <v>4.8382352941176467</v>
      </c>
      <c r="CB330" s="661">
        <f>IF(ISERROR(CB320/Commercial!CF78), "-", CB320/Commercial!CF78)</f>
        <v>4.4689655172413794</v>
      </c>
      <c r="CC330" s="661">
        <f>IF(ISERROR(CC320/Commercial!CF78), "-", CC320/Commercial!CF78)</f>
        <v>4.5172413793103452</v>
      </c>
      <c r="CD330" s="661">
        <f>IF(ISERROR(CD320/Commercial!CF78), "-", CD320/Commercial!CF78)</f>
        <v>4.4000000000000004</v>
      </c>
      <c r="CE330" s="661">
        <f>IF(ISERROR(CE320/Commercial!CF78), "-", CE320/Commercial!CF78)</f>
        <v>4.1655172413793107</v>
      </c>
      <c r="CF330" s="662">
        <f>IF(ISERROR(CF320/Commercial!CF78), "-", CF320/Commercial!CF78)</f>
        <v>4.1655172413793107</v>
      </c>
      <c r="CG330" s="661">
        <f>IF(ISERROR(CG320/Commercial!CK78), "-", CG320/Commercial!CK78)</f>
        <v>3.7721518987341773</v>
      </c>
      <c r="CH330" s="661">
        <f>IF(ISERROR(CH320/Commercial!CK78), "-", CH320/Commercial!CK78)</f>
        <v>3.5126582278481013</v>
      </c>
      <c r="CI330" s="661">
        <f>IF(ISERROR(CI320/Commercial!CK78), "-", CI320/Commercial!CK78)</f>
        <v>3.3481012658227849</v>
      </c>
      <c r="CJ330" s="661">
        <f>IF(ISERROR(CJ320/Commercial!CK78), "-", CJ320/Commercial!CK78)</f>
        <v>3.2911392405063293</v>
      </c>
      <c r="CK330" s="662">
        <f>IF(ISERROR(CK320/Commercial!CK78), "-", CK320/Commercial!CK78)</f>
        <v>3.2911392405063293</v>
      </c>
      <c r="CL330" s="661">
        <f>IF(ISERROR(CL320/Commercial!CM78), "-", CL320/Commercial!CM78)</f>
        <v>73.571428571428569</v>
      </c>
      <c r="CM330" s="661">
        <f>IF(ISERROR(CM320/Commercial!CN78), "-", CM320/Commercial!CN78)</f>
        <v>38.53846153846154</v>
      </c>
      <c r="CN330" s="661">
        <f>IF(ISERROR(CN320/Commercial!CO78), "-", CN320/Commercial!CO78)</f>
        <v>118.75</v>
      </c>
      <c r="CO330" s="661">
        <f>IF(ISERROR(CO320/Commercial!CP78), "-", CO320/Commercial!CP78)</f>
        <v>8.6415094339622645</v>
      </c>
      <c r="CP330" s="662">
        <f>IF(ISERROR(CP320/Commercial!CP78), "-", CP320/Commercial!CP78)</f>
        <v>8.6415094339622645</v>
      </c>
      <c r="CQ330" s="661">
        <f>IF(ISERROR(CQ320/Commercial!CR78), "-", CQ320/Commercial!CR78)</f>
        <v>36.833333333333336</v>
      </c>
      <c r="CR330" s="661" t="str">
        <f>IF(ISERROR(CR320/Commercial!CS78), "-", CR320/Commercial!CS78)</f>
        <v>-</v>
      </c>
      <c r="CS330" s="661" t="str">
        <f>IF(ISERROR(CS320/Commercial!CT78), "-", CS320/Commercial!CT78)</f>
        <v>-</v>
      </c>
      <c r="CT330" s="661">
        <f>IF(ISERROR(CT320/Commercial!CU78), "-", CT320/Commercial!CU78)</f>
        <v>29.357142857142858</v>
      </c>
      <c r="CU330" s="662">
        <f>IF(ISERROR(CU320/Commercial!CU78), "-", CU320/Commercial!CU78)</f>
        <v>29.357142857142858</v>
      </c>
      <c r="CV330" s="661" t="str">
        <f>IF(ISERROR(CV320/Commercial!CW78), "-", CV320/Commercial!CW78)</f>
        <v>-</v>
      </c>
      <c r="CW330" s="661">
        <f>IF(ISERROR(CW320/Commercial!CX78), "-", CW320/Commercial!CX78)</f>
        <v>45.222222222222221</v>
      </c>
      <c r="CX330" s="661">
        <f>IF(ISERROR(CX320/Commercial!CY78), "-", CX320/Commercial!CY78)</f>
        <v>18.772727272727273</v>
      </c>
      <c r="CY330" s="661">
        <f>IF(ISERROR(CY320/Commercial!CZ78), "-", CY320/Commercial!CZ78)</f>
        <v>16.29032258064516</v>
      </c>
      <c r="CZ330" s="662">
        <f>IF(ISERROR(CZ320/Commercial!CZ78), "-", CZ320/Commercial!CZ78)</f>
        <v>16.29032258064516</v>
      </c>
      <c r="DA330" s="661">
        <f>IF(ISERROR(DA320/Commercial!DB78), "-", DA320/Commercial!DB78)</f>
        <v>26.1</v>
      </c>
      <c r="DB330" s="661">
        <f>IF(ISERROR(DB320/Commercial!DC78), "-", DB320/Commercial!DC78)</f>
        <v>29.94736842105263</v>
      </c>
      <c r="DC330" s="661">
        <f>IF(ISERROR(DC320/Commercial!DD78), "-", DC320/Commercial!DD78)</f>
        <v>28.956521739130434</v>
      </c>
      <c r="DD330" s="661">
        <f>IF(ISERROR(DD320/Commercial!DE78), "-", DD320/Commercial!DE78)</f>
        <v>9.9452054794520546</v>
      </c>
      <c r="DE330" s="662">
        <f>IF(ISERROR(DE320/Commercial!DE78), "-", DE320/Commercial!DE78)</f>
        <v>9.9452054794520546</v>
      </c>
      <c r="DF330" s="661">
        <f>IF(ISERROR(DF320/Commercial!DG78), "-", DF320/Commercial!DG78)</f>
        <v>79.888888888888886</v>
      </c>
      <c r="DG330" s="661">
        <f>IF(ISERROR(DG320/Commercial!DH78), "-", DG320/Commercial!DH78)</f>
        <v>51.142857142857146</v>
      </c>
      <c r="DH330" s="661">
        <f>IF(ISERROR(DH320/Commercial!DI78), "-", DH320/Commercial!DI78)</f>
        <v>44.4</v>
      </c>
      <c r="DI330" s="661">
        <f>IF(ISERROR(DI320/Commercial!DJ78), "-", DI320/Commercial!DJ78)</f>
        <v>14.098039215686274</v>
      </c>
      <c r="DJ330" s="662">
        <f>IF(ISERROR(DJ320/Commercial!DJ78), "-", DJ320/Commercial!DJ78)</f>
        <v>14.098039215686274</v>
      </c>
      <c r="DK330" s="661">
        <f>IF(ISERROR(DK320/Commercial!DL78), "-", DK320/Commercial!DL78)</f>
        <v>31.958333333333332</v>
      </c>
      <c r="DL330" s="661">
        <f>IF(ISERROR(DL320/Commercial!DM78), "-", DL320/Commercial!DM78)</f>
        <v>39.208333333333336</v>
      </c>
      <c r="DM330" s="661">
        <f>IF(ISERROR(DM320/Commercial!DN78), "-", DM320/Commercial!DN78)</f>
        <v>24.666666666666668</v>
      </c>
      <c r="DN330" s="661">
        <f>IF(ISERROR(DN320/Commercial!DO78), "-", DN320/Commercial!DO78)</f>
        <v>11.659090909090908</v>
      </c>
      <c r="DO330" s="662">
        <f>IF(ISERROR(DO320/Commercial!DO78), "-", DO320/Commercial!DO78)</f>
        <v>11.659090909090908</v>
      </c>
      <c r="DP330" s="661">
        <f>IF(ISERROR(DP320/Commercial!DQ78), "-", DP320/Commercial!DQ78)</f>
        <v>42.36</v>
      </c>
      <c r="DQ330" s="661">
        <f>IF(ISERROR(DQ320/Commercial!DR78), "-", DQ320/Commercial!DR78)</f>
        <v>0</v>
      </c>
      <c r="DR330" s="661">
        <f>IF(ISERROR(DR320/Commercial!DS78), "-", DR320/Commercial!DS78)</f>
        <v>0</v>
      </c>
      <c r="DS330" s="661">
        <f>IF(ISERROR(DS320/Commercial!DT78), "-", DS320/Commercial!DT78)</f>
        <v>0</v>
      </c>
      <c r="DT330" s="662">
        <f>IF(ISERROR(DT320/Commercial!DT78), "-", DT320/Commercial!DT78)</f>
        <v>0</v>
      </c>
      <c r="DU330" s="661">
        <f>IF(ISERROR(DU320/Commercial!DV78), "-", DU320/Commercial!DV78)</f>
        <v>0</v>
      </c>
      <c r="DV330" s="661">
        <f>IF(ISERROR(DV320/Commercial!DW78), "-", DV320/Commercial!DW78)</f>
        <v>0</v>
      </c>
      <c r="DW330" s="661">
        <f>IF(ISERROR(DW320/Commercial!DX78), "-", DW320/Commercial!DX78)</f>
        <v>0</v>
      </c>
      <c r="DX330" s="661">
        <f>IF(ISERROR(DX320/Commercial!DY78), "-", DX320/Commercial!DY78)</f>
        <v>0</v>
      </c>
      <c r="DY330" s="662">
        <f>IF(ISERROR(DY320/Commercial!DY78), "-", DY320/Commercial!DY78)</f>
        <v>0</v>
      </c>
      <c r="DZ330" s="662">
        <f>IF(ISERROR(DZ320/Commercial!DZ78), "-", DZ320/Commercial!DZ78)</f>
        <v>0</v>
      </c>
      <c r="EA330" s="662">
        <f>IF(ISERROR(EA320/Commercial!EA78), "-", EA320/Commercial!EA78)</f>
        <v>0</v>
      </c>
      <c r="EB330" s="662">
        <f>IF(ISERROR(EB320/Commercial!EB78), "-", EB320/Commercial!EB78)</f>
        <v>0</v>
      </c>
    </row>
    <row r="331" spans="2:132" s="241" customFormat="1" ht="12" hidden="1" customHeight="1" outlineLevel="1">
      <c r="B331" s="48" t="s">
        <v>188</v>
      </c>
      <c r="C331" s="379"/>
      <c r="D331" s="379"/>
      <c r="E331" s="527"/>
      <c r="F331" s="527">
        <f>SUMIF(F324:F330,"&gt;0",F314:F320)/Commercial!F108</f>
        <v>3.2612244897959184</v>
      </c>
      <c r="G331" s="527">
        <f>SUMIF(G324:G330,"&gt;0",G314:G320)/Commercial!G108</f>
        <v>2.4212523719165087</v>
      </c>
      <c r="H331" s="527">
        <f>SUMIF(H324:H330,"&gt;0",H314:H320)/Commercial!H108</f>
        <v>2.8425196850393699</v>
      </c>
      <c r="I331" s="527">
        <f>SUMIF(I324:I330,"&gt;0",I314:I320)/Commercial!I108</f>
        <v>3.7402135231316724</v>
      </c>
      <c r="J331" s="525">
        <f>SUMIF(J324:J330,"&gt;0",J314:J320)/Commercial!N108</f>
        <v>3.5789473684210527</v>
      </c>
      <c r="K331" s="525">
        <f>SUMIF(K324:K330,"&gt;0",K314:K320)/Commercial!N108</f>
        <v>3.5122807017543858</v>
      </c>
      <c r="L331" s="525">
        <f>SUMIF(L324:L330,"&gt;0",L314:L320)/Commercial!N108</f>
        <v>3.4912280701754388</v>
      </c>
      <c r="M331" s="525">
        <f>SUMIF(M324:M330,"&gt;0",M314:M320)/Commercial!N108</f>
        <v>3.5438596491228069</v>
      </c>
      <c r="N331" s="527">
        <f>SUMIF(N324:N330,"&gt;0",N314:N320)/Commercial!N108</f>
        <v>3.5438596491228069</v>
      </c>
      <c r="O331" s="525">
        <f>SUMIF(O324:O330,"&gt;0",O314:O320)/Commercial!S108</f>
        <v>3.4241379310344828</v>
      </c>
      <c r="P331" s="525">
        <f>SUMIF(P324:P330,"&gt;0",P314:P320)/Commercial!S108</f>
        <v>4.1310344827586203</v>
      </c>
      <c r="Q331" s="525">
        <f>SUMIF(Q324:Q330,"&gt;0",Q314:Q320)/Commercial!S108</f>
        <v>4.5034482758620689</v>
      </c>
      <c r="R331" s="525">
        <f>SUMIF(R324:R330,"&gt;0",R314:R320)/Commercial!S108</f>
        <v>5.1862068965517238</v>
      </c>
      <c r="S331" s="527">
        <f>SUMIF(S324:S330,"&gt;0",S314:S320)/Commercial!S108</f>
        <v>5.1862068965517238</v>
      </c>
      <c r="T331" s="525">
        <f>SUMIF(T324:T330,"&gt;0",T314:T320)/Commercial!X108</f>
        <v>3.8391959798994977</v>
      </c>
      <c r="U331" s="525">
        <f>SUMIF(U324:U330,"&gt;0",U314:U320)/Commercial!X108</f>
        <v>4.3467336683417086</v>
      </c>
      <c r="V331" s="525">
        <f>SUMIF(V324:V330,"&gt;0",V314:V320)/Commercial!X108</f>
        <v>4.6005025125628141</v>
      </c>
      <c r="W331" s="525">
        <f>SUMIF(W324:W330,"&gt;0",W314:W320)/Commercial!X108</f>
        <v>5.0326633165829149</v>
      </c>
      <c r="X331" s="527">
        <f>SUMIF(X324:X330,"&gt;0",X314:X320)/Commercial!X108</f>
        <v>5.0326633165829149</v>
      </c>
      <c r="Y331" s="525">
        <f>SUMIF(Y324:Y330,"&gt;0",Y314:Y320)/Commercial!AC108</f>
        <v>4.5804988662131523</v>
      </c>
      <c r="Z331" s="525">
        <f>SUMIF(Z324:Z330,"&gt;0",Z314:Z320)/Commercial!AC108</f>
        <v>4.8458049886621319</v>
      </c>
      <c r="AA331" s="525">
        <f>SUMIF(AA324:AA330,"&gt;0",AA314:AA320)/Commercial!AC108</f>
        <v>5.2358276643990926</v>
      </c>
      <c r="AB331" s="525">
        <f>SUMIF(AB324:AB330,"&gt;0",AB314:AB320)/Commercial!AC108</f>
        <v>5.9183673469387754</v>
      </c>
      <c r="AC331" s="527">
        <f>SUMIF(AC324:AC330,"&gt;0",AC314:AC320)/Commercial!AC108</f>
        <v>5.9183673469387754</v>
      </c>
      <c r="AD331" s="525">
        <f>SUMIF(AD324:AD330,"&gt;0",AD314:AD320)/Commercial!AH108</f>
        <v>7.2213333333333329</v>
      </c>
      <c r="AE331" s="525">
        <f>SUMIF(AE324:AE330,"&gt;0",AE314:AE320)/Commercial!AH108</f>
        <v>7.3733333333333331</v>
      </c>
      <c r="AF331" s="525">
        <f>SUMIF(AF324:AF330,"&gt;0",AF314:AF320)/Commercial!AH108</f>
        <v>7.5466666666666669</v>
      </c>
      <c r="AG331" s="525">
        <f>SUMIF(AG324:AG330,"&gt;0",AG314:AG320)/Commercial!AH108</f>
        <v>7.4773333333333332</v>
      </c>
      <c r="AH331" s="527">
        <f>SUMIF(AH324:AH330,"&gt;0",AH314:AH320)/Commercial!AH108</f>
        <v>7.4773333333333332</v>
      </c>
      <c r="AI331" s="525">
        <f>SUMIF(AI324:AI330,"&gt;0",AI314:AI320)/Commercial!AM108</f>
        <v>5.6361746361746361</v>
      </c>
      <c r="AJ331" s="525">
        <f>SUMIF(AJ324:AJ330,"&gt;0",AJ314:AJ320)/Commercial!AM108</f>
        <v>5.4449064449064446</v>
      </c>
      <c r="AK331" s="525">
        <f>SUMIF(AK324:AK330,"&gt;0",AK314:AK320)/Commercial!AM108</f>
        <v>5.374220374220374</v>
      </c>
      <c r="AL331" s="525">
        <f>SUMIF(AL324:AL330,"&gt;0",AL314:AL320)/Commercial!AM108</f>
        <v>5.247401247401247</v>
      </c>
      <c r="AM331" s="527">
        <f>SUMIF(AM324:AM330,"&gt;0",AM314:AM320)/Commercial!AM108</f>
        <v>5.247401247401247</v>
      </c>
      <c r="AN331" s="525">
        <f>SUMIF(AN324:AN330,"&gt;0",AN314:AN320)/Commercial!AR108</f>
        <v>5.1428571428571432</v>
      </c>
      <c r="AO331" s="525">
        <f>SUMIF(AO324:AO330,"&gt;0",AO314:AO320)/Commercial!AR108</f>
        <v>5.0476190476190474</v>
      </c>
      <c r="AP331" s="525">
        <f>SUMIF(AP324:AP330,"&gt;0",AP314:AP320)/Commercial!AR108</f>
        <v>5.2922077922077921</v>
      </c>
      <c r="AQ331" s="525">
        <f>SUMIF(AQ324:AQ330,"&gt;0",AQ314:AQ320)/Commercial!AR108</f>
        <v>5.387445887445887</v>
      </c>
      <c r="AR331" s="527">
        <f>SUMIF(AR324:AR330,"&gt;0",AR314:AR320)/Commercial!AR108</f>
        <v>5.387445887445887</v>
      </c>
      <c r="AS331" s="525">
        <f>SUMIF(AS324:AS330,"&gt;0",AS314:AS320)/Commercial!AW108</f>
        <v>5.4716981132075473</v>
      </c>
      <c r="AT331" s="525">
        <f>SUMIF(AT324:AT330,"&gt;0",AT314:AT320)/Commercial!AW108</f>
        <v>5.3773584905660377</v>
      </c>
      <c r="AU331" s="525">
        <f>SUMIF(AU324:AU330,"&gt;0",AU314:AU320)/Commercial!AW108</f>
        <v>5.6603773584905657</v>
      </c>
      <c r="AV331" s="525">
        <f>SUMIF(AV324:AV330,"&gt;0",AV314:AV320)/Commercial!AW108</f>
        <v>7.9056603773584904</v>
      </c>
      <c r="AW331" s="527">
        <f>SUMIF(AW324:AW330,"&gt;0",AW314:AW320)/Commercial!AW108</f>
        <v>7.9056603773584904</v>
      </c>
      <c r="AX331" s="525">
        <f>SUMIF(AX324:AX330,"&gt;0",AX314:AX320)/Commercial!BB108</f>
        <v>6.7321131447587357</v>
      </c>
      <c r="AY331" s="525">
        <f>SUMIF(AY324:AY330,"&gt;0",AY314:AY320)/Commercial!BB108</f>
        <v>6.5291181364392683</v>
      </c>
      <c r="AZ331" s="525">
        <f>SUMIF(AZ324:AZ330,"&gt;0",AZ314:AZ320)/Commercial!BB108</f>
        <v>6.8951747088186357</v>
      </c>
      <c r="BA331" s="525">
        <f>SUMIF(BA324:BA330,"&gt;0",BA314:BA320)/Commercial!BB108</f>
        <v>7.2762063227953409</v>
      </c>
      <c r="BB331" s="527">
        <f>SUMIF(BB324:BB330,"&gt;0",BB314:BB320)/Commercial!BB108</f>
        <v>7.2762063227953409</v>
      </c>
      <c r="BC331" s="525">
        <f>SUMIF(BC324:BC330,"&gt;0",BC314:BC320)/Commercial!BG108</f>
        <v>6.8595679012345681</v>
      </c>
      <c r="BD331" s="525">
        <f>SUMIF(BD324:BD330,"&gt;0",BD314:BD320)/Commercial!BG108</f>
        <v>7.341049382716049</v>
      </c>
      <c r="BE331" s="525">
        <f>SUMIF(BE324:BE330,"&gt;0",BE314:BE320)/Commercial!BG108</f>
        <v>7.3873456790123457</v>
      </c>
      <c r="BF331" s="525">
        <f>SUMIF(BF324:BF330,"&gt;0",BF314:BF320)/Commercial!BG108</f>
        <v>7.8395061728395063</v>
      </c>
      <c r="BG331" s="527">
        <f>SUMIF(BG324:BG330,"&gt;0",BG314:BG320)/Commercial!BG108</f>
        <v>7.8395061728395063</v>
      </c>
      <c r="BH331" s="525">
        <f>SUMIF(BH324:BH330,"&gt;0",BH314:BH320)/Commercial!BL108</f>
        <v>7.1286307053941913</v>
      </c>
      <c r="BI331" s="525">
        <f>SUMIF(BI324:BI330,"&gt;0",BI314:BI320)/Commercial!BL108</f>
        <v>7.2434301521438451</v>
      </c>
      <c r="BJ331" s="663">
        <f>SUMIF(BJ324:BJ330,"&gt;0",BJ314:BJ320)/Commercial!BL108</f>
        <v>7.6791147994467499</v>
      </c>
      <c r="BK331" s="663">
        <f>SUMIF(BK324:BK330,"&gt;0",BK314:BK320)/Commercial!BL108</f>
        <v>8.0069156293222683</v>
      </c>
      <c r="BL331" s="527">
        <f>SUMIF(BL324:BL330,"&gt;0",BL314:BL320)/Commercial!BL108</f>
        <v>8.0069156293222683</v>
      </c>
      <c r="BM331" s="663">
        <f>SUMIF(BM324:BM330,"&gt;0",BM314:BM320)/Commercial!BQ108</f>
        <v>7.4960629921259843</v>
      </c>
      <c r="BN331" s="663">
        <f>SUMIF(BN324:BN330,"&gt;0",BN314:BN320)/Commercial!BQ108</f>
        <v>7.4658792650918633</v>
      </c>
      <c r="BO331" s="663">
        <f>SUMIF(BO324:BO330,"&gt;0",BO314:BO320)/Commercial!BQ108</f>
        <v>7.4225721784776901</v>
      </c>
      <c r="BP331" s="663">
        <f>SUMIF(BP324:BP330,"&gt;0",BP314:BP320)/Commercial!BQ108</f>
        <v>7.6049868766404201</v>
      </c>
      <c r="BQ331" s="664">
        <f>SUMIF(BQ324:BQ330,"&gt;0",BQ314:BQ320)/Commercial!BQ108</f>
        <v>7.6049868766404201</v>
      </c>
      <c r="BR331" s="663">
        <f>SUMIF(BR324:BR330,"&gt;0",BR314:BR320)/Commercial!BV108</f>
        <v>7.6737967914438503</v>
      </c>
      <c r="BS331" s="663">
        <f>SUMIF(BS324:BS330,"&gt;0",BS314:BS320)/Commercial!BV108</f>
        <v>7.6109625668449201</v>
      </c>
      <c r="BT331" s="663">
        <f>SUMIF(BT324:BT330,"&gt;0",BT314:BT320)/Commercial!BV108</f>
        <v>7.5026737967914441</v>
      </c>
      <c r="BU331" s="663">
        <f>SUMIF(BU324:BU330,"&gt;0",BU314:BU320)/Commercial!BV108</f>
        <v>7.6403743315508024</v>
      </c>
      <c r="BV331" s="664">
        <f>SUMIF(BV324:BV330,"&gt;0",BV314:BV320)/Commercial!BV108</f>
        <v>7.6403743315508024</v>
      </c>
      <c r="BW331" s="663">
        <f>SUMIF(BW324:BW330,"&gt;0",BW314:BW320)/Commercial!CA108</f>
        <v>7.5281782437745743</v>
      </c>
      <c r="BX331" s="663">
        <f>SUMIF(BX324:BX330,"&gt;0",BX314:BX320)/Commercial!CA108</f>
        <v>7.5281782437745743</v>
      </c>
      <c r="BY331" s="663">
        <f>SUMIF(BY324:BY330,"&gt;0",BY314:BY320)/Commercial!CA108</f>
        <v>7.4167758846657925</v>
      </c>
      <c r="BZ331" s="663">
        <f>SUMIF(BZ324:BZ330,"&gt;0",BZ314:BZ320)/Commercial!CA108</f>
        <v>7.7116644823066842</v>
      </c>
      <c r="CA331" s="664">
        <f>SUMIF(CA324:CA330,"&gt;0",CA314:CA320)/Commercial!CA108</f>
        <v>7.7116644823066842</v>
      </c>
      <c r="CB331" s="663">
        <f>SUMIF(CB324:CB330,"&gt;0",CB314:CB320)/Commercial!CF108</f>
        <v>7.3213399503722085</v>
      </c>
      <c r="CC331" s="663">
        <f>SUMIF(CC324:CC330,"&gt;0",CC314:CC320)/Commercial!CF108</f>
        <v>7.290322580645161</v>
      </c>
      <c r="CD331" s="663">
        <f>SUMIF(CD324:CD330,"&gt;0",CD314:CD320)/Commercial!CF108</f>
        <v>7.2568238213399505</v>
      </c>
      <c r="CE331" s="663">
        <f>SUMIF(CE324:CE330,"&gt;0",CE314:CE320)/Commercial!CF108</f>
        <v>7.2866004962779156</v>
      </c>
      <c r="CF331" s="664">
        <f>SUMIF(CF324:CF330,"&gt;0",CF314:CF320)/Commercial!CF108</f>
        <v>7.2866004962779156</v>
      </c>
      <c r="CG331" s="663">
        <f>SUMIF(CG324:CG330,"&gt;0",CG314:CG320)/Commercial!CK108</f>
        <v>14.75</v>
      </c>
      <c r="CH331" s="663">
        <f>SUMIF(CH324:CH330,"&gt;0",CH314:CH320)/Commercial!CI108</f>
        <v>88.951612903225808</v>
      </c>
      <c r="CI331" s="663">
        <f>SUMIF(CI324:CI330,"&gt;0",CI314:CI320)/Commercial!CJ108</f>
        <v>69.468354430379748</v>
      </c>
      <c r="CJ331" s="663">
        <f>SUMIF(CJ324:CJ330,"&gt;0",CJ314:CJ320)/Commercial!CK108</f>
        <v>14.226315789473684</v>
      </c>
      <c r="CK331" s="664">
        <f>SUMIF(CK324:CK330,"&gt;0",CK314:CK320)/Commercial!CK108</f>
        <v>14.226315789473684</v>
      </c>
      <c r="CL331" s="663">
        <f>SUMIF(CL324:CL330,"&gt;0",CL314:CL320)/Commercial!CM108</f>
        <v>237</v>
      </c>
      <c r="CM331" s="663">
        <f>SUMIF(CM324:CM330,"&gt;0",CM314:CM320)/Commercial!CN108</f>
        <v>151.53571428571428</v>
      </c>
      <c r="CN331" s="663">
        <f>SUMIF(CN324:CN330,"&gt;0",CN314:CN320)/Commercial!CO108</f>
        <v>68.067796610169495</v>
      </c>
      <c r="CO331" s="663">
        <f>SUMIF(CO324:CO330,"&gt;0",CO314:CO320)/Commercial!CP108</f>
        <v>24.611464968152866</v>
      </c>
      <c r="CP331" s="664">
        <f>SUMIF(CP324:CP330,"&gt;0",CP314:CP320)/Commercial!CP108</f>
        <v>24.611464968152866</v>
      </c>
      <c r="CQ331" s="663">
        <f>SUMIF(CQ324:CQ330,"&gt;0",CQ314:CQ320)/Commercial!CR108</f>
        <v>48.430379746835442</v>
      </c>
      <c r="CR331" s="663">
        <f>SUMIF(CR324:CR330,"&gt;0",CR314:CR320)/Commercial!CS108</f>
        <v>41.082352941176474</v>
      </c>
      <c r="CS331" s="663">
        <f>SUMIF(CS324:CS330,"&gt;0",CS314:CS320)/Commercial!CT108</f>
        <v>35.323232323232325</v>
      </c>
      <c r="CT331" s="663">
        <f>SUMIF(CT324:CT330,"&gt;0",CT314:CT320)/Commercial!CU108</f>
        <v>11.755882352941176</v>
      </c>
      <c r="CU331" s="664">
        <f>SUMIF(CU324:CU330,"&gt;0",CU314:CU320)/Commercial!CU108</f>
        <v>11.755882352941176</v>
      </c>
      <c r="CV331" s="663">
        <f>SUMIF(CV324:CV330,"&gt;0",CV314:CV320)/Commercial!CW108</f>
        <v>29.314049586776861</v>
      </c>
      <c r="CW331" s="663">
        <f>SUMIF(CW324:CW330,"&gt;0",CW314:CW320)/Commercial!CX108</f>
        <v>35.758928571428569</v>
      </c>
      <c r="CX331" s="663">
        <f>SUMIF(CX324:CX330,"&gt;0",CX314:CX320)/Commercial!CY108</f>
        <v>27.039473684210527</v>
      </c>
      <c r="CY331" s="663">
        <f>SUMIF(CY324:CY330,"&gt;0",CY314:CY320)/Commercial!CZ108</f>
        <v>9.0291666666666668</v>
      </c>
      <c r="CZ331" s="664">
        <f>SUMIF(CZ324:CZ330,"&gt;0",CZ314:CZ320)/Commercial!CZ108</f>
        <v>9.0291666666666668</v>
      </c>
      <c r="DA331" s="663">
        <f>SUMIF(DA324:DA330,"&gt;0",DA314:DA320)/Commercial!DB108</f>
        <v>31.080882352941178</v>
      </c>
      <c r="DB331" s="663">
        <f>SUMIF(DB324:DB330,"&gt;0",DB314:DB320)/Commercial!DC108</f>
        <v>43.438095238095237</v>
      </c>
      <c r="DC331" s="663">
        <f>SUMIF(DC324:DC330,"&gt;0",DC314:DC320)/Commercial!DD108</f>
        <v>30.917197452229299</v>
      </c>
      <c r="DD331" s="663">
        <f>SUMIF(DD324:DD330,"&gt;0",DD314:DD320)/Commercial!DE108</f>
        <v>9.7765151515151523</v>
      </c>
      <c r="DE331" s="664">
        <f>SUMIF(DE324:DE330,"&gt;0",DE314:DE320)/Commercial!DE108</f>
        <v>9.7765151515151523</v>
      </c>
      <c r="DF331" s="663">
        <f>SUMIF(DF324:DF330,"&gt;0",DF314:DF320)/Commercial!DG108</f>
        <v>56.782608695652172</v>
      </c>
      <c r="DG331" s="663">
        <f>SUMIF(DG324:DG330,"&gt;0",DG314:DG320)/Commercial!DH108</f>
        <v>43.405172413793103</v>
      </c>
      <c r="DH331" s="663">
        <f>SUMIF(DH324:DH330,"&gt;0",DH314:DH320)/Commercial!DI108</f>
        <v>85.15789473684211</v>
      </c>
      <c r="DI331" s="663">
        <f>SUMIF(DI324:DI330,"&gt;0",DI314:DI320)/Commercial!DJ108</f>
        <v>14.939655172413794</v>
      </c>
      <c r="DJ331" s="664">
        <f>SUMIF(DJ324:DJ330,"&gt;0",DJ314:DJ320)/Commercial!DJ108</f>
        <v>14.939655172413794</v>
      </c>
      <c r="DK331" s="663">
        <f>SUMIF(DK324:DK330,"&gt;0",DK314:DK320)/Commercial!DL108</f>
        <v>34.799999999999997</v>
      </c>
      <c r="DL331" s="663">
        <f>SUMIF(DL324:DL330,"&gt;0",DL314:DL320)/Commercial!DM108</f>
        <v>34.168750000000003</v>
      </c>
      <c r="DM331" s="663">
        <f>SUMIF(DM324:DM330,"&gt;0",DM314:DM320)/Commercial!DN108</f>
        <v>30.337499999999999</v>
      </c>
      <c r="DN331" s="663">
        <f>SUMIF(DN324:DN330,"&gt;0",DN314:DN320)/Commercial!DO108</f>
        <v>9.2833333333333332</v>
      </c>
      <c r="DO331" s="664">
        <f>SUMIF(DO324:DO330,"&gt;0",DO314:DO320)/Commercial!DO108</f>
        <v>9.2833333333333332</v>
      </c>
      <c r="DP331" s="663">
        <f>SUMIF(DP324:DP330,"&gt;0",DP314:DP320)/Commercial!DQ108</f>
        <v>32.508771929824562</v>
      </c>
      <c r="DQ331" s="663">
        <f>SUMIF(DQ324:DQ330,"&gt;0",DQ314:DQ320)/Commercial!DR108</f>
        <v>0</v>
      </c>
      <c r="DR331" s="663">
        <f>SUMIF(DR324:DR330,"&gt;0",DR314:DR320)/Commercial!DS108</f>
        <v>0</v>
      </c>
      <c r="DS331" s="663">
        <f>SUMIF(DS324:DS330,"&gt;0",DS314:DS320)/Commercial!DT108</f>
        <v>0</v>
      </c>
      <c r="DT331" s="664">
        <f>SUMIF(DT324:DT330,"&gt;0",DT314:DT320)/Commercial!DT108</f>
        <v>0</v>
      </c>
      <c r="DU331" s="663">
        <f>SUMIF(DU324:DU330,"&gt;0",DU314:DU320)/Commercial!DV108</f>
        <v>0</v>
      </c>
      <c r="DV331" s="663">
        <f>SUMIF(DV324:DV330,"&gt;0",DV314:DV320)/Commercial!DW108</f>
        <v>0</v>
      </c>
      <c r="DW331" s="663">
        <f>SUMIF(DW324:DW330,"&gt;0",DW314:DW320)/Commercial!DX108</f>
        <v>0</v>
      </c>
      <c r="DX331" s="663">
        <f>SUMIF(DX324:DX330,"&gt;0",DX314:DX320)/Commercial!DY108</f>
        <v>0</v>
      </c>
      <c r="DY331" s="664">
        <f>SUMIF(DY324:DY330,"&gt;0",DY314:DY320)/Commercial!DY108</f>
        <v>0</v>
      </c>
      <c r="DZ331" s="664">
        <f>SUMIF(DZ324:DZ330,"&gt;0",DZ314:DZ320)/Commercial!DZ108</f>
        <v>0</v>
      </c>
      <c r="EA331" s="664">
        <f>SUMIF(EA324:EA330,"&gt;0",EA314:EA320)/Commercial!EA108</f>
        <v>0</v>
      </c>
      <c r="EB331" s="664">
        <f>SUMIF(EB324:EB330,"&gt;0",EB314:EB320)/Commercial!EB108</f>
        <v>0</v>
      </c>
    </row>
    <row r="332" spans="2:132" s="241" customFormat="1" ht="12" customHeight="1" collapsed="1">
      <c r="B332" s="348"/>
      <c r="C332" s="357"/>
      <c r="D332" s="357"/>
      <c r="E332" s="357"/>
      <c r="F332" s="358"/>
      <c r="G332" s="357"/>
      <c r="H332" s="357"/>
      <c r="I332" s="357"/>
      <c r="J332" s="358"/>
      <c r="K332" s="358"/>
      <c r="L332" s="358"/>
      <c r="M332" s="358"/>
      <c r="N332" s="357"/>
      <c r="O332" s="358"/>
      <c r="P332" s="358"/>
      <c r="Q332" s="358"/>
      <c r="R332" s="358"/>
      <c r="S332" s="357"/>
      <c r="T332" s="358"/>
      <c r="U332" s="358"/>
      <c r="V332" s="358"/>
      <c r="W332" s="358"/>
      <c r="X332" s="357"/>
      <c r="Y332" s="358"/>
      <c r="Z332" s="358"/>
      <c r="AA332" s="358"/>
      <c r="AB332" s="358"/>
      <c r="AC332" s="357"/>
      <c r="AD332" s="358"/>
      <c r="AE332" s="358"/>
      <c r="AF332" s="358"/>
      <c r="AG332" s="358"/>
      <c r="AH332" s="357"/>
      <c r="AI332" s="358"/>
      <c r="AJ332" s="358"/>
      <c r="AK332" s="358"/>
      <c r="AL332" s="358"/>
      <c r="AM332" s="357"/>
      <c r="AN332" s="358"/>
      <c r="AO332" s="358"/>
      <c r="AP332" s="358"/>
      <c r="AQ332" s="358"/>
      <c r="AR332" s="357"/>
      <c r="AS332" s="358"/>
      <c r="AT332" s="358"/>
      <c r="AU332" s="358"/>
      <c r="AV332" s="358"/>
      <c r="AW332" s="357"/>
      <c r="AX332" s="358"/>
      <c r="AY332" s="358"/>
      <c r="AZ332" s="358"/>
      <c r="BA332" s="358"/>
      <c r="BB332" s="357"/>
      <c r="BC332" s="358"/>
      <c r="BD332" s="358"/>
      <c r="BE332" s="358"/>
      <c r="BF332" s="358"/>
      <c r="BG332" s="357"/>
      <c r="BH332" s="616"/>
      <c r="BI332" s="358"/>
      <c r="BJ332" s="616"/>
      <c r="BK332" s="616"/>
      <c r="BL332" s="357"/>
      <c r="BM332" s="266"/>
      <c r="BN332" s="616"/>
      <c r="BO332" s="12"/>
      <c r="BP332" s="616"/>
      <c r="BQ332" s="617"/>
      <c r="BR332" s="266"/>
      <c r="BS332" s="616"/>
      <c r="BT332" s="616"/>
      <c r="BU332" s="616"/>
      <c r="BV332" s="617"/>
      <c r="BW332" s="266"/>
      <c r="BX332" s="616"/>
      <c r="BY332" s="616"/>
      <c r="BZ332" s="616"/>
      <c r="CA332" s="617"/>
      <c r="CB332" s="266"/>
      <c r="CC332" s="266"/>
      <c r="CD332" s="616"/>
      <c r="CE332" s="616"/>
      <c r="CF332" s="617"/>
      <c r="CG332" s="12"/>
      <c r="CH332" s="12"/>
      <c r="CI332" s="616"/>
      <c r="CJ332" s="616"/>
      <c r="CK332" s="617"/>
      <c r="CL332" s="616"/>
      <c r="CM332" s="616"/>
      <c r="CN332" s="616"/>
      <c r="CO332" s="616"/>
      <c r="CP332" s="617"/>
      <c r="CQ332" s="616"/>
      <c r="CR332" s="616"/>
      <c r="CS332" s="616"/>
      <c r="CT332" s="616"/>
      <c r="CU332" s="617"/>
      <c r="CV332" s="616"/>
      <c r="CW332" s="616"/>
      <c r="CX332" s="616"/>
      <c r="CY332" s="616"/>
      <c r="CZ332" s="617"/>
      <c r="DA332" s="616"/>
      <c r="DB332" s="616"/>
      <c r="DC332" s="616"/>
      <c r="DD332" s="616"/>
      <c r="DE332" s="617"/>
      <c r="DF332" s="616"/>
      <c r="DG332" s="616"/>
      <c r="DH332" s="616"/>
      <c r="DI332" s="616"/>
      <c r="DJ332" s="617"/>
      <c r="DK332" s="616"/>
      <c r="DL332" s="616"/>
      <c r="DM332" s="616"/>
      <c r="DN332" s="616"/>
      <c r="DO332" s="617"/>
      <c r="DP332" s="616"/>
      <c r="DQ332" s="616"/>
      <c r="DR332" s="616"/>
      <c r="DS332" s="616"/>
      <c r="DT332" s="617"/>
      <c r="DU332" s="616"/>
      <c r="DV332" s="616"/>
      <c r="DW332" s="616"/>
      <c r="DX332" s="616"/>
      <c r="DY332" s="617"/>
      <c r="DZ332" s="617"/>
      <c r="EA332" s="617"/>
      <c r="EB332" s="617"/>
    </row>
    <row r="333" spans="2:132" s="241" customFormat="1" ht="12" hidden="1" customHeight="1" outlineLevel="1">
      <c r="B333" s="163" t="s">
        <v>121</v>
      </c>
      <c r="C333" s="353"/>
      <c r="D333" s="353"/>
      <c r="E333" s="353"/>
      <c r="F333" s="353"/>
      <c r="G333" s="353"/>
      <c r="H333" s="353"/>
      <c r="I333" s="353"/>
      <c r="J333" s="354"/>
      <c r="K333" s="354"/>
      <c r="L333" s="354"/>
      <c r="M333" s="354"/>
      <c r="N333" s="353"/>
      <c r="O333" s="354"/>
      <c r="P333" s="354"/>
      <c r="Q333" s="354"/>
      <c r="R333" s="354"/>
      <c r="S333" s="353"/>
      <c r="T333" s="354"/>
      <c r="U333" s="354"/>
      <c r="V333" s="354"/>
      <c r="W333" s="354"/>
      <c r="X333" s="353"/>
      <c r="Y333" s="354"/>
      <c r="Z333" s="354"/>
      <c r="AA333" s="354"/>
      <c r="AB333" s="354"/>
      <c r="AC333" s="353"/>
      <c r="AD333" s="354"/>
      <c r="AE333" s="354"/>
      <c r="AF333" s="354"/>
      <c r="AG333" s="354"/>
      <c r="AH333" s="353"/>
      <c r="AI333" s="354"/>
      <c r="AJ333" s="354"/>
      <c r="AK333" s="354"/>
      <c r="AL333" s="354"/>
      <c r="AM333" s="353"/>
      <c r="AN333" s="354"/>
      <c r="AO333" s="354"/>
      <c r="AP333" s="354"/>
      <c r="AQ333" s="354"/>
      <c r="AR333" s="353"/>
      <c r="AS333" s="354"/>
      <c r="AT333" s="354"/>
      <c r="AU333" s="354"/>
      <c r="AV333" s="354"/>
      <c r="AW333" s="353"/>
      <c r="AX333" s="354"/>
      <c r="AY333" s="354"/>
      <c r="AZ333" s="354"/>
      <c r="BA333" s="354"/>
      <c r="BB333" s="353"/>
      <c r="BC333" s="354"/>
      <c r="BD333" s="354"/>
      <c r="BE333" s="354"/>
      <c r="BF333" s="354"/>
      <c r="BG333" s="353"/>
      <c r="BH333" s="615"/>
      <c r="BI333" s="354"/>
      <c r="BJ333" s="615"/>
      <c r="BK333" s="615"/>
      <c r="BL333" s="353"/>
      <c r="BM333" s="615"/>
      <c r="BN333" s="615"/>
      <c r="BO333" s="615"/>
      <c r="BP333" s="615"/>
      <c r="BQ333" s="14"/>
      <c r="BR333" s="615"/>
      <c r="BS333" s="615"/>
      <c r="BT333" s="615"/>
      <c r="BU333" s="615"/>
      <c r="BV333" s="14"/>
      <c r="BW333" s="615"/>
      <c r="BX333" s="615"/>
      <c r="BY333" s="615"/>
      <c r="BZ333" s="615"/>
      <c r="CA333" s="14"/>
      <c r="CB333" s="615"/>
      <c r="CC333" s="615"/>
      <c r="CD333" s="615"/>
      <c r="CE333" s="615"/>
      <c r="CF333" s="14"/>
      <c r="CG333" s="615"/>
      <c r="CH333" s="615"/>
      <c r="CI333" s="615"/>
      <c r="CJ333" s="615"/>
      <c r="CK333" s="14"/>
      <c r="CL333" s="615"/>
      <c r="CM333" s="615"/>
      <c r="CN333" s="615"/>
      <c r="CO333" s="615"/>
      <c r="CP333" s="14"/>
      <c r="CQ333" s="615"/>
      <c r="CR333" s="615"/>
      <c r="CS333" s="615"/>
      <c r="CT333" s="615"/>
      <c r="CU333" s="14"/>
      <c r="CV333" s="615"/>
      <c r="CW333" s="615"/>
      <c r="CX333" s="615"/>
      <c r="CY333" s="615"/>
      <c r="CZ333" s="14"/>
      <c r="DA333" s="615"/>
      <c r="DB333" s="615"/>
      <c r="DC333" s="615"/>
      <c r="DD333" s="615"/>
      <c r="DE333" s="14"/>
      <c r="DF333" s="615"/>
      <c r="DG333" s="615"/>
      <c r="DH333" s="615"/>
      <c r="DI333" s="615"/>
      <c r="DJ333" s="14"/>
      <c r="DK333" s="615"/>
      <c r="DL333" s="615"/>
      <c r="DM333" s="615"/>
      <c r="DN333" s="615"/>
      <c r="DO333" s="14"/>
      <c r="DP333" s="615"/>
      <c r="DQ333" s="615"/>
      <c r="DR333" s="615"/>
      <c r="DS333" s="615"/>
      <c r="DT333" s="14"/>
      <c r="DU333" s="615"/>
      <c r="DV333" s="615"/>
      <c r="DW333" s="615"/>
      <c r="DX333" s="615"/>
      <c r="DY333" s="14"/>
      <c r="DZ333" s="14"/>
      <c r="EA333" s="14"/>
      <c r="EB333" s="14"/>
    </row>
    <row r="334" spans="2:132" s="241" customFormat="1" ht="12" hidden="1" customHeight="1" outlineLevel="1">
      <c r="B334" s="348" t="s">
        <v>105</v>
      </c>
      <c r="C334" s="359"/>
      <c r="D334" s="359">
        <f t="shared" ref="D334:M334" si="1305">D36+(D290-C290)</f>
        <v>27814</v>
      </c>
      <c r="E334" s="359">
        <f t="shared" si="1305"/>
        <v>25324</v>
      </c>
      <c r="F334" s="359">
        <f t="shared" si="1305"/>
        <v>47979</v>
      </c>
      <c r="G334" s="359">
        <f t="shared" si="1305"/>
        <v>21126</v>
      </c>
      <c r="H334" s="359">
        <f t="shared" si="1305"/>
        <v>20696</v>
      </c>
      <c r="I334" s="359">
        <f t="shared" si="1305"/>
        <v>18178</v>
      </c>
      <c r="J334" s="360">
        <f t="shared" si="1305"/>
        <v>3625</v>
      </c>
      <c r="K334" s="360">
        <f t="shared" si="1305"/>
        <v>5626</v>
      </c>
      <c r="L334" s="360">
        <f t="shared" si="1305"/>
        <v>10643</v>
      </c>
      <c r="M334" s="315">
        <f t="shared" si="1305"/>
        <v>7663</v>
      </c>
      <c r="N334" s="359">
        <f>SUM(J334:M334)</f>
        <v>27557</v>
      </c>
      <c r="O334" s="360">
        <f>O36+(O290-N290)</f>
        <v>3309</v>
      </c>
      <c r="P334" s="360">
        <f>P36+(P290-O290)</f>
        <v>24802</v>
      </c>
      <c r="Q334" s="360">
        <f>Q36+(Q290-P290)</f>
        <v>16300</v>
      </c>
      <c r="R334" s="315">
        <f>R36+(R290-Q290)</f>
        <v>31923</v>
      </c>
      <c r="S334" s="359">
        <f>SUM(O334:R334)</f>
        <v>76334</v>
      </c>
      <c r="T334" s="360">
        <f>T36+(T290-S290)</f>
        <v>14498</v>
      </c>
      <c r="U334" s="360">
        <f>U36+(U290-T290)</f>
        <v>17206</v>
      </c>
      <c r="V334" s="360">
        <f>V36+(V290-U290)</f>
        <v>19039</v>
      </c>
      <c r="W334" s="315">
        <f>W36+(W290-V290)</f>
        <v>27866</v>
      </c>
      <c r="X334" s="359">
        <f>SUM(T334:W334)</f>
        <v>78609</v>
      </c>
      <c r="Y334" s="360">
        <f>Y36+(Y290-X290)</f>
        <v>21745</v>
      </c>
      <c r="Z334" s="360">
        <f>Z36+(Z290-Y290)</f>
        <v>27971</v>
      </c>
      <c r="AA334" s="360">
        <f>AA36+(AA290-Z290)</f>
        <v>24942</v>
      </c>
      <c r="AB334" s="315">
        <f>AB36+(AB290-AA290)</f>
        <v>39628</v>
      </c>
      <c r="AC334" s="359">
        <f>SUM(Y334:AB334)</f>
        <v>114286</v>
      </c>
      <c r="AD334" s="360">
        <f>AD36+(AD290-AC290)</f>
        <v>24174</v>
      </c>
      <c r="AE334" s="360">
        <f>AE36+(AE290-AD290)</f>
        <v>11924</v>
      </c>
      <c r="AF334" s="360">
        <f>AF36+(AF290-AE290)</f>
        <v>8269</v>
      </c>
      <c r="AG334" s="315">
        <f>AG36+(AG290-AF290)</f>
        <v>7295</v>
      </c>
      <c r="AH334" s="359">
        <f>SUM(AD334:AG334)</f>
        <v>51662</v>
      </c>
      <c r="AI334" s="360">
        <f>AI36+(AI290-AH290)</f>
        <v>-3998</v>
      </c>
      <c r="AJ334" s="360">
        <f>AJ36+(AJ290-AI290)</f>
        <v>-149</v>
      </c>
      <c r="AK334" s="360">
        <f>AK36+(AK290-AJ290)</f>
        <v>4378</v>
      </c>
      <c r="AL334" s="315">
        <f>IF(AL290=0,0,AL36+(AL290-AK290))</f>
        <v>5721</v>
      </c>
      <c r="AM334" s="359">
        <f>SUM(AI334:AL334)</f>
        <v>5952</v>
      </c>
      <c r="AN334" s="315">
        <f>AN36+(AN290-AM290)</f>
        <v>7392</v>
      </c>
      <c r="AO334" s="315">
        <f>IF(AO290=0,0,AO36+(AO290-AN290))</f>
        <v>8633</v>
      </c>
      <c r="AP334" s="315">
        <f>IF(AP290=0,0,AP36+(AP290-AO290))</f>
        <v>12325</v>
      </c>
      <c r="AQ334" s="315">
        <f>IF(AQ290=0,0,AQ36+(AQ290-AP290))</f>
        <v>8608</v>
      </c>
      <c r="AR334" s="359">
        <f>SUM(AN334:AQ334)</f>
        <v>36958</v>
      </c>
      <c r="AS334" s="315">
        <f>IF(AS290=0,0,AS36+(AS290-AR290))</f>
        <v>12418</v>
      </c>
      <c r="AT334" s="315">
        <f>IF(AT290=0,0,AT36+(AT290-AS290))</f>
        <v>7843</v>
      </c>
      <c r="AU334" s="315">
        <f>IF(AU290=0,0,AU36+(AU290-AT290))</f>
        <v>19915</v>
      </c>
      <c r="AV334" s="315">
        <f>IF(AV290=0,0,AV36+(AV290-AU290))</f>
        <v>33695</v>
      </c>
      <c r="AW334" s="359">
        <f>SUM(AS334:AV334)</f>
        <v>73871</v>
      </c>
      <c r="AX334" s="315">
        <f>IF(AX290=0,0,AX36+(AX290-AW290))</f>
        <v>22937</v>
      </c>
      <c r="AY334" s="315">
        <f>IF(AY290=0,0,AY36+(AY290-AX290))</f>
        <v>6943</v>
      </c>
      <c r="AZ334" s="315">
        <f>IF(AZ290=0,0,AZ36+(AZ290-AY290))</f>
        <v>17186</v>
      </c>
      <c r="BA334" s="315">
        <f>IF(BA290=0,0,BA36+(BA290-AZ290))</f>
        <v>26061</v>
      </c>
      <c r="BB334" s="314">
        <f>IF(BB290=0,0,BB36+(BB290-AW290))</f>
        <v>73127</v>
      </c>
      <c r="BC334" s="315">
        <f>IF(BC290=0,0,BC36+(BC290-BB290))</f>
        <v>15390</v>
      </c>
      <c r="BD334" s="315">
        <f>IF(BD290=0,0,BD36+(BD290-BC290))</f>
        <v>29324</v>
      </c>
      <c r="BE334" s="315">
        <f>IF(BE290=0,0,BE36+(BE290-BD290))</f>
        <v>20587</v>
      </c>
      <c r="BF334" s="315">
        <f>IF(BF290=0,0,BF36+(BF290-BE290))</f>
        <v>43380.3</v>
      </c>
      <c r="BG334" s="314">
        <f>IF(BG290=0,0,BG36+(BG290-BB290))</f>
        <v>108681.3</v>
      </c>
      <c r="BH334" s="620">
        <f>IF(BH290=0,0,BH36+(BH290-BG290))</f>
        <v>13737</v>
      </c>
      <c r="BI334" s="315">
        <f>IF(BI290=0,0,BI36+(BI290-BH290))</f>
        <v>16604</v>
      </c>
      <c r="BJ334" s="620">
        <f>IF(BJ290=0,0,BJ36+(BJ290-BI290))</f>
        <v>69410</v>
      </c>
      <c r="BK334" s="620">
        <f>IF(BK290=0,0,BK36+(BK290-BJ290))</f>
        <v>27339</v>
      </c>
      <c r="BL334" s="314">
        <f>IF(BL290=0,0,BL36+(BL290-BG290))</f>
        <v>127090</v>
      </c>
      <c r="BM334" s="620">
        <f>IF(BM290=0,0,BM36+(BM290-BL290))</f>
        <v>10281</v>
      </c>
      <c r="BN334" s="620">
        <f>IF(BN290=0,0,BN36+(BN290-BM290))</f>
        <v>12677</v>
      </c>
      <c r="BO334" s="620">
        <f>IF(BO290=0,0,BO36+(BO290-BN290))</f>
        <v>12892</v>
      </c>
      <c r="BP334" s="620">
        <f>IF(BP290=0,0,BP36+(BP290-BO290))</f>
        <v>21498</v>
      </c>
      <c r="BQ334" s="630">
        <f>IF(BQ290=0,0,BQ36+(BQ290-BL290))</f>
        <v>57348</v>
      </c>
      <c r="BR334" s="620">
        <f>IF(BR290=0,0,BR36+(BR290-BQ290))</f>
        <v>4387</v>
      </c>
      <c r="BS334" s="620">
        <f>IF(BS290=0,0,BS36+(BS290-BR290))</f>
        <v>9243</v>
      </c>
      <c r="BT334" s="620">
        <f>IF(BT290=0,0,BT36+(BT290-BS290))</f>
        <v>7400</v>
      </c>
      <c r="BU334" s="620">
        <f>IF(BU290=0,0,BU36+(BU290-BT290))</f>
        <v>18618</v>
      </c>
      <c r="BV334" s="630">
        <f>IF(BV290=0,0,BV36+(BV290-BQ290))</f>
        <v>39648</v>
      </c>
      <c r="BW334" s="620">
        <f>IF(BW290=0,0,BW36+(BW290-BV290))</f>
        <v>15017</v>
      </c>
      <c r="BX334" s="620">
        <f>IF(BX290=0,0,BX36+(BX290-BW290))</f>
        <v>22580</v>
      </c>
      <c r="BY334" s="620">
        <f>IF(BY290=0,0,BY36+(BY290-BX290))</f>
        <v>4178</v>
      </c>
      <c r="BZ334" s="620">
        <f>IF(BZ290=0,0,BZ36+(BZ290-BY290))</f>
        <v>14391</v>
      </c>
      <c r="CA334" s="630">
        <f>IF(CA290=0,0,CA36+(CA290-BV290))</f>
        <v>56166</v>
      </c>
      <c r="CB334" s="620">
        <f>IF(CB290=0,0,CB36+(CB290-CA290))</f>
        <v>17134</v>
      </c>
      <c r="CC334" s="620">
        <f>IF(CC290=0,0,CC36+(CC290-CB290))</f>
        <v>14298</v>
      </c>
      <c r="CD334" s="620">
        <f>IF(CD290=0,0,CD36+(CD290-CC290))</f>
        <v>11412</v>
      </c>
      <c r="CE334" s="620">
        <f>IF(CE290=0,0,CE36+(CE290-CD290))</f>
        <v>15774</v>
      </c>
      <c r="CF334" s="630">
        <f>IF(CF290=0,0,CF36+(CF290-CA290))</f>
        <v>58618</v>
      </c>
      <c r="CG334" s="620">
        <f>IF(CG290=0,0,CG36+(CG290-CF290))</f>
        <v>-1114</v>
      </c>
      <c r="CH334" s="620">
        <f>IF(CH290=0,0,CH36+(CH290-CG290))</f>
        <v>-4244</v>
      </c>
      <c r="CI334" s="620">
        <f>IF(CI290=0,0,CI36+(CI290-CH290))</f>
        <v>5241</v>
      </c>
      <c r="CJ334" s="620">
        <f>IF(CJ290=0,0,CJ36+(CJ290-CI290))</f>
        <v>-3342</v>
      </c>
      <c r="CK334" s="630">
        <f>IF(CK290=0,0,CK36+(CK290-CF290))</f>
        <v>-3459</v>
      </c>
      <c r="CL334" s="620">
        <f>IF(CL290=0,0,CL36+(CL290-CK290))</f>
        <v>-18610</v>
      </c>
      <c r="CM334" s="620">
        <f>IF(CM290=0,0,CM36+(CM290-CL290))</f>
        <v>-24471</v>
      </c>
      <c r="CN334" s="620">
        <f>IF(CN290=0,0,CN36+(CN290-CM290))</f>
        <v>-9394</v>
      </c>
      <c r="CO334" s="620">
        <f>IF(CO290=0,0,CO36+(CO290-CN290))</f>
        <v>-26368</v>
      </c>
      <c r="CP334" s="630">
        <f>IF(CP290=0,0,CP36+(CP290-CK290))</f>
        <v>-78843</v>
      </c>
      <c r="CQ334" s="620">
        <f>IF(CQ290=0,0,CQ36+(CQ290-CP290))</f>
        <v>5302</v>
      </c>
      <c r="CR334" s="620">
        <f>IF(CR290=0,0,CR36+(CR290-CQ290))</f>
        <v>8726</v>
      </c>
      <c r="CS334" s="620">
        <f>IF(CS290=0,0,CS36+(CS290-CR290))</f>
        <v>8771</v>
      </c>
      <c r="CT334" s="620">
        <f>IF(CT290=0,0,CT36+(CT290-CS290))</f>
        <v>11988</v>
      </c>
      <c r="CU334" s="630">
        <f>IF(CU290=0,0,CU36+(CU290-CP290))</f>
        <v>34787</v>
      </c>
      <c r="CV334" s="620">
        <f>IF(CV290=0,0,CV36+(CV290-CU290))</f>
        <v>-1791</v>
      </c>
      <c r="CW334" s="620">
        <f>IF(CW290=0,0,CW36+(CW290-CV290))</f>
        <v>12333</v>
      </c>
      <c r="CX334" s="620">
        <f>IF(CX290=0,0,CX36+(CX290-CW290))</f>
        <v>16387</v>
      </c>
      <c r="CY334" s="620">
        <f>IF(CY290=0,0,CY36+(CY290-CX290))</f>
        <v>31880</v>
      </c>
      <c r="CZ334" s="630">
        <f>IF(CZ290=0,0,CZ36+(CZ290-CU290))</f>
        <v>58809</v>
      </c>
      <c r="DA334" s="620">
        <f>IF(DA290=0,0,DA36+(DA290-CZ290))</f>
        <v>10536</v>
      </c>
      <c r="DB334" s="620">
        <f>IF(DB290=0,0,DB36+(DB290-DA290))</f>
        <v>38050</v>
      </c>
      <c r="DC334" s="620">
        <f>IF(DC290=0,0,DC36+(DC290-DB290))</f>
        <v>37115</v>
      </c>
      <c r="DD334" s="620">
        <f>IF(DD290=0,0,DD36+(DD290-DC290))</f>
        <v>58883</v>
      </c>
      <c r="DE334" s="630">
        <f>IF(DE290=0,0,DE36+(DE290-CZ290))</f>
        <v>144584</v>
      </c>
      <c r="DF334" s="620">
        <f>IF(DF290=0,0,DF36+(DF290-DE290))</f>
        <v>11679</v>
      </c>
      <c r="DG334" s="620">
        <f>IF(DG290=0,0,DG36+(DG290-DF290))</f>
        <v>-4956</v>
      </c>
      <c r="DH334" s="620">
        <f>IF(DH290=0,0,DH36+(DH290-DG290))</f>
        <v>-1398</v>
      </c>
      <c r="DI334" s="620">
        <f>IF(DI290=0,0,DI36+(DI290-DH290))</f>
        <v>12204</v>
      </c>
      <c r="DJ334" s="630">
        <f>IF(DJ290=0,0,DJ36+(DJ290-DE290))</f>
        <v>17529</v>
      </c>
      <c r="DK334" s="620">
        <f>IF(DK290=0,0,DK36+(DK290-DJ290))</f>
        <v>33419</v>
      </c>
      <c r="DL334" s="620">
        <f>IF(DL290=0,0,DL36+(DL290-DK290))</f>
        <v>72624</v>
      </c>
      <c r="DM334" s="620">
        <f>IF(DM290=0,0,DM36+(DM290-DL290))</f>
        <v>23510</v>
      </c>
      <c r="DN334" s="620">
        <f>IF(DN290=0,0,DN36+(DN290-DM290))</f>
        <v>44056</v>
      </c>
      <c r="DO334" s="630">
        <f>IF(DO290=0,0,DO36+(DO290-DJ290))</f>
        <v>173609</v>
      </c>
      <c r="DP334" s="620">
        <f>IF(DP290=0,0,DP36+(DP290-DO290))</f>
        <v>17496</v>
      </c>
      <c r="DQ334" s="620">
        <f>IF(DQ290=0,0,DQ36+(DQ290-DP290))</f>
        <v>32892</v>
      </c>
      <c r="DR334" s="620">
        <f>IF(DR290=0,0,DR36+(DR290-DQ290))</f>
        <v>0</v>
      </c>
      <c r="DS334" s="620">
        <f>IF(DS290=0,0,DS36+(DS290-DR290))</f>
        <v>0</v>
      </c>
      <c r="DT334" s="630">
        <f>IF(DT290=0,0,DT36+(DT290-DO290))</f>
        <v>0</v>
      </c>
      <c r="DU334" s="620">
        <f>IF(DU290=0,0,DU36+(DU290-DT290))</f>
        <v>0</v>
      </c>
      <c r="DV334" s="620">
        <f>IF(DV290=0,0,DV36+(DV290-DU290))</f>
        <v>0</v>
      </c>
      <c r="DW334" s="620">
        <f>IF(DW290=0,0,DW36+(DW290-DV290))</f>
        <v>0</v>
      </c>
      <c r="DX334" s="620">
        <f>IF(DX290=0,0,DX36+(DX290-DW290))</f>
        <v>0</v>
      </c>
      <c r="DY334" s="630">
        <f>IF(DY290=0,0,DY36+(DY290-DT290))</f>
        <v>0</v>
      </c>
      <c r="DZ334" s="630">
        <f>IF(DZ290=0,0,DZ36+(DZ290-DY290))</f>
        <v>0</v>
      </c>
      <c r="EA334" s="630">
        <f>IF(EA290=0,0,EA36+(EA290-DZ290))</f>
        <v>0</v>
      </c>
      <c r="EB334" s="630">
        <f>IF(EB290=0,0,EB36+(EB290-EA290))</f>
        <v>0</v>
      </c>
    </row>
    <row r="335" spans="2:132" s="241" customFormat="1" ht="12" hidden="1" customHeight="1" outlineLevel="2">
      <c r="B335" s="324" t="s">
        <v>106</v>
      </c>
      <c r="C335" s="331"/>
      <c r="D335" s="331"/>
      <c r="E335" s="331"/>
      <c r="F335" s="331"/>
      <c r="G335" s="331"/>
      <c r="H335" s="331"/>
      <c r="I335" s="331"/>
      <c r="J335" s="332"/>
      <c r="K335" s="332"/>
      <c r="L335" s="332"/>
      <c r="M335" s="332"/>
      <c r="N335" s="331"/>
      <c r="O335" s="332"/>
      <c r="P335" s="332"/>
      <c r="Q335" s="332"/>
      <c r="R335" s="332"/>
      <c r="S335" s="331"/>
      <c r="T335" s="332">
        <f t="shared" ref="T335:W337" si="1306">T38+(T291-S291)</f>
        <v>6506</v>
      </c>
      <c r="U335" s="332">
        <f t="shared" si="1306"/>
        <v>909</v>
      </c>
      <c r="V335" s="332">
        <f t="shared" si="1306"/>
        <v>782</v>
      </c>
      <c r="W335" s="332">
        <f t="shared" si="1306"/>
        <v>9326</v>
      </c>
      <c r="X335" s="331">
        <f>SUM(T335:W335)</f>
        <v>17523</v>
      </c>
      <c r="Y335" s="332">
        <f t="shared" ref="Y335:AB337" si="1307">Y38+(Y291-X291)</f>
        <v>1331</v>
      </c>
      <c r="Z335" s="332">
        <f t="shared" si="1307"/>
        <v>2072</v>
      </c>
      <c r="AA335" s="332">
        <f t="shared" si="1307"/>
        <v>3730</v>
      </c>
      <c r="AB335" s="332">
        <f t="shared" si="1307"/>
        <v>4521</v>
      </c>
      <c r="AC335" s="331">
        <f>SUM(Y335:AB335)</f>
        <v>11654</v>
      </c>
      <c r="AD335" s="332">
        <f t="shared" ref="AD335:AG337" si="1308">AD38+(AD291-AC291)</f>
        <v>3314</v>
      </c>
      <c r="AE335" s="332">
        <f t="shared" si="1308"/>
        <v>4019</v>
      </c>
      <c r="AF335" s="332">
        <f t="shared" si="1308"/>
        <v>3905</v>
      </c>
      <c r="AG335" s="332">
        <f t="shared" si="1308"/>
        <v>5070</v>
      </c>
      <c r="AH335" s="331">
        <f>SUM(AD335:AG335)</f>
        <v>16308</v>
      </c>
      <c r="AI335" s="332">
        <f t="shared" ref="AI335:AK337" si="1309">AI38+(AI291-AH291)</f>
        <v>5312</v>
      </c>
      <c r="AJ335" s="332">
        <f t="shared" si="1309"/>
        <v>3363</v>
      </c>
      <c r="AK335" s="332">
        <f t="shared" si="1309"/>
        <v>1906</v>
      </c>
      <c r="AL335" s="332">
        <f>IF(AL291=0,0,AL38+(AL291-AK291))</f>
        <v>3932</v>
      </c>
      <c r="AM335" s="331">
        <f>SUM(AI335:AL335)</f>
        <v>14513</v>
      </c>
      <c r="AN335" s="361">
        <f>AN38+(AN291-AM291)</f>
        <v>4430</v>
      </c>
      <c r="AO335" s="361">
        <f t="shared" ref="AO335:AQ337" si="1310">IF(AO291=0,0,AO38+(AO291-AN291))</f>
        <v>2680</v>
      </c>
      <c r="AP335" s="361">
        <f t="shared" si="1310"/>
        <v>2873</v>
      </c>
      <c r="AQ335" s="332">
        <f t="shared" si="1310"/>
        <v>3044</v>
      </c>
      <c r="AR335" s="331">
        <f>SUM(AN335:AQ335)</f>
        <v>13027</v>
      </c>
      <c r="AS335" s="361">
        <f t="shared" ref="AS335:AV337" si="1311">IF(AS291=0,0,AS38+(AS291-AR291))</f>
        <v>4792</v>
      </c>
      <c r="AT335" s="361">
        <f t="shared" si="1311"/>
        <v>2842</v>
      </c>
      <c r="AU335" s="361">
        <f t="shared" si="1311"/>
        <v>2464</v>
      </c>
      <c r="AV335" s="332">
        <f t="shared" si="1311"/>
        <v>3849</v>
      </c>
      <c r="AW335" s="331">
        <f>SUM(AS335:AV335)</f>
        <v>13947</v>
      </c>
      <c r="AX335" s="361">
        <f t="shared" ref="AX335:BA337" si="1312">IF(AX291=0,0,AX38+(AX291-AW291))</f>
        <v>9208</v>
      </c>
      <c r="AY335" s="361">
        <f t="shared" si="1312"/>
        <v>4830</v>
      </c>
      <c r="AZ335" s="361">
        <f t="shared" si="1312"/>
        <v>2589</v>
      </c>
      <c r="BA335" s="332">
        <f t="shared" si="1312"/>
        <v>5357</v>
      </c>
      <c r="BB335" s="362">
        <f>IF(BB291=0,0,BB38+(BB291-AW291))</f>
        <v>21984</v>
      </c>
      <c r="BC335" s="361">
        <f t="shared" ref="BC335:BF337" si="1313">IF(BC291=0,0,BC38+(BC291-BB291))</f>
        <v>1009</v>
      </c>
      <c r="BD335" s="361">
        <f t="shared" si="1313"/>
        <v>3789</v>
      </c>
      <c r="BE335" s="361">
        <f t="shared" si="1313"/>
        <v>3443</v>
      </c>
      <c r="BF335" s="332">
        <f t="shared" si="1313"/>
        <v>2795</v>
      </c>
      <c r="BG335" s="362">
        <f>IF(BG291=0,0,BG38+(BG291-BB291))</f>
        <v>11036</v>
      </c>
      <c r="BH335" s="667">
        <f t="shared" ref="BH335:BK337" si="1314">IF(BH291=0,0,BH38+(BH291-BG291))</f>
        <v>1858</v>
      </c>
      <c r="BI335" s="361">
        <f t="shared" si="1314"/>
        <v>4123</v>
      </c>
      <c r="BJ335" s="667">
        <f t="shared" si="1314"/>
        <v>937</v>
      </c>
      <c r="BK335" s="650">
        <f t="shared" si="1314"/>
        <v>2893</v>
      </c>
      <c r="BL335" s="362">
        <f>IF(BL291=0,0,BL38+(BL291-BG291))</f>
        <v>9811</v>
      </c>
      <c r="BM335" s="667">
        <f t="shared" ref="BM335:BP337" si="1315">IF(BM291=0,0,BM38+(BM291-BL291))</f>
        <v>2944</v>
      </c>
      <c r="BN335" s="650">
        <f t="shared" si="1315"/>
        <v>4988</v>
      </c>
      <c r="BO335" s="667">
        <f t="shared" si="1315"/>
        <v>2451</v>
      </c>
      <c r="BP335" s="650">
        <f t="shared" si="1315"/>
        <v>1999</v>
      </c>
      <c r="BQ335" s="668">
        <f>IF(BQ291=0,0,BQ38+(BQ291-BL291))</f>
        <v>12382</v>
      </c>
      <c r="BR335" s="667">
        <f t="shared" ref="BR335:BU337" si="1316">IF(BR291=0,0,BR38+(BR291-BQ291))</f>
        <v>5759</v>
      </c>
      <c r="BS335" s="650">
        <f t="shared" si="1316"/>
        <v>3479</v>
      </c>
      <c r="BT335" s="667">
        <f t="shared" si="1316"/>
        <v>1460</v>
      </c>
      <c r="BU335" s="650">
        <f t="shared" si="1316"/>
        <v>3217</v>
      </c>
      <c r="BV335" s="668">
        <f>IF(BV291=0,0,BV38+(BV291-BQ291))</f>
        <v>13915</v>
      </c>
      <c r="BW335" s="667">
        <f t="shared" ref="BW335:BX337" si="1317">IF(BW291=0,0,BW38+(BW291-BV291))</f>
        <v>4636</v>
      </c>
      <c r="BX335" s="650">
        <f t="shared" si="1317"/>
        <v>1904</v>
      </c>
      <c r="BY335" s="667"/>
      <c r="BZ335" s="650"/>
      <c r="CA335" s="668"/>
      <c r="CB335" s="667"/>
      <c r="CC335" s="650"/>
      <c r="CD335" s="667"/>
      <c r="CE335" s="650"/>
      <c r="CF335" s="668"/>
      <c r="CG335" s="667"/>
      <c r="CH335" s="667"/>
      <c r="CI335" s="667"/>
      <c r="CJ335" s="667"/>
      <c r="CK335" s="668"/>
      <c r="CL335" s="667"/>
      <c r="CM335" s="667"/>
      <c r="CN335" s="667"/>
      <c r="CO335" s="667"/>
      <c r="CP335" s="668"/>
      <c r="CQ335" s="667"/>
      <c r="CR335" s="667"/>
      <c r="CS335" s="667"/>
      <c r="CT335" s="667"/>
      <c r="CU335" s="668"/>
      <c r="CV335" s="667"/>
      <c r="CW335" s="667"/>
      <c r="CX335" s="667"/>
      <c r="CY335" s="667"/>
      <c r="CZ335" s="668"/>
      <c r="DA335" s="667"/>
      <c r="DB335" s="667"/>
      <c r="DC335" s="667"/>
      <c r="DD335" s="667"/>
      <c r="DE335" s="668"/>
      <c r="DF335" s="667"/>
      <c r="DG335" s="667"/>
      <c r="DH335" s="667"/>
      <c r="DI335" s="667"/>
      <c r="DJ335" s="668"/>
      <c r="DK335" s="667"/>
      <c r="DL335" s="667"/>
      <c r="DM335" s="667"/>
      <c r="DN335" s="667"/>
      <c r="DO335" s="668"/>
      <c r="DP335" s="667"/>
      <c r="DQ335" s="667"/>
      <c r="DR335" s="667"/>
      <c r="DS335" s="667"/>
      <c r="DT335" s="668"/>
      <c r="DU335" s="667"/>
      <c r="DV335" s="667"/>
      <c r="DW335" s="667"/>
      <c r="DX335" s="667"/>
      <c r="DY335" s="668"/>
      <c r="DZ335" s="668"/>
      <c r="EA335" s="668"/>
      <c r="EB335" s="668"/>
    </row>
    <row r="336" spans="2:132" s="241" customFormat="1" ht="12" hidden="1" customHeight="1" outlineLevel="2">
      <c r="B336" s="311" t="s">
        <v>107</v>
      </c>
      <c r="C336" s="314"/>
      <c r="D336" s="314"/>
      <c r="E336" s="314"/>
      <c r="F336" s="314"/>
      <c r="G336" s="314"/>
      <c r="H336" s="314"/>
      <c r="I336" s="314"/>
      <c r="J336" s="315"/>
      <c r="K336" s="315"/>
      <c r="L336" s="315"/>
      <c r="M336" s="315"/>
      <c r="N336" s="314"/>
      <c r="O336" s="315"/>
      <c r="P336" s="315"/>
      <c r="Q336" s="315"/>
      <c r="R336" s="315"/>
      <c r="S336" s="314"/>
      <c r="T336" s="315">
        <f t="shared" si="1306"/>
        <v>5230</v>
      </c>
      <c r="U336" s="315">
        <f t="shared" si="1306"/>
        <v>1941</v>
      </c>
      <c r="V336" s="315">
        <f t="shared" si="1306"/>
        <v>2856</v>
      </c>
      <c r="W336" s="315">
        <f t="shared" si="1306"/>
        <v>3630</v>
      </c>
      <c r="X336" s="314">
        <f>SUM(T336:W336)</f>
        <v>13657</v>
      </c>
      <c r="Y336" s="315">
        <f t="shared" si="1307"/>
        <v>3786</v>
      </c>
      <c r="Z336" s="315">
        <f t="shared" si="1307"/>
        <v>3160</v>
      </c>
      <c r="AA336" s="315">
        <f t="shared" si="1307"/>
        <v>903</v>
      </c>
      <c r="AB336" s="315">
        <f t="shared" si="1307"/>
        <v>5013</v>
      </c>
      <c r="AC336" s="314">
        <f>SUM(Y336:AB336)</f>
        <v>12862</v>
      </c>
      <c r="AD336" s="315">
        <f t="shared" si="1308"/>
        <v>4048</v>
      </c>
      <c r="AE336" s="315">
        <f t="shared" si="1308"/>
        <v>3307</v>
      </c>
      <c r="AF336" s="315">
        <f t="shared" si="1308"/>
        <v>-390</v>
      </c>
      <c r="AG336" s="315">
        <f t="shared" si="1308"/>
        <v>4083</v>
      </c>
      <c r="AH336" s="314">
        <f>SUM(AD336:AG336)</f>
        <v>11048</v>
      </c>
      <c r="AI336" s="315">
        <f t="shared" si="1309"/>
        <v>2721</v>
      </c>
      <c r="AJ336" s="315">
        <f t="shared" si="1309"/>
        <v>2153</v>
      </c>
      <c r="AK336" s="315">
        <f t="shared" si="1309"/>
        <v>2518</v>
      </c>
      <c r="AL336" s="315">
        <f>IF(AL292=0,0,AL39+(AL292-AK292))</f>
        <v>2367</v>
      </c>
      <c r="AM336" s="314">
        <f>SUM(AI336:AL336)</f>
        <v>9759</v>
      </c>
      <c r="AN336" s="360">
        <f>AN39+(AN292-AM292)</f>
        <v>3077</v>
      </c>
      <c r="AO336" s="360">
        <f t="shared" si="1310"/>
        <v>1354</v>
      </c>
      <c r="AP336" s="360">
        <f t="shared" si="1310"/>
        <v>3139</v>
      </c>
      <c r="AQ336" s="315">
        <f t="shared" si="1310"/>
        <v>3739</v>
      </c>
      <c r="AR336" s="314">
        <f>SUM(AN336:AQ336)</f>
        <v>11309</v>
      </c>
      <c r="AS336" s="360">
        <f t="shared" si="1311"/>
        <v>2149</v>
      </c>
      <c r="AT336" s="360">
        <f t="shared" si="1311"/>
        <v>2081</v>
      </c>
      <c r="AU336" s="360">
        <f t="shared" si="1311"/>
        <v>2376</v>
      </c>
      <c r="AV336" s="315">
        <f t="shared" si="1311"/>
        <v>1567</v>
      </c>
      <c r="AW336" s="314">
        <f>SUM(AS336:AV336)</f>
        <v>8173</v>
      </c>
      <c r="AX336" s="360">
        <f t="shared" si="1312"/>
        <v>2795</v>
      </c>
      <c r="AY336" s="360">
        <f t="shared" si="1312"/>
        <v>1687</v>
      </c>
      <c r="AZ336" s="360">
        <f t="shared" si="1312"/>
        <v>1790</v>
      </c>
      <c r="BA336" s="315">
        <f t="shared" si="1312"/>
        <v>1912</v>
      </c>
      <c r="BB336" s="359">
        <f>IF(BB292=0,0,BB39+(BB292-AW292))</f>
        <v>8184</v>
      </c>
      <c r="BC336" s="360">
        <f t="shared" si="1313"/>
        <v>1860</v>
      </c>
      <c r="BD336" s="360">
        <f t="shared" si="1313"/>
        <v>2649</v>
      </c>
      <c r="BE336" s="360">
        <f t="shared" si="1313"/>
        <v>1931</v>
      </c>
      <c r="BF336" s="315">
        <f t="shared" si="1313"/>
        <v>2172</v>
      </c>
      <c r="BG336" s="359">
        <f>IF(BG292=0,0,BG39+(BG292-BB292))</f>
        <v>8612</v>
      </c>
      <c r="BH336" s="665">
        <f t="shared" si="1314"/>
        <v>1476</v>
      </c>
      <c r="BI336" s="360">
        <f t="shared" si="1314"/>
        <v>2120</v>
      </c>
      <c r="BJ336" s="665">
        <f t="shared" si="1314"/>
        <v>1227</v>
      </c>
      <c r="BK336" s="620">
        <f t="shared" si="1314"/>
        <v>2280</v>
      </c>
      <c r="BL336" s="359">
        <f>IF(BL292=0,0,BL39+(BL292-BG292))</f>
        <v>7103</v>
      </c>
      <c r="BM336" s="665">
        <f t="shared" si="1315"/>
        <v>2232</v>
      </c>
      <c r="BN336" s="620">
        <f t="shared" si="1315"/>
        <v>1638</v>
      </c>
      <c r="BO336" s="665">
        <f t="shared" si="1315"/>
        <v>1327</v>
      </c>
      <c r="BP336" s="620">
        <f t="shared" si="1315"/>
        <v>1054</v>
      </c>
      <c r="BQ336" s="666">
        <f>IF(BQ292=0,0,BQ39+(BQ292-BL292))</f>
        <v>6251</v>
      </c>
      <c r="BR336" s="665">
        <f t="shared" si="1316"/>
        <v>2335</v>
      </c>
      <c r="BS336" s="620">
        <f t="shared" si="1316"/>
        <v>710</v>
      </c>
      <c r="BT336" s="665">
        <f t="shared" si="1316"/>
        <v>1301</v>
      </c>
      <c r="BU336" s="620">
        <f t="shared" si="1316"/>
        <v>400</v>
      </c>
      <c r="BV336" s="666">
        <f>IF(BV292=0,0,BV39+(BV292-BQ292))</f>
        <v>4746</v>
      </c>
      <c r="BW336" s="665">
        <f t="shared" si="1317"/>
        <v>2464</v>
      </c>
      <c r="BX336" s="620">
        <f t="shared" si="1317"/>
        <v>174</v>
      </c>
      <c r="BY336" s="665"/>
      <c r="BZ336" s="620"/>
      <c r="CA336" s="666"/>
      <c r="CB336" s="665"/>
      <c r="CC336" s="620"/>
      <c r="CD336" s="665"/>
      <c r="CE336" s="620"/>
      <c r="CF336" s="666"/>
      <c r="CG336" s="665"/>
      <c r="CH336" s="665"/>
      <c r="CI336" s="665"/>
      <c r="CJ336" s="665"/>
      <c r="CK336" s="666"/>
      <c r="CL336" s="665"/>
      <c r="CM336" s="665"/>
      <c r="CN336" s="665"/>
      <c r="CO336" s="665"/>
      <c r="CP336" s="666"/>
      <c r="CQ336" s="665"/>
      <c r="CR336" s="665"/>
      <c r="CS336" s="665"/>
      <c r="CT336" s="665"/>
      <c r="CU336" s="666"/>
      <c r="CV336" s="665"/>
      <c r="CW336" s="665"/>
      <c r="CX336" s="665"/>
      <c r="CY336" s="665"/>
      <c r="CZ336" s="666"/>
      <c r="DA336" s="665"/>
      <c r="DB336" s="665"/>
      <c r="DC336" s="665"/>
      <c r="DD336" s="665"/>
      <c r="DE336" s="666"/>
      <c r="DF336" s="665"/>
      <c r="DG336" s="665"/>
      <c r="DH336" s="665"/>
      <c r="DI336" s="665"/>
      <c r="DJ336" s="666"/>
      <c r="DK336" s="665"/>
      <c r="DL336" s="665"/>
      <c r="DM336" s="665"/>
      <c r="DN336" s="665"/>
      <c r="DO336" s="666"/>
      <c r="DP336" s="665"/>
      <c r="DQ336" s="665"/>
      <c r="DR336" s="665"/>
      <c r="DS336" s="665"/>
      <c r="DT336" s="666"/>
      <c r="DU336" s="665"/>
      <c r="DV336" s="665"/>
      <c r="DW336" s="665"/>
      <c r="DX336" s="665"/>
      <c r="DY336" s="666"/>
      <c r="DZ336" s="666"/>
      <c r="EA336" s="666"/>
      <c r="EB336" s="666"/>
    </row>
    <row r="337" spans="2:132" s="241" customFormat="1" ht="12" hidden="1" customHeight="1" outlineLevel="2">
      <c r="B337" s="312" t="s">
        <v>108</v>
      </c>
      <c r="C337" s="314"/>
      <c r="D337" s="314"/>
      <c r="E337" s="314"/>
      <c r="F337" s="314"/>
      <c r="G337" s="314"/>
      <c r="H337" s="314"/>
      <c r="I337" s="314"/>
      <c r="J337" s="315"/>
      <c r="K337" s="315"/>
      <c r="L337" s="315"/>
      <c r="M337" s="315"/>
      <c r="N337" s="314"/>
      <c r="O337" s="315"/>
      <c r="P337" s="315"/>
      <c r="Q337" s="315"/>
      <c r="R337" s="315"/>
      <c r="S337" s="314"/>
      <c r="T337" s="315">
        <f t="shared" si="1306"/>
        <v>1196</v>
      </c>
      <c r="U337" s="315">
        <f t="shared" si="1306"/>
        <v>1456</v>
      </c>
      <c r="V337" s="315">
        <f t="shared" si="1306"/>
        <v>1490</v>
      </c>
      <c r="W337" s="315">
        <f t="shared" si="1306"/>
        <v>2903</v>
      </c>
      <c r="X337" s="314">
        <f>SUM(T337:W337)</f>
        <v>7045</v>
      </c>
      <c r="Y337" s="315">
        <f t="shared" si="1307"/>
        <v>2084</v>
      </c>
      <c r="Z337" s="315">
        <f t="shared" si="1307"/>
        <v>1464</v>
      </c>
      <c r="AA337" s="315">
        <f t="shared" si="1307"/>
        <v>1419</v>
      </c>
      <c r="AB337" s="315">
        <f t="shared" si="1307"/>
        <v>2094</v>
      </c>
      <c r="AC337" s="314">
        <f>SUM(Y337:AB337)</f>
        <v>7061</v>
      </c>
      <c r="AD337" s="315">
        <f t="shared" si="1308"/>
        <v>2856</v>
      </c>
      <c r="AE337" s="315">
        <f t="shared" si="1308"/>
        <v>1739</v>
      </c>
      <c r="AF337" s="315">
        <f t="shared" si="1308"/>
        <v>820</v>
      </c>
      <c r="AG337" s="360">
        <f t="shared" si="1308"/>
        <v>2783</v>
      </c>
      <c r="AH337" s="314">
        <f>SUM(AD337:AG337)</f>
        <v>8198</v>
      </c>
      <c r="AI337" s="315">
        <f t="shared" si="1309"/>
        <v>3097</v>
      </c>
      <c r="AJ337" s="315">
        <f t="shared" si="1309"/>
        <v>2269</v>
      </c>
      <c r="AK337" s="315">
        <f t="shared" si="1309"/>
        <v>1510</v>
      </c>
      <c r="AL337" s="315">
        <f>IF(AL293=0,0,AL40+(AL293-AK293))</f>
        <v>3252</v>
      </c>
      <c r="AM337" s="314">
        <f>SUM(AI337:AL337)</f>
        <v>10128</v>
      </c>
      <c r="AN337" s="360">
        <f>AN40+(AN293-AM293)</f>
        <v>2582</v>
      </c>
      <c r="AO337" s="360">
        <f t="shared" si="1310"/>
        <v>1449</v>
      </c>
      <c r="AP337" s="360">
        <f t="shared" si="1310"/>
        <v>2465</v>
      </c>
      <c r="AQ337" s="315">
        <f t="shared" si="1310"/>
        <v>3487</v>
      </c>
      <c r="AR337" s="314">
        <f>SUM(AN337:AQ337)</f>
        <v>9983</v>
      </c>
      <c r="AS337" s="360">
        <f t="shared" si="1311"/>
        <v>2076</v>
      </c>
      <c r="AT337" s="360">
        <f t="shared" si="1311"/>
        <v>1065</v>
      </c>
      <c r="AU337" s="360">
        <f t="shared" si="1311"/>
        <v>1860</v>
      </c>
      <c r="AV337" s="315">
        <f t="shared" si="1311"/>
        <v>2855</v>
      </c>
      <c r="AW337" s="314">
        <f>SUM(AS337:AV337)</f>
        <v>7856</v>
      </c>
      <c r="AX337" s="360">
        <f t="shared" si="1312"/>
        <v>3130</v>
      </c>
      <c r="AY337" s="360">
        <f t="shared" si="1312"/>
        <v>2575</v>
      </c>
      <c r="AZ337" s="360">
        <f t="shared" si="1312"/>
        <v>1560</v>
      </c>
      <c r="BA337" s="315">
        <f t="shared" si="1312"/>
        <v>3874</v>
      </c>
      <c r="BB337" s="359">
        <f>IF(BB293=0,0,BB40+(BB293-AW293))</f>
        <v>11139</v>
      </c>
      <c r="BC337" s="360">
        <f t="shared" si="1313"/>
        <v>1741</v>
      </c>
      <c r="BD337" s="360">
        <f t="shared" si="1313"/>
        <v>1648</v>
      </c>
      <c r="BE337" s="360">
        <f t="shared" si="1313"/>
        <v>2072</v>
      </c>
      <c r="BF337" s="315">
        <f t="shared" si="1313"/>
        <v>2588</v>
      </c>
      <c r="BG337" s="359">
        <f>IF(BG293=0,0,BG40+(BG293-BB293))</f>
        <v>8049</v>
      </c>
      <c r="BH337" s="665">
        <f t="shared" si="1314"/>
        <v>3399</v>
      </c>
      <c r="BI337" s="360">
        <f t="shared" si="1314"/>
        <v>2504</v>
      </c>
      <c r="BJ337" s="665">
        <f t="shared" si="1314"/>
        <v>1549</v>
      </c>
      <c r="BK337" s="620">
        <f t="shared" si="1314"/>
        <v>3815</v>
      </c>
      <c r="BL337" s="359">
        <f>IF(BL293=0,0,BL40+(BL293-BG293))</f>
        <v>11267</v>
      </c>
      <c r="BM337" s="665">
        <f t="shared" si="1315"/>
        <v>2233</v>
      </c>
      <c r="BN337" s="620">
        <f t="shared" si="1315"/>
        <v>1718</v>
      </c>
      <c r="BO337" s="665">
        <f t="shared" si="1315"/>
        <v>2372</v>
      </c>
      <c r="BP337" s="620">
        <f t="shared" si="1315"/>
        <v>3732</v>
      </c>
      <c r="BQ337" s="666">
        <f>IF(BQ293=0,0,BQ40+(BQ293-BL293))</f>
        <v>10055</v>
      </c>
      <c r="BR337" s="665">
        <f t="shared" si="1316"/>
        <v>1862</v>
      </c>
      <c r="BS337" s="620">
        <f t="shared" si="1316"/>
        <v>2185</v>
      </c>
      <c r="BT337" s="665">
        <f t="shared" si="1316"/>
        <v>-1553</v>
      </c>
      <c r="BU337" s="620">
        <f t="shared" si="1316"/>
        <v>5243</v>
      </c>
      <c r="BV337" s="666">
        <f>IF(BV293=0,0,BV40+(BV293-BQ293))</f>
        <v>7737</v>
      </c>
      <c r="BW337" s="665">
        <f t="shared" si="1317"/>
        <v>3732</v>
      </c>
      <c r="BX337" s="620">
        <f t="shared" si="1317"/>
        <v>2608</v>
      </c>
      <c r="BY337" s="665"/>
      <c r="BZ337" s="620"/>
      <c r="CA337" s="666"/>
      <c r="CB337" s="665"/>
      <c r="CC337" s="620"/>
      <c r="CD337" s="665"/>
      <c r="CE337" s="620"/>
      <c r="CF337" s="666"/>
      <c r="CG337" s="665"/>
      <c r="CH337" s="665"/>
      <c r="CI337" s="665"/>
      <c r="CJ337" s="665"/>
      <c r="CK337" s="666"/>
      <c r="CL337" s="665"/>
      <c r="CM337" s="665"/>
      <c r="CN337" s="665"/>
      <c r="CO337" s="665"/>
      <c r="CP337" s="666"/>
      <c r="CQ337" s="665"/>
      <c r="CR337" s="665"/>
      <c r="CS337" s="665"/>
      <c r="CT337" s="665"/>
      <c r="CU337" s="666"/>
      <c r="CV337" s="665"/>
      <c r="CW337" s="665"/>
      <c r="CX337" s="665"/>
      <c r="CY337" s="665"/>
      <c r="CZ337" s="666"/>
      <c r="DA337" s="665"/>
      <c r="DB337" s="665"/>
      <c r="DC337" s="665"/>
      <c r="DD337" s="665"/>
      <c r="DE337" s="666"/>
      <c r="DF337" s="665"/>
      <c r="DG337" s="665"/>
      <c r="DH337" s="665"/>
      <c r="DI337" s="665"/>
      <c r="DJ337" s="666"/>
      <c r="DK337" s="665"/>
      <c r="DL337" s="665"/>
      <c r="DM337" s="665"/>
      <c r="DN337" s="665"/>
      <c r="DO337" s="666"/>
      <c r="DP337" s="665"/>
      <c r="DQ337" s="665"/>
      <c r="DR337" s="665"/>
      <c r="DS337" s="665"/>
      <c r="DT337" s="666"/>
      <c r="DU337" s="665"/>
      <c r="DV337" s="665"/>
      <c r="DW337" s="665"/>
      <c r="DX337" s="665"/>
      <c r="DY337" s="666"/>
      <c r="DZ337" s="666"/>
      <c r="EA337" s="666"/>
      <c r="EB337" s="666"/>
    </row>
    <row r="338" spans="2:132" s="241" customFormat="1" ht="12" hidden="1" customHeight="1" outlineLevel="2">
      <c r="B338" s="330" t="s">
        <v>130</v>
      </c>
      <c r="C338" s="331"/>
      <c r="D338" s="331"/>
      <c r="E338" s="331"/>
      <c r="F338" s="331"/>
      <c r="G338" s="331"/>
      <c r="H338" s="331"/>
      <c r="I338" s="331"/>
      <c r="J338" s="332">
        <f t="shared" ref="J338:M341" si="1318">J41+(J294-I294)</f>
        <v>3854</v>
      </c>
      <c r="K338" s="332">
        <f t="shared" si="1318"/>
        <v>2142</v>
      </c>
      <c r="L338" s="332">
        <f t="shared" si="1318"/>
        <v>1108</v>
      </c>
      <c r="M338" s="332">
        <f t="shared" si="1318"/>
        <v>3194</v>
      </c>
      <c r="N338" s="331">
        <f>SUM(J338:M338)</f>
        <v>10298</v>
      </c>
      <c r="O338" s="332">
        <f t="shared" ref="O338:R341" si="1319">O41+(O294-N294)</f>
        <v>6664</v>
      </c>
      <c r="P338" s="332">
        <f t="shared" si="1319"/>
        <v>1460</v>
      </c>
      <c r="Q338" s="332">
        <f t="shared" si="1319"/>
        <v>637</v>
      </c>
      <c r="R338" s="332">
        <f t="shared" si="1319"/>
        <v>3588</v>
      </c>
      <c r="S338" s="331">
        <f>SUM(O338:R338)</f>
        <v>12349</v>
      </c>
      <c r="T338" s="332"/>
      <c r="U338" s="332"/>
      <c r="V338" s="332"/>
      <c r="W338" s="332"/>
      <c r="X338" s="331"/>
      <c r="Y338" s="332"/>
      <c r="Z338" s="332"/>
      <c r="AA338" s="332"/>
      <c r="AB338" s="332"/>
      <c r="AC338" s="331"/>
      <c r="AD338" s="332"/>
      <c r="AE338" s="332"/>
      <c r="AF338" s="332"/>
      <c r="AG338" s="332"/>
      <c r="AH338" s="331"/>
      <c r="AI338" s="332"/>
      <c r="AJ338" s="332"/>
      <c r="AK338" s="332"/>
      <c r="AL338" s="332"/>
      <c r="AM338" s="331"/>
      <c r="AN338" s="361"/>
      <c r="AO338" s="361"/>
      <c r="AP338" s="361"/>
      <c r="AQ338" s="332"/>
      <c r="AR338" s="362"/>
      <c r="AS338" s="361"/>
      <c r="AT338" s="361"/>
      <c r="AU338" s="361"/>
      <c r="AV338" s="332"/>
      <c r="AW338" s="362"/>
      <c r="AX338" s="361"/>
      <c r="AY338" s="361"/>
      <c r="AZ338" s="361"/>
      <c r="BA338" s="332"/>
      <c r="BB338" s="362"/>
      <c r="BC338" s="361"/>
      <c r="BD338" s="332"/>
      <c r="BE338" s="361"/>
      <c r="BF338" s="332"/>
      <c r="BG338" s="362"/>
      <c r="BH338" s="667"/>
      <c r="BI338" s="332"/>
      <c r="BJ338" s="667"/>
      <c r="BK338" s="650"/>
      <c r="BL338" s="362"/>
      <c r="BM338" s="667"/>
      <c r="BN338" s="650"/>
      <c r="BO338" s="667"/>
      <c r="BP338" s="650"/>
      <c r="BQ338" s="668"/>
      <c r="BR338" s="667"/>
      <c r="BS338" s="650"/>
      <c r="BT338" s="667"/>
      <c r="BU338" s="650"/>
      <c r="BV338" s="668"/>
      <c r="BW338" s="667"/>
      <c r="BX338" s="650"/>
      <c r="BY338" s="667"/>
      <c r="BZ338" s="650"/>
      <c r="CA338" s="668"/>
      <c r="CB338" s="667"/>
      <c r="CC338" s="650"/>
      <c r="CD338" s="667"/>
      <c r="CE338" s="650"/>
      <c r="CF338" s="668"/>
      <c r="CG338" s="667"/>
      <c r="CH338" s="667"/>
      <c r="CI338" s="667"/>
      <c r="CJ338" s="667"/>
      <c r="CK338" s="668"/>
      <c r="CL338" s="667"/>
      <c r="CM338" s="667"/>
      <c r="CN338" s="667"/>
      <c r="CO338" s="667"/>
      <c r="CP338" s="668"/>
      <c r="CQ338" s="667"/>
      <c r="CR338" s="667"/>
      <c r="CS338" s="667"/>
      <c r="CT338" s="667"/>
      <c r="CU338" s="668"/>
      <c r="CV338" s="667"/>
      <c r="CW338" s="667"/>
      <c r="CX338" s="667"/>
      <c r="CY338" s="667"/>
      <c r="CZ338" s="668"/>
      <c r="DA338" s="667"/>
      <c r="DB338" s="667"/>
      <c r="DC338" s="667"/>
      <c r="DD338" s="667"/>
      <c r="DE338" s="668"/>
      <c r="DF338" s="667"/>
      <c r="DG338" s="667"/>
      <c r="DH338" s="667"/>
      <c r="DI338" s="667"/>
      <c r="DJ338" s="668"/>
      <c r="DK338" s="667"/>
      <c r="DL338" s="667"/>
      <c r="DM338" s="667"/>
      <c r="DN338" s="667"/>
      <c r="DO338" s="668"/>
      <c r="DP338" s="667"/>
      <c r="DQ338" s="667"/>
      <c r="DR338" s="667"/>
      <c r="DS338" s="667"/>
      <c r="DT338" s="668"/>
      <c r="DU338" s="667"/>
      <c r="DV338" s="667"/>
      <c r="DW338" s="667"/>
      <c r="DX338" s="667"/>
      <c r="DY338" s="668"/>
      <c r="DZ338" s="668"/>
      <c r="EA338" s="668"/>
      <c r="EB338" s="668"/>
    </row>
    <row r="339" spans="2:132" s="241" customFormat="1" ht="12" hidden="1" customHeight="1" outlineLevel="2">
      <c r="B339" s="335" t="s">
        <v>131</v>
      </c>
      <c r="C339" s="314"/>
      <c r="D339" s="314"/>
      <c r="E339" s="314"/>
      <c r="F339" s="314"/>
      <c r="G339" s="314"/>
      <c r="H339" s="314"/>
      <c r="I339" s="314"/>
      <c r="J339" s="315">
        <f t="shared" si="1318"/>
        <v>2171</v>
      </c>
      <c r="K339" s="315">
        <f t="shared" si="1318"/>
        <v>3586</v>
      </c>
      <c r="L339" s="315">
        <f t="shared" si="1318"/>
        <v>851</v>
      </c>
      <c r="M339" s="315">
        <f t="shared" si="1318"/>
        <v>3299</v>
      </c>
      <c r="N339" s="314">
        <f>SUM(J339:M339)</f>
        <v>9907</v>
      </c>
      <c r="O339" s="315">
        <f t="shared" si="1319"/>
        <v>3237</v>
      </c>
      <c r="P339" s="315">
        <f t="shared" si="1319"/>
        <v>1669</v>
      </c>
      <c r="Q339" s="315">
        <f t="shared" si="1319"/>
        <v>320</v>
      </c>
      <c r="R339" s="315">
        <f t="shared" si="1319"/>
        <v>2076</v>
      </c>
      <c r="S339" s="314">
        <f>SUM(O339:R339)</f>
        <v>7302</v>
      </c>
      <c r="T339" s="315"/>
      <c r="U339" s="315"/>
      <c r="V339" s="315"/>
      <c r="W339" s="315"/>
      <c r="X339" s="314"/>
      <c r="Y339" s="315"/>
      <c r="Z339" s="315"/>
      <c r="AA339" s="315"/>
      <c r="AB339" s="315"/>
      <c r="AC339" s="314"/>
      <c r="AD339" s="315"/>
      <c r="AE339" s="315"/>
      <c r="AF339" s="315"/>
      <c r="AG339" s="315"/>
      <c r="AH339" s="314"/>
      <c r="AI339" s="315"/>
      <c r="AJ339" s="315"/>
      <c r="AK339" s="315"/>
      <c r="AL339" s="315"/>
      <c r="AM339" s="314"/>
      <c r="AN339" s="360"/>
      <c r="AO339" s="360"/>
      <c r="AP339" s="360"/>
      <c r="AQ339" s="315"/>
      <c r="AR339" s="359"/>
      <c r="AS339" s="360"/>
      <c r="AT339" s="360"/>
      <c r="AU339" s="360"/>
      <c r="AV339" s="315"/>
      <c r="AW339" s="359"/>
      <c r="AX339" s="360"/>
      <c r="AY339" s="360"/>
      <c r="AZ339" s="360"/>
      <c r="BA339" s="315"/>
      <c r="BB339" s="359"/>
      <c r="BC339" s="360"/>
      <c r="BD339" s="315"/>
      <c r="BE339" s="360"/>
      <c r="BF339" s="315"/>
      <c r="BG339" s="359"/>
      <c r="BH339" s="665"/>
      <c r="BI339" s="315"/>
      <c r="BJ339" s="665"/>
      <c r="BK339" s="620"/>
      <c r="BL339" s="359"/>
      <c r="BM339" s="665"/>
      <c r="BN339" s="620"/>
      <c r="BO339" s="665"/>
      <c r="BP339" s="620"/>
      <c r="BQ339" s="666"/>
      <c r="BR339" s="665"/>
      <c r="BS339" s="620"/>
      <c r="BT339" s="665"/>
      <c r="BU339" s="620"/>
      <c r="BV339" s="666"/>
      <c r="BW339" s="665"/>
      <c r="BX339" s="620"/>
      <c r="BY339" s="665"/>
      <c r="BZ339" s="620"/>
      <c r="CA339" s="666"/>
      <c r="CB339" s="665"/>
      <c r="CC339" s="620"/>
      <c r="CD339" s="665"/>
      <c r="CE339" s="620"/>
      <c r="CF339" s="666"/>
      <c r="CG339" s="665"/>
      <c r="CH339" s="665"/>
      <c r="CI339" s="665"/>
      <c r="CJ339" s="665"/>
      <c r="CK339" s="666"/>
      <c r="CL339" s="665"/>
      <c r="CM339" s="665"/>
      <c r="CN339" s="665"/>
      <c r="CO339" s="665"/>
      <c r="CP339" s="666"/>
      <c r="CQ339" s="665"/>
      <c r="CR339" s="665"/>
      <c r="CS339" s="665"/>
      <c r="CT339" s="665"/>
      <c r="CU339" s="666"/>
      <c r="CV339" s="665"/>
      <c r="CW339" s="665"/>
      <c r="CX339" s="665"/>
      <c r="CY339" s="665"/>
      <c r="CZ339" s="666"/>
      <c r="DA339" s="665"/>
      <c r="DB339" s="665"/>
      <c r="DC339" s="665"/>
      <c r="DD339" s="665"/>
      <c r="DE339" s="666"/>
      <c r="DF339" s="665"/>
      <c r="DG339" s="665"/>
      <c r="DH339" s="665"/>
      <c r="DI339" s="665"/>
      <c r="DJ339" s="666"/>
      <c r="DK339" s="665"/>
      <c r="DL339" s="665"/>
      <c r="DM339" s="665"/>
      <c r="DN339" s="665"/>
      <c r="DO339" s="666"/>
      <c r="DP339" s="665"/>
      <c r="DQ339" s="665"/>
      <c r="DR339" s="665"/>
      <c r="DS339" s="665"/>
      <c r="DT339" s="666"/>
      <c r="DU339" s="665"/>
      <c r="DV339" s="665"/>
      <c r="DW339" s="665"/>
      <c r="DX339" s="665"/>
      <c r="DY339" s="666"/>
      <c r="DZ339" s="666"/>
      <c r="EA339" s="666"/>
      <c r="EB339" s="666"/>
    </row>
    <row r="340" spans="2:132" s="241" customFormat="1" ht="12" hidden="1" customHeight="1" outlineLevel="2">
      <c r="B340" s="335" t="s">
        <v>125</v>
      </c>
      <c r="C340" s="314"/>
      <c r="D340" s="314"/>
      <c r="E340" s="314"/>
      <c r="F340" s="314"/>
      <c r="G340" s="314"/>
      <c r="H340" s="314"/>
      <c r="I340" s="314"/>
      <c r="J340" s="315">
        <f t="shared" si="1318"/>
        <v>1681</v>
      </c>
      <c r="K340" s="315">
        <f t="shared" si="1318"/>
        <v>786</v>
      </c>
      <c r="L340" s="315">
        <f t="shared" si="1318"/>
        <v>649</v>
      </c>
      <c r="M340" s="315">
        <f t="shared" si="1318"/>
        <v>2177</v>
      </c>
      <c r="N340" s="314">
        <f>SUM(J340:M340)</f>
        <v>5293</v>
      </c>
      <c r="O340" s="315">
        <f t="shared" si="1319"/>
        <v>1391</v>
      </c>
      <c r="P340" s="315">
        <f t="shared" si="1319"/>
        <v>1302</v>
      </c>
      <c r="Q340" s="315">
        <f t="shared" si="1319"/>
        <v>571</v>
      </c>
      <c r="R340" s="315">
        <f t="shared" si="1319"/>
        <v>3939</v>
      </c>
      <c r="S340" s="314">
        <f>SUM(O340:R340)</f>
        <v>7203</v>
      </c>
      <c r="T340" s="315"/>
      <c r="U340" s="315"/>
      <c r="V340" s="315"/>
      <c r="W340" s="315"/>
      <c r="X340" s="314"/>
      <c r="Y340" s="315"/>
      <c r="Z340" s="315"/>
      <c r="AA340" s="315"/>
      <c r="AB340" s="315"/>
      <c r="AC340" s="314"/>
      <c r="AD340" s="315"/>
      <c r="AE340" s="315"/>
      <c r="AF340" s="315"/>
      <c r="AG340" s="315"/>
      <c r="AH340" s="314"/>
      <c r="AI340" s="315"/>
      <c r="AJ340" s="315"/>
      <c r="AK340" s="315"/>
      <c r="AL340" s="315"/>
      <c r="AM340" s="314"/>
      <c r="AN340" s="360"/>
      <c r="AO340" s="360"/>
      <c r="AP340" s="360"/>
      <c r="AQ340" s="315"/>
      <c r="AR340" s="359"/>
      <c r="AS340" s="360"/>
      <c r="AT340" s="360"/>
      <c r="AU340" s="360"/>
      <c r="AV340" s="315"/>
      <c r="AW340" s="359"/>
      <c r="AX340" s="360"/>
      <c r="AY340" s="360"/>
      <c r="AZ340" s="360"/>
      <c r="BA340" s="315"/>
      <c r="BB340" s="359"/>
      <c r="BC340" s="360"/>
      <c r="BD340" s="315"/>
      <c r="BE340" s="360"/>
      <c r="BF340" s="315"/>
      <c r="BG340" s="359"/>
      <c r="BH340" s="665"/>
      <c r="BI340" s="315"/>
      <c r="BJ340" s="665"/>
      <c r="BK340" s="620"/>
      <c r="BL340" s="359"/>
      <c r="BM340" s="665"/>
      <c r="BN340" s="620"/>
      <c r="BO340" s="665"/>
      <c r="BP340" s="620"/>
      <c r="BQ340" s="666"/>
      <c r="BR340" s="665"/>
      <c r="BS340" s="620"/>
      <c r="BT340" s="665"/>
      <c r="BU340" s="620"/>
      <c r="BV340" s="666"/>
      <c r="BW340" s="665"/>
      <c r="BX340" s="620"/>
      <c r="BY340" s="665"/>
      <c r="BZ340" s="620"/>
      <c r="CA340" s="666"/>
      <c r="CB340" s="665"/>
      <c r="CC340" s="620"/>
      <c r="CD340" s="665"/>
      <c r="CE340" s="620"/>
      <c r="CF340" s="666"/>
      <c r="CG340" s="665"/>
      <c r="CH340" s="665"/>
      <c r="CI340" s="665"/>
      <c r="CJ340" s="665"/>
      <c r="CK340" s="666"/>
      <c r="CL340" s="665"/>
      <c r="CM340" s="665"/>
      <c r="CN340" s="665"/>
      <c r="CO340" s="665"/>
      <c r="CP340" s="666"/>
      <c r="CQ340" s="665"/>
      <c r="CR340" s="665"/>
      <c r="CS340" s="665"/>
      <c r="CT340" s="665"/>
      <c r="CU340" s="666"/>
      <c r="CV340" s="665"/>
      <c r="CW340" s="665"/>
      <c r="CX340" s="665"/>
      <c r="CY340" s="665"/>
      <c r="CZ340" s="666"/>
      <c r="DA340" s="665"/>
      <c r="DB340" s="665"/>
      <c r="DC340" s="665"/>
      <c r="DD340" s="665"/>
      <c r="DE340" s="666"/>
      <c r="DF340" s="665"/>
      <c r="DG340" s="665"/>
      <c r="DH340" s="665"/>
      <c r="DI340" s="665"/>
      <c r="DJ340" s="666"/>
      <c r="DK340" s="665"/>
      <c r="DL340" s="665"/>
      <c r="DM340" s="665"/>
      <c r="DN340" s="665"/>
      <c r="DO340" s="666"/>
      <c r="DP340" s="665"/>
      <c r="DQ340" s="665"/>
      <c r="DR340" s="665"/>
      <c r="DS340" s="665"/>
      <c r="DT340" s="666"/>
      <c r="DU340" s="665"/>
      <c r="DV340" s="665"/>
      <c r="DW340" s="665"/>
      <c r="DX340" s="665"/>
      <c r="DY340" s="666"/>
      <c r="DZ340" s="666"/>
      <c r="EA340" s="666"/>
      <c r="EB340" s="666"/>
    </row>
    <row r="341" spans="2:132" s="241" customFormat="1" ht="12" hidden="1" customHeight="1" outlineLevel="2">
      <c r="B341" s="318" t="s">
        <v>132</v>
      </c>
      <c r="C341" s="321"/>
      <c r="D341" s="321"/>
      <c r="E341" s="321"/>
      <c r="F341" s="321"/>
      <c r="G341" s="321"/>
      <c r="H341" s="321"/>
      <c r="I341" s="321"/>
      <c r="J341" s="322">
        <f t="shared" si="1318"/>
        <v>407</v>
      </c>
      <c r="K341" s="322">
        <f t="shared" si="1318"/>
        <v>240</v>
      </c>
      <c r="L341" s="322">
        <f t="shared" si="1318"/>
        <v>1948</v>
      </c>
      <c r="M341" s="322">
        <f t="shared" si="1318"/>
        <v>640</v>
      </c>
      <c r="N341" s="321">
        <f>SUM(J341:M341)</f>
        <v>3235</v>
      </c>
      <c r="O341" s="322">
        <f t="shared" si="1319"/>
        <v>941</v>
      </c>
      <c r="P341" s="322">
        <f t="shared" si="1319"/>
        <v>414</v>
      </c>
      <c r="Q341" s="322">
        <f t="shared" si="1319"/>
        <v>275</v>
      </c>
      <c r="R341" s="322">
        <f t="shared" si="1319"/>
        <v>-503</v>
      </c>
      <c r="S341" s="321">
        <f>SUM(O341:R341)</f>
        <v>1127</v>
      </c>
      <c r="T341" s="322"/>
      <c r="U341" s="322"/>
      <c r="V341" s="322"/>
      <c r="W341" s="322"/>
      <c r="X341" s="321"/>
      <c r="Y341" s="322"/>
      <c r="Z341" s="322"/>
      <c r="AA341" s="322"/>
      <c r="AB341" s="322"/>
      <c r="AC341" s="321"/>
      <c r="AD341" s="322"/>
      <c r="AE341" s="322"/>
      <c r="AF341" s="322"/>
      <c r="AG341" s="363"/>
      <c r="AH341" s="321"/>
      <c r="AI341" s="322"/>
      <c r="AJ341" s="322"/>
      <c r="AK341" s="322"/>
      <c r="AL341" s="322"/>
      <c r="AM341" s="321"/>
      <c r="AN341" s="363"/>
      <c r="AO341" s="363"/>
      <c r="AP341" s="363"/>
      <c r="AQ341" s="322"/>
      <c r="AR341" s="364"/>
      <c r="AS341" s="363"/>
      <c r="AT341" s="363"/>
      <c r="AU341" s="363"/>
      <c r="AV341" s="322"/>
      <c r="AW341" s="364"/>
      <c r="AX341" s="363"/>
      <c r="AY341" s="363"/>
      <c r="AZ341" s="363"/>
      <c r="BA341" s="322"/>
      <c r="BB341" s="364"/>
      <c r="BC341" s="363"/>
      <c r="BD341" s="322"/>
      <c r="BE341" s="363"/>
      <c r="BF341" s="322"/>
      <c r="BG341" s="364"/>
      <c r="BH341" s="669"/>
      <c r="BI341" s="322"/>
      <c r="BJ341" s="669"/>
      <c r="BK341" s="652"/>
      <c r="BL341" s="364"/>
      <c r="BM341" s="669"/>
      <c r="BN341" s="652"/>
      <c r="BO341" s="669"/>
      <c r="BP341" s="652"/>
      <c r="BQ341" s="670"/>
      <c r="BR341" s="669"/>
      <c r="BS341" s="652"/>
      <c r="BT341" s="669"/>
      <c r="BU341" s="652"/>
      <c r="BV341" s="670"/>
      <c r="BW341" s="669"/>
      <c r="BX341" s="652"/>
      <c r="BY341" s="669"/>
      <c r="BZ341" s="652"/>
      <c r="CA341" s="670"/>
      <c r="CB341" s="669"/>
      <c r="CC341" s="652"/>
      <c r="CD341" s="669"/>
      <c r="CE341" s="652"/>
      <c r="CF341" s="670"/>
      <c r="CG341" s="669"/>
      <c r="CH341" s="669"/>
      <c r="CI341" s="669"/>
      <c r="CJ341" s="669"/>
      <c r="CK341" s="670"/>
      <c r="CL341" s="669"/>
      <c r="CM341" s="669"/>
      <c r="CN341" s="669"/>
      <c r="CO341" s="669"/>
      <c r="CP341" s="670"/>
      <c r="CQ341" s="669"/>
      <c r="CR341" s="669"/>
      <c r="CS341" s="669"/>
      <c r="CT341" s="669"/>
      <c r="CU341" s="670"/>
      <c r="CV341" s="669"/>
      <c r="CW341" s="669"/>
      <c r="CX341" s="669"/>
      <c r="CY341" s="669"/>
      <c r="CZ341" s="670"/>
      <c r="DA341" s="669"/>
      <c r="DB341" s="669"/>
      <c r="DC341" s="669"/>
      <c r="DD341" s="669"/>
      <c r="DE341" s="670"/>
      <c r="DF341" s="669"/>
      <c r="DG341" s="669"/>
      <c r="DH341" s="669"/>
      <c r="DI341" s="669"/>
      <c r="DJ341" s="670"/>
      <c r="DK341" s="669"/>
      <c r="DL341" s="669"/>
      <c r="DM341" s="669"/>
      <c r="DN341" s="669"/>
      <c r="DO341" s="670"/>
      <c r="DP341" s="669"/>
      <c r="DQ341" s="669"/>
      <c r="DR341" s="669"/>
      <c r="DS341" s="669"/>
      <c r="DT341" s="670"/>
      <c r="DU341" s="669"/>
      <c r="DV341" s="669"/>
      <c r="DW341" s="669"/>
      <c r="DX341" s="669"/>
      <c r="DY341" s="670"/>
      <c r="DZ341" s="670"/>
      <c r="EA341" s="670"/>
      <c r="EB341" s="670"/>
    </row>
    <row r="342" spans="2:132" s="241" customFormat="1" ht="12" hidden="1" customHeight="1" outlineLevel="2">
      <c r="B342" s="335" t="s">
        <v>133</v>
      </c>
      <c r="C342" s="314"/>
      <c r="D342" s="314"/>
      <c r="E342" s="314">
        <f t="shared" ref="E342:H343" si="1320">E45+(E298-D298)</f>
        <v>10904</v>
      </c>
      <c r="F342" s="314">
        <f t="shared" si="1320"/>
        <v>13619</v>
      </c>
      <c r="G342" s="314">
        <f t="shared" si="1320"/>
        <v>12968</v>
      </c>
      <c r="H342" s="314">
        <f t="shared" si="1320"/>
        <v>17433</v>
      </c>
      <c r="I342" s="314"/>
      <c r="J342" s="315"/>
      <c r="K342" s="315"/>
      <c r="L342" s="315"/>
      <c r="M342" s="315"/>
      <c r="N342" s="314"/>
      <c r="O342" s="315"/>
      <c r="P342" s="315"/>
      <c r="Q342" s="315"/>
      <c r="R342" s="315"/>
      <c r="S342" s="314"/>
      <c r="T342" s="315"/>
      <c r="U342" s="315"/>
      <c r="V342" s="315"/>
      <c r="W342" s="315"/>
      <c r="X342" s="314"/>
      <c r="Y342" s="315"/>
      <c r="Z342" s="315"/>
      <c r="AA342" s="315"/>
      <c r="AB342" s="315"/>
      <c r="AC342" s="314"/>
      <c r="AD342" s="315"/>
      <c r="AE342" s="315"/>
      <c r="AF342" s="315"/>
      <c r="AG342" s="315"/>
      <c r="AH342" s="314"/>
      <c r="AI342" s="315"/>
      <c r="AJ342" s="315"/>
      <c r="AK342" s="315"/>
      <c r="AL342" s="315"/>
      <c r="AM342" s="314"/>
      <c r="AN342" s="360"/>
      <c r="AO342" s="360"/>
      <c r="AP342" s="360"/>
      <c r="AQ342" s="315"/>
      <c r="AR342" s="359"/>
      <c r="AS342" s="360"/>
      <c r="AT342" s="360"/>
      <c r="AU342" s="360"/>
      <c r="AV342" s="315"/>
      <c r="AW342" s="359"/>
      <c r="AX342" s="360"/>
      <c r="AY342" s="360"/>
      <c r="AZ342" s="360"/>
      <c r="BA342" s="315"/>
      <c r="BB342" s="359"/>
      <c r="BC342" s="360"/>
      <c r="BD342" s="315"/>
      <c r="BE342" s="360"/>
      <c r="BF342" s="315"/>
      <c r="BG342" s="359"/>
      <c r="BH342" s="665"/>
      <c r="BI342" s="315"/>
      <c r="BJ342" s="665"/>
      <c r="BK342" s="620"/>
      <c r="BL342" s="359"/>
      <c r="BM342" s="665"/>
      <c r="BN342" s="620"/>
      <c r="BO342" s="665"/>
      <c r="BP342" s="620"/>
      <c r="BQ342" s="666"/>
      <c r="BR342" s="665"/>
      <c r="BS342" s="620"/>
      <c r="BT342" s="665"/>
      <c r="BU342" s="620"/>
      <c r="BV342" s="666"/>
      <c r="BW342" s="665"/>
      <c r="BX342" s="620"/>
      <c r="BY342" s="665"/>
      <c r="BZ342" s="620"/>
      <c r="CA342" s="666"/>
      <c r="CB342" s="665"/>
      <c r="CC342" s="620"/>
      <c r="CD342" s="665"/>
      <c r="CE342" s="620"/>
      <c r="CF342" s="666"/>
      <c r="CG342" s="665"/>
      <c r="CH342" s="665"/>
      <c r="CI342" s="665"/>
      <c r="CJ342" s="665"/>
      <c r="CK342" s="666"/>
      <c r="CL342" s="665"/>
      <c r="CM342" s="665"/>
      <c r="CN342" s="665"/>
      <c r="CO342" s="665"/>
      <c r="CP342" s="666"/>
      <c r="CQ342" s="665"/>
      <c r="CR342" s="665"/>
      <c r="CS342" s="665"/>
      <c r="CT342" s="665"/>
      <c r="CU342" s="666"/>
      <c r="CV342" s="665"/>
      <c r="CW342" s="665"/>
      <c r="CX342" s="665"/>
      <c r="CY342" s="665"/>
      <c r="CZ342" s="666"/>
      <c r="DA342" s="665"/>
      <c r="DB342" s="665"/>
      <c r="DC342" s="665"/>
      <c r="DD342" s="665"/>
      <c r="DE342" s="666"/>
      <c r="DF342" s="665"/>
      <c r="DG342" s="665"/>
      <c r="DH342" s="665"/>
      <c r="DI342" s="665"/>
      <c r="DJ342" s="666"/>
      <c r="DK342" s="665"/>
      <c r="DL342" s="665"/>
      <c r="DM342" s="665"/>
      <c r="DN342" s="665"/>
      <c r="DO342" s="666"/>
      <c r="DP342" s="665"/>
      <c r="DQ342" s="665"/>
      <c r="DR342" s="665"/>
      <c r="DS342" s="665"/>
      <c r="DT342" s="666"/>
      <c r="DU342" s="665"/>
      <c r="DV342" s="665"/>
      <c r="DW342" s="665"/>
      <c r="DX342" s="665"/>
      <c r="DY342" s="666"/>
      <c r="DZ342" s="666"/>
      <c r="EA342" s="666"/>
      <c r="EB342" s="666"/>
    </row>
    <row r="343" spans="2:132" s="241" customFormat="1" ht="12" hidden="1" customHeight="1" outlineLevel="2">
      <c r="B343" s="318" t="s">
        <v>134</v>
      </c>
      <c r="C343" s="321"/>
      <c r="D343" s="321"/>
      <c r="E343" s="321">
        <f t="shared" si="1320"/>
        <v>7584</v>
      </c>
      <c r="F343" s="321">
        <f t="shared" si="1320"/>
        <v>11161</v>
      </c>
      <c r="G343" s="321">
        <f t="shared" si="1320"/>
        <v>9768</v>
      </c>
      <c r="H343" s="321">
        <f t="shared" si="1320"/>
        <v>12797</v>
      </c>
      <c r="I343" s="321"/>
      <c r="J343" s="322"/>
      <c r="K343" s="322"/>
      <c r="L343" s="322"/>
      <c r="M343" s="322"/>
      <c r="N343" s="321"/>
      <c r="O343" s="322"/>
      <c r="P343" s="322"/>
      <c r="Q343" s="322"/>
      <c r="R343" s="322"/>
      <c r="S343" s="321"/>
      <c r="T343" s="322"/>
      <c r="U343" s="322"/>
      <c r="V343" s="322"/>
      <c r="W343" s="322"/>
      <c r="X343" s="321"/>
      <c r="Y343" s="322"/>
      <c r="Z343" s="322"/>
      <c r="AA343" s="322"/>
      <c r="AB343" s="322"/>
      <c r="AC343" s="321"/>
      <c r="AD343" s="322"/>
      <c r="AE343" s="322"/>
      <c r="AF343" s="322"/>
      <c r="AG343" s="322"/>
      <c r="AH343" s="321"/>
      <c r="AI343" s="322"/>
      <c r="AJ343" s="322"/>
      <c r="AK343" s="322"/>
      <c r="AL343" s="322"/>
      <c r="AM343" s="321"/>
      <c r="AN343" s="363"/>
      <c r="AO343" s="363"/>
      <c r="AP343" s="363"/>
      <c r="AQ343" s="322"/>
      <c r="AR343" s="364"/>
      <c r="AS343" s="363"/>
      <c r="AT343" s="363"/>
      <c r="AU343" s="363"/>
      <c r="AV343" s="322"/>
      <c r="AW343" s="364"/>
      <c r="AX343" s="363"/>
      <c r="AY343" s="363"/>
      <c r="AZ343" s="363"/>
      <c r="BA343" s="322"/>
      <c r="BB343" s="364"/>
      <c r="BC343" s="363"/>
      <c r="BD343" s="322"/>
      <c r="BE343" s="363"/>
      <c r="BF343" s="322"/>
      <c r="BG343" s="364"/>
      <c r="BH343" s="669"/>
      <c r="BI343" s="322"/>
      <c r="BJ343" s="669"/>
      <c r="BK343" s="652"/>
      <c r="BL343" s="364"/>
      <c r="BM343" s="669"/>
      <c r="BN343" s="652"/>
      <c r="BO343" s="669"/>
      <c r="BP343" s="652"/>
      <c r="BQ343" s="670"/>
      <c r="BR343" s="669"/>
      <c r="BS343" s="652"/>
      <c r="BT343" s="669"/>
      <c r="BU343" s="652"/>
      <c r="BV343" s="670"/>
      <c r="BW343" s="669"/>
      <c r="BX343" s="652"/>
      <c r="BY343" s="669"/>
      <c r="BZ343" s="652"/>
      <c r="CA343" s="670"/>
      <c r="CB343" s="669"/>
      <c r="CC343" s="652"/>
      <c r="CD343" s="669"/>
      <c r="CE343" s="652"/>
      <c r="CF343" s="670"/>
      <c r="CG343" s="669"/>
      <c r="CH343" s="669"/>
      <c r="CI343" s="669"/>
      <c r="CJ343" s="669"/>
      <c r="CK343" s="670"/>
      <c r="CL343" s="669"/>
      <c r="CM343" s="669"/>
      <c r="CN343" s="669"/>
      <c r="CO343" s="669"/>
      <c r="CP343" s="670"/>
      <c r="CQ343" s="669"/>
      <c r="CR343" s="669"/>
      <c r="CS343" s="669"/>
      <c r="CT343" s="669"/>
      <c r="CU343" s="670"/>
      <c r="CV343" s="669"/>
      <c r="CW343" s="669"/>
      <c r="CX343" s="669"/>
      <c r="CY343" s="669"/>
      <c r="CZ343" s="670"/>
      <c r="DA343" s="669"/>
      <c r="DB343" s="669"/>
      <c r="DC343" s="669"/>
      <c r="DD343" s="669"/>
      <c r="DE343" s="670"/>
      <c r="DF343" s="669"/>
      <c r="DG343" s="669"/>
      <c r="DH343" s="669"/>
      <c r="DI343" s="669"/>
      <c r="DJ343" s="670"/>
      <c r="DK343" s="669"/>
      <c r="DL343" s="669"/>
      <c r="DM343" s="669"/>
      <c r="DN343" s="669"/>
      <c r="DO343" s="670"/>
      <c r="DP343" s="669"/>
      <c r="DQ343" s="669"/>
      <c r="DR343" s="669"/>
      <c r="DS343" s="669"/>
      <c r="DT343" s="670"/>
      <c r="DU343" s="669"/>
      <c r="DV343" s="669"/>
      <c r="DW343" s="669"/>
      <c r="DX343" s="669"/>
      <c r="DY343" s="670"/>
      <c r="DZ343" s="670"/>
      <c r="EA343" s="670"/>
      <c r="EB343" s="670"/>
    </row>
    <row r="344" spans="2:132" s="241" customFormat="1" ht="12" hidden="1" customHeight="1" outlineLevel="1" collapsed="1">
      <c r="B344" s="348" t="s">
        <v>391</v>
      </c>
      <c r="C344" s="359"/>
      <c r="D344" s="359">
        <f>D69+(D300-C300)</f>
        <v>18866</v>
      </c>
      <c r="E344" s="359">
        <f>SUM(E342:E343)</f>
        <v>18488</v>
      </c>
      <c r="F344" s="359">
        <f>SUM(F342:F343)</f>
        <v>24780</v>
      </c>
      <c r="G344" s="359">
        <f>SUM(G342:G343)</f>
        <v>22736</v>
      </c>
      <c r="H344" s="359">
        <f>SUM(H342:H343)</f>
        <v>30230</v>
      </c>
      <c r="I344" s="359">
        <f>I69+(I300-H300)</f>
        <v>32230</v>
      </c>
      <c r="J344" s="315">
        <f>SUM(J338:J341)</f>
        <v>8113</v>
      </c>
      <c r="K344" s="315">
        <f t="shared" ref="K344:S344" si="1321">SUM(K338:K341)</f>
        <v>6754</v>
      </c>
      <c r="L344" s="315">
        <f t="shared" si="1321"/>
        <v>4556</v>
      </c>
      <c r="M344" s="315">
        <f t="shared" si="1321"/>
        <v>9310</v>
      </c>
      <c r="N344" s="359">
        <f t="shared" si="1321"/>
        <v>28733</v>
      </c>
      <c r="O344" s="315">
        <f t="shared" si="1321"/>
        <v>12233</v>
      </c>
      <c r="P344" s="315">
        <f t="shared" si="1321"/>
        <v>4845</v>
      </c>
      <c r="Q344" s="315">
        <f t="shared" si="1321"/>
        <v>1803</v>
      </c>
      <c r="R344" s="315">
        <f t="shared" si="1321"/>
        <v>9100</v>
      </c>
      <c r="S344" s="359">
        <f t="shared" si="1321"/>
        <v>27981</v>
      </c>
      <c r="T344" s="360">
        <f>SUM(T335:T337)</f>
        <v>12932</v>
      </c>
      <c r="U344" s="360">
        <f t="shared" ref="U344:AK344" si="1322">SUM(U335:U337)</f>
        <v>4306</v>
      </c>
      <c r="V344" s="360">
        <f t="shared" si="1322"/>
        <v>5128</v>
      </c>
      <c r="W344" s="315">
        <f t="shared" si="1322"/>
        <v>15859</v>
      </c>
      <c r="X344" s="359">
        <f t="shared" si="1322"/>
        <v>38225</v>
      </c>
      <c r="Y344" s="360">
        <f t="shared" si="1322"/>
        <v>7201</v>
      </c>
      <c r="Z344" s="360">
        <f t="shared" si="1322"/>
        <v>6696</v>
      </c>
      <c r="AA344" s="360">
        <f t="shared" si="1322"/>
        <v>6052</v>
      </c>
      <c r="AB344" s="315">
        <f t="shared" si="1322"/>
        <v>11628</v>
      </c>
      <c r="AC344" s="359">
        <f t="shared" si="1322"/>
        <v>31577</v>
      </c>
      <c r="AD344" s="360">
        <f t="shared" si="1322"/>
        <v>10218</v>
      </c>
      <c r="AE344" s="360">
        <f t="shared" si="1322"/>
        <v>9065</v>
      </c>
      <c r="AF344" s="360">
        <f t="shared" si="1322"/>
        <v>4335</v>
      </c>
      <c r="AG344" s="315">
        <f t="shared" si="1322"/>
        <v>11936</v>
      </c>
      <c r="AH344" s="359">
        <f t="shared" si="1322"/>
        <v>35554</v>
      </c>
      <c r="AI344" s="360">
        <f t="shared" si="1322"/>
        <v>11130</v>
      </c>
      <c r="AJ344" s="360">
        <f t="shared" si="1322"/>
        <v>7785</v>
      </c>
      <c r="AK344" s="360">
        <f t="shared" si="1322"/>
        <v>5934</v>
      </c>
      <c r="AL344" s="315">
        <f t="shared" ref="AL344:BB344" si="1323">SUM(AL335:AL337)</f>
        <v>9551</v>
      </c>
      <c r="AM344" s="359">
        <f t="shared" si="1323"/>
        <v>34400</v>
      </c>
      <c r="AN344" s="360">
        <f t="shared" si="1323"/>
        <v>10089</v>
      </c>
      <c r="AO344" s="360">
        <f t="shared" si="1323"/>
        <v>5483</v>
      </c>
      <c r="AP344" s="360">
        <f t="shared" si="1323"/>
        <v>8477</v>
      </c>
      <c r="AQ344" s="315">
        <f t="shared" si="1323"/>
        <v>10270</v>
      </c>
      <c r="AR344" s="359">
        <f>SUM(AR335:AR337)</f>
        <v>34319</v>
      </c>
      <c r="AS344" s="360">
        <f t="shared" si="1323"/>
        <v>9017</v>
      </c>
      <c r="AT344" s="360">
        <f t="shared" si="1323"/>
        <v>5988</v>
      </c>
      <c r="AU344" s="360">
        <f t="shared" si="1323"/>
        <v>6700</v>
      </c>
      <c r="AV344" s="315">
        <f t="shared" si="1323"/>
        <v>8271</v>
      </c>
      <c r="AW344" s="359">
        <f>SUM(AW335:AW337)</f>
        <v>29976</v>
      </c>
      <c r="AX344" s="360">
        <f>SUM(AX335:AX337)</f>
        <v>15133</v>
      </c>
      <c r="AY344" s="360">
        <f>SUM(AY335:AY337)</f>
        <v>9092</v>
      </c>
      <c r="AZ344" s="360">
        <f>SUM(AZ335:AZ337)</f>
        <v>5939</v>
      </c>
      <c r="BA344" s="315">
        <f>SUM(BA335:BA337)</f>
        <v>11143</v>
      </c>
      <c r="BB344" s="359">
        <f t="shared" si="1323"/>
        <v>41307</v>
      </c>
      <c r="BC344" s="360">
        <f t="shared" ref="BC344:BG344" si="1324">SUM(BC335:BC337)</f>
        <v>4610</v>
      </c>
      <c r="BD344" s="315">
        <f t="shared" si="1324"/>
        <v>8086</v>
      </c>
      <c r="BE344" s="360">
        <f t="shared" si="1324"/>
        <v>7446</v>
      </c>
      <c r="BF344" s="315">
        <f t="shared" si="1324"/>
        <v>7555</v>
      </c>
      <c r="BG344" s="359">
        <f t="shared" si="1324"/>
        <v>27697</v>
      </c>
      <c r="BH344" s="665">
        <f>SUM(BH335:BH337)</f>
        <v>6733</v>
      </c>
      <c r="BI344" s="315">
        <f t="shared" ref="BI344" si="1325">SUM(BI335:BI337)</f>
        <v>8747</v>
      </c>
      <c r="BJ344" s="665">
        <f>SUM(BJ335:BJ337)</f>
        <v>3713</v>
      </c>
      <c r="BK344" s="620">
        <f>SUM(BK335:BK337)</f>
        <v>8988</v>
      </c>
      <c r="BL344" s="359">
        <f t="shared" ref="BL344" si="1326">SUM(BL335:BL337)</f>
        <v>28181</v>
      </c>
      <c r="BM344" s="665">
        <f>SUM(BM335:BM337)</f>
        <v>7409</v>
      </c>
      <c r="BN344" s="620">
        <f>SUM(BN335:BN337)</f>
        <v>8344</v>
      </c>
      <c r="BO344" s="665">
        <f>SUM(BO335:BO337)</f>
        <v>6150</v>
      </c>
      <c r="BP344" s="620">
        <f>SUM(BP335:BP337)</f>
        <v>6785</v>
      </c>
      <c r="BQ344" s="666">
        <f t="shared" ref="BQ344" si="1327">SUM(BQ335:BQ337)</f>
        <v>28688</v>
      </c>
      <c r="BR344" s="665">
        <f>SUM(BR335:BR337)</f>
        <v>9956</v>
      </c>
      <c r="BS344" s="620">
        <f>SUM(BS335:BS337)</f>
        <v>6374</v>
      </c>
      <c r="BT344" s="665">
        <f>SUM(BT335:BT337)</f>
        <v>1208</v>
      </c>
      <c r="BU344" s="620">
        <f>SUM(BU335:BU337)</f>
        <v>8860</v>
      </c>
      <c r="BV344" s="666">
        <f t="shared" ref="BV344" si="1328">SUM(BV335:BV337)</f>
        <v>26398</v>
      </c>
      <c r="BW344" s="665">
        <f>SUM(BW335:BW337)</f>
        <v>10832</v>
      </c>
      <c r="BX344" s="620">
        <f>SUM(BX335:BX337)</f>
        <v>4686</v>
      </c>
      <c r="BY344" s="620">
        <f>IF(BY300=0,0,BY69+(BY300-BX300))</f>
        <v>6702</v>
      </c>
      <c r="BZ344" s="620">
        <f>IF(BZ300=0,0,BZ69+(BZ300-BY300))</f>
        <v>3454</v>
      </c>
      <c r="CA344" s="666">
        <f>IF(CA300=0,0,CA69+(CA300-BV300))</f>
        <v>19785</v>
      </c>
      <c r="CB344" s="665">
        <f t="shared" ref="CB344:DI344" si="1329">IF(CB300=0,0,CB69+(CB300-CA300))</f>
        <v>12836</v>
      </c>
      <c r="CC344" s="620">
        <f t="shared" si="1329"/>
        <v>7621</v>
      </c>
      <c r="CD344" s="665">
        <f t="shared" si="1329"/>
        <v>12887</v>
      </c>
      <c r="CE344" s="620">
        <f t="shared" si="1329"/>
        <v>6165</v>
      </c>
      <c r="CF344" s="666">
        <f t="shared" si="1329"/>
        <v>26392</v>
      </c>
      <c r="CG344" s="665">
        <f t="shared" si="1329"/>
        <v>16235</v>
      </c>
      <c r="CH344" s="665">
        <f t="shared" si="1329"/>
        <v>3694</v>
      </c>
      <c r="CI344" s="665">
        <f t="shared" si="1329"/>
        <v>4870</v>
      </c>
      <c r="CJ344" s="665">
        <f t="shared" si="1329"/>
        <v>8130</v>
      </c>
      <c r="CK344" s="666">
        <f t="shared" si="1329"/>
        <v>26187</v>
      </c>
      <c r="CL344" s="665">
        <f t="shared" si="1329"/>
        <v>5712</v>
      </c>
      <c r="CM344" s="665">
        <f t="shared" si="1329"/>
        <v>7296</v>
      </c>
      <c r="CN344" s="665">
        <f t="shared" si="1329"/>
        <v>4937</v>
      </c>
      <c r="CO344" s="665">
        <f t="shared" si="1329"/>
        <v>5251</v>
      </c>
      <c r="CP344" s="666">
        <f t="shared" si="1329"/>
        <v>26257</v>
      </c>
      <c r="CQ344" s="665">
        <f t="shared" si="1329"/>
        <v>7607</v>
      </c>
      <c r="CR344" s="665">
        <f t="shared" si="1329"/>
        <v>4312</v>
      </c>
      <c r="CS344" s="665">
        <f t="shared" si="1329"/>
        <v>6347</v>
      </c>
      <c r="CT344" s="665">
        <f t="shared" si="1329"/>
        <v>7255</v>
      </c>
      <c r="CU344" s="666">
        <f t="shared" si="1329"/>
        <v>26540</v>
      </c>
      <c r="CV344" s="665">
        <f t="shared" si="1329"/>
        <v>5394</v>
      </c>
      <c r="CW344" s="665">
        <f t="shared" si="1329"/>
        <v>1853</v>
      </c>
      <c r="CX344" s="665">
        <f t="shared" si="1329"/>
        <v>4646</v>
      </c>
      <c r="CY344" s="665">
        <f t="shared" si="1329"/>
        <v>5814</v>
      </c>
      <c r="CZ344" s="666">
        <f t="shared" si="1329"/>
        <v>23162</v>
      </c>
      <c r="DA344" s="665">
        <f t="shared" si="1329"/>
        <v>10316</v>
      </c>
      <c r="DB344" s="665">
        <f t="shared" si="1329"/>
        <v>5522</v>
      </c>
      <c r="DC344" s="665">
        <f t="shared" si="1329"/>
        <v>5778</v>
      </c>
      <c r="DD344" s="665">
        <f t="shared" si="1329"/>
        <v>7956</v>
      </c>
      <c r="DE344" s="666">
        <f t="shared" si="1329"/>
        <v>24933</v>
      </c>
      <c r="DF344" s="665">
        <f t="shared" si="1329"/>
        <v>8682</v>
      </c>
      <c r="DG344" s="665">
        <f t="shared" si="1329"/>
        <v>4332</v>
      </c>
      <c r="DH344" s="665">
        <f t="shared" si="1329"/>
        <v>8102</v>
      </c>
      <c r="DI344" s="665">
        <f t="shared" si="1329"/>
        <v>7813</v>
      </c>
      <c r="DJ344" s="666">
        <f>IF(DJ300=0,0,DJ69+(DJ300-DE300))</f>
        <v>28929</v>
      </c>
      <c r="DK344" s="665">
        <f>IF(DK300=0,0,DK69+(DK300-DJ300))</f>
        <v>3842</v>
      </c>
      <c r="DL344" s="665">
        <f>IF(DL300=0,0,DL69+(DL300-DK300))</f>
        <v>19007</v>
      </c>
      <c r="DM344" s="665">
        <f>IF(DM300=0,0,DM69+(DM300-DL300))</f>
        <v>9029</v>
      </c>
      <c r="DN344" s="665">
        <f>IF(DN300=0,0,DN69+(DN300-DM300))</f>
        <v>16119</v>
      </c>
      <c r="DO344" s="666">
        <f>IF(DO300=0,0,DO69+(DO300-DJ300))</f>
        <v>47997</v>
      </c>
      <c r="DP344" s="665">
        <f>IF(DP300=0,0,DP69+(DP300-DO300))</f>
        <v>8634</v>
      </c>
      <c r="DQ344" s="665">
        <f>IF(DQ300=0,0,DQ69+(DQ300-DP300))</f>
        <v>6984</v>
      </c>
      <c r="DR344" s="665">
        <f>IF(DR300=0,0,DR69+(DR300-DQ300))</f>
        <v>0</v>
      </c>
      <c r="DS344" s="665">
        <f>IF(DS300=0,0,DS69+(DS300-DR300))</f>
        <v>0</v>
      </c>
      <c r="DT344" s="666">
        <f>IF(DT300=0,0,DT69+(DT300-DO300))</f>
        <v>0</v>
      </c>
      <c r="DU344" s="665">
        <f>IF(DU300=0,0,DU69+(DU300-DT300))</f>
        <v>0</v>
      </c>
      <c r="DV344" s="665">
        <f>IF(DV300=0,0,DV69+(DV300-DU300))</f>
        <v>0</v>
      </c>
      <c r="DW344" s="665">
        <f>IF(DW300=0,0,DW69+(DW300-DV300))</f>
        <v>0</v>
      </c>
      <c r="DX344" s="665">
        <f>IF(DX300=0,0,DX69+(DX300-DW300))</f>
        <v>0</v>
      </c>
      <c r="DY344" s="666">
        <f>IF(DY300=0,0,DY69+(DY300-DT300))</f>
        <v>0</v>
      </c>
      <c r="DZ344" s="666">
        <f>IF(DZ300=0,0,DZ69+(DZ300-DY300))</f>
        <v>0</v>
      </c>
      <c r="EA344" s="666">
        <f>IF(EA300=0,0,EA69+(EA300-DZ300))</f>
        <v>0</v>
      </c>
      <c r="EB344" s="666">
        <f>IF(EB300=0,0,EB69+(EB300-EA300))</f>
        <v>0</v>
      </c>
    </row>
    <row r="345" spans="2:132" s="241" customFormat="1" ht="12" hidden="1" customHeight="1" outlineLevel="1">
      <c r="B345" s="121" t="s">
        <v>575</v>
      </c>
      <c r="C345" s="359"/>
      <c r="D345" s="359"/>
      <c r="E345" s="359"/>
      <c r="F345" s="359"/>
      <c r="G345" s="359"/>
      <c r="H345" s="359"/>
      <c r="I345" s="359"/>
      <c r="J345" s="315"/>
      <c r="K345" s="315"/>
      <c r="L345" s="315"/>
      <c r="M345" s="315"/>
      <c r="N345" s="359"/>
      <c r="O345" s="315"/>
      <c r="P345" s="315"/>
      <c r="Q345" s="315"/>
      <c r="R345" s="315"/>
      <c r="S345" s="359"/>
      <c r="T345" s="360"/>
      <c r="U345" s="360"/>
      <c r="V345" s="360"/>
      <c r="W345" s="315"/>
      <c r="X345" s="359"/>
      <c r="Y345" s="360"/>
      <c r="Z345" s="360"/>
      <c r="AA345" s="360"/>
      <c r="AB345" s="315"/>
      <c r="AC345" s="359"/>
      <c r="AD345" s="360"/>
      <c r="AE345" s="360"/>
      <c r="AF345" s="360"/>
      <c r="AG345" s="315"/>
      <c r="AH345" s="359"/>
      <c r="AI345" s="360"/>
      <c r="AJ345" s="360"/>
      <c r="AK345" s="360"/>
      <c r="AL345" s="315"/>
      <c r="AM345" s="359"/>
      <c r="AN345" s="360"/>
      <c r="AO345" s="360"/>
      <c r="AP345" s="360"/>
      <c r="AQ345" s="315"/>
      <c r="AR345" s="359"/>
      <c r="AS345" s="360"/>
      <c r="AT345" s="360"/>
      <c r="AU345" s="360"/>
      <c r="AV345" s="315"/>
      <c r="AW345" s="359"/>
      <c r="AX345" s="360"/>
      <c r="AY345" s="360"/>
      <c r="AZ345" s="360"/>
      <c r="BA345" s="315"/>
      <c r="BB345" s="359"/>
      <c r="BC345" s="360"/>
      <c r="BD345" s="315"/>
      <c r="BE345" s="360"/>
      <c r="BF345" s="315"/>
      <c r="BG345" s="359"/>
      <c r="BH345" s="665"/>
      <c r="BI345" s="315"/>
      <c r="BJ345" s="665"/>
      <c r="BK345" s="620"/>
      <c r="BL345" s="359"/>
      <c r="BM345" s="665"/>
      <c r="BN345" s="620"/>
      <c r="BO345" s="665"/>
      <c r="BP345" s="620"/>
      <c r="BQ345" s="666"/>
      <c r="BR345" s="665"/>
      <c r="BS345" s="620"/>
      <c r="BT345" s="665"/>
      <c r="BU345" s="620"/>
      <c r="BV345" s="666"/>
      <c r="BW345" s="665"/>
      <c r="BX345" s="620"/>
      <c r="BY345" s="620"/>
      <c r="BZ345" s="620">
        <f>IF(BZ301=0,0,BZ74+(BZ301-BY301))</f>
        <v>7151</v>
      </c>
      <c r="CA345" s="666">
        <f>IF(CA301=0,0,CA74+(CA301-BV301))</f>
        <v>18555</v>
      </c>
      <c r="CB345" s="620">
        <f>IF(CB301=0,0,CB74+(CB301-CA301))</f>
        <v>4809</v>
      </c>
      <c r="CC345" s="620">
        <f>IF(CC301=0,0,CC74+(CC301-CB301))</f>
        <v>4021</v>
      </c>
      <c r="CD345" s="620">
        <f>IF(CD301=0,0,CD74+(CD301-CC301))</f>
        <v>3953</v>
      </c>
      <c r="CE345" s="620">
        <f>IF(CE301=0,0,CE74+(CE301-CD301))</f>
        <v>5676</v>
      </c>
      <c r="CF345" s="666">
        <f>IF(CF301=0,0,CF74+(CF301-CA301))</f>
        <v>18459</v>
      </c>
      <c r="CG345" s="620">
        <f>IF(CG301=0,0,CG74+(CG301-CF301))</f>
        <v>4299</v>
      </c>
      <c r="CH345" s="620">
        <f>IF(CH301=0,0,CH74+(CH301-CG301))</f>
        <v>3829</v>
      </c>
      <c r="CI345" s="620">
        <f>IF(CI301=0,0,CI74+(CI301-CH301))</f>
        <v>5772</v>
      </c>
      <c r="CJ345" s="620">
        <f>IF(CJ301=0,0,CJ74+(CJ301-CI301))</f>
        <v>6462</v>
      </c>
      <c r="CK345" s="666">
        <f>IF(CK301=0,0,CK74+(CK301-CF301))</f>
        <v>20362</v>
      </c>
      <c r="CL345" s="620">
        <f>IF(CL301=0,0,CL74+(CL301-CK301))</f>
        <v>4473</v>
      </c>
      <c r="CM345" s="620">
        <f>IF(CM301=0,0,CM74+(CM301-CL301))</f>
        <v>-1091</v>
      </c>
      <c r="CN345" s="620">
        <f>IF(CN301=0,0,CN74+(CN301-CM301))</f>
        <v>2990</v>
      </c>
      <c r="CO345" s="620">
        <f>IF(CO301=0,0,CO74+(CO301-CN301))</f>
        <v>6901</v>
      </c>
      <c r="CP345" s="666">
        <f>IF(CP301=0,0,CP74+(CP301-CK301))</f>
        <v>13273</v>
      </c>
      <c r="CQ345" s="620">
        <f>IF(CQ301=0,0,CQ74+(CQ301-CP301))</f>
        <v>2731</v>
      </c>
      <c r="CR345" s="620">
        <f>IF(CR301=0,0,CR74+(CR301-CQ301))</f>
        <v>3482</v>
      </c>
      <c r="CS345" s="620">
        <f>IF(CS301=0,0,CS74+(CS301-CR301))</f>
        <v>3973</v>
      </c>
      <c r="CT345" s="620">
        <f>IF(CT301=0,0,CT74+(CT301-CS301))</f>
        <v>6005</v>
      </c>
      <c r="CU345" s="666">
        <f>IF(CU301=0,0,CU74+(CU301-CP301))</f>
        <v>16191</v>
      </c>
      <c r="CV345" s="620">
        <f>IF(CV301=0,0,CV74+(CV301-CU301))</f>
        <v>3641</v>
      </c>
      <c r="CW345" s="620">
        <f>IF(CW301=0,0,CW74+(CW301-CV301))</f>
        <v>3436</v>
      </c>
      <c r="CX345" s="620">
        <f>IF(CX301=0,0,CX74+(CX301-CW301))</f>
        <v>4544</v>
      </c>
      <c r="CY345" s="620">
        <f>IF(CY301=0,0,CY74+(CY301-CX301))</f>
        <v>4833</v>
      </c>
      <c r="CZ345" s="666">
        <f>IF(CZ301=0,0,CZ74+(CZ301-CU301))</f>
        <v>16454</v>
      </c>
      <c r="DA345" s="620">
        <f>IF(DA301=0,0,DA74+(DA301-CZ301))</f>
        <v>4217</v>
      </c>
      <c r="DB345" s="620">
        <f>IF(DB301=0,0,DB74+(DB301-DA301))</f>
        <v>4366</v>
      </c>
      <c r="DC345" s="620">
        <f>IF(DC301=0,0,DC74+(DC301-DB301))</f>
        <v>4798</v>
      </c>
      <c r="DD345" s="620">
        <f>IF(DD301=0,0,DD74+(DD301-DC301))</f>
        <v>6277</v>
      </c>
      <c r="DE345" s="666">
        <f>IF(DE301=0,0,DE74+(DE301-CZ301))</f>
        <v>19658</v>
      </c>
      <c r="DF345" s="620">
        <f>IF(DF301=0,0,DF74+(DF301-DE301))</f>
        <v>4869</v>
      </c>
      <c r="DG345" s="620">
        <f>IF(DG301=0,0,DG74+(DG301-DF301))</f>
        <v>4683</v>
      </c>
      <c r="DH345" s="620">
        <f>IF(DH301=0,0,DH74+(DH301-DG301))</f>
        <v>5863</v>
      </c>
      <c r="DI345" s="620">
        <f>IF(DI301=0,0,DI74+(DI301-DH301))</f>
        <v>6073</v>
      </c>
      <c r="DJ345" s="666">
        <f>IF(DJ301=0,0,DJ74+(DJ301-DE301))</f>
        <v>21488</v>
      </c>
      <c r="DK345" s="620">
        <f>IF(DK301=0,0,DK74+(DK301-DJ301))</f>
        <v>5696</v>
      </c>
      <c r="DL345" s="620">
        <f>IF(DL301=0,0,DL74+(DL301-DK301))</f>
        <v>5184</v>
      </c>
      <c r="DM345" s="620">
        <f>IF(DM301=0,0,DM74+(DM301-DL301))</f>
        <v>8065</v>
      </c>
      <c r="DN345" s="620">
        <f>IF(DN301=0,0,DN74+(DN301-DM301))</f>
        <v>10295</v>
      </c>
      <c r="DO345" s="666">
        <f>IF(DO301=0,0,DO74+(DO301-DJ301))</f>
        <v>29240</v>
      </c>
      <c r="DP345" s="620">
        <f>IF(DP301=0,0,DP74+(DP301-DO301))</f>
        <v>8607</v>
      </c>
      <c r="DQ345" s="620">
        <f>IF(DQ301=0,0,DQ74+(DQ301-DP301))</f>
        <v>5227</v>
      </c>
      <c r="DR345" s="620">
        <f>IF(DR301=0,0,DR74+(DR301-DQ301))</f>
        <v>0</v>
      </c>
      <c r="DS345" s="620">
        <f>IF(DS301=0,0,DS74+(DS301-DR301))</f>
        <v>0</v>
      </c>
      <c r="DT345" s="666"/>
      <c r="DU345" s="620">
        <f>IF(DU301=0,0,DU74+(DU301-DT301))</f>
        <v>0</v>
      </c>
      <c r="DV345" s="620">
        <f>IF(DV301=0,0,DV74+(DV301-DU301))</f>
        <v>0</v>
      </c>
      <c r="DW345" s="620">
        <f>IF(DW301=0,0,DW74+(DW301-DV301))</f>
        <v>0</v>
      </c>
      <c r="DX345" s="620">
        <f>IF(DX301=0,0,DX74+(DX301-DW301))</f>
        <v>0</v>
      </c>
      <c r="DY345" s="666"/>
      <c r="DZ345" s="666"/>
      <c r="EA345" s="666"/>
      <c r="EB345" s="666"/>
    </row>
    <row r="346" spans="2:132" s="241" customFormat="1" ht="12" hidden="1" customHeight="1" outlineLevel="1">
      <c r="B346" s="348" t="s">
        <v>116</v>
      </c>
      <c r="C346" s="359"/>
      <c r="D346" s="359">
        <f t="shared" ref="D346:M346" si="1330">D82+(D302-C302)</f>
        <v>47410</v>
      </c>
      <c r="E346" s="359">
        <f t="shared" si="1330"/>
        <v>44345</v>
      </c>
      <c r="F346" s="359">
        <f t="shared" si="1330"/>
        <v>72673</v>
      </c>
      <c r="G346" s="359">
        <f t="shared" si="1330"/>
        <v>44189</v>
      </c>
      <c r="H346" s="359">
        <f t="shared" si="1330"/>
        <v>51651</v>
      </c>
      <c r="I346" s="359">
        <f t="shared" si="1330"/>
        <v>51124</v>
      </c>
      <c r="J346" s="315">
        <f t="shared" si="1330"/>
        <v>11950</v>
      </c>
      <c r="K346" s="315">
        <f t="shared" si="1330"/>
        <v>12635</v>
      </c>
      <c r="L346" s="315">
        <f t="shared" si="1330"/>
        <v>15454</v>
      </c>
      <c r="M346" s="315">
        <f t="shared" si="1330"/>
        <v>17206</v>
      </c>
      <c r="N346" s="359">
        <f>SUM(J346:M346)</f>
        <v>57245</v>
      </c>
      <c r="O346" s="315">
        <f>O82+(O302-N302)</f>
        <v>15910</v>
      </c>
      <c r="P346" s="315">
        <f>P82+(P302-O302)</f>
        <v>30127</v>
      </c>
      <c r="Q346" s="315">
        <f>Q82+(Q302-P302)</f>
        <v>18438</v>
      </c>
      <c r="R346" s="315">
        <f>R82+(R302-Q302)</f>
        <v>41243</v>
      </c>
      <c r="S346" s="359">
        <f>SUM(O346:R346)</f>
        <v>105718</v>
      </c>
      <c r="T346" s="360">
        <f>T82+(T302-S302)</f>
        <v>27619</v>
      </c>
      <c r="U346" s="360">
        <f>U82+(U302-T302)</f>
        <v>21611</v>
      </c>
      <c r="V346" s="360">
        <f>V82+(V302-U302)</f>
        <v>24421</v>
      </c>
      <c r="W346" s="315">
        <f>W82+(W302-V302)</f>
        <v>43973</v>
      </c>
      <c r="X346" s="359">
        <f>SUM(T346:W346)</f>
        <v>117624</v>
      </c>
      <c r="Y346" s="360">
        <f>Y82+(Y302-X302)</f>
        <v>29035</v>
      </c>
      <c r="Z346" s="360">
        <f>Z82+(Z302-Y302)</f>
        <v>35007</v>
      </c>
      <c r="AA346" s="360">
        <f>AA82+(AA302-Z302)</f>
        <v>31245</v>
      </c>
      <c r="AB346" s="315">
        <f>AB82+(AB302-AA302)</f>
        <v>51497</v>
      </c>
      <c r="AC346" s="359">
        <f>SUM(Y346:AB346)</f>
        <v>146784</v>
      </c>
      <c r="AD346" s="360">
        <f>AD82+(AD302-AC302)</f>
        <v>34646</v>
      </c>
      <c r="AE346" s="360">
        <f>AE82+(AE302-AD302)</f>
        <v>21450</v>
      </c>
      <c r="AF346" s="360">
        <f>AF82+(AF302-AE302)</f>
        <v>12454</v>
      </c>
      <c r="AG346" s="315">
        <f>AG82+(AG302-AF302)</f>
        <v>19265</v>
      </c>
      <c r="AH346" s="359">
        <f>SUM(AD346:AG346)</f>
        <v>87815</v>
      </c>
      <c r="AI346" s="360">
        <f>AI82+(AI302-AH302)</f>
        <v>7360</v>
      </c>
      <c r="AJ346" s="360">
        <f>AJ82+(AJ302-AI302)</f>
        <v>7709</v>
      </c>
      <c r="AK346" s="360">
        <f>AK82+(AK302-AJ302)</f>
        <v>10373</v>
      </c>
      <c r="AL346" s="315">
        <f>IF(AL302=0,0,AL82+(AL302-AK302))</f>
        <v>15479</v>
      </c>
      <c r="AM346" s="359">
        <f>SUM(AI346:AL346)</f>
        <v>40921</v>
      </c>
      <c r="AN346" s="360">
        <f>AN82+(AN302-AM302)</f>
        <v>17616</v>
      </c>
      <c r="AO346" s="360">
        <f>IF(AO302=0,0,AO82+(AO302-AN302))</f>
        <v>14273</v>
      </c>
      <c r="AP346" s="360">
        <f>IF(AP302=0,0,AP82+(AP302-AO302))</f>
        <v>20838</v>
      </c>
      <c r="AQ346" s="315">
        <f>IF(AQ302=0,0,AQ82+(AQ302-AP302))</f>
        <v>19079</v>
      </c>
      <c r="AR346" s="359">
        <f>SUM(AN346:AQ346)</f>
        <v>71806</v>
      </c>
      <c r="AS346" s="360">
        <f>IF(AS302=0,0,AS82+(AS302-AR302))</f>
        <v>21610</v>
      </c>
      <c r="AT346" s="360">
        <f>IF(AT302=0,0,AT82+(AT302-AS302))</f>
        <v>13843</v>
      </c>
      <c r="AU346" s="360">
        <f>IF(AU302=0,0,AU82+(AU302-AT302))</f>
        <v>26627</v>
      </c>
      <c r="AV346" s="315">
        <f>IF(AV302=0,0,AV82+(AV302-AU302))</f>
        <v>42355</v>
      </c>
      <c r="AW346" s="359">
        <f>SUM(AS346:AV346)</f>
        <v>104435</v>
      </c>
      <c r="AX346" s="360">
        <f>IF(AX302=0,0,AX82+(AX302-AW302))</f>
        <v>38283</v>
      </c>
      <c r="AY346" s="360">
        <f>IF(AY302=0,0,AY82+(AY302-AX302))</f>
        <v>16005</v>
      </c>
      <c r="AZ346" s="360">
        <f>IF(AZ302=0,0,AZ82+(AZ302-AY302))</f>
        <v>23108</v>
      </c>
      <c r="BA346" s="315">
        <f>IF(BA302=0,0,BA82+(BA302-AZ302))</f>
        <v>37002</v>
      </c>
      <c r="BB346" s="359">
        <f>IF(BB302=0,0,BB82+(BB302-AW302))</f>
        <v>114398</v>
      </c>
      <c r="BC346" s="360">
        <f>IF(BC302=0,0,BC82+(BC302-BB302))</f>
        <v>20093</v>
      </c>
      <c r="BD346" s="315">
        <f>IF(BD302=0,0,BD82+(BD302-BC302))</f>
        <v>37415</v>
      </c>
      <c r="BE346" s="360">
        <f>IF(BE302=0,0,BE82+(BE302-BD302))</f>
        <v>28130</v>
      </c>
      <c r="BF346" s="315">
        <f>IF(BF302=0,0,BF82+(BF302-BE302))</f>
        <v>51185.3</v>
      </c>
      <c r="BG346" s="359">
        <f>IF(BG302=0,0,BG82+(BG302-BB302))</f>
        <v>136823.29999999999</v>
      </c>
      <c r="BH346" s="665">
        <f>IF(BH302=0,0,BH82+(BH302-BG302))</f>
        <v>20565</v>
      </c>
      <c r="BI346" s="315">
        <f>IF(BI302=0,0,BI82+(BI302-BH302))</f>
        <v>25345</v>
      </c>
      <c r="BJ346" s="665">
        <f>IF(BJ302=0,0,BJ82+(BJ302-BI302))</f>
        <v>72884</v>
      </c>
      <c r="BK346" s="620">
        <f>IF(BK302=0,0,BK82+(BK302-BJ302))</f>
        <v>36368</v>
      </c>
      <c r="BL346" s="359">
        <f>IF(BL302=0,0,BL82+(BL302-BG302))</f>
        <v>155162</v>
      </c>
      <c r="BM346" s="665">
        <f>IF(BM302=0,0,BM82+(BM302-BL302))</f>
        <v>17749</v>
      </c>
      <c r="BN346" s="620">
        <f>IF(BN302=0,0,BN82+(BN302-BM302))</f>
        <v>21143</v>
      </c>
      <c r="BO346" s="665">
        <f>IF(BO302=0,0,BO82+(BO302-BN302))</f>
        <v>18849</v>
      </c>
      <c r="BP346" s="620">
        <f>IF(BP302=0,0,BP82+(BP302-BO302))</f>
        <v>27973</v>
      </c>
      <c r="BQ346" s="666">
        <f>IF(BQ302=0,0,BQ82+(BQ302-BL302))</f>
        <v>85714</v>
      </c>
      <c r="BR346" s="665">
        <f>IF(BR302=0,0,BR82+(BR302-BQ302))</f>
        <v>16232</v>
      </c>
      <c r="BS346" s="620">
        <f>IF(BS302=0,0,BS82+(BS302-BR302))</f>
        <v>17555</v>
      </c>
      <c r="BT346" s="665">
        <f>IF(BT302=0,0,BT82+(BT302-BS302))</f>
        <v>9798</v>
      </c>
      <c r="BU346" s="620">
        <f>IF(BU302=0,0,BU82+(BU302-BT302))</f>
        <v>32663</v>
      </c>
      <c r="BV346" s="666">
        <f>IF(BV302=0,0,BV82+(BV302-BQ302))</f>
        <v>76248</v>
      </c>
      <c r="BW346" s="665">
        <f>IF(BW302=0,0,BW82+(BW302-BV302))</f>
        <v>25184</v>
      </c>
      <c r="BX346" s="620">
        <f>IF(BX302=0,0,BX82+(BX302-BW302))</f>
        <v>29151</v>
      </c>
      <c r="BY346" s="665">
        <f>IF(BY302=0,0,BY82+(BY302-BX302))</f>
        <v>16494</v>
      </c>
      <c r="BZ346" s="620">
        <f>IF(BZ302=0,0,BZ82+(BZ302-BY302))</f>
        <v>22085</v>
      </c>
      <c r="CA346" s="666">
        <f>IF(CA302=0,0,CA82+(CA302-BV302))</f>
        <v>92914</v>
      </c>
      <c r="CB346" s="665">
        <f>IF(CB302=0,0,CB82+(CB302-CA302))</f>
        <v>27938</v>
      </c>
      <c r="CC346" s="620">
        <f>IF(CC302=0,0,CC82+(CC302-CB302))</f>
        <v>26753</v>
      </c>
      <c r="CD346" s="665">
        <f>IF(CD302=0,0,CD82+(CD302-CC302))</f>
        <v>23377</v>
      </c>
      <c r="CE346" s="620">
        <f>IF(CE302=0,0,CE82+(CE302-CD302))</f>
        <v>35346</v>
      </c>
      <c r="CF346" s="666">
        <f>IF(CF302=0,0,CF82+(CF302-CA302))</f>
        <v>113414</v>
      </c>
      <c r="CG346" s="665">
        <f t="shared" ref="CG346:CJ346" si="1331">IF(CG302=0,0,CG82+(CG302-CF302))</f>
        <v>19605</v>
      </c>
      <c r="CH346" s="665">
        <f t="shared" si="1331"/>
        <v>3867</v>
      </c>
      <c r="CI346" s="665">
        <f t="shared" si="1331"/>
        <v>14840</v>
      </c>
      <c r="CJ346" s="665">
        <f t="shared" si="1331"/>
        <v>9275</v>
      </c>
      <c r="CK346" s="666">
        <f>IF(CK302=0,0,CK82+(CK302-CF302))</f>
        <v>47587</v>
      </c>
      <c r="CL346" s="665">
        <f t="shared" ref="CL346" si="1332">IF(CL302=0,0,CL82+(CL302-CK302))</f>
        <v>-8237</v>
      </c>
      <c r="CM346" s="665">
        <f t="shared" ref="CM346" si="1333">IF(CM302=0,0,CM82+(CM302-CL302))</f>
        <v>-13589</v>
      </c>
      <c r="CN346" s="665">
        <f t="shared" ref="CN346" si="1334">IF(CN302=0,0,CN82+(CN302-CM302))</f>
        <v>-762</v>
      </c>
      <c r="CO346" s="665">
        <f t="shared" ref="CO346" si="1335">IF(CO302=0,0,CO82+(CO302-CN302))</f>
        <v>-17320</v>
      </c>
      <c r="CP346" s="666">
        <f>IF(CP302=0,0,CP82+(CP302-CK302))</f>
        <v>-39908</v>
      </c>
      <c r="CQ346" s="665">
        <f t="shared" ref="CQ346" si="1336">IF(CQ302=0,0,CQ82+(CQ302-CP302))</f>
        <v>16672</v>
      </c>
      <c r="CR346" s="665">
        <f t="shared" ref="CR346" si="1337">IF(CR302=0,0,CR82+(CR302-CQ302))</f>
        <v>17145</v>
      </c>
      <c r="CS346" s="665">
        <f t="shared" ref="CS346" si="1338">IF(CS302=0,0,CS82+(CS302-CR302))</f>
        <v>19320</v>
      </c>
      <c r="CT346" s="665">
        <f t="shared" ref="CT346" si="1339">IF(CT302=0,0,CT82+(CT302-CS302))</f>
        <v>23424</v>
      </c>
      <c r="CU346" s="666">
        <f>IF(CU302=0,0,CU82+(CU302-CP302))</f>
        <v>76561</v>
      </c>
      <c r="CV346" s="665">
        <f t="shared" ref="CV346" si="1340">IF(CV302=0,0,CV82+(CV302-CU302))</f>
        <v>7950</v>
      </c>
      <c r="CW346" s="665">
        <f t="shared" ref="CW346" si="1341">IF(CW302=0,0,CW82+(CW302-CV302))</f>
        <v>18457</v>
      </c>
      <c r="CX346" s="665">
        <f t="shared" ref="CX346" si="1342">IF(CX302=0,0,CX82+(CX302-CW302))</f>
        <v>25419</v>
      </c>
      <c r="CY346" s="665">
        <f t="shared" ref="CY346" si="1343">IF(CY302=0,0,CY82+(CY302-CX302))</f>
        <v>42269</v>
      </c>
      <c r="CZ346" s="666">
        <f>IF(CZ302=0,0,CZ82+(CZ302-CU302))</f>
        <v>94095</v>
      </c>
      <c r="DA346" s="665">
        <f t="shared" ref="DA346" si="1344">IF(DA302=0,0,DA82+(DA302-CZ302))</f>
        <v>25530</v>
      </c>
      <c r="DB346" s="665">
        <f t="shared" ref="DB346" si="1345">IF(DB302=0,0,DB82+(DB302-DA302))</f>
        <v>48316</v>
      </c>
      <c r="DC346" s="665">
        <f t="shared" ref="DC346" si="1346">IF(DC302=0,0,DC82+(DC302-DB302))</f>
        <v>47640</v>
      </c>
      <c r="DD346" s="665">
        <f t="shared" ref="DD346" si="1347">IF(DD302=0,0,DD82+(DD302-DC302))</f>
        <v>71630</v>
      </c>
      <c r="DE346" s="666">
        <f>IF(DE302=0,0,DE82+(DE302-CZ302))</f>
        <v>193116</v>
      </c>
      <c r="DF346" s="665">
        <f t="shared" ref="DF346:DP346" si="1348">IF(DF302=0,0,DF82+(DF302-DE302))</f>
        <v>25327</v>
      </c>
      <c r="DG346" s="665">
        <f t="shared" si="1348"/>
        <v>4218</v>
      </c>
      <c r="DH346" s="665">
        <f t="shared" si="1348"/>
        <v>11565</v>
      </c>
      <c r="DI346" s="665">
        <f t="shared" si="1348"/>
        <v>25086</v>
      </c>
      <c r="DJ346" s="666">
        <f>IF(DJ302=0,0,DJ82+(DJ302-DE302))</f>
        <v>66196</v>
      </c>
      <c r="DK346" s="665">
        <f t="shared" si="1348"/>
        <v>42312</v>
      </c>
      <c r="DL346" s="665">
        <f t="shared" si="1348"/>
        <v>96889</v>
      </c>
      <c r="DM346" s="665">
        <f t="shared" si="1348"/>
        <v>37813</v>
      </c>
      <c r="DN346" s="665">
        <f t="shared" si="1348"/>
        <v>65327</v>
      </c>
      <c r="DO346" s="666">
        <f>IF(DO302=0,0,DO82+(DO302-DJ302))</f>
        <v>242341</v>
      </c>
      <c r="DP346" s="665">
        <f t="shared" si="1348"/>
        <v>31545</v>
      </c>
      <c r="DQ346" s="665">
        <f t="shared" ref="DQ346" si="1349">IF(DQ302=0,0,DQ82+(DQ302-DP302))</f>
        <v>45202</v>
      </c>
      <c r="DR346" s="665">
        <f t="shared" ref="DR346" si="1350">IF(DR302=0,0,DR82+(DR302-DQ302))</f>
        <v>0</v>
      </c>
      <c r="DS346" s="665">
        <f t="shared" ref="DS346" si="1351">IF(DS302=0,0,DS82+(DS302-DR302))</f>
        <v>0</v>
      </c>
      <c r="DT346" s="666">
        <f>IF(DT302=0,0,DT82+(DT302-DO302))</f>
        <v>0</v>
      </c>
      <c r="DU346" s="665">
        <f t="shared" ref="DU346" si="1352">IF(DU302=0,0,DU82+(DU302-DT302))</f>
        <v>0</v>
      </c>
      <c r="DV346" s="665">
        <f t="shared" ref="DV346" si="1353">IF(DV302=0,0,DV82+(DV302-DU302))</f>
        <v>0</v>
      </c>
      <c r="DW346" s="665">
        <f t="shared" ref="DW346" si="1354">IF(DW302=0,0,DW82+(DW302-DV302))</f>
        <v>0</v>
      </c>
      <c r="DX346" s="665">
        <f t="shared" ref="DX346" si="1355">IF(DX302=0,0,DX82+(DX302-DW302))</f>
        <v>0</v>
      </c>
      <c r="DY346" s="666">
        <f>IF(DY302=0,0,DY82+(DY302-DT302))</f>
        <v>0</v>
      </c>
      <c r="DZ346" s="666">
        <f t="shared" ref="DZ346" si="1356">IF(DZ302=0,0,DZ82+(DZ302-DY302))</f>
        <v>0</v>
      </c>
      <c r="EA346" s="666">
        <f t="shared" ref="EA346" si="1357">IF(EA302=0,0,EA82+(EA302-DZ302))</f>
        <v>0</v>
      </c>
      <c r="EB346" s="666">
        <f t="shared" ref="EB346" si="1358">IF(EB302=0,0,EB82+(EB302-EA302))</f>
        <v>0</v>
      </c>
    </row>
    <row r="347" spans="2:132" s="74" customFormat="1" ht="12" hidden="1" customHeight="1" outlineLevel="1">
      <c r="B347" s="167" t="s">
        <v>497</v>
      </c>
      <c r="C347" s="365"/>
      <c r="D347" s="365">
        <f t="shared" ref="D347:M347" si="1359">D82+(D304-C304)</f>
        <v>44810</v>
      </c>
      <c r="E347" s="365">
        <f t="shared" si="1359"/>
        <v>45245</v>
      </c>
      <c r="F347" s="365">
        <f t="shared" si="1359"/>
        <v>79573</v>
      </c>
      <c r="G347" s="365">
        <f t="shared" si="1359"/>
        <v>40389</v>
      </c>
      <c r="H347" s="365">
        <f t="shared" si="1359"/>
        <v>58851</v>
      </c>
      <c r="I347" s="365">
        <f t="shared" si="1359"/>
        <v>67024</v>
      </c>
      <c r="J347" s="350">
        <f t="shared" si="1359"/>
        <v>5585</v>
      </c>
      <c r="K347" s="350">
        <f t="shared" si="1359"/>
        <v>14476</v>
      </c>
      <c r="L347" s="350">
        <f t="shared" si="1359"/>
        <v>22416</v>
      </c>
      <c r="M347" s="350">
        <f t="shared" si="1359"/>
        <v>12068</v>
      </c>
      <c r="N347" s="365">
        <f>SUM(J347:M347)</f>
        <v>54545</v>
      </c>
      <c r="O347" s="350">
        <f>O82+(O304-N304)</f>
        <v>10538</v>
      </c>
      <c r="P347" s="350">
        <f>P82+(P304-O304)</f>
        <v>29325</v>
      </c>
      <c r="Q347" s="350">
        <f>Q82+(Q304-P304)</f>
        <v>20295</v>
      </c>
      <c r="R347" s="350">
        <f>R82+(R304-Q304)</f>
        <v>42260</v>
      </c>
      <c r="S347" s="365">
        <f>SUM(O347:R347)</f>
        <v>102418</v>
      </c>
      <c r="T347" s="366">
        <f>T82+(T304-S304)</f>
        <v>21800</v>
      </c>
      <c r="U347" s="366">
        <f>U82+(U304-T304)</f>
        <v>22338</v>
      </c>
      <c r="V347" s="366">
        <f>V82+(V304-U304)</f>
        <v>23579</v>
      </c>
      <c r="W347" s="350">
        <f>W82+(W304-V304)</f>
        <v>39007</v>
      </c>
      <c r="X347" s="365">
        <f>SUM(T347:W347)</f>
        <v>106724</v>
      </c>
      <c r="Y347" s="366">
        <f>Y82+(Y304-X304)</f>
        <v>27201</v>
      </c>
      <c r="Z347" s="366">
        <f>Z82+(Z304-Y304)</f>
        <v>35429</v>
      </c>
      <c r="AA347" s="366">
        <f>AA82+(AA304-Z304)</f>
        <v>31144</v>
      </c>
      <c r="AB347" s="350">
        <f>AB82+(AB304-AA304)</f>
        <v>49510</v>
      </c>
      <c r="AC347" s="365">
        <f>SUM(Y347:AB347)</f>
        <v>143284</v>
      </c>
      <c r="AD347" s="366">
        <f>AD82+(AD304-AC304)</f>
        <v>35067</v>
      </c>
      <c r="AE347" s="366">
        <f>AE82+(AE304-AD304)</f>
        <v>16876</v>
      </c>
      <c r="AF347" s="366">
        <f>AF82+(AF304-AE304)</f>
        <v>18507</v>
      </c>
      <c r="AG347" s="350">
        <f>AG82+(AG304-AF304)</f>
        <v>15365</v>
      </c>
      <c r="AH347" s="365">
        <f>SUM(AD347:AG347)</f>
        <v>85815</v>
      </c>
      <c r="AI347" s="366">
        <f>AI82+(AI304-AH304)</f>
        <v>3894</v>
      </c>
      <c r="AJ347" s="366">
        <f>AJ82+(AJ304-AI304)</f>
        <v>5179</v>
      </c>
      <c r="AK347" s="366">
        <f>AK82+(AK304-AJ304)</f>
        <v>9223</v>
      </c>
      <c r="AL347" s="350">
        <f>IF(AL304=0,0,AL82+(AL304-AK304))</f>
        <v>13483</v>
      </c>
      <c r="AM347" s="365">
        <f>SUM(AI347:AL347)</f>
        <v>31779</v>
      </c>
      <c r="AN347" s="366">
        <f>AN82+(AN304-AM304)</f>
        <v>14458</v>
      </c>
      <c r="AO347" s="366">
        <f>IF(AO304=0,0,AO82+(AO304-AN304))</f>
        <v>13073</v>
      </c>
      <c r="AP347" s="366">
        <f>IF(AP304=0,0,AP82+(AP304-AO304))</f>
        <v>25563</v>
      </c>
      <c r="AQ347" s="350">
        <f>IF(AQ304=0,0,AQ82+(AQ304-AP304))</f>
        <v>16554</v>
      </c>
      <c r="AR347" s="365">
        <f>SUM(AN347:AQ347)</f>
        <v>69648</v>
      </c>
      <c r="AS347" s="366">
        <f>IF(AS304=0,0,AS82+(AS304-AR304))</f>
        <v>23010</v>
      </c>
      <c r="AT347" s="366">
        <f>IF(AT304=0,0,AT82+(AT304-AS304))</f>
        <v>11143</v>
      </c>
      <c r="AU347" s="366">
        <f>IF(AU304=0,0,AU82+(AU304-AT304))</f>
        <v>25727</v>
      </c>
      <c r="AV347" s="350">
        <f>IF(AV304=0,0,AV82+(AV304-AU304))</f>
        <v>43455</v>
      </c>
      <c r="AW347" s="365">
        <f>SUM(AS347:AV347)</f>
        <v>103335</v>
      </c>
      <c r="AX347" s="366">
        <f>IF(AX304=0,0,AX82+(AX304-AW304))</f>
        <v>43683</v>
      </c>
      <c r="AY347" s="366">
        <f>IF(AY304=0,0,AY82+(AY304-AX304))</f>
        <v>14005</v>
      </c>
      <c r="AZ347" s="366">
        <f>IF(AZ304=0,0,AZ82+(AZ304-AY304))</f>
        <v>23808</v>
      </c>
      <c r="BA347" s="350">
        <f>IF(BA304=0,0,BA82+(BA304-AZ304))</f>
        <v>35002</v>
      </c>
      <c r="BB347" s="365">
        <f>IF(BB304=0,0,BB82+(BB304-AW304))</f>
        <v>116498</v>
      </c>
      <c r="BC347" s="366">
        <f>IF(BC304=0,0,BC82+(BC304-BB304))</f>
        <v>20293</v>
      </c>
      <c r="BD347" s="350">
        <f>IF(BD304=0,0,BD82+(BD304-BC304))</f>
        <v>40415</v>
      </c>
      <c r="BE347" s="366">
        <f>IF(BE304=0,0,BE82+(BE304-BD304))</f>
        <v>26930</v>
      </c>
      <c r="BF347" s="350">
        <f>IF(BF304=0,0,BF82+(BF304-BE304))</f>
        <v>49585.3</v>
      </c>
      <c r="BG347" s="365">
        <f>IF(BG304=0,0,BG82+(BG304-BB304))</f>
        <v>137223.29999999999</v>
      </c>
      <c r="BH347" s="671">
        <f>IF(BH304=0,0,BH82+(BH304-BG304))</f>
        <v>19365</v>
      </c>
      <c r="BI347" s="350">
        <f>IF(BI304=0,0,BI82+(BI304-BH304))</f>
        <v>22545</v>
      </c>
      <c r="BJ347" s="671">
        <f>IF(BJ304=0,0,BJ82+(BJ304-BI304))</f>
        <v>73484</v>
      </c>
      <c r="BK347" s="672">
        <f>IF(BK304=0,0,BK82+(BK304-BJ304))</f>
        <v>36768</v>
      </c>
      <c r="BL347" s="365">
        <f>IF(BL304=0,0,BL82+(BL304-BG304))</f>
        <v>152162</v>
      </c>
      <c r="BM347" s="671">
        <f>IF(BM304=0,0,BM82+(BM304-BL304))</f>
        <v>14949</v>
      </c>
      <c r="BN347" s="672">
        <f>IF(BN304=0,0,BN82+(BN304-BM304))</f>
        <v>18243</v>
      </c>
      <c r="BO347" s="671">
        <f>IF(BO304=0,0,BO82+(BO304-BN304))</f>
        <v>21849</v>
      </c>
      <c r="BP347" s="672">
        <f>IF(BP304=0,0,BP82+(BP304-BO304))</f>
        <v>28073</v>
      </c>
      <c r="BQ347" s="673">
        <f>IF(BQ304=0,0,BQ82+(BQ304-BL304))</f>
        <v>83114</v>
      </c>
      <c r="BR347" s="671">
        <f>IF(BR304=0,0,BR82+(BR304-BQ304))</f>
        <v>13332</v>
      </c>
      <c r="BS347" s="672">
        <f>IF(BS304=0,0,BS82+(BS304-BR304))</f>
        <v>16955</v>
      </c>
      <c r="BT347" s="671">
        <f>IF(BT304=0,0,BT82+(BT304-BS304))</f>
        <v>13698</v>
      </c>
      <c r="BU347" s="672">
        <f>IF(BU304=0,0,BU82+(BU304-BT304))</f>
        <v>34778</v>
      </c>
      <c r="BV347" s="673">
        <f>IF(BV304=0,0,BV82+(BV304-BQ304))</f>
        <v>78763</v>
      </c>
      <c r="BW347" s="671">
        <f>IF(BW304=0,0,BW82+(BW304-BV304))</f>
        <v>27969</v>
      </c>
      <c r="BX347" s="672">
        <f>IF(BX304=0,0,BX82+(BX304-BW304))</f>
        <v>25751</v>
      </c>
      <c r="BY347" s="671">
        <f>IF(BY304=0,0,BY82+(BY304-BX304))</f>
        <v>16311</v>
      </c>
      <c r="BZ347" s="672">
        <f>IF(BZ304=0,0,BZ82+(BZ304-BY304))</f>
        <v>25324</v>
      </c>
      <c r="CA347" s="673">
        <f>IF(CA304=0,0,CA82+(CA304-BV304))</f>
        <v>95355</v>
      </c>
      <c r="CB347" s="671">
        <f>IF(CB304=0,0,CB82+(CB304-CA304))</f>
        <v>34785</v>
      </c>
      <c r="CC347" s="672">
        <f>IF(CC304=0,0,CC82+(CC304-CB304))</f>
        <v>26049</v>
      </c>
      <c r="CD347" s="671">
        <f>IF(CD304=0,0,CD82+(CD304-CC304))</f>
        <v>28289</v>
      </c>
      <c r="CE347" s="672">
        <f>IF(CE304=0,0,CE82+(CE304-CD304))</f>
        <v>35046</v>
      </c>
      <c r="CF347" s="673">
        <f>IF(CF304=0,0,CF82+(CF304-CA304))</f>
        <v>124169</v>
      </c>
      <c r="CG347" s="671">
        <f t="shared" ref="CG347:CJ347" si="1360">IF(CG304=0,0,CG82+(CG304-CF304))</f>
        <v>19045</v>
      </c>
      <c r="CH347" s="671">
        <f t="shared" si="1360"/>
        <v>1451</v>
      </c>
      <c r="CI347" s="671">
        <f t="shared" si="1360"/>
        <v>14919</v>
      </c>
      <c r="CJ347" s="671">
        <f t="shared" si="1360"/>
        <v>10691</v>
      </c>
      <c r="CK347" s="673">
        <f>IF(CK304=0,0,CK82+(CK304-CF304))</f>
        <v>46106</v>
      </c>
      <c r="CL347" s="671">
        <f t="shared" ref="CL347" si="1361">IF(CL304=0,0,CL82+(CL304-CK304))</f>
        <v>-10738</v>
      </c>
      <c r="CM347" s="671">
        <f t="shared" ref="CM347" si="1362">IF(CM304=0,0,CM82+(CM304-CL304))</f>
        <v>-14757</v>
      </c>
      <c r="CN347" s="671">
        <f t="shared" ref="CN347" si="1363">IF(CN304=0,0,CN82+(CN304-CM304))</f>
        <v>128</v>
      </c>
      <c r="CO347" s="671">
        <f t="shared" ref="CO347" si="1364">IF(CO304=0,0,CO82+(CO304-CN304))</f>
        <v>-17376</v>
      </c>
      <c r="CP347" s="673">
        <f>IF(CP304=0,0,CP82+(CP304-CK304))</f>
        <v>-42743</v>
      </c>
      <c r="CQ347" s="671">
        <f t="shared" ref="CQ347" si="1365">IF(CQ304=0,0,CQ82+(CQ304-CP304))</f>
        <v>14738</v>
      </c>
      <c r="CR347" s="671">
        <f t="shared" ref="CR347" si="1366">IF(CR304=0,0,CR82+(CR304-CQ304))</f>
        <v>16189</v>
      </c>
      <c r="CS347" s="671">
        <f t="shared" ref="CS347" si="1367">IF(CS304=0,0,CS82+(CS304-CR304))</f>
        <v>17030</v>
      </c>
      <c r="CT347" s="671">
        <f t="shared" ref="CT347" si="1368">IF(CT304=0,0,CT82+(CT304-CS304))</f>
        <v>25646</v>
      </c>
      <c r="CU347" s="673">
        <f>IF(CU304=0,0,CU82+(CU304-CP304))</f>
        <v>73603</v>
      </c>
      <c r="CV347" s="671">
        <f t="shared" ref="CV347" si="1369">IF(CV304=0,0,CV82+(CV304-CU304))</f>
        <v>9234</v>
      </c>
      <c r="CW347" s="671">
        <f t="shared" ref="CW347" si="1370">IF(CW304=0,0,CW82+(CW304-CV304))</f>
        <v>16524</v>
      </c>
      <c r="CX347" s="671">
        <f t="shared" ref="CX347" si="1371">IF(CX304=0,0,CX82+(CX304-CW304))</f>
        <v>23320</v>
      </c>
      <c r="CY347" s="671">
        <f t="shared" ref="CY347" si="1372">IF(CY304=0,0,CY82+(CY304-CX304))</f>
        <v>46284</v>
      </c>
      <c r="CZ347" s="673">
        <f>IF(CZ304=0,0,CZ82+(CZ304-CU304))</f>
        <v>95362</v>
      </c>
      <c r="DA347" s="671">
        <f t="shared" ref="DA347" si="1373">IF(DA304=0,0,DA82+(DA304-CZ304))</f>
        <v>25819</v>
      </c>
      <c r="DB347" s="671">
        <f t="shared" ref="DB347" si="1374">IF(DB304=0,0,DB82+(DB304-DA304))</f>
        <v>48150</v>
      </c>
      <c r="DC347" s="671">
        <f t="shared" ref="DC347" si="1375">IF(DC304=0,0,DC82+(DC304-DB304))</f>
        <v>48092</v>
      </c>
      <c r="DD347" s="671">
        <f t="shared" ref="DD347" si="1376">IF(DD304=0,0,DD82+(DD304-DC304))</f>
        <v>71752</v>
      </c>
      <c r="DE347" s="673">
        <f>IF(DE304=0,0,DE82+(DE304-CZ304))</f>
        <v>193813</v>
      </c>
      <c r="DF347" s="671">
        <f t="shared" ref="DF347:DP347" si="1377">IF(DF304=0,0,DF82+(DF304-DE304))</f>
        <v>25057</v>
      </c>
      <c r="DG347" s="671">
        <f t="shared" si="1377"/>
        <v>1903</v>
      </c>
      <c r="DH347" s="671">
        <f t="shared" si="1377"/>
        <v>12233</v>
      </c>
      <c r="DI347" s="671">
        <f t="shared" si="1377"/>
        <v>26436</v>
      </c>
      <c r="DJ347" s="673">
        <f>IF(DJ304=0,0,DJ82+(DJ304-DE304))</f>
        <v>65629</v>
      </c>
      <c r="DK347" s="671">
        <f t="shared" si="1377"/>
        <v>40550</v>
      </c>
      <c r="DL347" s="671">
        <f t="shared" si="1377"/>
        <v>110908</v>
      </c>
      <c r="DM347" s="671">
        <f t="shared" si="1377"/>
        <v>40159</v>
      </c>
      <c r="DN347" s="671">
        <f t="shared" si="1377"/>
        <v>70676</v>
      </c>
      <c r="DO347" s="673">
        <f>IF(DO304=0,0,DO82+(DO304-DJ304))</f>
        <v>262293</v>
      </c>
      <c r="DP347" s="671">
        <f t="shared" si="1377"/>
        <v>31097</v>
      </c>
      <c r="DQ347" s="671">
        <f t="shared" ref="DQ347" si="1378">IF(DQ304=0,0,DQ82+(DQ304-DP304))</f>
        <v>43919</v>
      </c>
      <c r="DR347" s="671">
        <f t="shared" ref="DR347" si="1379">IF(DR304=0,0,DR82+(DR304-DQ304))</f>
        <v>0</v>
      </c>
      <c r="DS347" s="671">
        <f t="shared" ref="DS347" si="1380">IF(DS304=0,0,DS82+(DS304-DR304))</f>
        <v>0</v>
      </c>
      <c r="DT347" s="673">
        <f>IF(DT304=0,0,DT82+(DT304-DO304))</f>
        <v>0</v>
      </c>
      <c r="DU347" s="671">
        <f t="shared" ref="DU347" si="1381">IF(DU304=0,0,DU82+(DU304-DT304))</f>
        <v>0</v>
      </c>
      <c r="DV347" s="671">
        <f t="shared" ref="DV347" si="1382">IF(DV304=0,0,DV82+(DV304-DU304))</f>
        <v>0</v>
      </c>
      <c r="DW347" s="671">
        <f t="shared" ref="DW347" si="1383">IF(DW304=0,0,DW82+(DW304-DV304))</f>
        <v>0</v>
      </c>
      <c r="DX347" s="671">
        <f t="shared" ref="DX347" si="1384">IF(DX304=0,0,DX82+(DX304-DW304))</f>
        <v>0</v>
      </c>
      <c r="DY347" s="673">
        <f>IF(DY304=0,0,DY82+(DY304-DT304))</f>
        <v>0</v>
      </c>
      <c r="DZ347" s="673">
        <f t="shared" ref="DZ347" si="1385">IF(DZ304=0,0,DZ82+(DZ304-DY304))</f>
        <v>0</v>
      </c>
      <c r="EA347" s="673">
        <f t="shared" ref="EA347" si="1386">IF(EA304=0,0,EA82+(EA304-DZ304))</f>
        <v>0</v>
      </c>
      <c r="EB347" s="673">
        <f t="shared" ref="EB347" si="1387">IF(EB304=0,0,EB82+(EB304-EA304))</f>
        <v>0</v>
      </c>
    </row>
    <row r="348" spans="2:132" s="241" customFormat="1" ht="12" hidden="1" customHeight="1" outlineLevel="1">
      <c r="B348" s="348"/>
      <c r="C348" s="353"/>
      <c r="D348" s="353"/>
      <c r="E348" s="353"/>
      <c r="F348" s="353"/>
      <c r="G348" s="353"/>
      <c r="H348" s="353"/>
      <c r="I348" s="353"/>
      <c r="J348" s="354"/>
      <c r="K348" s="354"/>
      <c r="L348" s="354"/>
      <c r="M348" s="354"/>
      <c r="N348" s="353"/>
      <c r="O348" s="354"/>
      <c r="P348" s="354"/>
      <c r="Q348" s="354"/>
      <c r="R348" s="354"/>
      <c r="S348" s="353"/>
      <c r="T348" s="354"/>
      <c r="U348" s="354"/>
      <c r="V348" s="354"/>
      <c r="W348" s="354"/>
      <c r="X348" s="353"/>
      <c r="Y348" s="354"/>
      <c r="Z348" s="354"/>
      <c r="AA348" s="354"/>
      <c r="AB348" s="354"/>
      <c r="AC348" s="353"/>
      <c r="AD348" s="354"/>
      <c r="AE348" s="354"/>
      <c r="AF348" s="354"/>
      <c r="AG348" s="354"/>
      <c r="AH348" s="353"/>
      <c r="AI348" s="354"/>
      <c r="AJ348" s="354"/>
      <c r="AK348" s="354"/>
      <c r="AL348" s="354"/>
      <c r="AM348" s="367"/>
      <c r="AN348" s="368"/>
      <c r="AO348" s="368"/>
      <c r="AP348" s="368"/>
      <c r="AQ348" s="354"/>
      <c r="AR348" s="367"/>
      <c r="AS348" s="368"/>
      <c r="AT348" s="368"/>
      <c r="AU348" s="368"/>
      <c r="AV348" s="354"/>
      <c r="AW348" s="367"/>
      <c r="AX348" s="368"/>
      <c r="AY348" s="368"/>
      <c r="AZ348" s="368"/>
      <c r="BA348" s="354"/>
      <c r="BB348" s="367"/>
      <c r="BC348" s="368"/>
      <c r="BD348" s="354"/>
      <c r="BE348" s="368"/>
      <c r="BF348" s="354"/>
      <c r="BG348" s="367"/>
      <c r="BH348" s="618"/>
      <c r="BI348" s="354"/>
      <c r="BJ348" s="618"/>
      <c r="BK348" s="615"/>
      <c r="BL348" s="367"/>
      <c r="BM348" s="618"/>
      <c r="BN348" s="615"/>
      <c r="BO348" s="618"/>
      <c r="BP348" s="615"/>
      <c r="BQ348" s="619"/>
      <c r="BR348" s="618"/>
      <c r="BS348" s="615"/>
      <c r="BT348" s="618"/>
      <c r="BU348" s="615"/>
      <c r="BV348" s="619"/>
      <c r="BW348" s="618"/>
      <c r="BX348" s="615"/>
      <c r="BY348" s="618"/>
      <c r="BZ348" s="615"/>
      <c r="CA348" s="619"/>
      <c r="CB348" s="618"/>
      <c r="CC348" s="615"/>
      <c r="CD348" s="618"/>
      <c r="CE348" s="615"/>
      <c r="CF348" s="619"/>
      <c r="CG348" s="618"/>
      <c r="CH348" s="618"/>
      <c r="CI348" s="618"/>
      <c r="CJ348" s="618"/>
      <c r="CK348" s="619"/>
      <c r="CL348" s="618"/>
      <c r="CM348" s="618"/>
      <c r="CN348" s="618"/>
      <c r="CO348" s="618"/>
      <c r="CP348" s="619"/>
      <c r="CQ348" s="618"/>
      <c r="CR348" s="618"/>
      <c r="CS348" s="618"/>
      <c r="CT348" s="618"/>
      <c r="CU348" s="619"/>
      <c r="CV348" s="618"/>
      <c r="CW348" s="618"/>
      <c r="CX348" s="618"/>
      <c r="CY348" s="618"/>
      <c r="CZ348" s="619"/>
      <c r="DA348" s="618"/>
      <c r="DB348" s="618"/>
      <c r="DC348" s="618"/>
      <c r="DD348" s="618"/>
      <c r="DE348" s="619"/>
      <c r="DF348" s="618"/>
      <c r="DG348" s="618"/>
      <c r="DH348" s="618"/>
      <c r="DI348" s="618"/>
      <c r="DJ348" s="619"/>
      <c r="DK348" s="618"/>
      <c r="DL348" s="618"/>
      <c r="DM348" s="618"/>
      <c r="DN348" s="618"/>
      <c r="DO348" s="619"/>
      <c r="DP348" s="618"/>
      <c r="DQ348" s="618"/>
      <c r="DR348" s="618"/>
      <c r="DS348" s="618"/>
      <c r="DT348" s="619"/>
      <c r="DU348" s="618"/>
      <c r="DV348" s="618"/>
      <c r="DW348" s="618"/>
      <c r="DX348" s="618"/>
      <c r="DY348" s="619"/>
      <c r="DZ348" s="619"/>
      <c r="EA348" s="619"/>
      <c r="EB348" s="619"/>
    </row>
    <row r="349" spans="2:132" s="241" customFormat="1" ht="12" customHeight="1" collapsed="1">
      <c r="B349" s="163" t="s">
        <v>122</v>
      </c>
      <c r="C349" s="353"/>
      <c r="D349" s="353"/>
      <c r="E349" s="353"/>
      <c r="F349" s="353"/>
      <c r="G349" s="353"/>
      <c r="H349" s="353"/>
      <c r="I349" s="353"/>
      <c r="J349" s="354"/>
      <c r="K349" s="354"/>
      <c r="L349" s="354"/>
      <c r="M349" s="354"/>
      <c r="N349" s="353"/>
      <c r="O349" s="354"/>
      <c r="P349" s="354"/>
      <c r="Q349" s="354"/>
      <c r="R349" s="354"/>
      <c r="S349" s="353"/>
      <c r="T349" s="354"/>
      <c r="U349" s="354"/>
      <c r="V349" s="354"/>
      <c r="W349" s="354"/>
      <c r="X349" s="353"/>
      <c r="Y349" s="354"/>
      <c r="Z349" s="354"/>
      <c r="AA349" s="354"/>
      <c r="AB349" s="354"/>
      <c r="AC349" s="353"/>
      <c r="AD349" s="354"/>
      <c r="AE349" s="354"/>
      <c r="AF349" s="354"/>
      <c r="AG349" s="354"/>
      <c r="AH349" s="353"/>
      <c r="AI349" s="354"/>
      <c r="AJ349" s="354"/>
      <c r="AK349" s="354"/>
      <c r="AL349" s="354"/>
      <c r="AM349" s="353"/>
      <c r="AN349" s="354"/>
      <c r="AO349" s="354"/>
      <c r="AP349" s="354"/>
      <c r="AQ349" s="354"/>
      <c r="AR349" s="353"/>
      <c r="AS349" s="354"/>
      <c r="AT349" s="354"/>
      <c r="AU349" s="354"/>
      <c r="AV349" s="354"/>
      <c r="AW349" s="353"/>
      <c r="AX349" s="354"/>
      <c r="AY349" s="354"/>
      <c r="AZ349" s="354"/>
      <c r="BA349" s="354"/>
      <c r="BB349" s="353"/>
      <c r="BC349" s="354"/>
      <c r="BD349" s="354"/>
      <c r="BE349" s="354"/>
      <c r="BF349" s="354"/>
      <c r="BG349" s="353"/>
      <c r="BH349" s="615"/>
      <c r="BI349" s="354"/>
      <c r="BJ349" s="615"/>
      <c r="BK349" s="615"/>
      <c r="BL349" s="353"/>
      <c r="BM349" s="615"/>
      <c r="BN349" s="615"/>
      <c r="BO349" s="615"/>
      <c r="BP349" s="615"/>
      <c r="BQ349" s="14"/>
      <c r="BR349" s="615"/>
      <c r="BS349" s="615"/>
      <c r="BT349" s="615"/>
      <c r="BU349" s="615"/>
      <c r="BV349" s="14"/>
      <c r="BW349" s="615"/>
      <c r="BX349" s="615"/>
      <c r="BY349" s="615"/>
      <c r="BZ349" s="615"/>
      <c r="CA349" s="14"/>
      <c r="CB349" s="615"/>
      <c r="CC349" s="615"/>
      <c r="CD349" s="615"/>
      <c r="CE349" s="615"/>
      <c r="CF349" s="14"/>
      <c r="CG349" s="615"/>
      <c r="CH349" s="615"/>
      <c r="CI349" s="615"/>
      <c r="CJ349" s="615"/>
      <c r="CK349" s="14"/>
      <c r="CL349" s="615"/>
      <c r="CM349" s="615"/>
      <c r="CN349" s="615"/>
      <c r="CO349" s="615"/>
      <c r="CP349" s="14"/>
      <c r="CQ349" s="615"/>
      <c r="CR349" s="615"/>
      <c r="CS349" s="615"/>
      <c r="CT349" s="615"/>
      <c r="CU349" s="14"/>
      <c r="CV349" s="615"/>
      <c r="CW349" s="615"/>
      <c r="CX349" s="615"/>
      <c r="CY349" s="615"/>
      <c r="CZ349" s="14"/>
      <c r="DA349" s="615"/>
      <c r="DB349" s="615"/>
      <c r="DC349" s="615"/>
      <c r="DD349" s="615"/>
      <c r="DE349" s="14"/>
      <c r="DF349" s="615"/>
      <c r="DG349" s="615"/>
      <c r="DH349" s="615"/>
      <c r="DI349" s="615"/>
      <c r="DJ349" s="14"/>
      <c r="DK349" s="615"/>
      <c r="DL349" s="615"/>
      <c r="DM349" s="615"/>
      <c r="DN349" s="615"/>
      <c r="DO349" s="14"/>
      <c r="DP349" s="615"/>
      <c r="DQ349" s="615"/>
      <c r="DR349" s="615"/>
      <c r="DS349" s="615"/>
      <c r="DT349" s="14"/>
      <c r="DU349" s="615"/>
      <c r="DV349" s="615"/>
      <c r="DW349" s="615"/>
      <c r="DX349" s="615"/>
      <c r="DY349" s="14"/>
      <c r="DZ349" s="14"/>
      <c r="EA349" s="14"/>
      <c r="EB349" s="14"/>
    </row>
    <row r="350" spans="2:132" s="241" customFormat="1" ht="12" customHeight="1">
      <c r="B350" s="348" t="str">
        <f>B334</f>
        <v>Commercial Airplanes</v>
      </c>
      <c r="C350" s="369"/>
      <c r="D350" s="355">
        <f t="shared" ref="D350:AI350" si="1388">IF(ISERROR(D334/D36),"",(D334/D36))</f>
        <v>0.78250105500070333</v>
      </c>
      <c r="E350" s="355">
        <f t="shared" si="1388"/>
        <v>0.65932463745476322</v>
      </c>
      <c r="F350" s="355">
        <f t="shared" si="1388"/>
        <v>1.5392191460010907</v>
      </c>
      <c r="G350" s="355">
        <f t="shared" si="1388"/>
        <v>0.60263578274760388</v>
      </c>
      <c r="H350" s="355">
        <f t="shared" si="1388"/>
        <v>0.72906612181632435</v>
      </c>
      <c r="I350" s="355">
        <f t="shared" si="1388"/>
        <v>0.81122813280971084</v>
      </c>
      <c r="J350" s="370">
        <f t="shared" si="1388"/>
        <v>0.68011257035647277</v>
      </c>
      <c r="K350" s="370">
        <f t="shared" si="1388"/>
        <v>0.99206489155351785</v>
      </c>
      <c r="L350" s="370">
        <f t="shared" si="1388"/>
        <v>2.2947391116860714</v>
      </c>
      <c r="M350" s="370">
        <f t="shared" si="1388"/>
        <v>1.4195998517969619</v>
      </c>
      <c r="N350" s="355">
        <f t="shared" si="1388"/>
        <v>1.309930123116414</v>
      </c>
      <c r="O350" s="370">
        <f t="shared" si="1388"/>
        <v>0.65189125295508277</v>
      </c>
      <c r="P350" s="370">
        <f t="shared" si="1388"/>
        <v>3.6441375257126065</v>
      </c>
      <c r="Q350" s="370">
        <f t="shared" si="1388"/>
        <v>3.3177284754732344</v>
      </c>
      <c r="R350" s="370">
        <f t="shared" si="1388"/>
        <v>5.4513319672131146</v>
      </c>
      <c r="S350" s="355">
        <f t="shared" si="1388"/>
        <v>3.3700057392609599</v>
      </c>
      <c r="T350" s="370">
        <f t="shared" si="1388"/>
        <v>2.0555791861619168</v>
      </c>
      <c r="U350" s="370">
        <f t="shared" si="1388"/>
        <v>2.4189512160832281</v>
      </c>
      <c r="V350" s="370">
        <f t="shared" si="1388"/>
        <v>2.8446137755864336</v>
      </c>
      <c r="W350" s="370">
        <f t="shared" si="1388"/>
        <v>3.6636865632395477</v>
      </c>
      <c r="X350" s="355">
        <f t="shared" si="1388"/>
        <v>2.7616019673282981</v>
      </c>
      <c r="Y350" s="370">
        <f t="shared" si="1388"/>
        <v>2.8782263401720716</v>
      </c>
      <c r="Z350" s="370">
        <f t="shared" si="1388"/>
        <v>3.2124727230963592</v>
      </c>
      <c r="AA350" s="370">
        <f t="shared" si="1388"/>
        <v>3.0203439089367885</v>
      </c>
      <c r="AB350" s="370">
        <f t="shared" si="1388"/>
        <v>4.4696593728851797</v>
      </c>
      <c r="AC350" s="355">
        <f t="shared" si="1388"/>
        <v>3.4231713892050561</v>
      </c>
      <c r="AD350" s="370">
        <f t="shared" si="1388"/>
        <v>2.9621369930155619</v>
      </c>
      <c r="AE350" s="370">
        <f t="shared" si="1388"/>
        <v>1.3918524571028366</v>
      </c>
      <c r="AF350" s="370">
        <f t="shared" si="1388"/>
        <v>1.1904693348689894</v>
      </c>
      <c r="AG350" s="370">
        <f t="shared" si="1388"/>
        <v>1.5896709522771846</v>
      </c>
      <c r="AH350" s="355">
        <f t="shared" si="1388"/>
        <v>1.8279022042953685</v>
      </c>
      <c r="AI350" s="370">
        <f t="shared" si="1388"/>
        <v>-0.4673836801496376</v>
      </c>
      <c r="AJ350" s="370">
        <f t="shared" ref="AJ350:BO350" si="1389">IF(ISERROR(AJ334/AJ36),"",(AJ334/AJ36))</f>
        <v>-1.7672873917684736E-2</v>
      </c>
      <c r="AK350" s="370">
        <f t="shared" si="1389"/>
        <v>0.55537232018267157</v>
      </c>
      <c r="AL350" s="370">
        <f t="shared" si="1389"/>
        <v>0.62299901992812812</v>
      </c>
      <c r="AM350" s="355">
        <f t="shared" si="1389"/>
        <v>0.17479662858653197</v>
      </c>
      <c r="AN350" s="370">
        <f t="shared" si="1389"/>
        <v>0.98982324584895554</v>
      </c>
      <c r="AO350" s="370">
        <f t="shared" si="1389"/>
        <v>1.161442217139782</v>
      </c>
      <c r="AP350" s="370">
        <f t="shared" si="1389"/>
        <v>1.4087324265630359</v>
      </c>
      <c r="AQ350" s="370">
        <f t="shared" si="1389"/>
        <v>1.0518084066471163</v>
      </c>
      <c r="AR350" s="355">
        <f t="shared" si="1389"/>
        <v>1.1609599798957091</v>
      </c>
      <c r="AS350" s="370">
        <f t="shared" si="1389"/>
        <v>1.7445911772969935</v>
      </c>
      <c r="AT350" s="370">
        <f t="shared" si="1389"/>
        <v>0.88691620490783674</v>
      </c>
      <c r="AU350" s="370">
        <f t="shared" si="1389"/>
        <v>2.0930110352075668</v>
      </c>
      <c r="AV350" s="370">
        <f t="shared" si="1389"/>
        <v>3.150537634408602</v>
      </c>
      <c r="AW350" s="355">
        <f t="shared" si="1389"/>
        <v>2.042271432915872</v>
      </c>
      <c r="AX350" s="370">
        <f t="shared" si="1389"/>
        <v>2.0971930145378073</v>
      </c>
      <c r="AY350" s="370">
        <f t="shared" si="1389"/>
        <v>0.586253483070168</v>
      </c>
      <c r="AZ350" s="370">
        <f t="shared" si="1389"/>
        <v>1.4103069095683571</v>
      </c>
      <c r="BA350" s="370">
        <f t="shared" si="1389"/>
        <v>1.8403361344537814</v>
      </c>
      <c r="BB350" s="355">
        <f t="shared" si="1389"/>
        <v>1.4885297290695545</v>
      </c>
      <c r="BC350" s="370">
        <f t="shared" si="1389"/>
        <v>1.4396632366697848</v>
      </c>
      <c r="BD350" s="370">
        <f t="shared" si="1389"/>
        <v>2.15237815619495</v>
      </c>
      <c r="BE350" s="370">
        <f t="shared" si="1389"/>
        <v>1.4718667333952957</v>
      </c>
      <c r="BF350" s="370">
        <f t="shared" si="1389"/>
        <v>2.955000919599736</v>
      </c>
      <c r="BG350" s="355">
        <f t="shared" si="1389"/>
        <v>2.0513143316604161</v>
      </c>
      <c r="BH350" s="674">
        <f t="shared" si="1389"/>
        <v>1.0785114234121065</v>
      </c>
      <c r="BI350" s="370">
        <f t="shared" si="1389"/>
        <v>1.1607941834451903</v>
      </c>
      <c r="BJ350" s="674">
        <f t="shared" si="1389"/>
        <v>4.3085040347610182</v>
      </c>
      <c r="BK350" s="674">
        <f t="shared" si="1389"/>
        <v>1.6235524674861928</v>
      </c>
      <c r="BL350" s="355">
        <f t="shared" si="1389"/>
        <v>2.1185197532922153</v>
      </c>
      <c r="BM350" s="674">
        <f t="shared" si="1389"/>
        <v>0.6684220791886093</v>
      </c>
      <c r="BN350" s="674">
        <f t="shared" si="1389"/>
        <v>0.75114060555785978</v>
      </c>
      <c r="BO350" s="674">
        <f t="shared" si="1389"/>
        <v>0.72869093375536964</v>
      </c>
      <c r="BP350" s="674">
        <f t="shared" ref="BP350:CU350" si="1390">IF(ISERROR(BP334/BP36),"",(BP334/BP36))</f>
        <v>1.3354453969437197</v>
      </c>
      <c r="BQ350" s="657">
        <f t="shared" si="1390"/>
        <v>0.86827761627906974</v>
      </c>
      <c r="BR350" s="674">
        <f t="shared" si="1390"/>
        <v>0.34308281848752642</v>
      </c>
      <c r="BS350" s="674">
        <f t="shared" si="1390"/>
        <v>0.59087131624368727</v>
      </c>
      <c r="BT350" s="674">
        <f t="shared" si="1390"/>
        <v>0.48684210526315791</v>
      </c>
      <c r="BU350" s="674">
        <f t="shared" si="1390"/>
        <v>1.29453483521068</v>
      </c>
      <c r="BV350" s="657">
        <f t="shared" si="1390"/>
        <v>0.68344480452320211</v>
      </c>
      <c r="BW350" s="674">
        <f t="shared" si="1390"/>
        <v>1.1593453254072417</v>
      </c>
      <c r="BX350" s="674">
        <f t="shared" si="1390"/>
        <v>1.5812324929971988</v>
      </c>
      <c r="BY350" s="674">
        <f t="shared" si="1390"/>
        <v>0.27142207496914184</v>
      </c>
      <c r="BZ350" s="674">
        <f t="shared" si="1390"/>
        <v>0.93520925396412791</v>
      </c>
      <c r="CA350" s="657">
        <f t="shared" si="1390"/>
        <v>0.96814562002275317</v>
      </c>
      <c r="CB350" s="674">
        <f t="shared" si="1390"/>
        <v>1.3235998455001932</v>
      </c>
      <c r="CC350" s="674">
        <f t="shared" si="1390"/>
        <v>1.0247993119266054</v>
      </c>
      <c r="CD350" s="674">
        <f t="shared" si="1390"/>
        <v>0.81102977755667682</v>
      </c>
      <c r="CE350" s="674">
        <f t="shared" si="1390"/>
        <v>0.95420724699050274</v>
      </c>
      <c r="CF350" s="657">
        <f t="shared" si="1390"/>
        <v>1.019461208021009</v>
      </c>
      <c r="CG350" s="674">
        <f t="shared" si="1390"/>
        <v>-9.4231094569446797E-2</v>
      </c>
      <c r="CH350" s="674">
        <f t="shared" si="1390"/>
        <v>-0.89877170690385433</v>
      </c>
      <c r="CI350" s="674">
        <f t="shared" si="1390"/>
        <v>0.63534973936234695</v>
      </c>
      <c r="CJ350" s="674">
        <f t="shared" si="1390"/>
        <v>-0.44786920396676494</v>
      </c>
      <c r="CK350" s="657">
        <f t="shared" si="1390"/>
        <v>-0.10723918772283367</v>
      </c>
      <c r="CL350" s="674">
        <f t="shared" si="1390"/>
        <v>-2.9991941982272361</v>
      </c>
      <c r="CM350" s="674">
        <f t="shared" si="1390"/>
        <v>-14.985303123086345</v>
      </c>
      <c r="CN350" s="674">
        <f t="shared" si="1390"/>
        <v>-2.6123470522803114</v>
      </c>
      <c r="CO350" s="674">
        <f t="shared" si="1390"/>
        <v>-5.5769881556683591</v>
      </c>
      <c r="CP350" s="657">
        <f t="shared" si="1390"/>
        <v>-4.8782947654993194</v>
      </c>
      <c r="CQ350" s="674">
        <f t="shared" si="1390"/>
        <v>1.2419770438041695</v>
      </c>
      <c r="CR350" s="674">
        <f t="shared" si="1390"/>
        <v>1.4507065669160433</v>
      </c>
      <c r="CS350" s="674">
        <f t="shared" si="1390"/>
        <v>1.9670329670329669</v>
      </c>
      <c r="CT350" s="674">
        <f t="shared" si="1390"/>
        <v>2.5237894736842104</v>
      </c>
      <c r="CU350" s="657">
        <f t="shared" si="1390"/>
        <v>1.7845893397629919</v>
      </c>
      <c r="CV350" s="674">
        <f t="shared" ref="CV350:EB350" si="1391">IF(ISERROR(CV334/CV36),"",(CV334/CV36))</f>
        <v>-0.43042537851478008</v>
      </c>
      <c r="CW350" s="674">
        <f t="shared" si="1391"/>
        <v>1.9831162566328993</v>
      </c>
      <c r="CX350" s="674">
        <f t="shared" si="1391"/>
        <v>2.6164777263292351</v>
      </c>
      <c r="CY350" s="674">
        <f t="shared" si="1391"/>
        <v>3.4562012142237641</v>
      </c>
      <c r="CZ350" s="657">
        <f t="shared" si="1391"/>
        <v>2.2735145165655082</v>
      </c>
      <c r="DA350" s="674">
        <f t="shared" si="1391"/>
        <v>1.571599045346062</v>
      </c>
      <c r="DB350" s="674">
        <f t="shared" si="1391"/>
        <v>4.3042986425339365</v>
      </c>
      <c r="DC350" s="674">
        <f t="shared" si="1391"/>
        <v>4.7124174707973587</v>
      </c>
      <c r="DD350" s="674">
        <f t="shared" si="1391"/>
        <v>5.6180707947714916</v>
      </c>
      <c r="DE350" s="657">
        <f t="shared" si="1391"/>
        <v>4.264888941329164</v>
      </c>
      <c r="DF350" s="674">
        <f t="shared" si="1391"/>
        <v>2.5099935525467441</v>
      </c>
      <c r="DG350" s="674">
        <f t="shared" si="1391"/>
        <v>-0.82558720639680161</v>
      </c>
      <c r="DH350" s="674">
        <f t="shared" si="1391"/>
        <v>-0.18782748891575976</v>
      </c>
      <c r="DI350" s="674">
        <f t="shared" si="1391"/>
        <v>2.5627887442251156</v>
      </c>
      <c r="DJ350" s="657">
        <f t="shared" si="1391"/>
        <v>0.76676435851450064</v>
      </c>
      <c r="DK350" s="674">
        <f t="shared" si="1391"/>
        <v>4.1020007364674109</v>
      </c>
      <c r="DL350" s="674">
        <f t="shared" si="1391"/>
        <v>6.6786830972963029</v>
      </c>
      <c r="DM350" s="674">
        <f t="shared" si="1391"/>
        <v>2.1191635118081846</v>
      </c>
      <c r="DN350" s="674">
        <f t="shared" si="1391"/>
        <v>3.8716934704279815</v>
      </c>
      <c r="DO350" s="657">
        <f t="shared" si="1391"/>
        <v>4.1839543066467444</v>
      </c>
      <c r="DP350" s="674">
        <f t="shared" si="1391"/>
        <v>1.9011192002607846</v>
      </c>
      <c r="DQ350" s="674">
        <f t="shared" si="1391"/>
        <v>2.7990809292826144</v>
      </c>
      <c r="DR350" s="674">
        <f t="shared" si="1391"/>
        <v>0</v>
      </c>
      <c r="DS350" s="674">
        <f t="shared" si="1391"/>
        <v>0</v>
      </c>
      <c r="DT350" s="657">
        <f t="shared" si="1391"/>
        <v>0</v>
      </c>
      <c r="DU350" s="674">
        <f t="shared" si="1391"/>
        <v>0</v>
      </c>
      <c r="DV350" s="674">
        <f t="shared" si="1391"/>
        <v>0</v>
      </c>
      <c r="DW350" s="674">
        <f t="shared" si="1391"/>
        <v>0</v>
      </c>
      <c r="DX350" s="674">
        <f t="shared" si="1391"/>
        <v>0</v>
      </c>
      <c r="DY350" s="657">
        <f t="shared" si="1391"/>
        <v>0</v>
      </c>
      <c r="DZ350" s="657">
        <f t="shared" si="1391"/>
        <v>0</v>
      </c>
      <c r="EA350" s="657">
        <f t="shared" si="1391"/>
        <v>0</v>
      </c>
      <c r="EB350" s="657">
        <f t="shared" si="1391"/>
        <v>0</v>
      </c>
    </row>
    <row r="351" spans="2:132" s="241" customFormat="1" ht="12" hidden="1" customHeight="1">
      <c r="B351" s="324" t="s">
        <v>106</v>
      </c>
      <c r="C351" s="371"/>
      <c r="D351" s="372" t="str">
        <f t="shared" ref="D351:M351" si="1392">IF(ISERROR(D335/D38),"",(D335/D38))</f>
        <v/>
      </c>
      <c r="E351" s="372" t="str">
        <f t="shared" si="1392"/>
        <v/>
      </c>
      <c r="F351" s="372" t="str">
        <f t="shared" si="1392"/>
        <v/>
      </c>
      <c r="G351" s="372" t="str">
        <f t="shared" si="1392"/>
        <v/>
      </c>
      <c r="H351" s="372" t="str">
        <f t="shared" si="1392"/>
        <v/>
      </c>
      <c r="I351" s="372" t="str">
        <f t="shared" si="1392"/>
        <v/>
      </c>
      <c r="J351" s="373" t="str">
        <f t="shared" si="1392"/>
        <v/>
      </c>
      <c r="K351" s="373" t="str">
        <f t="shared" si="1392"/>
        <v/>
      </c>
      <c r="L351" s="373" t="str">
        <f t="shared" si="1392"/>
        <v/>
      </c>
      <c r="M351" s="373" t="str">
        <f t="shared" si="1392"/>
        <v/>
      </c>
      <c r="N351" s="372"/>
      <c r="O351" s="373"/>
      <c r="P351" s="373"/>
      <c r="Q351" s="373"/>
      <c r="R351" s="373"/>
      <c r="S351" s="372"/>
      <c r="T351" s="373">
        <f t="shared" ref="T351:AY351" si="1393">IF(ISERROR(T335/T38),"",(T335/T38))</f>
        <v>2.067365745154115</v>
      </c>
      <c r="U351" s="373">
        <f t="shared" si="1393"/>
        <v>0.26649076517150394</v>
      </c>
      <c r="V351" s="373">
        <f t="shared" si="1393"/>
        <v>0.2251007484168106</v>
      </c>
      <c r="W351" s="373">
        <f t="shared" si="1393"/>
        <v>2.1597962019453449</v>
      </c>
      <c r="X351" s="372">
        <f t="shared" si="1393"/>
        <v>1.2211149825783971</v>
      </c>
      <c r="Y351" s="373">
        <f t="shared" si="1393"/>
        <v>0.40566900335263639</v>
      </c>
      <c r="Z351" s="373">
        <f t="shared" si="1393"/>
        <v>0.60549386323787258</v>
      </c>
      <c r="AA351" s="373">
        <f t="shared" si="1393"/>
        <v>1.1101190476190477</v>
      </c>
      <c r="AB351" s="373">
        <f t="shared" si="1393"/>
        <v>1.248205411374931</v>
      </c>
      <c r="AC351" s="372">
        <f t="shared" si="1393"/>
        <v>0.85158933138472781</v>
      </c>
      <c r="AD351" s="373">
        <f t="shared" si="1393"/>
        <v>1.0349781386633354</v>
      </c>
      <c r="AE351" s="373">
        <f t="shared" si="1393"/>
        <v>1.2309341500765696</v>
      </c>
      <c r="AF351" s="373">
        <f t="shared" si="1393"/>
        <v>1.0338893301562087</v>
      </c>
      <c r="AG351" s="373">
        <f t="shared" si="1393"/>
        <v>1.6013897662665824</v>
      </c>
      <c r="AH351" s="372">
        <f t="shared" si="1393"/>
        <v>1.2161073825503357</v>
      </c>
      <c r="AI351" s="373">
        <f t="shared" si="1393"/>
        <v>1.7647840531561463</v>
      </c>
      <c r="AJ351" s="373">
        <f t="shared" si="1393"/>
        <v>1</v>
      </c>
      <c r="AK351" s="373">
        <f t="shared" si="1393"/>
        <v>0.48240951657808151</v>
      </c>
      <c r="AL351" s="373">
        <f t="shared" si="1393"/>
        <v>1.0533083311009912</v>
      </c>
      <c r="AM351" s="372">
        <f t="shared" si="1393"/>
        <v>1.0324393540584762</v>
      </c>
      <c r="AN351" s="373">
        <f t="shared" si="1393"/>
        <v>1.3668620796050601</v>
      </c>
      <c r="AO351" s="373">
        <f t="shared" si="1393"/>
        <v>0.74860335195530725</v>
      </c>
      <c r="AP351" s="373">
        <f t="shared" si="1393"/>
        <v>0.75804749340369393</v>
      </c>
      <c r="AQ351" s="373">
        <f t="shared" si="1393"/>
        <v>0.83926109732561349</v>
      </c>
      <c r="AR351" s="372">
        <f t="shared" si="1393"/>
        <v>0.91494591937069814</v>
      </c>
      <c r="AS351" s="373">
        <f t="shared" si="1393"/>
        <v>1.4127358490566038</v>
      </c>
      <c r="AT351" s="373">
        <f t="shared" si="1393"/>
        <v>0.78034047226798464</v>
      </c>
      <c r="AU351" s="373">
        <f t="shared" si="1393"/>
        <v>0.62159434914228051</v>
      </c>
      <c r="AV351" s="373">
        <f t="shared" si="1393"/>
        <v>0.97467713345150675</v>
      </c>
      <c r="AW351" s="372">
        <f t="shared" si="1393"/>
        <v>0.93309694253027364</v>
      </c>
      <c r="AX351" s="373">
        <f t="shared" si="1393"/>
        <v>2.1374187558031568</v>
      </c>
      <c r="AY351" s="373">
        <f t="shared" si="1393"/>
        <v>1.1694915254237288</v>
      </c>
      <c r="AZ351" s="373">
        <f t="shared" ref="AZ351:BX351" si="1394">IF(ISERROR(AZ335/AZ38),"",(AZ335/AZ38))</f>
        <v>0.68329374505146478</v>
      </c>
      <c r="BA351" s="373">
        <f t="shared" si="1394"/>
        <v>1.2886697137358671</v>
      </c>
      <c r="BB351" s="372">
        <f t="shared" si="1394"/>
        <v>1.341796875</v>
      </c>
      <c r="BC351" s="373">
        <f t="shared" si="1394"/>
        <v>0.24555853005597469</v>
      </c>
      <c r="BD351" s="373">
        <f t="shared" si="1394"/>
        <v>0.97428644895860117</v>
      </c>
      <c r="BE351" s="373">
        <f t="shared" si="1394"/>
        <v>0.97177533163985319</v>
      </c>
      <c r="BF351" s="373">
        <f t="shared" si="1394"/>
        <v>0.63594994311717856</v>
      </c>
      <c r="BG351" s="372">
        <f t="shared" si="1394"/>
        <v>0.69252008032128509</v>
      </c>
      <c r="BH351" s="675">
        <f t="shared" si="1394"/>
        <v>0.53730480046269524</v>
      </c>
      <c r="BI351" s="373">
        <f t="shared" si="1394"/>
        <v>1.1703093954016464</v>
      </c>
      <c r="BJ351" s="675">
        <f t="shared" si="1394"/>
        <v>0.2649137687305626</v>
      </c>
      <c r="BK351" s="675">
        <f t="shared" si="1394"/>
        <v>0.96658870698296029</v>
      </c>
      <c r="BL351" s="372">
        <f t="shared" si="1394"/>
        <v>0.72614906372585297</v>
      </c>
      <c r="BM351" s="675">
        <f t="shared" si="1394"/>
        <v>1.0728862973760933</v>
      </c>
      <c r="BN351" s="675">
        <f t="shared" si="1394"/>
        <v>1.4300458715596329</v>
      </c>
      <c r="BO351" s="675">
        <f t="shared" si="1394"/>
        <v>0.60503579363120219</v>
      </c>
      <c r="BP351" s="675">
        <f t="shared" si="1394"/>
        <v>0.62488277586745855</v>
      </c>
      <c r="BQ351" s="676">
        <f t="shared" si="1394"/>
        <v>0.91840973149384364</v>
      </c>
      <c r="BR351" s="675">
        <f t="shared" si="1394"/>
        <v>1.573927302541678</v>
      </c>
      <c r="BS351" s="675">
        <f t="shared" si="1394"/>
        <v>1.1678415575696544</v>
      </c>
      <c r="BT351" s="675">
        <f t="shared" si="1394"/>
        <v>0.44785276073619634</v>
      </c>
      <c r="BU351" s="675">
        <f t="shared" si="1394"/>
        <v>1.2292701566679405</v>
      </c>
      <c r="BV351" s="676">
        <f t="shared" si="1394"/>
        <v>1.111865761086696</v>
      </c>
      <c r="BW351" s="675">
        <f t="shared" si="1394"/>
        <v>1.7587253414264037</v>
      </c>
      <c r="BX351" s="675">
        <f t="shared" si="1394"/>
        <v>0.65564738292011016</v>
      </c>
      <c r="BY351" s="675"/>
      <c r="BZ351" s="675"/>
      <c r="CA351" s="676"/>
      <c r="CB351" s="675"/>
      <c r="CC351" s="675"/>
      <c r="CD351" s="675"/>
      <c r="CE351" s="675"/>
      <c r="CF351" s="676"/>
      <c r="CG351" s="675"/>
      <c r="CH351" s="675"/>
      <c r="CI351" s="675"/>
      <c r="CJ351" s="675"/>
      <c r="CK351" s="676"/>
      <c r="CL351" s="675"/>
      <c r="CM351" s="675"/>
      <c r="CN351" s="675"/>
      <c r="CO351" s="675"/>
      <c r="CP351" s="676"/>
      <c r="CQ351" s="675"/>
      <c r="CR351" s="675"/>
      <c r="CS351" s="675"/>
      <c r="CT351" s="675"/>
      <c r="CU351" s="676"/>
      <c r="CV351" s="675"/>
      <c r="CW351" s="675"/>
      <c r="CX351" s="675"/>
      <c r="CY351" s="675"/>
      <c r="CZ351" s="676"/>
      <c r="DA351" s="675"/>
      <c r="DB351" s="675"/>
      <c r="DC351" s="675"/>
      <c r="DD351" s="675"/>
      <c r="DE351" s="676"/>
      <c r="DF351" s="675"/>
      <c r="DG351" s="675"/>
      <c r="DH351" s="675"/>
      <c r="DI351" s="675"/>
      <c r="DJ351" s="676"/>
      <c r="DK351" s="675"/>
      <c r="DL351" s="675"/>
      <c r="DM351" s="675"/>
      <c r="DN351" s="675"/>
      <c r="DO351" s="676"/>
      <c r="DP351" s="675"/>
      <c r="DQ351" s="675"/>
      <c r="DR351" s="675"/>
      <c r="DS351" s="675"/>
      <c r="DT351" s="676"/>
      <c r="DU351" s="675"/>
      <c r="DV351" s="675"/>
      <c r="DW351" s="675"/>
      <c r="DX351" s="675"/>
      <c r="DY351" s="676"/>
      <c r="DZ351" s="676"/>
      <c r="EA351" s="676"/>
      <c r="EB351" s="676"/>
    </row>
    <row r="352" spans="2:132" s="241" customFormat="1" ht="12" hidden="1" customHeight="1">
      <c r="B352" s="311" t="s">
        <v>107</v>
      </c>
      <c r="C352" s="369"/>
      <c r="D352" s="355" t="str">
        <f t="shared" ref="D352:M352" si="1395">IF(ISERROR(D336/D39),"",(D336/D39))</f>
        <v/>
      </c>
      <c r="E352" s="355" t="str">
        <f t="shared" si="1395"/>
        <v/>
      </c>
      <c r="F352" s="355" t="str">
        <f t="shared" si="1395"/>
        <v/>
      </c>
      <c r="G352" s="355" t="str">
        <f t="shared" si="1395"/>
        <v/>
      </c>
      <c r="H352" s="355" t="str">
        <f t="shared" si="1395"/>
        <v/>
      </c>
      <c r="I352" s="355" t="str">
        <f t="shared" si="1395"/>
        <v/>
      </c>
      <c r="J352" s="370" t="str">
        <f t="shared" si="1395"/>
        <v/>
      </c>
      <c r="K352" s="370" t="str">
        <f t="shared" si="1395"/>
        <v/>
      </c>
      <c r="L352" s="370" t="str">
        <f t="shared" si="1395"/>
        <v/>
      </c>
      <c r="M352" s="370" t="str">
        <f t="shared" si="1395"/>
        <v/>
      </c>
      <c r="N352" s="355"/>
      <c r="O352" s="370"/>
      <c r="P352" s="370"/>
      <c r="Q352" s="370"/>
      <c r="R352" s="370"/>
      <c r="S352" s="355"/>
      <c r="T352" s="370">
        <f t="shared" ref="T352:AY352" si="1396">IF(ISERROR(T336/T39),"",(T336/T39))</f>
        <v>1.9004360465116279</v>
      </c>
      <c r="U352" s="370">
        <f t="shared" si="1396"/>
        <v>0.65863590091618596</v>
      </c>
      <c r="V352" s="370">
        <f t="shared" si="1396"/>
        <v>1</v>
      </c>
      <c r="W352" s="370">
        <f t="shared" si="1396"/>
        <v>1.0598540145985402</v>
      </c>
      <c r="X352" s="355">
        <f t="shared" si="1396"/>
        <v>1.1399833055091819</v>
      </c>
      <c r="Y352" s="370">
        <f t="shared" si="1396"/>
        <v>1.3256302521008403</v>
      </c>
      <c r="Z352" s="370">
        <f t="shared" si="1396"/>
        <v>1.073734284743459</v>
      </c>
      <c r="AA352" s="370">
        <f t="shared" si="1396"/>
        <v>0.30039920159680639</v>
      </c>
      <c r="AB352" s="370">
        <f t="shared" si="1396"/>
        <v>1.7340020754064338</v>
      </c>
      <c r="AC352" s="355">
        <f t="shared" si="1396"/>
        <v>1.0996922024623803</v>
      </c>
      <c r="AD352" s="370">
        <f t="shared" si="1396"/>
        <v>1.5025983667409057</v>
      </c>
      <c r="AE352" s="370">
        <f t="shared" si="1396"/>
        <v>1.1793865905848788</v>
      </c>
      <c r="AF352" s="370">
        <f t="shared" si="1396"/>
        <v>-0.13069705093833781</v>
      </c>
      <c r="AG352" s="370">
        <f t="shared" si="1396"/>
        <v>1.4231439525967235</v>
      </c>
      <c r="AH352" s="355">
        <f t="shared" si="1396"/>
        <v>0.97330631662408595</v>
      </c>
      <c r="AI352" s="370">
        <f t="shared" si="1396"/>
        <v>1.0160567587752054</v>
      </c>
      <c r="AJ352" s="370">
        <f t="shared" si="1396"/>
        <v>0.69384466645182086</v>
      </c>
      <c r="AK352" s="370">
        <f t="shared" si="1396"/>
        <v>0.92880855772777571</v>
      </c>
      <c r="AL352" s="370">
        <f t="shared" si="1396"/>
        <v>0.99245283018867925</v>
      </c>
      <c r="AM352" s="355">
        <f t="shared" si="1396"/>
        <v>0.89721430541509606</v>
      </c>
      <c r="AN352" s="370">
        <f t="shared" si="1396"/>
        <v>1.324580284115368</v>
      </c>
      <c r="AO352" s="370">
        <f t="shared" si="1396"/>
        <v>0.57519116397621073</v>
      </c>
      <c r="AP352" s="370">
        <f t="shared" si="1396"/>
        <v>1.3391638225255973</v>
      </c>
      <c r="AQ352" s="370">
        <f t="shared" si="1396"/>
        <v>1.5361544782251437</v>
      </c>
      <c r="AR352" s="355">
        <f t="shared" si="1396"/>
        <v>1.1960867265996826</v>
      </c>
      <c r="AS352" s="370">
        <f t="shared" si="1396"/>
        <v>0.91485738612175393</v>
      </c>
      <c r="AT352" s="370">
        <f t="shared" si="1396"/>
        <v>1</v>
      </c>
      <c r="AU352" s="370">
        <f t="shared" si="1396"/>
        <v>1.0439367311072056</v>
      </c>
      <c r="AV352" s="370">
        <f t="shared" si="1396"/>
        <v>0.79664463650228778</v>
      </c>
      <c r="AW352" s="355">
        <f t="shared" si="1396"/>
        <v>0.942349821284446</v>
      </c>
      <c r="AX352" s="370">
        <f t="shared" si="1396"/>
        <v>1.5571030640668524</v>
      </c>
      <c r="AY352" s="370">
        <f t="shared" si="1396"/>
        <v>0.89401165871754107</v>
      </c>
      <c r="AZ352" s="370">
        <f t="shared" ref="AZ352:BX352" si="1397">IF(ISERROR(AZ336/AZ39),"",(AZ336/AZ39))</f>
        <v>0.89949748743718594</v>
      </c>
      <c r="BA352" s="370">
        <f t="shared" si="1397"/>
        <v>1</v>
      </c>
      <c r="BB352" s="355">
        <f t="shared" si="1397"/>
        <v>1.0791139240506329</v>
      </c>
      <c r="BC352" s="370">
        <f t="shared" si="1397"/>
        <v>0.94897959183673475</v>
      </c>
      <c r="BD352" s="370">
        <f t="shared" si="1397"/>
        <v>1.2928257686676428</v>
      </c>
      <c r="BE352" s="370">
        <f t="shared" si="1397"/>
        <v>0.86553115194979835</v>
      </c>
      <c r="BF352" s="370">
        <f t="shared" si="1397"/>
        <v>0.95598591549295775</v>
      </c>
      <c r="BG352" s="355">
        <f t="shared" si="1397"/>
        <v>1.0117481203007519</v>
      </c>
      <c r="BH352" s="674">
        <f t="shared" si="1397"/>
        <v>0.78678038379530912</v>
      </c>
      <c r="BI352" s="370">
        <f t="shared" si="1397"/>
        <v>1.1041666666666667</v>
      </c>
      <c r="BJ352" s="674">
        <f t="shared" si="1397"/>
        <v>0.60532807104094721</v>
      </c>
      <c r="BK352" s="674">
        <f t="shared" si="1397"/>
        <v>1.0458715596330275</v>
      </c>
      <c r="BL352" s="355">
        <f t="shared" si="1397"/>
        <v>0.88754217168561789</v>
      </c>
      <c r="BM352" s="674">
        <f t="shared" si="1397"/>
        <v>1.2886836027713626</v>
      </c>
      <c r="BN352" s="674">
        <f t="shared" si="1397"/>
        <v>0.84520123839009287</v>
      </c>
      <c r="BO352" s="674">
        <f t="shared" si="1397"/>
        <v>0.62388340385519514</v>
      </c>
      <c r="BP352" s="674">
        <f t="shared" si="1397"/>
        <v>0.53940634595701131</v>
      </c>
      <c r="BQ352" s="657">
        <f t="shared" si="1397"/>
        <v>0.80647658366662367</v>
      </c>
      <c r="BR352" s="674">
        <f t="shared" si="1397"/>
        <v>1.3458213256484151</v>
      </c>
      <c r="BS352" s="674">
        <f t="shared" si="1397"/>
        <v>0.39226519337016574</v>
      </c>
      <c r="BT352" s="674">
        <f t="shared" si="1397"/>
        <v>0.76484420928865371</v>
      </c>
      <c r="BU352" s="674">
        <f t="shared" si="1397"/>
        <v>0.22222222222222221</v>
      </c>
      <c r="BV352" s="657">
        <f t="shared" si="1397"/>
        <v>0.67357365881351117</v>
      </c>
      <c r="BW352" s="674">
        <f t="shared" si="1397"/>
        <v>1.5754475703324808</v>
      </c>
      <c r="BX352" s="674">
        <f t="shared" si="1397"/>
        <v>0.1039426523297491</v>
      </c>
      <c r="BY352" s="674"/>
      <c r="BZ352" s="674"/>
      <c r="CA352" s="657"/>
      <c r="CB352" s="674"/>
      <c r="CC352" s="674"/>
      <c r="CD352" s="674"/>
      <c r="CE352" s="674"/>
      <c r="CF352" s="657"/>
      <c r="CG352" s="674"/>
      <c r="CH352" s="674"/>
      <c r="CI352" s="674"/>
      <c r="CJ352" s="674"/>
      <c r="CK352" s="657"/>
      <c r="CL352" s="674"/>
      <c r="CM352" s="674"/>
      <c r="CN352" s="674"/>
      <c r="CO352" s="674"/>
      <c r="CP352" s="657"/>
      <c r="CQ352" s="674"/>
      <c r="CR352" s="674"/>
      <c r="CS352" s="674"/>
      <c r="CT352" s="674"/>
      <c r="CU352" s="657"/>
      <c r="CV352" s="674"/>
      <c r="CW352" s="674"/>
      <c r="CX352" s="674"/>
      <c r="CY352" s="674"/>
      <c r="CZ352" s="657"/>
      <c r="DA352" s="674"/>
      <c r="DB352" s="674"/>
      <c r="DC352" s="674"/>
      <c r="DD352" s="674"/>
      <c r="DE352" s="657"/>
      <c r="DF352" s="674"/>
      <c r="DG352" s="674"/>
      <c r="DH352" s="674"/>
      <c r="DI352" s="674"/>
      <c r="DJ352" s="657"/>
      <c r="DK352" s="674"/>
      <c r="DL352" s="674"/>
      <c r="DM352" s="674"/>
      <c r="DN352" s="674"/>
      <c r="DO352" s="657"/>
      <c r="DP352" s="674"/>
      <c r="DQ352" s="674"/>
      <c r="DR352" s="674"/>
      <c r="DS352" s="674"/>
      <c r="DT352" s="657"/>
      <c r="DU352" s="674"/>
      <c r="DV352" s="674"/>
      <c r="DW352" s="674"/>
      <c r="DX352" s="674"/>
      <c r="DY352" s="657"/>
      <c r="DZ352" s="657"/>
      <c r="EA352" s="657"/>
      <c r="EB352" s="657"/>
    </row>
    <row r="353" spans="2:132" s="241" customFormat="1" ht="12" hidden="1" customHeight="1">
      <c r="B353" s="312" t="s">
        <v>108</v>
      </c>
      <c r="C353" s="369"/>
      <c r="D353" s="355" t="str">
        <f t="shared" ref="D353:M353" si="1398">IF(ISERROR(D337/D40),"",(D337/D40))</f>
        <v/>
      </c>
      <c r="E353" s="355" t="str">
        <f t="shared" si="1398"/>
        <v/>
      </c>
      <c r="F353" s="355" t="str">
        <f t="shared" si="1398"/>
        <v/>
      </c>
      <c r="G353" s="355" t="str">
        <f t="shared" si="1398"/>
        <v/>
      </c>
      <c r="H353" s="355" t="str">
        <f t="shared" si="1398"/>
        <v/>
      </c>
      <c r="I353" s="355" t="str">
        <f t="shared" si="1398"/>
        <v/>
      </c>
      <c r="J353" s="356" t="str">
        <f t="shared" si="1398"/>
        <v/>
      </c>
      <c r="K353" s="356" t="str">
        <f t="shared" si="1398"/>
        <v/>
      </c>
      <c r="L353" s="356" t="str">
        <f t="shared" si="1398"/>
        <v/>
      </c>
      <c r="M353" s="356" t="str">
        <f t="shared" si="1398"/>
        <v/>
      </c>
      <c r="N353" s="355"/>
      <c r="O353" s="356"/>
      <c r="P353" s="356"/>
      <c r="Q353" s="356"/>
      <c r="R353" s="356"/>
      <c r="S353" s="355"/>
      <c r="T353" s="356">
        <f t="shared" ref="T353:AY353" si="1399">IF(ISERROR(T337/T40),"",(T337/T40))</f>
        <v>0.92929292929292928</v>
      </c>
      <c r="U353" s="356">
        <f t="shared" si="1399"/>
        <v>1.0282485875706215</v>
      </c>
      <c r="V353" s="356">
        <f t="shared" si="1399"/>
        <v>1.0191518467852256</v>
      </c>
      <c r="W353" s="356">
        <f t="shared" si="1399"/>
        <v>1.493312757201646</v>
      </c>
      <c r="X353" s="355">
        <f t="shared" si="1399"/>
        <v>1.1532165657227043</v>
      </c>
      <c r="Y353" s="356">
        <f t="shared" si="1399"/>
        <v>1.3156565656565657</v>
      </c>
      <c r="Z353" s="356">
        <f t="shared" si="1399"/>
        <v>0.90594059405940597</v>
      </c>
      <c r="AA353" s="356">
        <f t="shared" si="1399"/>
        <v>0.86419001218026792</v>
      </c>
      <c r="AB353" s="356">
        <f t="shared" si="1399"/>
        <v>1.1276252019386106</v>
      </c>
      <c r="AC353" s="355">
        <f t="shared" si="1399"/>
        <v>1.0540379161068816</v>
      </c>
      <c r="AD353" s="356">
        <f t="shared" si="1399"/>
        <v>1.7010125074449076</v>
      </c>
      <c r="AE353" s="356">
        <f t="shared" si="1399"/>
        <v>0.93243967828418228</v>
      </c>
      <c r="AF353" s="356">
        <f t="shared" si="1399"/>
        <v>0.47235023041474655</v>
      </c>
      <c r="AG353" s="356">
        <f t="shared" si="1399"/>
        <v>1.3804563492063493</v>
      </c>
      <c r="AH353" s="355">
        <f t="shared" si="1399"/>
        <v>1.1236293859649122</v>
      </c>
      <c r="AI353" s="356">
        <f t="shared" si="1399"/>
        <v>1.5241141732283465</v>
      </c>
      <c r="AJ353" s="356">
        <f t="shared" si="1399"/>
        <v>1.038919413919414</v>
      </c>
      <c r="AK353" s="356">
        <f t="shared" si="1399"/>
        <v>0.72526416906820368</v>
      </c>
      <c r="AL353" s="356">
        <f t="shared" si="1399"/>
        <v>1.3388225607245781</v>
      </c>
      <c r="AM353" s="355">
        <f t="shared" si="1399"/>
        <v>1.1605362667583361</v>
      </c>
      <c r="AN353" s="356">
        <f t="shared" si="1399"/>
        <v>1.2601268911664227</v>
      </c>
      <c r="AO353" s="356">
        <f t="shared" si="1399"/>
        <v>0.70717423133235724</v>
      </c>
      <c r="AP353" s="356">
        <f t="shared" si="1399"/>
        <v>1.20361328125</v>
      </c>
      <c r="AQ353" s="356">
        <f t="shared" si="1399"/>
        <v>1.6573193916349811</v>
      </c>
      <c r="AR353" s="355">
        <f t="shared" si="1399"/>
        <v>1.2100606060606061</v>
      </c>
      <c r="AS353" s="356">
        <f t="shared" si="1399"/>
        <v>1.1066098081023454</v>
      </c>
      <c r="AT353" s="356">
        <f t="shared" si="1399"/>
        <v>0.5419847328244275</v>
      </c>
      <c r="AU353" s="356">
        <f t="shared" si="1399"/>
        <v>0.94897959183673475</v>
      </c>
      <c r="AV353" s="356">
        <f t="shared" si="1399"/>
        <v>1.1174168297455969</v>
      </c>
      <c r="AW353" s="355">
        <f t="shared" si="1399"/>
        <v>0.94016275730014365</v>
      </c>
      <c r="AX353" s="356">
        <f t="shared" si="1399"/>
        <v>1.4694835680751173</v>
      </c>
      <c r="AY353" s="356">
        <f t="shared" si="1399"/>
        <v>1.1839080459770115</v>
      </c>
      <c r="AZ353" s="356">
        <f t="shared" ref="AZ353:BX353" si="1400">IF(ISERROR(AZ337/AZ40),"",(AZ337/AZ40))</f>
        <v>0.75728155339805825</v>
      </c>
      <c r="BA353" s="356">
        <f t="shared" si="1400"/>
        <v>1.7036059806508355</v>
      </c>
      <c r="BB353" s="355">
        <f t="shared" si="1400"/>
        <v>1.2893853455261026</v>
      </c>
      <c r="BC353" s="356">
        <f t="shared" si="1400"/>
        <v>0.85301322880940711</v>
      </c>
      <c r="BD353" s="356">
        <f t="shared" si="1400"/>
        <v>0.73309608540925264</v>
      </c>
      <c r="BE353" s="356">
        <f t="shared" si="1400"/>
        <v>0.9119718309859155</v>
      </c>
      <c r="BF353" s="356">
        <f t="shared" si="1400"/>
        <v>1.1828153564899451</v>
      </c>
      <c r="BG353" s="355">
        <f t="shared" si="1400"/>
        <v>0.9199908560978397</v>
      </c>
      <c r="BH353" s="656">
        <f t="shared" si="1400"/>
        <v>1.4784688995215312</v>
      </c>
      <c r="BI353" s="356">
        <f t="shared" si="1400"/>
        <v>1.0868055555555556</v>
      </c>
      <c r="BJ353" s="656">
        <f t="shared" si="1400"/>
        <v>0.65942954448701574</v>
      </c>
      <c r="BK353" s="656">
        <f t="shared" si="1400"/>
        <v>1.5797101449275361</v>
      </c>
      <c r="BL353" s="355">
        <f t="shared" si="1400"/>
        <v>1.2028397565922921</v>
      </c>
      <c r="BM353" s="656">
        <f t="shared" si="1400"/>
        <v>1</v>
      </c>
      <c r="BN353" s="656">
        <f t="shared" si="1400"/>
        <v>0.81114258734655331</v>
      </c>
      <c r="BO353" s="656">
        <f t="shared" si="1400"/>
        <v>1.0920810313075506</v>
      </c>
      <c r="BP353" s="656">
        <f t="shared" si="1400"/>
        <v>1.4179331306990881</v>
      </c>
      <c r="BQ353" s="657">
        <f t="shared" si="1400"/>
        <v>1.0983069361004916</v>
      </c>
      <c r="BR353" s="656">
        <f t="shared" si="1400"/>
        <v>0.72677595628415304</v>
      </c>
      <c r="BS353" s="656">
        <f t="shared" si="1400"/>
        <v>0.9161425576519916</v>
      </c>
      <c r="BT353" s="656">
        <f t="shared" si="1400"/>
        <v>-0.60973694542599133</v>
      </c>
      <c r="BU353" s="656">
        <f t="shared" si="1400"/>
        <v>2.1461318051575931</v>
      </c>
      <c r="BV353" s="657">
        <f t="shared" si="1400"/>
        <v>0.77860521284089768</v>
      </c>
      <c r="BW353" s="656">
        <f t="shared" si="1400"/>
        <v>1.6003430531732419</v>
      </c>
      <c r="BX353" s="656">
        <f t="shared" si="1400"/>
        <v>1.1299826689774697</v>
      </c>
      <c r="BY353" s="656"/>
      <c r="BZ353" s="656"/>
      <c r="CA353" s="657"/>
      <c r="CB353" s="656"/>
      <c r="CC353" s="656"/>
      <c r="CD353" s="656"/>
      <c r="CE353" s="656"/>
      <c r="CF353" s="657"/>
      <c r="CG353" s="656"/>
      <c r="CH353" s="656"/>
      <c r="CI353" s="656"/>
      <c r="CJ353" s="656"/>
      <c r="CK353" s="657"/>
      <c r="CL353" s="656"/>
      <c r="CM353" s="656"/>
      <c r="CN353" s="656"/>
      <c r="CO353" s="656"/>
      <c r="CP353" s="657"/>
      <c r="CQ353" s="656"/>
      <c r="CR353" s="656"/>
      <c r="CS353" s="656"/>
      <c r="CT353" s="656"/>
      <c r="CU353" s="657"/>
      <c r="CV353" s="656"/>
      <c r="CW353" s="656"/>
      <c r="CX353" s="656"/>
      <c r="CY353" s="656"/>
      <c r="CZ353" s="657"/>
      <c r="DA353" s="656"/>
      <c r="DB353" s="656"/>
      <c r="DC353" s="656"/>
      <c r="DD353" s="656"/>
      <c r="DE353" s="657"/>
      <c r="DF353" s="656"/>
      <c r="DG353" s="656"/>
      <c r="DH353" s="656"/>
      <c r="DI353" s="656"/>
      <c r="DJ353" s="657"/>
      <c r="DK353" s="656"/>
      <c r="DL353" s="656"/>
      <c r="DM353" s="656"/>
      <c r="DN353" s="656"/>
      <c r="DO353" s="657"/>
      <c r="DP353" s="656"/>
      <c r="DQ353" s="656"/>
      <c r="DR353" s="656"/>
      <c r="DS353" s="656"/>
      <c r="DT353" s="657"/>
      <c r="DU353" s="656"/>
      <c r="DV353" s="656"/>
      <c r="DW353" s="656"/>
      <c r="DX353" s="656"/>
      <c r="DY353" s="657"/>
      <c r="DZ353" s="657"/>
      <c r="EA353" s="657"/>
      <c r="EB353" s="657"/>
    </row>
    <row r="354" spans="2:132" s="241" customFormat="1" ht="12" hidden="1" customHeight="1">
      <c r="B354" s="330" t="s">
        <v>130</v>
      </c>
      <c r="C354" s="371"/>
      <c r="D354" s="372" t="str">
        <f t="shared" ref="D354:F357" si="1401">IF(ISERROR(D338/D41),"",(D338/D41))</f>
        <v/>
      </c>
      <c r="E354" s="372" t="str">
        <f t="shared" si="1401"/>
        <v/>
      </c>
      <c r="F354" s="372" t="str">
        <f t="shared" si="1401"/>
        <v/>
      </c>
      <c r="G354" s="372"/>
      <c r="H354" s="372"/>
      <c r="I354" s="372"/>
      <c r="J354" s="373">
        <f t="shared" ref="J354:S354" si="1402">IF(ISERROR(J338/J41),"",(J338/J41))</f>
        <v>1.2757365110890433</v>
      </c>
      <c r="K354" s="373">
        <f t="shared" si="1402"/>
        <v>0.80345086271567889</v>
      </c>
      <c r="L354" s="373">
        <f t="shared" si="1402"/>
        <v>0.36009099772505687</v>
      </c>
      <c r="M354" s="373">
        <f t="shared" si="1402"/>
        <v>1.2144486692015208</v>
      </c>
      <c r="N354" s="372">
        <f t="shared" si="1402"/>
        <v>0.90380902229243465</v>
      </c>
      <c r="O354" s="373">
        <f t="shared" si="1402"/>
        <v>2.4745636836242109</v>
      </c>
      <c r="P354" s="373">
        <f t="shared" si="1402"/>
        <v>0.4743339831059129</v>
      </c>
      <c r="Q354" s="373">
        <f t="shared" si="1402"/>
        <v>0.24747474747474749</v>
      </c>
      <c r="R354" s="373">
        <f t="shared" si="1402"/>
        <v>1.1577928363988383</v>
      </c>
      <c r="S354" s="372">
        <f t="shared" si="1402"/>
        <v>1.0790807409996506</v>
      </c>
      <c r="T354" s="373" t="str">
        <f t="shared" ref="T354:AY354" si="1403">IF(ISERROR(T338/T41),"",(T338/T41))</f>
        <v/>
      </c>
      <c r="U354" s="373" t="str">
        <f t="shared" si="1403"/>
        <v/>
      </c>
      <c r="V354" s="373" t="str">
        <f t="shared" si="1403"/>
        <v/>
      </c>
      <c r="W354" s="373" t="str">
        <f t="shared" si="1403"/>
        <v/>
      </c>
      <c r="X354" s="372" t="str">
        <f t="shared" si="1403"/>
        <v/>
      </c>
      <c r="Y354" s="373" t="str">
        <f t="shared" si="1403"/>
        <v/>
      </c>
      <c r="Z354" s="373" t="str">
        <f t="shared" si="1403"/>
        <v/>
      </c>
      <c r="AA354" s="373" t="str">
        <f t="shared" si="1403"/>
        <v/>
      </c>
      <c r="AB354" s="373" t="str">
        <f t="shared" si="1403"/>
        <v/>
      </c>
      <c r="AC354" s="372" t="str">
        <f t="shared" si="1403"/>
        <v/>
      </c>
      <c r="AD354" s="373" t="str">
        <f t="shared" si="1403"/>
        <v/>
      </c>
      <c r="AE354" s="373" t="str">
        <f t="shared" si="1403"/>
        <v/>
      </c>
      <c r="AF354" s="373" t="str">
        <f t="shared" si="1403"/>
        <v/>
      </c>
      <c r="AG354" s="373" t="str">
        <f t="shared" si="1403"/>
        <v/>
      </c>
      <c r="AH354" s="372" t="str">
        <f t="shared" si="1403"/>
        <v/>
      </c>
      <c r="AI354" s="373" t="str">
        <f t="shared" si="1403"/>
        <v/>
      </c>
      <c r="AJ354" s="373" t="str">
        <f t="shared" si="1403"/>
        <v/>
      </c>
      <c r="AK354" s="373" t="str">
        <f t="shared" si="1403"/>
        <v/>
      </c>
      <c r="AL354" s="373" t="str">
        <f t="shared" si="1403"/>
        <v/>
      </c>
      <c r="AM354" s="372" t="str">
        <f t="shared" si="1403"/>
        <v/>
      </c>
      <c r="AN354" s="373" t="str">
        <f t="shared" si="1403"/>
        <v/>
      </c>
      <c r="AO354" s="373" t="str">
        <f t="shared" si="1403"/>
        <v/>
      </c>
      <c r="AP354" s="373" t="str">
        <f t="shared" si="1403"/>
        <v/>
      </c>
      <c r="AQ354" s="373" t="str">
        <f t="shared" si="1403"/>
        <v/>
      </c>
      <c r="AR354" s="372" t="str">
        <f t="shared" si="1403"/>
        <v/>
      </c>
      <c r="AS354" s="373" t="str">
        <f t="shared" si="1403"/>
        <v/>
      </c>
      <c r="AT354" s="373" t="str">
        <f t="shared" si="1403"/>
        <v/>
      </c>
      <c r="AU354" s="373" t="str">
        <f t="shared" si="1403"/>
        <v/>
      </c>
      <c r="AV354" s="373" t="str">
        <f t="shared" si="1403"/>
        <v/>
      </c>
      <c r="AW354" s="372" t="str">
        <f t="shared" si="1403"/>
        <v/>
      </c>
      <c r="AX354" s="373" t="str">
        <f t="shared" si="1403"/>
        <v/>
      </c>
      <c r="AY354" s="373" t="str">
        <f t="shared" si="1403"/>
        <v/>
      </c>
      <c r="AZ354" s="373" t="str">
        <f t="shared" ref="AZ354:BX354" si="1404">IF(ISERROR(AZ338/AZ41),"",(AZ338/AZ41))</f>
        <v/>
      </c>
      <c r="BA354" s="373" t="str">
        <f t="shared" si="1404"/>
        <v/>
      </c>
      <c r="BB354" s="372" t="str">
        <f t="shared" si="1404"/>
        <v/>
      </c>
      <c r="BC354" s="373" t="str">
        <f t="shared" si="1404"/>
        <v/>
      </c>
      <c r="BD354" s="373" t="str">
        <f t="shared" si="1404"/>
        <v/>
      </c>
      <c r="BE354" s="373" t="str">
        <f t="shared" si="1404"/>
        <v/>
      </c>
      <c r="BF354" s="373" t="str">
        <f t="shared" si="1404"/>
        <v/>
      </c>
      <c r="BG354" s="372" t="str">
        <f t="shared" si="1404"/>
        <v/>
      </c>
      <c r="BH354" s="675" t="str">
        <f t="shared" si="1404"/>
        <v/>
      </c>
      <c r="BI354" s="373" t="str">
        <f t="shared" si="1404"/>
        <v/>
      </c>
      <c r="BJ354" s="675" t="str">
        <f t="shared" si="1404"/>
        <v/>
      </c>
      <c r="BK354" s="675" t="str">
        <f t="shared" si="1404"/>
        <v/>
      </c>
      <c r="BL354" s="372" t="str">
        <f t="shared" si="1404"/>
        <v/>
      </c>
      <c r="BM354" s="675" t="str">
        <f t="shared" si="1404"/>
        <v/>
      </c>
      <c r="BN354" s="675" t="str">
        <f t="shared" si="1404"/>
        <v/>
      </c>
      <c r="BO354" s="675" t="str">
        <f t="shared" si="1404"/>
        <v/>
      </c>
      <c r="BP354" s="675" t="str">
        <f t="shared" si="1404"/>
        <v/>
      </c>
      <c r="BQ354" s="676" t="str">
        <f t="shared" si="1404"/>
        <v/>
      </c>
      <c r="BR354" s="675" t="str">
        <f t="shared" si="1404"/>
        <v/>
      </c>
      <c r="BS354" s="675" t="str">
        <f t="shared" si="1404"/>
        <v/>
      </c>
      <c r="BT354" s="675" t="str">
        <f t="shared" si="1404"/>
        <v/>
      </c>
      <c r="BU354" s="675" t="str">
        <f t="shared" si="1404"/>
        <v/>
      </c>
      <c r="BV354" s="676" t="str">
        <f t="shared" si="1404"/>
        <v/>
      </c>
      <c r="BW354" s="675" t="str">
        <f t="shared" si="1404"/>
        <v/>
      </c>
      <c r="BX354" s="675" t="str">
        <f t="shared" si="1404"/>
        <v/>
      </c>
      <c r="BY354" s="675" t="str">
        <f t="shared" ref="BY354:DD354" si="1405">IF(ISERROR(BY338/BY41),"",(BY338/BY41))</f>
        <v/>
      </c>
      <c r="BZ354" s="675" t="str">
        <f t="shared" si="1405"/>
        <v/>
      </c>
      <c r="CA354" s="676" t="str">
        <f t="shared" si="1405"/>
        <v/>
      </c>
      <c r="CB354" s="675" t="str">
        <f t="shared" si="1405"/>
        <v/>
      </c>
      <c r="CC354" s="675" t="str">
        <f t="shared" si="1405"/>
        <v/>
      </c>
      <c r="CD354" s="675" t="str">
        <f t="shared" si="1405"/>
        <v/>
      </c>
      <c r="CE354" s="675" t="str">
        <f t="shared" si="1405"/>
        <v/>
      </c>
      <c r="CF354" s="676" t="str">
        <f t="shared" si="1405"/>
        <v/>
      </c>
      <c r="CG354" s="675" t="str">
        <f t="shared" si="1405"/>
        <v/>
      </c>
      <c r="CH354" s="675" t="str">
        <f t="shared" si="1405"/>
        <v/>
      </c>
      <c r="CI354" s="675" t="str">
        <f t="shared" si="1405"/>
        <v/>
      </c>
      <c r="CJ354" s="675" t="str">
        <f t="shared" si="1405"/>
        <v/>
      </c>
      <c r="CK354" s="676" t="str">
        <f t="shared" si="1405"/>
        <v/>
      </c>
      <c r="CL354" s="675" t="str">
        <f t="shared" si="1405"/>
        <v/>
      </c>
      <c r="CM354" s="675" t="str">
        <f t="shared" si="1405"/>
        <v/>
      </c>
      <c r="CN354" s="675" t="str">
        <f t="shared" si="1405"/>
        <v/>
      </c>
      <c r="CO354" s="675" t="str">
        <f t="shared" si="1405"/>
        <v/>
      </c>
      <c r="CP354" s="676" t="str">
        <f t="shared" si="1405"/>
        <v/>
      </c>
      <c r="CQ354" s="675" t="str">
        <f t="shared" si="1405"/>
        <v/>
      </c>
      <c r="CR354" s="675" t="str">
        <f t="shared" si="1405"/>
        <v/>
      </c>
      <c r="CS354" s="675" t="str">
        <f t="shared" si="1405"/>
        <v/>
      </c>
      <c r="CT354" s="675" t="str">
        <f t="shared" si="1405"/>
        <v/>
      </c>
      <c r="CU354" s="676" t="str">
        <f t="shared" si="1405"/>
        <v/>
      </c>
      <c r="CV354" s="675" t="str">
        <f t="shared" si="1405"/>
        <v/>
      </c>
      <c r="CW354" s="675" t="str">
        <f t="shared" si="1405"/>
        <v/>
      </c>
      <c r="CX354" s="675" t="str">
        <f t="shared" si="1405"/>
        <v/>
      </c>
      <c r="CY354" s="675" t="str">
        <f t="shared" si="1405"/>
        <v/>
      </c>
      <c r="CZ354" s="676" t="str">
        <f t="shared" si="1405"/>
        <v/>
      </c>
      <c r="DA354" s="675" t="str">
        <f t="shared" si="1405"/>
        <v/>
      </c>
      <c r="DB354" s="675" t="str">
        <f t="shared" si="1405"/>
        <v/>
      </c>
      <c r="DC354" s="675" t="str">
        <f t="shared" si="1405"/>
        <v/>
      </c>
      <c r="DD354" s="675" t="str">
        <f t="shared" si="1405"/>
        <v/>
      </c>
      <c r="DE354" s="676" t="str">
        <f t="shared" ref="DE354:EB354" si="1406">IF(ISERROR(DE338/DE41),"",(DE338/DE41))</f>
        <v/>
      </c>
      <c r="DF354" s="675" t="str">
        <f t="shared" si="1406"/>
        <v/>
      </c>
      <c r="DG354" s="675" t="str">
        <f t="shared" si="1406"/>
        <v/>
      </c>
      <c r="DH354" s="675" t="str">
        <f t="shared" si="1406"/>
        <v/>
      </c>
      <c r="DI354" s="675" t="str">
        <f t="shared" si="1406"/>
        <v/>
      </c>
      <c r="DJ354" s="676" t="str">
        <f t="shared" si="1406"/>
        <v/>
      </c>
      <c r="DK354" s="675" t="str">
        <f t="shared" si="1406"/>
        <v/>
      </c>
      <c r="DL354" s="675" t="str">
        <f t="shared" si="1406"/>
        <v/>
      </c>
      <c r="DM354" s="675" t="str">
        <f t="shared" si="1406"/>
        <v/>
      </c>
      <c r="DN354" s="675" t="str">
        <f t="shared" si="1406"/>
        <v/>
      </c>
      <c r="DO354" s="676" t="str">
        <f t="shared" si="1406"/>
        <v/>
      </c>
      <c r="DP354" s="675" t="str">
        <f t="shared" si="1406"/>
        <v/>
      </c>
      <c r="DQ354" s="675" t="str">
        <f t="shared" si="1406"/>
        <v/>
      </c>
      <c r="DR354" s="675" t="str">
        <f t="shared" si="1406"/>
        <v/>
      </c>
      <c r="DS354" s="675" t="str">
        <f t="shared" si="1406"/>
        <v/>
      </c>
      <c r="DT354" s="676" t="str">
        <f t="shared" si="1406"/>
        <v/>
      </c>
      <c r="DU354" s="675" t="str">
        <f t="shared" si="1406"/>
        <v/>
      </c>
      <c r="DV354" s="675" t="str">
        <f t="shared" si="1406"/>
        <v/>
      </c>
      <c r="DW354" s="675" t="str">
        <f t="shared" si="1406"/>
        <v/>
      </c>
      <c r="DX354" s="675" t="str">
        <f t="shared" si="1406"/>
        <v/>
      </c>
      <c r="DY354" s="676" t="str">
        <f t="shared" si="1406"/>
        <v/>
      </c>
      <c r="DZ354" s="676" t="str">
        <f t="shared" si="1406"/>
        <v/>
      </c>
      <c r="EA354" s="676" t="str">
        <f t="shared" si="1406"/>
        <v/>
      </c>
      <c r="EB354" s="676" t="str">
        <f t="shared" si="1406"/>
        <v/>
      </c>
    </row>
    <row r="355" spans="2:132" s="241" customFormat="1" ht="12" hidden="1" customHeight="1">
      <c r="B355" s="335" t="s">
        <v>131</v>
      </c>
      <c r="C355" s="369"/>
      <c r="D355" s="355" t="str">
        <f t="shared" si="1401"/>
        <v/>
      </c>
      <c r="E355" s="355" t="str">
        <f t="shared" si="1401"/>
        <v/>
      </c>
      <c r="F355" s="355" t="str">
        <f t="shared" si="1401"/>
        <v/>
      </c>
      <c r="G355" s="355"/>
      <c r="H355" s="355"/>
      <c r="I355" s="355"/>
      <c r="J355" s="356">
        <f t="shared" ref="J355:S355" si="1407">IF(ISERROR(J339/J42),"",(J339/J42))</f>
        <v>0.87505038291011694</v>
      </c>
      <c r="K355" s="356">
        <f t="shared" si="1407"/>
        <v>1.3159633027522937</v>
      </c>
      <c r="L355" s="356">
        <f t="shared" si="1407"/>
        <v>0.26322301268171977</v>
      </c>
      <c r="M355" s="356">
        <f t="shared" si="1407"/>
        <v>1.1022385566321418</v>
      </c>
      <c r="N355" s="355">
        <f t="shared" si="1407"/>
        <v>0.86660251924422671</v>
      </c>
      <c r="O355" s="356">
        <f t="shared" si="1407"/>
        <v>1.1247394023627519</v>
      </c>
      <c r="P355" s="356">
        <f t="shared" si="1407"/>
        <v>0.60492932221819495</v>
      </c>
      <c r="Q355" s="356">
        <f t="shared" si="1407"/>
        <v>0.11691633175009133</v>
      </c>
      <c r="R355" s="356">
        <f t="shared" si="1407"/>
        <v>0.71833910034602078</v>
      </c>
      <c r="S355" s="355">
        <f t="shared" si="1407"/>
        <v>0.64825994318181823</v>
      </c>
      <c r="T355" s="356" t="str">
        <f t="shared" ref="T355:AY355" si="1408">IF(ISERROR(T339/T42),"",(T339/T42))</f>
        <v/>
      </c>
      <c r="U355" s="356" t="str">
        <f t="shared" si="1408"/>
        <v/>
      </c>
      <c r="V355" s="356" t="str">
        <f t="shared" si="1408"/>
        <v/>
      </c>
      <c r="W355" s="356" t="str">
        <f t="shared" si="1408"/>
        <v/>
      </c>
      <c r="X355" s="355" t="str">
        <f t="shared" si="1408"/>
        <v/>
      </c>
      <c r="Y355" s="356" t="str">
        <f t="shared" si="1408"/>
        <v/>
      </c>
      <c r="Z355" s="356" t="str">
        <f t="shared" si="1408"/>
        <v/>
      </c>
      <c r="AA355" s="356" t="str">
        <f t="shared" si="1408"/>
        <v/>
      </c>
      <c r="AB355" s="356" t="str">
        <f t="shared" si="1408"/>
        <v/>
      </c>
      <c r="AC355" s="355" t="str">
        <f t="shared" si="1408"/>
        <v/>
      </c>
      <c r="AD355" s="356" t="str">
        <f t="shared" si="1408"/>
        <v/>
      </c>
      <c r="AE355" s="356" t="str">
        <f t="shared" si="1408"/>
        <v/>
      </c>
      <c r="AF355" s="356" t="str">
        <f t="shared" si="1408"/>
        <v/>
      </c>
      <c r="AG355" s="356" t="str">
        <f t="shared" si="1408"/>
        <v/>
      </c>
      <c r="AH355" s="355" t="str">
        <f t="shared" si="1408"/>
        <v/>
      </c>
      <c r="AI355" s="356" t="str">
        <f t="shared" si="1408"/>
        <v/>
      </c>
      <c r="AJ355" s="356" t="str">
        <f t="shared" si="1408"/>
        <v/>
      </c>
      <c r="AK355" s="356" t="str">
        <f t="shared" si="1408"/>
        <v/>
      </c>
      <c r="AL355" s="356" t="str">
        <f t="shared" si="1408"/>
        <v/>
      </c>
      <c r="AM355" s="355" t="str">
        <f t="shared" si="1408"/>
        <v/>
      </c>
      <c r="AN355" s="356" t="str">
        <f t="shared" si="1408"/>
        <v/>
      </c>
      <c r="AO355" s="356" t="str">
        <f t="shared" si="1408"/>
        <v/>
      </c>
      <c r="AP355" s="356" t="str">
        <f t="shared" si="1408"/>
        <v/>
      </c>
      <c r="AQ355" s="356" t="str">
        <f t="shared" si="1408"/>
        <v/>
      </c>
      <c r="AR355" s="355" t="str">
        <f t="shared" si="1408"/>
        <v/>
      </c>
      <c r="AS355" s="356" t="str">
        <f t="shared" si="1408"/>
        <v/>
      </c>
      <c r="AT355" s="356" t="str">
        <f t="shared" si="1408"/>
        <v/>
      </c>
      <c r="AU355" s="356" t="str">
        <f t="shared" si="1408"/>
        <v/>
      </c>
      <c r="AV355" s="356" t="str">
        <f t="shared" si="1408"/>
        <v/>
      </c>
      <c r="AW355" s="355" t="str">
        <f t="shared" si="1408"/>
        <v/>
      </c>
      <c r="AX355" s="356" t="str">
        <f t="shared" si="1408"/>
        <v/>
      </c>
      <c r="AY355" s="356" t="str">
        <f t="shared" si="1408"/>
        <v/>
      </c>
      <c r="AZ355" s="356" t="str">
        <f t="shared" ref="AZ355:BX355" si="1409">IF(ISERROR(AZ339/AZ42),"",(AZ339/AZ42))</f>
        <v/>
      </c>
      <c r="BA355" s="356" t="str">
        <f t="shared" si="1409"/>
        <v/>
      </c>
      <c r="BB355" s="355" t="str">
        <f t="shared" si="1409"/>
        <v/>
      </c>
      <c r="BC355" s="356" t="str">
        <f t="shared" si="1409"/>
        <v/>
      </c>
      <c r="BD355" s="356" t="str">
        <f t="shared" si="1409"/>
        <v/>
      </c>
      <c r="BE355" s="356" t="str">
        <f t="shared" si="1409"/>
        <v/>
      </c>
      <c r="BF355" s="356" t="str">
        <f t="shared" si="1409"/>
        <v/>
      </c>
      <c r="BG355" s="355" t="str">
        <f t="shared" si="1409"/>
        <v/>
      </c>
      <c r="BH355" s="656" t="str">
        <f t="shared" si="1409"/>
        <v/>
      </c>
      <c r="BI355" s="356" t="str">
        <f t="shared" si="1409"/>
        <v/>
      </c>
      <c r="BJ355" s="656" t="str">
        <f t="shared" si="1409"/>
        <v/>
      </c>
      <c r="BK355" s="656" t="str">
        <f t="shared" si="1409"/>
        <v/>
      </c>
      <c r="BL355" s="355" t="str">
        <f t="shared" si="1409"/>
        <v/>
      </c>
      <c r="BM355" s="656" t="str">
        <f t="shared" si="1409"/>
        <v/>
      </c>
      <c r="BN355" s="656" t="str">
        <f t="shared" si="1409"/>
        <v/>
      </c>
      <c r="BO355" s="656" t="str">
        <f t="shared" si="1409"/>
        <v/>
      </c>
      <c r="BP355" s="656" t="str">
        <f t="shared" si="1409"/>
        <v/>
      </c>
      <c r="BQ355" s="657" t="str">
        <f t="shared" si="1409"/>
        <v/>
      </c>
      <c r="BR355" s="656" t="str">
        <f t="shared" si="1409"/>
        <v/>
      </c>
      <c r="BS355" s="656" t="str">
        <f t="shared" si="1409"/>
        <v/>
      </c>
      <c r="BT355" s="656" t="str">
        <f t="shared" si="1409"/>
        <v/>
      </c>
      <c r="BU355" s="656" t="str">
        <f t="shared" si="1409"/>
        <v/>
      </c>
      <c r="BV355" s="657" t="str">
        <f t="shared" si="1409"/>
        <v/>
      </c>
      <c r="BW355" s="656" t="str">
        <f t="shared" si="1409"/>
        <v/>
      </c>
      <c r="BX355" s="656" t="str">
        <f t="shared" si="1409"/>
        <v/>
      </c>
      <c r="BY355" s="656" t="str">
        <f t="shared" ref="BY355:DD355" si="1410">IF(ISERROR(BY339/BY42),"",(BY339/BY42))</f>
        <v/>
      </c>
      <c r="BZ355" s="656" t="str">
        <f t="shared" si="1410"/>
        <v/>
      </c>
      <c r="CA355" s="657" t="str">
        <f t="shared" si="1410"/>
        <v/>
      </c>
      <c r="CB355" s="656" t="str">
        <f t="shared" si="1410"/>
        <v/>
      </c>
      <c r="CC355" s="656" t="str">
        <f t="shared" si="1410"/>
        <v/>
      </c>
      <c r="CD355" s="656" t="str">
        <f t="shared" si="1410"/>
        <v/>
      </c>
      <c r="CE355" s="656" t="str">
        <f t="shared" si="1410"/>
        <v/>
      </c>
      <c r="CF355" s="657" t="str">
        <f t="shared" si="1410"/>
        <v/>
      </c>
      <c r="CG355" s="656" t="str">
        <f t="shared" si="1410"/>
        <v/>
      </c>
      <c r="CH355" s="656" t="str">
        <f t="shared" si="1410"/>
        <v/>
      </c>
      <c r="CI355" s="656" t="str">
        <f t="shared" si="1410"/>
        <v/>
      </c>
      <c r="CJ355" s="656" t="str">
        <f t="shared" si="1410"/>
        <v/>
      </c>
      <c r="CK355" s="657" t="str">
        <f t="shared" si="1410"/>
        <v/>
      </c>
      <c r="CL355" s="656" t="str">
        <f t="shared" si="1410"/>
        <v/>
      </c>
      <c r="CM355" s="656" t="str">
        <f t="shared" si="1410"/>
        <v/>
      </c>
      <c r="CN355" s="656" t="str">
        <f t="shared" si="1410"/>
        <v/>
      </c>
      <c r="CO355" s="656" t="str">
        <f t="shared" si="1410"/>
        <v/>
      </c>
      <c r="CP355" s="657" t="str">
        <f t="shared" si="1410"/>
        <v/>
      </c>
      <c r="CQ355" s="656" t="str">
        <f t="shared" si="1410"/>
        <v/>
      </c>
      <c r="CR355" s="656" t="str">
        <f t="shared" si="1410"/>
        <v/>
      </c>
      <c r="CS355" s="656" t="str">
        <f t="shared" si="1410"/>
        <v/>
      </c>
      <c r="CT355" s="656" t="str">
        <f t="shared" si="1410"/>
        <v/>
      </c>
      <c r="CU355" s="657" t="str">
        <f t="shared" si="1410"/>
        <v/>
      </c>
      <c r="CV355" s="656" t="str">
        <f t="shared" si="1410"/>
        <v/>
      </c>
      <c r="CW355" s="656" t="str">
        <f t="shared" si="1410"/>
        <v/>
      </c>
      <c r="CX355" s="656" t="str">
        <f t="shared" si="1410"/>
        <v/>
      </c>
      <c r="CY355" s="656" t="str">
        <f t="shared" si="1410"/>
        <v/>
      </c>
      <c r="CZ355" s="657" t="str">
        <f t="shared" si="1410"/>
        <v/>
      </c>
      <c r="DA355" s="656" t="str">
        <f t="shared" si="1410"/>
        <v/>
      </c>
      <c r="DB355" s="656" t="str">
        <f t="shared" si="1410"/>
        <v/>
      </c>
      <c r="DC355" s="656" t="str">
        <f t="shared" si="1410"/>
        <v/>
      </c>
      <c r="DD355" s="656" t="str">
        <f t="shared" si="1410"/>
        <v/>
      </c>
      <c r="DE355" s="657" t="str">
        <f t="shared" ref="DE355:EB355" si="1411">IF(ISERROR(DE339/DE42),"",(DE339/DE42))</f>
        <v/>
      </c>
      <c r="DF355" s="656" t="str">
        <f t="shared" si="1411"/>
        <v/>
      </c>
      <c r="DG355" s="656" t="str">
        <f t="shared" si="1411"/>
        <v/>
      </c>
      <c r="DH355" s="656" t="str">
        <f t="shared" si="1411"/>
        <v/>
      </c>
      <c r="DI355" s="656" t="str">
        <f t="shared" si="1411"/>
        <v/>
      </c>
      <c r="DJ355" s="657" t="str">
        <f t="shared" si="1411"/>
        <v/>
      </c>
      <c r="DK355" s="656" t="str">
        <f t="shared" si="1411"/>
        <v/>
      </c>
      <c r="DL355" s="656" t="str">
        <f t="shared" si="1411"/>
        <v/>
      </c>
      <c r="DM355" s="656" t="str">
        <f t="shared" si="1411"/>
        <v/>
      </c>
      <c r="DN355" s="656" t="str">
        <f t="shared" si="1411"/>
        <v/>
      </c>
      <c r="DO355" s="657" t="str">
        <f t="shared" si="1411"/>
        <v/>
      </c>
      <c r="DP355" s="656" t="str">
        <f t="shared" si="1411"/>
        <v/>
      </c>
      <c r="DQ355" s="656" t="str">
        <f t="shared" si="1411"/>
        <v/>
      </c>
      <c r="DR355" s="656" t="str">
        <f t="shared" si="1411"/>
        <v/>
      </c>
      <c r="DS355" s="656" t="str">
        <f t="shared" si="1411"/>
        <v/>
      </c>
      <c r="DT355" s="657" t="str">
        <f t="shared" si="1411"/>
        <v/>
      </c>
      <c r="DU355" s="656" t="str">
        <f t="shared" si="1411"/>
        <v/>
      </c>
      <c r="DV355" s="656" t="str">
        <f t="shared" si="1411"/>
        <v/>
      </c>
      <c r="DW355" s="656" t="str">
        <f t="shared" si="1411"/>
        <v/>
      </c>
      <c r="DX355" s="656" t="str">
        <f t="shared" si="1411"/>
        <v/>
      </c>
      <c r="DY355" s="657" t="str">
        <f t="shared" si="1411"/>
        <v/>
      </c>
      <c r="DZ355" s="657" t="str">
        <f t="shared" si="1411"/>
        <v/>
      </c>
      <c r="EA355" s="657" t="str">
        <f t="shared" si="1411"/>
        <v/>
      </c>
      <c r="EB355" s="657" t="str">
        <f t="shared" si="1411"/>
        <v/>
      </c>
    </row>
    <row r="356" spans="2:132" s="241" customFormat="1" ht="12" hidden="1" customHeight="1">
      <c r="B356" s="335" t="s">
        <v>125</v>
      </c>
      <c r="C356" s="369"/>
      <c r="D356" s="355" t="str">
        <f t="shared" si="1401"/>
        <v/>
      </c>
      <c r="E356" s="355" t="str">
        <f t="shared" si="1401"/>
        <v/>
      </c>
      <c r="F356" s="355" t="str">
        <f t="shared" si="1401"/>
        <v/>
      </c>
      <c r="G356" s="355"/>
      <c r="H356" s="355"/>
      <c r="I356" s="355"/>
      <c r="J356" s="356">
        <f t="shared" ref="J356:S356" si="1412">IF(ISERROR(J340/J43),"",(J340/J43))</f>
        <v>1.5185185185185186</v>
      </c>
      <c r="K356" s="356">
        <f t="shared" si="1412"/>
        <v>0.71519563239308459</v>
      </c>
      <c r="L356" s="356">
        <f t="shared" si="1412"/>
        <v>0.57586512866015971</v>
      </c>
      <c r="M356" s="356">
        <f t="shared" si="1412"/>
        <v>1.6282722513089005</v>
      </c>
      <c r="N356" s="355">
        <f t="shared" si="1412"/>
        <v>1.1334047109207708</v>
      </c>
      <c r="O356" s="356">
        <f t="shared" si="1412"/>
        <v>1.1888888888888889</v>
      </c>
      <c r="P356" s="356">
        <f t="shared" si="1412"/>
        <v>1.1005917159763314</v>
      </c>
      <c r="Q356" s="356">
        <f t="shared" si="1412"/>
        <v>0.40756602426837973</v>
      </c>
      <c r="R356" s="356">
        <f t="shared" si="1412"/>
        <v>2.4804785894206551</v>
      </c>
      <c r="S356" s="355">
        <f t="shared" si="1412"/>
        <v>1.3483713964807189</v>
      </c>
      <c r="T356" s="356" t="str">
        <f t="shared" ref="T356:AY356" si="1413">IF(ISERROR(T340/T43),"",(T340/T43))</f>
        <v/>
      </c>
      <c r="U356" s="356" t="str">
        <f t="shared" si="1413"/>
        <v/>
      </c>
      <c r="V356" s="356" t="str">
        <f t="shared" si="1413"/>
        <v/>
      </c>
      <c r="W356" s="356" t="str">
        <f t="shared" si="1413"/>
        <v/>
      </c>
      <c r="X356" s="355" t="str">
        <f t="shared" si="1413"/>
        <v/>
      </c>
      <c r="Y356" s="356" t="str">
        <f t="shared" si="1413"/>
        <v/>
      </c>
      <c r="Z356" s="356" t="str">
        <f t="shared" si="1413"/>
        <v/>
      </c>
      <c r="AA356" s="356" t="str">
        <f t="shared" si="1413"/>
        <v/>
      </c>
      <c r="AB356" s="356" t="str">
        <f t="shared" si="1413"/>
        <v/>
      </c>
      <c r="AC356" s="355" t="str">
        <f t="shared" si="1413"/>
        <v/>
      </c>
      <c r="AD356" s="356" t="str">
        <f t="shared" si="1413"/>
        <v/>
      </c>
      <c r="AE356" s="356" t="str">
        <f t="shared" si="1413"/>
        <v/>
      </c>
      <c r="AF356" s="356" t="str">
        <f t="shared" si="1413"/>
        <v/>
      </c>
      <c r="AG356" s="356" t="str">
        <f t="shared" si="1413"/>
        <v/>
      </c>
      <c r="AH356" s="355" t="str">
        <f t="shared" si="1413"/>
        <v/>
      </c>
      <c r="AI356" s="356" t="str">
        <f t="shared" si="1413"/>
        <v/>
      </c>
      <c r="AJ356" s="356" t="str">
        <f t="shared" si="1413"/>
        <v/>
      </c>
      <c r="AK356" s="356" t="str">
        <f t="shared" si="1413"/>
        <v/>
      </c>
      <c r="AL356" s="356" t="str">
        <f t="shared" si="1413"/>
        <v/>
      </c>
      <c r="AM356" s="355" t="str">
        <f t="shared" si="1413"/>
        <v/>
      </c>
      <c r="AN356" s="356" t="str">
        <f t="shared" si="1413"/>
        <v/>
      </c>
      <c r="AO356" s="356" t="str">
        <f t="shared" si="1413"/>
        <v/>
      </c>
      <c r="AP356" s="356" t="str">
        <f t="shared" si="1413"/>
        <v/>
      </c>
      <c r="AQ356" s="356" t="str">
        <f t="shared" si="1413"/>
        <v/>
      </c>
      <c r="AR356" s="355" t="str">
        <f t="shared" si="1413"/>
        <v/>
      </c>
      <c r="AS356" s="356" t="str">
        <f t="shared" si="1413"/>
        <v/>
      </c>
      <c r="AT356" s="356" t="str">
        <f t="shared" si="1413"/>
        <v/>
      </c>
      <c r="AU356" s="356" t="str">
        <f t="shared" si="1413"/>
        <v/>
      </c>
      <c r="AV356" s="356" t="str">
        <f t="shared" si="1413"/>
        <v/>
      </c>
      <c r="AW356" s="355" t="str">
        <f t="shared" si="1413"/>
        <v/>
      </c>
      <c r="AX356" s="356" t="str">
        <f t="shared" si="1413"/>
        <v/>
      </c>
      <c r="AY356" s="356" t="str">
        <f t="shared" si="1413"/>
        <v/>
      </c>
      <c r="AZ356" s="356" t="str">
        <f t="shared" ref="AZ356:BX356" si="1414">IF(ISERROR(AZ340/AZ43),"",(AZ340/AZ43))</f>
        <v/>
      </c>
      <c r="BA356" s="356" t="str">
        <f t="shared" si="1414"/>
        <v/>
      </c>
      <c r="BB356" s="355" t="str">
        <f t="shared" si="1414"/>
        <v/>
      </c>
      <c r="BC356" s="356" t="str">
        <f t="shared" si="1414"/>
        <v/>
      </c>
      <c r="BD356" s="356" t="str">
        <f t="shared" si="1414"/>
        <v/>
      </c>
      <c r="BE356" s="356" t="str">
        <f t="shared" si="1414"/>
        <v/>
      </c>
      <c r="BF356" s="356" t="str">
        <f t="shared" si="1414"/>
        <v/>
      </c>
      <c r="BG356" s="355" t="str">
        <f t="shared" si="1414"/>
        <v/>
      </c>
      <c r="BH356" s="656" t="str">
        <f t="shared" si="1414"/>
        <v/>
      </c>
      <c r="BI356" s="356" t="str">
        <f t="shared" si="1414"/>
        <v/>
      </c>
      <c r="BJ356" s="656" t="str">
        <f t="shared" si="1414"/>
        <v/>
      </c>
      <c r="BK356" s="656" t="str">
        <f t="shared" si="1414"/>
        <v/>
      </c>
      <c r="BL356" s="355" t="str">
        <f t="shared" si="1414"/>
        <v/>
      </c>
      <c r="BM356" s="656" t="str">
        <f t="shared" si="1414"/>
        <v/>
      </c>
      <c r="BN356" s="656" t="str">
        <f t="shared" si="1414"/>
        <v/>
      </c>
      <c r="BO356" s="656" t="str">
        <f t="shared" si="1414"/>
        <v/>
      </c>
      <c r="BP356" s="656" t="str">
        <f t="shared" si="1414"/>
        <v/>
      </c>
      <c r="BQ356" s="657" t="str">
        <f t="shared" si="1414"/>
        <v/>
      </c>
      <c r="BR356" s="656" t="str">
        <f t="shared" si="1414"/>
        <v/>
      </c>
      <c r="BS356" s="656" t="str">
        <f t="shared" si="1414"/>
        <v/>
      </c>
      <c r="BT356" s="656" t="str">
        <f t="shared" si="1414"/>
        <v/>
      </c>
      <c r="BU356" s="656" t="str">
        <f t="shared" si="1414"/>
        <v/>
      </c>
      <c r="BV356" s="657" t="str">
        <f t="shared" si="1414"/>
        <v/>
      </c>
      <c r="BW356" s="656" t="str">
        <f t="shared" si="1414"/>
        <v/>
      </c>
      <c r="BX356" s="656" t="str">
        <f t="shared" si="1414"/>
        <v/>
      </c>
      <c r="BY356" s="656" t="str">
        <f t="shared" ref="BY356:DD356" si="1415">IF(ISERROR(BY340/BY43),"",(BY340/BY43))</f>
        <v/>
      </c>
      <c r="BZ356" s="656" t="str">
        <f t="shared" si="1415"/>
        <v/>
      </c>
      <c r="CA356" s="657" t="str">
        <f t="shared" si="1415"/>
        <v/>
      </c>
      <c r="CB356" s="656" t="str">
        <f t="shared" si="1415"/>
        <v/>
      </c>
      <c r="CC356" s="656" t="str">
        <f t="shared" si="1415"/>
        <v/>
      </c>
      <c r="CD356" s="656" t="str">
        <f t="shared" si="1415"/>
        <v/>
      </c>
      <c r="CE356" s="656" t="str">
        <f t="shared" si="1415"/>
        <v/>
      </c>
      <c r="CF356" s="657" t="str">
        <f t="shared" si="1415"/>
        <v/>
      </c>
      <c r="CG356" s="656" t="str">
        <f t="shared" si="1415"/>
        <v/>
      </c>
      <c r="CH356" s="656" t="str">
        <f t="shared" si="1415"/>
        <v/>
      </c>
      <c r="CI356" s="656" t="str">
        <f t="shared" si="1415"/>
        <v/>
      </c>
      <c r="CJ356" s="656" t="str">
        <f t="shared" si="1415"/>
        <v/>
      </c>
      <c r="CK356" s="657" t="str">
        <f t="shared" si="1415"/>
        <v/>
      </c>
      <c r="CL356" s="656" t="str">
        <f t="shared" si="1415"/>
        <v/>
      </c>
      <c r="CM356" s="656" t="str">
        <f t="shared" si="1415"/>
        <v/>
      </c>
      <c r="CN356" s="656" t="str">
        <f t="shared" si="1415"/>
        <v/>
      </c>
      <c r="CO356" s="656" t="str">
        <f t="shared" si="1415"/>
        <v/>
      </c>
      <c r="CP356" s="657" t="str">
        <f t="shared" si="1415"/>
        <v/>
      </c>
      <c r="CQ356" s="656" t="str">
        <f t="shared" si="1415"/>
        <v/>
      </c>
      <c r="CR356" s="656" t="str">
        <f t="shared" si="1415"/>
        <v/>
      </c>
      <c r="CS356" s="656" t="str">
        <f t="shared" si="1415"/>
        <v/>
      </c>
      <c r="CT356" s="656" t="str">
        <f t="shared" si="1415"/>
        <v/>
      </c>
      <c r="CU356" s="657" t="str">
        <f t="shared" si="1415"/>
        <v/>
      </c>
      <c r="CV356" s="656" t="str">
        <f t="shared" si="1415"/>
        <v/>
      </c>
      <c r="CW356" s="656" t="str">
        <f t="shared" si="1415"/>
        <v/>
      </c>
      <c r="CX356" s="656" t="str">
        <f t="shared" si="1415"/>
        <v/>
      </c>
      <c r="CY356" s="656" t="str">
        <f t="shared" si="1415"/>
        <v/>
      </c>
      <c r="CZ356" s="657" t="str">
        <f t="shared" si="1415"/>
        <v/>
      </c>
      <c r="DA356" s="656" t="str">
        <f t="shared" si="1415"/>
        <v/>
      </c>
      <c r="DB356" s="656" t="str">
        <f t="shared" si="1415"/>
        <v/>
      </c>
      <c r="DC356" s="656" t="str">
        <f t="shared" si="1415"/>
        <v/>
      </c>
      <c r="DD356" s="656" t="str">
        <f t="shared" si="1415"/>
        <v/>
      </c>
      <c r="DE356" s="657" t="str">
        <f t="shared" ref="DE356:EB356" si="1416">IF(ISERROR(DE340/DE43),"",(DE340/DE43))</f>
        <v/>
      </c>
      <c r="DF356" s="656" t="str">
        <f t="shared" si="1416"/>
        <v/>
      </c>
      <c r="DG356" s="656" t="str">
        <f t="shared" si="1416"/>
        <v/>
      </c>
      <c r="DH356" s="656" t="str">
        <f t="shared" si="1416"/>
        <v/>
      </c>
      <c r="DI356" s="656" t="str">
        <f t="shared" si="1416"/>
        <v/>
      </c>
      <c r="DJ356" s="657" t="str">
        <f t="shared" si="1416"/>
        <v/>
      </c>
      <c r="DK356" s="656" t="str">
        <f t="shared" si="1416"/>
        <v/>
      </c>
      <c r="DL356" s="656" t="str">
        <f t="shared" si="1416"/>
        <v/>
      </c>
      <c r="DM356" s="656" t="str">
        <f t="shared" si="1416"/>
        <v/>
      </c>
      <c r="DN356" s="656" t="str">
        <f t="shared" si="1416"/>
        <v/>
      </c>
      <c r="DO356" s="657" t="str">
        <f t="shared" si="1416"/>
        <v/>
      </c>
      <c r="DP356" s="656" t="str">
        <f t="shared" si="1416"/>
        <v/>
      </c>
      <c r="DQ356" s="656" t="str">
        <f t="shared" si="1416"/>
        <v/>
      </c>
      <c r="DR356" s="656" t="str">
        <f t="shared" si="1416"/>
        <v/>
      </c>
      <c r="DS356" s="656" t="str">
        <f t="shared" si="1416"/>
        <v/>
      </c>
      <c r="DT356" s="657" t="str">
        <f t="shared" si="1416"/>
        <v/>
      </c>
      <c r="DU356" s="656" t="str">
        <f t="shared" si="1416"/>
        <v/>
      </c>
      <c r="DV356" s="656" t="str">
        <f t="shared" si="1416"/>
        <v/>
      </c>
      <c r="DW356" s="656" t="str">
        <f t="shared" si="1416"/>
        <v/>
      </c>
      <c r="DX356" s="656" t="str">
        <f t="shared" si="1416"/>
        <v/>
      </c>
      <c r="DY356" s="657" t="str">
        <f t="shared" si="1416"/>
        <v/>
      </c>
      <c r="DZ356" s="657" t="str">
        <f t="shared" si="1416"/>
        <v/>
      </c>
      <c r="EA356" s="657" t="str">
        <f t="shared" si="1416"/>
        <v/>
      </c>
      <c r="EB356" s="657" t="str">
        <f t="shared" si="1416"/>
        <v/>
      </c>
    </row>
    <row r="357" spans="2:132" s="241" customFormat="1" ht="12" hidden="1" customHeight="1">
      <c r="B357" s="318" t="s">
        <v>132</v>
      </c>
      <c r="C357" s="374"/>
      <c r="D357" s="375" t="str">
        <f t="shared" si="1401"/>
        <v/>
      </c>
      <c r="E357" s="375" t="str">
        <f t="shared" si="1401"/>
        <v/>
      </c>
      <c r="F357" s="375" t="str">
        <f t="shared" si="1401"/>
        <v/>
      </c>
      <c r="G357" s="375"/>
      <c r="H357" s="375"/>
      <c r="I357" s="375"/>
      <c r="J357" s="376">
        <f t="shared" ref="J357:S357" si="1417">IF(ISERROR(J341/J44),"",(J341/J44))</f>
        <v>0.50371287128712872</v>
      </c>
      <c r="K357" s="376">
        <f t="shared" si="1417"/>
        <v>0.35714285714285715</v>
      </c>
      <c r="L357" s="376">
        <f t="shared" si="1417"/>
        <v>2.3698296836982968</v>
      </c>
      <c r="M357" s="376">
        <f t="shared" si="1417"/>
        <v>0.95952023988005997</v>
      </c>
      <c r="N357" s="375">
        <f t="shared" si="1417"/>
        <v>1.0895924553721792</v>
      </c>
      <c r="O357" s="376">
        <f t="shared" si="1417"/>
        <v>1.1733167082294265</v>
      </c>
      <c r="P357" s="376">
        <f t="shared" si="1417"/>
        <v>0.57340720221606645</v>
      </c>
      <c r="Q357" s="376">
        <f t="shared" si="1417"/>
        <v>0.41106128550074739</v>
      </c>
      <c r="R357" s="376">
        <f t="shared" si="1417"/>
        <v>-0.91788321167883213</v>
      </c>
      <c r="S357" s="375">
        <f t="shared" si="1417"/>
        <v>0.41116380882889458</v>
      </c>
      <c r="T357" s="376" t="str">
        <f t="shared" ref="T357:AY357" si="1418">IF(ISERROR(T341/T44),"",(T341/T44))</f>
        <v/>
      </c>
      <c r="U357" s="376" t="str">
        <f t="shared" si="1418"/>
        <v/>
      </c>
      <c r="V357" s="376" t="str">
        <f t="shared" si="1418"/>
        <v/>
      </c>
      <c r="W357" s="376" t="str">
        <f t="shared" si="1418"/>
        <v/>
      </c>
      <c r="X357" s="375" t="str">
        <f t="shared" si="1418"/>
        <v/>
      </c>
      <c r="Y357" s="376" t="str">
        <f t="shared" si="1418"/>
        <v/>
      </c>
      <c r="Z357" s="376" t="str">
        <f t="shared" si="1418"/>
        <v/>
      </c>
      <c r="AA357" s="376" t="str">
        <f t="shared" si="1418"/>
        <v/>
      </c>
      <c r="AB357" s="376" t="str">
        <f t="shared" si="1418"/>
        <v/>
      </c>
      <c r="AC357" s="375" t="str">
        <f t="shared" si="1418"/>
        <v/>
      </c>
      <c r="AD357" s="376" t="str">
        <f t="shared" si="1418"/>
        <v/>
      </c>
      <c r="AE357" s="376" t="str">
        <f t="shared" si="1418"/>
        <v/>
      </c>
      <c r="AF357" s="376" t="str">
        <f t="shared" si="1418"/>
        <v/>
      </c>
      <c r="AG357" s="376" t="str">
        <f t="shared" si="1418"/>
        <v/>
      </c>
      <c r="AH357" s="375" t="str">
        <f t="shared" si="1418"/>
        <v/>
      </c>
      <c r="AI357" s="376" t="str">
        <f t="shared" si="1418"/>
        <v/>
      </c>
      <c r="AJ357" s="376" t="str">
        <f t="shared" si="1418"/>
        <v/>
      </c>
      <c r="AK357" s="376" t="str">
        <f t="shared" si="1418"/>
        <v/>
      </c>
      <c r="AL357" s="376" t="str">
        <f t="shared" si="1418"/>
        <v/>
      </c>
      <c r="AM357" s="375" t="str">
        <f t="shared" si="1418"/>
        <v/>
      </c>
      <c r="AN357" s="376" t="str">
        <f t="shared" si="1418"/>
        <v/>
      </c>
      <c r="AO357" s="376" t="str">
        <f t="shared" si="1418"/>
        <v/>
      </c>
      <c r="AP357" s="376" t="str">
        <f t="shared" si="1418"/>
        <v/>
      </c>
      <c r="AQ357" s="376" t="str">
        <f t="shared" si="1418"/>
        <v/>
      </c>
      <c r="AR357" s="375" t="str">
        <f t="shared" si="1418"/>
        <v/>
      </c>
      <c r="AS357" s="376" t="str">
        <f t="shared" si="1418"/>
        <v/>
      </c>
      <c r="AT357" s="376" t="str">
        <f t="shared" si="1418"/>
        <v/>
      </c>
      <c r="AU357" s="376" t="str">
        <f t="shared" si="1418"/>
        <v/>
      </c>
      <c r="AV357" s="376" t="str">
        <f t="shared" si="1418"/>
        <v/>
      </c>
      <c r="AW357" s="375" t="str">
        <f t="shared" si="1418"/>
        <v/>
      </c>
      <c r="AX357" s="376" t="str">
        <f t="shared" si="1418"/>
        <v/>
      </c>
      <c r="AY357" s="376" t="str">
        <f t="shared" si="1418"/>
        <v/>
      </c>
      <c r="AZ357" s="376" t="str">
        <f t="shared" ref="AZ357:BX357" si="1419">IF(ISERROR(AZ341/AZ44),"",(AZ341/AZ44))</f>
        <v/>
      </c>
      <c r="BA357" s="376" t="str">
        <f t="shared" si="1419"/>
        <v/>
      </c>
      <c r="BB357" s="375" t="str">
        <f t="shared" si="1419"/>
        <v/>
      </c>
      <c r="BC357" s="376" t="str">
        <f t="shared" si="1419"/>
        <v/>
      </c>
      <c r="BD357" s="376" t="str">
        <f t="shared" si="1419"/>
        <v/>
      </c>
      <c r="BE357" s="376" t="str">
        <f t="shared" si="1419"/>
        <v/>
      </c>
      <c r="BF357" s="376" t="str">
        <f t="shared" si="1419"/>
        <v/>
      </c>
      <c r="BG357" s="375" t="str">
        <f t="shared" si="1419"/>
        <v/>
      </c>
      <c r="BH357" s="677" t="str">
        <f t="shared" si="1419"/>
        <v/>
      </c>
      <c r="BI357" s="376" t="str">
        <f t="shared" si="1419"/>
        <v/>
      </c>
      <c r="BJ357" s="677" t="str">
        <f t="shared" si="1419"/>
        <v/>
      </c>
      <c r="BK357" s="677" t="str">
        <f t="shared" si="1419"/>
        <v/>
      </c>
      <c r="BL357" s="375" t="str">
        <f t="shared" si="1419"/>
        <v/>
      </c>
      <c r="BM357" s="677" t="str">
        <f t="shared" si="1419"/>
        <v/>
      </c>
      <c r="BN357" s="677" t="str">
        <f t="shared" si="1419"/>
        <v/>
      </c>
      <c r="BO357" s="677" t="str">
        <f t="shared" si="1419"/>
        <v/>
      </c>
      <c r="BP357" s="677" t="str">
        <f t="shared" si="1419"/>
        <v/>
      </c>
      <c r="BQ357" s="678" t="str">
        <f t="shared" si="1419"/>
        <v/>
      </c>
      <c r="BR357" s="677" t="str">
        <f t="shared" si="1419"/>
        <v/>
      </c>
      <c r="BS357" s="677" t="str">
        <f t="shared" si="1419"/>
        <v/>
      </c>
      <c r="BT357" s="677" t="str">
        <f t="shared" si="1419"/>
        <v/>
      </c>
      <c r="BU357" s="677" t="str">
        <f t="shared" si="1419"/>
        <v/>
      </c>
      <c r="BV357" s="678" t="str">
        <f t="shared" si="1419"/>
        <v/>
      </c>
      <c r="BW357" s="677" t="str">
        <f t="shared" si="1419"/>
        <v/>
      </c>
      <c r="BX357" s="677" t="str">
        <f t="shared" si="1419"/>
        <v/>
      </c>
      <c r="BY357" s="677" t="str">
        <f t="shared" ref="BY357:DD357" si="1420">IF(ISERROR(BY341/BY44),"",(BY341/BY44))</f>
        <v/>
      </c>
      <c r="BZ357" s="677" t="str">
        <f t="shared" si="1420"/>
        <v/>
      </c>
      <c r="CA357" s="678" t="str">
        <f t="shared" si="1420"/>
        <v/>
      </c>
      <c r="CB357" s="677" t="str">
        <f t="shared" si="1420"/>
        <v/>
      </c>
      <c r="CC357" s="677" t="str">
        <f t="shared" si="1420"/>
        <v/>
      </c>
      <c r="CD357" s="677" t="str">
        <f t="shared" si="1420"/>
        <v/>
      </c>
      <c r="CE357" s="677" t="str">
        <f t="shared" si="1420"/>
        <v/>
      </c>
      <c r="CF357" s="678" t="str">
        <f t="shared" si="1420"/>
        <v/>
      </c>
      <c r="CG357" s="677" t="str">
        <f t="shared" si="1420"/>
        <v/>
      </c>
      <c r="CH357" s="677" t="str">
        <f t="shared" si="1420"/>
        <v/>
      </c>
      <c r="CI357" s="677" t="str">
        <f t="shared" si="1420"/>
        <v/>
      </c>
      <c r="CJ357" s="677" t="str">
        <f t="shared" si="1420"/>
        <v/>
      </c>
      <c r="CK357" s="678" t="str">
        <f t="shared" si="1420"/>
        <v/>
      </c>
      <c r="CL357" s="677" t="str">
        <f t="shared" si="1420"/>
        <v/>
      </c>
      <c r="CM357" s="677" t="str">
        <f t="shared" si="1420"/>
        <v/>
      </c>
      <c r="CN357" s="677" t="str">
        <f t="shared" si="1420"/>
        <v/>
      </c>
      <c r="CO357" s="677" t="str">
        <f t="shared" si="1420"/>
        <v/>
      </c>
      <c r="CP357" s="678" t="str">
        <f t="shared" si="1420"/>
        <v/>
      </c>
      <c r="CQ357" s="677" t="str">
        <f t="shared" si="1420"/>
        <v/>
      </c>
      <c r="CR357" s="677" t="str">
        <f t="shared" si="1420"/>
        <v/>
      </c>
      <c r="CS357" s="677" t="str">
        <f t="shared" si="1420"/>
        <v/>
      </c>
      <c r="CT357" s="677" t="str">
        <f t="shared" si="1420"/>
        <v/>
      </c>
      <c r="CU357" s="678" t="str">
        <f t="shared" si="1420"/>
        <v/>
      </c>
      <c r="CV357" s="677" t="str">
        <f t="shared" si="1420"/>
        <v/>
      </c>
      <c r="CW357" s="677" t="str">
        <f t="shared" si="1420"/>
        <v/>
      </c>
      <c r="CX357" s="677" t="str">
        <f t="shared" si="1420"/>
        <v/>
      </c>
      <c r="CY357" s="677" t="str">
        <f t="shared" si="1420"/>
        <v/>
      </c>
      <c r="CZ357" s="678" t="str">
        <f t="shared" si="1420"/>
        <v/>
      </c>
      <c r="DA357" s="677" t="str">
        <f t="shared" si="1420"/>
        <v/>
      </c>
      <c r="DB357" s="677" t="str">
        <f t="shared" si="1420"/>
        <v/>
      </c>
      <c r="DC357" s="677" t="str">
        <f t="shared" si="1420"/>
        <v/>
      </c>
      <c r="DD357" s="677" t="str">
        <f t="shared" si="1420"/>
        <v/>
      </c>
      <c r="DE357" s="678" t="str">
        <f t="shared" ref="DE357:EB357" si="1421">IF(ISERROR(DE341/DE44),"",(DE341/DE44))</f>
        <v/>
      </c>
      <c r="DF357" s="677" t="str">
        <f t="shared" si="1421"/>
        <v/>
      </c>
      <c r="DG357" s="677" t="str">
        <f t="shared" si="1421"/>
        <v/>
      </c>
      <c r="DH357" s="677" t="str">
        <f t="shared" si="1421"/>
        <v/>
      </c>
      <c r="DI357" s="677" t="str">
        <f t="shared" si="1421"/>
        <v/>
      </c>
      <c r="DJ357" s="678" t="str">
        <f t="shared" si="1421"/>
        <v/>
      </c>
      <c r="DK357" s="677" t="str">
        <f t="shared" si="1421"/>
        <v/>
      </c>
      <c r="DL357" s="677" t="str">
        <f t="shared" si="1421"/>
        <v/>
      </c>
      <c r="DM357" s="677" t="str">
        <f t="shared" si="1421"/>
        <v/>
      </c>
      <c r="DN357" s="677" t="str">
        <f t="shared" si="1421"/>
        <v/>
      </c>
      <c r="DO357" s="678" t="str">
        <f t="shared" si="1421"/>
        <v/>
      </c>
      <c r="DP357" s="677" t="str">
        <f t="shared" si="1421"/>
        <v/>
      </c>
      <c r="DQ357" s="677" t="str">
        <f t="shared" si="1421"/>
        <v/>
      </c>
      <c r="DR357" s="677" t="str">
        <f t="shared" si="1421"/>
        <v/>
      </c>
      <c r="DS357" s="677" t="str">
        <f t="shared" si="1421"/>
        <v/>
      </c>
      <c r="DT357" s="678" t="str">
        <f t="shared" si="1421"/>
        <v/>
      </c>
      <c r="DU357" s="677" t="str">
        <f t="shared" si="1421"/>
        <v/>
      </c>
      <c r="DV357" s="677" t="str">
        <f t="shared" si="1421"/>
        <v/>
      </c>
      <c r="DW357" s="677" t="str">
        <f t="shared" si="1421"/>
        <v/>
      </c>
      <c r="DX357" s="677" t="str">
        <f t="shared" si="1421"/>
        <v/>
      </c>
      <c r="DY357" s="678" t="str">
        <f t="shared" si="1421"/>
        <v/>
      </c>
      <c r="DZ357" s="678" t="str">
        <f t="shared" si="1421"/>
        <v/>
      </c>
      <c r="EA357" s="678" t="str">
        <f t="shared" si="1421"/>
        <v/>
      </c>
      <c r="EB357" s="678" t="str">
        <f t="shared" si="1421"/>
        <v/>
      </c>
    </row>
    <row r="358" spans="2:132" s="241" customFormat="1" ht="12" hidden="1" customHeight="1">
      <c r="B358" s="335" t="s">
        <v>133</v>
      </c>
      <c r="C358" s="369"/>
      <c r="D358" s="355"/>
      <c r="E358" s="355">
        <f t="shared" ref="E358:I359" si="1422">IF(ISERROR(E342/E45),"",(E342/E45))</f>
        <v>0.89230769230769236</v>
      </c>
      <c r="F358" s="355">
        <f t="shared" si="1422"/>
        <v>1.1165860457489547</v>
      </c>
      <c r="G358" s="355">
        <f t="shared" si="1422"/>
        <v>1.0415227692554816</v>
      </c>
      <c r="H358" s="355">
        <f t="shared" si="1422"/>
        <v>1.2461043602573267</v>
      </c>
      <c r="I358" s="355" t="str">
        <f t="shared" si="1422"/>
        <v/>
      </c>
      <c r="J358" s="356" t="str">
        <f t="shared" ref="J358:S358" si="1423">IF(ISERROR(J342/J45),"",(J342/J45))</f>
        <v/>
      </c>
      <c r="K358" s="356" t="str">
        <f t="shared" si="1423"/>
        <v/>
      </c>
      <c r="L358" s="356" t="str">
        <f t="shared" si="1423"/>
        <v/>
      </c>
      <c r="M358" s="356" t="str">
        <f t="shared" si="1423"/>
        <v/>
      </c>
      <c r="N358" s="355" t="str">
        <f t="shared" si="1423"/>
        <v/>
      </c>
      <c r="O358" s="356" t="str">
        <f t="shared" si="1423"/>
        <v/>
      </c>
      <c r="P358" s="356" t="str">
        <f t="shared" si="1423"/>
        <v/>
      </c>
      <c r="Q358" s="356" t="str">
        <f t="shared" si="1423"/>
        <v/>
      </c>
      <c r="R358" s="356" t="str">
        <f t="shared" si="1423"/>
        <v/>
      </c>
      <c r="S358" s="355" t="str">
        <f t="shared" si="1423"/>
        <v/>
      </c>
      <c r="T358" s="356" t="str">
        <f t="shared" ref="T358:AY358" si="1424">IF(ISERROR(T342/T45),"",(T342/T45))</f>
        <v/>
      </c>
      <c r="U358" s="356" t="str">
        <f t="shared" si="1424"/>
        <v/>
      </c>
      <c r="V358" s="356" t="str">
        <f t="shared" si="1424"/>
        <v/>
      </c>
      <c r="W358" s="356" t="str">
        <f t="shared" si="1424"/>
        <v/>
      </c>
      <c r="X358" s="355" t="str">
        <f t="shared" si="1424"/>
        <v/>
      </c>
      <c r="Y358" s="356" t="str">
        <f t="shared" si="1424"/>
        <v/>
      </c>
      <c r="Z358" s="356" t="str">
        <f t="shared" si="1424"/>
        <v/>
      </c>
      <c r="AA358" s="356" t="str">
        <f t="shared" si="1424"/>
        <v/>
      </c>
      <c r="AB358" s="356" t="str">
        <f t="shared" si="1424"/>
        <v/>
      </c>
      <c r="AC358" s="355" t="str">
        <f t="shared" si="1424"/>
        <v/>
      </c>
      <c r="AD358" s="356" t="str">
        <f t="shared" si="1424"/>
        <v/>
      </c>
      <c r="AE358" s="356" t="str">
        <f t="shared" si="1424"/>
        <v/>
      </c>
      <c r="AF358" s="356" t="str">
        <f t="shared" si="1424"/>
        <v/>
      </c>
      <c r="AG358" s="356" t="str">
        <f t="shared" si="1424"/>
        <v/>
      </c>
      <c r="AH358" s="355" t="str">
        <f t="shared" si="1424"/>
        <v/>
      </c>
      <c r="AI358" s="356" t="str">
        <f t="shared" si="1424"/>
        <v/>
      </c>
      <c r="AJ358" s="356" t="str">
        <f t="shared" si="1424"/>
        <v/>
      </c>
      <c r="AK358" s="356" t="str">
        <f t="shared" si="1424"/>
        <v/>
      </c>
      <c r="AL358" s="356" t="str">
        <f t="shared" si="1424"/>
        <v/>
      </c>
      <c r="AM358" s="355" t="str">
        <f t="shared" si="1424"/>
        <v/>
      </c>
      <c r="AN358" s="356" t="str">
        <f t="shared" si="1424"/>
        <v/>
      </c>
      <c r="AO358" s="356" t="str">
        <f t="shared" si="1424"/>
        <v/>
      </c>
      <c r="AP358" s="356" t="str">
        <f t="shared" si="1424"/>
        <v/>
      </c>
      <c r="AQ358" s="356" t="str">
        <f t="shared" si="1424"/>
        <v/>
      </c>
      <c r="AR358" s="355" t="str">
        <f t="shared" si="1424"/>
        <v/>
      </c>
      <c r="AS358" s="356" t="str">
        <f t="shared" si="1424"/>
        <v/>
      </c>
      <c r="AT358" s="356" t="str">
        <f t="shared" si="1424"/>
        <v/>
      </c>
      <c r="AU358" s="356" t="str">
        <f t="shared" si="1424"/>
        <v/>
      </c>
      <c r="AV358" s="356" t="str">
        <f t="shared" si="1424"/>
        <v/>
      </c>
      <c r="AW358" s="355" t="str">
        <f t="shared" si="1424"/>
        <v/>
      </c>
      <c r="AX358" s="356" t="str">
        <f t="shared" si="1424"/>
        <v/>
      </c>
      <c r="AY358" s="356" t="str">
        <f t="shared" si="1424"/>
        <v/>
      </c>
      <c r="AZ358" s="356" t="str">
        <f t="shared" ref="AZ358:BX358" si="1425">IF(ISERROR(AZ342/AZ45),"",(AZ342/AZ45))</f>
        <v/>
      </c>
      <c r="BA358" s="356" t="str">
        <f t="shared" si="1425"/>
        <v/>
      </c>
      <c r="BB358" s="355" t="str">
        <f t="shared" si="1425"/>
        <v/>
      </c>
      <c r="BC358" s="356" t="str">
        <f t="shared" si="1425"/>
        <v/>
      </c>
      <c r="BD358" s="356" t="str">
        <f t="shared" si="1425"/>
        <v/>
      </c>
      <c r="BE358" s="356" t="str">
        <f t="shared" si="1425"/>
        <v/>
      </c>
      <c r="BF358" s="356" t="str">
        <f t="shared" si="1425"/>
        <v/>
      </c>
      <c r="BG358" s="355" t="str">
        <f t="shared" si="1425"/>
        <v/>
      </c>
      <c r="BH358" s="656" t="str">
        <f t="shared" si="1425"/>
        <v/>
      </c>
      <c r="BI358" s="356" t="str">
        <f t="shared" si="1425"/>
        <v/>
      </c>
      <c r="BJ358" s="656" t="str">
        <f t="shared" si="1425"/>
        <v/>
      </c>
      <c r="BK358" s="656" t="str">
        <f t="shared" si="1425"/>
        <v/>
      </c>
      <c r="BL358" s="355" t="str">
        <f t="shared" si="1425"/>
        <v/>
      </c>
      <c r="BM358" s="656" t="str">
        <f t="shared" si="1425"/>
        <v/>
      </c>
      <c r="BN358" s="656" t="str">
        <f t="shared" si="1425"/>
        <v/>
      </c>
      <c r="BO358" s="656" t="str">
        <f t="shared" si="1425"/>
        <v/>
      </c>
      <c r="BP358" s="656" t="str">
        <f t="shared" si="1425"/>
        <v/>
      </c>
      <c r="BQ358" s="657" t="str">
        <f t="shared" si="1425"/>
        <v/>
      </c>
      <c r="BR358" s="656" t="str">
        <f t="shared" si="1425"/>
        <v/>
      </c>
      <c r="BS358" s="656" t="str">
        <f t="shared" si="1425"/>
        <v/>
      </c>
      <c r="BT358" s="656" t="str">
        <f t="shared" si="1425"/>
        <v/>
      </c>
      <c r="BU358" s="656" t="str">
        <f t="shared" si="1425"/>
        <v/>
      </c>
      <c r="BV358" s="657" t="str">
        <f t="shared" si="1425"/>
        <v/>
      </c>
      <c r="BW358" s="656" t="str">
        <f t="shared" si="1425"/>
        <v/>
      </c>
      <c r="BX358" s="656" t="str">
        <f t="shared" si="1425"/>
        <v/>
      </c>
      <c r="BY358" s="656" t="str">
        <f t="shared" ref="BY358:DD358" si="1426">IF(ISERROR(BY342/BY45),"",(BY342/BY45))</f>
        <v/>
      </c>
      <c r="BZ358" s="656" t="str">
        <f t="shared" si="1426"/>
        <v/>
      </c>
      <c r="CA358" s="657" t="str">
        <f t="shared" si="1426"/>
        <v/>
      </c>
      <c r="CB358" s="656" t="str">
        <f t="shared" si="1426"/>
        <v/>
      </c>
      <c r="CC358" s="656" t="str">
        <f t="shared" si="1426"/>
        <v/>
      </c>
      <c r="CD358" s="656" t="str">
        <f t="shared" si="1426"/>
        <v/>
      </c>
      <c r="CE358" s="656" t="str">
        <f t="shared" si="1426"/>
        <v/>
      </c>
      <c r="CF358" s="657" t="str">
        <f t="shared" si="1426"/>
        <v/>
      </c>
      <c r="CG358" s="656" t="str">
        <f t="shared" si="1426"/>
        <v/>
      </c>
      <c r="CH358" s="656" t="str">
        <f t="shared" si="1426"/>
        <v/>
      </c>
      <c r="CI358" s="656" t="str">
        <f t="shared" si="1426"/>
        <v/>
      </c>
      <c r="CJ358" s="656" t="str">
        <f t="shared" si="1426"/>
        <v/>
      </c>
      <c r="CK358" s="657" t="str">
        <f t="shared" si="1426"/>
        <v/>
      </c>
      <c r="CL358" s="656" t="str">
        <f t="shared" si="1426"/>
        <v/>
      </c>
      <c r="CM358" s="656" t="str">
        <f t="shared" si="1426"/>
        <v/>
      </c>
      <c r="CN358" s="656" t="str">
        <f t="shared" si="1426"/>
        <v/>
      </c>
      <c r="CO358" s="656" t="str">
        <f t="shared" si="1426"/>
        <v/>
      </c>
      <c r="CP358" s="657" t="str">
        <f t="shared" si="1426"/>
        <v/>
      </c>
      <c r="CQ358" s="656" t="str">
        <f t="shared" si="1426"/>
        <v/>
      </c>
      <c r="CR358" s="656" t="str">
        <f t="shared" si="1426"/>
        <v/>
      </c>
      <c r="CS358" s="656" t="str">
        <f t="shared" si="1426"/>
        <v/>
      </c>
      <c r="CT358" s="656" t="str">
        <f t="shared" si="1426"/>
        <v/>
      </c>
      <c r="CU358" s="657" t="str">
        <f t="shared" si="1426"/>
        <v/>
      </c>
      <c r="CV358" s="656" t="str">
        <f t="shared" si="1426"/>
        <v/>
      </c>
      <c r="CW358" s="656" t="str">
        <f t="shared" si="1426"/>
        <v/>
      </c>
      <c r="CX358" s="656" t="str">
        <f t="shared" si="1426"/>
        <v/>
      </c>
      <c r="CY358" s="656" t="str">
        <f t="shared" si="1426"/>
        <v/>
      </c>
      <c r="CZ358" s="657" t="str">
        <f t="shared" si="1426"/>
        <v/>
      </c>
      <c r="DA358" s="656" t="str">
        <f t="shared" si="1426"/>
        <v/>
      </c>
      <c r="DB358" s="656" t="str">
        <f t="shared" si="1426"/>
        <v/>
      </c>
      <c r="DC358" s="656" t="str">
        <f t="shared" si="1426"/>
        <v/>
      </c>
      <c r="DD358" s="656" t="str">
        <f t="shared" si="1426"/>
        <v/>
      </c>
      <c r="DE358" s="657" t="str">
        <f t="shared" ref="DE358:EB358" si="1427">IF(ISERROR(DE342/DE45),"",(DE342/DE45))</f>
        <v/>
      </c>
      <c r="DF358" s="656" t="str">
        <f t="shared" si="1427"/>
        <v/>
      </c>
      <c r="DG358" s="656" t="str">
        <f t="shared" si="1427"/>
        <v/>
      </c>
      <c r="DH358" s="656" t="str">
        <f t="shared" si="1427"/>
        <v/>
      </c>
      <c r="DI358" s="656" t="str">
        <f t="shared" si="1427"/>
        <v/>
      </c>
      <c r="DJ358" s="657" t="str">
        <f t="shared" si="1427"/>
        <v/>
      </c>
      <c r="DK358" s="656" t="str">
        <f t="shared" si="1427"/>
        <v/>
      </c>
      <c r="DL358" s="656" t="str">
        <f t="shared" si="1427"/>
        <v/>
      </c>
      <c r="DM358" s="656" t="str">
        <f t="shared" si="1427"/>
        <v/>
      </c>
      <c r="DN358" s="656" t="str">
        <f t="shared" si="1427"/>
        <v/>
      </c>
      <c r="DO358" s="657" t="str">
        <f t="shared" si="1427"/>
        <v/>
      </c>
      <c r="DP358" s="656" t="str">
        <f t="shared" si="1427"/>
        <v/>
      </c>
      <c r="DQ358" s="656" t="str">
        <f t="shared" si="1427"/>
        <v/>
      </c>
      <c r="DR358" s="656" t="str">
        <f t="shared" si="1427"/>
        <v/>
      </c>
      <c r="DS358" s="656" t="str">
        <f t="shared" si="1427"/>
        <v/>
      </c>
      <c r="DT358" s="657" t="str">
        <f t="shared" si="1427"/>
        <v/>
      </c>
      <c r="DU358" s="656" t="str">
        <f t="shared" si="1427"/>
        <v/>
      </c>
      <c r="DV358" s="656" t="str">
        <f t="shared" si="1427"/>
        <v/>
      </c>
      <c r="DW358" s="656" t="str">
        <f t="shared" si="1427"/>
        <v/>
      </c>
      <c r="DX358" s="656" t="str">
        <f t="shared" si="1427"/>
        <v/>
      </c>
      <c r="DY358" s="657" t="str">
        <f t="shared" si="1427"/>
        <v/>
      </c>
      <c r="DZ358" s="657" t="str">
        <f t="shared" si="1427"/>
        <v/>
      </c>
      <c r="EA358" s="657" t="str">
        <f t="shared" si="1427"/>
        <v/>
      </c>
      <c r="EB358" s="657" t="str">
        <f t="shared" si="1427"/>
        <v/>
      </c>
    </row>
    <row r="359" spans="2:132" s="241" customFormat="1" ht="12" hidden="1" customHeight="1">
      <c r="B359" s="318" t="s">
        <v>134</v>
      </c>
      <c r="C359" s="374"/>
      <c r="D359" s="375"/>
      <c r="E359" s="375">
        <f t="shared" si="1422"/>
        <v>1.1102327624066755</v>
      </c>
      <c r="F359" s="375">
        <f t="shared" si="1422"/>
        <v>1.3883567607911431</v>
      </c>
      <c r="G359" s="375">
        <f t="shared" si="1422"/>
        <v>0.94249324585102279</v>
      </c>
      <c r="H359" s="375">
        <f t="shared" si="1422"/>
        <v>1.1668642290507887</v>
      </c>
      <c r="I359" s="375" t="str">
        <f t="shared" si="1422"/>
        <v/>
      </c>
      <c r="J359" s="376" t="str">
        <f t="shared" ref="J359:S359" si="1428">IF(ISERROR(J343/J46),"",(J343/J46))</f>
        <v/>
      </c>
      <c r="K359" s="376" t="str">
        <f t="shared" si="1428"/>
        <v/>
      </c>
      <c r="L359" s="376" t="str">
        <f t="shared" si="1428"/>
        <v/>
      </c>
      <c r="M359" s="376" t="str">
        <f t="shared" si="1428"/>
        <v/>
      </c>
      <c r="N359" s="375" t="str">
        <f t="shared" si="1428"/>
        <v/>
      </c>
      <c r="O359" s="376" t="str">
        <f t="shared" si="1428"/>
        <v/>
      </c>
      <c r="P359" s="376" t="str">
        <f t="shared" si="1428"/>
        <v/>
      </c>
      <c r="Q359" s="376" t="str">
        <f t="shared" si="1428"/>
        <v/>
      </c>
      <c r="R359" s="376" t="str">
        <f t="shared" si="1428"/>
        <v/>
      </c>
      <c r="S359" s="375" t="str">
        <f t="shared" si="1428"/>
        <v/>
      </c>
      <c r="T359" s="376" t="str">
        <f t="shared" ref="T359:AY359" si="1429">IF(ISERROR(T343/T46),"",(T343/T46))</f>
        <v/>
      </c>
      <c r="U359" s="376" t="str">
        <f t="shared" si="1429"/>
        <v/>
      </c>
      <c r="V359" s="376" t="str">
        <f t="shared" si="1429"/>
        <v/>
      </c>
      <c r="W359" s="376" t="str">
        <f t="shared" si="1429"/>
        <v/>
      </c>
      <c r="X359" s="375" t="str">
        <f t="shared" si="1429"/>
        <v/>
      </c>
      <c r="Y359" s="376" t="str">
        <f t="shared" si="1429"/>
        <v/>
      </c>
      <c r="Z359" s="376" t="str">
        <f t="shared" si="1429"/>
        <v/>
      </c>
      <c r="AA359" s="376" t="str">
        <f t="shared" si="1429"/>
        <v/>
      </c>
      <c r="AB359" s="376" t="str">
        <f t="shared" si="1429"/>
        <v/>
      </c>
      <c r="AC359" s="375" t="str">
        <f t="shared" si="1429"/>
        <v/>
      </c>
      <c r="AD359" s="376" t="str">
        <f t="shared" si="1429"/>
        <v/>
      </c>
      <c r="AE359" s="376" t="str">
        <f t="shared" si="1429"/>
        <v/>
      </c>
      <c r="AF359" s="376" t="str">
        <f t="shared" si="1429"/>
        <v/>
      </c>
      <c r="AG359" s="376" t="str">
        <f t="shared" si="1429"/>
        <v/>
      </c>
      <c r="AH359" s="375" t="str">
        <f t="shared" si="1429"/>
        <v/>
      </c>
      <c r="AI359" s="376" t="str">
        <f t="shared" si="1429"/>
        <v/>
      </c>
      <c r="AJ359" s="376" t="str">
        <f t="shared" si="1429"/>
        <v/>
      </c>
      <c r="AK359" s="376" t="str">
        <f t="shared" si="1429"/>
        <v/>
      </c>
      <c r="AL359" s="376" t="str">
        <f t="shared" si="1429"/>
        <v/>
      </c>
      <c r="AM359" s="375" t="str">
        <f t="shared" si="1429"/>
        <v/>
      </c>
      <c r="AN359" s="376" t="str">
        <f t="shared" si="1429"/>
        <v/>
      </c>
      <c r="AO359" s="376" t="str">
        <f t="shared" si="1429"/>
        <v/>
      </c>
      <c r="AP359" s="376" t="str">
        <f t="shared" si="1429"/>
        <v/>
      </c>
      <c r="AQ359" s="376" t="str">
        <f t="shared" si="1429"/>
        <v/>
      </c>
      <c r="AR359" s="375" t="str">
        <f t="shared" si="1429"/>
        <v/>
      </c>
      <c r="AS359" s="376" t="str">
        <f t="shared" si="1429"/>
        <v/>
      </c>
      <c r="AT359" s="376" t="str">
        <f t="shared" si="1429"/>
        <v/>
      </c>
      <c r="AU359" s="376" t="str">
        <f t="shared" si="1429"/>
        <v/>
      </c>
      <c r="AV359" s="376" t="str">
        <f t="shared" si="1429"/>
        <v/>
      </c>
      <c r="AW359" s="375" t="str">
        <f t="shared" si="1429"/>
        <v/>
      </c>
      <c r="AX359" s="376" t="str">
        <f t="shared" si="1429"/>
        <v/>
      </c>
      <c r="AY359" s="376" t="str">
        <f t="shared" si="1429"/>
        <v/>
      </c>
      <c r="AZ359" s="376" t="str">
        <f t="shared" ref="AZ359:BX359" si="1430">IF(ISERROR(AZ343/AZ46),"",(AZ343/AZ46))</f>
        <v/>
      </c>
      <c r="BA359" s="376" t="str">
        <f t="shared" si="1430"/>
        <v/>
      </c>
      <c r="BB359" s="375" t="str">
        <f t="shared" si="1430"/>
        <v/>
      </c>
      <c r="BC359" s="376" t="str">
        <f t="shared" si="1430"/>
        <v/>
      </c>
      <c r="BD359" s="376" t="str">
        <f t="shared" si="1430"/>
        <v/>
      </c>
      <c r="BE359" s="376" t="str">
        <f t="shared" si="1430"/>
        <v/>
      </c>
      <c r="BF359" s="376" t="str">
        <f t="shared" si="1430"/>
        <v/>
      </c>
      <c r="BG359" s="375" t="str">
        <f t="shared" si="1430"/>
        <v/>
      </c>
      <c r="BH359" s="677" t="str">
        <f t="shared" si="1430"/>
        <v/>
      </c>
      <c r="BI359" s="376" t="str">
        <f t="shared" si="1430"/>
        <v/>
      </c>
      <c r="BJ359" s="677" t="str">
        <f t="shared" si="1430"/>
        <v/>
      </c>
      <c r="BK359" s="677" t="str">
        <f t="shared" si="1430"/>
        <v/>
      </c>
      <c r="BL359" s="375" t="str">
        <f t="shared" si="1430"/>
        <v/>
      </c>
      <c r="BM359" s="677" t="str">
        <f t="shared" si="1430"/>
        <v/>
      </c>
      <c r="BN359" s="677" t="str">
        <f t="shared" si="1430"/>
        <v/>
      </c>
      <c r="BO359" s="677" t="str">
        <f t="shared" si="1430"/>
        <v/>
      </c>
      <c r="BP359" s="677" t="str">
        <f t="shared" si="1430"/>
        <v/>
      </c>
      <c r="BQ359" s="678" t="str">
        <f t="shared" si="1430"/>
        <v/>
      </c>
      <c r="BR359" s="677" t="str">
        <f t="shared" si="1430"/>
        <v/>
      </c>
      <c r="BS359" s="677" t="str">
        <f t="shared" si="1430"/>
        <v/>
      </c>
      <c r="BT359" s="677" t="str">
        <f t="shared" si="1430"/>
        <v/>
      </c>
      <c r="BU359" s="677" t="str">
        <f t="shared" si="1430"/>
        <v/>
      </c>
      <c r="BV359" s="678" t="str">
        <f t="shared" si="1430"/>
        <v/>
      </c>
      <c r="BW359" s="677" t="str">
        <f t="shared" si="1430"/>
        <v/>
      </c>
      <c r="BX359" s="677" t="str">
        <f t="shared" si="1430"/>
        <v/>
      </c>
      <c r="BY359" s="677" t="str">
        <f t="shared" ref="BY359:DD359" si="1431">IF(ISERROR(BY343/BY46),"",(BY343/BY46))</f>
        <v/>
      </c>
      <c r="BZ359" s="677" t="str">
        <f t="shared" si="1431"/>
        <v/>
      </c>
      <c r="CA359" s="678" t="str">
        <f t="shared" si="1431"/>
        <v/>
      </c>
      <c r="CB359" s="677" t="str">
        <f t="shared" si="1431"/>
        <v/>
      </c>
      <c r="CC359" s="677" t="str">
        <f t="shared" si="1431"/>
        <v/>
      </c>
      <c r="CD359" s="677" t="str">
        <f t="shared" si="1431"/>
        <v/>
      </c>
      <c r="CE359" s="677" t="str">
        <f t="shared" si="1431"/>
        <v/>
      </c>
      <c r="CF359" s="678" t="str">
        <f t="shared" si="1431"/>
        <v/>
      </c>
      <c r="CG359" s="677" t="str">
        <f t="shared" si="1431"/>
        <v/>
      </c>
      <c r="CH359" s="677" t="str">
        <f t="shared" si="1431"/>
        <v/>
      </c>
      <c r="CI359" s="677" t="str">
        <f t="shared" si="1431"/>
        <v/>
      </c>
      <c r="CJ359" s="677" t="str">
        <f t="shared" si="1431"/>
        <v/>
      </c>
      <c r="CK359" s="678" t="str">
        <f t="shared" si="1431"/>
        <v/>
      </c>
      <c r="CL359" s="677" t="str">
        <f t="shared" si="1431"/>
        <v/>
      </c>
      <c r="CM359" s="677" t="str">
        <f t="shared" si="1431"/>
        <v/>
      </c>
      <c r="CN359" s="677" t="str">
        <f t="shared" si="1431"/>
        <v/>
      </c>
      <c r="CO359" s="677" t="str">
        <f t="shared" si="1431"/>
        <v/>
      </c>
      <c r="CP359" s="678" t="str">
        <f t="shared" si="1431"/>
        <v/>
      </c>
      <c r="CQ359" s="677" t="str">
        <f t="shared" si="1431"/>
        <v/>
      </c>
      <c r="CR359" s="677" t="str">
        <f t="shared" si="1431"/>
        <v/>
      </c>
      <c r="CS359" s="677" t="str">
        <f t="shared" si="1431"/>
        <v/>
      </c>
      <c r="CT359" s="677" t="str">
        <f t="shared" si="1431"/>
        <v/>
      </c>
      <c r="CU359" s="678" t="str">
        <f t="shared" si="1431"/>
        <v/>
      </c>
      <c r="CV359" s="677" t="str">
        <f t="shared" si="1431"/>
        <v/>
      </c>
      <c r="CW359" s="677" t="str">
        <f t="shared" si="1431"/>
        <v/>
      </c>
      <c r="CX359" s="677" t="str">
        <f t="shared" si="1431"/>
        <v/>
      </c>
      <c r="CY359" s="677" t="str">
        <f t="shared" si="1431"/>
        <v/>
      </c>
      <c r="CZ359" s="678" t="str">
        <f t="shared" si="1431"/>
        <v/>
      </c>
      <c r="DA359" s="677" t="str">
        <f t="shared" si="1431"/>
        <v/>
      </c>
      <c r="DB359" s="677" t="str">
        <f t="shared" si="1431"/>
        <v/>
      </c>
      <c r="DC359" s="677" t="str">
        <f t="shared" si="1431"/>
        <v/>
      </c>
      <c r="DD359" s="677" t="str">
        <f t="shared" si="1431"/>
        <v/>
      </c>
      <c r="DE359" s="678" t="str">
        <f t="shared" ref="DE359:EB359" si="1432">IF(ISERROR(DE343/DE46),"",(DE343/DE46))</f>
        <v/>
      </c>
      <c r="DF359" s="677" t="str">
        <f t="shared" si="1432"/>
        <v/>
      </c>
      <c r="DG359" s="677" t="str">
        <f t="shared" si="1432"/>
        <v/>
      </c>
      <c r="DH359" s="677" t="str">
        <f t="shared" si="1432"/>
        <v/>
      </c>
      <c r="DI359" s="677" t="str">
        <f t="shared" si="1432"/>
        <v/>
      </c>
      <c r="DJ359" s="678" t="str">
        <f t="shared" si="1432"/>
        <v/>
      </c>
      <c r="DK359" s="677" t="str">
        <f t="shared" si="1432"/>
        <v/>
      </c>
      <c r="DL359" s="677" t="str">
        <f t="shared" si="1432"/>
        <v/>
      </c>
      <c r="DM359" s="677" t="str">
        <f t="shared" si="1432"/>
        <v/>
      </c>
      <c r="DN359" s="677" t="str">
        <f t="shared" si="1432"/>
        <v/>
      </c>
      <c r="DO359" s="678" t="str">
        <f t="shared" si="1432"/>
        <v/>
      </c>
      <c r="DP359" s="677" t="str">
        <f t="shared" si="1432"/>
        <v/>
      </c>
      <c r="DQ359" s="677" t="str">
        <f t="shared" si="1432"/>
        <v/>
      </c>
      <c r="DR359" s="677" t="str">
        <f t="shared" si="1432"/>
        <v/>
      </c>
      <c r="DS359" s="677" t="str">
        <f t="shared" si="1432"/>
        <v/>
      </c>
      <c r="DT359" s="678" t="str">
        <f t="shared" si="1432"/>
        <v/>
      </c>
      <c r="DU359" s="677" t="str">
        <f t="shared" si="1432"/>
        <v/>
      </c>
      <c r="DV359" s="677" t="str">
        <f t="shared" si="1432"/>
        <v/>
      </c>
      <c r="DW359" s="677" t="str">
        <f t="shared" si="1432"/>
        <v/>
      </c>
      <c r="DX359" s="677" t="str">
        <f t="shared" si="1432"/>
        <v/>
      </c>
      <c r="DY359" s="678" t="str">
        <f t="shared" si="1432"/>
        <v/>
      </c>
      <c r="DZ359" s="678" t="str">
        <f t="shared" si="1432"/>
        <v/>
      </c>
      <c r="EA359" s="678" t="str">
        <f t="shared" si="1432"/>
        <v/>
      </c>
      <c r="EB359" s="678" t="str">
        <f t="shared" si="1432"/>
        <v/>
      </c>
    </row>
    <row r="360" spans="2:132" s="241" customFormat="1" ht="12" customHeight="1" collapsed="1">
      <c r="B360" s="348" t="str">
        <f>B344</f>
        <v>Defense, Space &amp; Security</v>
      </c>
      <c r="C360" s="369"/>
      <c r="D360" s="355">
        <f t="shared" ref="D360:AI360" si="1433">IF(ISERROR(D344/D69),"",(D344/D69))</f>
        <v>0.94904170229890839</v>
      </c>
      <c r="E360" s="355">
        <f t="shared" si="1433"/>
        <v>0.97044774552516933</v>
      </c>
      <c r="F360" s="355">
        <f t="shared" si="1433"/>
        <v>1.224550306384661</v>
      </c>
      <c r="G360" s="355">
        <f t="shared" si="1433"/>
        <v>0.99653736576813501</v>
      </c>
      <c r="H360" s="355">
        <f t="shared" si="1433"/>
        <v>1.2112834074608327</v>
      </c>
      <c r="I360" s="355">
        <f t="shared" si="1433"/>
        <v>1.1779540221483134</v>
      </c>
      <c r="J360" s="370">
        <f t="shared" si="1433"/>
        <v>1.0938384791694755</v>
      </c>
      <c r="K360" s="370">
        <f t="shared" si="1433"/>
        <v>0.94303267243786648</v>
      </c>
      <c r="L360" s="370">
        <f t="shared" si="1433"/>
        <v>0.55164063445937761</v>
      </c>
      <c r="M360" s="370">
        <f t="shared" si="1433"/>
        <v>1.220663432542284</v>
      </c>
      <c r="N360" s="355">
        <f t="shared" si="1433"/>
        <v>0.94314787461020844</v>
      </c>
      <c r="O360" s="370">
        <f t="shared" si="1433"/>
        <v>1.621768527111229</v>
      </c>
      <c r="P360" s="370">
        <f t="shared" si="1433"/>
        <v>0.62580728493929216</v>
      </c>
      <c r="Q360" s="370">
        <f t="shared" si="1433"/>
        <v>0.24427584338165559</v>
      </c>
      <c r="R360" s="370">
        <f t="shared" si="1433"/>
        <v>1.1200000000000001</v>
      </c>
      <c r="S360" s="355">
        <f t="shared" si="1433"/>
        <v>0.90873956675651979</v>
      </c>
      <c r="T360" s="370">
        <f t="shared" si="1433"/>
        <v>1.7996103534650709</v>
      </c>
      <c r="U360" s="370">
        <f t="shared" si="1433"/>
        <v>0.55389760740931304</v>
      </c>
      <c r="V360" s="370">
        <f t="shared" si="1433"/>
        <v>0.65811088295687881</v>
      </c>
      <c r="W360" s="370">
        <f t="shared" si="1433"/>
        <v>1.6371425621967586</v>
      </c>
      <c r="X360" s="355">
        <f t="shared" si="1433"/>
        <v>1.1783655476432688</v>
      </c>
      <c r="Y360" s="370">
        <f t="shared" si="1433"/>
        <v>0.93265121098303327</v>
      </c>
      <c r="Z360" s="370">
        <f t="shared" si="1433"/>
        <v>0.83899260744267634</v>
      </c>
      <c r="AA360" s="370">
        <f t="shared" si="1433"/>
        <v>0.75574425574425574</v>
      </c>
      <c r="AB360" s="370">
        <f t="shared" si="1433"/>
        <v>1.3892473118279569</v>
      </c>
      <c r="AC360" s="355">
        <f t="shared" si="1433"/>
        <v>0.98432044887780545</v>
      </c>
      <c r="AD360" s="370">
        <f t="shared" si="1433"/>
        <v>1.348910891089109</v>
      </c>
      <c r="AE360" s="370">
        <f t="shared" si="1433"/>
        <v>1.1425510461305772</v>
      </c>
      <c r="AF360" s="370">
        <f t="shared" si="1433"/>
        <v>0.51018006355184187</v>
      </c>
      <c r="AG360" s="370">
        <f t="shared" si="1433"/>
        <v>1.4825487517078624</v>
      </c>
      <c r="AH360" s="355">
        <f t="shared" si="1433"/>
        <v>1.1090869388901019</v>
      </c>
      <c r="AI360" s="370">
        <f t="shared" si="1433"/>
        <v>1.4417098445595855</v>
      </c>
      <c r="AJ360" s="370">
        <f t="shared" ref="AJ360:BO360" si="1434">IF(ISERROR(AJ344/AJ69),"",(AJ344/AJ69))</f>
        <v>0.9</v>
      </c>
      <c r="AK360" s="370">
        <f t="shared" si="1434"/>
        <v>0.67863677950594692</v>
      </c>
      <c r="AL360" s="370">
        <f t="shared" si="1434"/>
        <v>1.1174681174681174</v>
      </c>
      <c r="AM360" s="355">
        <f t="shared" si="1434"/>
        <v>1.0219541903092599</v>
      </c>
      <c r="AN360" s="370">
        <f t="shared" si="1434"/>
        <v>1.3252331538158413</v>
      </c>
      <c r="AO360" s="370">
        <f t="shared" si="1434"/>
        <v>0.68683452336214457</v>
      </c>
      <c r="AP360" s="370">
        <f t="shared" si="1434"/>
        <v>1.0360547543387926</v>
      </c>
      <c r="AQ360" s="370">
        <f t="shared" si="1434"/>
        <v>1.2578077158603798</v>
      </c>
      <c r="AR360" s="355">
        <f t="shared" si="1434"/>
        <v>1.0743824938171118</v>
      </c>
      <c r="AS360" s="370">
        <f t="shared" si="1434"/>
        <v>1.1837993960876985</v>
      </c>
      <c r="AT360" s="370">
        <f t="shared" si="1434"/>
        <v>0.77887617065556713</v>
      </c>
      <c r="AU360" s="370">
        <f t="shared" si="1434"/>
        <v>0.81707317073170727</v>
      </c>
      <c r="AV360" s="370">
        <f t="shared" si="1434"/>
        <v>0.97639003659544332</v>
      </c>
      <c r="AW360" s="355">
        <f t="shared" si="1434"/>
        <v>0.93745308981736297</v>
      </c>
      <c r="AX360" s="370">
        <f t="shared" si="1434"/>
        <v>1.8380906109559092</v>
      </c>
      <c r="AY360" s="370">
        <f t="shared" si="1434"/>
        <v>1.10986328125</v>
      </c>
      <c r="AZ360" s="370">
        <f t="shared" si="1434"/>
        <v>0.75762214568184716</v>
      </c>
      <c r="BA360" s="370">
        <f t="shared" si="1434"/>
        <v>1.3356106915977466</v>
      </c>
      <c r="BB360" s="355">
        <f t="shared" si="1434"/>
        <v>1.2668138743214648</v>
      </c>
      <c r="BC360" s="370">
        <f t="shared" si="1434"/>
        <v>0.56843403205918619</v>
      </c>
      <c r="BD360" s="370">
        <f t="shared" si="1434"/>
        <v>0.98778402150012212</v>
      </c>
      <c r="BE360" s="370">
        <f t="shared" si="1434"/>
        <v>0.9254287844891872</v>
      </c>
      <c r="BF360" s="370">
        <f t="shared" si="1434"/>
        <v>0.85319028797289664</v>
      </c>
      <c r="BG360" s="355">
        <f t="shared" si="1434"/>
        <v>0.83432237852818025</v>
      </c>
      <c r="BH360" s="674">
        <f t="shared" si="1434"/>
        <v>0.88209092100091702</v>
      </c>
      <c r="BI360" s="370">
        <f t="shared" si="1434"/>
        <v>1.1290822253775654</v>
      </c>
      <c r="BJ360" s="674">
        <f t="shared" si="1434"/>
        <v>0.46922785290029068</v>
      </c>
      <c r="BK360" s="674">
        <f t="shared" si="1434"/>
        <v>1.1845018450184501</v>
      </c>
      <c r="BL360" s="355">
        <f t="shared" si="1434"/>
        <v>0.91256759819954014</v>
      </c>
      <c r="BM360" s="674">
        <f t="shared" si="1434"/>
        <v>1.1043374571471158</v>
      </c>
      <c r="BN360" s="674">
        <f t="shared" si="1434"/>
        <v>1.1060445387062565</v>
      </c>
      <c r="BO360" s="674">
        <f t="shared" si="1434"/>
        <v>0.73652694610778446</v>
      </c>
      <c r="BP360" s="674">
        <f t="shared" ref="BP360:CU360" si="1435">IF(ISERROR(BP344/BP69),"",(BP344/BP69))</f>
        <v>0.87154784842646116</v>
      </c>
      <c r="BQ360" s="657">
        <f t="shared" si="1435"/>
        <v>0.94405686455179672</v>
      </c>
      <c r="BR360" s="674">
        <f t="shared" si="1435"/>
        <v>1.6225554106910038</v>
      </c>
      <c r="BS360" s="674">
        <f t="shared" si="1435"/>
        <v>1.1816833518724508</v>
      </c>
      <c r="BT360" s="674">
        <f t="shared" si="1435"/>
        <v>0.21005042601286733</v>
      </c>
      <c r="BU360" s="674">
        <f t="shared" si="1435"/>
        <v>1.6773949261643317</v>
      </c>
      <c r="BV360" s="657">
        <f t="shared" si="1435"/>
        <v>1.1699685325532951</v>
      </c>
      <c r="BW360" s="674">
        <f t="shared" si="1435"/>
        <v>2.1189358372456963</v>
      </c>
      <c r="BX360" s="674">
        <f t="shared" si="1435"/>
        <v>0.91131855309218202</v>
      </c>
      <c r="BY360" s="674">
        <f t="shared" si="1435"/>
        <v>1.3271287128712872</v>
      </c>
      <c r="BZ360" s="674">
        <f t="shared" si="1435"/>
        <v>0.65702872360661979</v>
      </c>
      <c r="CA360" s="657">
        <f t="shared" si="1435"/>
        <v>0.96225864500753855</v>
      </c>
      <c r="CB360" s="674">
        <f t="shared" si="1435"/>
        <v>1.9805585557784293</v>
      </c>
      <c r="CC360" s="674">
        <f t="shared" si="1435"/>
        <v>1.2493442622950819</v>
      </c>
      <c r="CD360" s="674">
        <f t="shared" si="1435"/>
        <v>1.8577194752774975</v>
      </c>
      <c r="CE360" s="674">
        <f t="shared" si="1435"/>
        <v>0.89685772475996506</v>
      </c>
      <c r="CF360" s="657">
        <f t="shared" si="1435"/>
        <v>1</v>
      </c>
      <c r="CG360" s="674">
        <f t="shared" si="1435"/>
        <v>2.4557555589169566</v>
      </c>
      <c r="CH360" s="674">
        <f t="shared" si="1435"/>
        <v>0.55868118572292802</v>
      </c>
      <c r="CI360" s="674">
        <f t="shared" si="1435"/>
        <v>0.69551556698086259</v>
      </c>
      <c r="CJ360" s="674">
        <f t="shared" si="1435"/>
        <v>1.3636363636363635</v>
      </c>
      <c r="CK360" s="657">
        <f t="shared" si="1435"/>
        <v>1</v>
      </c>
      <c r="CL360" s="674">
        <f t="shared" si="1435"/>
        <v>0.94538232373386299</v>
      </c>
      <c r="CM360" s="674">
        <f t="shared" si="1435"/>
        <v>1.1074681238615665</v>
      </c>
      <c r="CN360" s="674">
        <f t="shared" si="1435"/>
        <v>0.7209404205607477</v>
      </c>
      <c r="CO360" s="674">
        <f t="shared" si="1435"/>
        <v>0.77459802330727245</v>
      </c>
      <c r="CP360" s="657">
        <f t="shared" si="1435"/>
        <v>1</v>
      </c>
      <c r="CQ360" s="674">
        <f t="shared" si="1435"/>
        <v>1.0587334725121782</v>
      </c>
      <c r="CR360" s="674">
        <f t="shared" si="1435"/>
        <v>0.62710878417684701</v>
      </c>
      <c r="CS360" s="674">
        <f t="shared" si="1435"/>
        <v>0.95919601027656043</v>
      </c>
      <c r="CT360" s="674">
        <f t="shared" si="1435"/>
        <v>1.2376322074377346</v>
      </c>
      <c r="CU360" s="657">
        <f t="shared" si="1435"/>
        <v>1</v>
      </c>
      <c r="CV360" s="674">
        <f t="shared" ref="CV360:EB360" si="1436">IF(ISERROR(CV344/CV69),"",(CV344/CV69))</f>
        <v>0.98376801021338678</v>
      </c>
      <c r="CW360" s="674">
        <f t="shared" si="1436"/>
        <v>0.2993054433855597</v>
      </c>
      <c r="CX360" s="674">
        <f t="shared" si="1436"/>
        <v>0.87544752214056909</v>
      </c>
      <c r="CY360" s="674">
        <f t="shared" si="1436"/>
        <v>0.94062449441837892</v>
      </c>
      <c r="CZ360" s="657">
        <f t="shared" si="1436"/>
        <v>1</v>
      </c>
      <c r="DA360" s="674">
        <f t="shared" si="1436"/>
        <v>1.5776112555436612</v>
      </c>
      <c r="DB360" s="674">
        <f t="shared" si="1436"/>
        <v>0.89541105886168315</v>
      </c>
      <c r="DC360" s="674">
        <f t="shared" si="1436"/>
        <v>1.0541871921182266</v>
      </c>
      <c r="DD360" s="674">
        <f t="shared" si="1436"/>
        <v>1.1793655499555291</v>
      </c>
      <c r="DE360" s="657">
        <f t="shared" si="1436"/>
        <v>1</v>
      </c>
      <c r="DF360" s="674">
        <f t="shared" si="1436"/>
        <v>1.2492086330935253</v>
      </c>
      <c r="DG360" s="674">
        <f t="shared" si="1436"/>
        <v>0.71948181365221719</v>
      </c>
      <c r="DH360" s="674">
        <f t="shared" si="1436"/>
        <v>1.4635115606936415</v>
      </c>
      <c r="DI360" s="674">
        <f t="shared" si="1436"/>
        <v>1.4439105525780818</v>
      </c>
      <c r="DJ360" s="657">
        <f t="shared" si="1436"/>
        <v>1.2095074839033364</v>
      </c>
      <c r="DK360" s="674">
        <f t="shared" si="1436"/>
        <v>0.61003493172435697</v>
      </c>
      <c r="DL360" s="674">
        <f t="shared" si="1436"/>
        <v>2.8724497506422848</v>
      </c>
      <c r="DM360" s="674">
        <f t="shared" si="1436"/>
        <v>1.3081715444798609</v>
      </c>
      <c r="DN360" s="674">
        <f t="shared" si="1436"/>
        <v>2.1732506404206551</v>
      </c>
      <c r="DO360" s="657">
        <f t="shared" si="1436"/>
        <v>1.7623925974884336</v>
      </c>
      <c r="DP360" s="674">
        <f t="shared" si="1436"/>
        <v>1.1362021318594553</v>
      </c>
      <c r="DQ360" s="674">
        <f t="shared" si="1436"/>
        <v>0.93331551516771349</v>
      </c>
      <c r="DR360" s="674">
        <f t="shared" si="1436"/>
        <v>0</v>
      </c>
      <c r="DS360" s="674">
        <f t="shared" si="1436"/>
        <v>0</v>
      </c>
      <c r="DT360" s="657">
        <f t="shared" si="1436"/>
        <v>0</v>
      </c>
      <c r="DU360" s="674">
        <f t="shared" si="1436"/>
        <v>0</v>
      </c>
      <c r="DV360" s="674">
        <f t="shared" si="1436"/>
        <v>0</v>
      </c>
      <c r="DW360" s="674">
        <f t="shared" si="1436"/>
        <v>0</v>
      </c>
      <c r="DX360" s="674">
        <f t="shared" si="1436"/>
        <v>0</v>
      </c>
      <c r="DY360" s="657">
        <f t="shared" si="1436"/>
        <v>0</v>
      </c>
      <c r="DZ360" s="657">
        <f t="shared" si="1436"/>
        <v>0</v>
      </c>
      <c r="EA360" s="657">
        <f t="shared" si="1436"/>
        <v>0</v>
      </c>
      <c r="EB360" s="657">
        <f t="shared" si="1436"/>
        <v>0</v>
      </c>
    </row>
    <row r="361" spans="2:132" s="241" customFormat="1" ht="12" customHeight="1">
      <c r="B361" s="121" t="s">
        <v>575</v>
      </c>
      <c r="C361" s="369"/>
      <c r="D361" s="355"/>
      <c r="E361" s="355"/>
      <c r="F361" s="355"/>
      <c r="G361" s="355"/>
      <c r="H361" s="355"/>
      <c r="I361" s="355"/>
      <c r="J361" s="370"/>
      <c r="K361" s="370"/>
      <c r="L361" s="370"/>
      <c r="M361" s="370"/>
      <c r="N361" s="355"/>
      <c r="O361" s="370"/>
      <c r="P361" s="370"/>
      <c r="Q361" s="370"/>
      <c r="R361" s="370"/>
      <c r="S361" s="355"/>
      <c r="T361" s="370"/>
      <c r="U361" s="370"/>
      <c r="V361" s="370"/>
      <c r="W361" s="370"/>
      <c r="X361" s="355"/>
      <c r="Y361" s="370"/>
      <c r="Z361" s="370"/>
      <c r="AA361" s="370"/>
      <c r="AB361" s="370"/>
      <c r="AC361" s="355"/>
      <c r="AD361" s="370"/>
      <c r="AE361" s="370"/>
      <c r="AF361" s="370"/>
      <c r="AG361" s="370"/>
      <c r="AH361" s="355"/>
      <c r="AI361" s="370"/>
      <c r="AJ361" s="370"/>
      <c r="AK361" s="370"/>
      <c r="AL361" s="370"/>
      <c r="AM361" s="355"/>
      <c r="AN361" s="370"/>
      <c r="AO361" s="370"/>
      <c r="AP361" s="370"/>
      <c r="AQ361" s="370"/>
      <c r="AR361" s="355"/>
      <c r="AS361" s="370"/>
      <c r="AT361" s="370"/>
      <c r="AU361" s="370"/>
      <c r="AV361" s="370"/>
      <c r="AW361" s="355"/>
      <c r="AX361" s="370"/>
      <c r="AY361" s="370"/>
      <c r="AZ361" s="370"/>
      <c r="BA361" s="370"/>
      <c r="BB361" s="355"/>
      <c r="BC361" s="370"/>
      <c r="BD361" s="370"/>
      <c r="BE361" s="370"/>
      <c r="BF361" s="370"/>
      <c r="BG361" s="355"/>
      <c r="BH361" s="674"/>
      <c r="BI361" s="370"/>
      <c r="BJ361" s="674"/>
      <c r="BK361" s="674"/>
      <c r="BL361" s="355"/>
      <c r="BM361" s="674"/>
      <c r="BN361" s="674"/>
      <c r="BO361" s="674"/>
      <c r="BP361" s="674"/>
      <c r="BQ361" s="657"/>
      <c r="BR361" s="674"/>
      <c r="BS361" s="674"/>
      <c r="BT361" s="674"/>
      <c r="BU361" s="674"/>
      <c r="BV361" s="657"/>
      <c r="BW361" s="674"/>
      <c r="BX361" s="674"/>
      <c r="BY361" s="674">
        <f t="shared" ref="BY361:DD361" si="1437">IF(ISERROR(BY345/BY74),"",(BY345/BY74))</f>
        <v>0</v>
      </c>
      <c r="BZ361" s="674">
        <f t="shared" si="1437"/>
        <v>1.8833289439030814</v>
      </c>
      <c r="CA361" s="657">
        <f t="shared" si="1437"/>
        <v>1.2725464645771896</v>
      </c>
      <c r="CB361" s="674">
        <f t="shared" si="1437"/>
        <v>1.2174683544303797</v>
      </c>
      <c r="CC361" s="674">
        <f t="shared" si="1437"/>
        <v>0.98144984134732727</v>
      </c>
      <c r="CD361" s="674">
        <f t="shared" si="1437"/>
        <v>0.96391124116069249</v>
      </c>
      <c r="CE361" s="674">
        <f t="shared" si="1437"/>
        <v>1.156479217603912</v>
      </c>
      <c r="CF361" s="657">
        <f t="shared" si="1437"/>
        <v>1.0822584427767354</v>
      </c>
      <c r="CG361" s="674">
        <f t="shared" si="1437"/>
        <v>0.93072093526737387</v>
      </c>
      <c r="CH361" s="674">
        <f t="shared" si="1437"/>
        <v>0.84283513097072416</v>
      </c>
      <c r="CI361" s="674">
        <f t="shared" si="1437"/>
        <v>1.2391584370974666</v>
      </c>
      <c r="CJ361" s="674">
        <f t="shared" si="1437"/>
        <v>1.3902753872633391</v>
      </c>
      <c r="CK361" s="657">
        <f t="shared" si="1437"/>
        <v>1.1025557721464154</v>
      </c>
      <c r="CL361" s="674">
        <f t="shared" si="1437"/>
        <v>0.96650821089023331</v>
      </c>
      <c r="CM361" s="674">
        <f t="shared" si="1437"/>
        <v>-0.31278669724770641</v>
      </c>
      <c r="CN361" s="674">
        <f t="shared" si="1437"/>
        <v>0.80942068218733076</v>
      </c>
      <c r="CO361" s="674">
        <f t="shared" si="1437"/>
        <v>1.8486472006429147</v>
      </c>
      <c r="CP361" s="657">
        <f t="shared" si="1437"/>
        <v>0.85395354822106417</v>
      </c>
      <c r="CQ361" s="674">
        <f t="shared" si="1437"/>
        <v>0.72846092291277675</v>
      </c>
      <c r="CR361" s="674">
        <f t="shared" si="1437"/>
        <v>0.85615933120236043</v>
      </c>
      <c r="CS361" s="674">
        <f t="shared" si="1437"/>
        <v>0.94124615020137403</v>
      </c>
      <c r="CT361" s="674">
        <f t="shared" si="1437"/>
        <v>1.3994406898158938</v>
      </c>
      <c r="CU361" s="657">
        <f t="shared" si="1437"/>
        <v>0.99160950514453694</v>
      </c>
      <c r="CV361" s="674">
        <f t="shared" si="1437"/>
        <v>0.84399629114510899</v>
      </c>
      <c r="CW361" s="674">
        <f t="shared" si="1437"/>
        <v>0.7994416007445323</v>
      </c>
      <c r="CX361" s="674">
        <f t="shared" si="1437"/>
        <v>1.0252707581227436</v>
      </c>
      <c r="CY361" s="674">
        <f t="shared" si="1437"/>
        <v>1.0582439238011825</v>
      </c>
      <c r="CZ361" s="657">
        <f t="shared" si="1437"/>
        <v>0.93430242462097557</v>
      </c>
      <c r="DA361" s="674">
        <f t="shared" si="1437"/>
        <v>0.89343220338983054</v>
      </c>
      <c r="DB361" s="674">
        <f t="shared" si="1437"/>
        <v>0.91993257479983148</v>
      </c>
      <c r="DC361" s="674">
        <f t="shared" si="1437"/>
        <v>0.99709060681629258</v>
      </c>
      <c r="DD361" s="674">
        <f t="shared" si="1437"/>
        <v>1.2944937100433078</v>
      </c>
      <c r="DE361" s="657">
        <f t="shared" ref="DE361:DZ361" si="1438">IF(ISERROR(DE345/DE74),"",(DE345/DE74))</f>
        <v>1.0277618026873008</v>
      </c>
      <c r="DF361" s="674">
        <f t="shared" si="1438"/>
        <v>0.96511397423191281</v>
      </c>
      <c r="DG361" s="674">
        <f t="shared" si="1438"/>
        <v>0.95786459398650026</v>
      </c>
      <c r="DH361" s="674">
        <f t="shared" si="1438"/>
        <v>1.1962864721485411</v>
      </c>
      <c r="DI361" s="674">
        <f t="shared" si="1438"/>
        <v>1.1863645243211565</v>
      </c>
      <c r="DJ361" s="657">
        <f t="shared" si="1438"/>
        <v>1.0768768166783602</v>
      </c>
      <c r="DK361" s="674">
        <f t="shared" si="1438"/>
        <v>1.1250246889196129</v>
      </c>
      <c r="DL361" s="674">
        <f t="shared" si="1438"/>
        <v>0.9816322666161712</v>
      </c>
      <c r="DM361" s="674">
        <f t="shared" si="1438"/>
        <v>1.5018621973929236</v>
      </c>
      <c r="DN361" s="674">
        <f t="shared" si="1438"/>
        <v>1.9763870224611251</v>
      </c>
      <c r="DO361" s="657">
        <f t="shared" si="1438"/>
        <v>1.3975051378865364</v>
      </c>
      <c r="DP361" s="674">
        <f t="shared" ref="DP361" si="1439">IF(ISERROR(DP345/DP74),"",(DP345/DP74))</f>
        <v>1.6027932960893854</v>
      </c>
      <c r="DQ361" s="674">
        <f t="shared" si="1438"/>
        <v>0.97810628742514971</v>
      </c>
      <c r="DR361" s="674">
        <f t="shared" si="1438"/>
        <v>0</v>
      </c>
      <c r="DS361" s="674">
        <f t="shared" si="1438"/>
        <v>0</v>
      </c>
      <c r="DT361" s="657">
        <f t="shared" si="1438"/>
        <v>0</v>
      </c>
      <c r="DU361" s="674">
        <f t="shared" ref="DU361:DY361" si="1440">IF(ISERROR(DU345/DU74),"",(DU345/DU74))</f>
        <v>0</v>
      </c>
      <c r="DV361" s="674">
        <f t="shared" si="1440"/>
        <v>0</v>
      </c>
      <c r="DW361" s="674">
        <f t="shared" si="1440"/>
        <v>0</v>
      </c>
      <c r="DX361" s="674">
        <f t="shared" si="1440"/>
        <v>0</v>
      </c>
      <c r="DY361" s="657">
        <f t="shared" si="1440"/>
        <v>0</v>
      </c>
      <c r="DZ361" s="657">
        <f t="shared" si="1438"/>
        <v>0</v>
      </c>
      <c r="EA361" s="657">
        <f t="shared" ref="EA361:EB361" si="1441">IF(ISERROR(EA345/EA74),"",(EA345/EA74))</f>
        <v>0</v>
      </c>
      <c r="EB361" s="657">
        <f t="shared" si="1441"/>
        <v>0</v>
      </c>
    </row>
    <row r="362" spans="2:132" s="241" customFormat="1" ht="12" customHeight="1">
      <c r="B362" s="348" t="str">
        <f>B346</f>
        <v>Total contractual</v>
      </c>
      <c r="C362" s="369"/>
      <c r="D362" s="355">
        <f t="shared" ref="D362:AI362" si="1442">IF(ISERROR(D346/D82),"",(D346/D82))</f>
        <v>0.84428535812230654</v>
      </c>
      <c r="E362" s="355">
        <f t="shared" si="1442"/>
        <v>0.76466125222009551</v>
      </c>
      <c r="F362" s="355">
        <f t="shared" si="1442"/>
        <v>1.416048011535239</v>
      </c>
      <c r="G362" s="355">
        <f t="shared" si="1442"/>
        <v>0.75928726073060926</v>
      </c>
      <c r="H362" s="355">
        <f t="shared" si="1442"/>
        <v>0.95527936525550683</v>
      </c>
      <c r="I362" s="355">
        <f t="shared" si="1442"/>
        <v>1.0126572249182926</v>
      </c>
      <c r="J362" s="370">
        <f t="shared" si="1442"/>
        <v>0.92213905393934714</v>
      </c>
      <c r="K362" s="370">
        <f t="shared" si="1442"/>
        <v>0.965388141809291</v>
      </c>
      <c r="L362" s="370">
        <f t="shared" si="1442"/>
        <v>1.175030413625304</v>
      </c>
      <c r="M362" s="370">
        <f t="shared" si="1442"/>
        <v>1.2977824709609294</v>
      </c>
      <c r="N362" s="355">
        <f t="shared" si="1442"/>
        <v>1.0912747583735249</v>
      </c>
      <c r="O362" s="370">
        <f t="shared" si="1442"/>
        <v>1.225071225071225</v>
      </c>
      <c r="P362" s="370">
        <f t="shared" si="1442"/>
        <v>2.0047245142400851</v>
      </c>
      <c r="Q362" s="370">
        <f t="shared" si="1442"/>
        <v>1.459973077836725</v>
      </c>
      <c r="R362" s="370">
        <f t="shared" si="1442"/>
        <v>2.9042320963312442</v>
      </c>
      <c r="S362" s="355">
        <f t="shared" si="1442"/>
        <v>1.927577719026347</v>
      </c>
      <c r="T362" s="370">
        <f t="shared" si="1442"/>
        <v>1.9362731351654514</v>
      </c>
      <c r="U362" s="370">
        <f t="shared" si="1442"/>
        <v>1.4420792739890564</v>
      </c>
      <c r="V362" s="370">
        <f t="shared" si="1442"/>
        <v>1.656896668702083</v>
      </c>
      <c r="W362" s="370">
        <f t="shared" si="1442"/>
        <v>2.5068696197480191</v>
      </c>
      <c r="X362" s="355">
        <f t="shared" si="1442"/>
        <v>1.9116528522671867</v>
      </c>
      <c r="Y362" s="370">
        <f t="shared" si="1442"/>
        <v>1.8896843475431175</v>
      </c>
      <c r="Z362" s="370">
        <f t="shared" si="1442"/>
        <v>2.0558491895701199</v>
      </c>
      <c r="AA362" s="370">
        <f t="shared" si="1442"/>
        <v>1.8916873524247744</v>
      </c>
      <c r="AB362" s="370">
        <f t="shared" si="1442"/>
        <v>2.9465583338101506</v>
      </c>
      <c r="AC362" s="355">
        <f t="shared" si="1442"/>
        <v>2.2110352930543629</v>
      </c>
      <c r="AD362" s="370">
        <f t="shared" si="1442"/>
        <v>2.1667292057535961</v>
      </c>
      <c r="AE362" s="370">
        <f t="shared" si="1442"/>
        <v>1.2645914396887159</v>
      </c>
      <c r="AF362" s="370">
        <f t="shared" si="1442"/>
        <v>0.81435951088733405</v>
      </c>
      <c r="AG362" s="370">
        <f t="shared" si="1442"/>
        <v>1.520041028878018</v>
      </c>
      <c r="AH362" s="355">
        <f t="shared" si="1442"/>
        <v>1.4415042925852362</v>
      </c>
      <c r="AI362" s="370">
        <f t="shared" si="1442"/>
        <v>0.44600654466125317</v>
      </c>
      <c r="AJ362" s="370">
        <f t="shared" ref="AJ362:BG362" si="1443">IF(ISERROR(AJ346/AJ82),"",(AJ346/AJ82))</f>
        <v>0.44939955695464617</v>
      </c>
      <c r="AK362" s="370">
        <f t="shared" si="1443"/>
        <v>0.6215843720038351</v>
      </c>
      <c r="AL362" s="370">
        <f t="shared" si="1443"/>
        <v>0.86296482131906116</v>
      </c>
      <c r="AM362" s="355">
        <f t="shared" si="1443"/>
        <v>0.59930288074281279</v>
      </c>
      <c r="AN362" s="370">
        <f t="shared" si="1443"/>
        <v>1.1577287066246056</v>
      </c>
      <c r="AO362" s="370">
        <f t="shared" si="1443"/>
        <v>0.9165221858344571</v>
      </c>
      <c r="AP362" s="370">
        <f t="shared" si="1443"/>
        <v>1.2281487593563978</v>
      </c>
      <c r="AQ362" s="370">
        <f t="shared" si="1443"/>
        <v>1.1528096676737161</v>
      </c>
      <c r="AR362" s="355">
        <f t="shared" si="1443"/>
        <v>1.1166298634653065</v>
      </c>
      <c r="AS362" s="370">
        <f t="shared" si="1443"/>
        <v>1.4493628437290409</v>
      </c>
      <c r="AT362" s="370">
        <f t="shared" si="1443"/>
        <v>0.83678897418847853</v>
      </c>
      <c r="AU362" s="370">
        <f t="shared" si="1443"/>
        <v>1.5020590060359904</v>
      </c>
      <c r="AV362" s="370">
        <f t="shared" si="1443"/>
        <v>2.1659422142674507</v>
      </c>
      <c r="AW362" s="355">
        <f t="shared" si="1443"/>
        <v>1.5193860478649888</v>
      </c>
      <c r="AX362" s="370">
        <f>IF(ISERROR(AX346/AX82),"",(AX346/AX82))</f>
        <v>1.9750812567713976</v>
      </c>
      <c r="AY362" s="370">
        <f>IF(ISERROR(AY346/AY82),"",(AY346/AY82))</f>
        <v>0.80004998750312417</v>
      </c>
      <c r="AZ362" s="370">
        <f>IF(ISERROR(AZ346/AZ82),"",(AZ346/AZ82))</f>
        <v>1.154938024790084</v>
      </c>
      <c r="BA362" s="370">
        <f>IF(ISERROR(BA346/BA82),"",(BA346/BA82))</f>
        <v>1.6591337099811676</v>
      </c>
      <c r="BB362" s="355">
        <f t="shared" si="1443"/>
        <v>1.4002545961957453</v>
      </c>
      <c r="BC362" s="370">
        <f>IF(ISERROR(BC346/BC82),"",(BC346/BC82))</f>
        <v>1.0635155877838354</v>
      </c>
      <c r="BD362" s="370">
        <f>IF(ISERROR(BD346/BD82),"",(BD346/BD82))</f>
        <v>1.7151042860417145</v>
      </c>
      <c r="BE362" s="370">
        <f>IF(ISERROR(BE346/BE82),"",(BE346/BE82))</f>
        <v>1.2711251694532308</v>
      </c>
      <c r="BF362" s="370">
        <f>IF(ISERROR(BF346/BF82),"",(BF346/BF82))</f>
        <v>2.1519720163294136</v>
      </c>
      <c r="BG362" s="355">
        <f t="shared" si="1443"/>
        <v>1.579520752499616</v>
      </c>
      <c r="BH362" s="674">
        <f>IF(ISERROR(BH346/BH82),"",(BH346/BH82))</f>
        <v>1.0048863913999511</v>
      </c>
      <c r="BI362" s="370">
        <f>IF(ISERROR(BI346/BI82),"",(BI346/BI82))</f>
        <v>1.149693808119755</v>
      </c>
      <c r="BJ362" s="674">
        <f>IF(ISERROR(BJ346/BJ82),"",(BJ346/BJ82))</f>
        <v>3.0644130507904475</v>
      </c>
      <c r="BK362" s="674">
        <f>IF(ISERROR(BK346/BK82),"",(BK346/BK82))</f>
        <v>1.4863495177374531</v>
      </c>
      <c r="BL362" s="355">
        <f t="shared" ref="BL362" si="1444">IF(ISERROR(BL346/BL82),"",(BL346/BL82))</f>
        <v>1.709548048742866</v>
      </c>
      <c r="BM362" s="674">
        <f>IF(ISERROR(BM346/BM82),"",(BM346/BM82))</f>
        <v>0.80134543320240192</v>
      </c>
      <c r="BN362" s="674">
        <f>IF(ISERROR(BN346/BN82),"",(BN346/BN82))</f>
        <v>0.86146762824430589</v>
      </c>
      <c r="BO362" s="674">
        <f>IF(ISERROR(BO346/BO82),"",(BO346/BO82))</f>
        <v>0.72919648729157804</v>
      </c>
      <c r="BP362" s="674">
        <f>IF(ISERROR(BP346/BP82),"",(BP346/BP82))</f>
        <v>1.1866542230517965</v>
      </c>
      <c r="BQ362" s="657">
        <f t="shared" ref="BQ362" si="1445">IF(ISERROR(BQ346/BQ82),"",(BQ346/BQ82))</f>
        <v>0.8917951599142685</v>
      </c>
      <c r="BR362" s="674"/>
      <c r="BS362" s="674"/>
      <c r="BT362" s="674"/>
      <c r="BU362" s="674"/>
      <c r="BV362" s="657"/>
      <c r="BW362" s="674"/>
      <c r="BX362" s="674"/>
      <c r="BY362" s="674"/>
      <c r="BZ362" s="674"/>
      <c r="CA362" s="657"/>
      <c r="CB362" s="674">
        <f t="shared" ref="CB362:CF362" si="1446">IF(ISERROR(CB346/CB82),"",(CB346/CB82))</f>
        <v>1.1948507398853818</v>
      </c>
      <c r="CC362" s="674">
        <f t="shared" si="1446"/>
        <v>1.1028526671613488</v>
      </c>
      <c r="CD362" s="674">
        <f t="shared" si="1446"/>
        <v>0.92965083909965796</v>
      </c>
      <c r="CE362" s="674">
        <f t="shared" si="1446"/>
        <v>1.2471684132528844</v>
      </c>
      <c r="CF362" s="657">
        <f t="shared" si="1446"/>
        <v>1.1215006872546402</v>
      </c>
      <c r="CG362" s="674">
        <f t="shared" ref="CG362:CK362" si="1447">IF(ISERROR(CG346/CG82),"",(CG346/CG82))</f>
        <v>0.85547846576777065</v>
      </c>
      <c r="CH362" s="674">
        <f t="shared" si="1447"/>
        <v>0.2455082217002095</v>
      </c>
      <c r="CI362" s="674">
        <f t="shared" si="1447"/>
        <v>0.74274274274274277</v>
      </c>
      <c r="CJ362" s="674">
        <f t="shared" si="1447"/>
        <v>0.51783819998883363</v>
      </c>
      <c r="CK362" s="657">
        <f t="shared" si="1447"/>
        <v>0.62157290455726955</v>
      </c>
      <c r="CL362" s="674">
        <f t="shared" ref="CL362:CP362" si="1448">IF(ISERROR(CL346/CL82),"",(CL346/CL82))</f>
        <v>-0.4871658386562574</v>
      </c>
      <c r="CM362" s="674">
        <f t="shared" si="1448"/>
        <v>-1.1509274159396967</v>
      </c>
      <c r="CN362" s="674">
        <f t="shared" si="1448"/>
        <v>-5.3893486102270315E-2</v>
      </c>
      <c r="CO362" s="674">
        <f t="shared" si="1448"/>
        <v>-1.1317302665969682</v>
      </c>
      <c r="CP362" s="657">
        <f t="shared" si="1448"/>
        <v>-0.68619966298703527</v>
      </c>
      <c r="CQ362" s="674">
        <f t="shared" ref="CQ362:CU362" si="1449">IF(ISERROR(CQ346/CQ82),"",(CQ346/CQ82))</f>
        <v>1.0956167444305711</v>
      </c>
      <c r="CR362" s="674">
        <f t="shared" si="1449"/>
        <v>1.008648076244264</v>
      </c>
      <c r="CS362" s="674">
        <f t="shared" si="1449"/>
        <v>1.2645634245320068</v>
      </c>
      <c r="CT362" s="674">
        <f t="shared" si="1449"/>
        <v>1.5834516325288988</v>
      </c>
      <c r="CU362" s="657">
        <f t="shared" si="1449"/>
        <v>1.2291847285104196</v>
      </c>
      <c r="CV362" s="674">
        <f t="shared" ref="CV362:CY362" si="1450">IF(ISERROR(CV346/CV82),"",(CV346/CV82))</f>
        <v>0.56822242870416695</v>
      </c>
      <c r="CW362" s="674">
        <f t="shared" si="1450"/>
        <v>1.1064684371440561</v>
      </c>
      <c r="CX362" s="674">
        <f t="shared" si="1450"/>
        <v>1.5930684382050639</v>
      </c>
      <c r="CY362" s="674">
        <f t="shared" si="1450"/>
        <v>2.1155655655655656</v>
      </c>
      <c r="CZ362" s="657">
        <f t="shared" ref="CZ362:DD362" si="1451">IF(ISERROR(CZ346/CZ82),"",(CZ346/CZ82))</f>
        <v>1.4126681479702139</v>
      </c>
      <c r="DA362" s="674">
        <f t="shared" si="1451"/>
        <v>1.4245856816025892</v>
      </c>
      <c r="DB362" s="674">
        <f t="shared" si="1451"/>
        <v>2.4462558857779353</v>
      </c>
      <c r="DC362" s="674">
        <f t="shared" si="1451"/>
        <v>2.6314626601855942</v>
      </c>
      <c r="DD362" s="674">
        <f t="shared" si="1451"/>
        <v>3.2532473430829323</v>
      </c>
      <c r="DE362" s="657">
        <f t="shared" ref="DE362:DI362" si="1452">IF(ISERROR(DE346/DE82),"",(DE346/DE82))</f>
        <v>2.4824022418181353</v>
      </c>
      <c r="DF362" s="674">
        <f t="shared" si="1452"/>
        <v>1.5285774639386807</v>
      </c>
      <c r="DG362" s="674">
        <f t="shared" si="1452"/>
        <v>0.25008893632159374</v>
      </c>
      <c r="DH362" s="674">
        <f t="shared" si="1452"/>
        <v>0.64826233183856508</v>
      </c>
      <c r="DI362" s="674">
        <f t="shared" si="1452"/>
        <v>1.6458470017058129</v>
      </c>
      <c r="DJ362" s="657">
        <f t="shared" ref="DJ362:DN362" si="1453">IF(ISERROR(DJ346/DJ82),"",(DJ346/DJ82))</f>
        <v>0.99517416600267605</v>
      </c>
      <c r="DK362" s="674">
        <f t="shared" si="1453"/>
        <v>2.1702913418137055</v>
      </c>
      <c r="DL362" s="674">
        <f t="shared" si="1453"/>
        <v>4.2590443535979601</v>
      </c>
      <c r="DM362" s="674">
        <f t="shared" si="1453"/>
        <v>1.6249677696605072</v>
      </c>
      <c r="DN362" s="674">
        <f t="shared" si="1453"/>
        <v>2.7278687155503589</v>
      </c>
      <c r="DO362" s="657">
        <f t="shared" ref="DO362:DS362" si="1454">IF(ISERROR(DO346/DO82),"",(DO346/DO82))</f>
        <v>2.708840526251076</v>
      </c>
      <c r="DP362" s="674">
        <f t="shared" si="1454"/>
        <v>1.4198586667866948</v>
      </c>
      <c r="DQ362" s="674">
        <f t="shared" si="1454"/>
        <v>1.8404723127035831</v>
      </c>
      <c r="DR362" s="674">
        <f t="shared" si="1454"/>
        <v>0</v>
      </c>
      <c r="DS362" s="674">
        <f t="shared" si="1454"/>
        <v>0</v>
      </c>
      <c r="DT362" s="657">
        <f t="shared" ref="DT362:DX362" si="1455">IF(ISERROR(DT346/DT82),"",(DT346/DT82))</f>
        <v>0</v>
      </c>
      <c r="DU362" s="674">
        <f t="shared" si="1455"/>
        <v>0</v>
      </c>
      <c r="DV362" s="674">
        <f t="shared" si="1455"/>
        <v>0</v>
      </c>
      <c r="DW362" s="674">
        <f t="shared" si="1455"/>
        <v>0</v>
      </c>
      <c r="DX362" s="674">
        <f t="shared" si="1455"/>
        <v>0</v>
      </c>
      <c r="DY362" s="657">
        <f t="shared" ref="DY362" si="1456">IF(ISERROR(DY346/DY82),"",(DY346/DY82))</f>
        <v>0</v>
      </c>
      <c r="DZ362" s="657">
        <f t="shared" ref="DZ362:EB362" si="1457">IF(ISERROR(DZ346/DZ82),"",(DZ346/DZ82))</f>
        <v>0</v>
      </c>
      <c r="EA362" s="657">
        <f t="shared" si="1457"/>
        <v>0</v>
      </c>
      <c r="EB362" s="657">
        <f t="shared" si="1457"/>
        <v>0</v>
      </c>
    </row>
    <row r="363" spans="2:132" s="74" customFormat="1" ht="12" customHeight="1">
      <c r="B363" s="167" t="s">
        <v>123</v>
      </c>
      <c r="C363" s="228"/>
      <c r="D363" s="377">
        <f t="shared" ref="D363:AI363" si="1458">IF(ISERROR(D347/D82),"",(D347/D82))</f>
        <v>0.79798411511201339</v>
      </c>
      <c r="E363" s="377">
        <f t="shared" si="1458"/>
        <v>0.78018036659596846</v>
      </c>
      <c r="F363" s="377">
        <f t="shared" si="1458"/>
        <v>1.5504958983651915</v>
      </c>
      <c r="G363" s="377">
        <f t="shared" si="1458"/>
        <v>0.69399292071892504</v>
      </c>
      <c r="H363" s="377">
        <f t="shared" si="1458"/>
        <v>1.0884425456361315</v>
      </c>
      <c r="I363" s="377">
        <f t="shared" si="1458"/>
        <v>1.3276022580964644</v>
      </c>
      <c r="J363" s="378">
        <f t="shared" si="1458"/>
        <v>0.43097461223859868</v>
      </c>
      <c r="K363" s="378">
        <f t="shared" si="1458"/>
        <v>1.1060513447432763</v>
      </c>
      <c r="L363" s="378">
        <f t="shared" si="1458"/>
        <v>1.7043795620437956</v>
      </c>
      <c r="M363" s="378">
        <f t="shared" si="1458"/>
        <v>0.91024287222808875</v>
      </c>
      <c r="N363" s="377">
        <f t="shared" si="1458"/>
        <v>1.0398040299674018</v>
      </c>
      <c r="O363" s="378">
        <f t="shared" si="1458"/>
        <v>0.81142681142681139</v>
      </c>
      <c r="P363" s="378">
        <f t="shared" si="1458"/>
        <v>1.9513574660633484</v>
      </c>
      <c r="Q363" s="378">
        <f t="shared" si="1458"/>
        <v>1.607015599018133</v>
      </c>
      <c r="R363" s="378">
        <f t="shared" si="1458"/>
        <v>2.9758467713541301</v>
      </c>
      <c r="S363" s="377">
        <f t="shared" si="1458"/>
        <v>1.86740815024159</v>
      </c>
      <c r="T363" s="378">
        <f t="shared" si="1458"/>
        <v>1.5283230510375772</v>
      </c>
      <c r="U363" s="378">
        <f t="shared" si="1458"/>
        <v>1.4905912184705725</v>
      </c>
      <c r="V363" s="378">
        <f t="shared" si="1458"/>
        <v>1.5997693194925029</v>
      </c>
      <c r="W363" s="378">
        <f t="shared" si="1458"/>
        <v>2.2237614731201187</v>
      </c>
      <c r="X363" s="377">
        <f t="shared" si="1458"/>
        <v>1.7345034942304567</v>
      </c>
      <c r="Y363" s="378">
        <f t="shared" si="1458"/>
        <v>1.7703221607549626</v>
      </c>
      <c r="Z363" s="378">
        <f t="shared" si="1458"/>
        <v>2.0806319003993421</v>
      </c>
      <c r="AA363" s="378">
        <f t="shared" si="1458"/>
        <v>1.8855724405158323</v>
      </c>
      <c r="AB363" s="378">
        <f t="shared" si="1458"/>
        <v>2.8328660525261773</v>
      </c>
      <c r="AC363" s="377">
        <f t="shared" si="1458"/>
        <v>2.1583141277659781</v>
      </c>
      <c r="AD363" s="378">
        <f t="shared" si="1458"/>
        <v>2.1930581613508444</v>
      </c>
      <c r="AE363" s="378">
        <f t="shared" si="1458"/>
        <v>0.99492984317887045</v>
      </c>
      <c r="AF363" s="378">
        <f t="shared" si="1458"/>
        <v>1.2101615118027855</v>
      </c>
      <c r="AG363" s="378">
        <f t="shared" si="1458"/>
        <v>1.212324443743096</v>
      </c>
      <c r="AH363" s="377">
        <f t="shared" si="1458"/>
        <v>1.4086738127677736</v>
      </c>
      <c r="AI363" s="378">
        <f t="shared" si="1458"/>
        <v>0.23597139740637499</v>
      </c>
      <c r="AJ363" s="378">
        <f t="shared" ref="AJ363:BG363" si="1459">IF(ISERROR(AJ347/AJ82),"",(AJ347/AJ82))</f>
        <v>0.30191209047452489</v>
      </c>
      <c r="AK363" s="378">
        <f t="shared" si="1459"/>
        <v>0.55267257909875356</v>
      </c>
      <c r="AL363" s="378">
        <f t="shared" si="1459"/>
        <v>0.7516864581591125</v>
      </c>
      <c r="AM363" s="377">
        <f t="shared" si="1459"/>
        <v>0.46541497634773948</v>
      </c>
      <c r="AN363" s="378">
        <f t="shared" si="1459"/>
        <v>0.95018401682439535</v>
      </c>
      <c r="AO363" s="378">
        <f t="shared" si="1459"/>
        <v>0.83946574198934054</v>
      </c>
      <c r="AP363" s="378">
        <f t="shared" si="1459"/>
        <v>1.5066305180644781</v>
      </c>
      <c r="AQ363" s="378">
        <f t="shared" si="1459"/>
        <v>1.0002416918429002</v>
      </c>
      <c r="AR363" s="377">
        <f t="shared" si="1459"/>
        <v>1.0830715640842223</v>
      </c>
      <c r="AS363" s="378">
        <f t="shared" si="1459"/>
        <v>1.5432595573440644</v>
      </c>
      <c r="AT363" s="378">
        <f t="shared" si="1459"/>
        <v>0.67357794837695706</v>
      </c>
      <c r="AU363" s="378">
        <f t="shared" si="1459"/>
        <v>1.4512889941896543</v>
      </c>
      <c r="AV363" s="378">
        <f t="shared" si="1459"/>
        <v>2.2221938123242135</v>
      </c>
      <c r="AW363" s="377">
        <f t="shared" si="1459"/>
        <v>1.5033825561940788</v>
      </c>
      <c r="AX363" s="378">
        <f>IF(ISERROR(AX347/AX82),"",(AX347/AX82))</f>
        <v>2.2536759015632257</v>
      </c>
      <c r="AY363" s="378">
        <f>IF(ISERROR(AY347/AY82),"",(AY347/AY82))</f>
        <v>0.70007498125468637</v>
      </c>
      <c r="AZ363" s="378">
        <f>IF(ISERROR(AZ347/AZ82),"",(AZ347/AZ82))</f>
        <v>1.1899240303878449</v>
      </c>
      <c r="BA363" s="378">
        <f>IF(ISERROR(BA347/BA82),"",(BA347/BA82))</f>
        <v>1.5694556542014169</v>
      </c>
      <c r="BB363" s="377">
        <f t="shared" si="1459"/>
        <v>1.4259590198046463</v>
      </c>
      <c r="BC363" s="378">
        <f>IF(ISERROR(BC347/BC82),"",(BC347/BC82))</f>
        <v>1.0741015190811412</v>
      </c>
      <c r="BD363" s="378">
        <f>IF(ISERROR(BD347/BD82),"",(BD347/BD82))</f>
        <v>1.8526243410497365</v>
      </c>
      <c r="BE363" s="378">
        <f>IF(ISERROR(BE347/BE82),"",(BE347/BE82))</f>
        <v>1.2169001355625848</v>
      </c>
      <c r="BF363" s="378">
        <f>IF(ISERROR(BF347/BF82),"",(BF347/BF82))</f>
        <v>2.0847035774196669</v>
      </c>
      <c r="BG363" s="377">
        <f t="shared" si="1459"/>
        <v>1.5841384477386566</v>
      </c>
      <c r="BH363" s="679">
        <f>IF(ISERROR(BH347/BH82),"",(BH347/BH82))</f>
        <v>0.94624969460053754</v>
      </c>
      <c r="BI363" s="378">
        <f>IF(ISERROR(BI347/BI82),"",(BI347/BI82))</f>
        <v>1.0226808800181446</v>
      </c>
      <c r="BJ363" s="679">
        <f>IF(ISERROR(BJ347/BJ82),"",(BJ347/BJ82))</f>
        <v>3.0896400941809619</v>
      </c>
      <c r="BK363" s="679">
        <f>IF(ISERROR(BK347/BK82),"",(BK347/BK82))</f>
        <v>1.5026974006866112</v>
      </c>
      <c r="BL363" s="377">
        <f t="shared" ref="BL363" si="1460">IF(ISERROR(BL347/BL82),"",(BL347/BL82))</f>
        <v>1.6764945682113659</v>
      </c>
      <c r="BM363" s="679">
        <f>IF(ISERROR(BM347/BM82),"",(BM347/BM82))</f>
        <v>0.67492889069483952</v>
      </c>
      <c r="BN363" s="679">
        <f>IF(ISERROR(BN347/BN82),"",(BN347/BN82))</f>
        <v>0.74330766409974336</v>
      </c>
      <c r="BO363" s="679">
        <f>IF(ISERROR(BO347/BO82),"",(BO347/BO82))</f>
        <v>0.84525513559518739</v>
      </c>
      <c r="BP363" s="679">
        <f>IF(ISERROR(BP347/BP82),"",(BP347/BP82))</f>
        <v>1.1908963644847919</v>
      </c>
      <c r="BQ363" s="680">
        <f t="shared" ref="BQ363:CA363" si="1461">IF(ISERROR(BQ347/BQ82),"",(BQ347/BQ82))</f>
        <v>0.86474394989283554</v>
      </c>
      <c r="BR363" s="679">
        <f t="shared" si="1461"/>
        <v>0.58907741251325552</v>
      </c>
      <c r="BS363" s="679">
        <f t="shared" si="1461"/>
        <v>0.6849121389618259</v>
      </c>
      <c r="BT363" s="679">
        <f t="shared" si="1461"/>
        <v>0.57318604067285961</v>
      </c>
      <c r="BU363" s="679">
        <f t="shared" si="1461"/>
        <v>1.4935154169887486</v>
      </c>
      <c r="BV363" s="680">
        <f t="shared" si="1461"/>
        <v>0.83284516395089403</v>
      </c>
      <c r="BW363" s="679">
        <f t="shared" si="1461"/>
        <v>1.2735758845225627</v>
      </c>
      <c r="BX363" s="679">
        <f t="shared" si="1461"/>
        <v>1.1171315778057351</v>
      </c>
      <c r="BY363" s="679">
        <f t="shared" si="1461"/>
        <v>0.67336828633942947</v>
      </c>
      <c r="BZ363" s="679">
        <f t="shared" si="1461"/>
        <v>1.0223657650383529</v>
      </c>
      <c r="CA363" s="680">
        <f t="shared" si="1461"/>
        <v>1.0143609382479655</v>
      </c>
      <c r="CB363" s="679">
        <f t="shared" ref="CB363:CF363" si="1462">IF(ISERROR(CB347/CB82),"",(CB347/CB82))</f>
        <v>1.487682832948422</v>
      </c>
      <c r="CC363" s="679">
        <f t="shared" si="1462"/>
        <v>1.0738313133811526</v>
      </c>
      <c r="CD363" s="679">
        <f t="shared" si="1462"/>
        <v>1.1249900580609242</v>
      </c>
      <c r="CE363" s="679">
        <f t="shared" si="1462"/>
        <v>1.2365830422356303</v>
      </c>
      <c r="CF363" s="680">
        <f t="shared" si="1462"/>
        <v>1.2278521067568502</v>
      </c>
      <c r="CG363" s="679">
        <f t="shared" ref="CG363:CK363" si="1463">IF(ISERROR(CG347/CG82),"",(CG347/CG82))</f>
        <v>0.83104245756425366</v>
      </c>
      <c r="CH363" s="679">
        <f t="shared" si="1463"/>
        <v>9.2121135166021204E-2</v>
      </c>
      <c r="CI363" s="679">
        <f t="shared" si="1463"/>
        <v>0.74669669669669669</v>
      </c>
      <c r="CJ363" s="679">
        <f t="shared" si="1463"/>
        <v>0.59689576238065989</v>
      </c>
      <c r="CK363" s="680">
        <f t="shared" si="1463"/>
        <v>0.60222834676523984</v>
      </c>
      <c r="CL363" s="679">
        <f t="shared" ref="CL363:CP363" si="1464">IF(ISERROR(CL347/CL82),"",(CL347/CL82))</f>
        <v>-0.63508398391294063</v>
      </c>
      <c r="CM363" s="679">
        <f t="shared" si="1464"/>
        <v>-1.2498517828406877</v>
      </c>
      <c r="CN363" s="679">
        <f t="shared" si="1464"/>
        <v>9.0529740434259851E-3</v>
      </c>
      <c r="CO363" s="679">
        <f t="shared" si="1464"/>
        <v>-1.1353894406691061</v>
      </c>
      <c r="CP363" s="680">
        <f t="shared" si="1464"/>
        <v>-0.7349461810928849</v>
      </c>
      <c r="CQ363" s="679">
        <f t="shared" ref="CQ363:CU363" si="1465">IF(ISERROR(CQ347/CQ82),"",(CQ347/CQ82))</f>
        <v>0.96852204770979822</v>
      </c>
      <c r="CR363" s="679">
        <f t="shared" si="1465"/>
        <v>0.95240616543122725</v>
      </c>
      <c r="CS363" s="679">
        <f t="shared" si="1465"/>
        <v>1.1146746956407907</v>
      </c>
      <c r="CT363" s="679">
        <f t="shared" si="1465"/>
        <v>1.7336578111268843</v>
      </c>
      <c r="CU363" s="680">
        <f t="shared" si="1465"/>
        <v>1.1816941206691713</v>
      </c>
      <c r="CV363" s="679">
        <f t="shared" ref="CV363:CY363" si="1466">IF(ISERROR(CV347/CV82),"",(CV347/CV82))</f>
        <v>0.65999571152883996</v>
      </c>
      <c r="CW363" s="679">
        <f t="shared" si="1466"/>
        <v>0.99058809423895455</v>
      </c>
      <c r="CX363" s="679">
        <f t="shared" si="1466"/>
        <v>1.4615191777387817</v>
      </c>
      <c r="CY363" s="679">
        <f t="shared" si="1466"/>
        <v>2.3165165165165167</v>
      </c>
      <c r="CZ363" s="680">
        <f t="shared" ref="CZ363:DD363" si="1467">IF(ISERROR(CZ347/CZ82),"",(CZ347/CZ82))</f>
        <v>1.4316898871006485</v>
      </c>
      <c r="DA363" s="679">
        <f t="shared" si="1467"/>
        <v>1.4407120138385134</v>
      </c>
      <c r="DB363" s="679">
        <f t="shared" si="1467"/>
        <v>2.4378512480380738</v>
      </c>
      <c r="DC363" s="679">
        <f t="shared" si="1467"/>
        <v>2.6564295183384887</v>
      </c>
      <c r="DD363" s="679">
        <f t="shared" si="1467"/>
        <v>3.2587882641475159</v>
      </c>
      <c r="DE363" s="680">
        <f t="shared" ref="DE363:DI363" si="1468">IF(ISERROR(DE347/DE82),"",(DE347/DE82))</f>
        <v>2.4913618016813635</v>
      </c>
      <c r="DF363" s="679">
        <f t="shared" si="1468"/>
        <v>1.5122819723580181</v>
      </c>
      <c r="DG363" s="679">
        <f t="shared" si="1468"/>
        <v>0.11283054666192339</v>
      </c>
      <c r="DH363" s="679">
        <f t="shared" si="1468"/>
        <v>0.68570627802690587</v>
      </c>
      <c r="DI363" s="679">
        <f t="shared" si="1468"/>
        <v>1.7344180553733106</v>
      </c>
      <c r="DJ363" s="680">
        <f t="shared" ref="DJ363:DN363" si="1469">IF(ISERROR(DJ347/DJ82),"",(DJ347/DJ82))</f>
        <v>0.98665002931581403</v>
      </c>
      <c r="DK363" s="679">
        <f t="shared" si="1469"/>
        <v>2.0799138284776366</v>
      </c>
      <c r="DL363" s="679">
        <f t="shared" si="1469"/>
        <v>4.8752912215921578</v>
      </c>
      <c r="DM363" s="679">
        <f t="shared" si="1469"/>
        <v>1.7257842715943275</v>
      </c>
      <c r="DN363" s="679">
        <f t="shared" si="1469"/>
        <v>2.9512276599298479</v>
      </c>
      <c r="DO363" s="680">
        <f t="shared" ref="DO363:DS363" si="1470">IF(ISERROR(DO347/DO82),"",(DO347/DO82))</f>
        <v>2.9318600985882433</v>
      </c>
      <c r="DP363" s="679">
        <f t="shared" si="1470"/>
        <v>1.3996939280730971</v>
      </c>
      <c r="DQ363" s="679">
        <f t="shared" si="1470"/>
        <v>1.7882328990228014</v>
      </c>
      <c r="DR363" s="679">
        <f t="shared" si="1470"/>
        <v>0</v>
      </c>
      <c r="DS363" s="679">
        <f t="shared" si="1470"/>
        <v>0</v>
      </c>
      <c r="DT363" s="680">
        <f t="shared" ref="DT363:DX363" si="1471">IF(ISERROR(DT347/DT82),"",(DT347/DT82))</f>
        <v>0</v>
      </c>
      <c r="DU363" s="679">
        <f t="shared" si="1471"/>
        <v>0</v>
      </c>
      <c r="DV363" s="679">
        <f t="shared" si="1471"/>
        <v>0</v>
      </c>
      <c r="DW363" s="679">
        <f t="shared" si="1471"/>
        <v>0</v>
      </c>
      <c r="DX363" s="679">
        <f t="shared" si="1471"/>
        <v>0</v>
      </c>
      <c r="DY363" s="680">
        <f t="shared" ref="DY363" si="1472">IF(ISERROR(DY347/DY82),"",(DY347/DY82))</f>
        <v>0</v>
      </c>
      <c r="DZ363" s="680">
        <f t="shared" ref="DZ363:EB363" si="1473">IF(ISERROR(DZ347/DZ82),"",(DZ347/DZ82))</f>
        <v>0</v>
      </c>
      <c r="EA363" s="680">
        <f t="shared" si="1473"/>
        <v>0</v>
      </c>
      <c r="EB363" s="680">
        <f t="shared" si="1473"/>
        <v>0</v>
      </c>
    </row>
    <row r="364" spans="2:132" s="74" customFormat="1" ht="12" customHeight="1">
      <c r="B364" s="292"/>
      <c r="C364" s="293"/>
      <c r="D364" s="379"/>
      <c r="E364" s="379"/>
      <c r="F364" s="379"/>
      <c r="G364" s="379"/>
      <c r="H364" s="379"/>
      <c r="I364" s="379"/>
      <c r="J364" s="380"/>
      <c r="K364" s="380"/>
      <c r="L364" s="380"/>
      <c r="M364" s="380"/>
      <c r="N364" s="379"/>
      <c r="O364" s="380"/>
      <c r="P364" s="380"/>
      <c r="Q364" s="380"/>
      <c r="R364" s="380"/>
      <c r="S364" s="379"/>
      <c r="T364" s="380"/>
      <c r="U364" s="380"/>
      <c r="V364" s="380"/>
      <c r="W364" s="380"/>
      <c r="X364" s="379"/>
      <c r="Y364" s="380"/>
      <c r="Z364" s="380"/>
      <c r="AA364" s="380"/>
      <c r="AB364" s="380"/>
      <c r="AC364" s="379"/>
      <c r="AD364" s="380"/>
      <c r="AE364" s="380"/>
      <c r="AF364" s="380"/>
      <c r="AG364" s="380"/>
      <c r="AH364" s="379"/>
      <c r="AI364" s="380"/>
      <c r="AJ364" s="380"/>
      <c r="AK364" s="380"/>
      <c r="AL364" s="380"/>
      <c r="AM364" s="379"/>
      <c r="AN364" s="380"/>
      <c r="AO364" s="380"/>
      <c r="AP364" s="380"/>
      <c r="AQ364" s="380"/>
      <c r="AR364" s="379"/>
      <c r="AS364" s="380"/>
      <c r="AT364" s="380"/>
      <c r="AU364" s="380"/>
      <c r="AV364" s="380"/>
      <c r="AW364" s="379"/>
      <c r="AX364" s="380"/>
      <c r="AY364" s="380"/>
      <c r="AZ364" s="380"/>
      <c r="BA364" s="380"/>
      <c r="BB364" s="379"/>
      <c r="BC364" s="380"/>
      <c r="BD364" s="380"/>
      <c r="BE364" s="380"/>
      <c r="BF364" s="380"/>
      <c r="BG364" s="379"/>
      <c r="BH364" s="681"/>
      <c r="BI364" s="380"/>
      <c r="BJ364" s="681"/>
      <c r="BK364" s="681"/>
      <c r="BL364" s="379"/>
      <c r="BM364" s="681"/>
      <c r="BN364" s="681"/>
      <c r="BO364" s="681"/>
      <c r="BP364" s="681"/>
      <c r="BQ364" s="682"/>
      <c r="BR364" s="681"/>
      <c r="BS364" s="681"/>
      <c r="BT364" s="681"/>
      <c r="BU364" s="681"/>
      <c r="BV364" s="682"/>
      <c r="BW364" s="681"/>
      <c r="BX364" s="681"/>
      <c r="BY364" s="681"/>
      <c r="BZ364" s="681"/>
      <c r="CA364" s="682"/>
      <c r="CB364" s="681"/>
      <c r="CC364" s="681"/>
      <c r="CD364" s="681"/>
      <c r="CE364" s="681"/>
      <c r="CF364" s="682"/>
      <c r="CG364" s="681"/>
      <c r="CH364" s="681"/>
      <c r="CI364" s="681"/>
      <c r="CJ364" s="681"/>
      <c r="CK364" s="682"/>
      <c r="CL364" s="681"/>
      <c r="CM364" s="681"/>
      <c r="CN364" s="681"/>
      <c r="CO364" s="681"/>
      <c r="CP364" s="682"/>
      <c r="CQ364" s="681"/>
      <c r="CR364" s="681"/>
      <c r="CS364" s="681"/>
      <c r="CT364" s="681"/>
      <c r="CU364" s="682"/>
      <c r="CV364" s="681"/>
      <c r="CW364" s="681"/>
      <c r="CX364" s="681"/>
      <c r="CY364" s="681"/>
      <c r="CZ364" s="682"/>
      <c r="DA364" s="681"/>
      <c r="DB364" s="681"/>
      <c r="DC364" s="681"/>
      <c r="DD364" s="681"/>
      <c r="DE364" s="682"/>
      <c r="DF364" s="681"/>
      <c r="DG364" s="681"/>
      <c r="DH364" s="681"/>
      <c r="DI364" s="681"/>
      <c r="DJ364" s="682"/>
      <c r="DK364" s="681"/>
      <c r="DL364" s="681"/>
      <c r="DM364" s="681"/>
      <c r="DN364" s="681"/>
      <c r="DO364" s="682"/>
      <c r="DP364" s="681"/>
      <c r="DQ364" s="681"/>
      <c r="DR364" s="681"/>
      <c r="DS364" s="681"/>
      <c r="DT364" s="682"/>
      <c r="DU364" s="681"/>
      <c r="DV364" s="681"/>
      <c r="DW364" s="681"/>
      <c r="DX364" s="681"/>
      <c r="DY364" s="682"/>
      <c r="DZ364" s="682"/>
      <c r="EA364" s="682"/>
      <c r="EB364" s="682"/>
    </row>
    <row r="365" spans="2:132" s="241" customFormat="1" ht="12" customHeight="1">
      <c r="B365" s="163" t="s">
        <v>347</v>
      </c>
      <c r="C365" s="353"/>
      <c r="D365" s="353"/>
      <c r="E365" s="353"/>
      <c r="F365" s="353"/>
      <c r="G365" s="353"/>
      <c r="H365" s="353"/>
      <c r="I365" s="353"/>
      <c r="J365" s="354"/>
      <c r="K365" s="354"/>
      <c r="L365" s="354"/>
      <c r="M365" s="354"/>
      <c r="N365" s="353"/>
      <c r="O365" s="354"/>
      <c r="P365" s="354"/>
      <c r="Q365" s="354"/>
      <c r="R365" s="354"/>
      <c r="S365" s="353"/>
      <c r="T365" s="354"/>
      <c r="U365" s="354"/>
      <c r="V365" s="354"/>
      <c r="W365" s="354"/>
      <c r="X365" s="353"/>
      <c r="Y365" s="354"/>
      <c r="Z365" s="354"/>
      <c r="AA365" s="354"/>
      <c r="AB365" s="354"/>
      <c r="AC365" s="353"/>
      <c r="AD365" s="354"/>
      <c r="AE365" s="354"/>
      <c r="AF365" s="354"/>
      <c r="AG365" s="354"/>
      <c r="AH365" s="353"/>
      <c r="AI365" s="354"/>
      <c r="AJ365" s="354"/>
      <c r="AK365" s="354"/>
      <c r="AL365" s="354"/>
      <c r="AM365" s="353"/>
      <c r="AN365" s="354"/>
      <c r="AO365" s="354"/>
      <c r="AP365" s="354"/>
      <c r="AQ365" s="354"/>
      <c r="AR365" s="353"/>
      <c r="AS365" s="354"/>
      <c r="AT365" s="354"/>
      <c r="AU365" s="354"/>
      <c r="AV365" s="354"/>
      <c r="AW365" s="353"/>
      <c r="AX365" s="354"/>
      <c r="AY365" s="354"/>
      <c r="AZ365" s="354"/>
      <c r="BA365" s="354"/>
      <c r="BB365" s="353"/>
      <c r="BC365" s="354"/>
      <c r="BD365" s="354"/>
      <c r="BE365" s="354"/>
      <c r="BF365" s="354"/>
      <c r="BG365" s="353"/>
      <c r="BH365" s="615"/>
      <c r="BI365" s="354"/>
      <c r="BJ365" s="615"/>
      <c r="BK365" s="615"/>
      <c r="BL365" s="353"/>
      <c r="BM365" s="615"/>
      <c r="BN365" s="615"/>
      <c r="BO365" s="615"/>
      <c r="BP365" s="615"/>
      <c r="BQ365" s="14"/>
      <c r="BR365" s="615"/>
      <c r="BS365" s="615"/>
      <c r="BT365" s="615"/>
      <c r="BU365" s="615"/>
      <c r="BV365" s="14"/>
      <c r="BW365" s="615"/>
      <c r="BX365" s="615"/>
      <c r="BY365" s="615"/>
      <c r="BZ365" s="615"/>
      <c r="CA365" s="14"/>
      <c r="CB365" s="615"/>
      <c r="CC365" s="615"/>
      <c r="CD365" s="615"/>
      <c r="CE365" s="615"/>
      <c r="CF365" s="14"/>
      <c r="CG365" s="615"/>
      <c r="CH365" s="615"/>
      <c r="CI365" s="615"/>
      <c r="CJ365" s="615"/>
      <c r="CK365" s="14"/>
      <c r="CL365" s="615"/>
      <c r="CM365" s="615"/>
      <c r="CN365" s="615"/>
      <c r="CO365" s="615"/>
      <c r="CP365" s="14"/>
      <c r="CQ365" s="615"/>
      <c r="CR365" s="615"/>
      <c r="CS365" s="615"/>
      <c r="CT365" s="615"/>
      <c r="CU365" s="14"/>
      <c r="CV365" s="615"/>
      <c r="CW365" s="615"/>
      <c r="CX365" s="615"/>
      <c r="CY365" s="615"/>
      <c r="CZ365" s="14"/>
      <c r="DA365" s="615"/>
      <c r="DB365" s="615"/>
      <c r="DC365" s="615"/>
      <c r="DD365" s="615"/>
      <c r="DE365" s="14"/>
      <c r="DF365" s="615"/>
      <c r="DG365" s="615"/>
      <c r="DH365" s="615"/>
      <c r="DI365" s="615"/>
      <c r="DJ365" s="14"/>
      <c r="DK365" s="615"/>
      <c r="DL365" s="615"/>
      <c r="DM365" s="615"/>
      <c r="DN365" s="615"/>
      <c r="DO365" s="14"/>
      <c r="DP365" s="615"/>
      <c r="DQ365" s="615"/>
      <c r="DR365" s="615"/>
      <c r="DS365" s="615"/>
      <c r="DT365" s="14"/>
      <c r="DU365" s="615"/>
      <c r="DV365" s="615"/>
      <c r="DW365" s="615"/>
      <c r="DX365" s="615"/>
      <c r="DY365" s="14"/>
      <c r="DZ365" s="14"/>
      <c r="EA365" s="14"/>
      <c r="EB365" s="14"/>
    </row>
    <row r="366" spans="2:132" s="241" customFormat="1" ht="12" customHeight="1">
      <c r="B366" s="348" t="str">
        <f>B350</f>
        <v>Commercial Airplanes</v>
      </c>
      <c r="C366" s="369"/>
      <c r="D366" s="355">
        <f t="shared" ref="D366:I366" si="1474">D350</f>
        <v>0.78250105500070333</v>
      </c>
      <c r="E366" s="355">
        <f t="shared" si="1474"/>
        <v>0.65932463745476322</v>
      </c>
      <c r="F366" s="355">
        <f t="shared" si="1474"/>
        <v>1.5392191460010907</v>
      </c>
      <c r="G366" s="355">
        <f t="shared" si="1474"/>
        <v>0.60263578274760388</v>
      </c>
      <c r="H366" s="355">
        <f t="shared" si="1474"/>
        <v>0.72906612181632435</v>
      </c>
      <c r="I366" s="355">
        <f t="shared" si="1474"/>
        <v>0.81122813280971084</v>
      </c>
      <c r="J366" s="370"/>
      <c r="K366" s="370"/>
      <c r="L366" s="370"/>
      <c r="M366" s="370">
        <f>AVERAGE(J350:M350)</f>
        <v>1.3466291063482561</v>
      </c>
      <c r="N366" s="355">
        <f>M366</f>
        <v>1.3466291063482561</v>
      </c>
      <c r="O366" s="370">
        <f>AVERAGE(O350,K350:M350)</f>
        <v>1.3395737769979084</v>
      </c>
      <c r="P366" s="370">
        <f>AVERAGE(O350:P350,L350:M350)</f>
        <v>2.0025919355376804</v>
      </c>
      <c r="Q366" s="370">
        <f>AVERAGE(O350:Q350,M350)</f>
        <v>2.2583392764844712</v>
      </c>
      <c r="R366" s="370">
        <f>AVERAGE(O350:R350)</f>
        <v>3.2662723053385094</v>
      </c>
      <c r="S366" s="355">
        <f>R366</f>
        <v>3.2662723053385094</v>
      </c>
      <c r="T366" s="370">
        <f>AVERAGE(T350,P350:R350)</f>
        <v>3.617194288640218</v>
      </c>
      <c r="U366" s="370">
        <f>AVERAGE(T350:U350,Q350:R350)</f>
        <v>3.3108977112328737</v>
      </c>
      <c r="V366" s="370">
        <f>AVERAGE(T350:V350,R350)</f>
        <v>3.1926190362611733</v>
      </c>
      <c r="W366" s="370">
        <f>AVERAGE(T350:W350)</f>
        <v>2.7457076852677815</v>
      </c>
      <c r="X366" s="355">
        <f>W366</f>
        <v>2.7457076852677815</v>
      </c>
      <c r="Y366" s="370">
        <f>AVERAGE(Y350,U350:W350)</f>
        <v>2.95136947377032</v>
      </c>
      <c r="Z366" s="370">
        <f>AVERAGE(Y350:Z350,V350:W350)</f>
        <v>3.149749850523603</v>
      </c>
      <c r="AA366" s="370">
        <f>AVERAGE(Y350:AA350,W350)</f>
        <v>3.1936823838611916</v>
      </c>
      <c r="AB366" s="370">
        <f>AVERAGE(Y350:AB350)</f>
        <v>3.3951755862725994</v>
      </c>
      <c r="AC366" s="355">
        <f>AB366</f>
        <v>3.3951755862725994</v>
      </c>
      <c r="AD366" s="370">
        <f>AVERAGE(AD350,Z350:AB350)</f>
        <v>3.4161532494834725</v>
      </c>
      <c r="AE366" s="370">
        <f>AVERAGE(AD350:AE350,AA350:AB350)</f>
        <v>2.9609981829850915</v>
      </c>
      <c r="AF366" s="370">
        <f>AVERAGE(AD350:AF350,AB350)</f>
        <v>2.5035295394681416</v>
      </c>
      <c r="AG366" s="370">
        <f>AVERAGE(AD350:AG350)</f>
        <v>1.7835324343161432</v>
      </c>
      <c r="AH366" s="355">
        <f>AG366</f>
        <v>1.7835324343161432</v>
      </c>
      <c r="AI366" s="370">
        <f>AVERAGE(AI350,AE350:AG350)</f>
        <v>0.92615226602484324</v>
      </c>
      <c r="AJ366" s="370">
        <f>AVERAGE(AI350:AJ350,AF350:AG350)</f>
        <v>0.57377093326971296</v>
      </c>
      <c r="AK366" s="370">
        <f>AVERAGE(AI350:AK350,AG350)</f>
        <v>0.41499667959813347</v>
      </c>
      <c r="AL366" s="370">
        <f>AVERAGE(AI350:AL350)</f>
        <v>0.17332869651086935</v>
      </c>
      <c r="AM366" s="355">
        <f>AL366</f>
        <v>0.17332869651086935</v>
      </c>
      <c r="AN366" s="370">
        <f>AVERAGE(AN350,AJ350:AL350)</f>
        <v>0.53763042801051764</v>
      </c>
      <c r="AO366" s="370">
        <f>IF(AO350=0,0,AVERAGE(AN350:AO350,AK350:AL350))</f>
        <v>0.83240920077488434</v>
      </c>
      <c r="AP366" s="370">
        <f>IF(AP350=0,0,AVERAGE(AN350:AP350,AL350))</f>
        <v>1.0457492273699756</v>
      </c>
      <c r="AQ366" s="370">
        <f>IF(AQ350=0,0,AVERAGE(AN350:AQ350))</f>
        <v>1.1529515740497225</v>
      </c>
      <c r="AR366" s="355">
        <f>AQ366</f>
        <v>1.1529515740497225</v>
      </c>
      <c r="AS366" s="370">
        <f>IF(AS350=0,0,AVERAGE(AS350,AO350:AQ350))</f>
        <v>1.341643556911732</v>
      </c>
      <c r="AT366" s="370">
        <f>IF(AT350=0,0,AVERAGE(AS350:AT350,AP350:AQ350))</f>
        <v>1.2730120538537457</v>
      </c>
      <c r="AU366" s="370">
        <f>IF(AU350=0,0,AVERAGE(AS350:AU350,AQ350))</f>
        <v>1.4440817060148785</v>
      </c>
      <c r="AV366" s="370">
        <f>IF(AV350=0,0,AVERAGE(AS350:AV350))</f>
        <v>1.9687640129552499</v>
      </c>
      <c r="AW366" s="355">
        <f>AV366</f>
        <v>1.9687640129552499</v>
      </c>
      <c r="AX366" s="370">
        <f>IF(AX350=0,0,AVERAGE(AX350,AT350:AV350))</f>
        <v>2.0569144722654533</v>
      </c>
      <c r="AY366" s="370">
        <f>IF(AY350=0,0,AVERAGE(AX350:AY350,AU350:AV350))</f>
        <v>1.9817487918060359</v>
      </c>
      <c r="AZ366" s="370">
        <f>IF(AZ350=0,0,AVERAGE(AX350:AZ350,AV350))</f>
        <v>1.8110727603962335</v>
      </c>
      <c r="BA366" s="370">
        <f>IF(BA350=0,0,AVERAGE(AX350:BA350))</f>
        <v>1.4835223854075283</v>
      </c>
      <c r="BB366" s="355">
        <f t="shared" ref="BB366:BB376" si="1475">BB350</f>
        <v>1.4885297290695545</v>
      </c>
      <c r="BC366" s="370">
        <f>IF(BC350=0,0,AVERAGE(BC350,AY350:BA350))</f>
        <v>1.3191399409405227</v>
      </c>
      <c r="BD366" s="370">
        <f>IF(BD350=0,0,AVERAGE(BC350:BD350,AZ350:BA350))</f>
        <v>1.7106711092217182</v>
      </c>
      <c r="BE366" s="370">
        <f>IF(BE350=0,0,AVERAGE(BC350:BE350,BA350))</f>
        <v>1.7260610651784529</v>
      </c>
      <c r="BF366" s="370">
        <f>IF(BF350=0,0,AVERAGE(BC350:BF350))</f>
        <v>2.0047272614649416</v>
      </c>
      <c r="BG366" s="355">
        <f t="shared" ref="BG366:BG376" si="1476">BG350</f>
        <v>2.0513143316604161</v>
      </c>
      <c r="BH366" s="370">
        <f>IF(BH350=0,0,AVERAGE(BH350,BD350:BF350))</f>
        <v>1.914439308150522</v>
      </c>
      <c r="BI366" s="370">
        <f>IF(BI350=0,0,AVERAGE(BH350:BI350,BE350:BF350))</f>
        <v>1.6665433149630822</v>
      </c>
      <c r="BJ366" s="370">
        <f>IF(BJ350=0,0,AVERAGE(BH350:BJ350,BF350))</f>
        <v>2.3757026403045129</v>
      </c>
      <c r="BK366" s="370">
        <f>IF(BK350=0,0,AVERAGE(BH350:BK350))</f>
        <v>2.0428405272761267</v>
      </c>
      <c r="BL366" s="355">
        <f t="shared" ref="BL366:BL376" si="1477">BL350</f>
        <v>2.1185197532922153</v>
      </c>
      <c r="BM366" s="370">
        <f>IF(BM350=0,0,AVERAGE(BM350,BI350:BK350))</f>
        <v>1.9403181912202527</v>
      </c>
      <c r="BN366" s="370">
        <f>IF(BN350=0,0,AVERAGE(BM350:BN350,BJ350:BK350))</f>
        <v>1.8379047967484201</v>
      </c>
      <c r="BO366" s="370">
        <f>IF(BO350=0,0,AVERAGE(BM350:BO350,BK350))</f>
        <v>0.94295152149700789</v>
      </c>
      <c r="BP366" s="370">
        <f>IF(BP350=0,0,AVERAGE(BM350:BP350))</f>
        <v>0.87092475386138957</v>
      </c>
      <c r="BQ366" s="657">
        <f t="shared" ref="BQ366" si="1478">BQ350</f>
        <v>0.86827761627906974</v>
      </c>
      <c r="BR366" s="370">
        <f>IF(BR350=0,0,AVERAGE(BR350,BN350:BP350))</f>
        <v>0.78958993868611893</v>
      </c>
      <c r="BS366" s="370">
        <f>IF(BS350=0,0,AVERAGE(BR350:BS350,BO350:BP350))</f>
        <v>0.74952261635757578</v>
      </c>
      <c r="BT366" s="370">
        <f>IF(BT350=0,0,AVERAGE(BR350:BT350,BP350))</f>
        <v>0.68906040923452283</v>
      </c>
      <c r="BU366" s="370">
        <f>IF(BU350=0,0,AVERAGE(BR350:BU350))</f>
        <v>0.67883276880126298</v>
      </c>
      <c r="BV366" s="657">
        <f t="shared" ref="BV366:BV376" si="1479">BV350</f>
        <v>0.68344480452320211</v>
      </c>
      <c r="BW366" s="370">
        <f>IF(BW350=0,0,AVERAGE(BW350,BS350:BU350))</f>
        <v>0.88289839553119176</v>
      </c>
      <c r="BX366" s="370">
        <f>IF(BX350=0,0,AVERAGE(BW350:BX350,BT350:BU350))</f>
        <v>1.1304886897195696</v>
      </c>
      <c r="BY366" s="370">
        <f>IF(BY350=0,0,AVERAGE(BW350:BY350,BU350))</f>
        <v>1.0766336821460656</v>
      </c>
      <c r="BZ366" s="370">
        <f>IF(BZ350=0,0,AVERAGE(BW350:BZ350))</f>
        <v>0.9868022868344275</v>
      </c>
      <c r="CA366" s="657">
        <f>CA350</f>
        <v>0.96814562002275317</v>
      </c>
      <c r="CB366" s="370">
        <f>IF(CB350=0,0,AVERAGE(CB350,BX350:BZ350))</f>
        <v>1.0278659168576654</v>
      </c>
      <c r="CC366" s="370">
        <f>IF(CC350=0,0,AVERAGE(CB350:CC350,BY350:BZ350))</f>
        <v>0.88875762159001703</v>
      </c>
      <c r="CD366" s="370">
        <f>IF(CD350=0,0,AVERAGE(CB350:CD350,BZ350))</f>
        <v>1.0236595472369008</v>
      </c>
      <c r="CE366" s="370">
        <f>IF(CE350=0,0,AVERAGE(CB350:CE350))</f>
        <v>1.0284090454934944</v>
      </c>
      <c r="CF366" s="657">
        <f>CF350</f>
        <v>1.019461208021009</v>
      </c>
      <c r="CG366" s="370">
        <f>IF(CG350=0,0,AVERAGE(CG350,CC350:CE350))</f>
        <v>0.67395131047608459</v>
      </c>
      <c r="CH366" s="370">
        <f>IF(CH350=0,0,AVERAGE(CG350:CH350,CD350:CE350))</f>
        <v>0.19305855576846961</v>
      </c>
      <c r="CI366" s="370">
        <f>IF(CI350=0,0,AVERAGE(CG350:CI350,CE350))</f>
        <v>0.14913854621988715</v>
      </c>
      <c r="CJ366" s="370">
        <f>IF(CJ350=0,0,AVERAGE(CG350:CJ350))</f>
        <v>-0.20138056651942976</v>
      </c>
      <c r="CK366" s="657">
        <f>CK350</f>
        <v>-0.10723918772283367</v>
      </c>
      <c r="CL366" s="370">
        <f>IF(CL350=0,0,AVERAGE(CL350,CH350:CJ350))</f>
        <v>-0.92762134243387706</v>
      </c>
      <c r="CM366" s="370">
        <f>IF(CM350=0,0,AVERAGE(CL350:CM350,CI350:CJ350))</f>
        <v>-4.4492541964794992</v>
      </c>
      <c r="CN366" s="370">
        <f>IF(CN350=0,0,AVERAGE(CL350:CN350,CJ350))</f>
        <v>-5.2611783943901633</v>
      </c>
      <c r="CO366" s="370">
        <f>IF(CO350=0,0,AVERAGE(CL350:CO350))</f>
        <v>-6.5434581323155623</v>
      </c>
      <c r="CP366" s="657">
        <f>CP350</f>
        <v>-4.8782947654993194</v>
      </c>
      <c r="CQ366" s="370">
        <f>IF(CQ350=0,0,AVERAGE(CQ350,CM350:CO350))</f>
        <v>-5.4831653218077117</v>
      </c>
      <c r="CR366" s="370">
        <f>IF(CR350=0,0,AVERAGE(CQ350:CR350,CN350:CO350))</f>
        <v>-1.3741628993071144</v>
      </c>
      <c r="CS366" s="370">
        <f>IF(CS350=0,0,AVERAGE(CQ350:CS350,CO350))</f>
        <v>-0.2293178944787948</v>
      </c>
      <c r="CT366" s="370">
        <f>IF(CT350=0,0,AVERAGE(CQ350:CT350))</f>
        <v>1.7958765128593477</v>
      </c>
      <c r="CU366" s="657">
        <f>CU350</f>
        <v>1.7845893397629919</v>
      </c>
      <c r="CV366" s="370">
        <f>IF(CV350=0,0,AVERAGE(CV350,CR350:CT350))</f>
        <v>1.3777759072796103</v>
      </c>
      <c r="CW366" s="370">
        <f>IF(CW350=0,0,AVERAGE(CV350:CW350,CS350:CT350))</f>
        <v>1.5108783297088242</v>
      </c>
      <c r="CX366" s="370">
        <f>IF(CX350=0,0,AVERAGE(CV350:CX350,CT350))</f>
        <v>1.6732395195328911</v>
      </c>
      <c r="CY366" s="370">
        <f>IF(CY350=0,0,AVERAGE(CV350:CY350))</f>
        <v>1.9063424546677796</v>
      </c>
      <c r="CZ366" s="657">
        <f>CZ350</f>
        <v>2.2735145165655082</v>
      </c>
      <c r="DA366" s="370">
        <f>IF(DA350=0,0,AVERAGE(DA350,CW350:CY350))</f>
        <v>2.4068485606329899</v>
      </c>
      <c r="DB366" s="370">
        <f>IF(DB350=0,0,AVERAGE(DA350:DB350,CX350:CY350))</f>
        <v>2.9871441571082493</v>
      </c>
      <c r="DC366" s="370">
        <f>IF(DC350=0,0,AVERAGE(DA350:DC350,CY350))</f>
        <v>3.5111290932252803</v>
      </c>
      <c r="DD366" s="370">
        <f>IF(DD350=0,0,AVERAGE(DA350:DD350))</f>
        <v>4.051596488362212</v>
      </c>
      <c r="DE366" s="657">
        <f>DE350</f>
        <v>4.264888941329164</v>
      </c>
      <c r="DF366" s="370">
        <f>IF(DF350=0,0,AVERAGE(DE350:DF350,DB350:DC350))</f>
        <v>3.9478996518018006</v>
      </c>
      <c r="DG366" s="370">
        <f>IF(DG350=0,0,AVERAGE(DF350:DG350,DC350:DD350))</f>
        <v>3.0037236529296982</v>
      </c>
      <c r="DH366" s="370">
        <f>IF(DH350=0,0,AVERAGE(DG350:DH350,DD350:DE350))</f>
        <v>2.2173862601970233</v>
      </c>
      <c r="DI366" s="370">
        <f>IF(DI350=0,0,AVERAGE(DH350:DI350,DE350:DF350))</f>
        <v>2.2874609372963159</v>
      </c>
      <c r="DJ366" s="657">
        <f t="shared" ref="DJ366" si="1480">DJ350</f>
        <v>0.76676435851450064</v>
      </c>
      <c r="DK366" s="370">
        <f>IF(DK350=0,0,AVERAGE(DJ350:DK350,DG350:DH350))</f>
        <v>0.96383759991733764</v>
      </c>
      <c r="DL366" s="370">
        <f>IF(DL350=0,0,AVERAGE(DK350:DL350,DH350:DI350))</f>
        <v>3.2889112722682672</v>
      </c>
      <c r="DM366" s="370">
        <f>IF(DM350=0,0,AVERAGE(DK350:DM350,DI350))</f>
        <v>3.865659022449254</v>
      </c>
      <c r="DN366" s="370">
        <f>IF(DN350=0,0,AVERAGE(DM350:DN350,DK350:DL350))</f>
        <v>4.1928852039999702</v>
      </c>
      <c r="DO366" s="657">
        <f t="shared" ref="DO366" si="1481">DO350</f>
        <v>4.1839543066467444</v>
      </c>
      <c r="DP366" s="370">
        <f>IF(DP350=0,0,AVERAGE(DM350:DN350,DK350:DL350))</f>
        <v>4.1928852039999702</v>
      </c>
      <c r="DQ366" s="370">
        <f>IF(DQ350=0,0,AVERAGE(DP350:DQ350,DM350:DN350))</f>
        <v>2.672764277944891</v>
      </c>
      <c r="DR366" s="370">
        <f>IF(DR350=0,0,AVERAGE(DQ350:DR350,DN350:DO350))</f>
        <v>0</v>
      </c>
      <c r="DS366" s="370">
        <f>IF(DS350=0,0,AVERAGE(DR350:DS350,DO350:DP350))</f>
        <v>0</v>
      </c>
      <c r="DT366" s="657">
        <f t="shared" ref="DT366" si="1482">DT350</f>
        <v>0</v>
      </c>
      <c r="DU366" s="370">
        <f>IF(DU350=0,0,AVERAGE(DT350:DU350,DQ350:DR350))</f>
        <v>0</v>
      </c>
      <c r="DV366" s="370">
        <f>IF(DV350=0,0,AVERAGE(DU350:DV350,DR350:DS350))</f>
        <v>0</v>
      </c>
      <c r="DW366" s="370">
        <f>IF(DW350=0,0,AVERAGE(DV350:DW350,DS350:DT350))</f>
        <v>0</v>
      </c>
      <c r="DX366" s="370">
        <f>IF(DX350=0,0,AVERAGE(DW350:DX350,DT350:DU350))</f>
        <v>0</v>
      </c>
      <c r="DY366" s="657">
        <f t="shared" ref="DY366" si="1483">DY350</f>
        <v>0</v>
      </c>
      <c r="DZ366" s="657">
        <f t="shared" ref="DZ366:EB366" si="1484">DZ350</f>
        <v>0</v>
      </c>
      <c r="EA366" s="657">
        <f t="shared" si="1484"/>
        <v>0</v>
      </c>
      <c r="EB366" s="657">
        <f t="shared" si="1484"/>
        <v>0</v>
      </c>
    </row>
    <row r="367" spans="2:132" s="241" customFormat="1" ht="12" hidden="1" customHeight="1">
      <c r="B367" s="324" t="s">
        <v>106</v>
      </c>
      <c r="C367" s="371"/>
      <c r="D367" s="372"/>
      <c r="E367" s="372"/>
      <c r="F367" s="372"/>
      <c r="G367" s="372"/>
      <c r="H367" s="372"/>
      <c r="I367" s="372"/>
      <c r="J367" s="373"/>
      <c r="K367" s="373"/>
      <c r="L367" s="373"/>
      <c r="M367" s="373"/>
      <c r="N367" s="372"/>
      <c r="O367" s="373"/>
      <c r="P367" s="373"/>
      <c r="Q367" s="373"/>
      <c r="R367" s="373"/>
      <c r="S367" s="372"/>
      <c r="T367" s="373">
        <f>AVERAGE(T351,P351:R351)</f>
        <v>2.067365745154115</v>
      </c>
      <c r="U367" s="373">
        <f>AVERAGE(T351:U351,Q351:R351)</f>
        <v>1.1669282551628095</v>
      </c>
      <c r="V367" s="373">
        <f>AVERAGE(T351:V351,R351)</f>
        <v>0.85298575291414325</v>
      </c>
      <c r="W367" s="373">
        <f>AVERAGE(T351:W351)</f>
        <v>1.1796883651719436</v>
      </c>
      <c r="X367" s="372">
        <f>W367</f>
        <v>1.1796883651719436</v>
      </c>
      <c r="Y367" s="373">
        <f>AVERAGE(Y351,U351:W351)</f>
        <v>0.7642641797215739</v>
      </c>
      <c r="Z367" s="373">
        <f>AVERAGE(Y351:Z351,V351:W351)</f>
        <v>0.8490149542381662</v>
      </c>
      <c r="AA367" s="373">
        <f>AVERAGE(Y351:AA351,W351)</f>
        <v>1.0702695290387254</v>
      </c>
      <c r="AB367" s="373">
        <f>AVERAGE(Y351:AB351)</f>
        <v>0.84237183139612193</v>
      </c>
      <c r="AC367" s="372">
        <f>AB367</f>
        <v>0.84237183139612193</v>
      </c>
      <c r="AD367" s="373">
        <f>AVERAGE(AD351,Z351:AB351)</f>
        <v>0.99969911522379662</v>
      </c>
      <c r="AE367" s="373">
        <f>AVERAGE(AD351:AE351,AA351:AB351)</f>
        <v>1.1560591869334709</v>
      </c>
      <c r="AF367" s="373">
        <f>AVERAGE(AD351:AF351,AB351)</f>
        <v>1.1370017575677611</v>
      </c>
      <c r="AG367" s="373">
        <f>AVERAGE(AD351:AG351)</f>
        <v>1.2252978462906738</v>
      </c>
      <c r="AH367" s="372">
        <f>AG367</f>
        <v>1.2252978462906738</v>
      </c>
      <c r="AI367" s="373">
        <f>AVERAGE(AI351,AE351:AG351)</f>
        <v>1.4077493249138766</v>
      </c>
      <c r="AJ367" s="373">
        <f>AVERAGE(AI351:AJ351,AF351:AG351)</f>
        <v>1.3500157873947343</v>
      </c>
      <c r="AK367" s="373">
        <f>AVERAGE(AI351:AK351,AG351)</f>
        <v>1.2121458340002027</v>
      </c>
      <c r="AL367" s="373">
        <f>AVERAGE(AI351:AL351)</f>
        <v>1.0751254752088049</v>
      </c>
      <c r="AM367" s="372">
        <f>AL367</f>
        <v>1.0751254752088049</v>
      </c>
      <c r="AN367" s="373">
        <f>AVERAGE(AN351,AJ351:AL351)</f>
        <v>0.97564498182103332</v>
      </c>
      <c r="AO367" s="373">
        <f>IF(AO351=0,0,AVERAGE(AN351:AO351,AK351:AL351))</f>
        <v>0.91279581980986002</v>
      </c>
      <c r="AP367" s="373">
        <f>IF(AP351=0,0,AVERAGE(AN351:AP351,AL351))</f>
        <v>0.98170531401626304</v>
      </c>
      <c r="AQ367" s="373">
        <f>IF(AQ351=0,0,AVERAGE(AN351:AQ351))</f>
        <v>0.92819350557241864</v>
      </c>
      <c r="AR367" s="372">
        <f>AQ367</f>
        <v>0.92819350557241864</v>
      </c>
      <c r="AS367" s="373">
        <f>IF(AS351=0,0,AVERAGE(AS351,AO351:AQ351))</f>
        <v>0.93966194793530455</v>
      </c>
      <c r="AT367" s="373">
        <f>IF(AT351=0,0,AVERAGE(AS351:AT351,AP351:AQ351))</f>
        <v>0.94759622801347387</v>
      </c>
      <c r="AU367" s="373">
        <f>IF(AU351=0,0,AVERAGE(AS351:AU351,AQ351))</f>
        <v>0.91348294194812052</v>
      </c>
      <c r="AV367" s="373">
        <f>IF(AV351=0,0,AVERAGE(AS351:AV351))</f>
        <v>0.94733695097959392</v>
      </c>
      <c r="AW367" s="372">
        <f>AV367</f>
        <v>0.94733695097959392</v>
      </c>
      <c r="AX367" s="373">
        <f>IF(AX351=0,0,AVERAGE(AX351,AT351:AV351))</f>
        <v>1.1285076776662322</v>
      </c>
      <c r="AY367" s="373">
        <f>IF(AY351=0,0,AVERAGE(AX351:AY351,AU351:AV351))</f>
        <v>1.2257954409551681</v>
      </c>
      <c r="AZ367" s="373">
        <f>IF(AZ351=0,0,AVERAGE(AX351:AZ351,AV351))</f>
        <v>1.2412202899324642</v>
      </c>
      <c r="BA367" s="373">
        <f>IF(BA351=0,0,AVERAGE(AX351:BA351))</f>
        <v>1.3197184350035545</v>
      </c>
      <c r="BB367" s="372">
        <f t="shared" si="1475"/>
        <v>1.341796875</v>
      </c>
      <c r="BC367" s="373">
        <f>IF(BC351=0,0,AVERAGE(BC351,AY351:BA351))</f>
        <v>0.84675337856675892</v>
      </c>
      <c r="BD367" s="373">
        <f>IF(BD351=0,0,AVERAGE(BC351:BD351,AZ351:BA351))</f>
        <v>0.7979521094504769</v>
      </c>
      <c r="BE367" s="373">
        <f>IF(BE351=0,0,AVERAGE(BC351:BE351,BA351))</f>
        <v>0.87007250609757403</v>
      </c>
      <c r="BF367" s="373">
        <f>IF(BF351=0,0,AVERAGE(BC351:BF351))</f>
        <v>0.70689256344290186</v>
      </c>
      <c r="BG367" s="372">
        <f t="shared" si="1476"/>
        <v>0.69252008032128509</v>
      </c>
      <c r="BH367" s="373">
        <f>IF(BH351=0,0,AVERAGE(BH351,BD351:BF351))</f>
        <v>0.77982913104458207</v>
      </c>
      <c r="BI367" s="373">
        <f>IF(BI351=0,0,AVERAGE(BH351:BI351,BE351:BF351))</f>
        <v>0.82883486765534331</v>
      </c>
      <c r="BJ367" s="373">
        <f>IF(BJ351=0,0,AVERAGE(BH351:BJ351,BF351))</f>
        <v>0.65211947692802075</v>
      </c>
      <c r="BK367" s="373">
        <f>IF(BK351=0,0,AVERAGE(BH351:BK351))</f>
        <v>0.73477916789446618</v>
      </c>
      <c r="BL367" s="372">
        <f t="shared" si="1477"/>
        <v>0.72614906372585297</v>
      </c>
      <c r="BM367" s="373">
        <f>IF(BM351=0,0,AVERAGE(BM351,BI351:BK351))</f>
        <v>0.8686745421228157</v>
      </c>
      <c r="BN367" s="373">
        <f>IF(BN351=0,0,AVERAGE(BM351:BN351,BJ351:BK351))</f>
        <v>0.93360866116231234</v>
      </c>
      <c r="BO367" s="373">
        <f>IF(BO351=0,0,AVERAGE(BM351:BO351,BK351))</f>
        <v>1.0186391673874722</v>
      </c>
      <c r="BP367" s="373">
        <f>IF(BP351=0,0,AVERAGE(BM351:BP351))</f>
        <v>0.93321268460859674</v>
      </c>
      <c r="BQ367" s="676">
        <f t="shared" ref="BQ367" si="1485">BQ351</f>
        <v>0.91840973149384364</v>
      </c>
      <c r="BR367" s="373">
        <f>IF(BR351=0,0,AVERAGE(BR351,BN351:BP351))</f>
        <v>1.0584729358999929</v>
      </c>
      <c r="BS367" s="373">
        <f>IF(BS351=0,0,AVERAGE(BR351:BS351,BO351:BP351))</f>
        <v>0.99292185740249828</v>
      </c>
      <c r="BT367" s="373">
        <f>IF(BT351=0,0,AVERAGE(BR351:BT351,BP351))</f>
        <v>0.95362609917874686</v>
      </c>
      <c r="BU367" s="373">
        <f>IF(BU351=0,0,AVERAGE(BR351:BU351))</f>
        <v>1.1047229443788673</v>
      </c>
      <c r="BV367" s="676">
        <f t="shared" si="1479"/>
        <v>1.111865761086696</v>
      </c>
      <c r="BW367" s="373">
        <f>IF(BW351=0,0,AVERAGE(BW351,BS351:BU351))</f>
        <v>1.1509224541000487</v>
      </c>
      <c r="BX367" s="373">
        <f>IF(BX351=0,0,AVERAGE(BW351:BX351,BT351:BU351))</f>
        <v>1.0228739104376627</v>
      </c>
      <c r="BY367" s="373"/>
      <c r="BZ367" s="373"/>
      <c r="CA367" s="676"/>
      <c r="CB367" s="373"/>
      <c r="CC367" s="373"/>
      <c r="CD367" s="373"/>
      <c r="CE367" s="373"/>
      <c r="CF367" s="676"/>
      <c r="CG367" s="373"/>
      <c r="CH367" s="373"/>
      <c r="CI367" s="373"/>
      <c r="CJ367" s="373"/>
      <c r="CK367" s="676"/>
      <c r="CL367" s="373"/>
      <c r="CM367" s="373"/>
      <c r="CN367" s="373"/>
      <c r="CO367" s="373"/>
      <c r="CP367" s="676"/>
      <c r="CQ367" s="373"/>
      <c r="CR367" s="373"/>
      <c r="CS367" s="373"/>
      <c r="CT367" s="373"/>
      <c r="CU367" s="676"/>
      <c r="CV367" s="373"/>
      <c r="CW367" s="373"/>
      <c r="CX367" s="373"/>
      <c r="CY367" s="373"/>
      <c r="CZ367" s="676"/>
      <c r="DA367" s="373"/>
      <c r="DB367" s="373"/>
      <c r="DC367" s="373"/>
      <c r="DD367" s="373"/>
      <c r="DE367" s="676"/>
      <c r="DF367" s="373"/>
      <c r="DG367" s="373"/>
      <c r="DH367" s="373"/>
      <c r="DI367" s="373"/>
      <c r="DJ367" s="676"/>
      <c r="DK367" s="373"/>
      <c r="DL367" s="373"/>
      <c r="DM367" s="373"/>
      <c r="DN367" s="373"/>
      <c r="DO367" s="676"/>
      <c r="DP367" s="373"/>
      <c r="DQ367" s="373"/>
      <c r="DR367" s="373"/>
      <c r="DS367" s="373"/>
      <c r="DT367" s="676"/>
      <c r="DU367" s="373"/>
      <c r="DV367" s="373"/>
      <c r="DW367" s="373"/>
      <c r="DX367" s="373"/>
      <c r="DY367" s="676"/>
      <c r="DZ367" s="676"/>
      <c r="EA367" s="676"/>
      <c r="EB367" s="676"/>
    </row>
    <row r="368" spans="2:132" s="241" customFormat="1" ht="12" hidden="1" customHeight="1">
      <c r="B368" s="311" t="s">
        <v>107</v>
      </c>
      <c r="C368" s="369"/>
      <c r="D368" s="355"/>
      <c r="E368" s="355"/>
      <c r="F368" s="355"/>
      <c r="G368" s="355"/>
      <c r="H368" s="355"/>
      <c r="I368" s="355"/>
      <c r="J368" s="370"/>
      <c r="K368" s="370"/>
      <c r="L368" s="370"/>
      <c r="M368" s="370"/>
      <c r="N368" s="355"/>
      <c r="O368" s="370"/>
      <c r="P368" s="370"/>
      <c r="Q368" s="370"/>
      <c r="R368" s="370"/>
      <c r="S368" s="355"/>
      <c r="T368" s="370">
        <f>AVERAGE(T352,P352:R352)</f>
        <v>1.9004360465116279</v>
      </c>
      <c r="U368" s="370">
        <f>AVERAGE(T352:U352,Q352:R352)</f>
        <v>1.2795359737139069</v>
      </c>
      <c r="V368" s="370">
        <f>AVERAGE(T352:V352,R352)</f>
        <v>1.1863573158092713</v>
      </c>
      <c r="W368" s="370">
        <f>AVERAGE(T352:W352)</f>
        <v>1.1547314905065886</v>
      </c>
      <c r="X368" s="355">
        <f>W368</f>
        <v>1.1547314905065886</v>
      </c>
      <c r="Y368" s="370">
        <f>AVERAGE(Y352,U352:W352)</f>
        <v>1.0110300419038918</v>
      </c>
      <c r="Z368" s="370">
        <f>AVERAGE(Y352:Z352,V352:W352)</f>
        <v>1.1148046378607099</v>
      </c>
      <c r="AA368" s="370">
        <f>AVERAGE(Y352:AA352,W352)</f>
        <v>0.93990443825991143</v>
      </c>
      <c r="AB368" s="370">
        <f>AVERAGE(Y352:AB352)</f>
        <v>1.1084414534618849</v>
      </c>
      <c r="AC368" s="355">
        <f>AB368</f>
        <v>1.1084414534618849</v>
      </c>
      <c r="AD368" s="370">
        <f>AVERAGE(AD352,Z352:AB352)</f>
        <v>1.1526834821219012</v>
      </c>
      <c r="AE368" s="370">
        <f>AVERAGE(AD352:AE352,AA352:AB352)</f>
        <v>1.1790965585822564</v>
      </c>
      <c r="AF368" s="370">
        <f>AVERAGE(AD352:AF352,AB352)</f>
        <v>1.0713224954484701</v>
      </c>
      <c r="AG368" s="370">
        <f>AVERAGE(AD352:AG352)</f>
        <v>0.99360796474604274</v>
      </c>
      <c r="AH368" s="355">
        <f>AG368</f>
        <v>0.99360796474604274</v>
      </c>
      <c r="AI368" s="370">
        <f>AVERAGE(AI352,AE352:AG352)</f>
        <v>0.87197256275461754</v>
      </c>
      <c r="AJ368" s="370">
        <f>AVERAGE(AI352:AJ352,AF352:AG352)</f>
        <v>0.75058708172135302</v>
      </c>
      <c r="AK368" s="370">
        <f>AVERAGE(AI352:AK352,AG352)</f>
        <v>1.0154634838878813</v>
      </c>
      <c r="AL368" s="370">
        <f>AVERAGE(AI352:AL352)</f>
        <v>0.9077907032858703</v>
      </c>
      <c r="AM368" s="355">
        <f>AL368</f>
        <v>0.9077907032858703</v>
      </c>
      <c r="AN368" s="370">
        <f>AVERAGE(AN352,AJ352:AL352)</f>
        <v>0.98492158462091095</v>
      </c>
      <c r="AO368" s="370">
        <f>IF(AO352=0,0,AVERAGE(AN352:AO352,AK352:AL352))</f>
        <v>0.95525820900200842</v>
      </c>
      <c r="AP368" s="370">
        <f>IF(AP352=0,0,AVERAGE(AN352:AP352,AL352))</f>
        <v>1.0578470252014638</v>
      </c>
      <c r="AQ368" s="370">
        <f>IF(AQ352=0,0,AVERAGE(AN352:AQ352))</f>
        <v>1.19377243721058</v>
      </c>
      <c r="AR368" s="355">
        <f>AQ368</f>
        <v>1.19377243721058</v>
      </c>
      <c r="AS368" s="370">
        <f>IF(AS352=0,0,AVERAGE(AS352,AO352:AQ352))</f>
        <v>1.0913417127121765</v>
      </c>
      <c r="AT368" s="370">
        <f>IF(AT352=0,0,AVERAGE(AS352:AT352,AP352:AQ352))</f>
        <v>1.1975439217181236</v>
      </c>
      <c r="AU368" s="370">
        <f>IF(AU352=0,0,AVERAGE(AS352:AU352,AQ352))</f>
        <v>1.1237371488635257</v>
      </c>
      <c r="AV368" s="370">
        <f>IF(AV352=0,0,AVERAGE(AS352:AV352))</f>
        <v>0.93885968843281187</v>
      </c>
      <c r="AW368" s="355">
        <f>AV368</f>
        <v>0.93885968843281187</v>
      </c>
      <c r="AX368" s="370">
        <f>IF(AX352=0,0,AVERAGE(AX352,AT352:AV352))</f>
        <v>1.0994211079190865</v>
      </c>
      <c r="AY368" s="370">
        <f>IF(AY352=0,0,AVERAGE(AX352:AY352,AU352:AV352))</f>
        <v>1.0729240225984717</v>
      </c>
      <c r="AZ368" s="370">
        <f>IF(AZ352=0,0,AVERAGE(AX352:AZ352,AV352))</f>
        <v>1.0368142116809669</v>
      </c>
      <c r="BA368" s="370">
        <f>IF(BA352=0,0,AVERAGE(AX352:BA352))</f>
        <v>1.0876530525553949</v>
      </c>
      <c r="BB368" s="355">
        <f t="shared" si="1475"/>
        <v>1.0791139240506329</v>
      </c>
      <c r="BC368" s="370">
        <f>IF(BC352=0,0,AVERAGE(BC352,AY352:BA352))</f>
        <v>0.93562218449786538</v>
      </c>
      <c r="BD368" s="370">
        <f>IF(BD352=0,0,AVERAGE(BC352:BD352,AZ352:BA352))</f>
        <v>1.0353257119853909</v>
      </c>
      <c r="BE368" s="370">
        <f>IF(BE352=0,0,AVERAGE(BC352:BE352,BA352))</f>
        <v>1.026834128113544</v>
      </c>
      <c r="BF368" s="370">
        <f>IF(BF352=0,0,AVERAGE(BC352:BF352))</f>
        <v>1.0158306069867835</v>
      </c>
      <c r="BG368" s="355">
        <f t="shared" si="1476"/>
        <v>1.0117481203007519</v>
      </c>
      <c r="BH368" s="370">
        <f>IF(BH352=0,0,AVERAGE(BH352,BD352:BF352))</f>
        <v>0.975280804976427</v>
      </c>
      <c r="BI368" s="370">
        <f>IF(BI352=0,0,AVERAGE(BH352:BI352,BE352:BF352))</f>
        <v>0.92811602947618299</v>
      </c>
      <c r="BJ368" s="370">
        <f>IF(BJ352=0,0,AVERAGE(BH352:BJ352,BF352))</f>
        <v>0.86306525924897026</v>
      </c>
      <c r="BK368" s="370">
        <f>IF(BK352=0,0,AVERAGE(BH352:BK352))</f>
        <v>0.88553667028398764</v>
      </c>
      <c r="BL368" s="355">
        <f t="shared" si="1477"/>
        <v>0.88754217168561789</v>
      </c>
      <c r="BM368" s="370">
        <f>IF(BM352=0,0,AVERAGE(BM352,BI352:BK352))</f>
        <v>1.011012475028001</v>
      </c>
      <c r="BN368" s="370">
        <f>IF(BN352=0,0,AVERAGE(BM352:BN352,BJ352:BK352))</f>
        <v>0.94627111795885754</v>
      </c>
      <c r="BO368" s="370">
        <f>IF(BO352=0,0,AVERAGE(BM352:BO352,BK352))</f>
        <v>0.9509099511624195</v>
      </c>
      <c r="BP368" s="370">
        <f>IF(BP352=0,0,AVERAGE(BM352:BP352))</f>
        <v>0.82429364774341551</v>
      </c>
      <c r="BQ368" s="657">
        <f t="shared" ref="BQ368" si="1486">BQ352</f>
        <v>0.80647658366662367</v>
      </c>
      <c r="BR368" s="370">
        <f>IF(BR352=0,0,AVERAGE(BR352,BN352:BP352))</f>
        <v>0.83857807846267862</v>
      </c>
      <c r="BS368" s="370">
        <f>IF(BS352=0,0,AVERAGE(BR352:BS352,BO352:BP352))</f>
        <v>0.72534406720769673</v>
      </c>
      <c r="BT368" s="370">
        <f>IF(BT352=0,0,AVERAGE(BR352:BT352,BP352))</f>
        <v>0.76058426856606154</v>
      </c>
      <c r="BU368" s="370">
        <f>IF(BU352=0,0,AVERAGE(BR352:BU352))</f>
        <v>0.68128823763236424</v>
      </c>
      <c r="BV368" s="657">
        <f t="shared" si="1479"/>
        <v>0.67357365881351117</v>
      </c>
      <c r="BW368" s="370">
        <f>IF(BW352=0,0,AVERAGE(BW352,BS352:BU352))</f>
        <v>0.73869479880338063</v>
      </c>
      <c r="BX368" s="370">
        <f>IF(BX352=0,0,AVERAGE(BW352:BX352,BT352:BU352))</f>
        <v>0.66661416354327652</v>
      </c>
      <c r="BY368" s="370"/>
      <c r="BZ368" s="370"/>
      <c r="CA368" s="657"/>
      <c r="CB368" s="370"/>
      <c r="CC368" s="370"/>
      <c r="CD368" s="370"/>
      <c r="CE368" s="370"/>
      <c r="CF368" s="657"/>
      <c r="CG368" s="370"/>
      <c r="CH368" s="370"/>
      <c r="CI368" s="370"/>
      <c r="CJ368" s="370"/>
      <c r="CK368" s="657"/>
      <c r="CL368" s="370"/>
      <c r="CM368" s="370"/>
      <c r="CN368" s="370"/>
      <c r="CO368" s="370"/>
      <c r="CP368" s="657"/>
      <c r="CQ368" s="370"/>
      <c r="CR368" s="370"/>
      <c r="CS368" s="370"/>
      <c r="CT368" s="370"/>
      <c r="CU368" s="657"/>
      <c r="CV368" s="370"/>
      <c r="CW368" s="370"/>
      <c r="CX368" s="370"/>
      <c r="CY368" s="370"/>
      <c r="CZ368" s="657"/>
      <c r="DA368" s="370"/>
      <c r="DB368" s="370"/>
      <c r="DC368" s="370"/>
      <c r="DD368" s="370"/>
      <c r="DE368" s="657"/>
      <c r="DF368" s="370"/>
      <c r="DG368" s="370"/>
      <c r="DH368" s="370"/>
      <c r="DI368" s="370"/>
      <c r="DJ368" s="657"/>
      <c r="DK368" s="370"/>
      <c r="DL368" s="370"/>
      <c r="DM368" s="370"/>
      <c r="DN368" s="370"/>
      <c r="DO368" s="657"/>
      <c r="DP368" s="370"/>
      <c r="DQ368" s="370"/>
      <c r="DR368" s="370"/>
      <c r="DS368" s="370"/>
      <c r="DT368" s="657"/>
      <c r="DU368" s="370"/>
      <c r="DV368" s="370"/>
      <c r="DW368" s="370"/>
      <c r="DX368" s="370"/>
      <c r="DY368" s="657"/>
      <c r="DZ368" s="657"/>
      <c r="EA368" s="657"/>
      <c r="EB368" s="657"/>
    </row>
    <row r="369" spans="2:132" s="241" customFormat="1" ht="12" hidden="1" customHeight="1">
      <c r="B369" s="312" t="s">
        <v>108</v>
      </c>
      <c r="C369" s="369"/>
      <c r="D369" s="355"/>
      <c r="E369" s="355"/>
      <c r="F369" s="355"/>
      <c r="G369" s="355"/>
      <c r="H369" s="355"/>
      <c r="I369" s="355"/>
      <c r="J369" s="356"/>
      <c r="K369" s="356"/>
      <c r="L369" s="356"/>
      <c r="M369" s="356"/>
      <c r="N369" s="355"/>
      <c r="O369" s="370"/>
      <c r="P369" s="370"/>
      <c r="Q369" s="370"/>
      <c r="R369" s="356"/>
      <c r="S369" s="355"/>
      <c r="T369" s="370">
        <f>AVERAGE(T353,P353:R353)</f>
        <v>0.92929292929292928</v>
      </c>
      <c r="U369" s="370">
        <f>AVERAGE(T353:U353,Q353:R353)</f>
        <v>0.97877075843177541</v>
      </c>
      <c r="V369" s="370">
        <f>AVERAGE(T353:V353,R353)</f>
        <v>0.99223112121625878</v>
      </c>
      <c r="W369" s="356">
        <f>AVERAGE(T353:W353)</f>
        <v>1.1175015302126057</v>
      </c>
      <c r="X369" s="355">
        <f>W369</f>
        <v>1.1175015302126057</v>
      </c>
      <c r="Y369" s="370">
        <f>AVERAGE(Y353,U353:W353)</f>
        <v>1.2140924393035146</v>
      </c>
      <c r="Z369" s="370">
        <f>AVERAGE(Y353:Z353,V353:W353)</f>
        <v>1.1835154409257107</v>
      </c>
      <c r="AA369" s="370">
        <f>AVERAGE(Y353:AA353,W353)</f>
        <v>1.1447749822744713</v>
      </c>
      <c r="AB369" s="356">
        <f>AVERAGE(Y353:AB353)</f>
        <v>1.0533530934587125</v>
      </c>
      <c r="AC369" s="355">
        <f>AB369</f>
        <v>1.0533530934587125</v>
      </c>
      <c r="AD369" s="370">
        <f>AVERAGE(AD353,Z353:AB353)</f>
        <v>1.1496920789057981</v>
      </c>
      <c r="AE369" s="370">
        <f>AVERAGE(AD353:AE353,AA353:AB353)</f>
        <v>1.1563168499619922</v>
      </c>
      <c r="AF369" s="370">
        <f>AVERAGE(AD353:AF353,AB353)</f>
        <v>1.0583569045206118</v>
      </c>
      <c r="AG369" s="356">
        <f>AVERAGE(AD353:AG353)</f>
        <v>1.1215646913375465</v>
      </c>
      <c r="AH369" s="355">
        <f>AG369</f>
        <v>1.1215646913375465</v>
      </c>
      <c r="AI369" s="370">
        <f>AVERAGE(AI353,AE353:AG353)</f>
        <v>1.0773401077834062</v>
      </c>
      <c r="AJ369" s="370">
        <f>AVERAGE(AI353:AJ353,AF353:AG353)</f>
        <v>1.103960041692214</v>
      </c>
      <c r="AK369" s="370">
        <f>AVERAGE(AI353:AK353,AG353)</f>
        <v>1.1671885263555783</v>
      </c>
      <c r="AL369" s="356">
        <f>AVERAGE(AI353:AL353)</f>
        <v>1.1567800792351355</v>
      </c>
      <c r="AM369" s="355">
        <f>AL369</f>
        <v>1.1567800792351355</v>
      </c>
      <c r="AN369" s="370">
        <f>AVERAGE(AN353,AJ353:AL353)</f>
        <v>1.0907832587196546</v>
      </c>
      <c r="AO369" s="370">
        <f>IF(AO353=0,0,AVERAGE(AN353:AO353,AK353:AL353))</f>
        <v>1.0078469630728903</v>
      </c>
      <c r="AP369" s="370">
        <f>IF(AP353=0,0,AVERAGE(AN353:AP353,AL353))</f>
        <v>1.1274342411183396</v>
      </c>
      <c r="AQ369" s="370">
        <f>IF(AQ353=0,0,AVERAGE(AN353:AQ353))</f>
        <v>1.2070584488459404</v>
      </c>
      <c r="AR369" s="355">
        <f>AQ369</f>
        <v>1.2070584488459404</v>
      </c>
      <c r="AS369" s="370">
        <f>IF(AS353=0,0,AVERAGE(AS353,AO353:AQ353))</f>
        <v>1.1686791780799211</v>
      </c>
      <c r="AT369" s="370">
        <f>IF(AT353=0,0,AVERAGE(AS353:AT353,AP353:AQ353))</f>
        <v>1.1273818034529386</v>
      </c>
      <c r="AU369" s="370">
        <f>IF(AU353=0,0,AVERAGE(AS353:AU353,AQ353))</f>
        <v>1.0637233810996221</v>
      </c>
      <c r="AV369" s="370">
        <f>IF(AV353=0,0,AVERAGE(AS353:AV353))</f>
        <v>0.92874774062727616</v>
      </c>
      <c r="AW369" s="355">
        <f>AV369</f>
        <v>0.92874774062727616</v>
      </c>
      <c r="AX369" s="370">
        <f>IF(AX353=0,0,AVERAGE(AX353,AT353:AV353))</f>
        <v>1.019466180620469</v>
      </c>
      <c r="AY369" s="370">
        <f>IF(AY353=0,0,AVERAGE(AX353:AY353,AU353:AV353))</f>
        <v>1.179947008908615</v>
      </c>
      <c r="AZ369" s="370">
        <f>IF(AZ353=0,0,AVERAGE(AX353:AZ353,AV353))</f>
        <v>1.132022499298946</v>
      </c>
      <c r="BA369" s="370">
        <f>IF(BA353=0,0,AVERAGE(AX353:BA353))</f>
        <v>1.2785697870252557</v>
      </c>
      <c r="BB369" s="355">
        <f t="shared" si="1475"/>
        <v>1.2893853455261026</v>
      </c>
      <c r="BC369" s="370">
        <f>IF(BC353=0,0,AVERAGE(BC353,AY353:BA353))</f>
        <v>1.1244522022088281</v>
      </c>
      <c r="BD369" s="370">
        <f>IF(BD353=0,0,AVERAGE(BC353:BD353,AZ353:BA353))</f>
        <v>1.0117492120668883</v>
      </c>
      <c r="BE369" s="370">
        <f>IF(BE353=0,0,AVERAGE(BC353:BE353,BA353))</f>
        <v>1.0504217814638528</v>
      </c>
      <c r="BF369" s="370">
        <f>IF(BF353=0,0,AVERAGE(BC353:BF353))</f>
        <v>0.92022412542363008</v>
      </c>
      <c r="BG369" s="355">
        <f t="shared" si="1476"/>
        <v>0.9199908560978397</v>
      </c>
      <c r="BH369" s="370">
        <f>IF(BH353=0,0,AVERAGE(BH353,BD353:BF353))</f>
        <v>1.076588043101661</v>
      </c>
      <c r="BI369" s="370">
        <f>IF(BI353=0,0,AVERAGE(BH353:BI353,BE353:BF353))</f>
        <v>1.1650154106382369</v>
      </c>
      <c r="BJ369" s="370">
        <f>IF(BJ353=0,0,AVERAGE(BH353:BJ353,BF353))</f>
        <v>1.1018798390135118</v>
      </c>
      <c r="BK369" s="370">
        <f>IF(BK353=0,0,AVERAGE(BH353:BK353))</f>
        <v>1.2011035361229097</v>
      </c>
      <c r="BL369" s="355">
        <f t="shared" si="1477"/>
        <v>1.2028397565922921</v>
      </c>
      <c r="BM369" s="370">
        <f>IF(BM353=0,0,AVERAGE(BM353,BI353:BK353))</f>
        <v>1.0814863112425268</v>
      </c>
      <c r="BN369" s="370">
        <f>IF(BN353=0,0,AVERAGE(BM353:BN353,BJ353:BK353))</f>
        <v>1.0125705691902764</v>
      </c>
      <c r="BO369" s="370">
        <f>IF(BO353=0,0,AVERAGE(BM353:BO353,BK353))</f>
        <v>1.1207334408954099</v>
      </c>
      <c r="BP369" s="370">
        <f>IF(BP353=0,0,AVERAGE(BM353:BP353))</f>
        <v>1.080289187338298</v>
      </c>
      <c r="BQ369" s="657">
        <f t="shared" ref="BQ369" si="1487">BQ353</f>
        <v>1.0983069361004916</v>
      </c>
      <c r="BR369" s="370">
        <f>IF(BR353=0,0,AVERAGE(BR353,BN353:BP353))</f>
        <v>1.0119831764093363</v>
      </c>
      <c r="BS369" s="370">
        <f>IF(BS353=0,0,AVERAGE(BR353:BS353,BO353:BP353))</f>
        <v>1.0382331689856958</v>
      </c>
      <c r="BT369" s="370">
        <f>IF(BT353=0,0,AVERAGE(BR353:BT353,BP353))</f>
        <v>0.6127786748023103</v>
      </c>
      <c r="BU369" s="370">
        <f>IF(BU353=0,0,AVERAGE(BR353:BU353))</f>
        <v>0.79482834341693653</v>
      </c>
      <c r="BV369" s="657">
        <f t="shared" si="1479"/>
        <v>0.77860521284089768</v>
      </c>
      <c r="BW369" s="370">
        <f>IF(BW353=0,0,AVERAGE(BW353,BS353:BU353))</f>
        <v>1.0132201176392088</v>
      </c>
      <c r="BX369" s="370">
        <f>IF(BX353=0,0,AVERAGE(BW353:BX353,BT353:BU353))</f>
        <v>1.0666801454705781</v>
      </c>
      <c r="BY369" s="370"/>
      <c r="BZ369" s="370"/>
      <c r="CA369" s="657"/>
      <c r="CB369" s="370"/>
      <c r="CC369" s="370"/>
      <c r="CD369" s="370"/>
      <c r="CE369" s="370"/>
      <c r="CF369" s="657"/>
      <c r="CG369" s="370"/>
      <c r="CH369" s="370"/>
      <c r="CI369" s="370"/>
      <c r="CJ369" s="370"/>
      <c r="CK369" s="657"/>
      <c r="CL369" s="370"/>
      <c r="CM369" s="370"/>
      <c r="CN369" s="370"/>
      <c r="CO369" s="370"/>
      <c r="CP369" s="657"/>
      <c r="CQ369" s="370"/>
      <c r="CR369" s="370"/>
      <c r="CS369" s="370"/>
      <c r="CT369" s="370"/>
      <c r="CU369" s="657"/>
      <c r="CV369" s="370"/>
      <c r="CW369" s="370"/>
      <c r="CX369" s="370"/>
      <c r="CY369" s="370"/>
      <c r="CZ369" s="657"/>
      <c r="DA369" s="370"/>
      <c r="DB369" s="370"/>
      <c r="DC369" s="370"/>
      <c r="DD369" s="370"/>
      <c r="DE369" s="657"/>
      <c r="DF369" s="370"/>
      <c r="DG369" s="370"/>
      <c r="DH369" s="370"/>
      <c r="DI369" s="370"/>
      <c r="DJ369" s="657"/>
      <c r="DK369" s="370"/>
      <c r="DL369" s="370"/>
      <c r="DM369" s="370"/>
      <c r="DN369" s="370"/>
      <c r="DO369" s="657"/>
      <c r="DP369" s="370"/>
      <c r="DQ369" s="370"/>
      <c r="DR369" s="370"/>
      <c r="DS369" s="370"/>
      <c r="DT369" s="657"/>
      <c r="DU369" s="370"/>
      <c r="DV369" s="370"/>
      <c r="DW369" s="370"/>
      <c r="DX369" s="370"/>
      <c r="DY369" s="657"/>
      <c r="DZ369" s="657"/>
      <c r="EA369" s="657"/>
      <c r="EB369" s="657"/>
    </row>
    <row r="370" spans="2:132" s="241" customFormat="1" ht="12" hidden="1" customHeight="1">
      <c r="B370" s="330" t="s">
        <v>130</v>
      </c>
      <c r="C370" s="371"/>
      <c r="D370" s="372"/>
      <c r="E370" s="372"/>
      <c r="F370" s="372"/>
      <c r="G370" s="372"/>
      <c r="H370" s="372"/>
      <c r="I370" s="372"/>
      <c r="J370" s="373"/>
      <c r="K370" s="373"/>
      <c r="L370" s="373"/>
      <c r="M370" s="373">
        <f>AVERAGE(J354:M354)</f>
        <v>0.91343176018282501</v>
      </c>
      <c r="N370" s="372">
        <f>M370</f>
        <v>0.91343176018282501</v>
      </c>
      <c r="O370" s="373">
        <f>AVERAGE(O354,K354:M354)</f>
        <v>1.2131385533166168</v>
      </c>
      <c r="P370" s="373">
        <f>AVERAGE(O354:P354,L354:M354)</f>
        <v>1.1308593334141754</v>
      </c>
      <c r="Q370" s="373">
        <f>AVERAGE(O354:Q354,M354)</f>
        <v>1.1027052708515979</v>
      </c>
      <c r="R370" s="373">
        <f>AVERAGE(O354:R354)</f>
        <v>1.0885413126509274</v>
      </c>
      <c r="S370" s="372">
        <f>R370</f>
        <v>1.0885413126509274</v>
      </c>
      <c r="T370" s="373"/>
      <c r="U370" s="373"/>
      <c r="V370" s="373"/>
      <c r="W370" s="373"/>
      <c r="X370" s="372"/>
      <c r="Y370" s="373"/>
      <c r="Z370" s="373"/>
      <c r="AA370" s="373"/>
      <c r="AB370" s="373"/>
      <c r="AC370" s="372"/>
      <c r="AD370" s="373"/>
      <c r="AE370" s="373"/>
      <c r="AF370" s="373"/>
      <c r="AG370" s="373"/>
      <c r="AH370" s="372"/>
      <c r="AI370" s="373"/>
      <c r="AJ370" s="373"/>
      <c r="AK370" s="373"/>
      <c r="AL370" s="373"/>
      <c r="AM370" s="372"/>
      <c r="AN370" s="373"/>
      <c r="AO370" s="373"/>
      <c r="AP370" s="373"/>
      <c r="AQ370" s="373"/>
      <c r="AR370" s="372"/>
      <c r="AS370" s="373"/>
      <c r="AT370" s="373"/>
      <c r="AU370" s="373"/>
      <c r="AV370" s="373"/>
      <c r="AW370" s="372"/>
      <c r="AX370" s="373"/>
      <c r="AY370" s="373"/>
      <c r="AZ370" s="373"/>
      <c r="BA370" s="373"/>
      <c r="BB370" s="372" t="str">
        <f t="shared" si="1475"/>
        <v/>
      </c>
      <c r="BC370" s="373"/>
      <c r="BD370" s="373"/>
      <c r="BE370" s="373"/>
      <c r="BF370" s="373"/>
      <c r="BG370" s="372" t="str">
        <f t="shared" si="1476"/>
        <v/>
      </c>
      <c r="BH370" s="373"/>
      <c r="BI370" s="373"/>
      <c r="BJ370" s="373"/>
      <c r="BK370" s="373"/>
      <c r="BL370" s="372" t="str">
        <f t="shared" si="1477"/>
        <v/>
      </c>
      <c r="BM370" s="373"/>
      <c r="BN370" s="373"/>
      <c r="BO370" s="373"/>
      <c r="BP370" s="373"/>
      <c r="BQ370" s="676" t="str">
        <f t="shared" ref="BQ370" si="1488">BQ354</f>
        <v/>
      </c>
      <c r="BR370" s="373"/>
      <c r="BS370" s="373"/>
      <c r="BT370" s="373"/>
      <c r="BU370" s="373"/>
      <c r="BV370" s="676" t="str">
        <f t="shared" si="1479"/>
        <v/>
      </c>
      <c r="BW370" s="373"/>
      <c r="BX370" s="373"/>
      <c r="BY370" s="373"/>
      <c r="BZ370" s="373"/>
      <c r="CA370" s="676" t="str">
        <f t="shared" ref="CA370:CA377" si="1489">CA354</f>
        <v/>
      </c>
      <c r="CB370" s="373"/>
      <c r="CC370" s="373"/>
      <c r="CD370" s="373"/>
      <c r="CE370" s="373"/>
      <c r="CF370" s="676" t="str">
        <f t="shared" ref="CF370:CF379" si="1490">CF354</f>
        <v/>
      </c>
      <c r="CG370" s="373"/>
      <c r="CH370" s="373"/>
      <c r="CI370" s="373"/>
      <c r="CJ370" s="373"/>
      <c r="CK370" s="676" t="str">
        <f t="shared" ref="CK370:CK379" si="1491">CK354</f>
        <v/>
      </c>
      <c r="CL370" s="373"/>
      <c r="CM370" s="373"/>
      <c r="CN370" s="373"/>
      <c r="CO370" s="373"/>
      <c r="CP370" s="676" t="str">
        <f t="shared" ref="CP370:CP379" si="1492">CP354</f>
        <v/>
      </c>
      <c r="CQ370" s="373"/>
      <c r="CR370" s="373"/>
      <c r="CS370" s="373"/>
      <c r="CT370" s="373"/>
      <c r="CU370" s="676" t="str">
        <f t="shared" ref="CU370:CU379" si="1493">CU354</f>
        <v/>
      </c>
      <c r="CV370" s="373"/>
      <c r="CW370" s="373"/>
      <c r="CX370" s="373"/>
      <c r="CY370" s="373"/>
      <c r="CZ370" s="676" t="str">
        <f t="shared" ref="CZ370:CZ379" si="1494">CZ354</f>
        <v/>
      </c>
      <c r="DA370" s="373"/>
      <c r="DB370" s="373"/>
      <c r="DC370" s="373"/>
      <c r="DD370" s="373"/>
      <c r="DE370" s="676" t="str">
        <f t="shared" ref="DE370:DE379" si="1495">DE354</f>
        <v/>
      </c>
      <c r="DF370" s="373"/>
      <c r="DG370" s="373"/>
      <c r="DH370" s="373"/>
      <c r="DI370" s="373"/>
      <c r="DJ370" s="676" t="str">
        <f t="shared" ref="DJ370" si="1496">DJ354</f>
        <v/>
      </c>
      <c r="DK370" s="373"/>
      <c r="DL370" s="373"/>
      <c r="DM370" s="373"/>
      <c r="DN370" s="373"/>
      <c r="DO370" s="676" t="str">
        <f t="shared" ref="DO370" si="1497">DO354</f>
        <v/>
      </c>
      <c r="DP370" s="373"/>
      <c r="DQ370" s="373"/>
      <c r="DR370" s="373"/>
      <c r="DS370" s="373"/>
      <c r="DT370" s="676" t="str">
        <f t="shared" ref="DT370:DT379" si="1498">DT354</f>
        <v/>
      </c>
      <c r="DU370" s="373"/>
      <c r="DV370" s="373"/>
      <c r="DW370" s="373"/>
      <c r="DX370" s="373"/>
      <c r="DY370" s="676" t="str">
        <f t="shared" ref="DY370:DY379" si="1499">DY354</f>
        <v/>
      </c>
      <c r="DZ370" s="676" t="str">
        <f t="shared" ref="DZ370:EB370" si="1500">DZ354</f>
        <v/>
      </c>
      <c r="EA370" s="676" t="str">
        <f t="shared" si="1500"/>
        <v/>
      </c>
      <c r="EB370" s="676" t="str">
        <f t="shared" si="1500"/>
        <v/>
      </c>
    </row>
    <row r="371" spans="2:132" s="241" customFormat="1" ht="12" hidden="1" customHeight="1">
      <c r="B371" s="335" t="s">
        <v>131</v>
      </c>
      <c r="C371" s="369"/>
      <c r="D371" s="355"/>
      <c r="E371" s="355"/>
      <c r="F371" s="355"/>
      <c r="G371" s="355"/>
      <c r="H371" s="355"/>
      <c r="I371" s="355"/>
      <c r="J371" s="356"/>
      <c r="K371" s="356"/>
      <c r="L371" s="356"/>
      <c r="M371" s="356">
        <f>AVERAGE(J355:M355)</f>
        <v>0.88911881374406798</v>
      </c>
      <c r="N371" s="355">
        <f>M371</f>
        <v>0.88911881374406798</v>
      </c>
      <c r="O371" s="356">
        <f>AVERAGE(O355,K355:M355)</f>
        <v>0.95154106860722676</v>
      </c>
      <c r="P371" s="356">
        <f>AVERAGE(O355:P355,L355:M355)</f>
        <v>0.77378257347370205</v>
      </c>
      <c r="Q371" s="356">
        <f>AVERAGE(O355:Q355,M355)</f>
        <v>0.73720590324079505</v>
      </c>
      <c r="R371" s="356">
        <f>AVERAGE(O355:R355)</f>
        <v>0.64123103916926483</v>
      </c>
      <c r="S371" s="355">
        <f>R371</f>
        <v>0.64123103916926483</v>
      </c>
      <c r="T371" s="356"/>
      <c r="U371" s="356"/>
      <c r="V371" s="356"/>
      <c r="W371" s="356"/>
      <c r="X371" s="355"/>
      <c r="Y371" s="356"/>
      <c r="Z371" s="356"/>
      <c r="AA371" s="356"/>
      <c r="AB371" s="356"/>
      <c r="AC371" s="355"/>
      <c r="AD371" s="356"/>
      <c r="AE371" s="356"/>
      <c r="AF371" s="356"/>
      <c r="AG371" s="356"/>
      <c r="AH371" s="355"/>
      <c r="AI371" s="356"/>
      <c r="AJ371" s="356"/>
      <c r="AK371" s="356"/>
      <c r="AL371" s="356"/>
      <c r="AM371" s="355"/>
      <c r="AN371" s="356"/>
      <c r="AO371" s="356"/>
      <c r="AP371" s="356"/>
      <c r="AQ371" s="356"/>
      <c r="AR371" s="355"/>
      <c r="AS371" s="356"/>
      <c r="AT371" s="356"/>
      <c r="AU371" s="356"/>
      <c r="AV371" s="356"/>
      <c r="AW371" s="355"/>
      <c r="AX371" s="356"/>
      <c r="AY371" s="356"/>
      <c r="AZ371" s="356"/>
      <c r="BA371" s="356"/>
      <c r="BB371" s="355" t="str">
        <f t="shared" si="1475"/>
        <v/>
      </c>
      <c r="BC371" s="356"/>
      <c r="BD371" s="356"/>
      <c r="BE371" s="356"/>
      <c r="BF371" s="356"/>
      <c r="BG371" s="355" t="str">
        <f t="shared" si="1476"/>
        <v/>
      </c>
      <c r="BH371" s="356"/>
      <c r="BI371" s="356"/>
      <c r="BJ371" s="356"/>
      <c r="BK371" s="356"/>
      <c r="BL371" s="355" t="str">
        <f t="shared" si="1477"/>
        <v/>
      </c>
      <c r="BM371" s="356"/>
      <c r="BN371" s="356"/>
      <c r="BO371" s="356"/>
      <c r="BP371" s="356"/>
      <c r="BQ371" s="657" t="str">
        <f t="shared" ref="BQ371" si="1501">BQ355</f>
        <v/>
      </c>
      <c r="BR371" s="356"/>
      <c r="BS371" s="356"/>
      <c r="BT371" s="356"/>
      <c r="BU371" s="356"/>
      <c r="BV371" s="657" t="str">
        <f t="shared" si="1479"/>
        <v/>
      </c>
      <c r="BW371" s="356"/>
      <c r="BX371" s="356"/>
      <c r="BY371" s="356"/>
      <c r="BZ371" s="356"/>
      <c r="CA371" s="657" t="str">
        <f t="shared" si="1489"/>
        <v/>
      </c>
      <c r="CB371" s="356"/>
      <c r="CC371" s="356"/>
      <c r="CD371" s="356"/>
      <c r="CE371" s="356"/>
      <c r="CF371" s="657" t="str">
        <f t="shared" si="1490"/>
        <v/>
      </c>
      <c r="CG371" s="356"/>
      <c r="CH371" s="356"/>
      <c r="CI371" s="356"/>
      <c r="CJ371" s="356"/>
      <c r="CK371" s="657" t="str">
        <f t="shared" si="1491"/>
        <v/>
      </c>
      <c r="CL371" s="356"/>
      <c r="CM371" s="356"/>
      <c r="CN371" s="356"/>
      <c r="CO371" s="356"/>
      <c r="CP371" s="657" t="str">
        <f t="shared" si="1492"/>
        <v/>
      </c>
      <c r="CQ371" s="356"/>
      <c r="CR371" s="356"/>
      <c r="CS371" s="356"/>
      <c r="CT371" s="356"/>
      <c r="CU371" s="657" t="str">
        <f t="shared" si="1493"/>
        <v/>
      </c>
      <c r="CV371" s="356"/>
      <c r="CW371" s="356"/>
      <c r="CX371" s="356"/>
      <c r="CY371" s="356"/>
      <c r="CZ371" s="657" t="str">
        <f t="shared" si="1494"/>
        <v/>
      </c>
      <c r="DA371" s="356"/>
      <c r="DB371" s="356"/>
      <c r="DC371" s="356"/>
      <c r="DD371" s="356"/>
      <c r="DE371" s="657" t="str">
        <f t="shared" si="1495"/>
        <v/>
      </c>
      <c r="DF371" s="356"/>
      <c r="DG371" s="356"/>
      <c r="DH371" s="356"/>
      <c r="DI371" s="356"/>
      <c r="DJ371" s="657" t="str">
        <f t="shared" ref="DJ371" si="1502">DJ355</f>
        <v/>
      </c>
      <c r="DK371" s="356"/>
      <c r="DL371" s="356"/>
      <c r="DM371" s="356"/>
      <c r="DN371" s="356"/>
      <c r="DO371" s="657" t="str">
        <f t="shared" ref="DO371" si="1503">DO355</f>
        <v/>
      </c>
      <c r="DP371" s="356"/>
      <c r="DQ371" s="356"/>
      <c r="DR371" s="356"/>
      <c r="DS371" s="356"/>
      <c r="DT371" s="657" t="str">
        <f t="shared" si="1498"/>
        <v/>
      </c>
      <c r="DU371" s="356"/>
      <c r="DV371" s="356"/>
      <c r="DW371" s="356"/>
      <c r="DX371" s="356"/>
      <c r="DY371" s="657" t="str">
        <f t="shared" si="1499"/>
        <v/>
      </c>
      <c r="DZ371" s="657" t="str">
        <f t="shared" ref="DZ371:EB371" si="1504">DZ355</f>
        <v/>
      </c>
      <c r="EA371" s="657" t="str">
        <f t="shared" si="1504"/>
        <v/>
      </c>
      <c r="EB371" s="657" t="str">
        <f t="shared" si="1504"/>
        <v/>
      </c>
    </row>
    <row r="372" spans="2:132" s="241" customFormat="1" ht="12" hidden="1" customHeight="1">
      <c r="B372" s="335" t="s">
        <v>125</v>
      </c>
      <c r="C372" s="369"/>
      <c r="D372" s="355"/>
      <c r="E372" s="355"/>
      <c r="F372" s="355"/>
      <c r="G372" s="355"/>
      <c r="H372" s="355"/>
      <c r="I372" s="355"/>
      <c r="J372" s="356"/>
      <c r="K372" s="356"/>
      <c r="L372" s="356"/>
      <c r="M372" s="356">
        <f>AVERAGE(J356:M356)</f>
        <v>1.1094628827201658</v>
      </c>
      <c r="N372" s="355">
        <f>M372</f>
        <v>1.1094628827201658</v>
      </c>
      <c r="O372" s="356">
        <f>AVERAGE(O356,K356:M356)</f>
        <v>1.0270554753127585</v>
      </c>
      <c r="P372" s="356">
        <f>AVERAGE(O356:P356,L356:M356)</f>
        <v>1.1234044962085701</v>
      </c>
      <c r="Q372" s="356">
        <f>AVERAGE(O356:Q356,M356)</f>
        <v>1.0813297201106251</v>
      </c>
      <c r="R372" s="356">
        <f>AVERAGE(O356:R356)</f>
        <v>1.2943813046385637</v>
      </c>
      <c r="S372" s="355">
        <f>R372</f>
        <v>1.2943813046385637</v>
      </c>
      <c r="T372" s="356"/>
      <c r="U372" s="356"/>
      <c r="V372" s="356"/>
      <c r="W372" s="356"/>
      <c r="X372" s="355"/>
      <c r="Y372" s="356"/>
      <c r="Z372" s="356"/>
      <c r="AA372" s="356"/>
      <c r="AB372" s="356"/>
      <c r="AC372" s="355"/>
      <c r="AD372" s="356"/>
      <c r="AE372" s="356"/>
      <c r="AF372" s="356"/>
      <c r="AG372" s="356"/>
      <c r="AH372" s="355"/>
      <c r="AI372" s="356"/>
      <c r="AJ372" s="356"/>
      <c r="AK372" s="356"/>
      <c r="AL372" s="356"/>
      <c r="AM372" s="355"/>
      <c r="AN372" s="356"/>
      <c r="AO372" s="356"/>
      <c r="AP372" s="356"/>
      <c r="AQ372" s="356"/>
      <c r="AR372" s="355"/>
      <c r="AS372" s="356"/>
      <c r="AT372" s="356"/>
      <c r="AU372" s="356"/>
      <c r="AV372" s="356"/>
      <c r="AW372" s="355"/>
      <c r="AX372" s="356"/>
      <c r="AY372" s="356"/>
      <c r="AZ372" s="356"/>
      <c r="BA372" s="356"/>
      <c r="BB372" s="355" t="str">
        <f t="shared" si="1475"/>
        <v/>
      </c>
      <c r="BC372" s="356"/>
      <c r="BD372" s="356"/>
      <c r="BE372" s="356"/>
      <c r="BF372" s="356"/>
      <c r="BG372" s="355" t="str">
        <f t="shared" si="1476"/>
        <v/>
      </c>
      <c r="BH372" s="356"/>
      <c r="BI372" s="356"/>
      <c r="BJ372" s="356"/>
      <c r="BK372" s="356"/>
      <c r="BL372" s="355" t="str">
        <f t="shared" si="1477"/>
        <v/>
      </c>
      <c r="BM372" s="356"/>
      <c r="BN372" s="356"/>
      <c r="BO372" s="356"/>
      <c r="BP372" s="356"/>
      <c r="BQ372" s="657" t="str">
        <f t="shared" ref="BQ372" si="1505">BQ356</f>
        <v/>
      </c>
      <c r="BR372" s="356"/>
      <c r="BS372" s="356"/>
      <c r="BT372" s="356"/>
      <c r="BU372" s="356"/>
      <c r="BV372" s="657" t="str">
        <f t="shared" si="1479"/>
        <v/>
      </c>
      <c r="BW372" s="356"/>
      <c r="BX372" s="356"/>
      <c r="BY372" s="356"/>
      <c r="BZ372" s="356"/>
      <c r="CA372" s="657" t="str">
        <f t="shared" si="1489"/>
        <v/>
      </c>
      <c r="CB372" s="356"/>
      <c r="CC372" s="356"/>
      <c r="CD372" s="356"/>
      <c r="CE372" s="356"/>
      <c r="CF372" s="657" t="str">
        <f t="shared" si="1490"/>
        <v/>
      </c>
      <c r="CG372" s="356"/>
      <c r="CH372" s="356"/>
      <c r="CI372" s="356"/>
      <c r="CJ372" s="356"/>
      <c r="CK372" s="657" t="str">
        <f t="shared" si="1491"/>
        <v/>
      </c>
      <c r="CL372" s="356"/>
      <c r="CM372" s="356"/>
      <c r="CN372" s="356"/>
      <c r="CO372" s="356"/>
      <c r="CP372" s="657" t="str">
        <f t="shared" si="1492"/>
        <v/>
      </c>
      <c r="CQ372" s="356"/>
      <c r="CR372" s="356"/>
      <c r="CS372" s="356"/>
      <c r="CT372" s="356"/>
      <c r="CU372" s="657" t="str">
        <f t="shared" si="1493"/>
        <v/>
      </c>
      <c r="CV372" s="356"/>
      <c r="CW372" s="356"/>
      <c r="CX372" s="356"/>
      <c r="CY372" s="356"/>
      <c r="CZ372" s="657" t="str">
        <f t="shared" si="1494"/>
        <v/>
      </c>
      <c r="DA372" s="356"/>
      <c r="DB372" s="356"/>
      <c r="DC372" s="356"/>
      <c r="DD372" s="356"/>
      <c r="DE372" s="657" t="str">
        <f t="shared" si="1495"/>
        <v/>
      </c>
      <c r="DF372" s="356"/>
      <c r="DG372" s="356"/>
      <c r="DH372" s="356"/>
      <c r="DI372" s="356"/>
      <c r="DJ372" s="657" t="str">
        <f t="shared" ref="DJ372" si="1506">DJ356</f>
        <v/>
      </c>
      <c r="DK372" s="356"/>
      <c r="DL372" s="356"/>
      <c r="DM372" s="356"/>
      <c r="DN372" s="356"/>
      <c r="DO372" s="657" t="str">
        <f t="shared" ref="DO372" si="1507">DO356</f>
        <v/>
      </c>
      <c r="DP372" s="356"/>
      <c r="DQ372" s="356"/>
      <c r="DR372" s="356"/>
      <c r="DS372" s="356"/>
      <c r="DT372" s="657" t="str">
        <f t="shared" si="1498"/>
        <v/>
      </c>
      <c r="DU372" s="356"/>
      <c r="DV372" s="356"/>
      <c r="DW372" s="356"/>
      <c r="DX372" s="356"/>
      <c r="DY372" s="657" t="str">
        <f t="shared" si="1499"/>
        <v/>
      </c>
      <c r="DZ372" s="657" t="str">
        <f t="shared" ref="DZ372:EB372" si="1508">DZ356</f>
        <v/>
      </c>
      <c r="EA372" s="657" t="str">
        <f t="shared" si="1508"/>
        <v/>
      </c>
      <c r="EB372" s="657" t="str">
        <f t="shared" si="1508"/>
        <v/>
      </c>
    </row>
    <row r="373" spans="2:132" s="241" customFormat="1" ht="12" hidden="1" customHeight="1">
      <c r="B373" s="318" t="s">
        <v>132</v>
      </c>
      <c r="C373" s="374"/>
      <c r="D373" s="375"/>
      <c r="E373" s="375"/>
      <c r="F373" s="375"/>
      <c r="G373" s="375"/>
      <c r="H373" s="375"/>
      <c r="I373" s="375"/>
      <c r="J373" s="376"/>
      <c r="K373" s="376"/>
      <c r="L373" s="376"/>
      <c r="M373" s="376">
        <f>AVERAGE(J357:M357)</f>
        <v>1.0475514130020858</v>
      </c>
      <c r="N373" s="375">
        <f>M373</f>
        <v>1.0475514130020858</v>
      </c>
      <c r="O373" s="376">
        <f>AVERAGE(O357,K357:M357)</f>
        <v>1.2149523722376601</v>
      </c>
      <c r="P373" s="376">
        <f>AVERAGE(O357:P357,L357:M357)</f>
        <v>1.2690184585059625</v>
      </c>
      <c r="Q373" s="376">
        <f>AVERAGE(O357:Q357,M357)</f>
        <v>0.77932635895657509</v>
      </c>
      <c r="R373" s="376">
        <f>AVERAGE(O357:R357)</f>
        <v>0.30997549606685204</v>
      </c>
      <c r="S373" s="375">
        <f>R373</f>
        <v>0.30997549606685204</v>
      </c>
      <c r="T373" s="376"/>
      <c r="U373" s="376"/>
      <c r="V373" s="376"/>
      <c r="W373" s="376"/>
      <c r="X373" s="375"/>
      <c r="Y373" s="376"/>
      <c r="Z373" s="376"/>
      <c r="AA373" s="376"/>
      <c r="AB373" s="376"/>
      <c r="AC373" s="375"/>
      <c r="AD373" s="376"/>
      <c r="AE373" s="376"/>
      <c r="AF373" s="376"/>
      <c r="AG373" s="376"/>
      <c r="AH373" s="375"/>
      <c r="AI373" s="376"/>
      <c r="AJ373" s="376"/>
      <c r="AK373" s="376"/>
      <c r="AL373" s="376"/>
      <c r="AM373" s="375"/>
      <c r="AN373" s="376"/>
      <c r="AO373" s="376"/>
      <c r="AP373" s="376"/>
      <c r="AQ373" s="376"/>
      <c r="AR373" s="375"/>
      <c r="AS373" s="376"/>
      <c r="AT373" s="376"/>
      <c r="AU373" s="376"/>
      <c r="AV373" s="376"/>
      <c r="AW373" s="375"/>
      <c r="AX373" s="376"/>
      <c r="AY373" s="376"/>
      <c r="AZ373" s="376"/>
      <c r="BA373" s="376"/>
      <c r="BB373" s="375" t="str">
        <f t="shared" si="1475"/>
        <v/>
      </c>
      <c r="BC373" s="376"/>
      <c r="BD373" s="376"/>
      <c r="BE373" s="376"/>
      <c r="BF373" s="376"/>
      <c r="BG373" s="375" t="str">
        <f t="shared" si="1476"/>
        <v/>
      </c>
      <c r="BH373" s="376"/>
      <c r="BI373" s="376"/>
      <c r="BJ373" s="376"/>
      <c r="BK373" s="376"/>
      <c r="BL373" s="375" t="str">
        <f t="shared" si="1477"/>
        <v/>
      </c>
      <c r="BM373" s="376"/>
      <c r="BN373" s="376"/>
      <c r="BO373" s="376"/>
      <c r="BP373" s="376"/>
      <c r="BQ373" s="678" t="str">
        <f t="shared" ref="BQ373" si="1509">BQ357</f>
        <v/>
      </c>
      <c r="BR373" s="376"/>
      <c r="BS373" s="376"/>
      <c r="BT373" s="376"/>
      <c r="BU373" s="376"/>
      <c r="BV373" s="678" t="str">
        <f t="shared" si="1479"/>
        <v/>
      </c>
      <c r="BW373" s="376"/>
      <c r="BX373" s="376"/>
      <c r="BY373" s="376"/>
      <c r="BZ373" s="376"/>
      <c r="CA373" s="678" t="str">
        <f t="shared" si="1489"/>
        <v/>
      </c>
      <c r="CB373" s="376"/>
      <c r="CC373" s="376"/>
      <c r="CD373" s="376"/>
      <c r="CE373" s="376"/>
      <c r="CF373" s="678" t="str">
        <f t="shared" si="1490"/>
        <v/>
      </c>
      <c r="CG373" s="376"/>
      <c r="CH373" s="376"/>
      <c r="CI373" s="376"/>
      <c r="CJ373" s="376"/>
      <c r="CK373" s="678" t="str">
        <f t="shared" si="1491"/>
        <v/>
      </c>
      <c r="CL373" s="376"/>
      <c r="CM373" s="376"/>
      <c r="CN373" s="376"/>
      <c r="CO373" s="376"/>
      <c r="CP373" s="678" t="str">
        <f t="shared" si="1492"/>
        <v/>
      </c>
      <c r="CQ373" s="376"/>
      <c r="CR373" s="376"/>
      <c r="CS373" s="376"/>
      <c r="CT373" s="376"/>
      <c r="CU373" s="678" t="str">
        <f t="shared" si="1493"/>
        <v/>
      </c>
      <c r="CV373" s="376"/>
      <c r="CW373" s="376"/>
      <c r="CX373" s="376"/>
      <c r="CY373" s="376"/>
      <c r="CZ373" s="678" t="str">
        <f t="shared" si="1494"/>
        <v/>
      </c>
      <c r="DA373" s="376"/>
      <c r="DB373" s="376"/>
      <c r="DC373" s="376"/>
      <c r="DD373" s="376"/>
      <c r="DE373" s="678" t="str">
        <f t="shared" si="1495"/>
        <v/>
      </c>
      <c r="DF373" s="376"/>
      <c r="DG373" s="376"/>
      <c r="DH373" s="376"/>
      <c r="DI373" s="376"/>
      <c r="DJ373" s="678" t="str">
        <f t="shared" ref="DJ373" si="1510">DJ357</f>
        <v/>
      </c>
      <c r="DK373" s="376"/>
      <c r="DL373" s="376"/>
      <c r="DM373" s="376"/>
      <c r="DN373" s="376"/>
      <c r="DO373" s="678" t="str">
        <f t="shared" ref="DO373" si="1511">DO357</f>
        <v/>
      </c>
      <c r="DP373" s="376"/>
      <c r="DQ373" s="376"/>
      <c r="DR373" s="376"/>
      <c r="DS373" s="376"/>
      <c r="DT373" s="678" t="str">
        <f t="shared" si="1498"/>
        <v/>
      </c>
      <c r="DU373" s="376"/>
      <c r="DV373" s="376"/>
      <c r="DW373" s="376"/>
      <c r="DX373" s="376"/>
      <c r="DY373" s="678" t="str">
        <f t="shared" si="1499"/>
        <v/>
      </c>
      <c r="DZ373" s="678" t="str">
        <f t="shared" ref="DZ373:EB373" si="1512">DZ357</f>
        <v/>
      </c>
      <c r="EA373" s="678" t="str">
        <f t="shared" si="1512"/>
        <v/>
      </c>
      <c r="EB373" s="678" t="str">
        <f t="shared" si="1512"/>
        <v/>
      </c>
    </row>
    <row r="374" spans="2:132" s="241" customFormat="1" ht="12" hidden="1" customHeight="1">
      <c r="B374" s="335" t="s">
        <v>133</v>
      </c>
      <c r="C374" s="369"/>
      <c r="D374" s="355"/>
      <c r="E374" s="355">
        <f t="shared" ref="E374:H376" si="1513">E358</f>
        <v>0.89230769230769236</v>
      </c>
      <c r="F374" s="355">
        <f t="shared" si="1513"/>
        <v>1.1165860457489547</v>
      </c>
      <c r="G374" s="355">
        <f t="shared" si="1513"/>
        <v>1.0415227692554816</v>
      </c>
      <c r="H374" s="355">
        <f t="shared" si="1513"/>
        <v>1.2461043602573267</v>
      </c>
      <c r="I374" s="355"/>
      <c r="J374" s="356"/>
      <c r="K374" s="356"/>
      <c r="L374" s="356"/>
      <c r="M374" s="356"/>
      <c r="N374" s="355"/>
      <c r="O374" s="356"/>
      <c r="P374" s="356"/>
      <c r="Q374" s="356"/>
      <c r="R374" s="356"/>
      <c r="S374" s="355"/>
      <c r="T374" s="356"/>
      <c r="U374" s="356"/>
      <c r="V374" s="356"/>
      <c r="W374" s="356"/>
      <c r="X374" s="355"/>
      <c r="Y374" s="356"/>
      <c r="Z374" s="356"/>
      <c r="AA374" s="356"/>
      <c r="AB374" s="356"/>
      <c r="AC374" s="355"/>
      <c r="AD374" s="356"/>
      <c r="AE374" s="356"/>
      <c r="AF374" s="356"/>
      <c r="AG374" s="356"/>
      <c r="AH374" s="355"/>
      <c r="AI374" s="356"/>
      <c r="AJ374" s="356"/>
      <c r="AK374" s="356"/>
      <c r="AL374" s="356"/>
      <c r="AM374" s="355"/>
      <c r="AN374" s="356"/>
      <c r="AO374" s="356"/>
      <c r="AP374" s="356"/>
      <c r="AQ374" s="356"/>
      <c r="AR374" s="355"/>
      <c r="AS374" s="356"/>
      <c r="AT374" s="356"/>
      <c r="AU374" s="356"/>
      <c r="AV374" s="356"/>
      <c r="AW374" s="355"/>
      <c r="AX374" s="356"/>
      <c r="AY374" s="356"/>
      <c r="AZ374" s="356"/>
      <c r="BA374" s="356"/>
      <c r="BB374" s="355" t="str">
        <f t="shared" si="1475"/>
        <v/>
      </c>
      <c r="BC374" s="356"/>
      <c r="BD374" s="356"/>
      <c r="BE374" s="356"/>
      <c r="BF374" s="356"/>
      <c r="BG374" s="355" t="str">
        <f t="shared" si="1476"/>
        <v/>
      </c>
      <c r="BH374" s="356"/>
      <c r="BI374" s="356"/>
      <c r="BJ374" s="356"/>
      <c r="BK374" s="356"/>
      <c r="BL374" s="355" t="str">
        <f t="shared" si="1477"/>
        <v/>
      </c>
      <c r="BM374" s="356"/>
      <c r="BN374" s="356"/>
      <c r="BO374" s="356"/>
      <c r="BP374" s="356"/>
      <c r="BQ374" s="657" t="str">
        <f t="shared" ref="BQ374" si="1514">BQ358</f>
        <v/>
      </c>
      <c r="BR374" s="356"/>
      <c r="BS374" s="356"/>
      <c r="BT374" s="356"/>
      <c r="BU374" s="356"/>
      <c r="BV374" s="657" t="str">
        <f t="shared" si="1479"/>
        <v/>
      </c>
      <c r="BW374" s="356"/>
      <c r="BX374" s="356"/>
      <c r="BY374" s="356"/>
      <c r="BZ374" s="356"/>
      <c r="CA374" s="657" t="str">
        <f t="shared" si="1489"/>
        <v/>
      </c>
      <c r="CB374" s="356"/>
      <c r="CC374" s="356"/>
      <c r="CD374" s="356"/>
      <c r="CE374" s="356"/>
      <c r="CF374" s="657" t="str">
        <f t="shared" si="1490"/>
        <v/>
      </c>
      <c r="CG374" s="356"/>
      <c r="CH374" s="356"/>
      <c r="CI374" s="356"/>
      <c r="CJ374" s="356"/>
      <c r="CK374" s="657" t="str">
        <f t="shared" si="1491"/>
        <v/>
      </c>
      <c r="CL374" s="356"/>
      <c r="CM374" s="356"/>
      <c r="CN374" s="356"/>
      <c r="CO374" s="356"/>
      <c r="CP374" s="657" t="str">
        <f t="shared" si="1492"/>
        <v/>
      </c>
      <c r="CQ374" s="356"/>
      <c r="CR374" s="356"/>
      <c r="CS374" s="356"/>
      <c r="CT374" s="356"/>
      <c r="CU374" s="657" t="str">
        <f t="shared" si="1493"/>
        <v/>
      </c>
      <c r="CV374" s="356"/>
      <c r="CW374" s="356"/>
      <c r="CX374" s="356"/>
      <c r="CY374" s="356"/>
      <c r="CZ374" s="657" t="str">
        <f t="shared" si="1494"/>
        <v/>
      </c>
      <c r="DA374" s="356"/>
      <c r="DB374" s="356"/>
      <c r="DC374" s="356"/>
      <c r="DD374" s="356"/>
      <c r="DE374" s="657" t="str">
        <f t="shared" si="1495"/>
        <v/>
      </c>
      <c r="DF374" s="356"/>
      <c r="DG374" s="356"/>
      <c r="DH374" s="356"/>
      <c r="DI374" s="356"/>
      <c r="DJ374" s="657" t="str">
        <f t="shared" ref="DJ374" si="1515">DJ358</f>
        <v/>
      </c>
      <c r="DK374" s="356"/>
      <c r="DL374" s="356"/>
      <c r="DM374" s="356"/>
      <c r="DN374" s="356"/>
      <c r="DO374" s="657" t="str">
        <f t="shared" ref="DO374" si="1516">DO358</f>
        <v/>
      </c>
      <c r="DP374" s="356"/>
      <c r="DQ374" s="356"/>
      <c r="DR374" s="356"/>
      <c r="DS374" s="356"/>
      <c r="DT374" s="657" t="str">
        <f t="shared" si="1498"/>
        <v/>
      </c>
      <c r="DU374" s="356"/>
      <c r="DV374" s="356"/>
      <c r="DW374" s="356"/>
      <c r="DX374" s="356"/>
      <c r="DY374" s="657" t="str">
        <f t="shared" si="1499"/>
        <v/>
      </c>
      <c r="DZ374" s="657" t="str">
        <f t="shared" ref="DZ374:EB374" si="1517">DZ358</f>
        <v/>
      </c>
      <c r="EA374" s="657" t="str">
        <f t="shared" si="1517"/>
        <v/>
      </c>
      <c r="EB374" s="657" t="str">
        <f t="shared" si="1517"/>
        <v/>
      </c>
    </row>
    <row r="375" spans="2:132" s="241" customFormat="1" ht="12" hidden="1" customHeight="1">
      <c r="B375" s="318" t="s">
        <v>134</v>
      </c>
      <c r="C375" s="374"/>
      <c r="D375" s="375"/>
      <c r="E375" s="375">
        <f t="shared" si="1513"/>
        <v>1.1102327624066755</v>
      </c>
      <c r="F375" s="375">
        <f t="shared" si="1513"/>
        <v>1.3883567607911431</v>
      </c>
      <c r="G375" s="375">
        <f t="shared" si="1513"/>
        <v>0.94249324585102279</v>
      </c>
      <c r="H375" s="375">
        <f t="shared" si="1513"/>
        <v>1.1668642290507887</v>
      </c>
      <c r="I375" s="375"/>
      <c r="J375" s="376"/>
      <c r="K375" s="376"/>
      <c r="L375" s="376"/>
      <c r="M375" s="376"/>
      <c r="N375" s="375"/>
      <c r="O375" s="376"/>
      <c r="P375" s="376"/>
      <c r="Q375" s="376"/>
      <c r="R375" s="376"/>
      <c r="S375" s="375"/>
      <c r="T375" s="376"/>
      <c r="U375" s="376"/>
      <c r="V375" s="376"/>
      <c r="W375" s="376"/>
      <c r="X375" s="375"/>
      <c r="Y375" s="376"/>
      <c r="Z375" s="376"/>
      <c r="AA375" s="376"/>
      <c r="AB375" s="376"/>
      <c r="AC375" s="375"/>
      <c r="AD375" s="376"/>
      <c r="AE375" s="376"/>
      <c r="AF375" s="376"/>
      <c r="AG375" s="376"/>
      <c r="AH375" s="375"/>
      <c r="AI375" s="376"/>
      <c r="AJ375" s="376"/>
      <c r="AK375" s="376"/>
      <c r="AL375" s="376"/>
      <c r="AM375" s="375"/>
      <c r="AN375" s="376"/>
      <c r="AO375" s="376"/>
      <c r="AP375" s="376"/>
      <c r="AQ375" s="376"/>
      <c r="AR375" s="375"/>
      <c r="AS375" s="376"/>
      <c r="AT375" s="376"/>
      <c r="AU375" s="376"/>
      <c r="AV375" s="376"/>
      <c r="AW375" s="375"/>
      <c r="AX375" s="376"/>
      <c r="AY375" s="376"/>
      <c r="AZ375" s="376"/>
      <c r="BA375" s="376"/>
      <c r="BB375" s="375" t="str">
        <f t="shared" si="1475"/>
        <v/>
      </c>
      <c r="BC375" s="376"/>
      <c r="BD375" s="376"/>
      <c r="BE375" s="376"/>
      <c r="BF375" s="376"/>
      <c r="BG375" s="375" t="str">
        <f t="shared" si="1476"/>
        <v/>
      </c>
      <c r="BH375" s="376"/>
      <c r="BI375" s="376"/>
      <c r="BJ375" s="376"/>
      <c r="BK375" s="376"/>
      <c r="BL375" s="375" t="str">
        <f t="shared" si="1477"/>
        <v/>
      </c>
      <c r="BM375" s="376"/>
      <c r="BN375" s="376"/>
      <c r="BO375" s="376"/>
      <c r="BP375" s="376"/>
      <c r="BQ375" s="678" t="str">
        <f t="shared" ref="BQ375" si="1518">BQ359</f>
        <v/>
      </c>
      <c r="BR375" s="376"/>
      <c r="BS375" s="376"/>
      <c r="BT375" s="376"/>
      <c r="BU375" s="376"/>
      <c r="BV375" s="678" t="str">
        <f t="shared" si="1479"/>
        <v/>
      </c>
      <c r="BW375" s="376"/>
      <c r="BX375" s="376"/>
      <c r="BY375" s="376"/>
      <c r="BZ375" s="376"/>
      <c r="CA375" s="678" t="str">
        <f t="shared" si="1489"/>
        <v/>
      </c>
      <c r="CB375" s="376"/>
      <c r="CC375" s="376"/>
      <c r="CD375" s="376"/>
      <c r="CE375" s="376"/>
      <c r="CF375" s="678" t="str">
        <f t="shared" si="1490"/>
        <v/>
      </c>
      <c r="CG375" s="376"/>
      <c r="CH375" s="376"/>
      <c r="CI375" s="376"/>
      <c r="CJ375" s="376"/>
      <c r="CK375" s="678" t="str">
        <f t="shared" si="1491"/>
        <v/>
      </c>
      <c r="CL375" s="376"/>
      <c r="CM375" s="376"/>
      <c r="CN375" s="376"/>
      <c r="CO375" s="376"/>
      <c r="CP375" s="678" t="str">
        <f t="shared" si="1492"/>
        <v/>
      </c>
      <c r="CQ375" s="376"/>
      <c r="CR375" s="376"/>
      <c r="CS375" s="376"/>
      <c r="CT375" s="376"/>
      <c r="CU375" s="678" t="str">
        <f t="shared" si="1493"/>
        <v/>
      </c>
      <c r="CV375" s="376"/>
      <c r="CW375" s="376"/>
      <c r="CX375" s="376"/>
      <c r="CY375" s="376"/>
      <c r="CZ375" s="678" t="str">
        <f t="shared" si="1494"/>
        <v/>
      </c>
      <c r="DA375" s="376"/>
      <c r="DB375" s="376"/>
      <c r="DC375" s="376"/>
      <c r="DD375" s="376"/>
      <c r="DE375" s="678" t="str">
        <f t="shared" si="1495"/>
        <v/>
      </c>
      <c r="DF375" s="376"/>
      <c r="DG375" s="376"/>
      <c r="DH375" s="376"/>
      <c r="DI375" s="376"/>
      <c r="DJ375" s="678" t="str">
        <f t="shared" ref="DJ375" si="1519">DJ359</f>
        <v/>
      </c>
      <c r="DK375" s="376"/>
      <c r="DL375" s="376"/>
      <c r="DM375" s="376"/>
      <c r="DN375" s="376"/>
      <c r="DO375" s="678" t="str">
        <f t="shared" ref="DO375" si="1520">DO359</f>
        <v/>
      </c>
      <c r="DP375" s="376"/>
      <c r="DQ375" s="376"/>
      <c r="DR375" s="376"/>
      <c r="DS375" s="376"/>
      <c r="DT375" s="678" t="str">
        <f t="shared" si="1498"/>
        <v/>
      </c>
      <c r="DU375" s="376"/>
      <c r="DV375" s="376"/>
      <c r="DW375" s="376"/>
      <c r="DX375" s="376"/>
      <c r="DY375" s="678" t="str">
        <f t="shared" si="1499"/>
        <v/>
      </c>
      <c r="DZ375" s="678" t="str">
        <f t="shared" ref="DZ375:EB375" si="1521">DZ359</f>
        <v/>
      </c>
      <c r="EA375" s="678" t="str">
        <f t="shared" si="1521"/>
        <v/>
      </c>
      <c r="EB375" s="678" t="str">
        <f t="shared" si="1521"/>
        <v/>
      </c>
    </row>
    <row r="376" spans="2:132" s="241" customFormat="1" ht="12" customHeight="1" collapsed="1">
      <c r="B376" s="348" t="str">
        <f>B360</f>
        <v>Defense, Space &amp; Security</v>
      </c>
      <c r="C376" s="369"/>
      <c r="D376" s="355">
        <f>D360</f>
        <v>0.94904170229890839</v>
      </c>
      <c r="E376" s="355">
        <f t="shared" si="1513"/>
        <v>0.97044774552516933</v>
      </c>
      <c r="F376" s="355">
        <f t="shared" si="1513"/>
        <v>1.224550306384661</v>
      </c>
      <c r="G376" s="355">
        <f t="shared" si="1513"/>
        <v>0.99653736576813501</v>
      </c>
      <c r="H376" s="355">
        <f t="shared" si="1513"/>
        <v>1.2112834074608327</v>
      </c>
      <c r="I376" s="355">
        <f>I360</f>
        <v>1.1779540221483134</v>
      </c>
      <c r="J376" s="370"/>
      <c r="K376" s="370"/>
      <c r="L376" s="370"/>
      <c r="M376" s="370">
        <f>AVERAGE(J360:M360)</f>
        <v>0.95229380465225089</v>
      </c>
      <c r="N376" s="355">
        <f>M376</f>
        <v>0.95229380465225089</v>
      </c>
      <c r="O376" s="370">
        <f>AVERAGE(O360,K360:M360)</f>
        <v>1.0842763166376892</v>
      </c>
      <c r="P376" s="370">
        <f>AVERAGE(O360:P360,L360:M360)</f>
        <v>1.0049699697630456</v>
      </c>
      <c r="Q376" s="370">
        <f>AVERAGE(O360:Q360,M360)</f>
        <v>0.92812877199361532</v>
      </c>
      <c r="R376" s="370">
        <f>AVERAGE(O360:R360)</f>
        <v>0.90296291385804428</v>
      </c>
      <c r="S376" s="355">
        <f>R376</f>
        <v>0.90296291385804428</v>
      </c>
      <c r="T376" s="370">
        <f>AVERAGE(T360,P360:R360)</f>
        <v>0.94742337044650471</v>
      </c>
      <c r="U376" s="370">
        <f>AVERAGE(T360:U360,Q360:R360)</f>
        <v>0.92944595106400996</v>
      </c>
      <c r="V376" s="370">
        <f>AVERAGE(T360:V360,R360)</f>
        <v>1.0329047109578158</v>
      </c>
      <c r="W376" s="370">
        <f>AVERAGE(T360:W360)</f>
        <v>1.1621903515070053</v>
      </c>
      <c r="X376" s="355">
        <f>W376</f>
        <v>1.1621903515070053</v>
      </c>
      <c r="Y376" s="370">
        <f>AVERAGE(Y360,U360:W360)</f>
        <v>0.94545056588649601</v>
      </c>
      <c r="Z376" s="370">
        <f>AVERAGE(Y360:Z360,V360:W360)</f>
        <v>1.0167243158948367</v>
      </c>
      <c r="AA376" s="370">
        <f>AVERAGE(Y360:AA360,W360)</f>
        <v>1.041132659091681</v>
      </c>
      <c r="AB376" s="370">
        <f>AVERAGE(Y360:AB360)</f>
        <v>0.9791588464994806</v>
      </c>
      <c r="AC376" s="355">
        <f>AB376</f>
        <v>0.9791588464994806</v>
      </c>
      <c r="AD376" s="370">
        <f>AVERAGE(AD360,Z360:AB360)</f>
        <v>1.0832237665259994</v>
      </c>
      <c r="AE376" s="370">
        <f>AVERAGE(AD360:AE360,AA360:AB360)</f>
        <v>1.1591133761979746</v>
      </c>
      <c r="AF376" s="370">
        <f>AVERAGE(AD360:AF360,AB360)</f>
        <v>1.0977223281498714</v>
      </c>
      <c r="AG376" s="370">
        <f>AVERAGE(AD360:AG360)</f>
        <v>1.1210476881198477</v>
      </c>
      <c r="AH376" s="355">
        <f>AG376</f>
        <v>1.1210476881198477</v>
      </c>
      <c r="AI376" s="370">
        <f>AVERAGE(AI360,AE360:AG360)</f>
        <v>1.1442474264874669</v>
      </c>
      <c r="AJ376" s="370">
        <f>AVERAGE(AI360:AJ360,AF360:AG360)</f>
        <v>1.0836096649548226</v>
      </c>
      <c r="AK376" s="370">
        <f>AVERAGE(AI360:AK360,AG360)</f>
        <v>1.1257238439433488</v>
      </c>
      <c r="AL376" s="370">
        <f>AVERAGE(AI360:AL360)</f>
        <v>1.0344536853834125</v>
      </c>
      <c r="AM376" s="355">
        <f>AL376</f>
        <v>1.0344536853834125</v>
      </c>
      <c r="AN376" s="370">
        <f>AVERAGE(AN360,AJ360:AL360)</f>
        <v>1.0053345126974764</v>
      </c>
      <c r="AO376" s="370">
        <f>IF(AO360=0,0,AVERAGE(AN360:AO360,AK360:AL360))</f>
        <v>0.95204314353801256</v>
      </c>
      <c r="AP376" s="370">
        <f>IF(AP360=0,0,AVERAGE(AN360:AP360,AL360))</f>
        <v>1.0413976372462239</v>
      </c>
      <c r="AQ376" s="370">
        <f>IF(AQ360=0,0,AVERAGE(AN360:AQ360))</f>
        <v>1.0764825368442894</v>
      </c>
      <c r="AR376" s="355">
        <f>AQ376</f>
        <v>1.0764825368442894</v>
      </c>
      <c r="AS376" s="370">
        <f>IF(AS360=0,0,AVERAGE(AS360,AO360:AQ360))</f>
        <v>1.0411240974122538</v>
      </c>
      <c r="AT376" s="370">
        <f>IF(AT360=0,0,AVERAGE(AS360:AT360,AP360:AQ360))</f>
        <v>1.0641345092356094</v>
      </c>
      <c r="AU376" s="370">
        <f>IF(AU360=0,0,AVERAGE(AS360:AU360,AQ360))</f>
        <v>1.0093891133338382</v>
      </c>
      <c r="AV376" s="370">
        <f>IF(AV360=0,0,AVERAGE(AS360:AV360))</f>
        <v>0.93903469351760405</v>
      </c>
      <c r="AW376" s="355">
        <f>AV376</f>
        <v>0.93903469351760405</v>
      </c>
      <c r="AX376" s="370">
        <f>IF(AX360=0,0,AVERAGE(AX360,AT360:AV360))</f>
        <v>1.1026074972346567</v>
      </c>
      <c r="AY376" s="370">
        <f>IF(AY360=0,0,AVERAGE(AX360:AY360,AU360:AV360))</f>
        <v>1.1853542748832648</v>
      </c>
      <c r="AZ376" s="370">
        <f>IF(AZ360=0,0,AVERAGE(AX360:AZ360,AV360))</f>
        <v>1.1704915186207998</v>
      </c>
      <c r="BA376" s="370">
        <f>IF(BA360=0,0,AVERAGE(AX360:BA360))</f>
        <v>1.2602966823713757</v>
      </c>
      <c r="BB376" s="355">
        <f t="shared" si="1475"/>
        <v>1.2668138743214648</v>
      </c>
      <c r="BC376" s="370">
        <f>IF(BC360=0,0,AVERAGE(BC360,AY360:BA360))</f>
        <v>0.94288253764719498</v>
      </c>
      <c r="BD376" s="370">
        <f>IF(BD360=0,0,AVERAGE(BC360:BD360,AZ360:BA360))</f>
        <v>0.91236272270972552</v>
      </c>
      <c r="BE376" s="370">
        <f>IF(BE360=0,0,AVERAGE(BC360:BE360,BA360))</f>
        <v>0.95431438241156052</v>
      </c>
      <c r="BF376" s="370">
        <f>IF(BF360=0,0,AVERAGE(BC360:BF360))</f>
        <v>0.83370928150534807</v>
      </c>
      <c r="BG376" s="355">
        <f t="shared" si="1476"/>
        <v>0.83432237852818025</v>
      </c>
      <c r="BH376" s="370">
        <f>IF(BH360=0,0,AVERAGE(BH360,BD360:BF360))</f>
        <v>0.91212350374078077</v>
      </c>
      <c r="BI376" s="370">
        <f>IF(BI360=0,0,AVERAGE(BH360:BI360,BE360:BF360))</f>
        <v>0.9474480547101416</v>
      </c>
      <c r="BJ376" s="370">
        <f>IF(BJ360=0,0,AVERAGE(BH360:BJ360,BF360))</f>
        <v>0.83339782181291744</v>
      </c>
      <c r="BK376" s="370">
        <f>IF(BK360=0,0,AVERAGE(BH360:BK360))</f>
        <v>0.91622571107430573</v>
      </c>
      <c r="BL376" s="355">
        <f t="shared" si="1477"/>
        <v>0.91256759819954014</v>
      </c>
      <c r="BM376" s="370">
        <f>IF(BM360=0,0,AVERAGE(BM360,BI360:BK360))</f>
        <v>0.97178734511085541</v>
      </c>
      <c r="BN376" s="370">
        <f>IF(BN360=0,0,AVERAGE(BM360:BN360,BJ360:BK360))</f>
        <v>0.96602792344302824</v>
      </c>
      <c r="BO376" s="370">
        <f>IF(BO360=0,0,AVERAGE(BM360:BO360,BK360))</f>
        <v>1.0328526967449017</v>
      </c>
      <c r="BP376" s="370">
        <f>IF(BP360=0,0,AVERAGE(BM360:BP360))</f>
        <v>0.95461419759690447</v>
      </c>
      <c r="BQ376" s="657">
        <f t="shared" ref="BQ376" si="1522">BQ360</f>
        <v>0.94405686455179672</v>
      </c>
      <c r="BR376" s="370">
        <f>IF(BR360=0,0,AVERAGE(BR360,BN360:BP360))</f>
        <v>1.0841686859828765</v>
      </c>
      <c r="BS376" s="370">
        <f>IF(BS360=0,0,AVERAGE(BR360:BS360,BO360:BP360))</f>
        <v>1.1030783892744251</v>
      </c>
      <c r="BT376" s="370">
        <f>IF(BT360=0,0,AVERAGE(BR360:BT360,BP360))</f>
        <v>0.97145925925069587</v>
      </c>
      <c r="BU376" s="370">
        <f>IF(BU360=0,0,AVERAGE(BR360:BU360))</f>
        <v>1.1729210286851635</v>
      </c>
      <c r="BV376" s="657">
        <f t="shared" si="1479"/>
        <v>1.1699685325532951</v>
      </c>
      <c r="BW376" s="370">
        <f>IF(BW360=0,0,AVERAGE(BW360,BS360:BU360))</f>
        <v>1.2970161353238365</v>
      </c>
      <c r="BX376" s="370">
        <f>IF(BX360=0,0,AVERAGE(BW360:BX360,BT360:BU360))</f>
        <v>1.2294249356287694</v>
      </c>
      <c r="BY376" s="370">
        <f>IF(BY360=0,0,AVERAGE(BW360:BY360,BU360))</f>
        <v>1.5086945073433742</v>
      </c>
      <c r="BZ376" s="370">
        <f>IF(BZ360=0,0,AVERAGE(BW360:BZ360))</f>
        <v>1.2536029567039462</v>
      </c>
      <c r="CA376" s="657">
        <f t="shared" si="1489"/>
        <v>0.96225864500753855</v>
      </c>
      <c r="CB376" s="370">
        <f>IF(CB360=0,0,AVERAGE(CB360,BX360:BZ360))</f>
        <v>1.2190086363371295</v>
      </c>
      <c r="CC376" s="370">
        <f>IF(CC360=0,0,AVERAGE(CB360:CC360,BY360:BZ360))</f>
        <v>1.3035150636378545</v>
      </c>
      <c r="CD376" s="370">
        <f>IF(CD360=0,0,AVERAGE(CB360:CD360,BZ360))</f>
        <v>1.4361627542394071</v>
      </c>
      <c r="CE376" s="370">
        <f>IF(CE360=0,0,AVERAGE(CB360:CE360))</f>
        <v>1.4961200045277434</v>
      </c>
      <c r="CF376" s="657">
        <f t="shared" si="1490"/>
        <v>1</v>
      </c>
      <c r="CG376" s="370">
        <f>IF(CG360=0,0,AVERAGE(CG360,CC360:CE360))</f>
        <v>1.6149192553123752</v>
      </c>
      <c r="CH376" s="370">
        <f>IF(CH360=0,0,AVERAGE(CG360:CH360,CD360:CE360))</f>
        <v>1.4422534861693368</v>
      </c>
      <c r="CI376" s="370">
        <f>IF(CI360=0,0,AVERAGE(CG360:CI360,CE360))</f>
        <v>1.151702509095178</v>
      </c>
      <c r="CJ376" s="370">
        <f>IF(CJ360=0,0,AVERAGE(CG360:CJ360))</f>
        <v>1.2683971688142777</v>
      </c>
      <c r="CK376" s="657">
        <f t="shared" si="1491"/>
        <v>1</v>
      </c>
      <c r="CL376" s="370">
        <f>IF(CL360=0,0,AVERAGE(CL360,CH360:CJ360))</f>
        <v>0.8908038600185042</v>
      </c>
      <c r="CM376" s="370">
        <f>IF(CM360=0,0,AVERAGE(CL360:CM360,CI360:CJ360))</f>
        <v>1.0280005945531638</v>
      </c>
      <c r="CN376" s="370">
        <f>IF(CN360=0,0,AVERAGE(CL360:CN360,CJ360))</f>
        <v>1.0343568079481351</v>
      </c>
      <c r="CO376" s="370">
        <f>IF(CO360=0,0,AVERAGE(CL360:CO360))</f>
        <v>0.88709722286586246</v>
      </c>
      <c r="CP376" s="657">
        <f t="shared" si="1492"/>
        <v>1</v>
      </c>
      <c r="CQ376" s="370">
        <f>IF(CQ360=0,0,AVERAGE(CQ360,CM360:CO360))</f>
        <v>0.91543501006044115</v>
      </c>
      <c r="CR376" s="370">
        <f>IF(CR360=0,0,AVERAGE(CQ360:CR360,CN360:CO360))</f>
        <v>0.79534517513926128</v>
      </c>
      <c r="CS376" s="370">
        <f>IF(CS360=0,0,AVERAGE(CQ360:CS360,CO360))</f>
        <v>0.85490907256821447</v>
      </c>
      <c r="CT376" s="370">
        <f>IF(CT360=0,0,AVERAGE(CQ360:CT360))</f>
        <v>0.97066761860083006</v>
      </c>
      <c r="CU376" s="657">
        <f t="shared" si="1493"/>
        <v>1</v>
      </c>
      <c r="CV376" s="370">
        <f>IF(CV360=0,0,AVERAGE(CV360,CR360:CT360))</f>
        <v>0.95192625302613221</v>
      </c>
      <c r="CW376" s="370">
        <f>IF(CW360=0,0,AVERAGE(CV360:CW360,CS360:CT360))</f>
        <v>0.86997541782831045</v>
      </c>
      <c r="CX376" s="370">
        <f>IF(CX360=0,0,AVERAGE(CV360:CX360,CT360))</f>
        <v>0.84903829579431256</v>
      </c>
      <c r="CY376" s="370">
        <f>IF(CY360=0,0,AVERAGE(CV360:CY360))</f>
        <v>0.77478636753947361</v>
      </c>
      <c r="CZ376" s="657">
        <f t="shared" si="1494"/>
        <v>1</v>
      </c>
      <c r="DA376" s="370">
        <f>IF(DA360=0,0,AVERAGE(DA360,CW360:CY360))</f>
        <v>0.92324717887204222</v>
      </c>
      <c r="DB376" s="370">
        <f>IF(DB360=0,0,AVERAGE(DA360:DB360,CX360:CY360))</f>
        <v>1.072273582741073</v>
      </c>
      <c r="DC376" s="370">
        <f>IF(DC360=0,0,AVERAGE(DA360:DC360,CY360))</f>
        <v>1.1169585002354874</v>
      </c>
      <c r="DD376" s="370">
        <f>IF(DD360=0,0,AVERAGE(DA360:DD360))</f>
        <v>1.1766437641197749</v>
      </c>
      <c r="DE376" s="657">
        <f t="shared" si="1495"/>
        <v>1</v>
      </c>
      <c r="DF376" s="370">
        <f t="shared" ref="DF376:DL379" si="1523">IF(DF360=0,0,AVERAGE(DE360:DF360,DB360:DC360))</f>
        <v>1.0497017210183588</v>
      </c>
      <c r="DG376" s="370">
        <f t="shared" si="1523"/>
        <v>1.0505607972048745</v>
      </c>
      <c r="DH376" s="370">
        <f t="shared" si="1523"/>
        <v>1.090589731075347</v>
      </c>
      <c r="DI376" s="370">
        <f t="shared" si="1523"/>
        <v>1.2891576865913121</v>
      </c>
      <c r="DJ376" s="657">
        <f t="shared" ref="DJ376" si="1524">DJ360</f>
        <v>1.2095074839033364</v>
      </c>
      <c r="DK376" s="370">
        <f t="shared" si="1523"/>
        <v>1.0006339474933881</v>
      </c>
      <c r="DL376" s="370">
        <f t="shared" si="1523"/>
        <v>1.5974766989095912</v>
      </c>
      <c r="DM376" s="370">
        <f t="shared" ref="DM376:DM379" si="1525">IF(DM360=0,0,AVERAGE(DK360:DM360,DI360))</f>
        <v>1.5586416948561461</v>
      </c>
      <c r="DN376" s="370">
        <f t="shared" ref="DN376:DN379" si="1526">IF(DN360=0,0,AVERAGE(DM360:DN360,DK360:DL360))</f>
        <v>1.7409767168167896</v>
      </c>
      <c r="DO376" s="657">
        <f t="shared" ref="DO376" si="1527">DO360</f>
        <v>1.7623925974884336</v>
      </c>
      <c r="DP376" s="370">
        <f t="shared" ref="DP376:DP379" si="1528">IF(DP360=0,0,AVERAGE(DM360:DN360,DK360:DL360))</f>
        <v>1.7409767168167896</v>
      </c>
      <c r="DQ376" s="370">
        <f t="shared" ref="DQ376:DQ379" si="1529">IF(DQ360=0,0,AVERAGE(DP360:DQ360,DM360:DN360))</f>
        <v>1.3877349579819214</v>
      </c>
      <c r="DR376" s="370">
        <f t="shared" ref="DR376:DR379" si="1530">IF(DR360=0,0,AVERAGE(DQ360:DR360,DN360:DO360))</f>
        <v>0</v>
      </c>
      <c r="DS376" s="370">
        <f t="shared" ref="DS376:DS379" si="1531">IF(DS360=0,0,AVERAGE(DR360:DS360,DO360:DP360))</f>
        <v>0</v>
      </c>
      <c r="DT376" s="657">
        <f t="shared" si="1498"/>
        <v>0</v>
      </c>
      <c r="DU376" s="370">
        <f t="shared" ref="DU376:DU379" si="1532">IF(DU360=0,0,AVERAGE(DT360:DU360,DQ360:DR360))</f>
        <v>0</v>
      </c>
      <c r="DV376" s="370">
        <f t="shared" ref="DV376:DV379" si="1533">IF(DV360=0,0,AVERAGE(DU360:DV360,DR360:DS360))</f>
        <v>0</v>
      </c>
      <c r="DW376" s="370">
        <f t="shared" ref="DW376:DW379" si="1534">IF(DW360=0,0,AVERAGE(DV360:DW360,DS360:DT360))</f>
        <v>0</v>
      </c>
      <c r="DX376" s="370">
        <f t="shared" ref="DX376:DX379" si="1535">IF(DX360=0,0,AVERAGE(DW360:DX360,DT360:DU360))</f>
        <v>0</v>
      </c>
      <c r="DY376" s="657">
        <f t="shared" si="1499"/>
        <v>0</v>
      </c>
      <c r="DZ376" s="657">
        <f t="shared" ref="DZ376:EB376" si="1536">DZ360</f>
        <v>0</v>
      </c>
      <c r="EA376" s="657">
        <f t="shared" si="1536"/>
        <v>0</v>
      </c>
      <c r="EB376" s="657">
        <f t="shared" si="1536"/>
        <v>0</v>
      </c>
    </row>
    <row r="377" spans="2:132" s="241" customFormat="1" ht="12" customHeight="1">
      <c r="B377" s="121" t="s">
        <v>575</v>
      </c>
      <c r="C377" s="369"/>
      <c r="D377" s="355"/>
      <c r="E377" s="355"/>
      <c r="F377" s="355"/>
      <c r="G377" s="355"/>
      <c r="H377" s="355"/>
      <c r="I377" s="355"/>
      <c r="J377" s="370"/>
      <c r="K377" s="370"/>
      <c r="L377" s="370"/>
      <c r="M377" s="370"/>
      <c r="N377" s="355"/>
      <c r="O377" s="370"/>
      <c r="P377" s="370"/>
      <c r="Q377" s="370"/>
      <c r="R377" s="370"/>
      <c r="S377" s="355"/>
      <c r="T377" s="370"/>
      <c r="U377" s="370"/>
      <c r="V377" s="370"/>
      <c r="W377" s="370"/>
      <c r="X377" s="355"/>
      <c r="Y377" s="370"/>
      <c r="Z377" s="370"/>
      <c r="AA377" s="370"/>
      <c r="AB377" s="370"/>
      <c r="AC377" s="355"/>
      <c r="AD377" s="370"/>
      <c r="AE377" s="370"/>
      <c r="AF377" s="370"/>
      <c r="AG377" s="370"/>
      <c r="AH377" s="355"/>
      <c r="AI377" s="370"/>
      <c r="AJ377" s="370"/>
      <c r="AK377" s="370"/>
      <c r="AL377" s="370"/>
      <c r="AM377" s="355"/>
      <c r="AN377" s="370"/>
      <c r="AO377" s="370"/>
      <c r="AP377" s="370"/>
      <c r="AQ377" s="370"/>
      <c r="AR377" s="355"/>
      <c r="AS377" s="370"/>
      <c r="AT377" s="370"/>
      <c r="AU377" s="370"/>
      <c r="AV377" s="370"/>
      <c r="AW377" s="355"/>
      <c r="AX377" s="370"/>
      <c r="AY377" s="370"/>
      <c r="AZ377" s="370"/>
      <c r="BA377" s="370"/>
      <c r="BB377" s="355"/>
      <c r="BC377" s="370"/>
      <c r="BD377" s="370"/>
      <c r="BE377" s="370"/>
      <c r="BF377" s="370"/>
      <c r="BG377" s="355"/>
      <c r="BH377" s="370"/>
      <c r="BI377" s="370"/>
      <c r="BJ377" s="370"/>
      <c r="BK377" s="370"/>
      <c r="BL377" s="355"/>
      <c r="BM377" s="370"/>
      <c r="BN377" s="370"/>
      <c r="BO377" s="370"/>
      <c r="BP377" s="370"/>
      <c r="BQ377" s="657"/>
      <c r="BR377" s="370"/>
      <c r="BS377" s="370"/>
      <c r="BT377" s="370"/>
      <c r="BU377" s="370"/>
      <c r="BV377" s="657"/>
      <c r="BW377" s="370"/>
      <c r="BX377" s="370"/>
      <c r="BY377" s="370"/>
      <c r="BZ377" s="370"/>
      <c r="CA377" s="657">
        <f t="shared" si="1489"/>
        <v>1.2725464645771896</v>
      </c>
      <c r="CB377" s="370"/>
      <c r="CC377" s="370"/>
      <c r="CD377" s="370">
        <f>IF(CD361=0,0,AVERAGE(CB361:CD361,BZ361))</f>
        <v>1.2615395952103703</v>
      </c>
      <c r="CE377" s="370">
        <f>IF(CE361=0,0,AVERAGE(CB361:CE361))</f>
        <v>1.0798271636355778</v>
      </c>
      <c r="CF377" s="657">
        <f t="shared" si="1490"/>
        <v>1.0822584427767354</v>
      </c>
      <c r="CG377" s="370">
        <f>IF(CG361=0,0,AVERAGE(CG361,CC361:CE361))</f>
        <v>1.0081403088448264</v>
      </c>
      <c r="CH377" s="370">
        <f>IF(CH361=0,0,AVERAGE(CG361:CH361,CD361:CE361))</f>
        <v>0.97348663125067558</v>
      </c>
      <c r="CI377" s="370">
        <f>IF(CI361=0,0,AVERAGE(CG361:CI361,CE361))</f>
        <v>1.0422984302348692</v>
      </c>
      <c r="CJ377" s="370">
        <f>IF(CJ361=0,0,AVERAGE(CG361:CJ361))</f>
        <v>1.1007474726497259</v>
      </c>
      <c r="CK377" s="657">
        <f t="shared" si="1491"/>
        <v>1.1025557721464154</v>
      </c>
      <c r="CL377" s="370">
        <f>IF(CL361=0,0,AVERAGE(CL361,CH361:CJ361))</f>
        <v>1.1096942915554409</v>
      </c>
      <c r="CM377" s="370">
        <f>IF(CM361=0,0,AVERAGE(CL361:CM361,CI361:CJ361))</f>
        <v>0.82078883450083318</v>
      </c>
      <c r="CN377" s="370">
        <f>IF(CN361=0,0,AVERAGE(CL361:CN361,CJ361))</f>
        <v>0.71335439577329918</v>
      </c>
      <c r="CO377" s="370">
        <f>IF(CO361=0,0,AVERAGE(CL361:CO361))</f>
        <v>0.82794734911819301</v>
      </c>
      <c r="CP377" s="657">
        <f t="shared" si="1492"/>
        <v>0.85395354822106417</v>
      </c>
      <c r="CQ377" s="370">
        <f>IF(CQ361=0,0,AVERAGE(CQ361,CM361:CO361))</f>
        <v>0.76843552712382901</v>
      </c>
      <c r="CR377" s="370">
        <f>IF(CR361=0,0,AVERAGE(CQ361:CR361,CN361:CO361))</f>
        <v>1.0606720342363456</v>
      </c>
      <c r="CS377" s="370">
        <f>IF(CS361=0,0,AVERAGE(CQ361:CS361,CO361))</f>
        <v>1.0936284012398565</v>
      </c>
      <c r="CT377" s="370">
        <f>IF(CT361=0,0,AVERAGE(CQ361:CT361))</f>
        <v>0.98132677353310127</v>
      </c>
      <c r="CU377" s="657">
        <f t="shared" si="1493"/>
        <v>0.99160950514453694</v>
      </c>
      <c r="CV377" s="370">
        <f>IF(CV361=0,0,AVERAGE(CV361,CR361:CT361))</f>
        <v>1.0102106155911843</v>
      </c>
      <c r="CW377" s="370">
        <f>IF(CW361=0,0,AVERAGE(CV361:CW361,CS361:CT361))</f>
        <v>0.99603118297672721</v>
      </c>
      <c r="CX377" s="370">
        <f>IF(CX361=0,0,AVERAGE(CV361:CX361,CT361))</f>
        <v>1.0170373349570696</v>
      </c>
      <c r="CY377" s="370">
        <f>IF(CY361=0,0,AVERAGE(CV361:CY361))</f>
        <v>0.93173814345339179</v>
      </c>
      <c r="CZ377" s="657">
        <f t="shared" si="1494"/>
        <v>0.93430242462097557</v>
      </c>
      <c r="DA377" s="370">
        <f>IF(DA361=0,0,AVERAGE(DA361,CW361:CY361))</f>
        <v>0.94409712151457215</v>
      </c>
      <c r="DB377" s="370">
        <f>IF(DB361=0,0,AVERAGE(DA361:DB361,CX361:CY361))</f>
        <v>0.97421986502839708</v>
      </c>
      <c r="DC377" s="370">
        <f>IF(DC361=0,0,AVERAGE(DA361:DC361,CY361))</f>
        <v>0.96717482720178416</v>
      </c>
      <c r="DD377" s="370">
        <f>IF(DD361=0,0,AVERAGE(DA361:DD361))</f>
        <v>1.0262372737623155</v>
      </c>
      <c r="DE377" s="657">
        <f t="shared" si="1495"/>
        <v>1.0277618026873008</v>
      </c>
      <c r="DF377" s="370">
        <f t="shared" si="1523"/>
        <v>0.97747473963383436</v>
      </c>
      <c r="DG377" s="370">
        <f t="shared" si="1523"/>
        <v>1.0536407212695034</v>
      </c>
      <c r="DH377" s="370">
        <f t="shared" si="1523"/>
        <v>1.1191016447164124</v>
      </c>
      <c r="DI377" s="370">
        <f t="shared" si="1523"/>
        <v>1.0938816933472277</v>
      </c>
      <c r="DJ377" s="657">
        <f t="shared" ref="DJ377" si="1537">DJ361</f>
        <v>1.0768768166783602</v>
      </c>
      <c r="DK377" s="370">
        <f t="shared" si="1523"/>
        <v>1.0890131429332537</v>
      </c>
      <c r="DL377" s="370">
        <f t="shared" si="1523"/>
        <v>1.1223269880013704</v>
      </c>
      <c r="DM377" s="370">
        <f t="shared" si="1525"/>
        <v>1.1987209193124659</v>
      </c>
      <c r="DN377" s="370">
        <f t="shared" si="1526"/>
        <v>1.3962265438474581</v>
      </c>
      <c r="DO377" s="657">
        <f t="shared" ref="DO377" si="1538">DO361</f>
        <v>1.3975051378865364</v>
      </c>
      <c r="DP377" s="370">
        <f t="shared" si="1528"/>
        <v>1.3962265438474581</v>
      </c>
      <c r="DQ377" s="370">
        <f t="shared" si="1529"/>
        <v>1.5147872008421459</v>
      </c>
      <c r="DR377" s="370">
        <f t="shared" si="1530"/>
        <v>0</v>
      </c>
      <c r="DS377" s="370">
        <f t="shared" si="1531"/>
        <v>0</v>
      </c>
      <c r="DT377" s="657">
        <f t="shared" si="1498"/>
        <v>0</v>
      </c>
      <c r="DU377" s="370">
        <f t="shared" si="1532"/>
        <v>0</v>
      </c>
      <c r="DV377" s="370">
        <f t="shared" si="1533"/>
        <v>0</v>
      </c>
      <c r="DW377" s="370">
        <f t="shared" si="1534"/>
        <v>0</v>
      </c>
      <c r="DX377" s="370">
        <f t="shared" si="1535"/>
        <v>0</v>
      </c>
      <c r="DY377" s="657">
        <f t="shared" si="1499"/>
        <v>0</v>
      </c>
      <c r="DZ377" s="657">
        <f t="shared" ref="DZ377:EB377" si="1539">DZ361</f>
        <v>0</v>
      </c>
      <c r="EA377" s="657">
        <f t="shared" si="1539"/>
        <v>0</v>
      </c>
      <c r="EB377" s="657">
        <f t="shared" si="1539"/>
        <v>0</v>
      </c>
    </row>
    <row r="378" spans="2:132" s="241" customFormat="1" ht="12" customHeight="1">
      <c r="B378" s="348" t="str">
        <f>B362</f>
        <v>Total contractual</v>
      </c>
      <c r="C378" s="369"/>
      <c r="D378" s="355">
        <f>D362</f>
        <v>0.84428535812230654</v>
      </c>
      <c r="E378" s="355">
        <f>E362</f>
        <v>0.76466125222009551</v>
      </c>
      <c r="F378" s="355">
        <f t="shared" ref="F378:H378" si="1540">F362</f>
        <v>1.416048011535239</v>
      </c>
      <c r="G378" s="355">
        <f t="shared" si="1540"/>
        <v>0.75928726073060926</v>
      </c>
      <c r="H378" s="355">
        <f t="shared" si="1540"/>
        <v>0.95527936525550683</v>
      </c>
      <c r="I378" s="355">
        <f>I362</f>
        <v>1.0126572249182926</v>
      </c>
      <c r="J378" s="370"/>
      <c r="K378" s="370"/>
      <c r="L378" s="370"/>
      <c r="M378" s="370">
        <f>AVERAGE(J362:M362)</f>
        <v>1.090085020083718</v>
      </c>
      <c r="N378" s="355">
        <f>M378</f>
        <v>1.090085020083718</v>
      </c>
      <c r="O378" s="370">
        <f>AVERAGE(O362,K362:M362)</f>
        <v>1.1658180628666874</v>
      </c>
      <c r="P378" s="370">
        <f>AVERAGE(O362:P362,L362:M362)</f>
        <v>1.425652155974386</v>
      </c>
      <c r="Q378" s="370">
        <f>AVERAGE(O362:Q362,M362)</f>
        <v>1.4968878220272412</v>
      </c>
      <c r="R378" s="370">
        <f>AVERAGE(O362:R362)</f>
        <v>1.8985002283698198</v>
      </c>
      <c r="S378" s="355">
        <f>R378</f>
        <v>1.8985002283698198</v>
      </c>
      <c r="T378" s="370">
        <f>AVERAGE(T362,P362:R362)</f>
        <v>2.0763007058933765</v>
      </c>
      <c r="U378" s="370">
        <f>AVERAGE(T362:U362,Q362:R362)</f>
        <v>1.9356393958306195</v>
      </c>
      <c r="V378" s="370">
        <f>AVERAGE(T362:V362,R362)</f>
        <v>1.9848702935469587</v>
      </c>
      <c r="W378" s="370">
        <f>AVERAGE(T362:W362)</f>
        <v>1.8855296744011525</v>
      </c>
      <c r="X378" s="355">
        <f>W378</f>
        <v>1.8855296744011525</v>
      </c>
      <c r="Y378" s="370">
        <f>AVERAGE(Y362,U362:W362)</f>
        <v>1.8738824774955689</v>
      </c>
      <c r="Z378" s="370">
        <f>AVERAGE(Y362:Z362,V362:W362)</f>
        <v>2.0273249563908351</v>
      </c>
      <c r="AA378" s="370">
        <f>AVERAGE(Y362:AA362,W362)</f>
        <v>2.0860226273215074</v>
      </c>
      <c r="AB378" s="370">
        <f>AVERAGE(Y362:AB362)</f>
        <v>2.1959448058370405</v>
      </c>
      <c r="AC378" s="355">
        <f>AB378</f>
        <v>2.1959448058370405</v>
      </c>
      <c r="AD378" s="370">
        <f>AVERAGE(AD362,Z362:AB362)</f>
        <v>2.2652060203896602</v>
      </c>
      <c r="AE378" s="370">
        <f>AVERAGE(AD362:AE362,AA362:AB362)</f>
        <v>2.067391582919309</v>
      </c>
      <c r="AF378" s="370">
        <f>AVERAGE(AD362:AF362,AB362)</f>
        <v>1.7980596225349492</v>
      </c>
      <c r="AG378" s="370">
        <f>AVERAGE(AD362:AG362)</f>
        <v>1.4414302963019161</v>
      </c>
      <c r="AH378" s="355">
        <f>AG378</f>
        <v>1.4414302963019161</v>
      </c>
      <c r="AI378" s="370">
        <f>AVERAGE(AI362,AE362:AG362)</f>
        <v>1.0112496310288304</v>
      </c>
      <c r="AJ378" s="370">
        <f>AVERAGE(AI362:AJ362,AF362:AG362)</f>
        <v>0.80745166034531279</v>
      </c>
      <c r="AK378" s="370">
        <f>AVERAGE(AI362:AK362,AG362)</f>
        <v>0.75925787562443814</v>
      </c>
      <c r="AL378" s="370">
        <f>AVERAGE(AI362:AL362)</f>
        <v>0.59498882373469886</v>
      </c>
      <c r="AM378" s="355">
        <f>AL378</f>
        <v>0.59498882373469886</v>
      </c>
      <c r="AN378" s="370">
        <f>AVERAGE(AN362,AJ362:AL362)</f>
        <v>0.77291936422553698</v>
      </c>
      <c r="AO378" s="370">
        <f>IF(AO362=0,0,AVERAGE(AN362:AO362,AK362:AL362))</f>
        <v>0.88970002144548976</v>
      </c>
      <c r="AP378" s="370">
        <f>IF(AP362=0,0,AVERAGE(AN362:AP362,AL362))</f>
        <v>1.0413411182836305</v>
      </c>
      <c r="AQ378" s="370">
        <f>IF(AQ362=0,0,AVERAGE(AN362:AQ362))</f>
        <v>1.1138023298722941</v>
      </c>
      <c r="AR378" s="355">
        <f>AQ378</f>
        <v>1.1138023298722941</v>
      </c>
      <c r="AS378" s="370">
        <f>IF(AS362=0,0,AVERAGE(AS362,AO362:AQ362))</f>
        <v>1.186710864148403</v>
      </c>
      <c r="AT378" s="370">
        <f>IF(AT362=0,0,AVERAGE(AS362:AT362,AP362:AQ362))</f>
        <v>1.1667775612369082</v>
      </c>
      <c r="AU378" s="370">
        <f>IF(AU362=0,0,AVERAGE(AS362:AU362,AQ362))</f>
        <v>1.2352551229068065</v>
      </c>
      <c r="AV378" s="370">
        <f>IF(AV362=0,0,AVERAGE(AS362:AV362))</f>
        <v>1.4885382595552401</v>
      </c>
      <c r="AW378" s="355">
        <f>AV378</f>
        <v>1.4885382595552401</v>
      </c>
      <c r="AX378" s="370">
        <f>IF(AX362=0,0,AVERAGE(AX362,AT362:AV362))</f>
        <v>1.6199678628158294</v>
      </c>
      <c r="AY378" s="370">
        <f>IF(AY362=0,0,AVERAGE(AX362:AY362,AU362:AV362))</f>
        <v>1.6107831161444905</v>
      </c>
      <c r="AZ378" s="370">
        <f>IF(AZ362=0,0,AVERAGE(AX362:AZ362,AV362))</f>
        <v>1.524002870833014</v>
      </c>
      <c r="BA378" s="370">
        <f>IF(BA362=0,0,AVERAGE(AX362:BA362))</f>
        <v>1.3973007447614434</v>
      </c>
      <c r="BB378" s="355">
        <f>BB362</f>
        <v>1.4002545961957453</v>
      </c>
      <c r="BC378" s="370">
        <f>IF(BC362=0,0,AVERAGE(BC362,AY362:BA362))</f>
        <v>1.1694093275145527</v>
      </c>
      <c r="BD378" s="370">
        <f>IF(BD362=0,0,AVERAGE(BC362:BD362,AZ362:BA362))</f>
        <v>1.3981729021492004</v>
      </c>
      <c r="BE378" s="370">
        <f>IF(BE362=0,0,AVERAGE(BC362:BE362,BA362))</f>
        <v>1.427219688314987</v>
      </c>
      <c r="BF378" s="370">
        <f>IF(BF362=0,0,AVERAGE(BC362:BF362))</f>
        <v>1.5504292649020486</v>
      </c>
      <c r="BG378" s="355">
        <f>BG362</f>
        <v>1.579520752499616</v>
      </c>
      <c r="BH378" s="370">
        <f>IF(BH362=0,0,AVERAGE(BH362,BD362:BF362))</f>
        <v>1.5357719658060773</v>
      </c>
      <c r="BI378" s="370">
        <f>IF(BI362=0,0,AVERAGE(BH362:BI362,BE362:BF362))</f>
        <v>1.3944193463255874</v>
      </c>
      <c r="BJ378" s="370">
        <f>IF(BJ362=0,0,AVERAGE(BH362:BJ362,BF362))</f>
        <v>1.8427413166598918</v>
      </c>
      <c r="BK378" s="370">
        <f>IF(BK362=0,0,AVERAGE(BH362:BK362))</f>
        <v>1.6763356920119015</v>
      </c>
      <c r="BL378" s="355">
        <f>BL362</f>
        <v>1.709548048742866</v>
      </c>
      <c r="BM378" s="370">
        <f>IF(BM362=0,0,AVERAGE(BM362,BI362:BK362))</f>
        <v>1.6254504524625144</v>
      </c>
      <c r="BN378" s="370">
        <f>IF(BN362=0,0,AVERAGE(BM362:BN362,BJ362:BK362))</f>
        <v>1.553393907493652</v>
      </c>
      <c r="BO378" s="370">
        <f>IF(BO362=0,0,AVERAGE(BM362:BO362,BK362))</f>
        <v>0.9695897666189347</v>
      </c>
      <c r="BP378" s="370">
        <f>IF(BP362=0,0,AVERAGE(BM362:BP362))</f>
        <v>0.89466594294752055</v>
      </c>
      <c r="BQ378" s="657">
        <f t="shared" ref="BQ378" si="1541">BQ362</f>
        <v>0.8917951599142685</v>
      </c>
      <c r="BR378" s="370">
        <f>IF(BR362=0,0,AVERAGE(BR362,BN362:BP362))</f>
        <v>0</v>
      </c>
      <c r="BS378" s="370">
        <f>IF(BS362=0,0,AVERAGE(BR362:BS362,BO362:BP362))</f>
        <v>0</v>
      </c>
      <c r="BT378" s="370">
        <f>IF(BT362=0,0,AVERAGE(BR362:BT362,BP362))</f>
        <v>0</v>
      </c>
      <c r="BU378" s="370">
        <f>IF(BU362=0,0,AVERAGE(BR362:BU362))</f>
        <v>0</v>
      </c>
      <c r="BV378" s="657">
        <f>BV362</f>
        <v>0</v>
      </c>
      <c r="BW378" s="370">
        <f>IF(BW362=0,0,AVERAGE(BW362,BS362:BU362))</f>
        <v>0</v>
      </c>
      <c r="BX378" s="370">
        <f>IF(BX362=0,0,AVERAGE(BW362:BX362,BT362:BU362))</f>
        <v>0</v>
      </c>
      <c r="BY378" s="370">
        <f>IF(BY362=0,0,AVERAGE(BW362:BY362,BU362))</f>
        <v>0</v>
      </c>
      <c r="BZ378" s="370">
        <f>IF(BZ362=0,0,AVERAGE(BW362:BZ362))</f>
        <v>0</v>
      </c>
      <c r="CA378" s="657">
        <f>CA362</f>
        <v>0</v>
      </c>
      <c r="CB378" s="370">
        <f>IF(CB362=0,0,AVERAGE(CB362,BX362:BZ362))</f>
        <v>1.1948507398853818</v>
      </c>
      <c r="CC378" s="370">
        <f>IF(CC362=0,0,AVERAGE(CB362:CC362,BY362:BZ362))</f>
        <v>1.1488517035233654</v>
      </c>
      <c r="CD378" s="370">
        <f>IF(CD362=0,0,AVERAGE(CB362:CD362,BZ362))</f>
        <v>1.0757847487154628</v>
      </c>
      <c r="CE378" s="370">
        <f>IF(CE362=0,0,AVERAGE(CB362:CE362))</f>
        <v>1.1186306648498183</v>
      </c>
      <c r="CF378" s="657">
        <f t="shared" si="1490"/>
        <v>1.1215006872546402</v>
      </c>
      <c r="CG378" s="370">
        <f>IF(CG362=0,0,AVERAGE(CG362,CC362:CE362))</f>
        <v>1.0337875963204155</v>
      </c>
      <c r="CH378" s="370">
        <f>IF(CH362=0,0,AVERAGE(CG362:CH362,CD362:CE362))</f>
        <v>0.81945148495513065</v>
      </c>
      <c r="CI378" s="370">
        <f>IF(CI362=0,0,AVERAGE(CG362:CI362,CE362))</f>
        <v>0.77272446086590185</v>
      </c>
      <c r="CJ378" s="370">
        <f>IF(CJ362=0,0,AVERAGE(CG362:CJ362))</f>
        <v>0.59039190754988913</v>
      </c>
      <c r="CK378" s="657">
        <f t="shared" si="1491"/>
        <v>0.62157290455726955</v>
      </c>
      <c r="CL378" s="370">
        <f>IF(CL362=0,0,AVERAGE(CL362,CH362:CJ362))</f>
        <v>0.25473083144388209</v>
      </c>
      <c r="CM378" s="370">
        <f>IF(CM362=0,0,AVERAGE(CL362:CM362,CI362:CJ362))</f>
        <v>-9.4378077966094431E-2</v>
      </c>
      <c r="CN378" s="370">
        <f>IF(CN362=0,0,AVERAGE(CL362:CN362,CJ362))</f>
        <v>-0.2935371351773477</v>
      </c>
      <c r="CO378" s="370">
        <f>IF(CO362=0,0,AVERAGE(CL362:CO362))</f>
        <v>-0.70592925182379818</v>
      </c>
      <c r="CP378" s="657">
        <f t="shared" si="1492"/>
        <v>-0.68619966298703527</v>
      </c>
      <c r="CQ378" s="370">
        <f>IF(CQ362=0,0,AVERAGE(CQ362,CM362:CO362))</f>
        <v>-0.31023360605209105</v>
      </c>
      <c r="CR378" s="370">
        <f>IF(CR362=0,0,AVERAGE(CQ362:CR362,CN362:CO362))</f>
        <v>0.22966026699389919</v>
      </c>
      <c r="CS378" s="370">
        <f>IF(CS362=0,0,AVERAGE(CQ362:CS362,CO362))</f>
        <v>0.55927449465246848</v>
      </c>
      <c r="CT378" s="370">
        <f>IF(CT362=0,0,AVERAGE(CQ362:CT362))</f>
        <v>1.2380699694339352</v>
      </c>
      <c r="CU378" s="657">
        <f t="shared" si="1493"/>
        <v>1.2291847285104196</v>
      </c>
      <c r="CV378" s="370">
        <f>IF(CV362=0,0,AVERAGE(CV362,CR362:CT362))</f>
        <v>1.1062213905023341</v>
      </c>
      <c r="CW378" s="370">
        <f>IF(CW362=0,0,AVERAGE(CV362:CW362,CS362:CT362))</f>
        <v>1.1306764807272822</v>
      </c>
      <c r="CX378" s="370">
        <f>IF(CX362=0,0,AVERAGE(CV362:CX362,CT362))</f>
        <v>1.2128027341455465</v>
      </c>
      <c r="CY378" s="370">
        <f>IF(CY362=0,0,AVERAGE(CV362:CY362))</f>
        <v>1.3458312174047131</v>
      </c>
      <c r="CZ378" s="657">
        <f t="shared" si="1494"/>
        <v>1.4126681479702139</v>
      </c>
      <c r="DA378" s="370">
        <f>IF(DA362=0,0,AVERAGE(DA362,CW362:CY362))</f>
        <v>1.5599220306293189</v>
      </c>
      <c r="DB378" s="370">
        <f>IF(DB362=0,0,AVERAGE(DA362:DB362,CX362:CY362))</f>
        <v>1.8948688927877884</v>
      </c>
      <c r="DC378" s="370">
        <f>IF(DC362=0,0,AVERAGE(DA362:DC362,CY362))</f>
        <v>2.1544674482829209</v>
      </c>
      <c r="DD378" s="370">
        <f>IF(DD362=0,0,AVERAGE(DA362:DD362))</f>
        <v>2.4388878926622626</v>
      </c>
      <c r="DE378" s="657">
        <f t="shared" si="1495"/>
        <v>2.4824022418181353</v>
      </c>
      <c r="DF378" s="370">
        <f t="shared" si="1523"/>
        <v>2.2721745629300862</v>
      </c>
      <c r="DG378" s="370">
        <f t="shared" si="1523"/>
        <v>1.9158441008822003</v>
      </c>
      <c r="DH378" s="370">
        <f t="shared" si="1523"/>
        <v>1.6585002132653068</v>
      </c>
      <c r="DI378" s="370">
        <f t="shared" si="1523"/>
        <v>1.5762722598252985</v>
      </c>
      <c r="DJ378" s="657">
        <f t="shared" ref="DJ378" si="1542">DJ362</f>
        <v>0.99517416600267605</v>
      </c>
      <c r="DK378" s="370">
        <f t="shared" si="1523"/>
        <v>1.0159541939941352</v>
      </c>
      <c r="DL378" s="370">
        <f t="shared" si="1523"/>
        <v>2.1808612572390111</v>
      </c>
      <c r="DM378" s="370">
        <f t="shared" si="1525"/>
        <v>2.4250376166944965</v>
      </c>
      <c r="DN378" s="370">
        <f t="shared" si="1526"/>
        <v>2.6955430451556328</v>
      </c>
      <c r="DO378" s="657">
        <f t="shared" ref="DO378" si="1543">DO362</f>
        <v>2.708840526251076</v>
      </c>
      <c r="DP378" s="370">
        <f t="shared" si="1528"/>
        <v>2.6955430451556328</v>
      </c>
      <c r="DQ378" s="370">
        <f t="shared" si="1529"/>
        <v>1.903291866175286</v>
      </c>
      <c r="DR378" s="370">
        <f t="shared" si="1530"/>
        <v>0</v>
      </c>
      <c r="DS378" s="370">
        <f t="shared" si="1531"/>
        <v>0</v>
      </c>
      <c r="DT378" s="657">
        <f t="shared" si="1498"/>
        <v>0</v>
      </c>
      <c r="DU378" s="370">
        <f t="shared" si="1532"/>
        <v>0</v>
      </c>
      <c r="DV378" s="370">
        <f t="shared" si="1533"/>
        <v>0</v>
      </c>
      <c r="DW378" s="370">
        <f t="shared" si="1534"/>
        <v>0</v>
      </c>
      <c r="DX378" s="370">
        <f t="shared" si="1535"/>
        <v>0</v>
      </c>
      <c r="DY378" s="657">
        <f t="shared" si="1499"/>
        <v>0</v>
      </c>
      <c r="DZ378" s="657">
        <f t="shared" ref="DZ378:EB378" si="1544">DZ362</f>
        <v>0</v>
      </c>
      <c r="EA378" s="657">
        <f t="shared" si="1544"/>
        <v>0</v>
      </c>
      <c r="EB378" s="657">
        <f t="shared" si="1544"/>
        <v>0</v>
      </c>
    </row>
    <row r="379" spans="2:132" s="74" customFormat="1" ht="12" customHeight="1">
      <c r="B379" s="167" t="s">
        <v>123</v>
      </c>
      <c r="C379" s="228"/>
      <c r="D379" s="377">
        <f>D363</f>
        <v>0.79798411511201339</v>
      </c>
      <c r="E379" s="377">
        <f>E363</f>
        <v>0.78018036659596846</v>
      </c>
      <c r="F379" s="377">
        <f>F363</f>
        <v>1.5504958983651915</v>
      </c>
      <c r="G379" s="377">
        <f>G363</f>
        <v>0.69399292071892504</v>
      </c>
      <c r="H379" s="377">
        <f>H363</f>
        <v>1.0884425456361315</v>
      </c>
      <c r="I379" s="377">
        <f>I363</f>
        <v>1.3276022580964644</v>
      </c>
      <c r="J379" s="378"/>
      <c r="K379" s="378"/>
      <c r="L379" s="378"/>
      <c r="M379" s="378">
        <f>AVERAGE(J363:M363)</f>
        <v>1.03791209781344</v>
      </c>
      <c r="N379" s="377">
        <f>M379</f>
        <v>1.03791209781344</v>
      </c>
      <c r="O379" s="378">
        <f>AVERAGE(O363,K363:M363)</f>
        <v>1.1330251476104931</v>
      </c>
      <c r="P379" s="378">
        <f>AVERAGE(O363:P363,L363:M363)</f>
        <v>1.3443516779405111</v>
      </c>
      <c r="Q379" s="378">
        <f>AVERAGE(O363:Q363,M363)</f>
        <v>1.3200106871840953</v>
      </c>
      <c r="R379" s="378">
        <f>AVERAGE(O363:R363)</f>
        <v>1.8364116619656055</v>
      </c>
      <c r="S379" s="377">
        <f>R379</f>
        <v>1.8364116619656055</v>
      </c>
      <c r="T379" s="378">
        <f>AVERAGE(T363,P363:R363)</f>
        <v>2.0156357218682972</v>
      </c>
      <c r="U379" s="378">
        <f>AVERAGE(T363:U363,Q363:R363)</f>
        <v>1.9004441599701032</v>
      </c>
      <c r="V379" s="378">
        <f>AVERAGE(T363:V363,R363)</f>
        <v>1.8986325900886958</v>
      </c>
      <c r="W379" s="378">
        <f>AVERAGE(T363:W363)</f>
        <v>1.7106112655301928</v>
      </c>
      <c r="X379" s="377">
        <f>W379</f>
        <v>1.7106112655301928</v>
      </c>
      <c r="Y379" s="378">
        <f>AVERAGE(Y363,U363:W363)</f>
        <v>1.7711110429595391</v>
      </c>
      <c r="Z379" s="378">
        <f>AVERAGE(Y363:Z363,V363:W363)</f>
        <v>1.9186212134417315</v>
      </c>
      <c r="AA379" s="378">
        <f>AVERAGE(Y363:AA363,W363)</f>
        <v>1.9900719936975639</v>
      </c>
      <c r="AB379" s="378">
        <f>AVERAGE(Y363:AB363)</f>
        <v>2.1423481385490786</v>
      </c>
      <c r="AC379" s="377">
        <f>AB379</f>
        <v>2.1423481385490786</v>
      </c>
      <c r="AD379" s="378">
        <f>AVERAGE(AD363,Z363:AB363)</f>
        <v>2.2480321386980489</v>
      </c>
      <c r="AE379" s="378">
        <f>AVERAGE(AD363:AE363,AA363:AB363)</f>
        <v>1.9766066243929312</v>
      </c>
      <c r="AF379" s="378">
        <f>AVERAGE(AD363:AF363,AB363)</f>
        <v>1.8077538922146694</v>
      </c>
      <c r="AG379" s="378">
        <f>AVERAGE(AD363:AG363)</f>
        <v>1.4026184900188992</v>
      </c>
      <c r="AH379" s="377">
        <f>AG379</f>
        <v>1.4026184900188992</v>
      </c>
      <c r="AI379" s="378">
        <f>AVERAGE(AI363,AE363:AG363)</f>
        <v>0.91334679903278171</v>
      </c>
      <c r="AJ379" s="378">
        <f>AVERAGE(AI363:AJ363,AF363:AG363)</f>
        <v>0.74009236085669539</v>
      </c>
      <c r="AK379" s="378">
        <f>AVERAGE(AI363:AK363,AG363)</f>
        <v>0.57572012768068737</v>
      </c>
      <c r="AL379" s="378">
        <f>AVERAGE(AI363:AL363)</f>
        <v>0.46056063128469149</v>
      </c>
      <c r="AM379" s="377">
        <f>AL379</f>
        <v>0.46056063128469149</v>
      </c>
      <c r="AN379" s="378">
        <f>AVERAGE(AN363,AJ363:AL363)</f>
        <v>0.63911378613919667</v>
      </c>
      <c r="AO379" s="378">
        <f>IF(AO363=0,0,AVERAGE(AN363:AO363,AK363:AL363))</f>
        <v>0.77350219901790052</v>
      </c>
      <c r="AP379" s="378">
        <f>IF(AP363=0,0,AVERAGE(AN363:AP363,AL363))</f>
        <v>1.0119916837593317</v>
      </c>
      <c r="AQ379" s="378">
        <f>IF(AQ363=0,0,AVERAGE(AN363:AQ363))</f>
        <v>1.0741304921802786</v>
      </c>
      <c r="AR379" s="377">
        <f>AQ379</f>
        <v>1.0741304921802786</v>
      </c>
      <c r="AS379" s="378">
        <f>IF(AS363=0,0,AVERAGE(AS363,AO363:AQ363))</f>
        <v>1.2223993773101958</v>
      </c>
      <c r="AT379" s="378">
        <f>IF(AT363=0,0,AVERAGE(AS363:AT363,AP363:AQ363))</f>
        <v>1.1809274289070999</v>
      </c>
      <c r="AU379" s="378">
        <f>IF(AU363=0,0,AVERAGE(AS363:AU363,AQ363))</f>
        <v>1.1670920479383939</v>
      </c>
      <c r="AV379" s="378">
        <f>IF(AV363=0,0,AVERAGE(AS363:AV363))</f>
        <v>1.4725800780587224</v>
      </c>
      <c r="AW379" s="377">
        <f>AV379</f>
        <v>1.4725800780587224</v>
      </c>
      <c r="AX379" s="378">
        <f>IF(AX363=0,0,AVERAGE(AX363,AT363:AV363))</f>
        <v>1.6501841641135124</v>
      </c>
      <c r="AY379" s="378">
        <f>IF(AY363=0,0,AVERAGE(AX363:AY363,AU363:AV363))</f>
        <v>1.6568084223329449</v>
      </c>
      <c r="AZ379" s="378">
        <f>IF(AZ363=0,0,AVERAGE(AX363:AZ363,AV363))</f>
        <v>1.5914671813824928</v>
      </c>
      <c r="BA379" s="378">
        <f>IF(BA363=0,0,AVERAGE(AX363:BA363))</f>
        <v>1.4282826418517935</v>
      </c>
      <c r="BB379" s="377">
        <f>BB363</f>
        <v>1.4259590198046463</v>
      </c>
      <c r="BC379" s="378">
        <f>IF(BC363=0,0,AVERAGE(BC363,AY363:BA363))</f>
        <v>1.1333890462312723</v>
      </c>
      <c r="BD379" s="378">
        <f>IF(BD363=0,0,AVERAGE(BC363:BD363,AZ363:BA363))</f>
        <v>1.4215263861800349</v>
      </c>
      <c r="BE379" s="378">
        <f>IF(BE363=0,0,AVERAGE(BC363:BE363,BA363))</f>
        <v>1.42827041247372</v>
      </c>
      <c r="BF379" s="378">
        <f>IF(BF363=0,0,AVERAGE(BC363:BF363))</f>
        <v>1.5570823932782825</v>
      </c>
      <c r="BG379" s="377">
        <f>BG363</f>
        <v>1.5841384477386566</v>
      </c>
      <c r="BH379" s="378">
        <f>IF(BH363=0,0,AVERAGE(BH363,BD363:BF363))</f>
        <v>1.5251194371581314</v>
      </c>
      <c r="BI379" s="378">
        <f>IF(BI363=0,0,AVERAGE(BH363:BI363,BE363:BF363))</f>
        <v>1.3176335719002334</v>
      </c>
      <c r="BJ379" s="378">
        <f>IF(BJ363=0,0,AVERAGE(BH363:BJ363,BF363))</f>
        <v>1.7858185615548279</v>
      </c>
      <c r="BK379" s="378">
        <f>IF(BK363=0,0,AVERAGE(BH363:BK363))</f>
        <v>1.640317017371564</v>
      </c>
      <c r="BL379" s="377">
        <f>BL363</f>
        <v>1.6764945682113659</v>
      </c>
      <c r="BM379" s="378">
        <f>IF(BM363=0,0,AVERAGE(BM363,BI363:BK363))</f>
        <v>1.5724868163951393</v>
      </c>
      <c r="BN379" s="378">
        <f>IF(BN363=0,0,AVERAGE(BM363:BN363,BJ363:BK363))</f>
        <v>1.5026435124155391</v>
      </c>
      <c r="BO379" s="378">
        <f>IF(BO363=0,0,AVERAGE(BM363:BO363,BK363))</f>
        <v>0.94154727276909544</v>
      </c>
      <c r="BP379" s="378">
        <f>IF(BP363=0,0,AVERAGE(BM363:BP363))</f>
        <v>0.86359701371864062</v>
      </c>
      <c r="BQ379" s="680">
        <f t="shared" ref="BQ379" si="1545">BQ363</f>
        <v>0.86474394989283554</v>
      </c>
      <c r="BR379" s="378">
        <f>IF(BR363=0,0,AVERAGE(BR363,BN363:BP363))</f>
        <v>0.84213414417324461</v>
      </c>
      <c r="BS379" s="378">
        <f>IF(BS363=0,0,AVERAGE(BR363:BS363,BO363:BP363))</f>
        <v>0.82753526288876511</v>
      </c>
      <c r="BT379" s="378">
        <f>IF(BT363=0,0,AVERAGE(BR363:BT363,BP363))</f>
        <v>0.75951798915818314</v>
      </c>
      <c r="BU379" s="378">
        <f>IF(BU363=0,0,AVERAGE(BR363:BU363))</f>
        <v>0.83517275228417232</v>
      </c>
      <c r="BV379" s="680">
        <f>BV363</f>
        <v>0.83284516395089403</v>
      </c>
      <c r="BW379" s="378">
        <f>IF(BW363=0,0,AVERAGE(BW363,BS363:BU363))</f>
        <v>1.0062973702864992</v>
      </c>
      <c r="BX379" s="378">
        <f>IF(BX363=0,0,AVERAGE(BW363:BX363,BT363:BU363))</f>
        <v>1.1143522299974764</v>
      </c>
      <c r="BY379" s="378">
        <f>IF(BY363=0,0,AVERAGE(BW363:BY363,BU363))</f>
        <v>1.1393977914141189</v>
      </c>
      <c r="BZ379" s="378">
        <f>IF(BZ363=0,0,AVERAGE(BW363:BZ363))</f>
        <v>1.02161037842652</v>
      </c>
      <c r="CA379" s="680">
        <f>CA363</f>
        <v>1.0143609382479655</v>
      </c>
      <c r="CB379" s="378">
        <f>IF(CB363=0,0,AVERAGE(CB363,BX363:BZ363))</f>
        <v>1.0751371155329847</v>
      </c>
      <c r="CC379" s="378">
        <f>IF(CC363=0,0,AVERAGE(CB363:CC363,BY363:BZ363))</f>
        <v>1.0643120494268392</v>
      </c>
      <c r="CD379" s="378">
        <f>IF(CD363=0,0,AVERAGE(CB363:CD363,BZ363))</f>
        <v>1.177217492357213</v>
      </c>
      <c r="CE379" s="378">
        <f>IF(CE363=0,0,AVERAGE(CB363:CE363))</f>
        <v>1.2307718116565323</v>
      </c>
      <c r="CF379" s="680">
        <f t="shared" si="1490"/>
        <v>1.2278521067568502</v>
      </c>
      <c r="CG379" s="378">
        <f>IF(CG363=0,0,AVERAGE(CG363,CC363:CE363))</f>
        <v>1.0666117178104901</v>
      </c>
      <c r="CH379" s="378">
        <f>IF(CH363=0,0,AVERAGE(CG363:CH363,CD363:CE363))</f>
        <v>0.82118417325670734</v>
      </c>
      <c r="CI379" s="378">
        <f>IF(CI363=0,0,AVERAGE(CG363:CI363,CE363))</f>
        <v>0.72661083291565043</v>
      </c>
      <c r="CJ379" s="378">
        <f>IF(CJ363=0,0,AVERAGE(CG363:CJ363))</f>
        <v>0.56668901295190788</v>
      </c>
      <c r="CK379" s="680">
        <f t="shared" si="1491"/>
        <v>0.60222834676523984</v>
      </c>
      <c r="CL379" s="378">
        <f>IF(CL363=0,0,AVERAGE(CL363,CH363:CJ363))</f>
        <v>0.20015740258260928</v>
      </c>
      <c r="CM379" s="378">
        <f>IF(CM363=0,0,AVERAGE(CL363:CM363,CI363:CJ363))</f>
        <v>-0.13533582691906787</v>
      </c>
      <c r="CN379" s="378">
        <f>IF(CN363=0,0,AVERAGE(CL363:CN363,CJ363))</f>
        <v>-0.31974675758238558</v>
      </c>
      <c r="CO379" s="378">
        <f>IF(CO363=0,0,AVERAGE(CL363:CO363))</f>
        <v>-0.75281805834482707</v>
      </c>
      <c r="CP379" s="680">
        <f t="shared" si="1492"/>
        <v>-0.7349461810928849</v>
      </c>
      <c r="CQ379" s="378">
        <f>IF(CQ363=0,0,AVERAGE(CQ363,CM363:CO363))</f>
        <v>-0.35191655043914238</v>
      </c>
      <c r="CR379" s="378">
        <f>IF(CR363=0,0,AVERAGE(CQ363:CR363,CN363:CO363))</f>
        <v>0.19864793662883634</v>
      </c>
      <c r="CS379" s="378">
        <f>IF(CS363=0,0,AVERAGE(CQ363:CS363,CO363))</f>
        <v>0.47505336702817746</v>
      </c>
      <c r="CT379" s="378">
        <f>IF(CT363=0,0,AVERAGE(CQ363:CT363))</f>
        <v>1.1923151799771752</v>
      </c>
      <c r="CU379" s="680">
        <f t="shared" si="1493"/>
        <v>1.1816941206691713</v>
      </c>
      <c r="CV379" s="378">
        <f>IF(CV363=0,0,AVERAGE(CV363,CR363:CT363))</f>
        <v>1.1151835959319354</v>
      </c>
      <c r="CW379" s="378">
        <f>IF(CW363=0,0,AVERAGE(CV363:CW363,CS363:CT363))</f>
        <v>1.1247290781338672</v>
      </c>
      <c r="CX379" s="378">
        <f>IF(CX363=0,0,AVERAGE(CV363:CX363,CT363))</f>
        <v>1.2114401986583649</v>
      </c>
      <c r="CY379" s="378">
        <f>IF(CY363=0,0,AVERAGE(CV363:CY363))</f>
        <v>1.3571548750057731</v>
      </c>
      <c r="CZ379" s="680">
        <f t="shared" si="1494"/>
        <v>1.4316898871006485</v>
      </c>
      <c r="DA379" s="378">
        <f>IF(DA363=0,0,AVERAGE(DA363,CW363:CY363))</f>
        <v>1.5523339505831917</v>
      </c>
      <c r="DB379" s="378">
        <f>IF(DB363=0,0,AVERAGE(DA363:DB363,CX363:CY363))</f>
        <v>1.9141497390329714</v>
      </c>
      <c r="DC379" s="378">
        <f>IF(DC363=0,0,AVERAGE(DA363:DC363,CY363))</f>
        <v>2.2128773241828981</v>
      </c>
      <c r="DD379" s="378">
        <f>IF(DD363=0,0,AVERAGE(DA363:DD363))</f>
        <v>2.4484452610906478</v>
      </c>
      <c r="DE379" s="680">
        <f t="shared" si="1495"/>
        <v>2.4913618016813635</v>
      </c>
      <c r="DF379" s="378">
        <f t="shared" si="1523"/>
        <v>2.274481135103986</v>
      </c>
      <c r="DG379" s="378">
        <f t="shared" si="1523"/>
        <v>1.8850825753764866</v>
      </c>
      <c r="DH379" s="378">
        <f t="shared" si="1523"/>
        <v>1.6371717226294271</v>
      </c>
      <c r="DI379" s="378">
        <f t="shared" si="1523"/>
        <v>1.6059420268598994</v>
      </c>
      <c r="DJ379" s="680">
        <f t="shared" ref="DJ379" si="1546">DJ363</f>
        <v>0.98665002931581403</v>
      </c>
      <c r="DK379" s="378">
        <f t="shared" si="1523"/>
        <v>0.96627517062057011</v>
      </c>
      <c r="DL379" s="378">
        <f t="shared" si="1523"/>
        <v>2.343832345867503</v>
      </c>
      <c r="DM379" s="378">
        <f t="shared" si="1525"/>
        <v>2.6038518442593581</v>
      </c>
      <c r="DN379" s="378">
        <f t="shared" si="1526"/>
        <v>2.9080542453984926</v>
      </c>
      <c r="DO379" s="680">
        <f t="shared" ref="DO379" si="1547">DO363</f>
        <v>2.9318600985882433</v>
      </c>
      <c r="DP379" s="378">
        <f t="shared" si="1528"/>
        <v>2.9080542453984926</v>
      </c>
      <c r="DQ379" s="378">
        <f t="shared" si="1529"/>
        <v>1.9662346896550185</v>
      </c>
      <c r="DR379" s="378">
        <f t="shared" si="1530"/>
        <v>0</v>
      </c>
      <c r="DS379" s="378">
        <f t="shared" si="1531"/>
        <v>0</v>
      </c>
      <c r="DT379" s="680">
        <f t="shared" si="1498"/>
        <v>0</v>
      </c>
      <c r="DU379" s="378">
        <f t="shared" si="1532"/>
        <v>0</v>
      </c>
      <c r="DV379" s="378">
        <f t="shared" si="1533"/>
        <v>0</v>
      </c>
      <c r="DW379" s="378">
        <f t="shared" si="1534"/>
        <v>0</v>
      </c>
      <c r="DX379" s="378">
        <f t="shared" si="1535"/>
        <v>0</v>
      </c>
      <c r="DY379" s="680">
        <f t="shared" si="1499"/>
        <v>0</v>
      </c>
      <c r="DZ379" s="680">
        <f t="shared" ref="DZ379:EB379" si="1548">DZ363</f>
        <v>0</v>
      </c>
      <c r="EA379" s="680">
        <f t="shared" si="1548"/>
        <v>0</v>
      </c>
      <c r="EB379" s="680">
        <f t="shared" si="1548"/>
        <v>0</v>
      </c>
    </row>
    <row r="380" spans="2:132" s="241" customFormat="1" ht="12" hidden="1" customHeight="1" outlineLevel="1">
      <c r="B380" s="163" t="s">
        <v>124</v>
      </c>
      <c r="C380" s="353"/>
      <c r="D380" s="353"/>
      <c r="E380" s="353"/>
      <c r="F380" s="353"/>
      <c r="G380" s="353"/>
      <c r="H380" s="353"/>
      <c r="I380" s="353"/>
      <c r="J380" s="354"/>
      <c r="K380" s="354"/>
      <c r="L380" s="354"/>
      <c r="M380" s="354"/>
      <c r="N380" s="353"/>
      <c r="O380" s="354"/>
      <c r="P380" s="354"/>
      <c r="Q380" s="354"/>
      <c r="R380" s="354"/>
      <c r="S380" s="353"/>
      <c r="T380" s="354"/>
      <c r="U380" s="354"/>
      <c r="V380" s="354"/>
      <c r="W380" s="354"/>
      <c r="X380" s="353"/>
      <c r="Y380" s="354"/>
      <c r="Z380" s="354"/>
      <c r="AA380" s="354"/>
      <c r="AB380" s="354"/>
      <c r="AC380" s="353"/>
      <c r="AD380" s="354"/>
      <c r="AE380" s="354"/>
      <c r="AF380" s="354"/>
      <c r="AG380" s="354"/>
      <c r="AH380" s="353"/>
      <c r="AI380" s="354"/>
      <c r="AJ380" s="354"/>
      <c r="AK380" s="354"/>
      <c r="AL380" s="354"/>
      <c r="AM380" s="353"/>
      <c r="AN380" s="354"/>
      <c r="AO380" s="354"/>
      <c r="AP380" s="354"/>
      <c r="AQ380" s="354"/>
      <c r="AR380" s="353"/>
      <c r="AS380" s="354"/>
      <c r="AT380" s="354"/>
      <c r="AU380" s="354"/>
      <c r="AV380" s="354"/>
      <c r="AW380" s="353"/>
      <c r="AX380" s="354"/>
      <c r="AY380" s="354"/>
      <c r="AZ380" s="354"/>
      <c r="BA380" s="354"/>
      <c r="BB380" s="353"/>
      <c r="BC380" s="354"/>
      <c r="BD380" s="354"/>
      <c r="BE380" s="354"/>
      <c r="BF380" s="354"/>
      <c r="BG380" s="353"/>
      <c r="BH380" s="615"/>
      <c r="BI380" s="615"/>
      <c r="BJ380" s="615"/>
      <c r="BK380" s="615"/>
      <c r="BL380" s="14"/>
      <c r="BM380" s="615"/>
      <c r="BN380" s="615"/>
      <c r="BO380" s="615"/>
      <c r="BP380" s="615"/>
      <c r="BQ380" s="14"/>
      <c r="BR380" s="615"/>
      <c r="BS380" s="615"/>
      <c r="BT380" s="615"/>
      <c r="BU380" s="615"/>
      <c r="BV380" s="14"/>
      <c r="BW380" s="615"/>
      <c r="BX380" s="615"/>
      <c r="BY380" s="615"/>
      <c r="BZ380" s="615"/>
      <c r="CA380" s="14"/>
      <c r="CB380" s="615"/>
      <c r="CC380" s="615"/>
      <c r="CD380" s="615"/>
      <c r="CE380" s="615"/>
      <c r="CF380" s="14"/>
      <c r="CG380" s="615"/>
      <c r="CH380" s="615"/>
      <c r="CI380" s="615"/>
      <c r="CJ380" s="615"/>
      <c r="CK380" s="14"/>
      <c r="CL380" s="615"/>
      <c r="CM380" s="615"/>
      <c r="CN380" s="615"/>
      <c r="CO380" s="615"/>
      <c r="CP380" s="14"/>
      <c r="CQ380" s="615"/>
      <c r="CR380" s="615"/>
      <c r="CS380" s="615"/>
      <c r="CT380" s="615"/>
      <c r="CU380" s="14"/>
      <c r="CV380" s="615"/>
      <c r="CW380" s="615"/>
      <c r="CX380" s="615"/>
      <c r="CY380" s="615"/>
      <c r="CZ380" s="14"/>
      <c r="DA380" s="615"/>
      <c r="DB380" s="615"/>
      <c r="DC380" s="615"/>
      <c r="DD380" s="615"/>
      <c r="DE380" s="14"/>
      <c r="DF380" s="615"/>
      <c r="DG380" s="615"/>
      <c r="DH380" s="615"/>
      <c r="DI380" s="615"/>
      <c r="DJ380" s="14"/>
      <c r="DK380" s="615"/>
      <c r="DL380" s="615"/>
      <c r="DM380" s="615"/>
      <c r="DN380" s="615"/>
      <c r="DO380" s="14"/>
      <c r="DP380" s="615"/>
      <c r="DQ380" s="615"/>
      <c r="DR380" s="615"/>
      <c r="DS380" s="615"/>
      <c r="DT380" s="14"/>
      <c r="DU380" s="615"/>
      <c r="DV380" s="615"/>
      <c r="DW380" s="615"/>
      <c r="DX380" s="615"/>
      <c r="DY380" s="14"/>
      <c r="DZ380" s="14"/>
      <c r="EA380" s="14"/>
      <c r="EB380" s="14"/>
    </row>
    <row r="381" spans="2:132" s="241" customFormat="1" ht="12" hidden="1" customHeight="1" outlineLevel="1">
      <c r="B381" s="241" t="s">
        <v>105</v>
      </c>
      <c r="C381" s="314">
        <f>Data!C294</f>
        <v>1208</v>
      </c>
      <c r="D381" s="314">
        <f>Data!D294</f>
        <v>1021</v>
      </c>
      <c r="E381" s="314">
        <f>Data!E294</f>
        <v>585</v>
      </c>
      <c r="F381" s="314">
        <f>Data!F294</f>
        <v>585</v>
      </c>
      <c r="G381" s="314">
        <f>Data!G294</f>
        <v>858</v>
      </c>
      <c r="H381" s="314">
        <f>Data!H294</f>
        <v>768</v>
      </c>
      <c r="I381" s="314">
        <f>Data!I294</f>
        <v>676</v>
      </c>
      <c r="J381" s="315">
        <f>Data!J294</f>
        <v>225</v>
      </c>
      <c r="K381" s="315">
        <f>Data!K294</f>
        <v>251</v>
      </c>
      <c r="L381" s="315">
        <f>Data!L294</f>
        <v>220</v>
      </c>
      <c r="M381" s="315">
        <f>Data!M294</f>
        <v>245</v>
      </c>
      <c r="N381" s="314">
        <f>SUM(J381:M381)</f>
        <v>941</v>
      </c>
      <c r="O381" s="315">
        <f>Data!O294</f>
        <v>291</v>
      </c>
      <c r="P381" s="315">
        <f>Data!P294</f>
        <v>343</v>
      </c>
      <c r="Q381" s="315">
        <f>Data!Q294</f>
        <v>287</v>
      </c>
      <c r="R381" s="315">
        <f>Data!R294</f>
        <v>381</v>
      </c>
      <c r="S381" s="314">
        <f t="shared" ref="S381:S388" si="1549">SUM(O381:R381)</f>
        <v>1302</v>
      </c>
      <c r="T381" s="315">
        <f>Data!T294</f>
        <v>530</v>
      </c>
      <c r="U381" s="315">
        <f>Data!U294</f>
        <v>526</v>
      </c>
      <c r="V381" s="315">
        <f>Data!V294</f>
        <v>612</v>
      </c>
      <c r="W381" s="315">
        <f>Data!W294</f>
        <v>722</v>
      </c>
      <c r="X381" s="314">
        <f>SUM(T381:W381)</f>
        <v>2390</v>
      </c>
      <c r="Y381" s="315">
        <f>Data!Y294</f>
        <v>788</v>
      </c>
      <c r="Z381" s="315">
        <f>Data!Z294</f>
        <v>769</v>
      </c>
      <c r="AA381" s="315">
        <f>Data!AA294</f>
        <v>635</v>
      </c>
      <c r="AB381" s="315">
        <f>Data!AB294</f>
        <v>770</v>
      </c>
      <c r="AC381" s="314">
        <f>SUM(Y381:AB381)</f>
        <v>2962</v>
      </c>
      <c r="AD381" s="315">
        <f>Data!AD294</f>
        <v>633</v>
      </c>
      <c r="AE381" s="315">
        <f>Data!AE294</f>
        <v>770</v>
      </c>
      <c r="AF381" s="315">
        <f>Data!AF294</f>
        <v>705</v>
      </c>
      <c r="AG381" s="315">
        <f>Data!AG294</f>
        <v>730</v>
      </c>
      <c r="AH381" s="314">
        <f>SUM(AD381:AG381)</f>
        <v>2838</v>
      </c>
      <c r="AI381" s="315">
        <f>Data!AI294</f>
        <v>711</v>
      </c>
      <c r="AJ381" s="315">
        <f>Data!AJ294</f>
        <v>659</v>
      </c>
      <c r="AK381" s="315">
        <f>Data!AK294</f>
        <v>3272</v>
      </c>
      <c r="AL381" s="315">
        <f>Data!AL294</f>
        <v>741</v>
      </c>
      <c r="AM381" s="314">
        <f>IF(AL381=0,0,SUM(AI381:AL381))</f>
        <v>5383</v>
      </c>
      <c r="AN381" s="315">
        <f>Data!AN294</f>
        <v>698</v>
      </c>
      <c r="AO381" s="315">
        <f>Data!AO294</f>
        <v>693</v>
      </c>
      <c r="AP381" s="474"/>
      <c r="AQ381" s="474"/>
      <c r="AR381" s="314">
        <f>IF(AQ381=0,0,SUM(AN381:AQ381))</f>
        <v>0</v>
      </c>
      <c r="AS381" s="315">
        <f>Data!AS294</f>
        <v>787</v>
      </c>
      <c r="AT381" s="315">
        <f>Data!AT294</f>
        <v>771</v>
      </c>
      <c r="AU381" s="315">
        <f>Data!AU294</f>
        <v>633</v>
      </c>
      <c r="AV381" s="315">
        <f>Data!AV294</f>
        <v>524</v>
      </c>
      <c r="AW381" s="314">
        <f>Data!AW294</f>
        <v>2715</v>
      </c>
      <c r="AX381" s="315">
        <f>Data!AX294</f>
        <v>544</v>
      </c>
      <c r="AY381" s="315">
        <f>Data!AY294</f>
        <v>560</v>
      </c>
      <c r="AZ381" s="315">
        <f>Data!AZ294</f>
        <v>534</v>
      </c>
      <c r="BA381" s="315">
        <f>Data!BA294</f>
        <v>411</v>
      </c>
      <c r="BB381" s="314">
        <f>Data!BB294</f>
        <v>2049</v>
      </c>
      <c r="BC381" s="315">
        <f>Data!BC294</f>
        <v>419</v>
      </c>
      <c r="BD381" s="315">
        <f>Data!BD294</f>
        <v>446</v>
      </c>
      <c r="BE381" s="315">
        <f>Data!BE294</f>
        <v>432</v>
      </c>
      <c r="BF381" s="315">
        <f>Data!BF294</f>
        <v>510</v>
      </c>
      <c r="BG381" s="314">
        <f>Data!BG294</f>
        <v>1807</v>
      </c>
      <c r="BH381" s="620">
        <f>Data!BH294</f>
        <v>529</v>
      </c>
      <c r="BI381" s="620">
        <f>Data!BI294</f>
        <v>441</v>
      </c>
      <c r="BJ381" s="620">
        <f>Data!BJ294</f>
        <v>452</v>
      </c>
      <c r="BK381" s="620">
        <f>Data!BK294</f>
        <v>459</v>
      </c>
      <c r="BL381" s="630">
        <f>Data!BL294</f>
        <v>1881</v>
      </c>
      <c r="BM381" s="620">
        <f>Data!BM294</f>
        <v>543</v>
      </c>
      <c r="BN381" s="620">
        <f>Data!BN294</f>
        <v>554</v>
      </c>
      <c r="BO381" s="620">
        <f>Data!BO294</f>
        <v>616</v>
      </c>
      <c r="BP381" s="620">
        <f>Data!BP294</f>
        <v>627</v>
      </c>
      <c r="BQ381" s="630">
        <f>Data!BQ294</f>
        <v>2340</v>
      </c>
      <c r="BR381" s="620">
        <f>Data!BR294</f>
        <v>659</v>
      </c>
      <c r="BS381" s="620">
        <f>Data!BS294</f>
        <v>1860</v>
      </c>
      <c r="BT381" s="620">
        <f>Data!BT294</f>
        <v>633</v>
      </c>
      <c r="BU381" s="620">
        <f>Data!BU294</f>
        <v>554</v>
      </c>
      <c r="BV381" s="630">
        <f>Data!BV294</f>
        <v>3706</v>
      </c>
      <c r="BW381" s="620">
        <f>Data!BW294</f>
        <v>625</v>
      </c>
      <c r="BX381" s="620">
        <f>Data!BX294</f>
        <v>592</v>
      </c>
      <c r="BY381" s="620">
        <f>Data!BY294</f>
        <v>538</v>
      </c>
      <c r="BZ381" s="620">
        <f>Data!BZ294</f>
        <v>492</v>
      </c>
      <c r="CA381" s="630">
        <f>Data!CA294</f>
        <v>2247</v>
      </c>
      <c r="CB381" s="620">
        <f>Data!CB294</f>
        <v>549</v>
      </c>
      <c r="CC381" s="620">
        <f>Data!CC294</f>
        <v>550</v>
      </c>
      <c r="CD381" s="620">
        <f>Data!CD294</f>
        <v>517</v>
      </c>
      <c r="CE381" s="620">
        <f>Data!CE294</f>
        <v>572</v>
      </c>
      <c r="CF381" s="630">
        <f>Data!CF294</f>
        <v>2188</v>
      </c>
      <c r="CG381" s="620"/>
      <c r="CH381" s="620"/>
      <c r="CI381" s="620"/>
      <c r="CJ381" s="620"/>
      <c r="CK381" s="630">
        <f>Data!CK294</f>
        <v>1956</v>
      </c>
      <c r="CL381" s="620">
        <f>Data!CL294</f>
        <v>425</v>
      </c>
      <c r="CM381" s="620">
        <f>Data!CM294</f>
        <v>361</v>
      </c>
      <c r="CN381" s="620"/>
      <c r="CO381" s="620"/>
      <c r="CP381" s="630">
        <f>Data!CP294</f>
        <v>1385</v>
      </c>
      <c r="CQ381" s="620"/>
      <c r="CR381" s="620"/>
      <c r="CS381" s="620"/>
      <c r="CT381" s="620"/>
      <c r="CU381" s="630">
        <f>Data!CU294</f>
        <v>1140</v>
      </c>
      <c r="CV381" s="620"/>
      <c r="CW381" s="620"/>
      <c r="CX381" s="620"/>
      <c r="CY381" s="620"/>
      <c r="CZ381" s="630">
        <f>Data!CZ294</f>
        <v>1510</v>
      </c>
      <c r="DA381" s="620"/>
      <c r="DB381" s="620"/>
      <c r="DC381" s="620"/>
      <c r="DD381" s="620"/>
      <c r="DE381" s="630">
        <f>Data!DE294</f>
        <v>2036</v>
      </c>
      <c r="DF381" s="620"/>
      <c r="DG381" s="620"/>
      <c r="DH381" s="620"/>
      <c r="DI381" s="620"/>
      <c r="DJ381" s="630">
        <f>Data!DJ294</f>
        <v>2386</v>
      </c>
      <c r="DK381" s="620"/>
      <c r="DL381" s="620"/>
      <c r="DM381" s="620"/>
      <c r="DN381" s="620"/>
      <c r="DO381" s="630">
        <f>Data!DO294</f>
        <v>2202</v>
      </c>
      <c r="DP381" s="620"/>
      <c r="DQ381" s="620"/>
      <c r="DR381" s="620"/>
      <c r="DS381" s="620"/>
      <c r="DT381" s="630">
        <f>Data!DT294</f>
        <v>0</v>
      </c>
      <c r="DU381" s="620"/>
      <c r="DV381" s="620"/>
      <c r="DW381" s="620"/>
      <c r="DX381" s="620"/>
      <c r="DY381" s="630">
        <f>Data!DY294</f>
        <v>0</v>
      </c>
      <c r="DZ381" s="630">
        <f>Data!DZ294</f>
        <v>0</v>
      </c>
      <c r="EA381" s="630">
        <f>Data!EA294</f>
        <v>0</v>
      </c>
      <c r="EB381" s="630">
        <f>Data!EB294</f>
        <v>0</v>
      </c>
    </row>
    <row r="382" spans="2:132" s="241" customFormat="1" ht="12" hidden="1" customHeight="1" outlineLevel="2">
      <c r="B382" s="324" t="s">
        <v>106</v>
      </c>
      <c r="C382" s="331"/>
      <c r="D382" s="331"/>
      <c r="E382" s="331"/>
      <c r="F382" s="331"/>
      <c r="G382" s="331"/>
      <c r="H382" s="331"/>
      <c r="I382" s="331"/>
      <c r="J382" s="332"/>
      <c r="K382" s="332"/>
      <c r="L382" s="332"/>
      <c r="M382" s="332"/>
      <c r="N382" s="331"/>
      <c r="O382" s="332">
        <f>Data!O295</f>
        <v>94</v>
      </c>
      <c r="P382" s="332">
        <f>Data!P295</f>
        <v>116</v>
      </c>
      <c r="Q382" s="332">
        <f>Data!Q295</f>
        <v>118</v>
      </c>
      <c r="R382" s="332">
        <f>Data!R295</f>
        <v>112</v>
      </c>
      <c r="S382" s="331">
        <f t="shared" si="1549"/>
        <v>440</v>
      </c>
      <c r="T382" s="332">
        <f>Data!T295</f>
        <v>106</v>
      </c>
      <c r="U382" s="332">
        <f>Data!U295</f>
        <v>101</v>
      </c>
      <c r="V382" s="332">
        <f>Data!V295</f>
        <v>90</v>
      </c>
      <c r="W382" s="332">
        <f>Data!W295</f>
        <v>107</v>
      </c>
      <c r="X382" s="331">
        <f>SUM(T382:W382)</f>
        <v>404</v>
      </c>
      <c r="Y382" s="332">
        <f>Data!Y295</f>
        <v>110</v>
      </c>
      <c r="Z382" s="332">
        <f>Data!Z295</f>
        <v>110</v>
      </c>
      <c r="AA382" s="332">
        <f>Data!AA295</f>
        <v>118</v>
      </c>
      <c r="AB382" s="332">
        <f>Data!AB295</f>
        <v>109</v>
      </c>
      <c r="AC382" s="331">
        <f>SUM(Y382:AB382)</f>
        <v>447</v>
      </c>
      <c r="AD382" s="332">
        <f>Data!AD295</f>
        <v>125</v>
      </c>
      <c r="AE382" s="332">
        <f>Data!AE295</f>
        <v>115</v>
      </c>
      <c r="AF382" s="332">
        <f>Data!AF295</f>
        <v>121</v>
      </c>
      <c r="AG382" s="332">
        <f>Data!AG295</f>
        <v>121</v>
      </c>
      <c r="AH382" s="331">
        <f>SUM(AD382:AG382)</f>
        <v>482</v>
      </c>
      <c r="AI382" s="332">
        <f>Data!AI295</f>
        <v>130</v>
      </c>
      <c r="AJ382" s="332">
        <f>Data!AJ295</f>
        <v>157</v>
      </c>
      <c r="AK382" s="332">
        <f>Data!AK295</f>
        <v>143</v>
      </c>
      <c r="AL382" s="332">
        <f>Data!AL295</f>
        <v>111</v>
      </c>
      <c r="AM382" s="331">
        <f>IF(AL382=0,0,SUM(AI382:AL382))</f>
        <v>541</v>
      </c>
      <c r="AN382" s="332">
        <f>Data!AN295</f>
        <v>162</v>
      </c>
      <c r="AO382" s="332">
        <f>Data!AO295</f>
        <v>158</v>
      </c>
      <c r="AP382" s="332">
        <f>Data!AP295</f>
        <v>139</v>
      </c>
      <c r="AQ382" s="332">
        <f>Data!AQ295</f>
        <v>130</v>
      </c>
      <c r="AR382" s="331">
        <f>Data!AR295</f>
        <v>589</v>
      </c>
      <c r="AS382" s="332">
        <f>Data!AS295</f>
        <v>125</v>
      </c>
      <c r="AT382" s="332">
        <f>Data!AT295</f>
        <v>125</v>
      </c>
      <c r="AU382" s="332">
        <f>Data!AU295</f>
        <v>119</v>
      </c>
      <c r="AV382" s="332">
        <f>Data!AV295</f>
        <v>172</v>
      </c>
      <c r="AW382" s="331">
        <f>Data!AW295</f>
        <v>541</v>
      </c>
      <c r="AX382" s="332">
        <f>Data!AX295</f>
        <v>145</v>
      </c>
      <c r="AY382" s="332">
        <f>Data!AY295</f>
        <v>144</v>
      </c>
      <c r="AZ382" s="332">
        <f>Data!AZ295</f>
        <v>166</v>
      </c>
      <c r="BA382" s="332">
        <f>Data!BA295</f>
        <v>0</v>
      </c>
      <c r="BB382" s="331">
        <f>Data!BB295</f>
        <v>0</v>
      </c>
      <c r="BC382" s="332">
        <f>Data!BC295</f>
        <v>0</v>
      </c>
      <c r="BD382" s="332">
        <f>Data!BD295</f>
        <v>0</v>
      </c>
      <c r="BE382" s="332">
        <f>Data!BE295</f>
        <v>0</v>
      </c>
      <c r="BF382" s="332">
        <f>Data!BF295</f>
        <v>0</v>
      </c>
      <c r="BG382" s="331">
        <f>Data!BG295</f>
        <v>0</v>
      </c>
      <c r="BH382" s="650">
        <f>Data!BH295</f>
        <v>0</v>
      </c>
      <c r="BI382" s="650">
        <f>Data!BI295</f>
        <v>0</v>
      </c>
      <c r="BJ382" s="650">
        <f>Data!BJ295</f>
        <v>0</v>
      </c>
      <c r="BK382" s="650">
        <f>Data!BK295</f>
        <v>0</v>
      </c>
      <c r="BL382" s="651">
        <f>Data!BL295</f>
        <v>0</v>
      </c>
      <c r="BM382" s="650">
        <f>Data!BM295</f>
        <v>0</v>
      </c>
      <c r="BN382" s="650">
        <f>Data!BN295</f>
        <v>0</v>
      </c>
      <c r="BO382" s="650">
        <f>Data!BO295</f>
        <v>0</v>
      </c>
      <c r="BP382" s="650">
        <f>Data!BP295</f>
        <v>0</v>
      </c>
      <c r="BQ382" s="651">
        <f>Data!BQ295</f>
        <v>0</v>
      </c>
      <c r="BR382" s="650">
        <f>Data!BR295</f>
        <v>0</v>
      </c>
      <c r="BS382" s="650">
        <f>Data!BS295</f>
        <v>0</v>
      </c>
      <c r="BT382" s="650">
        <f>Data!BT295</f>
        <v>0</v>
      </c>
      <c r="BU382" s="650">
        <f>Data!BU295</f>
        <v>0</v>
      </c>
      <c r="BV382" s="651">
        <f>Data!BV295</f>
        <v>0</v>
      </c>
      <c r="BW382" s="650">
        <f>Data!BW295</f>
        <v>0</v>
      </c>
      <c r="BX382" s="650">
        <f>Data!BX295</f>
        <v>0</v>
      </c>
      <c r="BY382" s="650"/>
      <c r="BZ382" s="650"/>
      <c r="CA382" s="651"/>
      <c r="CB382" s="650"/>
      <c r="CC382" s="650"/>
      <c r="CD382" s="650"/>
      <c r="CE382" s="650"/>
      <c r="CF382" s="651"/>
      <c r="CG382" s="650"/>
      <c r="CH382" s="650"/>
      <c r="CI382" s="650"/>
      <c r="CJ382" s="650"/>
      <c r="CK382" s="651"/>
      <c r="CL382" s="650"/>
      <c r="CM382" s="650"/>
      <c r="CN382" s="650"/>
      <c r="CO382" s="650"/>
      <c r="CP382" s="651"/>
      <c r="CQ382" s="650"/>
      <c r="CR382" s="650"/>
      <c r="CS382" s="650"/>
      <c r="CT382" s="650"/>
      <c r="CU382" s="651"/>
      <c r="CV382" s="650"/>
      <c r="CW382" s="650"/>
      <c r="CX382" s="650"/>
      <c r="CY382" s="650"/>
      <c r="CZ382" s="651"/>
      <c r="DA382" s="650"/>
      <c r="DB382" s="650"/>
      <c r="DC382" s="650"/>
      <c r="DD382" s="650"/>
      <c r="DE382" s="651"/>
      <c r="DF382" s="650"/>
      <c r="DG382" s="650"/>
      <c r="DH382" s="650"/>
      <c r="DI382" s="650"/>
      <c r="DJ382" s="651"/>
      <c r="DK382" s="650"/>
      <c r="DL382" s="650"/>
      <c r="DM382" s="650"/>
      <c r="DN382" s="650"/>
      <c r="DO382" s="651"/>
      <c r="DP382" s="650"/>
      <c r="DQ382" s="650"/>
      <c r="DR382" s="650"/>
      <c r="DS382" s="650"/>
      <c r="DT382" s="651"/>
      <c r="DU382" s="650"/>
      <c r="DV382" s="650"/>
      <c r="DW382" s="650"/>
      <c r="DX382" s="650"/>
      <c r="DY382" s="651"/>
      <c r="DZ382" s="651"/>
      <c r="EA382" s="651"/>
      <c r="EB382" s="651"/>
    </row>
    <row r="383" spans="2:132" s="241" customFormat="1" ht="12" hidden="1" customHeight="1" outlineLevel="2">
      <c r="B383" s="311" t="s">
        <v>107</v>
      </c>
      <c r="C383" s="314"/>
      <c r="D383" s="314"/>
      <c r="E383" s="314"/>
      <c r="F383" s="314"/>
      <c r="G383" s="314"/>
      <c r="H383" s="314"/>
      <c r="I383" s="314"/>
      <c r="J383" s="315"/>
      <c r="K383" s="315"/>
      <c r="L383" s="315"/>
      <c r="M383" s="315"/>
      <c r="N383" s="314"/>
      <c r="O383" s="315">
        <f>Data!O296</f>
        <v>78</v>
      </c>
      <c r="P383" s="315">
        <f>Data!P296</f>
        <v>96</v>
      </c>
      <c r="Q383" s="315">
        <f>Data!Q296</f>
        <v>84</v>
      </c>
      <c r="R383" s="315">
        <f>Data!R296</f>
        <v>76</v>
      </c>
      <c r="S383" s="314">
        <f t="shared" si="1549"/>
        <v>334</v>
      </c>
      <c r="T383" s="315">
        <f>Data!T296</f>
        <v>77</v>
      </c>
      <c r="U383" s="315">
        <f>Data!U296</f>
        <v>80</v>
      </c>
      <c r="V383" s="315">
        <f>Data!V296</f>
        <v>68</v>
      </c>
      <c r="W383" s="315">
        <f>Data!W296</f>
        <v>76</v>
      </c>
      <c r="X383" s="314">
        <f>SUM(T383:W383)</f>
        <v>301</v>
      </c>
      <c r="Y383" s="315">
        <f>Data!Y296</f>
        <v>73</v>
      </c>
      <c r="Z383" s="315">
        <f>Data!Z296</f>
        <v>76</v>
      </c>
      <c r="AA383" s="315">
        <f>Data!AA296</f>
        <v>82</v>
      </c>
      <c r="AB383" s="315">
        <f>Data!AB296</f>
        <v>69</v>
      </c>
      <c r="AC383" s="314">
        <f>SUM(Y383:AB383)</f>
        <v>300</v>
      </c>
      <c r="AD383" s="315">
        <f>Data!AD296</f>
        <v>76</v>
      </c>
      <c r="AE383" s="315">
        <f>Data!AE296</f>
        <v>78</v>
      </c>
      <c r="AF383" s="315">
        <f>Data!AF296</f>
        <v>73</v>
      </c>
      <c r="AG383" s="315">
        <f>Data!AG296</f>
        <v>71</v>
      </c>
      <c r="AH383" s="314">
        <f>SUM(AD383:AG383)</f>
        <v>298</v>
      </c>
      <c r="AI383" s="315">
        <f>Data!AI296</f>
        <v>86</v>
      </c>
      <c r="AJ383" s="315">
        <f>Data!AJ296</f>
        <v>99</v>
      </c>
      <c r="AK383" s="315">
        <f>Data!AK296</f>
        <v>108</v>
      </c>
      <c r="AL383" s="315">
        <f>Data!AL296</f>
        <v>104</v>
      </c>
      <c r="AM383" s="314">
        <f>IF(AL383=0,0,SUM(AI383:AL383))</f>
        <v>397</v>
      </c>
      <c r="AN383" s="315">
        <f>Data!AN296</f>
        <v>106</v>
      </c>
      <c r="AO383" s="315">
        <f>Data!AO296</f>
        <v>115</v>
      </c>
      <c r="AP383" s="315">
        <f>Data!AP296</f>
        <v>106</v>
      </c>
      <c r="AQ383" s="315">
        <f>Data!AQ296</f>
        <v>90</v>
      </c>
      <c r="AR383" s="314">
        <f>Data!AR296</f>
        <v>417</v>
      </c>
      <c r="AS383" s="315">
        <f>Data!AS296</f>
        <v>104</v>
      </c>
      <c r="AT383" s="315">
        <f>Data!AT296</f>
        <v>107</v>
      </c>
      <c r="AU383" s="315">
        <f>Data!AU296</f>
        <v>109</v>
      </c>
      <c r="AV383" s="315">
        <f>Data!AV296</f>
        <v>156</v>
      </c>
      <c r="AW383" s="314">
        <f>Data!AW296</f>
        <v>476</v>
      </c>
      <c r="AX383" s="315">
        <f>Data!AX296</f>
        <v>107</v>
      </c>
      <c r="AY383" s="315">
        <f>Data!AY296</f>
        <v>112</v>
      </c>
      <c r="AZ383" s="315">
        <f>Data!AZ296</f>
        <v>116</v>
      </c>
      <c r="BA383" s="315">
        <f>Data!BA296</f>
        <v>0</v>
      </c>
      <c r="BB383" s="314">
        <f>Data!BB296</f>
        <v>0</v>
      </c>
      <c r="BC383" s="315">
        <f>Data!BC296</f>
        <v>0</v>
      </c>
      <c r="BD383" s="315">
        <f>Data!BD296</f>
        <v>0</v>
      </c>
      <c r="BE383" s="315">
        <f>Data!BE296</f>
        <v>0</v>
      </c>
      <c r="BF383" s="315">
        <f>Data!BF296</f>
        <v>0</v>
      </c>
      <c r="BG383" s="314">
        <f>Data!BG296</f>
        <v>0</v>
      </c>
      <c r="BH383" s="620">
        <f>Data!BH296</f>
        <v>0</v>
      </c>
      <c r="BI383" s="620">
        <f>Data!BI296</f>
        <v>0</v>
      </c>
      <c r="BJ383" s="620">
        <f>Data!BJ296</f>
        <v>0</v>
      </c>
      <c r="BK383" s="620">
        <f>Data!BK296</f>
        <v>0</v>
      </c>
      <c r="BL383" s="630">
        <f>Data!BL296</f>
        <v>0</v>
      </c>
      <c r="BM383" s="620">
        <f>Data!BM296</f>
        <v>0</v>
      </c>
      <c r="BN383" s="620">
        <f>Data!BN296</f>
        <v>0</v>
      </c>
      <c r="BO383" s="620">
        <f>Data!BO296</f>
        <v>0</v>
      </c>
      <c r="BP383" s="620">
        <f>Data!BP296</f>
        <v>0</v>
      </c>
      <c r="BQ383" s="630">
        <f>Data!BQ296</f>
        <v>0</v>
      </c>
      <c r="BR383" s="620">
        <f>Data!BR296</f>
        <v>0</v>
      </c>
      <c r="BS383" s="620">
        <f>Data!BS296</f>
        <v>0</v>
      </c>
      <c r="BT383" s="620">
        <f>Data!BT296</f>
        <v>0</v>
      </c>
      <c r="BU383" s="620">
        <f>Data!BU296</f>
        <v>0</v>
      </c>
      <c r="BV383" s="630">
        <f>Data!BV296</f>
        <v>0</v>
      </c>
      <c r="BW383" s="620">
        <f>Data!BW296</f>
        <v>0</v>
      </c>
      <c r="BX383" s="620">
        <f>Data!BX296</f>
        <v>0</v>
      </c>
      <c r="BY383" s="620"/>
      <c r="BZ383" s="620"/>
      <c r="CA383" s="630"/>
      <c r="CB383" s="620"/>
      <c r="CC383" s="620"/>
      <c r="CD383" s="620"/>
      <c r="CE383" s="620"/>
      <c r="CF383" s="630"/>
      <c r="CG383" s="620"/>
      <c r="CH383" s="620"/>
      <c r="CI383" s="620"/>
      <c r="CJ383" s="620"/>
      <c r="CK383" s="630"/>
      <c r="CL383" s="620"/>
      <c r="CM383" s="620"/>
      <c r="CN383" s="620"/>
      <c r="CO383" s="620"/>
      <c r="CP383" s="630"/>
      <c r="CQ383" s="620"/>
      <c r="CR383" s="620"/>
      <c r="CS383" s="620"/>
      <c r="CT383" s="620"/>
      <c r="CU383" s="630"/>
      <c r="CV383" s="620"/>
      <c r="CW383" s="620"/>
      <c r="CX383" s="620"/>
      <c r="CY383" s="620"/>
      <c r="CZ383" s="630"/>
      <c r="DA383" s="620"/>
      <c r="DB383" s="620"/>
      <c r="DC383" s="620"/>
      <c r="DD383" s="620"/>
      <c r="DE383" s="630"/>
      <c r="DF383" s="620"/>
      <c r="DG383" s="620"/>
      <c r="DH383" s="620"/>
      <c r="DI383" s="620"/>
      <c r="DJ383" s="630"/>
      <c r="DK383" s="620"/>
      <c r="DL383" s="620"/>
      <c r="DM383" s="620"/>
      <c r="DN383" s="620"/>
      <c r="DO383" s="630"/>
      <c r="DP383" s="620"/>
      <c r="DQ383" s="620"/>
      <c r="DR383" s="620"/>
      <c r="DS383" s="620"/>
      <c r="DT383" s="630"/>
      <c r="DU383" s="620"/>
      <c r="DV383" s="620"/>
      <c r="DW383" s="620"/>
      <c r="DX383" s="620"/>
      <c r="DY383" s="630"/>
      <c r="DZ383" s="630"/>
      <c r="EA383" s="630"/>
      <c r="EB383" s="630"/>
    </row>
    <row r="384" spans="2:132" s="241" customFormat="1" ht="12" hidden="1" customHeight="1" outlineLevel="2">
      <c r="B384" s="312" t="s">
        <v>108</v>
      </c>
      <c r="C384" s="314"/>
      <c r="D384" s="314"/>
      <c r="E384" s="314"/>
      <c r="F384" s="314"/>
      <c r="G384" s="314"/>
      <c r="H384" s="314"/>
      <c r="I384" s="314"/>
      <c r="J384" s="315"/>
      <c r="K384" s="315"/>
      <c r="L384" s="315"/>
      <c r="M384" s="315"/>
      <c r="N384" s="314"/>
      <c r="O384" s="315">
        <f>Data!O297</f>
        <v>18</v>
      </c>
      <c r="P384" s="315">
        <f>Data!P297</f>
        <v>21</v>
      </c>
      <c r="Q384" s="315">
        <f>Data!Q297</f>
        <v>21</v>
      </c>
      <c r="R384" s="315">
        <f>Data!R297</f>
        <v>21</v>
      </c>
      <c r="S384" s="314">
        <f t="shared" si="1549"/>
        <v>81</v>
      </c>
      <c r="T384" s="315">
        <f>Data!T297</f>
        <v>23</v>
      </c>
      <c r="U384" s="315">
        <f>Data!U297</f>
        <v>19</v>
      </c>
      <c r="V384" s="315">
        <f>Data!V297</f>
        <v>21</v>
      </c>
      <c r="W384" s="315">
        <f>Data!W297</f>
        <v>23</v>
      </c>
      <c r="X384" s="314">
        <f>SUM(T384:W384)</f>
        <v>86</v>
      </c>
      <c r="Y384" s="315">
        <f>Data!Y297</f>
        <v>23</v>
      </c>
      <c r="Z384" s="315">
        <f>Data!Z297</f>
        <v>24</v>
      </c>
      <c r="AA384" s="315">
        <f>Data!AA297</f>
        <v>27</v>
      </c>
      <c r="AB384" s="315">
        <f>Data!AB297</f>
        <v>30</v>
      </c>
      <c r="AC384" s="314">
        <f>SUM(Y384:AB384)</f>
        <v>104</v>
      </c>
      <c r="AD384" s="315">
        <f>Data!AD297</f>
        <v>34</v>
      </c>
      <c r="AE384" s="315">
        <f>Data!AE297</f>
        <v>41</v>
      </c>
      <c r="AF384" s="315">
        <f>Data!AF297</f>
        <v>38</v>
      </c>
      <c r="AG384" s="315">
        <f>Data!AG297</f>
        <v>40</v>
      </c>
      <c r="AH384" s="314">
        <f>SUM(AD384:AG384)</f>
        <v>153</v>
      </c>
      <c r="AI384" s="315">
        <f>Data!AI297</f>
        <v>34</v>
      </c>
      <c r="AJ384" s="315">
        <f>Data!AJ297</f>
        <v>50</v>
      </c>
      <c r="AK384" s="315">
        <f>Data!AK297</f>
        <v>42</v>
      </c>
      <c r="AL384" s="315">
        <f>Data!AL297</f>
        <v>37</v>
      </c>
      <c r="AM384" s="314">
        <f>IF(AL384=0,0,SUM(AI384:AL384))</f>
        <v>163</v>
      </c>
      <c r="AN384" s="315">
        <f>Data!AN297</f>
        <v>34</v>
      </c>
      <c r="AO384" s="315">
        <f>Data!AO297</f>
        <v>35</v>
      </c>
      <c r="AP384" s="315">
        <f>Data!AP297</f>
        <v>30</v>
      </c>
      <c r="AQ384" s="315">
        <f>Data!AQ297</f>
        <v>31</v>
      </c>
      <c r="AR384" s="314">
        <f>Data!AR297</f>
        <v>130</v>
      </c>
      <c r="AS384" s="315">
        <f>Data!AS297</f>
        <v>32</v>
      </c>
      <c r="AT384" s="315">
        <f>Data!AT297</f>
        <v>30</v>
      </c>
      <c r="AU384" s="315">
        <f>Data!AU297</f>
        <v>22</v>
      </c>
      <c r="AV384" s="315">
        <f>Data!AV297</f>
        <v>37</v>
      </c>
      <c r="AW384" s="314">
        <f>Data!AW297</f>
        <v>121</v>
      </c>
      <c r="AX384" s="315">
        <f>Data!AX297</f>
        <v>29</v>
      </c>
      <c r="AY384" s="315">
        <f>Data!AY297</f>
        <v>25</v>
      </c>
      <c r="AZ384" s="315">
        <f>Data!AZ297</f>
        <v>24</v>
      </c>
      <c r="BA384" s="315">
        <f>Data!BA297</f>
        <v>0</v>
      </c>
      <c r="BB384" s="314">
        <f>Data!BB297</f>
        <v>0</v>
      </c>
      <c r="BC384" s="315">
        <f>Data!BC297</f>
        <v>0</v>
      </c>
      <c r="BD384" s="315">
        <f>Data!BD297</f>
        <v>0</v>
      </c>
      <c r="BE384" s="315">
        <f>Data!BE297</f>
        <v>0</v>
      </c>
      <c r="BF384" s="315">
        <f>Data!BF297</f>
        <v>0</v>
      </c>
      <c r="BG384" s="314">
        <f>Data!BG297</f>
        <v>0</v>
      </c>
      <c r="BH384" s="620">
        <f>Data!BH297</f>
        <v>0</v>
      </c>
      <c r="BI384" s="620">
        <f>Data!BI297</f>
        <v>0</v>
      </c>
      <c r="BJ384" s="620">
        <f>Data!BJ297</f>
        <v>0</v>
      </c>
      <c r="BK384" s="620">
        <f>Data!BK297</f>
        <v>0</v>
      </c>
      <c r="BL384" s="630">
        <f>Data!BL297</f>
        <v>0</v>
      </c>
      <c r="BM384" s="620">
        <f>Data!BM297</f>
        <v>0</v>
      </c>
      <c r="BN384" s="620">
        <f>Data!BN297</f>
        <v>0</v>
      </c>
      <c r="BO384" s="620">
        <f>Data!BO297</f>
        <v>0</v>
      </c>
      <c r="BP384" s="620">
        <f>Data!BP297</f>
        <v>0</v>
      </c>
      <c r="BQ384" s="630">
        <f>Data!BQ297</f>
        <v>0</v>
      </c>
      <c r="BR384" s="620">
        <f>Data!BR297</f>
        <v>0</v>
      </c>
      <c r="BS384" s="620">
        <f>Data!BS297</f>
        <v>0</v>
      </c>
      <c r="BT384" s="620">
        <f>Data!BT297</f>
        <v>0</v>
      </c>
      <c r="BU384" s="620">
        <f>Data!BU297</f>
        <v>0</v>
      </c>
      <c r="BV384" s="630">
        <f>Data!BV297</f>
        <v>0</v>
      </c>
      <c r="BW384" s="620">
        <f>Data!BW297</f>
        <v>0</v>
      </c>
      <c r="BX384" s="620">
        <f>Data!BX297</f>
        <v>0</v>
      </c>
      <c r="BY384" s="620"/>
      <c r="BZ384" s="620"/>
      <c r="CA384" s="630"/>
      <c r="CB384" s="620"/>
      <c r="CC384" s="620"/>
      <c r="CD384" s="620"/>
      <c r="CE384" s="620"/>
      <c r="CF384" s="630"/>
      <c r="CG384" s="620"/>
      <c r="CH384" s="620"/>
      <c r="CI384" s="620"/>
      <c r="CJ384" s="620"/>
      <c r="CK384" s="630"/>
      <c r="CL384" s="620"/>
      <c r="CM384" s="620"/>
      <c r="CN384" s="620"/>
      <c r="CO384" s="620"/>
      <c r="CP384" s="630"/>
      <c r="CQ384" s="620"/>
      <c r="CR384" s="620"/>
      <c r="CS384" s="620"/>
      <c r="CT384" s="620"/>
      <c r="CU384" s="630"/>
      <c r="CV384" s="620"/>
      <c r="CW384" s="620"/>
      <c r="CX384" s="620"/>
      <c r="CY384" s="620"/>
      <c r="CZ384" s="630"/>
      <c r="DA384" s="620"/>
      <c r="DB384" s="620"/>
      <c r="DC384" s="620"/>
      <c r="DD384" s="620"/>
      <c r="DE384" s="630"/>
      <c r="DF384" s="620"/>
      <c r="DG384" s="620"/>
      <c r="DH384" s="620"/>
      <c r="DI384" s="620"/>
      <c r="DJ384" s="630"/>
      <c r="DK384" s="620"/>
      <c r="DL384" s="620"/>
      <c r="DM384" s="620"/>
      <c r="DN384" s="620"/>
      <c r="DO384" s="630"/>
      <c r="DP384" s="620"/>
      <c r="DQ384" s="620"/>
      <c r="DR384" s="620"/>
      <c r="DS384" s="620"/>
      <c r="DT384" s="630"/>
      <c r="DU384" s="620"/>
      <c r="DV384" s="620"/>
      <c r="DW384" s="620"/>
      <c r="DX384" s="620"/>
      <c r="DY384" s="630"/>
      <c r="DZ384" s="630"/>
      <c r="EA384" s="630"/>
      <c r="EB384" s="630"/>
    </row>
    <row r="385" spans="2:132" s="241" customFormat="1" ht="12" hidden="1" customHeight="1" outlineLevel="2">
      <c r="B385" s="330" t="s">
        <v>130</v>
      </c>
      <c r="C385" s="331"/>
      <c r="D385" s="331"/>
      <c r="E385" s="331"/>
      <c r="F385" s="331"/>
      <c r="G385" s="331"/>
      <c r="H385" s="331"/>
      <c r="I385" s="331">
        <f>Data!I298</f>
        <v>360</v>
      </c>
      <c r="J385" s="332">
        <f>Data!J298</f>
        <v>107</v>
      </c>
      <c r="K385" s="332">
        <f>Data!K298</f>
        <v>95</v>
      </c>
      <c r="L385" s="332">
        <f>Data!L298</f>
        <v>97</v>
      </c>
      <c r="M385" s="332">
        <f>Data!M298</f>
        <v>83</v>
      </c>
      <c r="N385" s="331">
        <f>SUM(J385:M385)</f>
        <v>382</v>
      </c>
      <c r="O385" s="332">
        <f>Data!O298</f>
        <v>86</v>
      </c>
      <c r="P385" s="332">
        <f>Data!P298</f>
        <v>96</v>
      </c>
      <c r="Q385" s="332">
        <f>Data!Q298</f>
        <v>101</v>
      </c>
      <c r="R385" s="332">
        <f>Data!R298</f>
        <v>91</v>
      </c>
      <c r="S385" s="331">
        <f t="shared" si="1549"/>
        <v>374</v>
      </c>
      <c r="T385" s="332"/>
      <c r="U385" s="332"/>
      <c r="V385" s="332"/>
      <c r="W385" s="332"/>
      <c r="X385" s="331"/>
      <c r="Y385" s="332"/>
      <c r="Z385" s="332"/>
      <c r="AA385" s="332"/>
      <c r="AB385" s="332"/>
      <c r="AC385" s="331"/>
      <c r="AD385" s="332"/>
      <c r="AE385" s="332"/>
      <c r="AF385" s="332"/>
      <c r="AG385" s="332"/>
      <c r="AH385" s="331"/>
      <c r="AI385" s="332"/>
      <c r="AJ385" s="332"/>
      <c r="AK385" s="332"/>
      <c r="AL385" s="332"/>
      <c r="AM385" s="331"/>
      <c r="AN385" s="332"/>
      <c r="AO385" s="332"/>
      <c r="AP385" s="332"/>
      <c r="AQ385" s="332"/>
      <c r="AR385" s="331"/>
      <c r="AS385" s="332"/>
      <c r="AT385" s="332"/>
      <c r="AU385" s="332"/>
      <c r="AV385" s="332"/>
      <c r="AW385" s="331"/>
      <c r="AX385" s="332"/>
      <c r="AY385" s="332"/>
      <c r="AZ385" s="332"/>
      <c r="BA385" s="332"/>
      <c r="BB385" s="331"/>
      <c r="BC385" s="332"/>
      <c r="BD385" s="332"/>
      <c r="BE385" s="332"/>
      <c r="BF385" s="332"/>
      <c r="BG385" s="331"/>
      <c r="BH385" s="650"/>
      <c r="BI385" s="650"/>
      <c r="BJ385" s="650"/>
      <c r="BK385" s="650"/>
      <c r="BL385" s="651"/>
      <c r="BM385" s="650"/>
      <c r="BN385" s="650"/>
      <c r="BO385" s="650"/>
      <c r="BP385" s="650"/>
      <c r="BQ385" s="651"/>
      <c r="BR385" s="650"/>
      <c r="BS385" s="650"/>
      <c r="BT385" s="650"/>
      <c r="BU385" s="650"/>
      <c r="BV385" s="651"/>
      <c r="BW385" s="650"/>
      <c r="BX385" s="650"/>
      <c r="BY385" s="650"/>
      <c r="BZ385" s="650"/>
      <c r="CA385" s="651"/>
      <c r="CB385" s="650"/>
      <c r="CC385" s="650"/>
      <c r="CD385" s="650"/>
      <c r="CE385" s="650"/>
      <c r="CF385" s="651"/>
      <c r="CG385" s="650"/>
      <c r="CH385" s="650"/>
      <c r="CI385" s="650"/>
      <c r="CJ385" s="650"/>
      <c r="CK385" s="651"/>
      <c r="CL385" s="650"/>
      <c r="CM385" s="650"/>
      <c r="CN385" s="650"/>
      <c r="CO385" s="650"/>
      <c r="CP385" s="651"/>
      <c r="CQ385" s="650"/>
      <c r="CR385" s="650"/>
      <c r="CS385" s="650"/>
      <c r="CT385" s="650"/>
      <c r="CU385" s="651"/>
      <c r="CV385" s="650"/>
      <c r="CW385" s="650"/>
      <c r="CX385" s="650"/>
      <c r="CY385" s="650"/>
      <c r="CZ385" s="651"/>
      <c r="DA385" s="650"/>
      <c r="DB385" s="650"/>
      <c r="DC385" s="650"/>
      <c r="DD385" s="650"/>
      <c r="DE385" s="651"/>
      <c r="DF385" s="650"/>
      <c r="DG385" s="650"/>
      <c r="DH385" s="650"/>
      <c r="DI385" s="650"/>
      <c r="DJ385" s="651"/>
      <c r="DK385" s="650"/>
      <c r="DL385" s="650"/>
      <c r="DM385" s="650"/>
      <c r="DN385" s="650"/>
      <c r="DO385" s="651"/>
      <c r="DP385" s="650"/>
      <c r="DQ385" s="650"/>
      <c r="DR385" s="650"/>
      <c r="DS385" s="650"/>
      <c r="DT385" s="651"/>
      <c r="DU385" s="650"/>
      <c r="DV385" s="650"/>
      <c r="DW385" s="650"/>
      <c r="DX385" s="650"/>
      <c r="DY385" s="651"/>
      <c r="DZ385" s="651"/>
      <c r="EA385" s="651"/>
      <c r="EB385" s="651"/>
    </row>
    <row r="386" spans="2:132" s="241" customFormat="1" ht="12" hidden="1" customHeight="1" outlineLevel="2">
      <c r="B386" s="335" t="s">
        <v>131</v>
      </c>
      <c r="C386" s="314"/>
      <c r="D386" s="314"/>
      <c r="E386" s="314"/>
      <c r="F386" s="314"/>
      <c r="G386" s="314"/>
      <c r="H386" s="314"/>
      <c r="I386" s="314">
        <f>Data!I299</f>
        <v>195</v>
      </c>
      <c r="J386" s="315">
        <f>Data!J299</f>
        <v>60</v>
      </c>
      <c r="K386" s="315">
        <f>Data!K299</f>
        <v>71</v>
      </c>
      <c r="L386" s="315">
        <f>Data!L299</f>
        <v>72</v>
      </c>
      <c r="M386" s="315">
        <f>Data!M299</f>
        <v>31</v>
      </c>
      <c r="N386" s="314">
        <f>SUM(J386:M386)</f>
        <v>234</v>
      </c>
      <c r="O386" s="315">
        <f>Data!O299</f>
        <v>61</v>
      </c>
      <c r="P386" s="315">
        <f>Data!P299</f>
        <v>80</v>
      </c>
      <c r="Q386" s="315">
        <f>Data!Q299</f>
        <v>72</v>
      </c>
      <c r="R386" s="315">
        <f>Data!R299</f>
        <v>72</v>
      </c>
      <c r="S386" s="314">
        <f t="shared" si="1549"/>
        <v>285</v>
      </c>
      <c r="T386" s="315"/>
      <c r="U386" s="315"/>
      <c r="V386" s="315"/>
      <c r="W386" s="315"/>
      <c r="X386" s="314"/>
      <c r="Y386" s="315"/>
      <c r="Z386" s="315"/>
      <c r="AA386" s="315"/>
      <c r="AB386" s="315"/>
      <c r="AC386" s="314"/>
      <c r="AD386" s="315"/>
      <c r="AE386" s="315"/>
      <c r="AF386" s="315"/>
      <c r="AG386" s="315"/>
      <c r="AH386" s="314"/>
      <c r="AI386" s="315"/>
      <c r="AJ386" s="315"/>
      <c r="AK386" s="315"/>
      <c r="AL386" s="315"/>
      <c r="AM386" s="314"/>
      <c r="AN386" s="315"/>
      <c r="AO386" s="315"/>
      <c r="AP386" s="315"/>
      <c r="AQ386" s="315"/>
      <c r="AR386" s="314"/>
      <c r="AS386" s="315"/>
      <c r="AT386" s="315"/>
      <c r="AU386" s="315"/>
      <c r="AV386" s="315"/>
      <c r="AW386" s="314"/>
      <c r="AX386" s="315"/>
      <c r="AY386" s="315"/>
      <c r="AZ386" s="315"/>
      <c r="BA386" s="315"/>
      <c r="BB386" s="314"/>
      <c r="BC386" s="315"/>
      <c r="BD386" s="315"/>
      <c r="BE386" s="315"/>
      <c r="BF386" s="315"/>
      <c r="BG386" s="314"/>
      <c r="BH386" s="620"/>
      <c r="BI386" s="620"/>
      <c r="BJ386" s="620"/>
      <c r="BK386" s="620"/>
      <c r="BL386" s="630"/>
      <c r="BM386" s="620"/>
      <c r="BN386" s="620"/>
      <c r="BO386" s="620"/>
      <c r="BP386" s="620"/>
      <c r="BQ386" s="630"/>
      <c r="BR386" s="620"/>
      <c r="BS386" s="620"/>
      <c r="BT386" s="620"/>
      <c r="BU386" s="620"/>
      <c r="BV386" s="630"/>
      <c r="BW386" s="620"/>
      <c r="BX386" s="620"/>
      <c r="BY386" s="620"/>
      <c r="BZ386" s="620"/>
      <c r="CA386" s="630"/>
      <c r="CB386" s="620"/>
      <c r="CC386" s="620"/>
      <c r="CD386" s="620"/>
      <c r="CE386" s="620"/>
      <c r="CF386" s="630"/>
      <c r="CG386" s="620"/>
      <c r="CH386" s="620"/>
      <c r="CI386" s="620"/>
      <c r="CJ386" s="620"/>
      <c r="CK386" s="630"/>
      <c r="CL386" s="620"/>
      <c r="CM386" s="620"/>
      <c r="CN386" s="620"/>
      <c r="CO386" s="620"/>
      <c r="CP386" s="630"/>
      <c r="CQ386" s="620"/>
      <c r="CR386" s="620"/>
      <c r="CS386" s="620"/>
      <c r="CT386" s="620"/>
      <c r="CU386" s="630"/>
      <c r="CV386" s="620"/>
      <c r="CW386" s="620"/>
      <c r="CX386" s="620"/>
      <c r="CY386" s="620"/>
      <c r="CZ386" s="630"/>
      <c r="DA386" s="620"/>
      <c r="DB386" s="620"/>
      <c r="DC386" s="620"/>
      <c r="DD386" s="620"/>
      <c r="DE386" s="630"/>
      <c r="DF386" s="620"/>
      <c r="DG386" s="620"/>
      <c r="DH386" s="620"/>
      <c r="DI386" s="620"/>
      <c r="DJ386" s="630"/>
      <c r="DK386" s="620"/>
      <c r="DL386" s="620"/>
      <c r="DM386" s="620"/>
      <c r="DN386" s="620"/>
      <c r="DO386" s="630"/>
      <c r="DP386" s="620"/>
      <c r="DQ386" s="620"/>
      <c r="DR386" s="620"/>
      <c r="DS386" s="620"/>
      <c r="DT386" s="630"/>
      <c r="DU386" s="620"/>
      <c r="DV386" s="620"/>
      <c r="DW386" s="620"/>
      <c r="DX386" s="620"/>
      <c r="DY386" s="630"/>
      <c r="DZ386" s="630"/>
      <c r="EA386" s="630"/>
      <c r="EB386" s="630"/>
    </row>
    <row r="387" spans="2:132" s="241" customFormat="1" ht="12" hidden="1" customHeight="1" outlineLevel="2">
      <c r="B387" s="335" t="s">
        <v>125</v>
      </c>
      <c r="C387" s="314"/>
      <c r="D387" s="314"/>
      <c r="E387" s="314"/>
      <c r="F387" s="314"/>
      <c r="G387" s="314"/>
      <c r="H387" s="314"/>
      <c r="I387" s="314">
        <f>Data!I300</f>
        <v>59</v>
      </c>
      <c r="J387" s="315">
        <f>Data!J300</f>
        <v>16</v>
      </c>
      <c r="K387" s="315">
        <f>Data!K300</f>
        <v>14</v>
      </c>
      <c r="L387" s="315">
        <f>Data!L300</f>
        <v>14</v>
      </c>
      <c r="M387" s="315">
        <f>Data!M300</f>
        <v>13</v>
      </c>
      <c r="N387" s="314">
        <f>SUM(J387:M387)</f>
        <v>57</v>
      </c>
      <c r="O387" s="315">
        <f>Data!O300</f>
        <v>17</v>
      </c>
      <c r="P387" s="315">
        <f>Data!P300</f>
        <v>22</v>
      </c>
      <c r="Q387" s="315">
        <f>Data!Q300</f>
        <v>21</v>
      </c>
      <c r="R387" s="315">
        <f>Data!R300</f>
        <v>20</v>
      </c>
      <c r="S387" s="314">
        <f t="shared" si="1549"/>
        <v>80</v>
      </c>
      <c r="T387" s="315"/>
      <c r="U387" s="315"/>
      <c r="V387" s="315"/>
      <c r="W387" s="315"/>
      <c r="X387" s="314"/>
      <c r="Y387" s="315"/>
      <c r="Z387" s="315"/>
      <c r="AA387" s="315"/>
      <c r="AB387" s="315"/>
      <c r="AC387" s="314"/>
      <c r="AD387" s="315"/>
      <c r="AE387" s="315"/>
      <c r="AF387" s="315"/>
      <c r="AG387" s="315"/>
      <c r="AH387" s="314"/>
      <c r="AI387" s="315"/>
      <c r="AJ387" s="315"/>
      <c r="AK387" s="315"/>
      <c r="AL387" s="315"/>
      <c r="AM387" s="314"/>
      <c r="AN387" s="315"/>
      <c r="AO387" s="315"/>
      <c r="AP387" s="315"/>
      <c r="AQ387" s="315"/>
      <c r="AR387" s="314"/>
      <c r="AS387" s="315"/>
      <c r="AT387" s="315"/>
      <c r="AU387" s="315"/>
      <c r="AV387" s="315"/>
      <c r="AW387" s="314"/>
      <c r="AX387" s="315"/>
      <c r="AY387" s="315"/>
      <c r="AZ387" s="315"/>
      <c r="BA387" s="315"/>
      <c r="BB387" s="314"/>
      <c r="BC387" s="315"/>
      <c r="BD387" s="315"/>
      <c r="BE387" s="315"/>
      <c r="BF387" s="315"/>
      <c r="BG387" s="314"/>
      <c r="BH387" s="620"/>
      <c r="BI387" s="620"/>
      <c r="BJ387" s="620"/>
      <c r="BK387" s="620"/>
      <c r="BL387" s="630"/>
      <c r="BM387" s="620"/>
      <c r="BN387" s="620"/>
      <c r="BO387" s="620"/>
      <c r="BP387" s="620"/>
      <c r="BQ387" s="630"/>
      <c r="BR387" s="620"/>
      <c r="BS387" s="620"/>
      <c r="BT387" s="620"/>
      <c r="BU387" s="620"/>
      <c r="BV387" s="630"/>
      <c r="BW387" s="620"/>
      <c r="BX387" s="620"/>
      <c r="BY387" s="620"/>
      <c r="BZ387" s="620"/>
      <c r="CA387" s="630"/>
      <c r="CB387" s="620"/>
      <c r="CC387" s="620"/>
      <c r="CD387" s="620"/>
      <c r="CE387" s="620"/>
      <c r="CF387" s="630"/>
      <c r="CG387" s="620"/>
      <c r="CH387" s="620"/>
      <c r="CI387" s="620"/>
      <c r="CJ387" s="620"/>
      <c r="CK387" s="630"/>
      <c r="CL387" s="620"/>
      <c r="CM387" s="620"/>
      <c r="CN387" s="620"/>
      <c r="CO387" s="620"/>
      <c r="CP387" s="630"/>
      <c r="CQ387" s="620"/>
      <c r="CR387" s="620"/>
      <c r="CS387" s="620"/>
      <c r="CT387" s="620"/>
      <c r="CU387" s="630"/>
      <c r="CV387" s="620"/>
      <c r="CW387" s="620"/>
      <c r="CX387" s="620"/>
      <c r="CY387" s="620"/>
      <c r="CZ387" s="630"/>
      <c r="DA387" s="620"/>
      <c r="DB387" s="620"/>
      <c r="DC387" s="620"/>
      <c r="DD387" s="620"/>
      <c r="DE387" s="630"/>
      <c r="DF387" s="620"/>
      <c r="DG387" s="620"/>
      <c r="DH387" s="620"/>
      <c r="DI387" s="620"/>
      <c r="DJ387" s="630"/>
      <c r="DK387" s="620"/>
      <c r="DL387" s="620"/>
      <c r="DM387" s="620"/>
      <c r="DN387" s="620"/>
      <c r="DO387" s="630"/>
      <c r="DP387" s="620"/>
      <c r="DQ387" s="620"/>
      <c r="DR387" s="620"/>
      <c r="DS387" s="620"/>
      <c r="DT387" s="630"/>
      <c r="DU387" s="620"/>
      <c r="DV387" s="620"/>
      <c r="DW387" s="620"/>
      <c r="DX387" s="620"/>
      <c r="DY387" s="630"/>
      <c r="DZ387" s="630"/>
      <c r="EA387" s="630"/>
      <c r="EB387" s="630"/>
    </row>
    <row r="388" spans="2:132" s="241" customFormat="1" ht="12" hidden="1" customHeight="1" outlineLevel="2">
      <c r="B388" s="318" t="s">
        <v>132</v>
      </c>
      <c r="C388" s="321"/>
      <c r="D388" s="321"/>
      <c r="E388" s="321"/>
      <c r="F388" s="321"/>
      <c r="G388" s="321"/>
      <c r="H388" s="321"/>
      <c r="I388" s="321">
        <f>Data!I301</f>
        <v>232</v>
      </c>
      <c r="J388" s="322">
        <f>Data!J301</f>
        <v>37</v>
      </c>
      <c r="K388" s="322">
        <f>Data!K301</f>
        <v>57</v>
      </c>
      <c r="L388" s="322">
        <f>Data!L301</f>
        <v>44</v>
      </c>
      <c r="M388" s="322">
        <f>Data!M301</f>
        <v>23</v>
      </c>
      <c r="N388" s="321">
        <f>SUM(J388:M388)</f>
        <v>161</v>
      </c>
      <c r="O388" s="322">
        <f>Data!O301</f>
        <v>25</v>
      </c>
      <c r="P388" s="322">
        <f>Data!P301</f>
        <v>37</v>
      </c>
      <c r="Q388" s="322">
        <f>Data!Q301</f>
        <v>28</v>
      </c>
      <c r="R388" s="322">
        <f>Data!R301</f>
        <v>26</v>
      </c>
      <c r="S388" s="321">
        <f t="shared" si="1549"/>
        <v>116</v>
      </c>
      <c r="T388" s="322"/>
      <c r="U388" s="322"/>
      <c r="V388" s="322"/>
      <c r="W388" s="322"/>
      <c r="X388" s="321"/>
      <c r="Y388" s="322"/>
      <c r="Z388" s="322"/>
      <c r="AA388" s="322"/>
      <c r="AB388" s="322"/>
      <c r="AC388" s="321"/>
      <c r="AD388" s="322"/>
      <c r="AE388" s="322"/>
      <c r="AF388" s="322"/>
      <c r="AG388" s="322"/>
      <c r="AH388" s="321"/>
      <c r="AI388" s="322"/>
      <c r="AJ388" s="322"/>
      <c r="AK388" s="322"/>
      <c r="AL388" s="322"/>
      <c r="AM388" s="321"/>
      <c r="AN388" s="322"/>
      <c r="AO388" s="322"/>
      <c r="AP388" s="322"/>
      <c r="AQ388" s="322"/>
      <c r="AR388" s="321"/>
      <c r="AS388" s="322"/>
      <c r="AT388" s="322"/>
      <c r="AU388" s="322"/>
      <c r="AV388" s="322"/>
      <c r="AW388" s="321"/>
      <c r="AX388" s="322"/>
      <c r="AY388" s="322"/>
      <c r="AZ388" s="322"/>
      <c r="BA388" s="322"/>
      <c r="BB388" s="321"/>
      <c r="BC388" s="322"/>
      <c r="BD388" s="322"/>
      <c r="BE388" s="322"/>
      <c r="BF388" s="322"/>
      <c r="BG388" s="321"/>
      <c r="BH388" s="652"/>
      <c r="BI388" s="652"/>
      <c r="BJ388" s="652"/>
      <c r="BK388" s="652"/>
      <c r="BL388" s="653"/>
      <c r="BM388" s="652"/>
      <c r="BN388" s="652"/>
      <c r="BO388" s="652"/>
      <c r="BP388" s="652"/>
      <c r="BQ388" s="653"/>
      <c r="BR388" s="652"/>
      <c r="BS388" s="652"/>
      <c r="BT388" s="652"/>
      <c r="BU388" s="652"/>
      <c r="BV388" s="653"/>
      <c r="BW388" s="652"/>
      <c r="BX388" s="652"/>
      <c r="BY388" s="652"/>
      <c r="BZ388" s="652"/>
      <c r="CA388" s="653"/>
      <c r="CB388" s="652"/>
      <c r="CC388" s="652"/>
      <c r="CD388" s="652"/>
      <c r="CE388" s="652"/>
      <c r="CF388" s="653"/>
      <c r="CG388" s="652"/>
      <c r="CH388" s="652"/>
      <c r="CI388" s="652"/>
      <c r="CJ388" s="652"/>
      <c r="CK388" s="653"/>
      <c r="CL388" s="652"/>
      <c r="CM388" s="652"/>
      <c r="CN388" s="652"/>
      <c r="CO388" s="652"/>
      <c r="CP388" s="653"/>
      <c r="CQ388" s="652"/>
      <c r="CR388" s="652"/>
      <c r="CS388" s="652"/>
      <c r="CT388" s="652"/>
      <c r="CU388" s="653"/>
      <c r="CV388" s="652"/>
      <c r="CW388" s="652"/>
      <c r="CX388" s="652"/>
      <c r="CY388" s="652"/>
      <c r="CZ388" s="653"/>
      <c r="DA388" s="652"/>
      <c r="DB388" s="652"/>
      <c r="DC388" s="652"/>
      <c r="DD388" s="652"/>
      <c r="DE388" s="653"/>
      <c r="DF388" s="652"/>
      <c r="DG388" s="652"/>
      <c r="DH388" s="652"/>
      <c r="DI388" s="652"/>
      <c r="DJ388" s="653"/>
      <c r="DK388" s="652"/>
      <c r="DL388" s="652"/>
      <c r="DM388" s="652"/>
      <c r="DN388" s="652"/>
      <c r="DO388" s="653"/>
      <c r="DP388" s="652"/>
      <c r="DQ388" s="652"/>
      <c r="DR388" s="652"/>
      <c r="DS388" s="652"/>
      <c r="DT388" s="653"/>
      <c r="DU388" s="652"/>
      <c r="DV388" s="652"/>
      <c r="DW388" s="652"/>
      <c r="DX388" s="652"/>
      <c r="DY388" s="653"/>
      <c r="DZ388" s="653"/>
      <c r="EA388" s="653"/>
      <c r="EB388" s="653"/>
    </row>
    <row r="389" spans="2:132" s="241" customFormat="1" ht="12" hidden="1" customHeight="1" outlineLevel="2">
      <c r="B389" s="335" t="s">
        <v>133</v>
      </c>
      <c r="C389" s="314"/>
      <c r="D389" s="314">
        <f>Data!D302</f>
        <v>304</v>
      </c>
      <c r="E389" s="314">
        <f>Data!E302</f>
        <v>264</v>
      </c>
      <c r="F389" s="314">
        <f>Data!F302</f>
        <v>262</v>
      </c>
      <c r="G389" s="314">
        <f>Data!G302</f>
        <v>258</v>
      </c>
      <c r="H389" s="314">
        <f>Data!H302</f>
        <v>345</v>
      </c>
      <c r="I389" s="314"/>
      <c r="J389" s="315"/>
      <c r="K389" s="315"/>
      <c r="L389" s="315"/>
      <c r="M389" s="315"/>
      <c r="N389" s="314"/>
      <c r="O389" s="315"/>
      <c r="P389" s="315"/>
      <c r="Q389" s="315"/>
      <c r="R389" s="315"/>
      <c r="S389" s="314"/>
      <c r="T389" s="315"/>
      <c r="U389" s="315"/>
      <c r="V389" s="315"/>
      <c r="W389" s="315"/>
      <c r="X389" s="314"/>
      <c r="Y389" s="315"/>
      <c r="Z389" s="315"/>
      <c r="AA389" s="315"/>
      <c r="AB389" s="315"/>
      <c r="AC389" s="314"/>
      <c r="AD389" s="315"/>
      <c r="AE389" s="315"/>
      <c r="AF389" s="315"/>
      <c r="AG389" s="315"/>
      <c r="AH389" s="314"/>
      <c r="AI389" s="315"/>
      <c r="AJ389" s="315"/>
      <c r="AK389" s="315"/>
      <c r="AL389" s="315"/>
      <c r="AM389" s="314"/>
      <c r="AN389" s="315"/>
      <c r="AO389" s="315"/>
      <c r="AP389" s="315"/>
      <c r="AQ389" s="315"/>
      <c r="AR389" s="314"/>
      <c r="AS389" s="315"/>
      <c r="AT389" s="315"/>
      <c r="AU389" s="315"/>
      <c r="AV389" s="315"/>
      <c r="AW389" s="314"/>
      <c r="AX389" s="315"/>
      <c r="AY389" s="315"/>
      <c r="AZ389" s="315"/>
      <c r="BA389" s="315"/>
      <c r="BB389" s="314"/>
      <c r="BC389" s="315"/>
      <c r="BD389" s="315"/>
      <c r="BE389" s="315"/>
      <c r="BF389" s="315"/>
      <c r="BG389" s="314"/>
      <c r="BH389" s="620"/>
      <c r="BI389" s="620"/>
      <c r="BJ389" s="620"/>
      <c r="BK389" s="620"/>
      <c r="BL389" s="630"/>
      <c r="BM389" s="620"/>
      <c r="BN389" s="620"/>
      <c r="BO389" s="620"/>
      <c r="BP389" s="620"/>
      <c r="BQ389" s="630"/>
      <c r="BR389" s="620"/>
      <c r="BS389" s="620"/>
      <c r="BT389" s="620"/>
      <c r="BU389" s="620"/>
      <c r="BV389" s="630"/>
      <c r="BW389" s="620"/>
      <c r="BX389" s="620"/>
      <c r="BY389" s="620"/>
      <c r="BZ389" s="620"/>
      <c r="CA389" s="630"/>
      <c r="CB389" s="620"/>
      <c r="CC389" s="620"/>
      <c r="CD389" s="620"/>
      <c r="CE389" s="620"/>
      <c r="CF389" s="630"/>
      <c r="CG389" s="620"/>
      <c r="CH389" s="620"/>
      <c r="CI389" s="620"/>
      <c r="CJ389" s="620"/>
      <c r="CK389" s="630"/>
      <c r="CL389" s="620"/>
      <c r="CM389" s="620"/>
      <c r="CN389" s="620"/>
      <c r="CO389" s="620"/>
      <c r="CP389" s="630"/>
      <c r="CQ389" s="620"/>
      <c r="CR389" s="620"/>
      <c r="CS389" s="620"/>
      <c r="CT389" s="620"/>
      <c r="CU389" s="630"/>
      <c r="CV389" s="620"/>
      <c r="CW389" s="620"/>
      <c r="CX389" s="620"/>
      <c r="CY389" s="620"/>
      <c r="CZ389" s="630"/>
      <c r="DA389" s="620"/>
      <c r="DB389" s="620"/>
      <c r="DC389" s="620"/>
      <c r="DD389" s="620"/>
      <c r="DE389" s="630"/>
      <c r="DF389" s="620"/>
      <c r="DG389" s="620"/>
      <c r="DH389" s="620"/>
      <c r="DI389" s="620"/>
      <c r="DJ389" s="630"/>
      <c r="DK389" s="620"/>
      <c r="DL389" s="620"/>
      <c r="DM389" s="620"/>
      <c r="DN389" s="620"/>
      <c r="DO389" s="630"/>
      <c r="DP389" s="620"/>
      <c r="DQ389" s="620"/>
      <c r="DR389" s="620"/>
      <c r="DS389" s="620"/>
      <c r="DT389" s="630"/>
      <c r="DU389" s="620"/>
      <c r="DV389" s="620"/>
      <c r="DW389" s="620"/>
      <c r="DX389" s="620"/>
      <c r="DY389" s="630"/>
      <c r="DZ389" s="630"/>
      <c r="EA389" s="630"/>
      <c r="EB389" s="630"/>
    </row>
    <row r="390" spans="2:132" s="241" customFormat="1" ht="12" hidden="1" customHeight="1" outlineLevel="2">
      <c r="B390" s="318" t="s">
        <v>134</v>
      </c>
      <c r="C390" s="321"/>
      <c r="D390" s="321">
        <f>Data!D303</f>
        <v>570</v>
      </c>
      <c r="E390" s="321">
        <f>Data!E303</f>
        <v>492</v>
      </c>
      <c r="F390" s="321">
        <f>Data!F303</f>
        <v>605</v>
      </c>
      <c r="G390" s="321">
        <f>Data!G303</f>
        <v>526</v>
      </c>
      <c r="H390" s="321">
        <f>Data!H303</f>
        <v>397</v>
      </c>
      <c r="I390" s="321"/>
      <c r="J390" s="322"/>
      <c r="K390" s="322"/>
      <c r="L390" s="322"/>
      <c r="M390" s="322"/>
      <c r="N390" s="321"/>
      <c r="O390" s="322"/>
      <c r="P390" s="322"/>
      <c r="Q390" s="322"/>
      <c r="R390" s="322"/>
      <c r="S390" s="321"/>
      <c r="T390" s="322"/>
      <c r="U390" s="322"/>
      <c r="V390" s="322"/>
      <c r="W390" s="322"/>
      <c r="X390" s="321"/>
      <c r="Y390" s="322"/>
      <c r="Z390" s="322"/>
      <c r="AA390" s="322"/>
      <c r="AB390" s="322"/>
      <c r="AC390" s="321"/>
      <c r="AD390" s="322"/>
      <c r="AE390" s="322"/>
      <c r="AF390" s="322"/>
      <c r="AG390" s="322"/>
      <c r="AH390" s="321"/>
      <c r="AI390" s="322"/>
      <c r="AJ390" s="322"/>
      <c r="AK390" s="322"/>
      <c r="AL390" s="322"/>
      <c r="AM390" s="321"/>
      <c r="AN390" s="322"/>
      <c r="AO390" s="322"/>
      <c r="AP390" s="322"/>
      <c r="AQ390" s="322"/>
      <c r="AR390" s="321"/>
      <c r="AS390" s="322"/>
      <c r="AT390" s="322"/>
      <c r="AU390" s="322"/>
      <c r="AV390" s="322"/>
      <c r="AW390" s="321"/>
      <c r="AX390" s="322"/>
      <c r="AY390" s="322"/>
      <c r="AZ390" s="322"/>
      <c r="BA390" s="322"/>
      <c r="BB390" s="321"/>
      <c r="BC390" s="322"/>
      <c r="BD390" s="322"/>
      <c r="BE390" s="322"/>
      <c r="BF390" s="322"/>
      <c r="BG390" s="321"/>
      <c r="BH390" s="652"/>
      <c r="BI390" s="652"/>
      <c r="BJ390" s="652"/>
      <c r="BK390" s="652"/>
      <c r="BL390" s="653"/>
      <c r="BM390" s="652"/>
      <c r="BN390" s="652"/>
      <c r="BO390" s="652"/>
      <c r="BP390" s="652"/>
      <c r="BQ390" s="653"/>
      <c r="BR390" s="652"/>
      <c r="BS390" s="652"/>
      <c r="BT390" s="652"/>
      <c r="BU390" s="652"/>
      <c r="BV390" s="653"/>
      <c r="BW390" s="652"/>
      <c r="BX390" s="652"/>
      <c r="BY390" s="652"/>
      <c r="BZ390" s="652"/>
      <c r="CA390" s="653"/>
      <c r="CB390" s="652"/>
      <c r="CC390" s="652"/>
      <c r="CD390" s="652"/>
      <c r="CE390" s="652"/>
      <c r="CF390" s="653"/>
      <c r="CG390" s="652"/>
      <c r="CH390" s="652"/>
      <c r="CI390" s="652"/>
      <c r="CJ390" s="652"/>
      <c r="CK390" s="653"/>
      <c r="CL390" s="652"/>
      <c r="CM390" s="652"/>
      <c r="CN390" s="652"/>
      <c r="CO390" s="652"/>
      <c r="CP390" s="653"/>
      <c r="CQ390" s="652"/>
      <c r="CR390" s="652"/>
      <c r="CS390" s="652"/>
      <c r="CT390" s="652"/>
      <c r="CU390" s="653"/>
      <c r="CV390" s="652"/>
      <c r="CW390" s="652"/>
      <c r="CX390" s="652"/>
      <c r="CY390" s="652"/>
      <c r="CZ390" s="653"/>
      <c r="DA390" s="652"/>
      <c r="DB390" s="652"/>
      <c r="DC390" s="652"/>
      <c r="DD390" s="652"/>
      <c r="DE390" s="653"/>
      <c r="DF390" s="652"/>
      <c r="DG390" s="652"/>
      <c r="DH390" s="652"/>
      <c r="DI390" s="652"/>
      <c r="DJ390" s="653"/>
      <c r="DK390" s="652"/>
      <c r="DL390" s="652"/>
      <c r="DM390" s="652"/>
      <c r="DN390" s="652"/>
      <c r="DO390" s="653"/>
      <c r="DP390" s="652"/>
      <c r="DQ390" s="652"/>
      <c r="DR390" s="652"/>
      <c r="DS390" s="652"/>
      <c r="DT390" s="653"/>
      <c r="DU390" s="652"/>
      <c r="DV390" s="652"/>
      <c r="DW390" s="652"/>
      <c r="DX390" s="652"/>
      <c r="DY390" s="653"/>
      <c r="DZ390" s="653"/>
      <c r="EA390" s="653"/>
      <c r="EB390" s="653"/>
    </row>
    <row r="391" spans="2:132" s="241" customFormat="1" ht="12" hidden="1" customHeight="1" outlineLevel="1" collapsed="1">
      <c r="B391" s="121" t="s">
        <v>391</v>
      </c>
      <c r="C391" s="314">
        <f>Data!C304</f>
        <v>716</v>
      </c>
      <c r="D391" s="314">
        <f>SUM(D389:D390)</f>
        <v>874</v>
      </c>
      <c r="E391" s="314">
        <f>SUM(E389:E390)</f>
        <v>756</v>
      </c>
      <c r="F391" s="314">
        <f>SUM(F389:F390)</f>
        <v>867</v>
      </c>
      <c r="G391" s="314">
        <f>SUM(G389:G390)</f>
        <v>784</v>
      </c>
      <c r="H391" s="314">
        <f>SUM(H389:H390)</f>
        <v>742</v>
      </c>
      <c r="I391" s="314">
        <f>SUM(I385:I388)</f>
        <v>846</v>
      </c>
      <c r="J391" s="315">
        <f t="shared" ref="J391:S391" si="1550">SUM(J385:J388)</f>
        <v>220</v>
      </c>
      <c r="K391" s="315">
        <f t="shared" si="1550"/>
        <v>237</v>
      </c>
      <c r="L391" s="315">
        <f t="shared" si="1550"/>
        <v>227</v>
      </c>
      <c r="M391" s="315">
        <f t="shared" si="1550"/>
        <v>150</v>
      </c>
      <c r="N391" s="314">
        <f t="shared" si="1550"/>
        <v>834</v>
      </c>
      <c r="O391" s="315">
        <f t="shared" si="1550"/>
        <v>189</v>
      </c>
      <c r="P391" s="315">
        <f t="shared" si="1550"/>
        <v>235</v>
      </c>
      <c r="Q391" s="315">
        <f t="shared" si="1550"/>
        <v>222</v>
      </c>
      <c r="R391" s="315">
        <f t="shared" si="1550"/>
        <v>209</v>
      </c>
      <c r="S391" s="314">
        <f t="shared" si="1550"/>
        <v>855</v>
      </c>
      <c r="T391" s="315">
        <f>SUM(T382:T384)</f>
        <v>206</v>
      </c>
      <c r="U391" s="315">
        <f t="shared" ref="U391:AM391" si="1551">SUM(U382:U384)</f>
        <v>200</v>
      </c>
      <c r="V391" s="315">
        <f t="shared" si="1551"/>
        <v>179</v>
      </c>
      <c r="W391" s="315">
        <f t="shared" si="1551"/>
        <v>206</v>
      </c>
      <c r="X391" s="314">
        <f t="shared" si="1551"/>
        <v>791</v>
      </c>
      <c r="Y391" s="315">
        <f t="shared" si="1551"/>
        <v>206</v>
      </c>
      <c r="Z391" s="315">
        <f t="shared" si="1551"/>
        <v>210</v>
      </c>
      <c r="AA391" s="315">
        <f t="shared" si="1551"/>
        <v>227</v>
      </c>
      <c r="AB391" s="315">
        <f t="shared" si="1551"/>
        <v>208</v>
      </c>
      <c r="AC391" s="314">
        <f t="shared" si="1551"/>
        <v>851</v>
      </c>
      <c r="AD391" s="315">
        <f t="shared" si="1551"/>
        <v>235</v>
      </c>
      <c r="AE391" s="315">
        <f t="shared" si="1551"/>
        <v>234</v>
      </c>
      <c r="AF391" s="315">
        <f t="shared" si="1551"/>
        <v>232</v>
      </c>
      <c r="AG391" s="315">
        <f t="shared" si="1551"/>
        <v>232</v>
      </c>
      <c r="AH391" s="314">
        <f t="shared" si="1551"/>
        <v>933</v>
      </c>
      <c r="AI391" s="315">
        <f t="shared" si="1551"/>
        <v>250</v>
      </c>
      <c r="AJ391" s="315">
        <f t="shared" si="1551"/>
        <v>306</v>
      </c>
      <c r="AK391" s="315">
        <f t="shared" si="1551"/>
        <v>293</v>
      </c>
      <c r="AL391" s="315">
        <f>SUM(AL382:AL384)</f>
        <v>252</v>
      </c>
      <c r="AM391" s="314">
        <f t="shared" si="1551"/>
        <v>1101</v>
      </c>
      <c r="AN391" s="315">
        <f>SUM(AN382:AN384)</f>
        <v>302</v>
      </c>
      <c r="AO391" s="315">
        <f>SUM(AO382:AO384)</f>
        <v>308</v>
      </c>
      <c r="AP391" s="315">
        <f>SUM(AP382:AP384)</f>
        <v>275</v>
      </c>
      <c r="AQ391" s="315">
        <f>SUM(AQ382:AQ384)</f>
        <v>251</v>
      </c>
      <c r="AR391" s="314">
        <f>SUM(AR382:AR384)</f>
        <v>1136</v>
      </c>
      <c r="AS391" s="315">
        <f t="shared" ref="AS391:BQ391" si="1552">SUM(AS382:AS384)</f>
        <v>261</v>
      </c>
      <c r="AT391" s="315">
        <f t="shared" si="1552"/>
        <v>262</v>
      </c>
      <c r="AU391" s="315">
        <f t="shared" si="1552"/>
        <v>250</v>
      </c>
      <c r="AV391" s="315">
        <f t="shared" si="1552"/>
        <v>365</v>
      </c>
      <c r="AW391" s="314">
        <f t="shared" si="1552"/>
        <v>1138</v>
      </c>
      <c r="AX391" s="315">
        <f t="shared" si="1552"/>
        <v>281</v>
      </c>
      <c r="AY391" s="315">
        <f t="shared" si="1552"/>
        <v>281</v>
      </c>
      <c r="AZ391" s="315">
        <f t="shared" si="1552"/>
        <v>306</v>
      </c>
      <c r="BA391" s="315">
        <f t="shared" si="1552"/>
        <v>0</v>
      </c>
      <c r="BB391" s="314">
        <f t="shared" si="1552"/>
        <v>0</v>
      </c>
      <c r="BC391" s="315">
        <f t="shared" si="1552"/>
        <v>0</v>
      </c>
      <c r="BD391" s="315">
        <f t="shared" si="1552"/>
        <v>0</v>
      </c>
      <c r="BE391" s="315">
        <f t="shared" si="1552"/>
        <v>0</v>
      </c>
      <c r="BF391" s="315">
        <f t="shared" si="1552"/>
        <v>0</v>
      </c>
      <c r="BG391" s="314">
        <f t="shared" si="1552"/>
        <v>0</v>
      </c>
      <c r="BH391" s="620">
        <f t="shared" si="1552"/>
        <v>0</v>
      </c>
      <c r="BI391" s="620">
        <f t="shared" si="1552"/>
        <v>0</v>
      </c>
      <c r="BJ391" s="620">
        <f t="shared" si="1552"/>
        <v>0</v>
      </c>
      <c r="BK391" s="620">
        <f t="shared" si="1552"/>
        <v>0</v>
      </c>
      <c r="BL391" s="630">
        <f t="shared" si="1552"/>
        <v>0</v>
      </c>
      <c r="BM391" s="620">
        <f>Data!BM304</f>
        <v>224</v>
      </c>
      <c r="BN391" s="620">
        <f>Data!BN304</f>
        <v>250</v>
      </c>
      <c r="BO391" s="620">
        <f>Data!BO304</f>
        <v>241</v>
      </c>
      <c r="BP391" s="620">
        <f>Data!BP304</f>
        <v>271</v>
      </c>
      <c r="BQ391" s="630">
        <f t="shared" si="1552"/>
        <v>0</v>
      </c>
      <c r="BR391" s="620">
        <f>Data!BR304</f>
        <v>232</v>
      </c>
      <c r="BS391" s="620">
        <f>Data!BS304</f>
        <v>233</v>
      </c>
      <c r="BT391" s="620">
        <f>Data!BT304</f>
        <v>201</v>
      </c>
      <c r="BU391" s="620">
        <f>Data!BU304</f>
        <v>149</v>
      </c>
      <c r="BV391" s="630">
        <f>Data!BV304</f>
        <v>815</v>
      </c>
      <c r="BW391" s="620">
        <f>Data!BW304</f>
        <v>196</v>
      </c>
      <c r="BX391" s="620">
        <f>Data!BX304</f>
        <v>196</v>
      </c>
      <c r="BY391" s="620">
        <f>Data!BY304</f>
        <v>207</v>
      </c>
      <c r="BZ391" s="620">
        <f>Data!BZ304</f>
        <v>235</v>
      </c>
      <c r="CA391" s="630">
        <f>Data!CA304</f>
        <v>834</v>
      </c>
      <c r="CB391" s="620">
        <f>Data!CB304</f>
        <v>483</v>
      </c>
      <c r="CC391" s="620">
        <f>Data!CC304</f>
        <v>219</v>
      </c>
      <c r="CD391" s="620">
        <f>Data!CD304</f>
        <v>211</v>
      </c>
      <c r="CE391" s="620">
        <f>Data!CE304</f>
        <v>-125</v>
      </c>
      <c r="CF391" s="630">
        <f>Data!CF304</f>
        <v>788</v>
      </c>
      <c r="CG391" s="620"/>
      <c r="CH391" s="620"/>
      <c r="CI391" s="620"/>
      <c r="CJ391" s="620"/>
      <c r="CK391" s="630">
        <f>Data!CK304</f>
        <v>758</v>
      </c>
      <c r="CL391" s="620">
        <f>Data!CL304</f>
        <v>163</v>
      </c>
      <c r="CM391" s="620">
        <f>Data!CM304</f>
        <v>167</v>
      </c>
      <c r="CN391" s="620"/>
      <c r="CO391" s="620"/>
      <c r="CP391" s="630">
        <f>Data!CP304</f>
        <v>713</v>
      </c>
      <c r="CQ391" s="620"/>
      <c r="CR391" s="620"/>
      <c r="CS391" s="620"/>
      <c r="CT391" s="620"/>
      <c r="CU391" s="630">
        <f>Data!CU304</f>
        <v>818</v>
      </c>
      <c r="CV391" s="620"/>
      <c r="CW391" s="620"/>
      <c r="CX391" s="620"/>
      <c r="CY391" s="620"/>
      <c r="CZ391" s="630">
        <f>Data!CZ304</f>
        <v>945</v>
      </c>
      <c r="DA391" s="620"/>
      <c r="DB391" s="620"/>
      <c r="DC391" s="620"/>
      <c r="DD391" s="620"/>
      <c r="DE391" s="630">
        <f>Data!DE304</f>
        <v>919</v>
      </c>
      <c r="DF391" s="620"/>
      <c r="DG391" s="620"/>
      <c r="DH391" s="620"/>
      <c r="DI391" s="620"/>
      <c r="DJ391" s="630">
        <f>Data!DJ304</f>
        <v>917</v>
      </c>
      <c r="DK391" s="620"/>
      <c r="DL391" s="620"/>
      <c r="DM391" s="620"/>
      <c r="DN391" s="620"/>
      <c r="DO391" s="630">
        <f>Data!DO304</f>
        <v>877</v>
      </c>
      <c r="DP391" s="620"/>
      <c r="DQ391" s="620"/>
      <c r="DR391" s="620"/>
      <c r="DS391" s="620"/>
      <c r="DT391" s="630">
        <f>Data!DT304</f>
        <v>0</v>
      </c>
      <c r="DU391" s="620"/>
      <c r="DV391" s="620"/>
      <c r="DW391" s="620"/>
      <c r="DX391" s="620"/>
      <c r="DY391" s="630">
        <f>Data!DY304</f>
        <v>0</v>
      </c>
      <c r="DZ391" s="630">
        <f>Data!DZ304</f>
        <v>0</v>
      </c>
      <c r="EA391" s="630">
        <f>Data!EA304</f>
        <v>0</v>
      </c>
      <c r="EB391" s="630">
        <f>Data!EB304</f>
        <v>0</v>
      </c>
    </row>
    <row r="392" spans="2:132" s="241" customFormat="1" ht="12" hidden="1" customHeight="1" outlineLevel="1">
      <c r="B392" s="121" t="s">
        <v>575</v>
      </c>
      <c r="C392" s="314"/>
      <c r="D392" s="314"/>
      <c r="E392" s="314"/>
      <c r="F392" s="314"/>
      <c r="G392" s="314"/>
      <c r="H392" s="314"/>
      <c r="I392" s="314"/>
      <c r="J392" s="315"/>
      <c r="K392" s="315"/>
      <c r="L392" s="315"/>
      <c r="M392" s="315"/>
      <c r="N392" s="314"/>
      <c r="O392" s="315"/>
      <c r="P392" s="315"/>
      <c r="Q392" s="315"/>
      <c r="R392" s="315"/>
      <c r="S392" s="314"/>
      <c r="T392" s="315"/>
      <c r="U392" s="315"/>
      <c r="V392" s="315"/>
      <c r="W392" s="315"/>
      <c r="X392" s="314"/>
      <c r="Y392" s="315"/>
      <c r="Z392" s="315"/>
      <c r="AA392" s="315"/>
      <c r="AB392" s="315"/>
      <c r="AC392" s="314"/>
      <c r="AD392" s="315"/>
      <c r="AE392" s="315"/>
      <c r="AF392" s="315"/>
      <c r="AG392" s="315"/>
      <c r="AH392" s="314"/>
      <c r="AI392" s="315"/>
      <c r="AJ392" s="315"/>
      <c r="AK392" s="315"/>
      <c r="AL392" s="315"/>
      <c r="AM392" s="314"/>
      <c r="AN392" s="315"/>
      <c r="AO392" s="315"/>
      <c r="AP392" s="315"/>
      <c r="AQ392" s="315"/>
      <c r="AR392" s="314"/>
      <c r="AS392" s="315"/>
      <c r="AT392" s="315"/>
      <c r="AU392" s="315"/>
      <c r="AV392" s="315"/>
      <c r="AW392" s="314"/>
      <c r="AX392" s="315"/>
      <c r="AY392" s="315"/>
      <c r="AZ392" s="315"/>
      <c r="BA392" s="315"/>
      <c r="BB392" s="314"/>
      <c r="BC392" s="315"/>
      <c r="BD392" s="315"/>
      <c r="BE392" s="315"/>
      <c r="BF392" s="315"/>
      <c r="BG392" s="314"/>
      <c r="BH392" s="620"/>
      <c r="BI392" s="620"/>
      <c r="BJ392" s="620"/>
      <c r="BK392" s="620"/>
      <c r="BL392" s="630"/>
      <c r="BM392" s="620"/>
      <c r="BN392" s="620"/>
      <c r="BO392" s="620"/>
      <c r="BP392" s="620"/>
      <c r="BQ392" s="630"/>
      <c r="BR392" s="620">
        <f>Data!BR305</f>
        <v>38</v>
      </c>
      <c r="BS392" s="620">
        <f>Data!BS305</f>
        <v>47</v>
      </c>
      <c r="BT392" s="620">
        <f>Data!BT305</f>
        <v>41</v>
      </c>
      <c r="BU392" s="620">
        <f>Data!BU305</f>
        <v>27</v>
      </c>
      <c r="BV392" s="630">
        <f>Data!BV305</f>
        <v>153</v>
      </c>
      <c r="BW392" s="620">
        <f>Data!BW305</f>
        <v>28</v>
      </c>
      <c r="BX392" s="620">
        <f>Data!BX305</f>
        <v>35</v>
      </c>
      <c r="BY392" s="620"/>
      <c r="BZ392" s="620"/>
      <c r="CA392" s="630"/>
      <c r="CB392" s="620"/>
      <c r="CC392" s="620"/>
      <c r="CD392" s="620"/>
      <c r="CE392" s="620"/>
      <c r="CF392" s="630"/>
      <c r="CG392" s="620"/>
      <c r="CH392" s="620"/>
      <c r="CI392" s="620"/>
      <c r="CJ392" s="620"/>
      <c r="CK392" s="630"/>
      <c r="CL392" s="620"/>
      <c r="CM392" s="620"/>
      <c r="CN392" s="620"/>
      <c r="CO392" s="620"/>
      <c r="CP392" s="630"/>
      <c r="CQ392" s="620"/>
      <c r="CR392" s="620"/>
      <c r="CS392" s="620"/>
      <c r="CT392" s="620"/>
      <c r="CU392" s="630"/>
      <c r="CV392" s="620"/>
      <c r="CW392" s="620"/>
      <c r="CX392" s="620"/>
      <c r="CY392" s="620"/>
      <c r="CZ392" s="630"/>
      <c r="DA392" s="620"/>
      <c r="DB392" s="620"/>
      <c r="DC392" s="620"/>
      <c r="DD392" s="620"/>
      <c r="DE392" s="630"/>
      <c r="DF392" s="620"/>
      <c r="DG392" s="620"/>
      <c r="DH392" s="620"/>
      <c r="DI392" s="620"/>
      <c r="DJ392" s="630"/>
      <c r="DK392" s="620"/>
      <c r="DL392" s="620"/>
      <c r="DM392" s="620"/>
      <c r="DN392" s="620"/>
      <c r="DO392" s="630"/>
      <c r="DP392" s="620"/>
      <c r="DQ392" s="620"/>
      <c r="DR392" s="620"/>
      <c r="DS392" s="620"/>
      <c r="DT392" s="630"/>
      <c r="DU392" s="620"/>
      <c r="DV392" s="620"/>
      <c r="DW392" s="620"/>
      <c r="DX392" s="620"/>
      <c r="DY392" s="630"/>
      <c r="DZ392" s="630"/>
      <c r="EA392" s="630"/>
      <c r="EB392" s="630"/>
    </row>
    <row r="393" spans="2:132" s="241" customFormat="1" ht="12" hidden="1" customHeight="1" outlineLevel="1">
      <c r="B393" s="241" t="s">
        <v>93</v>
      </c>
      <c r="C393" s="314">
        <f>Data!C306</f>
        <v>0</v>
      </c>
      <c r="D393" s="314">
        <f>Data!D306</f>
        <v>0</v>
      </c>
      <c r="E393" s="314">
        <f>Data!E306</f>
        <v>0</v>
      </c>
      <c r="F393" s="314">
        <f>Data!F306</f>
        <v>0</v>
      </c>
      <c r="G393" s="314">
        <f>Data!G306</f>
        <v>294</v>
      </c>
      <c r="H393" s="314">
        <f>Data!H306</f>
        <v>129</v>
      </c>
      <c r="I393" s="314">
        <f>Data!I306</f>
        <v>129</v>
      </c>
      <c r="J393" s="315">
        <f>Data!J306</f>
        <v>29</v>
      </c>
      <c r="K393" s="315">
        <f>Data!K306</f>
        <v>34</v>
      </c>
      <c r="L393" s="315">
        <f>Data!L306</f>
        <v>22</v>
      </c>
      <c r="M393" s="315">
        <f>Data!M306</f>
        <v>19</v>
      </c>
      <c r="N393" s="314">
        <f>SUM(J393:M393)</f>
        <v>104</v>
      </c>
      <c r="O393" s="315">
        <f>Data!O306</f>
        <v>12</v>
      </c>
      <c r="P393" s="315">
        <f>Data!P306</f>
        <v>13</v>
      </c>
      <c r="Q393" s="315">
        <f>Data!Q306</f>
        <v>12</v>
      </c>
      <c r="R393" s="315">
        <f>Data!R306</f>
        <v>11</v>
      </c>
      <c r="S393" s="314">
        <f>SUM(O393:R393)</f>
        <v>48</v>
      </c>
      <c r="T393" s="315">
        <f>Data!T306</f>
        <v>12</v>
      </c>
      <c r="U393" s="315">
        <f>Data!U306</f>
        <v>13</v>
      </c>
      <c r="V393" s="315">
        <f>Data!V306</f>
        <v>42</v>
      </c>
      <c r="W393" s="315">
        <f>Data!W306</f>
        <v>9</v>
      </c>
      <c r="X393" s="314">
        <f>SUM(T393:W393)</f>
        <v>76</v>
      </c>
      <c r="Y393" s="315">
        <f>Data!Y306</f>
        <v>5</v>
      </c>
      <c r="Z393" s="315">
        <f>Data!Z306</f>
        <v>10</v>
      </c>
      <c r="AA393" s="315">
        <f>Data!AA306</f>
        <v>7</v>
      </c>
      <c r="AB393" s="315">
        <f>Data!AB306</f>
        <v>15</v>
      </c>
      <c r="AC393" s="314">
        <f>SUM(Y393:AB393)</f>
        <v>37</v>
      </c>
      <c r="AD393" s="315">
        <f>Data!AD306</f>
        <v>1</v>
      </c>
      <c r="AE393" s="315">
        <f>Data!AE306</f>
        <v>1</v>
      </c>
      <c r="AF393" s="315">
        <f>Data!AF306</f>
        <v>0</v>
      </c>
      <c r="AG393" s="315">
        <f>Data!AG306</f>
        <v>-5</v>
      </c>
      <c r="AH393" s="314">
        <f>SUM(AD393:AG393)</f>
        <v>-3</v>
      </c>
      <c r="AI393" s="315">
        <f>Data!AI306</f>
        <v>9</v>
      </c>
      <c r="AJ393" s="315">
        <f>Data!AJ306</f>
        <v>-5</v>
      </c>
      <c r="AK393" s="315">
        <f>Data!AK306</f>
        <v>9</v>
      </c>
      <c r="AL393" s="315">
        <f>Data!AL306</f>
        <v>9</v>
      </c>
      <c r="AM393" s="314">
        <f>IF(AL393=0,0,SUM(AI393:AL393))</f>
        <v>22</v>
      </c>
      <c r="AN393" s="315">
        <f>Data!AN306</f>
        <v>0</v>
      </c>
      <c r="AO393" s="315">
        <f>Data!AO306</f>
        <v>0</v>
      </c>
      <c r="AP393" s="315">
        <f>Data!AP306</f>
        <v>0</v>
      </c>
      <c r="AQ393" s="315">
        <f>Data!AQ306</f>
        <v>10</v>
      </c>
      <c r="AR393" s="314">
        <f>Data!AR306</f>
        <v>10</v>
      </c>
      <c r="AS393" s="315">
        <f>Data!AS306</f>
        <v>9</v>
      </c>
      <c r="AT393" s="315">
        <f>Data!AT306</f>
        <v>14</v>
      </c>
      <c r="AU393" s="315">
        <f>Data!AU306</f>
        <v>18</v>
      </c>
      <c r="AV393" s="315">
        <f>Data!AV306</f>
        <v>24</v>
      </c>
      <c r="AW393" s="314">
        <f>Data!AW306</f>
        <v>65</v>
      </c>
      <c r="AX393" s="315">
        <f>Data!AX306</f>
        <v>10</v>
      </c>
      <c r="AY393" s="315">
        <f>Data!AY306</f>
        <v>16</v>
      </c>
      <c r="AZ393" s="315">
        <f>Data!AZ306</f>
        <v>13</v>
      </c>
      <c r="BA393" s="315">
        <f>Data!BA306</f>
        <v>21</v>
      </c>
      <c r="BB393" s="314">
        <f>Data!BB306</f>
        <v>60</v>
      </c>
      <c r="BC393" s="315">
        <f>Data!BC306</f>
        <v>14</v>
      </c>
      <c r="BD393" s="315">
        <f>Data!BD306</f>
        <v>10</v>
      </c>
      <c r="BE393" s="315">
        <f>Data!BE306</f>
        <v>10</v>
      </c>
      <c r="BF393" s="315">
        <f>Data!BF306</f>
        <v>15</v>
      </c>
      <c r="BG393" s="314">
        <f>Data!BG306</f>
        <v>49</v>
      </c>
      <c r="BH393" s="620">
        <f>Data!BH306</f>
        <v>0</v>
      </c>
      <c r="BI393" s="620">
        <f>Data!BI306</f>
        <v>-5</v>
      </c>
      <c r="BJ393" s="620">
        <f>Data!BJ306</f>
        <v>9</v>
      </c>
      <c r="BK393" s="620">
        <f>Data!BK306</f>
        <v>4</v>
      </c>
      <c r="BL393" s="630">
        <f>Data!BL306</f>
        <v>8</v>
      </c>
      <c r="BM393" s="620">
        <f>Data!BM306</f>
        <v>2</v>
      </c>
      <c r="BN393" s="620">
        <f>Data!BN306</f>
        <v>-4</v>
      </c>
      <c r="BO393" s="620">
        <f>Data!BO306</f>
        <v>0</v>
      </c>
      <c r="BP393" s="620">
        <f>Data!BP306</f>
        <v>7</v>
      </c>
      <c r="BQ393" s="630">
        <f>Data!BQ306</f>
        <v>5</v>
      </c>
      <c r="BR393" s="620">
        <f>Data!BR306</f>
        <v>-12</v>
      </c>
      <c r="BS393" s="620">
        <f>Data!BS306</f>
        <v>-13</v>
      </c>
      <c r="BT393" s="620">
        <f>Data!BT306</f>
        <v>-18</v>
      </c>
      <c r="BU393" s="620">
        <f>Data!BU306</f>
        <v>-4</v>
      </c>
      <c r="BV393" s="630">
        <f>Data!BV306</f>
        <v>-47</v>
      </c>
      <c r="BW393" s="620">
        <f>Data!BW306</f>
        <v>-11</v>
      </c>
      <c r="BX393" s="620">
        <f>Data!BX306</f>
        <v>-10</v>
      </c>
      <c r="BY393" s="620">
        <f>Data!BY306</f>
        <v>-16</v>
      </c>
      <c r="BZ393" s="620">
        <f>Data!BZ306</f>
        <v>-5</v>
      </c>
      <c r="CA393" s="630">
        <f>Data!CA306</f>
        <v>-42</v>
      </c>
      <c r="CB393" s="620">
        <f>Data!CB306</f>
        <v>-2</v>
      </c>
      <c r="CC393" s="620">
        <f>Data!CC306</f>
        <v>21</v>
      </c>
      <c r="CD393" s="620">
        <f>Data!CD306</f>
        <v>50</v>
      </c>
      <c r="CE393" s="620">
        <f>Data!CE306</f>
        <v>63</v>
      </c>
      <c r="CF393" s="630">
        <f>Data!CF306</f>
        <v>132</v>
      </c>
      <c r="CG393" s="620"/>
      <c r="CH393" s="620"/>
      <c r="CI393" s="620"/>
      <c r="CJ393" s="620"/>
      <c r="CK393" s="630">
        <f>Data!CK306</f>
        <v>384</v>
      </c>
      <c r="CL393" s="620">
        <f>Data!CL306</f>
        <v>54</v>
      </c>
      <c r="CM393" s="620">
        <f>Data!CM306</f>
        <v>62</v>
      </c>
      <c r="CN393" s="620"/>
      <c r="CO393" s="620"/>
      <c r="CP393" s="630">
        <f>Data!CP306</f>
        <v>240</v>
      </c>
      <c r="CQ393" s="620"/>
      <c r="CR393" s="620"/>
      <c r="CS393" s="620"/>
      <c r="CT393" s="620"/>
      <c r="CU393" s="630">
        <f>Data!CU306</f>
        <v>184</v>
      </c>
      <c r="CV393" s="620"/>
      <c r="CW393" s="620"/>
      <c r="CX393" s="620"/>
      <c r="CY393" s="620"/>
      <c r="CZ393" s="630">
        <f>Data!CZ306</f>
        <v>278</v>
      </c>
      <c r="DA393" s="620"/>
      <c r="DB393" s="620"/>
      <c r="DC393" s="620"/>
      <c r="DD393" s="620"/>
      <c r="DE393" s="630">
        <f>Data!DE306</f>
        <v>315</v>
      </c>
      <c r="DF393" s="620"/>
      <c r="DG393" s="620"/>
      <c r="DH393" s="620"/>
      <c r="DI393" s="620"/>
      <c r="DJ393" s="630">
        <f>Data!DJ306</f>
        <v>377</v>
      </c>
      <c r="DK393" s="620"/>
      <c r="DL393" s="620"/>
      <c r="DM393" s="620"/>
      <c r="DN393" s="620"/>
      <c r="DO393" s="630">
        <f>Data!DO306</f>
        <v>411</v>
      </c>
      <c r="DP393" s="620"/>
      <c r="DQ393" s="620"/>
      <c r="DR393" s="620"/>
      <c r="DS393" s="620"/>
      <c r="DT393" s="630">
        <f>Data!DT306</f>
        <v>0</v>
      </c>
      <c r="DU393" s="620"/>
      <c r="DV393" s="620"/>
      <c r="DW393" s="620"/>
      <c r="DX393" s="620"/>
      <c r="DY393" s="630">
        <f>Data!DY306</f>
        <v>0</v>
      </c>
      <c r="DZ393" s="630">
        <f>Data!DZ306</f>
        <v>0</v>
      </c>
      <c r="EA393" s="630">
        <f>Data!EA306</f>
        <v>0</v>
      </c>
      <c r="EB393" s="630">
        <f>Data!EB306</f>
        <v>0</v>
      </c>
    </row>
    <row r="394" spans="2:132" s="241" customFormat="1" ht="12" hidden="1" customHeight="1" outlineLevel="1">
      <c r="B394" s="32" t="s">
        <v>126</v>
      </c>
      <c r="C394" s="349">
        <f t="shared" ref="C394:AH394" si="1553">C381+C391+C393</f>
        <v>1924</v>
      </c>
      <c r="D394" s="349">
        <f t="shared" si="1553"/>
        <v>1895</v>
      </c>
      <c r="E394" s="349">
        <f t="shared" si="1553"/>
        <v>1341</v>
      </c>
      <c r="F394" s="349">
        <f t="shared" si="1553"/>
        <v>1452</v>
      </c>
      <c r="G394" s="349">
        <f t="shared" si="1553"/>
        <v>1936</v>
      </c>
      <c r="H394" s="349">
        <f t="shared" si="1553"/>
        <v>1639</v>
      </c>
      <c r="I394" s="349">
        <f t="shared" si="1553"/>
        <v>1651</v>
      </c>
      <c r="J394" s="350">
        <f t="shared" si="1553"/>
        <v>474</v>
      </c>
      <c r="K394" s="350">
        <f t="shared" si="1553"/>
        <v>522</v>
      </c>
      <c r="L394" s="350">
        <f t="shared" si="1553"/>
        <v>469</v>
      </c>
      <c r="M394" s="350">
        <f t="shared" si="1553"/>
        <v>414</v>
      </c>
      <c r="N394" s="349">
        <f t="shared" si="1553"/>
        <v>1879</v>
      </c>
      <c r="O394" s="350">
        <f t="shared" si="1553"/>
        <v>492</v>
      </c>
      <c r="P394" s="350">
        <f t="shared" si="1553"/>
        <v>591</v>
      </c>
      <c r="Q394" s="350">
        <f t="shared" si="1553"/>
        <v>521</v>
      </c>
      <c r="R394" s="350">
        <f t="shared" si="1553"/>
        <v>601</v>
      </c>
      <c r="S394" s="349">
        <f t="shared" si="1553"/>
        <v>2205</v>
      </c>
      <c r="T394" s="350">
        <f t="shared" si="1553"/>
        <v>748</v>
      </c>
      <c r="U394" s="350">
        <f t="shared" si="1553"/>
        <v>739</v>
      </c>
      <c r="V394" s="350">
        <f t="shared" si="1553"/>
        <v>833</v>
      </c>
      <c r="W394" s="350">
        <f t="shared" si="1553"/>
        <v>937</v>
      </c>
      <c r="X394" s="349">
        <f t="shared" si="1553"/>
        <v>3257</v>
      </c>
      <c r="Y394" s="350">
        <f t="shared" si="1553"/>
        <v>999</v>
      </c>
      <c r="Z394" s="350">
        <f t="shared" si="1553"/>
        <v>989</v>
      </c>
      <c r="AA394" s="350">
        <f t="shared" si="1553"/>
        <v>869</v>
      </c>
      <c r="AB394" s="350">
        <f t="shared" si="1553"/>
        <v>993</v>
      </c>
      <c r="AC394" s="349">
        <f t="shared" si="1553"/>
        <v>3850</v>
      </c>
      <c r="AD394" s="350">
        <f t="shared" si="1553"/>
        <v>869</v>
      </c>
      <c r="AE394" s="350">
        <f t="shared" si="1553"/>
        <v>1005</v>
      </c>
      <c r="AF394" s="350">
        <f t="shared" si="1553"/>
        <v>937</v>
      </c>
      <c r="AG394" s="350">
        <f t="shared" si="1553"/>
        <v>957</v>
      </c>
      <c r="AH394" s="349">
        <f t="shared" si="1553"/>
        <v>3768</v>
      </c>
      <c r="AI394" s="350">
        <f t="shared" ref="AI394:BQ394" si="1554">AI381+AI391+AI393</f>
        <v>970</v>
      </c>
      <c r="AJ394" s="350">
        <f t="shared" si="1554"/>
        <v>960</v>
      </c>
      <c r="AK394" s="350">
        <f t="shared" si="1554"/>
        <v>3574</v>
      </c>
      <c r="AL394" s="350">
        <f t="shared" si="1554"/>
        <v>1002</v>
      </c>
      <c r="AM394" s="349">
        <f t="shared" si="1554"/>
        <v>6506</v>
      </c>
      <c r="AN394" s="350">
        <f t="shared" si="1554"/>
        <v>1000</v>
      </c>
      <c r="AO394" s="350">
        <f t="shared" si="1554"/>
        <v>1001</v>
      </c>
      <c r="AP394" s="350">
        <f t="shared" si="1554"/>
        <v>275</v>
      </c>
      <c r="AQ394" s="350">
        <f t="shared" si="1554"/>
        <v>261</v>
      </c>
      <c r="AR394" s="349">
        <f t="shared" si="1554"/>
        <v>1146</v>
      </c>
      <c r="AS394" s="350">
        <f t="shared" si="1554"/>
        <v>1057</v>
      </c>
      <c r="AT394" s="350">
        <f t="shared" si="1554"/>
        <v>1047</v>
      </c>
      <c r="AU394" s="350">
        <f t="shared" si="1554"/>
        <v>901</v>
      </c>
      <c r="AV394" s="350">
        <f t="shared" si="1554"/>
        <v>913</v>
      </c>
      <c r="AW394" s="349">
        <f t="shared" si="1554"/>
        <v>3918</v>
      </c>
      <c r="AX394" s="350">
        <f t="shared" si="1554"/>
        <v>835</v>
      </c>
      <c r="AY394" s="350">
        <f t="shared" si="1554"/>
        <v>857</v>
      </c>
      <c r="AZ394" s="350">
        <f t="shared" si="1554"/>
        <v>853</v>
      </c>
      <c r="BA394" s="350">
        <f t="shared" si="1554"/>
        <v>432</v>
      </c>
      <c r="BB394" s="349">
        <f t="shared" si="1554"/>
        <v>2109</v>
      </c>
      <c r="BC394" s="350">
        <f t="shared" si="1554"/>
        <v>433</v>
      </c>
      <c r="BD394" s="350">
        <f t="shared" si="1554"/>
        <v>456</v>
      </c>
      <c r="BE394" s="350">
        <f t="shared" si="1554"/>
        <v>442</v>
      </c>
      <c r="BF394" s="350">
        <f t="shared" si="1554"/>
        <v>525</v>
      </c>
      <c r="BG394" s="349">
        <f t="shared" si="1554"/>
        <v>1856</v>
      </c>
      <c r="BH394" s="672">
        <f t="shared" si="1554"/>
        <v>529</v>
      </c>
      <c r="BI394" s="672">
        <f t="shared" si="1554"/>
        <v>436</v>
      </c>
      <c r="BJ394" s="672">
        <f t="shared" si="1554"/>
        <v>461</v>
      </c>
      <c r="BK394" s="672">
        <f t="shared" si="1554"/>
        <v>463</v>
      </c>
      <c r="BL394" s="683">
        <f t="shared" si="1554"/>
        <v>1889</v>
      </c>
      <c r="BM394" s="672">
        <f t="shared" si="1554"/>
        <v>769</v>
      </c>
      <c r="BN394" s="672">
        <f t="shared" si="1554"/>
        <v>800</v>
      </c>
      <c r="BO394" s="672">
        <f t="shared" si="1554"/>
        <v>857</v>
      </c>
      <c r="BP394" s="672">
        <f t="shared" si="1554"/>
        <v>905</v>
      </c>
      <c r="BQ394" s="683">
        <f t="shared" si="1554"/>
        <v>2345</v>
      </c>
      <c r="BR394" s="672">
        <f>BR381+BR391+BR393+BR392</f>
        <v>917</v>
      </c>
      <c r="BS394" s="672">
        <f>BS381+BS391+BS393+BS392</f>
        <v>2127</v>
      </c>
      <c r="BT394" s="672">
        <f>BT381+BT391+BT393+BT392</f>
        <v>857</v>
      </c>
      <c r="BU394" s="672">
        <f>BU381+BU391+BU393+BU392</f>
        <v>726</v>
      </c>
      <c r="BV394" s="683">
        <f t="shared" ref="BV394:CK394" si="1555">BV381+BV391+BV393+BV392</f>
        <v>4627</v>
      </c>
      <c r="BW394" s="672">
        <f t="shared" si="1555"/>
        <v>838</v>
      </c>
      <c r="BX394" s="672">
        <f t="shared" si="1555"/>
        <v>813</v>
      </c>
      <c r="BY394" s="672">
        <f t="shared" si="1555"/>
        <v>729</v>
      </c>
      <c r="BZ394" s="672">
        <f t="shared" si="1555"/>
        <v>722</v>
      </c>
      <c r="CA394" s="683">
        <f t="shared" si="1555"/>
        <v>3039</v>
      </c>
      <c r="CB394" s="672">
        <f t="shared" si="1555"/>
        <v>1030</v>
      </c>
      <c r="CC394" s="672">
        <f t="shared" si="1555"/>
        <v>790</v>
      </c>
      <c r="CD394" s="672">
        <f t="shared" si="1555"/>
        <v>778</v>
      </c>
      <c r="CE394" s="672">
        <f t="shared" si="1555"/>
        <v>510</v>
      </c>
      <c r="CF394" s="683">
        <f t="shared" si="1555"/>
        <v>3108</v>
      </c>
      <c r="CG394" s="672"/>
      <c r="CH394" s="672"/>
      <c r="CI394" s="672"/>
      <c r="CJ394" s="672"/>
      <c r="CK394" s="683">
        <f t="shared" si="1555"/>
        <v>3098</v>
      </c>
      <c r="CL394" s="672">
        <f t="shared" ref="CL394:CM394" si="1556">CL381+CL391+CL393+CL392</f>
        <v>642</v>
      </c>
      <c r="CM394" s="672">
        <f t="shared" si="1556"/>
        <v>590</v>
      </c>
      <c r="CN394" s="672"/>
      <c r="CO394" s="672"/>
      <c r="CP394" s="683">
        <f t="shared" ref="CP394" si="1557">CP381+CP391+CP393+CP392</f>
        <v>2338</v>
      </c>
      <c r="CQ394" s="672"/>
      <c r="CR394" s="672"/>
      <c r="CS394" s="672"/>
      <c r="CT394" s="672"/>
      <c r="CU394" s="683">
        <f t="shared" ref="CU394" si="1558">CU381+CU391+CU393+CU392</f>
        <v>2142</v>
      </c>
      <c r="CV394" s="672"/>
      <c r="CW394" s="672"/>
      <c r="CX394" s="672"/>
      <c r="CY394" s="672"/>
      <c r="CZ394" s="683">
        <f t="shared" ref="CZ394" si="1559">CZ381+CZ391+CZ393+CZ392</f>
        <v>2733</v>
      </c>
      <c r="DA394" s="672"/>
      <c r="DB394" s="672"/>
      <c r="DC394" s="672"/>
      <c r="DD394" s="672"/>
      <c r="DE394" s="683">
        <f t="shared" ref="DE394" si="1560">DE381+DE391+DE393+DE392</f>
        <v>3270</v>
      </c>
      <c r="DF394" s="672"/>
      <c r="DG394" s="672"/>
      <c r="DH394" s="672"/>
      <c r="DI394" s="672"/>
      <c r="DJ394" s="683">
        <f t="shared" ref="DJ394:DO394" si="1561">DJ381+DJ391+DJ393+DJ392</f>
        <v>3680</v>
      </c>
      <c r="DK394" s="672"/>
      <c r="DL394" s="672"/>
      <c r="DM394" s="672"/>
      <c r="DN394" s="672"/>
      <c r="DO394" s="683">
        <f t="shared" si="1561"/>
        <v>3490</v>
      </c>
      <c r="DP394" s="672"/>
      <c r="DQ394" s="672"/>
      <c r="DR394" s="672"/>
      <c r="DS394" s="672"/>
      <c r="DT394" s="683">
        <f t="shared" ref="DT394" si="1562">DT381+DT391+DT393+DT392</f>
        <v>0</v>
      </c>
      <c r="DU394" s="672"/>
      <c r="DV394" s="672"/>
      <c r="DW394" s="672"/>
      <c r="DX394" s="672"/>
      <c r="DY394" s="683">
        <f t="shared" ref="DY394" si="1563">DY381+DY391+DY393+DY392</f>
        <v>0</v>
      </c>
      <c r="DZ394" s="683">
        <f t="shared" ref="DZ394:EB394" si="1564">DZ381+DZ391+DZ393+DZ392</f>
        <v>0</v>
      </c>
      <c r="EA394" s="683">
        <f t="shared" si="1564"/>
        <v>0</v>
      </c>
      <c r="EB394" s="683">
        <f t="shared" si="1564"/>
        <v>0</v>
      </c>
    </row>
    <row r="395" spans="2:132" s="241" customFormat="1" ht="12" customHeight="1" collapsed="1">
      <c r="B395" s="102"/>
      <c r="C395" s="390"/>
      <c r="D395" s="390"/>
      <c r="E395" s="390"/>
      <c r="F395" s="390"/>
      <c r="G395" s="390"/>
      <c r="H395" s="390"/>
      <c r="I395" s="390"/>
      <c r="J395" s="391"/>
      <c r="K395" s="391"/>
      <c r="L395" s="391"/>
      <c r="M395" s="391"/>
      <c r="N395" s="390"/>
      <c r="O395" s="391"/>
      <c r="P395" s="391"/>
      <c r="Q395" s="391"/>
      <c r="R395" s="391"/>
      <c r="S395" s="390"/>
      <c r="T395" s="391"/>
      <c r="U395" s="391"/>
      <c r="V395" s="391"/>
      <c r="W395" s="391"/>
      <c r="X395" s="390"/>
      <c r="Y395" s="391"/>
      <c r="Z395" s="391"/>
      <c r="AA395" s="391"/>
      <c r="AB395" s="391"/>
      <c r="AC395" s="390"/>
      <c r="AD395" s="391"/>
      <c r="AE395" s="391"/>
      <c r="AF395" s="391"/>
      <c r="AG395" s="391"/>
      <c r="AH395" s="390"/>
      <c r="AI395" s="391"/>
      <c r="AJ395" s="391"/>
      <c r="AK395" s="391"/>
      <c r="AL395" s="391"/>
      <c r="AM395" s="390"/>
      <c r="AN395" s="391"/>
      <c r="AO395" s="391"/>
      <c r="AP395" s="391"/>
      <c r="AQ395" s="391"/>
      <c r="AR395" s="390"/>
      <c r="AS395" s="391"/>
      <c r="AT395" s="391"/>
      <c r="AU395" s="391"/>
      <c r="AV395" s="391"/>
      <c r="AW395" s="390"/>
      <c r="AX395" s="391"/>
      <c r="AY395" s="391"/>
      <c r="AZ395" s="391"/>
      <c r="BA395" s="391"/>
      <c r="BB395" s="390"/>
      <c r="BC395" s="391"/>
      <c r="BD395" s="391"/>
      <c r="BE395" s="391"/>
      <c r="BF395" s="391"/>
      <c r="BG395" s="390"/>
      <c r="BH395" s="659"/>
      <c r="BI395" s="659"/>
      <c r="BJ395" s="659"/>
      <c r="BK395" s="659"/>
      <c r="BL395" s="660"/>
      <c r="BM395" s="659"/>
      <c r="BN395" s="659"/>
      <c r="BO395" s="659"/>
      <c r="BP395" s="659"/>
      <c r="BQ395" s="660"/>
      <c r="BR395" s="659"/>
      <c r="BS395" s="659"/>
      <c r="BT395" s="659"/>
      <c r="BU395" s="659"/>
      <c r="BV395" s="660"/>
      <c r="BW395" s="659"/>
      <c r="BX395" s="659"/>
      <c r="BY395" s="659"/>
      <c r="BZ395" s="659"/>
      <c r="CA395" s="660"/>
      <c r="CB395" s="659"/>
      <c r="CC395" s="659"/>
      <c r="CD395" s="659"/>
      <c r="CE395" s="659"/>
      <c r="CF395" s="660"/>
      <c r="CG395" s="659"/>
      <c r="CH395" s="659"/>
      <c r="CI395" s="659"/>
      <c r="CJ395" s="659"/>
      <c r="CK395" s="660"/>
      <c r="CL395" s="659"/>
      <c r="CM395" s="659"/>
      <c r="CN395" s="659"/>
      <c r="CO395" s="659"/>
      <c r="CP395" s="660"/>
      <c r="CQ395" s="659"/>
      <c r="CR395" s="659"/>
      <c r="CS395" s="659"/>
      <c r="CT395" s="659"/>
      <c r="CU395" s="660"/>
      <c r="CV395" s="659"/>
      <c r="CW395" s="659"/>
      <c r="CX395" s="659"/>
      <c r="CY395" s="659"/>
      <c r="CZ395" s="660"/>
      <c r="DA395" s="659"/>
      <c r="DB395" s="659"/>
      <c r="DC395" s="659"/>
      <c r="DD395" s="659"/>
      <c r="DE395" s="660"/>
      <c r="DF395" s="659"/>
      <c r="DG395" s="659"/>
      <c r="DH395" s="659"/>
      <c r="DI395" s="659"/>
      <c r="DJ395" s="660"/>
      <c r="DK395" s="659"/>
      <c r="DL395" s="659"/>
      <c r="DM395" s="659"/>
      <c r="DN395" s="659"/>
      <c r="DO395" s="660"/>
      <c r="DP395" s="659"/>
      <c r="DQ395" s="659"/>
      <c r="DR395" s="659"/>
      <c r="DS395" s="659"/>
      <c r="DT395" s="660"/>
      <c r="DU395" s="659"/>
      <c r="DV395" s="659"/>
      <c r="DW395" s="659"/>
      <c r="DX395" s="659"/>
      <c r="DY395" s="660"/>
      <c r="DZ395" s="660"/>
      <c r="EA395" s="660"/>
      <c r="EB395" s="660"/>
    </row>
    <row r="396" spans="2:132" s="241" customFormat="1" ht="12" hidden="1" customHeight="1">
      <c r="B396" s="102" t="s">
        <v>406</v>
      </c>
      <c r="C396" s="390"/>
      <c r="D396" s="390"/>
      <c r="E396" s="390"/>
      <c r="F396" s="390"/>
      <c r="G396" s="390"/>
      <c r="H396" s="390"/>
      <c r="I396" s="390"/>
      <c r="J396" s="391"/>
      <c r="K396" s="391"/>
      <c r="L396" s="391"/>
      <c r="M396" s="391"/>
      <c r="N396" s="390"/>
      <c r="O396" s="391"/>
      <c r="P396" s="391"/>
      <c r="Q396" s="391"/>
      <c r="R396" s="391"/>
      <c r="S396" s="390"/>
      <c r="T396" s="391"/>
      <c r="U396" s="391"/>
      <c r="V396" s="391"/>
      <c r="W396" s="391"/>
      <c r="X396" s="390"/>
      <c r="Y396" s="391"/>
      <c r="Z396" s="391"/>
      <c r="AA396" s="391"/>
      <c r="AB396" s="391"/>
      <c r="AC396" s="390"/>
      <c r="AD396" s="391"/>
      <c r="AE396" s="391"/>
      <c r="AF396" s="391"/>
      <c r="AG396" s="391"/>
      <c r="AH396" s="390"/>
      <c r="AI396" s="391"/>
      <c r="AJ396" s="391"/>
      <c r="AK396" s="391"/>
      <c r="AL396" s="391"/>
      <c r="AM396" s="390"/>
      <c r="AN396" s="391"/>
      <c r="AO396" s="391"/>
      <c r="AP396" s="391"/>
      <c r="AQ396" s="391"/>
      <c r="AR396" s="390"/>
      <c r="AS396" s="391"/>
      <c r="AT396" s="391"/>
      <c r="AU396" s="391"/>
      <c r="AV396" s="391"/>
      <c r="AW396" s="390"/>
      <c r="AX396" s="391"/>
      <c r="AY396" s="391"/>
      <c r="AZ396" s="391"/>
      <c r="BA396" s="391"/>
      <c r="BB396" s="390"/>
      <c r="BC396" s="391"/>
      <c r="BD396" s="391"/>
      <c r="BE396" s="391"/>
      <c r="BF396" s="391"/>
      <c r="BG396" s="390"/>
      <c r="BH396" s="659"/>
      <c r="BI396" s="659"/>
      <c r="BJ396" s="659"/>
      <c r="BK396" s="659"/>
      <c r="BL396" s="660"/>
      <c r="BM396" s="659"/>
      <c r="BN396" s="659"/>
      <c r="BO396" s="659"/>
      <c r="BP396" s="659"/>
      <c r="BQ396" s="660"/>
      <c r="BR396" s="659"/>
      <c r="BS396" s="659"/>
      <c r="BT396" s="659"/>
      <c r="BU396" s="659"/>
      <c r="BV396" s="660"/>
      <c r="BW396" s="659"/>
      <c r="BX396" s="659"/>
      <c r="BY396" s="659"/>
      <c r="BZ396" s="659"/>
      <c r="CA396" s="660"/>
      <c r="CB396" s="659"/>
      <c r="CC396" s="659"/>
      <c r="CD396" s="659"/>
      <c r="CE396" s="659"/>
      <c r="CF396" s="660"/>
      <c r="CG396" s="659"/>
      <c r="CH396" s="659"/>
      <c r="CI396" s="659"/>
      <c r="CJ396" s="659"/>
      <c r="CK396" s="660"/>
      <c r="CL396" s="659"/>
      <c r="CM396" s="659"/>
      <c r="CN396" s="659"/>
      <c r="CO396" s="659"/>
      <c r="CP396" s="660"/>
      <c r="CQ396" s="659"/>
      <c r="CR396" s="659"/>
      <c r="CS396" s="659"/>
      <c r="CT396" s="659"/>
      <c r="CU396" s="660"/>
      <c r="CV396" s="659"/>
      <c r="CW396" s="659"/>
      <c r="CX396" s="659"/>
      <c r="CY396" s="659"/>
      <c r="CZ396" s="660"/>
      <c r="DA396" s="659"/>
      <c r="DB396" s="659"/>
      <c r="DC396" s="659"/>
      <c r="DD396" s="659"/>
      <c r="DE396" s="660"/>
      <c r="DF396" s="659"/>
      <c r="DG396" s="659"/>
      <c r="DH396" s="659"/>
      <c r="DI396" s="659"/>
      <c r="DJ396" s="660"/>
      <c r="DK396" s="659"/>
      <c r="DL396" s="659"/>
      <c r="DM396" s="659"/>
      <c r="DN396" s="659"/>
      <c r="DO396" s="660"/>
      <c r="DP396" s="659"/>
      <c r="DQ396" s="659"/>
      <c r="DR396" s="659"/>
      <c r="DS396" s="659"/>
      <c r="DT396" s="660"/>
      <c r="DU396" s="659"/>
      <c r="DV396" s="659"/>
      <c r="DW396" s="659"/>
      <c r="DX396" s="659"/>
      <c r="DY396" s="660"/>
      <c r="DZ396" s="660"/>
      <c r="EA396" s="660"/>
      <c r="EB396" s="660"/>
    </row>
    <row r="397" spans="2:132" s="241" customFormat="1" ht="12" hidden="1" customHeight="1">
      <c r="B397" s="541" t="s">
        <v>201</v>
      </c>
      <c r="C397" s="394">
        <v>0</v>
      </c>
      <c r="D397" s="394">
        <v>0</v>
      </c>
      <c r="E397" s="394">
        <v>0</v>
      </c>
      <c r="F397" s="394">
        <v>0</v>
      </c>
      <c r="G397" s="394">
        <v>0</v>
      </c>
      <c r="H397" s="394">
        <v>0</v>
      </c>
      <c r="I397" s="394">
        <v>0</v>
      </c>
      <c r="J397" s="393">
        <v>0</v>
      </c>
      <c r="K397" s="393">
        <v>0</v>
      </c>
      <c r="L397" s="393">
        <v>0</v>
      </c>
      <c r="M397" s="393">
        <v>0</v>
      </c>
      <c r="N397" s="394">
        <f>SUM(J397:M397)</f>
        <v>0</v>
      </c>
      <c r="O397" s="393">
        <v>0</v>
      </c>
      <c r="P397" s="393">
        <v>0</v>
      </c>
      <c r="Q397" s="393">
        <v>0</v>
      </c>
      <c r="R397" s="393">
        <v>0</v>
      </c>
      <c r="S397" s="394">
        <f>SUM(O397:R397)</f>
        <v>0</v>
      </c>
      <c r="T397" s="393">
        <v>0</v>
      </c>
      <c r="U397" s="393">
        <v>0</v>
      </c>
      <c r="V397" s="393">
        <v>0</v>
      </c>
      <c r="W397" s="393">
        <v>0</v>
      </c>
      <c r="X397" s="394">
        <f>SUM(T397:W397)</f>
        <v>0</v>
      </c>
      <c r="Y397" s="393">
        <v>0</v>
      </c>
      <c r="Z397" s="393">
        <v>0</v>
      </c>
      <c r="AA397" s="393">
        <v>0</v>
      </c>
      <c r="AB397" s="393">
        <v>0</v>
      </c>
      <c r="AC397" s="394">
        <f>SUM(Y397:AB397)</f>
        <v>0</v>
      </c>
      <c r="AD397" s="393">
        <v>0</v>
      </c>
      <c r="AE397" s="393">
        <v>0</v>
      </c>
      <c r="AF397" s="393">
        <v>0</v>
      </c>
      <c r="AG397" s="393">
        <v>0</v>
      </c>
      <c r="AH397" s="394">
        <f>SUM(AD397:AG397)</f>
        <v>0</v>
      </c>
      <c r="AI397" s="393">
        <v>0</v>
      </c>
      <c r="AJ397" s="393">
        <v>0</v>
      </c>
      <c r="AK397" s="393">
        <v>0</v>
      </c>
      <c r="AL397" s="393">
        <v>0</v>
      </c>
      <c r="AM397" s="394">
        <f>SUM(AI397:AL397)</f>
        <v>0</v>
      </c>
      <c r="AN397" s="393">
        <v>0</v>
      </c>
      <c r="AO397" s="393">
        <v>0</v>
      </c>
      <c r="AP397" s="393">
        <v>0</v>
      </c>
      <c r="AQ397" s="393">
        <v>0</v>
      </c>
      <c r="AR397" s="394">
        <f>SUM(AN397:AQ397)</f>
        <v>0</v>
      </c>
      <c r="AS397" s="391"/>
      <c r="AT397" s="391"/>
      <c r="AU397" s="391"/>
      <c r="AV397" s="391"/>
      <c r="AW397" s="390"/>
      <c r="AX397" s="391"/>
      <c r="AY397" s="391"/>
      <c r="AZ397" s="391"/>
      <c r="BA397" s="391"/>
      <c r="BB397" s="390"/>
      <c r="BC397" s="391"/>
      <c r="BD397" s="391"/>
      <c r="BE397" s="391"/>
      <c r="BF397" s="391"/>
      <c r="BG397" s="390"/>
      <c r="BH397" s="659"/>
      <c r="BI397" s="659"/>
      <c r="BJ397" s="659"/>
      <c r="BK397" s="659"/>
      <c r="BL397" s="660"/>
      <c r="BM397" s="659"/>
      <c r="BN397" s="659"/>
      <c r="BO397" s="659"/>
      <c r="BP397" s="659"/>
      <c r="BQ397" s="660"/>
      <c r="BR397" s="659"/>
      <c r="BS397" s="659"/>
      <c r="BT397" s="659"/>
      <c r="BU397" s="659"/>
      <c r="BV397" s="660"/>
      <c r="BW397" s="659"/>
      <c r="BX397" s="659"/>
      <c r="BY397" s="659"/>
      <c r="BZ397" s="659"/>
      <c r="CA397" s="660"/>
      <c r="CB397" s="659"/>
      <c r="CC397" s="659"/>
      <c r="CD397" s="659"/>
      <c r="CE397" s="659"/>
      <c r="CF397" s="660"/>
      <c r="CG397" s="659"/>
      <c r="CH397" s="659"/>
      <c r="CI397" s="659"/>
      <c r="CJ397" s="659"/>
      <c r="CK397" s="660"/>
      <c r="CL397" s="659"/>
      <c r="CM397" s="659"/>
      <c r="CN397" s="659"/>
      <c r="CO397" s="659"/>
      <c r="CP397" s="660"/>
      <c r="CQ397" s="659"/>
      <c r="CR397" s="659"/>
      <c r="CS397" s="659"/>
      <c r="CT397" s="659"/>
      <c r="CU397" s="660"/>
      <c r="CV397" s="659"/>
      <c r="CW397" s="659"/>
      <c r="CX397" s="659"/>
      <c r="CY397" s="659"/>
      <c r="CZ397" s="660"/>
      <c r="DA397" s="659"/>
      <c r="DB397" s="659"/>
      <c r="DC397" s="659"/>
      <c r="DD397" s="659"/>
      <c r="DE397" s="660"/>
      <c r="DF397" s="659"/>
      <c r="DG397" s="659"/>
      <c r="DH397" s="659"/>
      <c r="DI397" s="659"/>
      <c r="DJ397" s="660"/>
      <c r="DK397" s="659"/>
      <c r="DL397" s="659"/>
      <c r="DM397" s="659"/>
      <c r="DN397" s="659"/>
      <c r="DO397" s="660"/>
      <c r="DP397" s="659"/>
      <c r="DQ397" s="659"/>
      <c r="DR397" s="659"/>
      <c r="DS397" s="659"/>
      <c r="DT397" s="660"/>
      <c r="DU397" s="659"/>
      <c r="DV397" s="659"/>
      <c r="DW397" s="659"/>
      <c r="DX397" s="659"/>
      <c r="DY397" s="660"/>
      <c r="DZ397" s="660"/>
      <c r="EA397" s="660"/>
      <c r="EB397" s="660"/>
    </row>
    <row r="398" spans="2:132" s="241" customFormat="1" ht="12" hidden="1" customHeight="1">
      <c r="B398" s="541" t="s">
        <v>399</v>
      </c>
      <c r="C398" s="394">
        <v>0</v>
      </c>
      <c r="D398" s="394">
        <v>41</v>
      </c>
      <c r="E398" s="394">
        <v>0</v>
      </c>
      <c r="F398" s="394">
        <v>21</v>
      </c>
      <c r="G398" s="394">
        <v>3</v>
      </c>
      <c r="H398" s="394">
        <v>32</v>
      </c>
      <c r="I398" s="394">
        <v>8</v>
      </c>
      <c r="J398" s="393">
        <v>0</v>
      </c>
      <c r="K398" s="393">
        <v>6</v>
      </c>
      <c r="L398" s="393">
        <v>0</v>
      </c>
      <c r="M398" s="393">
        <v>2</v>
      </c>
      <c r="N398" s="394">
        <f t="shared" ref="N398:N405" si="1565">SUM(J398:M398)</f>
        <v>8</v>
      </c>
      <c r="O398" s="393">
        <v>0</v>
      </c>
      <c r="P398" s="393">
        <v>0</v>
      </c>
      <c r="Q398" s="393">
        <v>0</v>
      </c>
      <c r="R398" s="393">
        <v>0</v>
      </c>
      <c r="S398" s="394">
        <f t="shared" ref="S398:S405" si="1566">SUM(O398:R398)</f>
        <v>0</v>
      </c>
      <c r="T398" s="393">
        <v>0</v>
      </c>
      <c r="U398" s="393">
        <v>0</v>
      </c>
      <c r="V398" s="393">
        <v>0</v>
      </c>
      <c r="W398" s="393">
        <v>0</v>
      </c>
      <c r="X398" s="394">
        <f t="shared" ref="X398:X405" si="1567">SUM(T398:W398)</f>
        <v>0</v>
      </c>
      <c r="Y398" s="393">
        <v>0</v>
      </c>
      <c r="Z398" s="393">
        <v>0</v>
      </c>
      <c r="AA398" s="393">
        <v>0</v>
      </c>
      <c r="AB398" s="393">
        <v>0</v>
      </c>
      <c r="AC398" s="394">
        <f t="shared" ref="AC398:AC405" si="1568">SUM(Y398:AB398)</f>
        <v>0</v>
      </c>
      <c r="AD398" s="393">
        <v>0</v>
      </c>
      <c r="AE398" s="393">
        <v>0</v>
      </c>
      <c r="AF398" s="393">
        <v>0</v>
      </c>
      <c r="AG398" s="393">
        <v>0</v>
      </c>
      <c r="AH398" s="394">
        <f t="shared" ref="AH398:AH405" si="1569">SUM(AD398:AG398)</f>
        <v>0</v>
      </c>
      <c r="AI398" s="393">
        <v>0</v>
      </c>
      <c r="AJ398" s="393">
        <v>0</v>
      </c>
      <c r="AK398" s="393">
        <v>0</v>
      </c>
      <c r="AL398" s="393">
        <v>0</v>
      </c>
      <c r="AM398" s="394">
        <f t="shared" ref="AM398:AM405" si="1570">SUM(AI398:AL398)</f>
        <v>0</v>
      </c>
      <c r="AN398" s="393">
        <v>0</v>
      </c>
      <c r="AO398" s="393">
        <v>0</v>
      </c>
      <c r="AP398" s="393">
        <v>0</v>
      </c>
      <c r="AQ398" s="393">
        <v>0</v>
      </c>
      <c r="AR398" s="394">
        <f t="shared" ref="AR398:AR405" si="1571">SUM(AN398:AQ398)</f>
        <v>0</v>
      </c>
      <c r="AS398" s="391"/>
      <c r="AT398" s="391"/>
      <c r="AU398" s="391"/>
      <c r="AV398" s="391"/>
      <c r="AW398" s="390"/>
      <c r="AX398" s="391"/>
      <c r="AY398" s="391"/>
      <c r="AZ398" s="391"/>
      <c r="BA398" s="391"/>
      <c r="BB398" s="390"/>
      <c r="BC398" s="391"/>
      <c r="BD398" s="391"/>
      <c r="BE398" s="391"/>
      <c r="BF398" s="391"/>
      <c r="BG398" s="390"/>
      <c r="BH398" s="659"/>
      <c r="BI398" s="659"/>
      <c r="BJ398" s="659"/>
      <c r="BK398" s="659"/>
      <c r="BL398" s="660"/>
      <c r="BM398" s="659"/>
      <c r="BN398" s="659"/>
      <c r="BO398" s="659"/>
      <c r="BP398" s="659"/>
      <c r="BQ398" s="660"/>
      <c r="BR398" s="659"/>
      <c r="BS398" s="659"/>
      <c r="BT398" s="659"/>
      <c r="BU398" s="659"/>
      <c r="BV398" s="660"/>
      <c r="BW398" s="659"/>
      <c r="BX398" s="659"/>
      <c r="BY398" s="659"/>
      <c r="BZ398" s="659"/>
      <c r="CA398" s="660"/>
      <c r="CB398" s="659"/>
      <c r="CC398" s="659"/>
      <c r="CD398" s="659"/>
      <c r="CE398" s="659"/>
      <c r="CF398" s="660"/>
      <c r="CG398" s="659"/>
      <c r="CH398" s="659"/>
      <c r="CI398" s="659"/>
      <c r="CJ398" s="659"/>
      <c r="CK398" s="660"/>
      <c r="CL398" s="659"/>
      <c r="CM398" s="659"/>
      <c r="CN398" s="659"/>
      <c r="CO398" s="659"/>
      <c r="CP398" s="660"/>
      <c r="CQ398" s="659"/>
      <c r="CR398" s="659"/>
      <c r="CS398" s="659"/>
      <c r="CT398" s="659"/>
      <c r="CU398" s="660"/>
      <c r="CV398" s="659"/>
      <c r="CW398" s="659"/>
      <c r="CX398" s="659"/>
      <c r="CY398" s="659"/>
      <c r="CZ398" s="660"/>
      <c r="DA398" s="659"/>
      <c r="DB398" s="659"/>
      <c r="DC398" s="659"/>
      <c r="DD398" s="659"/>
      <c r="DE398" s="660"/>
      <c r="DF398" s="659"/>
      <c r="DG398" s="659"/>
      <c r="DH398" s="659"/>
      <c r="DI398" s="659"/>
      <c r="DJ398" s="660"/>
      <c r="DK398" s="659"/>
      <c r="DL398" s="659"/>
      <c r="DM398" s="659"/>
      <c r="DN398" s="659"/>
      <c r="DO398" s="660"/>
      <c r="DP398" s="659"/>
      <c r="DQ398" s="659"/>
      <c r="DR398" s="659"/>
      <c r="DS398" s="659"/>
      <c r="DT398" s="660"/>
      <c r="DU398" s="659"/>
      <c r="DV398" s="659"/>
      <c r="DW398" s="659"/>
      <c r="DX398" s="659"/>
      <c r="DY398" s="660"/>
      <c r="DZ398" s="660"/>
      <c r="EA398" s="660"/>
      <c r="EB398" s="660"/>
    </row>
    <row r="399" spans="2:132" s="241" customFormat="1" ht="12" hidden="1" customHeight="1">
      <c r="B399" s="541" t="s">
        <v>400</v>
      </c>
      <c r="C399" s="394">
        <v>314</v>
      </c>
      <c r="D399" s="394">
        <v>354</v>
      </c>
      <c r="E399" s="394">
        <v>237</v>
      </c>
      <c r="F399" s="394">
        <v>374</v>
      </c>
      <c r="G399" s="394">
        <v>188</v>
      </c>
      <c r="H399" s="394">
        <v>162</v>
      </c>
      <c r="I399" s="394">
        <v>206</v>
      </c>
      <c r="J399" s="393">
        <v>31</v>
      </c>
      <c r="K399" s="393">
        <v>30</v>
      </c>
      <c r="L399" s="393">
        <v>51</v>
      </c>
      <c r="M399" s="393">
        <v>40</v>
      </c>
      <c r="N399" s="394">
        <f t="shared" si="1565"/>
        <v>152</v>
      </c>
      <c r="O399" s="393">
        <v>49</v>
      </c>
      <c r="P399" s="393">
        <v>272</v>
      </c>
      <c r="Q399" s="393">
        <v>116</v>
      </c>
      <c r="R399" s="393">
        <v>133</v>
      </c>
      <c r="S399" s="394">
        <f t="shared" si="1566"/>
        <v>570</v>
      </c>
      <c r="T399" s="393">
        <v>116</v>
      </c>
      <c r="U399" s="393">
        <v>268</v>
      </c>
      <c r="V399" s="393">
        <v>165</v>
      </c>
      <c r="W399" s="393">
        <v>190</v>
      </c>
      <c r="X399" s="394">
        <f t="shared" si="1567"/>
        <v>739</v>
      </c>
      <c r="Y399" s="393">
        <v>38</v>
      </c>
      <c r="Z399" s="393">
        <v>205</v>
      </c>
      <c r="AA399" s="393">
        <v>247</v>
      </c>
      <c r="AB399" s="393">
        <v>360</v>
      </c>
      <c r="AC399" s="394">
        <f t="shared" si="1568"/>
        <v>850</v>
      </c>
      <c r="AD399" s="393">
        <v>187</v>
      </c>
      <c r="AE399" s="393">
        <v>167</v>
      </c>
      <c r="AF399" s="393">
        <v>116</v>
      </c>
      <c r="AG399" s="393">
        <v>14</v>
      </c>
      <c r="AH399" s="394">
        <f t="shared" si="1569"/>
        <v>484</v>
      </c>
      <c r="AI399" s="393">
        <v>24</v>
      </c>
      <c r="AJ399" s="393">
        <v>33</v>
      </c>
      <c r="AK399" s="393">
        <v>71</v>
      </c>
      <c r="AL399" s="393">
        <v>50</v>
      </c>
      <c r="AM399" s="394">
        <f t="shared" si="1570"/>
        <v>178</v>
      </c>
      <c r="AN399" s="393">
        <v>71</v>
      </c>
      <c r="AO399" s="393">
        <v>41</v>
      </c>
      <c r="AP399" s="393">
        <v>220</v>
      </c>
      <c r="AQ399" s="393">
        <v>154</v>
      </c>
      <c r="AR399" s="394">
        <f t="shared" si="1571"/>
        <v>486</v>
      </c>
      <c r="AS399" s="391"/>
      <c r="AT399" s="391"/>
      <c r="AU399" s="391"/>
      <c r="AV399" s="391"/>
      <c r="AW399" s="390"/>
      <c r="AX399" s="391"/>
      <c r="AY399" s="391"/>
      <c r="AZ399" s="391"/>
      <c r="BA399" s="391"/>
      <c r="BB399" s="390"/>
      <c r="BC399" s="391"/>
      <c r="BD399" s="391"/>
      <c r="BE399" s="391"/>
      <c r="BF399" s="391"/>
      <c r="BG399" s="390"/>
      <c r="BH399" s="659"/>
      <c r="BI399" s="659"/>
      <c r="BJ399" s="659"/>
      <c r="BK399" s="659"/>
      <c r="BL399" s="660"/>
      <c r="BM399" s="659"/>
      <c r="BN399" s="659"/>
      <c r="BO399" s="659"/>
      <c r="BP399" s="659"/>
      <c r="BQ399" s="660"/>
      <c r="BR399" s="659"/>
      <c r="BS399" s="659"/>
      <c r="BT399" s="659"/>
      <c r="BU399" s="659"/>
      <c r="BV399" s="660"/>
      <c r="BW399" s="659"/>
      <c r="BX399" s="659"/>
      <c r="BY399" s="659"/>
      <c r="BZ399" s="659"/>
      <c r="CA399" s="660"/>
      <c r="CB399" s="659"/>
      <c r="CC399" s="659"/>
      <c r="CD399" s="659"/>
      <c r="CE399" s="659"/>
      <c r="CF399" s="660"/>
      <c r="CG399" s="659"/>
      <c r="CH399" s="659"/>
      <c r="CI399" s="659"/>
      <c r="CJ399" s="659"/>
      <c r="CK399" s="660"/>
      <c r="CL399" s="659"/>
      <c r="CM399" s="659"/>
      <c r="CN399" s="659"/>
      <c r="CO399" s="659"/>
      <c r="CP399" s="660"/>
      <c r="CQ399" s="659"/>
      <c r="CR399" s="659"/>
      <c r="CS399" s="659"/>
      <c r="CT399" s="659"/>
      <c r="CU399" s="660"/>
      <c r="CV399" s="659"/>
      <c r="CW399" s="659"/>
      <c r="CX399" s="659"/>
      <c r="CY399" s="659"/>
      <c r="CZ399" s="660"/>
      <c r="DA399" s="659"/>
      <c r="DB399" s="659"/>
      <c r="DC399" s="659"/>
      <c r="DD399" s="659"/>
      <c r="DE399" s="660"/>
      <c r="DF399" s="659"/>
      <c r="DG399" s="659"/>
      <c r="DH399" s="659"/>
      <c r="DI399" s="659"/>
      <c r="DJ399" s="660"/>
      <c r="DK399" s="659"/>
      <c r="DL399" s="659"/>
      <c r="DM399" s="659"/>
      <c r="DN399" s="659"/>
      <c r="DO399" s="660"/>
      <c r="DP399" s="659"/>
      <c r="DQ399" s="659"/>
      <c r="DR399" s="659"/>
      <c r="DS399" s="659"/>
      <c r="DT399" s="660"/>
      <c r="DU399" s="659"/>
      <c r="DV399" s="659"/>
      <c r="DW399" s="659"/>
      <c r="DX399" s="659"/>
      <c r="DY399" s="660"/>
      <c r="DZ399" s="660"/>
      <c r="EA399" s="660"/>
      <c r="EB399" s="660"/>
    </row>
    <row r="400" spans="2:132" s="241" customFormat="1" ht="12" hidden="1" customHeight="1">
      <c r="B400" s="541" t="s">
        <v>401</v>
      </c>
      <c r="C400" s="394">
        <v>36</v>
      </c>
      <c r="D400" s="394">
        <v>15</v>
      </c>
      <c r="E400" s="394">
        <v>35</v>
      </c>
      <c r="F400" s="394">
        <v>26</v>
      </c>
      <c r="G400" s="394">
        <v>16</v>
      </c>
      <c r="H400" s="394">
        <v>17</v>
      </c>
      <c r="I400" s="394">
        <v>4</v>
      </c>
      <c r="J400" s="393">
        <v>3</v>
      </c>
      <c r="K400" s="393">
        <v>5</v>
      </c>
      <c r="L400" s="393">
        <v>2</v>
      </c>
      <c r="M400" s="393">
        <v>0</v>
      </c>
      <c r="N400" s="394">
        <f t="shared" si="1565"/>
        <v>10</v>
      </c>
      <c r="O400" s="393">
        <v>0</v>
      </c>
      <c r="P400" s="393">
        <v>8</v>
      </c>
      <c r="Q400" s="393">
        <v>16</v>
      </c>
      <c r="R400" s="393">
        <v>24</v>
      </c>
      <c r="S400" s="394">
        <f t="shared" si="1566"/>
        <v>48</v>
      </c>
      <c r="T400" s="393">
        <v>2</v>
      </c>
      <c r="U400" s="393">
        <v>9</v>
      </c>
      <c r="V400" s="393">
        <v>30</v>
      </c>
      <c r="W400" s="393">
        <v>31</v>
      </c>
      <c r="X400" s="394">
        <f t="shared" si="1567"/>
        <v>72</v>
      </c>
      <c r="Y400" s="393">
        <v>9</v>
      </c>
      <c r="Z400" s="393">
        <v>0</v>
      </c>
      <c r="AA400" s="393">
        <v>1</v>
      </c>
      <c r="AB400" s="393">
        <v>15</v>
      </c>
      <c r="AC400" s="394">
        <f t="shared" si="1568"/>
        <v>25</v>
      </c>
      <c r="AD400" s="393">
        <v>1</v>
      </c>
      <c r="AE400" s="393">
        <v>1</v>
      </c>
      <c r="AF400" s="393">
        <v>1</v>
      </c>
      <c r="AG400" s="393">
        <v>0</v>
      </c>
      <c r="AH400" s="394">
        <f t="shared" si="1569"/>
        <v>3</v>
      </c>
      <c r="AI400" s="393">
        <v>0</v>
      </c>
      <c r="AJ400" s="393">
        <v>-1</v>
      </c>
      <c r="AK400" s="393">
        <v>0</v>
      </c>
      <c r="AL400" s="393">
        <v>3</v>
      </c>
      <c r="AM400" s="394">
        <f t="shared" si="1570"/>
        <v>2</v>
      </c>
      <c r="AN400" s="393">
        <v>0</v>
      </c>
      <c r="AO400" s="393">
        <v>1</v>
      </c>
      <c r="AP400" s="393">
        <v>0</v>
      </c>
      <c r="AQ400" s="393">
        <v>-2</v>
      </c>
      <c r="AR400" s="394">
        <f t="shared" si="1571"/>
        <v>-1</v>
      </c>
      <c r="AS400" s="391"/>
      <c r="AT400" s="391"/>
      <c r="AU400" s="391"/>
      <c r="AV400" s="391"/>
      <c r="AW400" s="390"/>
      <c r="AX400" s="391"/>
      <c r="AY400" s="391"/>
      <c r="AZ400" s="391"/>
      <c r="BA400" s="391"/>
      <c r="BB400" s="390"/>
      <c r="BC400" s="391"/>
      <c r="BD400" s="391"/>
      <c r="BE400" s="391"/>
      <c r="BF400" s="391"/>
      <c r="BG400" s="390"/>
      <c r="BH400" s="659"/>
      <c r="BI400" s="659"/>
      <c r="BJ400" s="659"/>
      <c r="BK400" s="659"/>
      <c r="BL400" s="660"/>
      <c r="BM400" s="659"/>
      <c r="BN400" s="659"/>
      <c r="BO400" s="659"/>
      <c r="BP400" s="659"/>
      <c r="BQ400" s="660"/>
      <c r="BR400" s="659"/>
      <c r="BS400" s="659"/>
      <c r="BT400" s="659"/>
      <c r="BU400" s="659"/>
      <c r="BV400" s="660"/>
      <c r="BW400" s="659"/>
      <c r="BX400" s="659"/>
      <c r="BY400" s="659"/>
      <c r="BZ400" s="659"/>
      <c r="CA400" s="660"/>
      <c r="CB400" s="659"/>
      <c r="CC400" s="659"/>
      <c r="CD400" s="659"/>
      <c r="CE400" s="659"/>
      <c r="CF400" s="660"/>
      <c r="CG400" s="659"/>
      <c r="CH400" s="659"/>
      <c r="CI400" s="659"/>
      <c r="CJ400" s="659"/>
      <c r="CK400" s="660"/>
      <c r="CL400" s="659"/>
      <c r="CM400" s="659"/>
      <c r="CN400" s="659"/>
      <c r="CO400" s="659"/>
      <c r="CP400" s="660"/>
      <c r="CQ400" s="659"/>
      <c r="CR400" s="659"/>
      <c r="CS400" s="659"/>
      <c r="CT400" s="659"/>
      <c r="CU400" s="660"/>
      <c r="CV400" s="659"/>
      <c r="CW400" s="659"/>
      <c r="CX400" s="659"/>
      <c r="CY400" s="659"/>
      <c r="CZ400" s="660"/>
      <c r="DA400" s="659"/>
      <c r="DB400" s="659"/>
      <c r="DC400" s="659"/>
      <c r="DD400" s="659"/>
      <c r="DE400" s="660"/>
      <c r="DF400" s="659"/>
      <c r="DG400" s="659"/>
      <c r="DH400" s="659"/>
      <c r="DI400" s="659"/>
      <c r="DJ400" s="660"/>
      <c r="DK400" s="659"/>
      <c r="DL400" s="659"/>
      <c r="DM400" s="659"/>
      <c r="DN400" s="659"/>
      <c r="DO400" s="660"/>
      <c r="DP400" s="659"/>
      <c r="DQ400" s="659"/>
      <c r="DR400" s="659"/>
      <c r="DS400" s="659"/>
      <c r="DT400" s="660"/>
      <c r="DU400" s="659"/>
      <c r="DV400" s="659"/>
      <c r="DW400" s="659"/>
      <c r="DX400" s="659"/>
      <c r="DY400" s="660"/>
      <c r="DZ400" s="660"/>
      <c r="EA400" s="660"/>
      <c r="EB400" s="660"/>
    </row>
    <row r="401" spans="2:132" s="241" customFormat="1" ht="12" hidden="1" customHeight="1">
      <c r="B401" s="541" t="s">
        <v>402</v>
      </c>
      <c r="C401" s="394">
        <v>44</v>
      </c>
      <c r="D401" s="394">
        <v>50</v>
      </c>
      <c r="E401" s="394">
        <v>18</v>
      </c>
      <c r="F401" s="394">
        <v>43</v>
      </c>
      <c r="G401" s="394">
        <v>37</v>
      </c>
      <c r="H401" s="394">
        <v>0</v>
      </c>
      <c r="I401" s="394">
        <v>7</v>
      </c>
      <c r="J401" s="393">
        <v>0</v>
      </c>
      <c r="K401" s="393">
        <v>0</v>
      </c>
      <c r="L401" s="393">
        <v>0</v>
      </c>
      <c r="M401" s="393">
        <v>0</v>
      </c>
      <c r="N401" s="394">
        <f t="shared" si="1565"/>
        <v>0</v>
      </c>
      <c r="O401" s="393">
        <v>0</v>
      </c>
      <c r="P401" s="393">
        <v>0</v>
      </c>
      <c r="Q401" s="393">
        <v>0</v>
      </c>
      <c r="R401" s="393">
        <v>0</v>
      </c>
      <c r="S401" s="394">
        <f t="shared" si="1566"/>
        <v>0</v>
      </c>
      <c r="T401" s="393">
        <v>0</v>
      </c>
      <c r="U401" s="393">
        <v>0</v>
      </c>
      <c r="V401" s="393">
        <v>0</v>
      </c>
      <c r="W401" s="393">
        <v>0</v>
      </c>
      <c r="X401" s="394">
        <f t="shared" si="1567"/>
        <v>0</v>
      </c>
      <c r="Y401" s="393">
        <v>0</v>
      </c>
      <c r="Z401" s="393">
        <v>0</v>
      </c>
      <c r="AA401" s="393">
        <v>0</v>
      </c>
      <c r="AB401" s="393">
        <v>0</v>
      </c>
      <c r="AC401" s="394">
        <f t="shared" si="1568"/>
        <v>0</v>
      </c>
      <c r="AD401" s="393">
        <v>0</v>
      </c>
      <c r="AE401" s="393">
        <v>0</v>
      </c>
      <c r="AF401" s="393">
        <v>0</v>
      </c>
      <c r="AG401" s="393">
        <v>0</v>
      </c>
      <c r="AH401" s="394">
        <f t="shared" si="1569"/>
        <v>0</v>
      </c>
      <c r="AI401" s="393">
        <v>0</v>
      </c>
      <c r="AJ401" s="393">
        <v>0</v>
      </c>
      <c r="AK401" s="393">
        <v>0</v>
      </c>
      <c r="AL401" s="393">
        <v>0</v>
      </c>
      <c r="AM401" s="394">
        <f t="shared" si="1570"/>
        <v>0</v>
      </c>
      <c r="AN401" s="393">
        <v>0</v>
      </c>
      <c r="AO401" s="393">
        <v>0</v>
      </c>
      <c r="AP401" s="393">
        <v>0</v>
      </c>
      <c r="AQ401" s="393">
        <v>0</v>
      </c>
      <c r="AR401" s="394">
        <f t="shared" si="1571"/>
        <v>0</v>
      </c>
      <c r="AS401" s="391"/>
      <c r="AT401" s="391"/>
      <c r="AU401" s="391"/>
      <c r="AV401" s="391"/>
      <c r="AW401" s="390"/>
      <c r="AX401" s="391"/>
      <c r="AY401" s="391"/>
      <c r="AZ401" s="391"/>
      <c r="BA401" s="391"/>
      <c r="BB401" s="390"/>
      <c r="BC401" s="391"/>
      <c r="BD401" s="391"/>
      <c r="BE401" s="391"/>
      <c r="BF401" s="391"/>
      <c r="BG401" s="390"/>
      <c r="BH401" s="659"/>
      <c r="BI401" s="659"/>
      <c r="BJ401" s="659"/>
      <c r="BK401" s="659"/>
      <c r="BL401" s="660"/>
      <c r="BM401" s="659"/>
      <c r="BN401" s="659"/>
      <c r="BO401" s="659"/>
      <c r="BP401" s="659"/>
      <c r="BQ401" s="660"/>
      <c r="BR401" s="659"/>
      <c r="BS401" s="659"/>
      <c r="BT401" s="659"/>
      <c r="BU401" s="659"/>
      <c r="BV401" s="660"/>
      <c r="BW401" s="659"/>
      <c r="BX401" s="659"/>
      <c r="BY401" s="659"/>
      <c r="BZ401" s="659"/>
      <c r="CA401" s="660"/>
      <c r="CB401" s="659"/>
      <c r="CC401" s="659"/>
      <c r="CD401" s="659"/>
      <c r="CE401" s="659"/>
      <c r="CF401" s="660"/>
      <c r="CG401" s="659"/>
      <c r="CH401" s="659"/>
      <c r="CI401" s="659"/>
      <c r="CJ401" s="659"/>
      <c r="CK401" s="660"/>
      <c r="CL401" s="659"/>
      <c r="CM401" s="659"/>
      <c r="CN401" s="659"/>
      <c r="CO401" s="659"/>
      <c r="CP401" s="660"/>
      <c r="CQ401" s="659"/>
      <c r="CR401" s="659"/>
      <c r="CS401" s="659"/>
      <c r="CT401" s="659"/>
      <c r="CU401" s="660"/>
      <c r="CV401" s="659"/>
      <c r="CW401" s="659"/>
      <c r="CX401" s="659"/>
      <c r="CY401" s="659"/>
      <c r="CZ401" s="660"/>
      <c r="DA401" s="659"/>
      <c r="DB401" s="659"/>
      <c r="DC401" s="659"/>
      <c r="DD401" s="659"/>
      <c r="DE401" s="660"/>
      <c r="DF401" s="659"/>
      <c r="DG401" s="659"/>
      <c r="DH401" s="659"/>
      <c r="DI401" s="659"/>
      <c r="DJ401" s="660"/>
      <c r="DK401" s="659"/>
      <c r="DL401" s="659"/>
      <c r="DM401" s="659"/>
      <c r="DN401" s="659"/>
      <c r="DO401" s="660"/>
      <c r="DP401" s="659"/>
      <c r="DQ401" s="659"/>
      <c r="DR401" s="659"/>
      <c r="DS401" s="659"/>
      <c r="DT401" s="660"/>
      <c r="DU401" s="659"/>
      <c r="DV401" s="659"/>
      <c r="DW401" s="659"/>
      <c r="DX401" s="659"/>
      <c r="DY401" s="660"/>
      <c r="DZ401" s="660"/>
      <c r="EA401" s="660"/>
      <c r="EB401" s="660"/>
    </row>
    <row r="402" spans="2:132" s="241" customFormat="1" ht="12" hidden="1" customHeight="1">
      <c r="B402" s="541" t="s">
        <v>403</v>
      </c>
      <c r="C402" s="394">
        <v>79</v>
      </c>
      <c r="D402" s="394">
        <v>38</v>
      </c>
      <c r="E402" s="394">
        <v>30</v>
      </c>
      <c r="F402" s="394">
        <v>9</v>
      </c>
      <c r="G402" s="394">
        <v>40</v>
      </c>
      <c r="H402" s="394">
        <v>8</v>
      </c>
      <c r="I402" s="394">
        <v>11</v>
      </c>
      <c r="J402" s="393">
        <v>0</v>
      </c>
      <c r="K402" s="393">
        <v>4</v>
      </c>
      <c r="L402" s="393">
        <v>1</v>
      </c>
      <c r="M402" s="393">
        <v>4</v>
      </c>
      <c r="N402" s="394">
        <f t="shared" si="1565"/>
        <v>9</v>
      </c>
      <c r="O402" s="393">
        <v>0</v>
      </c>
      <c r="P402" s="393">
        <v>4</v>
      </c>
      <c r="Q402" s="393">
        <v>14</v>
      </c>
      <c r="R402" s="393">
        <v>1</v>
      </c>
      <c r="S402" s="394">
        <f t="shared" si="1566"/>
        <v>19</v>
      </c>
      <c r="T402" s="393">
        <v>4</v>
      </c>
      <c r="U402" s="393">
        <v>0</v>
      </c>
      <c r="V402" s="393">
        <v>4</v>
      </c>
      <c r="W402" s="393">
        <v>2</v>
      </c>
      <c r="X402" s="394">
        <f t="shared" si="1567"/>
        <v>10</v>
      </c>
      <c r="Y402" s="393">
        <v>36</v>
      </c>
      <c r="Z402" s="393">
        <v>0</v>
      </c>
      <c r="AA402" s="393">
        <v>0</v>
      </c>
      <c r="AB402" s="393">
        <v>0</v>
      </c>
      <c r="AC402" s="394">
        <f t="shared" si="1568"/>
        <v>36</v>
      </c>
      <c r="AD402" s="393">
        <v>0</v>
      </c>
      <c r="AE402" s="393">
        <v>0</v>
      </c>
      <c r="AF402" s="393">
        <v>20</v>
      </c>
      <c r="AG402" s="393">
        <v>8</v>
      </c>
      <c r="AH402" s="394">
        <f t="shared" si="1569"/>
        <v>28</v>
      </c>
      <c r="AI402" s="393">
        <v>0</v>
      </c>
      <c r="AJ402" s="393">
        <v>-3</v>
      </c>
      <c r="AK402" s="393">
        <v>0</v>
      </c>
      <c r="AL402" s="393">
        <v>5</v>
      </c>
      <c r="AM402" s="394">
        <f t="shared" si="1570"/>
        <v>2</v>
      </c>
      <c r="AN402" s="393">
        <v>0</v>
      </c>
      <c r="AO402" s="393">
        <v>2</v>
      </c>
      <c r="AP402" s="393">
        <v>1</v>
      </c>
      <c r="AQ402" s="393">
        <v>0</v>
      </c>
      <c r="AR402" s="394">
        <f t="shared" si="1571"/>
        <v>3</v>
      </c>
      <c r="AS402" s="391"/>
      <c r="AT402" s="391"/>
      <c r="AU402" s="391"/>
      <c r="AV402" s="391"/>
      <c r="AW402" s="390"/>
      <c r="AX402" s="391"/>
      <c r="AY402" s="391"/>
      <c r="AZ402" s="391"/>
      <c r="BA402" s="391"/>
      <c r="BB402" s="390"/>
      <c r="BC402" s="391"/>
      <c r="BD402" s="391"/>
      <c r="BE402" s="391"/>
      <c r="BF402" s="391"/>
      <c r="BG402" s="390"/>
      <c r="BH402" s="659"/>
      <c r="BI402" s="659"/>
      <c r="BJ402" s="659"/>
      <c r="BK402" s="659"/>
      <c r="BL402" s="660"/>
      <c r="BM402" s="659"/>
      <c r="BN402" s="659"/>
      <c r="BO402" s="659"/>
      <c r="BP402" s="659"/>
      <c r="BQ402" s="660"/>
      <c r="BR402" s="659"/>
      <c r="BS402" s="659"/>
      <c r="BT402" s="659"/>
      <c r="BU402" s="659"/>
      <c r="BV402" s="660"/>
      <c r="BW402" s="659"/>
      <c r="BX402" s="659"/>
      <c r="BY402" s="659"/>
      <c r="BZ402" s="659"/>
      <c r="CA402" s="660"/>
      <c r="CB402" s="659"/>
      <c r="CC402" s="659"/>
      <c r="CD402" s="659"/>
      <c r="CE402" s="659"/>
      <c r="CF402" s="660"/>
      <c r="CG402" s="659"/>
      <c r="CH402" s="659"/>
      <c r="CI402" s="659"/>
      <c r="CJ402" s="659"/>
      <c r="CK402" s="660"/>
      <c r="CL402" s="659"/>
      <c r="CM402" s="659"/>
      <c r="CN402" s="659"/>
      <c r="CO402" s="659"/>
      <c r="CP402" s="660"/>
      <c r="CQ402" s="659"/>
      <c r="CR402" s="659"/>
      <c r="CS402" s="659"/>
      <c r="CT402" s="659"/>
      <c r="CU402" s="660"/>
      <c r="CV402" s="659"/>
      <c r="CW402" s="659"/>
      <c r="CX402" s="659"/>
      <c r="CY402" s="659"/>
      <c r="CZ402" s="660"/>
      <c r="DA402" s="659"/>
      <c r="DB402" s="659"/>
      <c r="DC402" s="659"/>
      <c r="DD402" s="659"/>
      <c r="DE402" s="660"/>
      <c r="DF402" s="659"/>
      <c r="DG402" s="659"/>
      <c r="DH402" s="659"/>
      <c r="DI402" s="659"/>
      <c r="DJ402" s="660"/>
      <c r="DK402" s="659"/>
      <c r="DL402" s="659"/>
      <c r="DM402" s="659"/>
      <c r="DN402" s="659"/>
      <c r="DO402" s="660"/>
      <c r="DP402" s="659"/>
      <c r="DQ402" s="659"/>
      <c r="DR402" s="659"/>
      <c r="DS402" s="659"/>
      <c r="DT402" s="660"/>
      <c r="DU402" s="659"/>
      <c r="DV402" s="659"/>
      <c r="DW402" s="659"/>
      <c r="DX402" s="659"/>
      <c r="DY402" s="660"/>
      <c r="DZ402" s="660"/>
      <c r="EA402" s="660"/>
      <c r="EB402" s="660"/>
    </row>
    <row r="403" spans="2:132" s="241" customFormat="1" ht="12" hidden="1" customHeight="1">
      <c r="B403" s="541" t="s">
        <v>404</v>
      </c>
      <c r="C403" s="394">
        <v>54</v>
      </c>
      <c r="D403" s="394">
        <v>68</v>
      </c>
      <c r="E403" s="394">
        <v>35</v>
      </c>
      <c r="F403" s="394">
        <v>116</v>
      </c>
      <c r="G403" s="394">
        <v>30</v>
      </c>
      <c r="H403" s="394">
        <v>32</v>
      </c>
      <c r="I403" s="394">
        <v>13</v>
      </c>
      <c r="J403" s="393">
        <v>2</v>
      </c>
      <c r="K403" s="393">
        <v>1</v>
      </c>
      <c r="L403" s="393">
        <v>8</v>
      </c>
      <c r="M403" s="393">
        <v>31</v>
      </c>
      <c r="N403" s="394">
        <f t="shared" si="1565"/>
        <v>42</v>
      </c>
      <c r="O403" s="393">
        <v>8</v>
      </c>
      <c r="P403" s="393">
        <v>13</v>
      </c>
      <c r="Q403" s="393">
        <v>25</v>
      </c>
      <c r="R403" s="393">
        <v>107</v>
      </c>
      <c r="S403" s="394">
        <f t="shared" si="1566"/>
        <v>153</v>
      </c>
      <c r="T403" s="393">
        <v>0</v>
      </c>
      <c r="U403" s="393">
        <v>22</v>
      </c>
      <c r="V403" s="393">
        <v>2</v>
      </c>
      <c r="W403" s="393">
        <v>53</v>
      </c>
      <c r="X403" s="394">
        <f t="shared" si="1567"/>
        <v>77</v>
      </c>
      <c r="Y403" s="393">
        <v>40</v>
      </c>
      <c r="Z403" s="393">
        <v>32</v>
      </c>
      <c r="AA403" s="393">
        <v>33</v>
      </c>
      <c r="AB403" s="393">
        <v>38</v>
      </c>
      <c r="AC403" s="394">
        <f t="shared" si="1568"/>
        <v>143</v>
      </c>
      <c r="AD403" s="393">
        <v>26</v>
      </c>
      <c r="AE403" s="393">
        <v>14</v>
      </c>
      <c r="AF403" s="393">
        <v>12</v>
      </c>
      <c r="AG403" s="393">
        <v>2</v>
      </c>
      <c r="AH403" s="394">
        <f t="shared" si="1569"/>
        <v>54</v>
      </c>
      <c r="AI403" s="393">
        <v>4</v>
      </c>
      <c r="AJ403" s="393">
        <v>4</v>
      </c>
      <c r="AK403" s="393">
        <v>8</v>
      </c>
      <c r="AL403" s="393">
        <v>3</v>
      </c>
      <c r="AM403" s="394">
        <f t="shared" si="1570"/>
        <v>19</v>
      </c>
      <c r="AN403" s="393">
        <v>-3</v>
      </c>
      <c r="AO403" s="393">
        <v>27</v>
      </c>
      <c r="AP403" s="393">
        <v>16</v>
      </c>
      <c r="AQ403" s="393">
        <v>6</v>
      </c>
      <c r="AR403" s="394">
        <f t="shared" si="1571"/>
        <v>46</v>
      </c>
      <c r="AS403" s="391"/>
      <c r="AT403" s="391"/>
      <c r="AU403" s="391"/>
      <c r="AV403" s="391"/>
      <c r="AW403" s="390"/>
      <c r="AX403" s="391"/>
      <c r="AY403" s="391"/>
      <c r="AZ403" s="391"/>
      <c r="BA403" s="391"/>
      <c r="BB403" s="390"/>
      <c r="BC403" s="391"/>
      <c r="BD403" s="391"/>
      <c r="BE403" s="391"/>
      <c r="BF403" s="391"/>
      <c r="BG403" s="390"/>
      <c r="BH403" s="659"/>
      <c r="BI403" s="659"/>
      <c r="BJ403" s="659"/>
      <c r="BK403" s="659"/>
      <c r="BL403" s="660"/>
      <c r="BM403" s="659"/>
      <c r="BN403" s="659"/>
      <c r="BO403" s="659"/>
      <c r="BP403" s="659"/>
      <c r="BQ403" s="660"/>
      <c r="BR403" s="659"/>
      <c r="BS403" s="659"/>
      <c r="BT403" s="659"/>
      <c r="BU403" s="659"/>
      <c r="BV403" s="660"/>
      <c r="BW403" s="659"/>
      <c r="BX403" s="659"/>
      <c r="BY403" s="659"/>
      <c r="BZ403" s="659"/>
      <c r="CA403" s="660"/>
      <c r="CB403" s="659"/>
      <c r="CC403" s="659"/>
      <c r="CD403" s="659"/>
      <c r="CE403" s="659"/>
      <c r="CF403" s="660"/>
      <c r="CG403" s="659"/>
      <c r="CH403" s="659"/>
      <c r="CI403" s="659"/>
      <c r="CJ403" s="659"/>
      <c r="CK403" s="660"/>
      <c r="CL403" s="659"/>
      <c r="CM403" s="659"/>
      <c r="CN403" s="659"/>
      <c r="CO403" s="659"/>
      <c r="CP403" s="660"/>
      <c r="CQ403" s="659"/>
      <c r="CR403" s="659"/>
      <c r="CS403" s="659"/>
      <c r="CT403" s="659"/>
      <c r="CU403" s="660"/>
      <c r="CV403" s="659"/>
      <c r="CW403" s="659"/>
      <c r="CX403" s="659"/>
      <c r="CY403" s="659"/>
      <c r="CZ403" s="660"/>
      <c r="DA403" s="659"/>
      <c r="DB403" s="659"/>
      <c r="DC403" s="659"/>
      <c r="DD403" s="659"/>
      <c r="DE403" s="660"/>
      <c r="DF403" s="659"/>
      <c r="DG403" s="659"/>
      <c r="DH403" s="659"/>
      <c r="DI403" s="659"/>
      <c r="DJ403" s="660"/>
      <c r="DK403" s="659"/>
      <c r="DL403" s="659"/>
      <c r="DM403" s="659"/>
      <c r="DN403" s="659"/>
      <c r="DO403" s="660"/>
      <c r="DP403" s="659"/>
      <c r="DQ403" s="659"/>
      <c r="DR403" s="659"/>
      <c r="DS403" s="659"/>
      <c r="DT403" s="660"/>
      <c r="DU403" s="659"/>
      <c r="DV403" s="659"/>
      <c r="DW403" s="659"/>
      <c r="DX403" s="659"/>
      <c r="DY403" s="660"/>
      <c r="DZ403" s="660"/>
      <c r="EA403" s="660"/>
      <c r="EB403" s="660"/>
    </row>
    <row r="404" spans="2:132" s="241" customFormat="1" ht="12" hidden="1" customHeight="1">
      <c r="B404" s="541" t="s">
        <v>405</v>
      </c>
      <c r="C404" s="394">
        <v>0</v>
      </c>
      <c r="D404" s="394">
        <v>0</v>
      </c>
      <c r="E404" s="394">
        <v>0</v>
      </c>
      <c r="F404" s="394">
        <v>0</v>
      </c>
      <c r="G404" s="394">
        <v>0</v>
      </c>
      <c r="H404" s="394">
        <v>0</v>
      </c>
      <c r="I404" s="394">
        <v>0</v>
      </c>
      <c r="J404" s="393">
        <v>0</v>
      </c>
      <c r="K404" s="393">
        <v>0</v>
      </c>
      <c r="L404" s="393">
        <v>52</v>
      </c>
      <c r="M404" s="393">
        <v>4</v>
      </c>
      <c r="N404" s="394">
        <f t="shared" si="1565"/>
        <v>56</v>
      </c>
      <c r="O404" s="393">
        <v>8</v>
      </c>
      <c r="P404" s="393">
        <v>79</v>
      </c>
      <c r="Q404" s="393">
        <v>31</v>
      </c>
      <c r="R404" s="393">
        <v>114</v>
      </c>
      <c r="S404" s="394">
        <f t="shared" si="1566"/>
        <v>232</v>
      </c>
      <c r="T404" s="393">
        <v>54</v>
      </c>
      <c r="U404" s="393">
        <v>18</v>
      </c>
      <c r="V404" s="393">
        <v>42</v>
      </c>
      <c r="W404" s="393">
        <v>46</v>
      </c>
      <c r="X404" s="394">
        <f t="shared" si="1567"/>
        <v>160</v>
      </c>
      <c r="Y404" s="393">
        <v>66</v>
      </c>
      <c r="Z404" s="393">
        <v>123</v>
      </c>
      <c r="AA404" s="393">
        <v>73</v>
      </c>
      <c r="AB404" s="393">
        <v>107</v>
      </c>
      <c r="AC404" s="394">
        <f t="shared" si="1568"/>
        <v>369</v>
      </c>
      <c r="AD404" s="393">
        <v>75</v>
      </c>
      <c r="AE404" s="393">
        <v>4</v>
      </c>
      <c r="AF404" s="393">
        <v>-1</v>
      </c>
      <c r="AG404" s="393">
        <v>15</v>
      </c>
      <c r="AH404" s="394">
        <f t="shared" si="1569"/>
        <v>93</v>
      </c>
      <c r="AI404" s="393">
        <v>-32</v>
      </c>
      <c r="AJ404" s="393">
        <v>-28</v>
      </c>
      <c r="AK404" s="393">
        <v>0</v>
      </c>
      <c r="AL404" s="393">
        <v>1</v>
      </c>
      <c r="AM404" s="394">
        <f t="shared" si="1570"/>
        <v>-59</v>
      </c>
      <c r="AN404" s="393">
        <v>15</v>
      </c>
      <c r="AO404" s="393">
        <v>-3</v>
      </c>
      <c r="AP404" s="393">
        <v>-16</v>
      </c>
      <c r="AQ404" s="393">
        <v>0</v>
      </c>
      <c r="AR404" s="394">
        <f t="shared" si="1571"/>
        <v>-4</v>
      </c>
      <c r="AS404" s="391"/>
      <c r="AT404" s="391"/>
      <c r="AU404" s="391"/>
      <c r="AV404" s="391"/>
      <c r="AW404" s="390"/>
      <c r="AX404" s="391"/>
      <c r="AY404" s="391"/>
      <c r="AZ404" s="391"/>
      <c r="BA404" s="391"/>
      <c r="BB404" s="390"/>
      <c r="BC404" s="391"/>
      <c r="BD404" s="391"/>
      <c r="BE404" s="391"/>
      <c r="BF404" s="391"/>
      <c r="BG404" s="390"/>
      <c r="BH404" s="659"/>
      <c r="BI404" s="659"/>
      <c r="BJ404" s="659"/>
      <c r="BK404" s="659"/>
      <c r="BL404" s="660"/>
      <c r="BM404" s="659"/>
      <c r="BN404" s="659"/>
      <c r="BO404" s="659"/>
      <c r="BP404" s="659"/>
      <c r="BQ404" s="660"/>
      <c r="BR404" s="659"/>
      <c r="BS404" s="659"/>
      <c r="BT404" s="659"/>
      <c r="BU404" s="659"/>
      <c r="BV404" s="660"/>
      <c r="BW404" s="659"/>
      <c r="BX404" s="659"/>
      <c r="BY404" s="659"/>
      <c r="BZ404" s="659"/>
      <c r="CA404" s="660"/>
      <c r="CB404" s="659"/>
      <c r="CC404" s="659"/>
      <c r="CD404" s="659"/>
      <c r="CE404" s="659"/>
      <c r="CF404" s="660"/>
      <c r="CG404" s="659"/>
      <c r="CH404" s="659"/>
      <c r="CI404" s="659"/>
      <c r="CJ404" s="659"/>
      <c r="CK404" s="660"/>
      <c r="CL404" s="659"/>
      <c r="CM404" s="659"/>
      <c r="CN404" s="659"/>
      <c r="CO404" s="659"/>
      <c r="CP404" s="660"/>
      <c r="CQ404" s="659"/>
      <c r="CR404" s="659"/>
      <c r="CS404" s="659"/>
      <c r="CT404" s="659"/>
      <c r="CU404" s="660"/>
      <c r="CV404" s="659"/>
      <c r="CW404" s="659"/>
      <c r="CX404" s="659"/>
      <c r="CY404" s="659"/>
      <c r="CZ404" s="660"/>
      <c r="DA404" s="659"/>
      <c r="DB404" s="659"/>
      <c r="DC404" s="659"/>
      <c r="DD404" s="659"/>
      <c r="DE404" s="660"/>
      <c r="DF404" s="659"/>
      <c r="DG404" s="659"/>
      <c r="DH404" s="659"/>
      <c r="DI404" s="659"/>
      <c r="DJ404" s="660"/>
      <c r="DK404" s="659"/>
      <c r="DL404" s="659"/>
      <c r="DM404" s="659"/>
      <c r="DN404" s="659"/>
      <c r="DO404" s="660"/>
      <c r="DP404" s="659"/>
      <c r="DQ404" s="659"/>
      <c r="DR404" s="659"/>
      <c r="DS404" s="659"/>
      <c r="DT404" s="660"/>
      <c r="DU404" s="659"/>
      <c r="DV404" s="659"/>
      <c r="DW404" s="659"/>
      <c r="DX404" s="659"/>
      <c r="DY404" s="660"/>
      <c r="DZ404" s="660"/>
      <c r="EA404" s="660"/>
      <c r="EB404" s="660"/>
    </row>
    <row r="405" spans="2:132" s="74" customFormat="1" ht="12" hidden="1" customHeight="1">
      <c r="B405" s="542" t="s">
        <v>188</v>
      </c>
      <c r="C405" s="349">
        <f t="shared" ref="C405:I405" si="1572">SUM(C397:C404)</f>
        <v>527</v>
      </c>
      <c r="D405" s="349">
        <f t="shared" si="1572"/>
        <v>566</v>
      </c>
      <c r="E405" s="349">
        <f t="shared" si="1572"/>
        <v>355</v>
      </c>
      <c r="F405" s="349">
        <f t="shared" si="1572"/>
        <v>589</v>
      </c>
      <c r="G405" s="349">
        <f t="shared" si="1572"/>
        <v>314</v>
      </c>
      <c r="H405" s="349">
        <f t="shared" si="1572"/>
        <v>251</v>
      </c>
      <c r="I405" s="349">
        <f t="shared" si="1572"/>
        <v>249</v>
      </c>
      <c r="J405" s="350">
        <f t="shared" ref="J405:R405" si="1573">SUM(J397:J404)</f>
        <v>36</v>
      </c>
      <c r="K405" s="350">
        <f t="shared" si="1573"/>
        <v>46</v>
      </c>
      <c r="L405" s="350">
        <f t="shared" si="1573"/>
        <v>114</v>
      </c>
      <c r="M405" s="350">
        <f t="shared" si="1573"/>
        <v>81</v>
      </c>
      <c r="N405" s="349">
        <f t="shared" si="1565"/>
        <v>277</v>
      </c>
      <c r="O405" s="350">
        <f t="shared" si="1573"/>
        <v>65</v>
      </c>
      <c r="P405" s="350">
        <f t="shared" si="1573"/>
        <v>376</v>
      </c>
      <c r="Q405" s="350">
        <f t="shared" si="1573"/>
        <v>202</v>
      </c>
      <c r="R405" s="350">
        <f t="shared" si="1573"/>
        <v>379</v>
      </c>
      <c r="S405" s="349">
        <f t="shared" si="1566"/>
        <v>1022</v>
      </c>
      <c r="T405" s="350">
        <f>SUM(T397:T404)</f>
        <v>176</v>
      </c>
      <c r="U405" s="350">
        <f t="shared" ref="U405:AQ405" si="1574">SUM(U397:U404)</f>
        <v>317</v>
      </c>
      <c r="V405" s="350">
        <f t="shared" si="1574"/>
        <v>243</v>
      </c>
      <c r="W405" s="350">
        <f t="shared" si="1574"/>
        <v>322</v>
      </c>
      <c r="X405" s="349">
        <f t="shared" si="1567"/>
        <v>1058</v>
      </c>
      <c r="Y405" s="350">
        <f t="shared" si="1574"/>
        <v>189</v>
      </c>
      <c r="Z405" s="350">
        <f t="shared" si="1574"/>
        <v>360</v>
      </c>
      <c r="AA405" s="350">
        <f t="shared" si="1574"/>
        <v>354</v>
      </c>
      <c r="AB405" s="350">
        <f t="shared" si="1574"/>
        <v>520</v>
      </c>
      <c r="AC405" s="349">
        <f t="shared" si="1568"/>
        <v>1423</v>
      </c>
      <c r="AD405" s="350">
        <f t="shared" si="1574"/>
        <v>289</v>
      </c>
      <c r="AE405" s="350">
        <f t="shared" si="1574"/>
        <v>186</v>
      </c>
      <c r="AF405" s="350">
        <f t="shared" si="1574"/>
        <v>148</v>
      </c>
      <c r="AG405" s="350">
        <f t="shared" si="1574"/>
        <v>39</v>
      </c>
      <c r="AH405" s="349">
        <f t="shared" si="1569"/>
        <v>662</v>
      </c>
      <c r="AI405" s="350">
        <f t="shared" si="1574"/>
        <v>-4</v>
      </c>
      <c r="AJ405" s="350">
        <f t="shared" si="1574"/>
        <v>5</v>
      </c>
      <c r="AK405" s="350">
        <f t="shared" si="1574"/>
        <v>79</v>
      </c>
      <c r="AL405" s="350">
        <f t="shared" si="1574"/>
        <v>62</v>
      </c>
      <c r="AM405" s="349">
        <f t="shared" si="1570"/>
        <v>142</v>
      </c>
      <c r="AN405" s="350">
        <f t="shared" si="1574"/>
        <v>83</v>
      </c>
      <c r="AO405" s="350">
        <f t="shared" si="1574"/>
        <v>68</v>
      </c>
      <c r="AP405" s="350">
        <f t="shared" si="1574"/>
        <v>221</v>
      </c>
      <c r="AQ405" s="350">
        <f t="shared" si="1574"/>
        <v>158</v>
      </c>
      <c r="AR405" s="349">
        <f t="shared" si="1571"/>
        <v>530</v>
      </c>
      <c r="AS405" s="350"/>
      <c r="AT405" s="350"/>
      <c r="AU405" s="350"/>
      <c r="AV405" s="350"/>
      <c r="AW405" s="349"/>
      <c r="AX405" s="350"/>
      <c r="AY405" s="350"/>
      <c r="AZ405" s="350"/>
      <c r="BA405" s="350"/>
      <c r="BB405" s="349"/>
      <c r="BC405" s="350"/>
      <c r="BD405" s="350"/>
      <c r="BE405" s="350"/>
      <c r="BF405" s="350"/>
      <c r="BG405" s="349"/>
      <c r="BH405" s="672"/>
      <c r="BI405" s="672"/>
      <c r="BJ405" s="672"/>
      <c r="BK405" s="672"/>
      <c r="BL405" s="683"/>
      <c r="BM405" s="672"/>
      <c r="BN405" s="672"/>
      <c r="BO405" s="672"/>
      <c r="BP405" s="672"/>
      <c r="BQ405" s="683"/>
      <c r="BR405" s="672"/>
      <c r="BS405" s="672"/>
      <c r="BT405" s="672"/>
      <c r="BU405" s="672"/>
      <c r="BV405" s="683"/>
      <c r="BW405" s="672"/>
      <c r="BX405" s="672"/>
      <c r="BY405" s="672"/>
      <c r="BZ405" s="672"/>
      <c r="CA405" s="683"/>
      <c r="CB405" s="672"/>
      <c r="CC405" s="672"/>
      <c r="CD405" s="672"/>
      <c r="CE405" s="672"/>
      <c r="CF405" s="683"/>
      <c r="CG405" s="672"/>
      <c r="CH405" s="672"/>
      <c r="CI405" s="672"/>
      <c r="CJ405" s="672"/>
      <c r="CK405" s="683"/>
      <c r="CL405" s="672"/>
      <c r="CM405" s="672"/>
      <c r="CN405" s="672"/>
      <c r="CO405" s="672"/>
      <c r="CP405" s="683"/>
      <c r="CQ405" s="672"/>
      <c r="CR405" s="672"/>
      <c r="CS405" s="672"/>
      <c r="CT405" s="672"/>
      <c r="CU405" s="683"/>
      <c r="CV405" s="672"/>
      <c r="CW405" s="672"/>
      <c r="CX405" s="672"/>
      <c r="CY405" s="672"/>
      <c r="CZ405" s="683"/>
      <c r="DA405" s="672"/>
      <c r="DB405" s="672"/>
      <c r="DC405" s="672"/>
      <c r="DD405" s="672"/>
      <c r="DE405" s="683"/>
      <c r="DF405" s="672"/>
      <c r="DG405" s="672"/>
      <c r="DH405" s="672"/>
      <c r="DI405" s="672"/>
      <c r="DJ405" s="683"/>
      <c r="DK405" s="672"/>
      <c r="DL405" s="672"/>
      <c r="DM405" s="672"/>
      <c r="DN405" s="672"/>
      <c r="DO405" s="683"/>
      <c r="DP405" s="672"/>
      <c r="DQ405" s="672"/>
      <c r="DR405" s="672"/>
      <c r="DS405" s="672"/>
      <c r="DT405" s="683"/>
      <c r="DU405" s="672"/>
      <c r="DV405" s="672"/>
      <c r="DW405" s="672"/>
      <c r="DX405" s="672"/>
      <c r="DY405" s="683"/>
      <c r="DZ405" s="683"/>
      <c r="EA405" s="683"/>
      <c r="EB405" s="683"/>
    </row>
    <row r="406" spans="2:132" s="74" customFormat="1" ht="12" hidden="1" customHeight="1">
      <c r="B406" s="741"/>
      <c r="C406" s="390"/>
      <c r="D406" s="390"/>
      <c r="E406" s="390"/>
      <c r="F406" s="390"/>
      <c r="G406" s="390"/>
      <c r="H406" s="390"/>
      <c r="I406" s="390"/>
      <c r="J406" s="391"/>
      <c r="K406" s="391"/>
      <c r="L406" s="391"/>
      <c r="M406" s="391"/>
      <c r="N406" s="390"/>
      <c r="O406" s="391"/>
      <c r="P406" s="391"/>
      <c r="Q406" s="391"/>
      <c r="R406" s="391"/>
      <c r="S406" s="390"/>
      <c r="T406" s="391"/>
      <c r="U406" s="391"/>
      <c r="V406" s="391"/>
      <c r="W406" s="391"/>
      <c r="X406" s="390"/>
      <c r="Y406" s="391"/>
      <c r="Z406" s="391"/>
      <c r="AA406" s="391"/>
      <c r="AB406" s="391"/>
      <c r="AC406" s="390"/>
      <c r="AD406" s="391"/>
      <c r="AE406" s="391"/>
      <c r="AF406" s="391"/>
      <c r="AG406" s="391"/>
      <c r="AH406" s="390"/>
      <c r="AI406" s="391"/>
      <c r="AJ406" s="391"/>
      <c r="AK406" s="391"/>
      <c r="AL406" s="391"/>
      <c r="AM406" s="390"/>
      <c r="AN406" s="391"/>
      <c r="AO406" s="391"/>
      <c r="AP406" s="391"/>
      <c r="AQ406" s="391"/>
      <c r="AR406" s="390"/>
      <c r="AS406" s="391"/>
      <c r="AT406" s="391"/>
      <c r="AU406" s="391"/>
      <c r="AV406" s="391"/>
      <c r="AW406" s="390"/>
      <c r="AX406" s="391"/>
      <c r="AY406" s="391"/>
      <c r="AZ406" s="391"/>
      <c r="BA406" s="391"/>
      <c r="BB406" s="390"/>
      <c r="BC406" s="391"/>
      <c r="BD406" s="391"/>
      <c r="BE406" s="391"/>
      <c r="BF406" s="391"/>
      <c r="BG406" s="390"/>
      <c r="BH406" s="659"/>
      <c r="BI406" s="659"/>
      <c r="BJ406" s="659"/>
      <c r="BK406" s="659"/>
      <c r="BL406" s="660"/>
      <c r="BM406" s="659"/>
      <c r="BN406" s="659"/>
      <c r="BO406" s="659"/>
      <c r="BP406" s="659"/>
      <c r="BQ406" s="660"/>
      <c r="BR406" s="659"/>
      <c r="BS406" s="659"/>
      <c r="BT406" s="659"/>
      <c r="BU406" s="659"/>
      <c r="BV406" s="660"/>
      <c r="BW406" s="659"/>
      <c r="BX406" s="659"/>
      <c r="BY406" s="659"/>
      <c r="BZ406" s="659"/>
      <c r="CA406" s="660"/>
      <c r="CB406" s="659"/>
      <c r="CC406" s="659"/>
      <c r="CD406" s="659"/>
      <c r="CE406" s="659"/>
      <c r="CF406" s="660"/>
      <c r="CG406" s="659"/>
      <c r="CH406" s="659"/>
      <c r="CI406" s="659"/>
      <c r="CJ406" s="659"/>
      <c r="CK406" s="660"/>
      <c r="CL406" s="659"/>
      <c r="CM406" s="659"/>
      <c r="CN406" s="659"/>
      <c r="CO406" s="659"/>
      <c r="CP406" s="660"/>
      <c r="CQ406" s="659"/>
      <c r="CR406" s="659"/>
      <c r="CS406" s="659"/>
      <c r="CT406" s="659"/>
      <c r="CU406" s="660"/>
      <c r="CV406" s="659"/>
      <c r="CW406" s="659"/>
      <c r="CX406" s="659"/>
      <c r="CY406" s="659"/>
      <c r="CZ406" s="660"/>
      <c r="DA406" s="659"/>
      <c r="DB406" s="659"/>
      <c r="DC406" s="659"/>
      <c r="DD406" s="659"/>
      <c r="DE406" s="660"/>
      <c r="DF406" s="659"/>
      <c r="DG406" s="659"/>
      <c r="DH406" s="659"/>
      <c r="DI406" s="659"/>
      <c r="DJ406" s="660"/>
      <c r="DK406" s="659"/>
      <c r="DL406" s="659"/>
      <c r="DM406" s="659"/>
      <c r="DN406" s="659"/>
      <c r="DO406" s="660"/>
      <c r="DP406" s="659"/>
      <c r="DQ406" s="659"/>
      <c r="DR406" s="659"/>
      <c r="DS406" s="659"/>
      <c r="DT406" s="660"/>
      <c r="DU406" s="659"/>
      <c r="DV406" s="659"/>
      <c r="DW406" s="659"/>
      <c r="DX406" s="659"/>
      <c r="DY406" s="660"/>
      <c r="DZ406" s="660"/>
      <c r="EA406" s="660"/>
      <c r="EB406" s="660"/>
    </row>
    <row r="407" spans="2:132" s="241" customFormat="1" ht="6" customHeight="1" thickBot="1">
      <c r="B407" s="541"/>
      <c r="C407" s="174"/>
      <c r="D407" s="174"/>
      <c r="E407" s="174"/>
      <c r="F407" s="174"/>
      <c r="G407" s="174"/>
      <c r="H407" s="174"/>
      <c r="I407" s="174"/>
      <c r="J407" s="82"/>
      <c r="K407" s="82"/>
      <c r="L407" s="82"/>
      <c r="M407" s="82"/>
      <c r="N407" s="174"/>
      <c r="O407" s="82"/>
      <c r="P407" s="82"/>
      <c r="Q407" s="82"/>
      <c r="R407" s="82"/>
      <c r="S407" s="174"/>
      <c r="T407" s="82"/>
      <c r="U407" s="82"/>
      <c r="V407" s="82"/>
      <c r="W407" s="82"/>
      <c r="X407" s="174"/>
      <c r="Y407" s="82"/>
      <c r="Z407" s="82"/>
      <c r="AA407" s="82"/>
      <c r="AB407" s="82"/>
      <c r="AC407" s="174"/>
      <c r="AD407" s="82"/>
      <c r="AE407" s="82"/>
      <c r="AF407" s="82"/>
      <c r="AG407" s="82"/>
      <c r="AH407" s="174"/>
      <c r="AI407" s="82"/>
      <c r="AJ407" s="82"/>
      <c r="AK407" s="82"/>
      <c r="AL407" s="82"/>
      <c r="AM407" s="174"/>
      <c r="AN407" s="82"/>
      <c r="AO407" s="82"/>
      <c r="AP407" s="82"/>
      <c r="AQ407" s="82"/>
      <c r="AR407" s="174"/>
      <c r="AS407" s="82"/>
      <c r="AT407" s="82"/>
      <c r="AU407" s="82"/>
      <c r="AV407" s="82"/>
      <c r="AW407" s="174"/>
      <c r="AX407" s="82"/>
      <c r="AY407" s="82"/>
      <c r="AZ407" s="82"/>
      <c r="BA407" s="82"/>
      <c r="BB407" s="174"/>
      <c r="BC407" s="82"/>
      <c r="BD407" s="82"/>
      <c r="BE407" s="82"/>
      <c r="BF407" s="82"/>
      <c r="BG407" s="174"/>
      <c r="BH407" s="82"/>
      <c r="BI407" s="82"/>
      <c r="BJ407" s="82"/>
      <c r="BK407" s="82"/>
      <c r="BL407" s="174"/>
      <c r="BM407" s="82"/>
      <c r="BN407" s="82"/>
      <c r="BO407" s="82"/>
      <c r="BP407" s="82"/>
      <c r="BQ407" s="174"/>
      <c r="BR407" s="82"/>
      <c r="BS407" s="82"/>
      <c r="BT407" s="82"/>
      <c r="BU407" s="82"/>
      <c r="BV407" s="174"/>
      <c r="BW407" s="82"/>
      <c r="BX407" s="82"/>
      <c r="BY407" s="82"/>
      <c r="BZ407" s="82"/>
      <c r="CA407" s="174"/>
      <c r="CB407" s="82"/>
      <c r="CC407" s="82"/>
      <c r="CD407" s="82"/>
      <c r="CE407" s="82"/>
      <c r="CF407" s="174"/>
      <c r="CG407" s="82"/>
      <c r="CH407" s="82"/>
      <c r="CI407" s="82"/>
      <c r="CJ407" s="82"/>
      <c r="CK407" s="174"/>
      <c r="CL407" s="82"/>
      <c r="CM407" s="82"/>
      <c r="CN407" s="82"/>
      <c r="CO407" s="82"/>
      <c r="CP407" s="174"/>
      <c r="CQ407" s="82"/>
      <c r="CR407" s="82"/>
      <c r="CS407" s="82"/>
      <c r="CT407" s="82"/>
      <c r="CU407" s="174"/>
      <c r="CV407" s="82"/>
      <c r="CW407" s="82"/>
      <c r="CX407" s="82"/>
      <c r="CY407" s="82"/>
      <c r="CZ407" s="174"/>
      <c r="DA407" s="82"/>
      <c r="DB407" s="82"/>
      <c r="DC407" s="82"/>
      <c r="DD407" s="82"/>
      <c r="DE407" s="174"/>
      <c r="DF407" s="82"/>
      <c r="DG407" s="82"/>
      <c r="DH407" s="82"/>
      <c r="DI407" s="82"/>
      <c r="DJ407" s="174"/>
      <c r="DK407" s="82"/>
      <c r="DL407" s="82"/>
      <c r="DM407" s="82"/>
      <c r="DN407" s="82"/>
      <c r="DO407" s="174"/>
      <c r="DP407" s="82"/>
      <c r="DQ407" s="82"/>
      <c r="DR407" s="82"/>
      <c r="DS407" s="82"/>
      <c r="DT407" s="174"/>
      <c r="DU407" s="82"/>
      <c r="DV407" s="82"/>
      <c r="DW407" s="82"/>
      <c r="DX407" s="82"/>
      <c r="DY407" s="174"/>
      <c r="DZ407" s="174"/>
      <c r="EA407" s="174"/>
      <c r="EB407" s="174"/>
    </row>
  </sheetData>
  <phoneticPr fontId="6" type="noConversion"/>
  <pageMargins left="0.8" right="0.3" top="0.7" bottom="0.5" header="0.5" footer="0.5"/>
  <pageSetup scale="37" orientation="portrait" r:id="rId1"/>
  <headerFooter alignWithMargins="0"/>
  <customProperties>
    <customPr name="Qube.Worksheet.Visibility" r:id="rId2"/>
  </customProperties>
  <ignoredErrors>
    <ignoredError sqref="S17:S35 T17:W36 X17:X35 AM180:AM185 AU172:AU178 N82:AN82 AR168:AR177 N180:AK185 AR79:AR81 N108:N110 N378:AM378 N311 S308 S309:T309 S311 X311:Y311 X308:X309 AC308 AC309:AD309 AC311 AH311 AM311 BB362:BB363 AR332:AR333 AR108:AR110 S108:AO108 S107:AN107 S109:AN110 AR311 N168:AJ168 AO172:AP178 AR180:AR181 N103:AV106 AP107:AS107 N129:AW135 AW311:AY315 BB183:BB186 AX172:AY178 AX205:BA208 AW103:AW110 S113:AR114 AO348:AW349 S407:AM407 AU113:AU114 AW180:AW185 AW79:AW81 AU107 BB79:BB81 BB108:BB110 AW113:AW114 AO362:AW363 AO350:AV350 AO334:AV343 AO346:AQ347 AS346:AV347 AX169:AX171 AP82:BB82 AU111:BB111 AX103:BB107 BB129:BB135 BB180:BB181 BG129:BG133 BG188 BG82 BG103:BG107 AW308 BG135 BL129:BL135 BL103:BL107 N85:BB87 S405:AM405 BG168:BG178 BB168:BB178 AW168:AW178 N169:AK178 AM168:AM178 BG111 S111:AR111 BL85:BL87 BG85:BG87 BL93:BL97 BG93:BG97 N93:BB97 BG78 AO78:BB78 AM78:AM81 BL113:BL127 BG113:BG127 BB113:BB127 N115:AW127 BG69 AO69:BB69 AM69 AM41:AM46 AO41:BB46 BG41:BG46 BL101 BG101 BB101 AW309:AY309 AR308:AR309 AM308:AM309 AH308:AH309 N308:N309 AO351:AW360 BB346:BB360 N346:AM360 N332:AM344 BB334:BB344 AS344:AV344 AO344:AQ344 N362:AM376 BG180:BG186 AM76 AO76:BB76 BG76 BG75 AO75:BB75 AM75" formula="1"/>
    <ignoredError sqref="AM233:AN234 AR188:AS188 X233:AL237 AQ231:AS231 X218:AN224 N200:AM207 N188:AP188 AW221:AW224 AO218:AR220 AS218 AT218:AT220 AU218:AU219 AV218:AV220 AR233 AR222:AR224 BG236:BG237 AQ284:AW289 AQ251 AO234 BL200:BL202 BG200:BG211 BB188 AW218:AW219 AX200:BA204 AQ290 AS290:AW290 N405 X284:AP290 AQ250:AW250 BG250 AU188 AU231 AQ234:AS234 AU234 AW231 AW233:AW234 AW186:AX186 BB284:BB290 BB234 BB200:BB211 BB231 AW188:AZ188 BG218:BG219 BB218:BB219 BG290 AM236:AW237 BB236:BB237 BG284:BG288 BG266:BG268 X231:AO231 AN200:AW212 X208:AM212 BB239:BB248 BG239:BG248 X239:AW248 BG252:BG264 BB250:BB264 X250:AP264 AQ252:AW264 BG270:BG282 BB266:BB282 X266:AW282 AM186 N186:AK186 AR186 BB214:BB216 BG214:BG216 X214:AW216" formula="1" formulaRange="1"/>
    <ignoredError sqref="AL186 N218:W224 N83 AN186:AO186 BG291:BG292 AS186 N189 X291:AQ292 N233:W237 N225:S230 AS291:AW292 N397:N404 N284:W292 BB291:BB292 BL218:BL219 BL250 BL236:BL237 BL203:BL211 BL284:BL289 BL266:BL268 N231:W231 N208:W212 BL239:BL248 N239:W248 BL252:BL264 N250:W264 BL270:BL282 N266:W282 BL214:BL216 N214:W216" formulaRange="1"/>
  </ignoredErrors>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autoPageBreaks="0" fitToPage="1"/>
  </sheetPr>
  <dimension ref="A1:EB79"/>
  <sheetViews>
    <sheetView showGridLines="0" zoomScaleNormal="100" workbookViewId="0">
      <pane xSplit="2" ySplit="4" topLeftCell="C5" activePane="bottomRight" state="frozen"/>
      <selection activeCell="CT86" sqref="CT86"/>
      <selection pane="topRight" activeCell="CT86" sqref="CT86"/>
      <selection pane="bottomLeft" activeCell="CT86" sqref="CT86"/>
      <selection pane="bottomRight"/>
    </sheetView>
  </sheetViews>
  <sheetFormatPr defaultRowHeight="12" customHeight="1" outlineLevelRow="1" outlineLevelCol="1"/>
  <cols>
    <col min="1" max="1" width="1.7109375" customWidth="1"/>
    <col min="2" max="2" width="41.7109375" style="68"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hidden="1"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hidden="1" customWidth="1" outlineLevel="1"/>
    <col min="114" max="114" width="9.7109375" customWidth="1" collapsed="1"/>
    <col min="115" max="118" width="9.7109375" hidden="1" customWidth="1" outlineLevel="1"/>
    <col min="119" max="119" width="9.7109375" customWidth="1" collapsed="1"/>
    <col min="120" max="123" width="9.7109375" customWidth="1" outlineLevel="1"/>
    <col min="124" max="124" width="9.7109375" customWidth="1"/>
    <col min="125" max="128" width="9.7109375" hidden="1" customWidth="1" outlineLevel="1"/>
    <col min="129" max="129" width="9.7109375" customWidth="1" collapsed="1"/>
    <col min="130" max="132" width="9.7109375" customWidth="1"/>
  </cols>
  <sheetData>
    <row r="1" spans="1:132" ht="12" customHeight="1" thickBot="1">
      <c r="B1"/>
      <c r="CB1" s="12"/>
    </row>
    <row r="2" spans="1:132" ht="6" customHeight="1">
      <c r="B2"/>
      <c r="C2" s="58"/>
      <c r="D2" s="58"/>
      <c r="E2" s="58"/>
      <c r="F2" s="58"/>
      <c r="G2" s="58"/>
      <c r="H2" s="58"/>
      <c r="I2" s="58"/>
      <c r="N2" s="58"/>
      <c r="S2" s="58"/>
      <c r="X2" s="58"/>
      <c r="AC2" s="58"/>
      <c r="AH2" s="58"/>
      <c r="AM2" s="58"/>
      <c r="AR2" s="58"/>
      <c r="AW2" s="58"/>
      <c r="BB2" s="58"/>
      <c r="BG2" s="58"/>
      <c r="BL2" s="58"/>
      <c r="BQ2" s="58"/>
      <c r="BV2" s="58"/>
      <c r="CA2" s="58"/>
      <c r="CF2" s="58"/>
      <c r="CK2" s="58"/>
      <c r="CP2" s="58"/>
      <c r="CU2" s="58"/>
      <c r="CZ2" s="58"/>
      <c r="DE2" s="58"/>
      <c r="DJ2" s="58"/>
      <c r="DO2" s="58"/>
      <c r="DT2" s="58"/>
      <c r="DY2" s="58"/>
      <c r="DZ2" s="58"/>
      <c r="EA2" s="58"/>
      <c r="EB2" s="58"/>
    </row>
    <row r="3" spans="1:132" ht="15.75" customHeight="1">
      <c r="B3" s="61" t="s">
        <v>351</v>
      </c>
      <c r="C3" s="603">
        <v>1997</v>
      </c>
      <c r="D3" s="603">
        <v>1998</v>
      </c>
      <c r="E3" s="603">
        <v>1999</v>
      </c>
      <c r="F3" s="603">
        <v>2000</v>
      </c>
      <c r="G3" s="603">
        <v>2001</v>
      </c>
      <c r="H3" s="603">
        <v>2002</v>
      </c>
      <c r="I3" s="603">
        <v>2003</v>
      </c>
      <c r="J3" s="62" t="s">
        <v>0</v>
      </c>
      <c r="K3" s="62" t="s">
        <v>1</v>
      </c>
      <c r="L3" s="62" t="s">
        <v>2</v>
      </c>
      <c r="M3" s="62" t="s">
        <v>3</v>
      </c>
      <c r="N3" s="603">
        <v>2004</v>
      </c>
      <c r="O3" s="62" t="s">
        <v>4</v>
      </c>
      <c r="P3" s="62" t="s">
        <v>5</v>
      </c>
      <c r="Q3" s="62" t="s">
        <v>6</v>
      </c>
      <c r="R3" s="62" t="s">
        <v>7</v>
      </c>
      <c r="S3" s="603">
        <v>2005</v>
      </c>
      <c r="T3" s="62" t="s">
        <v>8</v>
      </c>
      <c r="U3" s="62" t="s">
        <v>9</v>
      </c>
      <c r="V3" s="62" t="s">
        <v>10</v>
      </c>
      <c r="W3" s="62" t="s">
        <v>11</v>
      </c>
      <c r="X3" s="603">
        <v>2006</v>
      </c>
      <c r="Y3" s="62" t="s">
        <v>12</v>
      </c>
      <c r="Z3" s="62" t="s">
        <v>13</v>
      </c>
      <c r="AA3" s="62" t="s">
        <v>14</v>
      </c>
      <c r="AB3" s="62" t="s">
        <v>15</v>
      </c>
      <c r="AC3" s="603">
        <v>2007</v>
      </c>
      <c r="AD3" s="62" t="s">
        <v>16</v>
      </c>
      <c r="AE3" s="62" t="s">
        <v>17</v>
      </c>
      <c r="AF3" s="62" t="s">
        <v>18</v>
      </c>
      <c r="AG3" s="62" t="s">
        <v>19</v>
      </c>
      <c r="AH3" s="603">
        <v>2008</v>
      </c>
      <c r="AI3" s="62" t="s">
        <v>20</v>
      </c>
      <c r="AJ3" s="62" t="s">
        <v>21</v>
      </c>
      <c r="AK3" s="62" t="s">
        <v>22</v>
      </c>
      <c r="AL3" s="62" t="s">
        <v>23</v>
      </c>
      <c r="AM3" s="603">
        <v>2009</v>
      </c>
      <c r="AN3" s="62" t="s">
        <v>312</v>
      </c>
      <c r="AO3" s="62" t="s">
        <v>309</v>
      </c>
      <c r="AP3" s="62" t="s">
        <v>310</v>
      </c>
      <c r="AQ3" s="62" t="s">
        <v>311</v>
      </c>
      <c r="AR3" s="603">
        <v>2010</v>
      </c>
      <c r="AS3" s="62" t="s">
        <v>316</v>
      </c>
      <c r="AT3" s="62" t="s">
        <v>313</v>
      </c>
      <c r="AU3" s="62" t="s">
        <v>314</v>
      </c>
      <c r="AV3" s="62" t="s">
        <v>315</v>
      </c>
      <c r="AW3" s="603">
        <v>2011</v>
      </c>
      <c r="AX3" s="62" t="s">
        <v>395</v>
      </c>
      <c r="AY3" s="62" t="s">
        <v>396</v>
      </c>
      <c r="AZ3" s="62" t="s">
        <v>397</v>
      </c>
      <c r="BA3" s="62" t="s">
        <v>398</v>
      </c>
      <c r="BB3" s="603">
        <v>2012</v>
      </c>
      <c r="BC3" s="62" t="s">
        <v>411</v>
      </c>
      <c r="BD3" s="62" t="s">
        <v>412</v>
      </c>
      <c r="BE3" s="62" t="s">
        <v>413</v>
      </c>
      <c r="BF3" s="62" t="s">
        <v>414</v>
      </c>
      <c r="BG3" s="603">
        <v>2013</v>
      </c>
      <c r="BH3" s="62" t="s">
        <v>464</v>
      </c>
      <c r="BI3" s="62" t="s">
        <v>465</v>
      </c>
      <c r="BJ3" s="62" t="s">
        <v>466</v>
      </c>
      <c r="BK3" s="62" t="s">
        <v>467</v>
      </c>
      <c r="BL3" s="603">
        <v>2014</v>
      </c>
      <c r="BM3" s="62" t="s">
        <v>468</v>
      </c>
      <c r="BN3" s="62" t="s">
        <v>469</v>
      </c>
      <c r="BO3" s="62" t="s">
        <v>470</v>
      </c>
      <c r="BP3" s="62" t="s">
        <v>471</v>
      </c>
      <c r="BQ3" s="603">
        <v>2015</v>
      </c>
      <c r="BR3" s="55" t="s">
        <v>472</v>
      </c>
      <c r="BS3" s="55" t="s">
        <v>473</v>
      </c>
      <c r="BT3" s="55" t="s">
        <v>474</v>
      </c>
      <c r="BU3" s="55" t="s">
        <v>475</v>
      </c>
      <c r="BV3" s="603">
        <v>2016</v>
      </c>
      <c r="BW3" s="55" t="s">
        <v>476</v>
      </c>
      <c r="BX3" s="55" t="s">
        <v>477</v>
      </c>
      <c r="BY3" s="55" t="s">
        <v>478</v>
      </c>
      <c r="BZ3" s="55" t="s">
        <v>479</v>
      </c>
      <c r="CA3" s="603">
        <v>2017</v>
      </c>
      <c r="CB3" s="55" t="s">
        <v>549</v>
      </c>
      <c r="CC3" s="55" t="s">
        <v>550</v>
      </c>
      <c r="CD3" s="55" t="s">
        <v>551</v>
      </c>
      <c r="CE3" s="55" t="s">
        <v>552</v>
      </c>
      <c r="CF3" s="603">
        <v>2018</v>
      </c>
      <c r="CG3" s="55" t="s">
        <v>597</v>
      </c>
      <c r="CH3" s="55" t="s">
        <v>598</v>
      </c>
      <c r="CI3" s="55" t="s">
        <v>599</v>
      </c>
      <c r="CJ3" s="55" t="s">
        <v>600</v>
      </c>
      <c r="CK3" s="603">
        <v>2019</v>
      </c>
      <c r="CL3" s="55" t="s">
        <v>605</v>
      </c>
      <c r="CM3" s="55" t="s">
        <v>606</v>
      </c>
      <c r="CN3" s="55" t="s">
        <v>607</v>
      </c>
      <c r="CO3" s="55" t="s">
        <v>608</v>
      </c>
      <c r="CP3" s="603">
        <v>2020</v>
      </c>
      <c r="CQ3" s="55" t="s">
        <v>649</v>
      </c>
      <c r="CR3" s="55" t="s">
        <v>650</v>
      </c>
      <c r="CS3" s="55" t="s">
        <v>651</v>
      </c>
      <c r="CT3" s="55" t="s">
        <v>652</v>
      </c>
      <c r="CU3" s="603">
        <v>2021</v>
      </c>
      <c r="CV3" s="55" t="s">
        <v>667</v>
      </c>
      <c r="CW3" s="55" t="s">
        <v>668</v>
      </c>
      <c r="CX3" s="55" t="s">
        <v>669</v>
      </c>
      <c r="CY3" s="55" t="s">
        <v>670</v>
      </c>
      <c r="CZ3" s="603">
        <v>2022</v>
      </c>
      <c r="DA3" s="55" t="s">
        <v>674</v>
      </c>
      <c r="DB3" s="55" t="s">
        <v>675</v>
      </c>
      <c r="DC3" s="55" t="s">
        <v>676</v>
      </c>
      <c r="DD3" s="55" t="s">
        <v>677</v>
      </c>
      <c r="DE3" s="603">
        <v>2023</v>
      </c>
      <c r="DF3" s="55" t="s">
        <v>684</v>
      </c>
      <c r="DG3" s="55" t="s">
        <v>685</v>
      </c>
      <c r="DH3" s="55" t="s">
        <v>686</v>
      </c>
      <c r="DI3" s="55" t="s">
        <v>687</v>
      </c>
      <c r="DJ3" s="603">
        <v>2024</v>
      </c>
      <c r="DK3" s="55" t="s">
        <v>695</v>
      </c>
      <c r="DL3" s="55" t="s">
        <v>696</v>
      </c>
      <c r="DM3" s="55" t="s">
        <v>697</v>
      </c>
      <c r="DN3" s="55" t="s">
        <v>698</v>
      </c>
      <c r="DO3" s="603">
        <v>2025</v>
      </c>
      <c r="DP3" s="55" t="s">
        <v>715</v>
      </c>
      <c r="DQ3" s="55" t="s">
        <v>716</v>
      </c>
      <c r="DR3" s="55" t="s">
        <v>720</v>
      </c>
      <c r="DS3" s="55" t="s">
        <v>721</v>
      </c>
      <c r="DT3" s="603" t="s">
        <v>688</v>
      </c>
      <c r="DU3" s="55" t="s">
        <v>735</v>
      </c>
      <c r="DV3" s="55" t="s">
        <v>736</v>
      </c>
      <c r="DW3" s="55" t="s">
        <v>737</v>
      </c>
      <c r="DX3" s="55" t="s">
        <v>738</v>
      </c>
      <c r="DY3" s="603" t="s">
        <v>683</v>
      </c>
      <c r="DZ3" s="603" t="s">
        <v>691</v>
      </c>
      <c r="EA3" s="603" t="s">
        <v>692</v>
      </c>
      <c r="EB3" s="603" t="s">
        <v>693</v>
      </c>
    </row>
    <row r="4" spans="1:132" ht="12.75" customHeight="1">
      <c r="B4" s="63" t="s">
        <v>214</v>
      </c>
      <c r="C4" s="56">
        <v>35795</v>
      </c>
      <c r="D4" s="56">
        <v>36160</v>
      </c>
      <c r="E4" s="56">
        <v>36525</v>
      </c>
      <c r="F4" s="56">
        <v>36891</v>
      </c>
      <c r="G4" s="56">
        <v>37256</v>
      </c>
      <c r="H4" s="56">
        <v>37621</v>
      </c>
      <c r="I4" s="56">
        <v>37986</v>
      </c>
      <c r="J4" s="64">
        <v>38077</v>
      </c>
      <c r="K4" s="64">
        <v>38168</v>
      </c>
      <c r="L4" s="64">
        <v>38260</v>
      </c>
      <c r="M4" s="64">
        <v>38352</v>
      </c>
      <c r="N4" s="56">
        <v>38352</v>
      </c>
      <c r="O4" s="64">
        <v>38442</v>
      </c>
      <c r="P4" s="64">
        <v>38533</v>
      </c>
      <c r="Q4" s="64">
        <v>38625</v>
      </c>
      <c r="R4" s="64">
        <v>38717</v>
      </c>
      <c r="S4" s="56">
        <v>38717</v>
      </c>
      <c r="T4" s="64">
        <v>38807</v>
      </c>
      <c r="U4" s="64">
        <v>38898</v>
      </c>
      <c r="V4" s="64">
        <v>38990</v>
      </c>
      <c r="W4" s="64">
        <v>39082</v>
      </c>
      <c r="X4" s="56">
        <v>39082</v>
      </c>
      <c r="Y4" s="64">
        <v>39172</v>
      </c>
      <c r="Z4" s="64">
        <v>39263</v>
      </c>
      <c r="AA4" s="64">
        <v>39355</v>
      </c>
      <c r="AB4" s="64">
        <v>39447</v>
      </c>
      <c r="AC4" s="56">
        <v>39447</v>
      </c>
      <c r="AD4" s="64">
        <v>39538</v>
      </c>
      <c r="AE4" s="64">
        <v>39629</v>
      </c>
      <c r="AF4" s="64">
        <v>39721</v>
      </c>
      <c r="AG4" s="64">
        <v>39813</v>
      </c>
      <c r="AH4" s="56">
        <v>39813</v>
      </c>
      <c r="AI4" s="64">
        <v>39903</v>
      </c>
      <c r="AJ4" s="64">
        <v>39994</v>
      </c>
      <c r="AK4" s="64">
        <v>40086</v>
      </c>
      <c r="AL4" s="64">
        <v>40178</v>
      </c>
      <c r="AM4" s="56">
        <v>40178</v>
      </c>
      <c r="AN4" s="64">
        <v>40268</v>
      </c>
      <c r="AO4" s="64">
        <v>40359</v>
      </c>
      <c r="AP4" s="64">
        <v>40451</v>
      </c>
      <c r="AQ4" s="64">
        <v>40543</v>
      </c>
      <c r="AR4" s="56">
        <v>40543</v>
      </c>
      <c r="AS4" s="64">
        <v>40633</v>
      </c>
      <c r="AT4" s="64">
        <v>40724</v>
      </c>
      <c r="AU4" s="64">
        <v>40816</v>
      </c>
      <c r="AV4" s="64">
        <v>40908</v>
      </c>
      <c r="AW4" s="56">
        <v>40908</v>
      </c>
      <c r="AX4" s="64">
        <v>40999</v>
      </c>
      <c r="AY4" s="64">
        <v>41090</v>
      </c>
      <c r="AZ4" s="64">
        <v>41182</v>
      </c>
      <c r="BA4" s="64">
        <v>41274</v>
      </c>
      <c r="BB4" s="56">
        <v>41274</v>
      </c>
      <c r="BC4" s="64">
        <v>41364</v>
      </c>
      <c r="BD4" s="64">
        <v>41455</v>
      </c>
      <c r="BE4" s="64">
        <v>41547</v>
      </c>
      <c r="BF4" s="64">
        <v>41639</v>
      </c>
      <c r="BG4" s="56">
        <v>41639</v>
      </c>
      <c r="BH4" s="64">
        <v>41729</v>
      </c>
      <c r="BI4" s="64">
        <v>41820</v>
      </c>
      <c r="BJ4" s="64">
        <v>41912</v>
      </c>
      <c r="BK4" s="64">
        <v>42004</v>
      </c>
      <c r="BL4" s="56">
        <v>42004</v>
      </c>
      <c r="BM4" s="64">
        <v>42094</v>
      </c>
      <c r="BN4" s="64">
        <v>42185</v>
      </c>
      <c r="BO4" s="64">
        <v>42277</v>
      </c>
      <c r="BP4" s="64">
        <v>42369</v>
      </c>
      <c r="BQ4" s="56">
        <v>42369</v>
      </c>
      <c r="BR4" s="57">
        <v>42460</v>
      </c>
      <c r="BS4" s="57">
        <v>42551</v>
      </c>
      <c r="BT4" s="57">
        <v>42643</v>
      </c>
      <c r="BU4" s="219">
        <v>42735</v>
      </c>
      <c r="BV4" s="56">
        <v>42735</v>
      </c>
      <c r="BW4" s="57">
        <v>42825</v>
      </c>
      <c r="BX4" s="57">
        <v>42916</v>
      </c>
      <c r="BY4" s="57">
        <v>43008</v>
      </c>
      <c r="BZ4" s="219">
        <v>43100</v>
      </c>
      <c r="CA4" s="56">
        <v>43100</v>
      </c>
      <c r="CB4" s="57">
        <v>43190</v>
      </c>
      <c r="CC4" s="57">
        <v>43281</v>
      </c>
      <c r="CD4" s="57">
        <v>43373</v>
      </c>
      <c r="CE4" s="219">
        <v>43465</v>
      </c>
      <c r="CF4" s="56">
        <v>43465</v>
      </c>
      <c r="CG4" s="57">
        <v>43555</v>
      </c>
      <c r="CH4" s="57">
        <v>43646</v>
      </c>
      <c r="CI4" s="57">
        <v>43738</v>
      </c>
      <c r="CJ4" s="219">
        <v>43830</v>
      </c>
      <c r="CK4" s="56">
        <v>43830</v>
      </c>
      <c r="CL4" s="57">
        <v>43921</v>
      </c>
      <c r="CM4" s="57">
        <v>44012</v>
      </c>
      <c r="CN4" s="57">
        <v>44104</v>
      </c>
      <c r="CO4" s="219">
        <v>44196</v>
      </c>
      <c r="CP4" s="56">
        <v>44196</v>
      </c>
      <c r="CQ4" s="57">
        <v>44286</v>
      </c>
      <c r="CR4" s="57">
        <v>44377</v>
      </c>
      <c r="CS4" s="57">
        <v>44469</v>
      </c>
      <c r="CT4" s="219">
        <v>44561</v>
      </c>
      <c r="CU4" s="56">
        <v>44561</v>
      </c>
      <c r="CV4" s="57">
        <v>44651</v>
      </c>
      <c r="CW4" s="57">
        <v>44742</v>
      </c>
      <c r="CX4" s="57">
        <v>44834</v>
      </c>
      <c r="CY4" s="219">
        <v>44926</v>
      </c>
      <c r="CZ4" s="56">
        <v>44926</v>
      </c>
      <c r="DA4" s="57">
        <v>45016</v>
      </c>
      <c r="DB4" s="57">
        <v>45107</v>
      </c>
      <c r="DC4" s="57">
        <v>45199</v>
      </c>
      <c r="DD4" s="219">
        <v>45291</v>
      </c>
      <c r="DE4" s="443">
        <v>45291</v>
      </c>
      <c r="DF4" s="57">
        <v>45382</v>
      </c>
      <c r="DG4" s="57">
        <v>45473</v>
      </c>
      <c r="DH4" s="57">
        <v>45565</v>
      </c>
      <c r="DI4" s="57">
        <v>45657</v>
      </c>
      <c r="DJ4" s="56">
        <v>45657</v>
      </c>
      <c r="DK4" s="57">
        <v>45747</v>
      </c>
      <c r="DL4" s="57">
        <v>45838</v>
      </c>
      <c r="DM4" s="57">
        <v>45930</v>
      </c>
      <c r="DN4" s="219">
        <v>46022</v>
      </c>
      <c r="DO4" s="56">
        <v>46022</v>
      </c>
      <c r="DP4" s="57">
        <v>46112</v>
      </c>
      <c r="DQ4" s="57">
        <v>46203</v>
      </c>
      <c r="DR4" s="57">
        <v>46295</v>
      </c>
      <c r="DS4" s="219">
        <v>46387</v>
      </c>
      <c r="DT4" s="56">
        <v>46387</v>
      </c>
      <c r="DU4" s="57">
        <v>46477</v>
      </c>
      <c r="DV4" s="57">
        <v>46568</v>
      </c>
      <c r="DW4" s="57">
        <v>46660</v>
      </c>
      <c r="DX4" s="219">
        <v>46752</v>
      </c>
      <c r="DY4" s="443">
        <v>46752</v>
      </c>
      <c r="DZ4" s="443">
        <v>47118</v>
      </c>
      <c r="EA4" s="443">
        <v>47483</v>
      </c>
      <c r="EB4" s="443">
        <v>47848</v>
      </c>
    </row>
    <row r="5" spans="1:132" s="68" customFormat="1" ht="12" customHeight="1">
      <c r="C5" s="67"/>
      <c r="D5" s="67"/>
      <c r="E5" s="67"/>
      <c r="F5" s="67"/>
      <c r="G5" s="67"/>
      <c r="H5" s="67"/>
      <c r="I5" s="67"/>
      <c r="N5" s="67"/>
      <c r="S5" s="67"/>
      <c r="X5" s="540"/>
      <c r="AC5" s="67"/>
      <c r="AH5" s="67"/>
      <c r="AM5" s="67"/>
      <c r="AR5" s="67"/>
      <c r="AW5" s="67"/>
      <c r="BB5" s="67"/>
      <c r="BG5" s="67"/>
      <c r="BH5" s="12"/>
      <c r="BI5" s="121"/>
      <c r="BJ5" s="121"/>
      <c r="BK5" s="121"/>
      <c r="BL5" s="120"/>
      <c r="BM5" s="121"/>
      <c r="BN5" s="121"/>
      <c r="BO5" s="121"/>
      <c r="BP5" s="121"/>
      <c r="BQ5" s="120"/>
      <c r="BR5" s="121"/>
      <c r="BS5" s="692"/>
      <c r="BT5" s="692"/>
      <c r="BU5" s="692"/>
      <c r="BV5" s="796"/>
      <c r="BW5" s="692"/>
      <c r="BX5" s="692"/>
      <c r="BY5" s="692"/>
      <c r="BZ5" s="692"/>
      <c r="CA5" s="796"/>
      <c r="CB5" s="692"/>
      <c r="CC5" s="692"/>
      <c r="CD5" s="692"/>
      <c r="CE5" s="692"/>
      <c r="CF5" s="796"/>
      <c r="CG5" s="692"/>
      <c r="CH5" s="692"/>
      <c r="CI5" s="692"/>
      <c r="CJ5" s="692"/>
      <c r="CK5" s="796"/>
      <c r="CL5" s="692"/>
      <c r="CM5" s="692"/>
      <c r="CN5" s="692"/>
      <c r="CO5" s="692"/>
      <c r="CP5" s="796"/>
      <c r="CQ5" s="692"/>
      <c r="CR5" s="692"/>
      <c r="CS5" s="692"/>
      <c r="CT5" s="692"/>
      <c r="CU5" s="796"/>
      <c r="CV5" s="692"/>
      <c r="CW5" s="692"/>
      <c r="CX5" s="692"/>
      <c r="CY5" s="692"/>
      <c r="CZ5" s="796"/>
      <c r="DA5" s="692"/>
      <c r="DB5" s="692"/>
      <c r="DC5" s="692"/>
      <c r="DD5" s="692"/>
      <c r="DE5" s="796"/>
      <c r="DF5" s="692"/>
      <c r="DG5" s="692"/>
      <c r="DH5" s="692"/>
      <c r="DI5" s="692"/>
      <c r="DJ5" s="796"/>
      <c r="DK5" s="692"/>
      <c r="DL5" s="692"/>
      <c r="DM5" s="692"/>
      <c r="DN5" s="692"/>
      <c r="DO5" s="796"/>
      <c r="DP5" s="692"/>
      <c r="DQ5" s="692"/>
      <c r="DR5" s="692"/>
      <c r="DS5" s="692"/>
      <c r="DT5" s="796"/>
      <c r="DU5" s="692"/>
      <c r="DV5" s="692"/>
      <c r="DW5" s="692"/>
      <c r="DX5" s="692"/>
      <c r="DY5" s="796"/>
      <c r="DZ5" s="796"/>
      <c r="EA5" s="796"/>
      <c r="EB5" s="796"/>
    </row>
    <row r="6" spans="1:132" s="68" customFormat="1" ht="12" hidden="1" customHeight="1" outlineLevel="1">
      <c r="B6" s="68" t="s">
        <v>25</v>
      </c>
      <c r="C6" s="11">
        <f>Data!C7</f>
        <v>0</v>
      </c>
      <c r="D6" s="11">
        <f>Data!D7</f>
        <v>0</v>
      </c>
      <c r="E6" s="11">
        <f>Data!E7</f>
        <v>0</v>
      </c>
      <c r="F6" s="11">
        <f>Data!F7</f>
        <v>0</v>
      </c>
      <c r="G6" s="11">
        <f>Data!G7</f>
        <v>0</v>
      </c>
      <c r="H6" s="11">
        <f>Data!H7</f>
        <v>0</v>
      </c>
      <c r="I6" s="11">
        <f>Data!I7</f>
        <v>0</v>
      </c>
      <c r="J6" s="10">
        <f>Data!J7</f>
        <v>0</v>
      </c>
      <c r="K6" s="10">
        <f>Data!K7</f>
        <v>0</v>
      </c>
      <c r="L6" s="10">
        <f>Data!L7</f>
        <v>0</v>
      </c>
      <c r="M6" s="10">
        <f>Data!M7</f>
        <v>0</v>
      </c>
      <c r="N6" s="11">
        <f>Data!N7</f>
        <v>43960</v>
      </c>
      <c r="O6" s="10">
        <f>Data!O7</f>
        <v>10791</v>
      </c>
      <c r="P6" s="10">
        <f>Data!P7</f>
        <v>12394</v>
      </c>
      <c r="Q6" s="10">
        <f>Data!Q7</f>
        <v>10334</v>
      </c>
      <c r="R6" s="10">
        <f>Data!R7</f>
        <v>11879</v>
      </c>
      <c r="S6" s="11">
        <f>SUM(O6:R6)</f>
        <v>45398</v>
      </c>
      <c r="T6" s="10">
        <f>Data!T7</f>
        <v>12202</v>
      </c>
      <c r="U6" s="10">
        <f>Data!U7</f>
        <v>12848</v>
      </c>
      <c r="V6" s="10">
        <f>Data!V7</f>
        <v>12388</v>
      </c>
      <c r="W6" s="10">
        <f>Data!W7</f>
        <v>15206</v>
      </c>
      <c r="X6" s="11">
        <f>SUM(T6:W6)</f>
        <v>52644</v>
      </c>
      <c r="Y6" s="10">
        <f>Data!Y7</f>
        <v>13229</v>
      </c>
      <c r="Z6" s="10">
        <f>Data!Z7</f>
        <v>14787</v>
      </c>
      <c r="AA6" s="10">
        <f>Data!AA7</f>
        <v>14177</v>
      </c>
      <c r="AB6" s="10">
        <f>Data!AB7</f>
        <v>14856</v>
      </c>
      <c r="AC6" s="11">
        <f>SUM(Y6:AB6)</f>
        <v>57049</v>
      </c>
      <c r="AD6" s="10">
        <f>Data!AD7</f>
        <v>13688</v>
      </c>
      <c r="AE6" s="10">
        <f>Data!AE7</f>
        <v>14298</v>
      </c>
      <c r="AF6" s="10">
        <f>Data!AF7</f>
        <v>12407</v>
      </c>
      <c r="AG6" s="10">
        <f>Data!AG7</f>
        <v>9787</v>
      </c>
      <c r="AH6" s="11">
        <f>SUM(AD6:AG6)</f>
        <v>50180</v>
      </c>
      <c r="AI6" s="10">
        <f>Data!AI7</f>
        <v>13835</v>
      </c>
      <c r="AJ6" s="10">
        <f>Data!AJ7</f>
        <v>14296</v>
      </c>
      <c r="AK6" s="10">
        <f>Data!AK7</f>
        <v>13967</v>
      </c>
      <c r="AL6" s="10">
        <f>Data!AL7</f>
        <v>14934</v>
      </c>
      <c r="AM6" s="11">
        <f>IF(AL6=0,0,SUM(AI6:AL6))</f>
        <v>57032</v>
      </c>
      <c r="AN6" s="10">
        <f>Data!AN7</f>
        <v>12316</v>
      </c>
      <c r="AO6" s="10">
        <f>Data!AO7</f>
        <v>12624</v>
      </c>
      <c r="AP6" s="10">
        <f>Data!AP7</f>
        <v>14077</v>
      </c>
      <c r="AQ6" s="10">
        <f>Data!AQ7</f>
        <v>13569</v>
      </c>
      <c r="AR6" s="11">
        <f>IF(AQ6=0,0,SUM(AN6:AQ6))</f>
        <v>52586</v>
      </c>
      <c r="AS6" s="10">
        <f>Data!AS7</f>
        <v>11894</v>
      </c>
      <c r="AT6" s="10">
        <f>Data!AT7</f>
        <v>13640</v>
      </c>
      <c r="AU6" s="10">
        <f>Data!AU7</f>
        <v>14907</v>
      </c>
      <c r="AV6" s="10">
        <f>Data!AV7</f>
        <v>16960</v>
      </c>
      <c r="AW6" s="11">
        <f>IF(AV6=0,0,SUM(AS6:AV6))</f>
        <v>57401</v>
      </c>
      <c r="AX6" s="10">
        <f>Data!AX7</f>
        <v>16685</v>
      </c>
      <c r="AY6" s="10">
        <f>Data!AY7</f>
        <v>17341</v>
      </c>
      <c r="AZ6" s="10">
        <f>Data!AZ7</f>
        <v>17415</v>
      </c>
      <c r="BA6" s="10">
        <f>Data!BA7</f>
        <v>19793</v>
      </c>
      <c r="BB6" s="11">
        <f>Data!BB7</f>
        <v>71234</v>
      </c>
      <c r="BC6" s="10">
        <f>Data!BC7</f>
        <v>16318</v>
      </c>
      <c r="BD6" s="10">
        <f>Data!BD7</f>
        <v>19238</v>
      </c>
      <c r="BE6" s="10">
        <f>Data!BE7</f>
        <v>19754</v>
      </c>
      <c r="BF6" s="10">
        <f>Data!BF7</f>
        <v>21482.400000000001</v>
      </c>
      <c r="BG6" s="11">
        <f>Data!BG7</f>
        <v>76792.399999999994</v>
      </c>
      <c r="BH6" s="10">
        <f>Data!BH7</f>
        <v>18015</v>
      </c>
      <c r="BI6" s="10">
        <f>Data!BI7</f>
        <v>19527</v>
      </c>
      <c r="BJ6" s="10">
        <f>Data!BJ7</f>
        <v>21378</v>
      </c>
      <c r="BK6" s="10">
        <f>Data!BK7</f>
        <v>21768</v>
      </c>
      <c r="BL6" s="630">
        <f>Data!BL7</f>
        <v>80688</v>
      </c>
      <c r="BM6" s="620">
        <f>Data!BM7</f>
        <v>19485</v>
      </c>
      <c r="BN6" s="620">
        <f>Data!BN7</f>
        <v>21923</v>
      </c>
      <c r="BO6" s="620">
        <f>Data!BO7</f>
        <v>23000</v>
      </c>
      <c r="BP6" s="620">
        <f>Data!BP7</f>
        <v>20847</v>
      </c>
      <c r="BQ6" s="630">
        <f>Data!BQ7</f>
        <v>85255</v>
      </c>
      <c r="BR6" s="620">
        <f>Data!BR7</f>
        <v>19885</v>
      </c>
      <c r="BS6" s="620">
        <f>Data!BS7</f>
        <v>22184</v>
      </c>
      <c r="BT6" s="620">
        <f>Data!BT7</f>
        <v>21494</v>
      </c>
      <c r="BU6" s="620">
        <f>Data!BU7</f>
        <v>20836</v>
      </c>
      <c r="BV6" s="630">
        <f>Data!BV7</f>
        <v>84399</v>
      </c>
      <c r="BW6" s="620">
        <f>Data!BW7</f>
        <v>19367</v>
      </c>
      <c r="BX6" s="620"/>
      <c r="BY6" s="620"/>
      <c r="BZ6" s="620"/>
      <c r="CA6" s="630">
        <f>Data!CA7</f>
        <v>84059</v>
      </c>
      <c r="CB6" s="620">
        <f>Data!CB7</f>
        <v>20820</v>
      </c>
      <c r="CC6" s="620">
        <f>Data!CC7</f>
        <v>21565</v>
      </c>
      <c r="CD6" s="620">
        <f>Data!CD7</f>
        <v>22463</v>
      </c>
      <c r="CE6" s="620">
        <f>Data!CE7</f>
        <v>25381</v>
      </c>
      <c r="CF6" s="630">
        <f>Data!CF7</f>
        <v>90229</v>
      </c>
      <c r="CG6" s="620">
        <f>Data!CG7</f>
        <v>20225</v>
      </c>
      <c r="CH6" s="620">
        <f>Data!CH7</f>
        <v>13094</v>
      </c>
      <c r="CI6" s="620">
        <f>Data!CI7</f>
        <v>17195</v>
      </c>
      <c r="CJ6" s="620">
        <f>Data!CJ7</f>
        <v>15580</v>
      </c>
      <c r="CK6" s="630">
        <f>Data!CK7</f>
        <v>66094</v>
      </c>
      <c r="CL6" s="620">
        <f>Data!CL7</f>
        <v>14191</v>
      </c>
      <c r="CM6" s="620">
        <f>Data!CM7</f>
        <v>9063</v>
      </c>
      <c r="CN6" s="620">
        <f>Data!CN7</f>
        <v>11402</v>
      </c>
      <c r="CO6" s="620">
        <f>Data!CO7</f>
        <v>12486</v>
      </c>
      <c r="CP6" s="630">
        <f>Data!CP7</f>
        <v>47142</v>
      </c>
      <c r="CQ6" s="620">
        <f>Data!CQ7</f>
        <v>12518</v>
      </c>
      <c r="CR6" s="620">
        <f>Data!CR7</f>
        <v>14154</v>
      </c>
      <c r="CS6" s="620">
        <f>Data!CS7</f>
        <v>12552</v>
      </c>
      <c r="CT6" s="620"/>
      <c r="CU6" s="630">
        <f>Data!CU7</f>
        <v>51386</v>
      </c>
      <c r="CV6" s="620"/>
      <c r="CW6" s="620"/>
      <c r="CX6" s="620"/>
      <c r="CY6" s="620"/>
      <c r="CZ6" s="630">
        <f>Data!CZ7</f>
        <v>55893</v>
      </c>
      <c r="DA6" s="620"/>
      <c r="DB6" s="620"/>
      <c r="DC6" s="620"/>
      <c r="DD6" s="620"/>
      <c r="DE6" s="630">
        <f>Data!DE7</f>
        <v>65581</v>
      </c>
      <c r="DF6" s="620"/>
      <c r="DG6" s="620"/>
      <c r="DH6" s="620"/>
      <c r="DI6" s="620"/>
      <c r="DJ6" s="630">
        <f>Data!DJ7</f>
        <v>53227</v>
      </c>
      <c r="DK6" s="620"/>
      <c r="DL6" s="620"/>
      <c r="DM6" s="620"/>
      <c r="DN6" s="620"/>
      <c r="DO6" s="630">
        <f>Data!DO7</f>
        <v>75356</v>
      </c>
      <c r="DP6" s="620"/>
      <c r="DQ6" s="620"/>
      <c r="DR6" s="620"/>
      <c r="DS6" s="620"/>
      <c r="DT6" s="630">
        <f>Data!DT7</f>
        <v>0</v>
      </c>
      <c r="DU6" s="620"/>
      <c r="DV6" s="620"/>
      <c r="DW6" s="620"/>
      <c r="DX6" s="620"/>
      <c r="DY6" s="630">
        <f>Data!DY7</f>
        <v>0</v>
      </c>
      <c r="DZ6" s="630">
        <f>Data!DZ7</f>
        <v>0</v>
      </c>
      <c r="EA6" s="630">
        <f>Data!EA7</f>
        <v>0</v>
      </c>
      <c r="EB6" s="630">
        <f>Data!EB7</f>
        <v>0</v>
      </c>
    </row>
    <row r="7" spans="1:132" s="68" customFormat="1" ht="12" hidden="1" customHeight="1" outlineLevel="1">
      <c r="B7" s="68" t="s">
        <v>26</v>
      </c>
      <c r="C7" s="11">
        <f>Data!C8</f>
        <v>0</v>
      </c>
      <c r="D7" s="11">
        <f>Data!D8</f>
        <v>0</v>
      </c>
      <c r="E7" s="11">
        <f>Data!E8</f>
        <v>0</v>
      </c>
      <c r="F7" s="11">
        <f>Data!F8</f>
        <v>0</v>
      </c>
      <c r="G7" s="11">
        <f>Data!G8</f>
        <v>0</v>
      </c>
      <c r="H7" s="11">
        <f>Data!H8</f>
        <v>0</v>
      </c>
      <c r="I7" s="11">
        <f>Data!I8</f>
        <v>0</v>
      </c>
      <c r="J7" s="10">
        <f>Data!J8</f>
        <v>0</v>
      </c>
      <c r="K7" s="10">
        <f>Data!K8</f>
        <v>0</v>
      </c>
      <c r="L7" s="10">
        <f>Data!L8</f>
        <v>0</v>
      </c>
      <c r="M7" s="10">
        <f>Data!M8</f>
        <v>0</v>
      </c>
      <c r="N7" s="11">
        <f>Data!N8</f>
        <v>8497</v>
      </c>
      <c r="O7" s="10">
        <f>Data!O8</f>
        <v>2196</v>
      </c>
      <c r="P7" s="10">
        <f>Data!P8</f>
        <v>2634</v>
      </c>
      <c r="Q7" s="10">
        <f>Data!Q8</f>
        <v>2295</v>
      </c>
      <c r="R7" s="10">
        <f>Data!R8</f>
        <v>2322</v>
      </c>
      <c r="S7" s="11">
        <f>SUM(O7:R7)</f>
        <v>9447</v>
      </c>
      <c r="T7" s="10">
        <f>Data!T8</f>
        <v>2062</v>
      </c>
      <c r="U7" s="10">
        <f>Data!U8</f>
        <v>2138</v>
      </c>
      <c r="V7" s="10">
        <f>Data!V8</f>
        <v>2351</v>
      </c>
      <c r="W7" s="10">
        <f>Data!W8</f>
        <v>2335</v>
      </c>
      <c r="X7" s="11">
        <f>SUM(T7:W7)</f>
        <v>8886</v>
      </c>
      <c r="Y7" s="10">
        <f>Data!Y8</f>
        <v>2136</v>
      </c>
      <c r="Z7" s="10">
        <f>Data!Z8</f>
        <v>2241</v>
      </c>
      <c r="AA7" s="10">
        <f>Data!AA8</f>
        <v>2340</v>
      </c>
      <c r="AB7" s="10">
        <f>Data!AB8</f>
        <v>2621</v>
      </c>
      <c r="AC7" s="11">
        <f>SUM(Y7:AB7)</f>
        <v>9338</v>
      </c>
      <c r="AD7" s="10">
        <f>Data!AD8</f>
        <v>2302</v>
      </c>
      <c r="AE7" s="10">
        <f>Data!AE8</f>
        <v>2664</v>
      </c>
      <c r="AF7" s="10">
        <f>Data!AF8</f>
        <v>2886</v>
      </c>
      <c r="AG7" s="10">
        <f>Data!AG8</f>
        <v>2877</v>
      </c>
      <c r="AH7" s="11">
        <f>SUM(AD7:AG7)</f>
        <v>10729</v>
      </c>
      <c r="AI7" s="10">
        <f>Data!AI8</f>
        <v>2667</v>
      </c>
      <c r="AJ7" s="10">
        <f>Data!AJ8</f>
        <v>2858</v>
      </c>
      <c r="AK7" s="10">
        <f>Data!AK8</f>
        <v>2721</v>
      </c>
      <c r="AL7" s="10">
        <f>Data!AL8</f>
        <v>3003</v>
      </c>
      <c r="AM7" s="11">
        <f>IF(AL7=0,0,SUM(AI7:AL7))</f>
        <v>11249</v>
      </c>
      <c r="AN7" s="10">
        <f>Data!AN8</f>
        <v>2900</v>
      </c>
      <c r="AO7" s="10">
        <f>Data!AO8</f>
        <v>2949</v>
      </c>
      <c r="AP7" s="10">
        <f>Data!AP8</f>
        <v>2890</v>
      </c>
      <c r="AQ7" s="10">
        <f>Data!AQ8</f>
        <v>2981</v>
      </c>
      <c r="AR7" s="11">
        <f>IF(AQ7=0,0,SUM(AN7:AQ7))</f>
        <v>11720</v>
      </c>
      <c r="AS7" s="10">
        <f>Data!AS8</f>
        <v>3016</v>
      </c>
      <c r="AT7" s="10">
        <f>Data!AT8</f>
        <v>2903</v>
      </c>
      <c r="AU7" s="10">
        <f>Data!AU8</f>
        <v>2820</v>
      </c>
      <c r="AV7" s="10">
        <f>Data!AV8</f>
        <v>2595</v>
      </c>
      <c r="AW7" s="11">
        <f>IF(AV7=0,0,SUM(AS7:AV7))</f>
        <v>11334</v>
      </c>
      <c r="AX7" s="10">
        <f>Data!AX8</f>
        <v>2698</v>
      </c>
      <c r="AY7" s="10">
        <f>Data!AY8</f>
        <v>2664</v>
      </c>
      <c r="AZ7" s="10">
        <f>Data!AZ8</f>
        <v>2593</v>
      </c>
      <c r="BA7" s="10">
        <f>Data!BA8</f>
        <v>2509</v>
      </c>
      <c r="BB7" s="11">
        <f>Data!BB8</f>
        <v>10464</v>
      </c>
      <c r="BC7" s="10">
        <f>Data!BC8</f>
        <v>2575</v>
      </c>
      <c r="BD7" s="10">
        <f>Data!BD8</f>
        <v>2577</v>
      </c>
      <c r="BE7" s="10">
        <f>Data!BE8</f>
        <v>2376</v>
      </c>
      <c r="BF7" s="10">
        <f>Data!BF8</f>
        <v>2303</v>
      </c>
      <c r="BG7" s="11">
        <f>Data!BG8</f>
        <v>9831</v>
      </c>
      <c r="BH7" s="10">
        <f>Data!BH8</f>
        <v>2450</v>
      </c>
      <c r="BI7" s="10">
        <f>Data!BI8</f>
        <v>2518</v>
      </c>
      <c r="BJ7" s="10">
        <f>Data!BJ8</f>
        <v>2406</v>
      </c>
      <c r="BK7" s="10">
        <f>Data!BK8</f>
        <v>2700</v>
      </c>
      <c r="BL7" s="630">
        <f>Data!BL8</f>
        <v>10074</v>
      </c>
      <c r="BM7" s="620">
        <f>Data!BM8</f>
        <v>2664</v>
      </c>
      <c r="BN7" s="620">
        <f>Data!BN8</f>
        <v>2620</v>
      </c>
      <c r="BO7" s="620">
        <f>Data!BO8</f>
        <v>2849</v>
      </c>
      <c r="BP7" s="620">
        <f>Data!BP8</f>
        <v>2726</v>
      </c>
      <c r="BQ7" s="630">
        <f>Data!BQ8</f>
        <v>10859</v>
      </c>
      <c r="BR7" s="620">
        <f>Data!BR8</f>
        <v>2747</v>
      </c>
      <c r="BS7" s="620">
        <f>Data!BS8</f>
        <v>2571</v>
      </c>
      <c r="BT7" s="620">
        <f>Data!BT8</f>
        <v>2404</v>
      </c>
      <c r="BU7" s="620">
        <f>Data!BU8</f>
        <v>2450</v>
      </c>
      <c r="BV7" s="630">
        <f>Data!BV8</f>
        <v>10172</v>
      </c>
      <c r="BW7" s="620">
        <f>Data!BW8</f>
        <v>2594</v>
      </c>
      <c r="BX7" s="620"/>
      <c r="BY7" s="620"/>
      <c r="BZ7" s="620"/>
      <c r="CA7" s="630">
        <f>Data!CA8</f>
        <v>10318</v>
      </c>
      <c r="CB7" s="620">
        <f>Data!CB8</f>
        <v>2562</v>
      </c>
      <c r="CC7" s="620">
        <f>Data!CC8</f>
        <v>2693</v>
      </c>
      <c r="CD7" s="620">
        <f>Data!CD8</f>
        <v>2683</v>
      </c>
      <c r="CE7" s="620">
        <f>Data!CE8</f>
        <v>2960</v>
      </c>
      <c r="CF7" s="630">
        <f>Data!CF8</f>
        <v>10898</v>
      </c>
      <c r="CG7" s="620">
        <f>Data!CG8</f>
        <v>2692</v>
      </c>
      <c r="CH7" s="620">
        <f>Data!CH8</f>
        <v>2657</v>
      </c>
      <c r="CI7" s="620">
        <f>Data!CI8</f>
        <v>2785</v>
      </c>
      <c r="CJ7" s="620">
        <f>Data!CJ8</f>
        <v>2331</v>
      </c>
      <c r="CK7" s="630">
        <f>Data!CK8</f>
        <v>10465</v>
      </c>
      <c r="CL7" s="620">
        <f>Data!CL8</f>
        <v>2717</v>
      </c>
      <c r="CM7" s="620">
        <f>Data!CM8</f>
        <v>2744</v>
      </c>
      <c r="CN7" s="620">
        <f>Data!CN8</f>
        <v>2737</v>
      </c>
      <c r="CO7" s="620">
        <f>Data!CO8</f>
        <v>2818</v>
      </c>
      <c r="CP7" s="630">
        <f>Data!CP8</f>
        <v>11016</v>
      </c>
      <c r="CQ7" s="620">
        <f>Data!CQ8</f>
        <v>2699</v>
      </c>
      <c r="CR7" s="620">
        <f>Data!CR8</f>
        <v>2844</v>
      </c>
      <c r="CS7" s="620">
        <f>Data!CS8</f>
        <v>2726</v>
      </c>
      <c r="CT7" s="620"/>
      <c r="CU7" s="630">
        <f>Data!CU8</f>
        <v>10900</v>
      </c>
      <c r="CV7" s="620"/>
      <c r="CW7" s="620"/>
      <c r="CX7" s="620"/>
      <c r="CY7" s="620"/>
      <c r="CZ7" s="630">
        <f>Data!CZ8</f>
        <v>10715</v>
      </c>
      <c r="DA7" s="620"/>
      <c r="DB7" s="620"/>
      <c r="DC7" s="620"/>
      <c r="DD7" s="620"/>
      <c r="DE7" s="630">
        <f>Data!DE8</f>
        <v>12213</v>
      </c>
      <c r="DF7" s="620"/>
      <c r="DG7" s="620"/>
      <c r="DH7" s="620"/>
      <c r="DI7" s="620"/>
      <c r="DJ7" s="630">
        <f>Data!DJ8</f>
        <v>13290</v>
      </c>
      <c r="DK7" s="620"/>
      <c r="DL7" s="620"/>
      <c r="DM7" s="620"/>
      <c r="DN7" s="620"/>
      <c r="DO7" s="630">
        <f>Data!DO8</f>
        <v>14107</v>
      </c>
      <c r="DP7" s="620"/>
      <c r="DQ7" s="620"/>
      <c r="DR7" s="620"/>
      <c r="DS7" s="620"/>
      <c r="DT7" s="630">
        <f>Data!DT8</f>
        <v>0</v>
      </c>
      <c r="DU7" s="620"/>
      <c r="DV7" s="620"/>
      <c r="DW7" s="620"/>
      <c r="DX7" s="620"/>
      <c r="DY7" s="630">
        <f>Data!DY8</f>
        <v>0</v>
      </c>
      <c r="DZ7" s="630">
        <f>Data!DZ8</f>
        <v>0</v>
      </c>
      <c r="EA7" s="630">
        <f>Data!EA8</f>
        <v>0</v>
      </c>
      <c r="EB7" s="630">
        <f>Data!EB8</f>
        <v>0</v>
      </c>
    </row>
    <row r="8" spans="1:132" s="100" customFormat="1" ht="12" customHeight="1" collapsed="1">
      <c r="B8" s="281" t="s">
        <v>264</v>
      </c>
      <c r="C8" s="282">
        <f>Data!C9</f>
        <v>45800</v>
      </c>
      <c r="D8" s="282">
        <f>Data!D9</f>
        <v>56154</v>
      </c>
      <c r="E8" s="282">
        <f>Data!E9</f>
        <v>57993</v>
      </c>
      <c r="F8" s="282">
        <f>Data!F9</f>
        <v>51321</v>
      </c>
      <c r="G8" s="282">
        <f>Data!G9</f>
        <v>58198</v>
      </c>
      <c r="H8" s="282">
        <f>Data!H9</f>
        <v>54069</v>
      </c>
      <c r="I8" s="282">
        <f>Data!I9</f>
        <v>50485</v>
      </c>
      <c r="J8" s="281">
        <f>Data!J9</f>
        <v>12959</v>
      </c>
      <c r="K8" s="281">
        <f>Data!K9</f>
        <v>13088</v>
      </c>
      <c r="L8" s="281">
        <f>Data!L9</f>
        <v>13152</v>
      </c>
      <c r="M8" s="281">
        <f>Data!M9</f>
        <v>13258</v>
      </c>
      <c r="N8" s="282">
        <f>SUM(J8:M8)</f>
        <v>52457</v>
      </c>
      <c r="O8" s="281">
        <f>SUM(O6:O7)</f>
        <v>12987</v>
      </c>
      <c r="P8" s="281">
        <f>SUM(P6:P7)</f>
        <v>15028</v>
      </c>
      <c r="Q8" s="281">
        <f>SUM(Q6:Q7)</f>
        <v>12629</v>
      </c>
      <c r="R8" s="281">
        <f>SUM(R6:R7)</f>
        <v>14201</v>
      </c>
      <c r="S8" s="282">
        <f>SUM(O8:R8)</f>
        <v>54845</v>
      </c>
      <c r="T8" s="281">
        <f>SUM(T6:T7)</f>
        <v>14264</v>
      </c>
      <c r="U8" s="281">
        <f>SUM(U6:U7)</f>
        <v>14986</v>
      </c>
      <c r="V8" s="281">
        <f>SUM(V6:V7)</f>
        <v>14739</v>
      </c>
      <c r="W8" s="281">
        <f>SUM(W6:W7)</f>
        <v>17541</v>
      </c>
      <c r="X8" s="282">
        <f>SUM(T8:W8)</f>
        <v>61530</v>
      </c>
      <c r="Y8" s="281">
        <f>SUM(Y6:Y7)</f>
        <v>15365</v>
      </c>
      <c r="Z8" s="281">
        <f>SUM(Z6:Z7)</f>
        <v>17028</v>
      </c>
      <c r="AA8" s="281">
        <f>SUM(AA6:AA7)</f>
        <v>16517</v>
      </c>
      <c r="AB8" s="281">
        <f>SUM(AB6:AB7)</f>
        <v>17477</v>
      </c>
      <c r="AC8" s="282">
        <f>SUM(Y8:AB8)</f>
        <v>66387</v>
      </c>
      <c r="AD8" s="281">
        <f>SUM(AD6:AD7)</f>
        <v>15990</v>
      </c>
      <c r="AE8" s="281">
        <f>SUM(AE6:AE7)</f>
        <v>16962</v>
      </c>
      <c r="AF8" s="281">
        <f>SUM(AF6:AF7)</f>
        <v>15293</v>
      </c>
      <c r="AG8" s="281">
        <f>SUM(AG6:AG7)</f>
        <v>12664</v>
      </c>
      <c r="AH8" s="282">
        <f>SUM(AD8:AG8)</f>
        <v>60909</v>
      </c>
      <c r="AI8" s="281">
        <f>SUM(AI6:AI7)</f>
        <v>16502</v>
      </c>
      <c r="AJ8" s="281">
        <f>SUM(AJ6:AJ7)</f>
        <v>17154</v>
      </c>
      <c r="AK8" s="281">
        <f>SUM(AK6:AK7)</f>
        <v>16688</v>
      </c>
      <c r="AL8" s="281">
        <f>SUM(AL6:AL7)</f>
        <v>17937</v>
      </c>
      <c r="AM8" s="282">
        <f>SUM(AI8:AL8)</f>
        <v>68281</v>
      </c>
      <c r="AN8" s="281">
        <f>SUM(AN6:AN7)</f>
        <v>15216</v>
      </c>
      <c r="AO8" s="281">
        <f>SUM(AO6:AO7)</f>
        <v>15573</v>
      </c>
      <c r="AP8" s="281">
        <f>SUM(AP6:AP7)</f>
        <v>16967</v>
      </c>
      <c r="AQ8" s="281">
        <f>SUM(AQ6:AQ7)</f>
        <v>16550</v>
      </c>
      <c r="AR8" s="282">
        <f>SUM(AN8:AQ8)</f>
        <v>64306</v>
      </c>
      <c r="AS8" s="281">
        <f>SUM(AS6:AS7)</f>
        <v>14910</v>
      </c>
      <c r="AT8" s="281">
        <f>SUM(AT6:AT7)</f>
        <v>16543</v>
      </c>
      <c r="AU8" s="553">
        <f>SUM(AU6:AU7)</f>
        <v>17727</v>
      </c>
      <c r="AV8" s="553">
        <f>SUM(AV6:AV7)</f>
        <v>19555</v>
      </c>
      <c r="AW8" s="282">
        <f>SUM(AS8:AV8)</f>
        <v>68735</v>
      </c>
      <c r="AX8" s="553">
        <f>SUM(AX6:AX7)</f>
        <v>19383</v>
      </c>
      <c r="AY8" s="553">
        <f>SUM(AY6:AY7)</f>
        <v>20005</v>
      </c>
      <c r="AZ8" s="553">
        <f>SUM(AZ6:AZ7)</f>
        <v>20008</v>
      </c>
      <c r="BA8" s="553">
        <f>SUM(BA6:BA7)</f>
        <v>22302</v>
      </c>
      <c r="BB8" s="282">
        <f>SUM(AX8:BA8)</f>
        <v>81698</v>
      </c>
      <c r="BC8" s="553">
        <f>SUM(BC6:BC7)</f>
        <v>18893</v>
      </c>
      <c r="BD8" s="553">
        <f>SUM(BD6:BD7)</f>
        <v>21815</v>
      </c>
      <c r="BE8" s="553">
        <f>SUM(BE6:BE7)</f>
        <v>22130</v>
      </c>
      <c r="BF8" s="553">
        <f>SUM(BF6:BF7)</f>
        <v>23785.4</v>
      </c>
      <c r="BG8" s="576">
        <f>SUM(BC8:BF8)</f>
        <v>86623.4</v>
      </c>
      <c r="BH8" s="553">
        <f>SUM(BH6:BH7)</f>
        <v>20465</v>
      </c>
      <c r="BI8" s="553">
        <f>SUM(BI6:BI7)</f>
        <v>22045</v>
      </c>
      <c r="BJ8" s="553">
        <f>SUM(BJ6:BJ7)</f>
        <v>23784</v>
      </c>
      <c r="BK8" s="553">
        <f>SUM(BK6:BK7)</f>
        <v>24468</v>
      </c>
      <c r="BL8" s="576">
        <f>SUM(BH8:BK8)</f>
        <v>90762</v>
      </c>
      <c r="BM8" s="553">
        <f>SUM(BM6:BM7)</f>
        <v>22149</v>
      </c>
      <c r="BN8" s="553">
        <f>SUM(BN6:BN7)</f>
        <v>24543</v>
      </c>
      <c r="BO8" s="553">
        <f>SUM(BO6:BO7)</f>
        <v>25849</v>
      </c>
      <c r="BP8" s="553">
        <f>SUM(BP6:BP7)</f>
        <v>23573</v>
      </c>
      <c r="BQ8" s="576">
        <f>SUM(BM8:BP8)</f>
        <v>96114</v>
      </c>
      <c r="BR8" s="553">
        <f>SUM(BR6:BR7)</f>
        <v>22632</v>
      </c>
      <c r="BS8" s="553">
        <f>SUM(BS6:BS7)</f>
        <v>24755</v>
      </c>
      <c r="BT8" s="553">
        <f>SUM(BT6:BT7)</f>
        <v>23898</v>
      </c>
      <c r="BU8" s="553">
        <f>SUM(BU6:BU7)</f>
        <v>23286</v>
      </c>
      <c r="BV8" s="576">
        <f>SUM(BR8:BU8)</f>
        <v>94571</v>
      </c>
      <c r="BW8" s="553">
        <f>Data!BW9</f>
        <v>21961</v>
      </c>
      <c r="BX8" s="553">
        <f>Data!BX9</f>
        <v>23051</v>
      </c>
      <c r="BY8" s="553">
        <f>Data!BY9</f>
        <v>24223</v>
      </c>
      <c r="BZ8" s="553">
        <f>Data!BZ9</f>
        <v>24770</v>
      </c>
      <c r="CA8" s="576">
        <f>SUM(BW8:BZ8)</f>
        <v>94005</v>
      </c>
      <c r="CB8" s="553">
        <f>Data!CB9</f>
        <v>23382</v>
      </c>
      <c r="CC8" s="553">
        <f>Data!CC9</f>
        <v>24258</v>
      </c>
      <c r="CD8" s="553">
        <f>Data!CD9</f>
        <v>25146</v>
      </c>
      <c r="CE8" s="553">
        <f>Data!CE9</f>
        <v>28341</v>
      </c>
      <c r="CF8" s="576">
        <f>SUM(CB8:CE8)</f>
        <v>101127</v>
      </c>
      <c r="CG8" s="553">
        <f>Data!CG9</f>
        <v>22917</v>
      </c>
      <c r="CH8" s="553">
        <f>Data!CH9</f>
        <v>15751</v>
      </c>
      <c r="CI8" s="553">
        <f>Data!CI9</f>
        <v>19980</v>
      </c>
      <c r="CJ8" s="553">
        <f>Data!CJ9</f>
        <v>17911</v>
      </c>
      <c r="CK8" s="576">
        <f>SUM(CG8:CJ8)</f>
        <v>76559</v>
      </c>
      <c r="CL8" s="553">
        <f>Data!CL9</f>
        <v>16908</v>
      </c>
      <c r="CM8" s="553">
        <f>Data!CM9</f>
        <v>11807</v>
      </c>
      <c r="CN8" s="553">
        <f>Data!CN9</f>
        <v>14139</v>
      </c>
      <c r="CO8" s="553">
        <f>Data!CO9</f>
        <v>15304</v>
      </c>
      <c r="CP8" s="576">
        <f>SUM(CL8:CO8)</f>
        <v>58158</v>
      </c>
      <c r="CQ8" s="553">
        <f>Data!CQ9</f>
        <v>15217</v>
      </c>
      <c r="CR8" s="553">
        <f>Data!CR9</f>
        <v>16998</v>
      </c>
      <c r="CS8" s="553">
        <f>Data!CS9</f>
        <v>15278</v>
      </c>
      <c r="CT8" s="553">
        <f>Data!CT9</f>
        <v>14793</v>
      </c>
      <c r="CU8" s="576">
        <f>SUM(CQ8:CT8)</f>
        <v>62286</v>
      </c>
      <c r="CV8" s="553">
        <f>Data!CV9</f>
        <v>13991</v>
      </c>
      <c r="CW8" s="553">
        <f>Data!CW9</f>
        <v>16681</v>
      </c>
      <c r="CX8" s="553">
        <f>Data!CX9</f>
        <v>15956</v>
      </c>
      <c r="CY8" s="553">
        <f>Data!CY9</f>
        <v>19980</v>
      </c>
      <c r="CZ8" s="576">
        <f>SUM(CV8:CY8)</f>
        <v>66608</v>
      </c>
      <c r="DA8" s="553">
        <f>Data!DA9</f>
        <v>17921</v>
      </c>
      <c r="DB8" s="553">
        <f>Data!DB9</f>
        <v>19751</v>
      </c>
      <c r="DC8" s="553">
        <f>Data!DC9</f>
        <v>18104</v>
      </c>
      <c r="DD8" s="553">
        <f>Data!DD9</f>
        <v>22018</v>
      </c>
      <c r="DE8" s="576">
        <f>SUM(DA8:DD8)</f>
        <v>77794</v>
      </c>
      <c r="DF8" s="553">
        <f>Data!DF9</f>
        <v>16569</v>
      </c>
      <c r="DG8" s="553">
        <f>Data!DG9</f>
        <v>16866</v>
      </c>
      <c r="DH8" s="553">
        <f>Data!DH9</f>
        <v>17840</v>
      </c>
      <c r="DI8" s="553">
        <f>Data!DI9</f>
        <v>15242</v>
      </c>
      <c r="DJ8" s="576">
        <f>SUM(DF8:DI8)</f>
        <v>66517</v>
      </c>
      <c r="DK8" s="553">
        <f>Data!DK9</f>
        <v>19496</v>
      </c>
      <c r="DL8" s="553">
        <f>Data!DL9</f>
        <v>22749</v>
      </c>
      <c r="DM8" s="553">
        <f>Data!DM9</f>
        <v>23270</v>
      </c>
      <c r="DN8" s="553">
        <f>Data!DN9</f>
        <v>23948</v>
      </c>
      <c r="DO8" s="576">
        <f>SUM(DK8:DN8)</f>
        <v>89463</v>
      </c>
      <c r="DP8" s="553">
        <f>Data!DP9</f>
        <v>22217</v>
      </c>
      <c r="DQ8" s="553">
        <f>Data!DQ9</f>
        <v>24560</v>
      </c>
      <c r="DR8" s="283">
        <f>SEG!DR82</f>
        <v>24298.455822942404</v>
      </c>
      <c r="DS8" s="283">
        <f>SEG!DS82</f>
        <v>26094.279464159812</v>
      </c>
      <c r="DT8" s="576">
        <f>SUM(DP8:DS8)</f>
        <v>97169.735287102216</v>
      </c>
      <c r="DU8" s="283">
        <f>SEG!DU82</f>
        <v>25715.603718567349</v>
      </c>
      <c r="DV8" s="283">
        <f>SEG!DV82</f>
        <v>27668.805475266796</v>
      </c>
      <c r="DW8" s="283">
        <f>SEG!DW82</f>
        <v>29222.544286205855</v>
      </c>
      <c r="DX8" s="283">
        <f>SEG!DX82</f>
        <v>31739.694260712473</v>
      </c>
      <c r="DY8" s="576">
        <f>SUM(DU8:DX8)</f>
        <v>114346.64774075247</v>
      </c>
      <c r="DZ8" s="284">
        <f>SEG!DZ82</f>
        <v>125945.8330504703</v>
      </c>
      <c r="EA8" s="284">
        <f>SEG!EA82</f>
        <v>138890.37178790278</v>
      </c>
      <c r="EB8" s="284">
        <f>SEG!EB82</f>
        <v>147269.194332655</v>
      </c>
    </row>
    <row r="9" spans="1:132" s="241" customFormat="1" ht="12" hidden="1" customHeight="1" outlineLevel="1">
      <c r="B9" s="241" t="s">
        <v>28</v>
      </c>
      <c r="C9" s="314">
        <f>Data!C10</f>
        <v>0</v>
      </c>
      <c r="D9" s="314">
        <f>Data!D10</f>
        <v>0</v>
      </c>
      <c r="E9" s="314">
        <f>Data!E10</f>
        <v>0</v>
      </c>
      <c r="F9" s="314">
        <f>Data!F10</f>
        <v>0</v>
      </c>
      <c r="G9" s="314">
        <f>Data!G10</f>
        <v>0</v>
      </c>
      <c r="H9" s="314">
        <f>Data!H10</f>
        <v>0</v>
      </c>
      <c r="I9" s="314">
        <f>Data!I10</f>
        <v>0</v>
      </c>
      <c r="J9" s="315">
        <f>Data!J10</f>
        <v>-9360.75</v>
      </c>
      <c r="K9" s="315">
        <f>Data!K10</f>
        <v>-9360.75</v>
      </c>
      <c r="L9" s="315">
        <f>Data!L10</f>
        <v>-9360.75</v>
      </c>
      <c r="M9" s="315">
        <f>Data!M10</f>
        <v>-9360.75</v>
      </c>
      <c r="N9" s="314">
        <f t="shared" ref="N9:N25" si="0">SUM(J9:M9)</f>
        <v>-37443</v>
      </c>
      <c r="O9" s="315">
        <f>Data!O10</f>
        <v>-8830</v>
      </c>
      <c r="P9" s="315">
        <f>Data!P10</f>
        <v>-10187</v>
      </c>
      <c r="Q9" s="315">
        <f>Data!Q10</f>
        <v>-8706</v>
      </c>
      <c r="R9" s="315">
        <f>Data!R10</f>
        <v>-10359</v>
      </c>
      <c r="S9" s="314">
        <f t="shared" ref="S9:S25" si="1">SUM(O9:R9)</f>
        <v>-38082</v>
      </c>
      <c r="T9" s="315">
        <f>Data!T10</f>
        <v>-9618</v>
      </c>
      <c r="U9" s="315">
        <f>Data!U10</f>
        <v>-10821</v>
      </c>
      <c r="V9" s="315">
        <f>Data!V10</f>
        <v>-9789</v>
      </c>
      <c r="W9" s="315">
        <f>Data!W10</f>
        <v>-12262</v>
      </c>
      <c r="X9" s="314">
        <f t="shared" ref="X9:X25" si="2">SUM(T9:W9)</f>
        <v>-42490</v>
      </c>
      <c r="Y9" s="315">
        <f>Data!Y10</f>
        <v>-10431</v>
      </c>
      <c r="Z9" s="315">
        <f>Data!Z10</f>
        <v>-11709</v>
      </c>
      <c r="AA9" s="315">
        <f>Data!AA10</f>
        <v>-11331</v>
      </c>
      <c r="AB9" s="315">
        <f>Data!AB10</f>
        <v>-11904</v>
      </c>
      <c r="AC9" s="314">
        <f t="shared" ref="AC9:AC25" si="3">SUM(Y9:AB9)</f>
        <v>-45375</v>
      </c>
      <c r="AD9" s="315">
        <f>Data!AD10</f>
        <v>-10788</v>
      </c>
      <c r="AE9" s="315">
        <f>Data!AE10</f>
        <v>-11637</v>
      </c>
      <c r="AF9" s="315">
        <f>Data!AF10</f>
        <v>-10311</v>
      </c>
      <c r="AG9" s="315">
        <f>Data!AG10</f>
        <v>-8926</v>
      </c>
      <c r="AH9" s="314">
        <f t="shared" ref="AH9:AH25" si="4">SUM(AD9:AG9)</f>
        <v>-41662</v>
      </c>
      <c r="AI9" s="315">
        <f>Data!AI10</f>
        <v>-11579</v>
      </c>
      <c r="AJ9" s="315">
        <f>Data!AJ10</f>
        <v>-11580</v>
      </c>
      <c r="AK9" s="315">
        <f>Data!AK10</f>
        <v>-12273</v>
      </c>
      <c r="AL9" s="315">
        <f>Data!AL10</f>
        <v>-12207</v>
      </c>
      <c r="AM9" s="314">
        <f>IF(AL9=0,0,SUM(AI9:AL9))</f>
        <v>-47639</v>
      </c>
      <c r="AN9" s="393">
        <f>Data!AN10</f>
        <v>-9822</v>
      </c>
      <c r="AO9" s="393">
        <f>Data!AO10</f>
        <v>-10115</v>
      </c>
      <c r="AP9" s="393">
        <f>Data!AP10</f>
        <v>-11232</v>
      </c>
      <c r="AQ9" s="393">
        <f>Data!AQ10</f>
        <v>-11025</v>
      </c>
      <c r="AR9" s="314">
        <f>IF(AQ9=0,0,SUM(AN9:AQ9))</f>
        <v>-42194</v>
      </c>
      <c r="AS9" s="393">
        <f>Data!AS10</f>
        <v>-9506</v>
      </c>
      <c r="AT9" s="393">
        <f>Data!AT10</f>
        <v>-10823</v>
      </c>
      <c r="AU9" s="393">
        <f>Data!AU10</f>
        <v>-12006</v>
      </c>
      <c r="AV9" s="393">
        <f>Data!AV10</f>
        <v>-14307</v>
      </c>
      <c r="AW9" s="314">
        <f>IF(AV9=0,0,SUM(AS9:AV9))</f>
        <v>-46642</v>
      </c>
      <c r="AX9" s="393">
        <f>Data!AX10</f>
        <v>-13661</v>
      </c>
      <c r="AY9" s="315">
        <f>Data!AY10</f>
        <v>-14759</v>
      </c>
      <c r="AZ9" s="393">
        <f>Data!AZ10</f>
        <v>-14683</v>
      </c>
      <c r="BA9" s="315">
        <f>Data!BA10</f>
        <v>-17206</v>
      </c>
      <c r="BB9" s="314">
        <f>IF(BA9=0,0,SUM(AX9:BA9))</f>
        <v>-60309</v>
      </c>
      <c r="BC9" s="393">
        <f>Data!BC10</f>
        <v>-13728</v>
      </c>
      <c r="BD9" s="315">
        <f>Data!BD10</f>
        <v>-16437</v>
      </c>
      <c r="BE9" s="315">
        <f>Data!BE10</f>
        <v>-16865</v>
      </c>
      <c r="BF9" s="315">
        <f>Data!BF10</f>
        <v>-18610</v>
      </c>
      <c r="BG9" s="394">
        <f>IF(BF9=0,0,SUM(BC9:BF9))</f>
        <v>-65640</v>
      </c>
      <c r="BH9" s="393">
        <f>Data!BH10</f>
        <v>-15258</v>
      </c>
      <c r="BI9" s="315">
        <f>Data!BI10</f>
        <v>-16674</v>
      </c>
      <c r="BJ9" s="315">
        <f>Data!BJ10</f>
        <v>-18091</v>
      </c>
      <c r="BK9" s="315">
        <f>Data!BK10</f>
        <v>-18528</v>
      </c>
      <c r="BL9" s="630">
        <f>IF(BK9=0,0,SUM(BH9:BK9))</f>
        <v>-68551</v>
      </c>
      <c r="BM9" s="620">
        <f>Data!BM10</f>
        <v>-16380</v>
      </c>
      <c r="BN9" s="620">
        <f>Data!BN10</f>
        <v>-19247</v>
      </c>
      <c r="BO9" s="620">
        <f>Data!BO10</f>
        <v>-19393</v>
      </c>
      <c r="BP9" s="620">
        <f>Data!BP10</f>
        <v>-18426</v>
      </c>
      <c r="BQ9" s="630">
        <f>Data!BQ10</f>
        <v>-73446</v>
      </c>
      <c r="BR9" s="620">
        <f>Data!BR10</f>
        <v>-16945</v>
      </c>
      <c r="BS9" s="620">
        <f>Data!BS10</f>
        <v>-20265</v>
      </c>
      <c r="BT9" s="620">
        <f>Data!BT10</f>
        <v>-17907</v>
      </c>
      <c r="BU9" s="620">
        <f>Data!BU10</f>
        <v>-17596</v>
      </c>
      <c r="BV9" s="630">
        <f>Data!BV10</f>
        <v>-72713</v>
      </c>
      <c r="BW9" s="620">
        <f>Data!BW10</f>
        <v>-16062</v>
      </c>
      <c r="BX9" s="620"/>
      <c r="BY9" s="620"/>
      <c r="BZ9" s="620"/>
      <c r="CA9" s="630">
        <f>Data!CA10</f>
        <v>-69064</v>
      </c>
      <c r="CB9" s="620">
        <f>Data!CB10</f>
        <v>-16816</v>
      </c>
      <c r="CC9" s="620">
        <f>Data!CC10</f>
        <v>-17436</v>
      </c>
      <c r="CD9" s="620">
        <f>Data!CD10</f>
        <v>-18882</v>
      </c>
      <c r="CE9" s="620">
        <f>Data!CE10</f>
        <v>-19788</v>
      </c>
      <c r="CF9" s="630">
        <f>Data!CF10</f>
        <v>-72922</v>
      </c>
      <c r="CG9" s="620">
        <f>Data!CG10</f>
        <v>-16238</v>
      </c>
      <c r="CH9" s="620">
        <f>Data!CH10</f>
        <v>-15672</v>
      </c>
      <c r="CI9" s="620">
        <f>Data!CI10</f>
        <v>-14674</v>
      </c>
      <c r="CJ9" s="620">
        <f>Data!CJ10</f>
        <v>-16293</v>
      </c>
      <c r="CK9" s="630">
        <f>Data!CK10</f>
        <v>-62877</v>
      </c>
      <c r="CL9" s="620">
        <f>Data!CL10</f>
        <v>-14713</v>
      </c>
      <c r="CM9" s="620">
        <f>Data!CM10</f>
        <v>-10378</v>
      </c>
      <c r="CN9" s="620">
        <f>Data!CN10</f>
        <v>-10910</v>
      </c>
      <c r="CO9" s="620">
        <f>Data!CO10</f>
        <v>-18567</v>
      </c>
      <c r="CP9" s="630">
        <f>Data!CP10</f>
        <v>-54568</v>
      </c>
      <c r="CQ9" s="620">
        <f>Data!CQ10</f>
        <v>-11632</v>
      </c>
      <c r="CR9" s="620">
        <f>Data!CR10</f>
        <v>-12263</v>
      </c>
      <c r="CS9" s="620">
        <f>Data!CS10</f>
        <v>-11271</v>
      </c>
      <c r="CT9" s="620">
        <f>Data!CT10</f>
        <v>-14788</v>
      </c>
      <c r="CU9" s="630">
        <f>Data!CU10</f>
        <v>-49954</v>
      </c>
      <c r="CV9" s="620">
        <f>Data!CV10</f>
        <v>-11412</v>
      </c>
      <c r="CW9" s="620">
        <f>Data!CW10</f>
        <v>-12284</v>
      </c>
      <c r="CX9" s="620">
        <f>Data!CX10</f>
        <v>-14541</v>
      </c>
      <c r="CY9" s="620">
        <f>Data!CY10</f>
        <v>-15732</v>
      </c>
      <c r="CZ9" s="630">
        <f>Data!CZ10</f>
        <v>-53969</v>
      </c>
      <c r="DA9" s="620">
        <f>Data!DA10</f>
        <v>-13553</v>
      </c>
      <c r="DB9" s="620">
        <f>Data!DB10</f>
        <v>-15123</v>
      </c>
      <c r="DC9" s="620">
        <f>Data!DC10</f>
        <v>-14464</v>
      </c>
      <c r="DD9" s="620">
        <f>Data!DD10</f>
        <v>-16724</v>
      </c>
      <c r="DE9" s="630">
        <f>Data!DE10</f>
        <v>-59864</v>
      </c>
      <c r="DF9" s="620">
        <f>Data!DF10</f>
        <v>-12064</v>
      </c>
      <c r="DG9" s="620">
        <f>Data!DG10</f>
        <v>-12907</v>
      </c>
      <c r="DH9" s="620">
        <f>Data!DH10</f>
        <v>-18413</v>
      </c>
      <c r="DI9" s="620">
        <f>Data!DI10</f>
        <v>-14010</v>
      </c>
      <c r="DJ9" s="630">
        <f>Data!DJ10</f>
        <v>-57394</v>
      </c>
      <c r="DK9" s="620">
        <f>Data!DK10</f>
        <v>-14379</v>
      </c>
      <c r="DL9" s="620">
        <f>Data!DL10</f>
        <v>-17406</v>
      </c>
      <c r="DM9" s="620">
        <f>Data!DM10</f>
        <v>-22737</v>
      </c>
      <c r="DN9" s="620">
        <f>Data!DN10</f>
        <v>-19239</v>
      </c>
      <c r="DO9" s="630">
        <f>Data!DO10</f>
        <v>-73761</v>
      </c>
      <c r="DP9" s="620">
        <f>Data!DP10</f>
        <v>-17031</v>
      </c>
      <c r="DQ9" s="620">
        <f>Data!DQ10</f>
        <v>-19487</v>
      </c>
      <c r="DR9" s="620">
        <f>Data!DR10</f>
        <v>0</v>
      </c>
      <c r="DS9" s="620">
        <f>Data!DS10</f>
        <v>0</v>
      </c>
      <c r="DT9" s="630">
        <f>Data!DT10</f>
        <v>0</v>
      </c>
      <c r="DU9" s="620">
        <f>Data!DU10</f>
        <v>0</v>
      </c>
      <c r="DV9" s="620">
        <f>Data!DV10</f>
        <v>0</v>
      </c>
      <c r="DW9" s="620">
        <f>Data!DW10</f>
        <v>0</v>
      </c>
      <c r="DX9" s="620">
        <f>Data!DX10</f>
        <v>0</v>
      </c>
      <c r="DY9" s="630">
        <f>Data!DY10</f>
        <v>0</v>
      </c>
      <c r="DZ9" s="630">
        <f>Data!DZ10</f>
        <v>0</v>
      </c>
      <c r="EA9" s="630">
        <f>Data!EA10</f>
        <v>0</v>
      </c>
      <c r="EB9" s="630">
        <f>Data!EB10</f>
        <v>0</v>
      </c>
    </row>
    <row r="10" spans="1:132" s="241" customFormat="1" ht="12" hidden="1" customHeight="1" outlineLevel="1">
      <c r="B10" s="241" t="s">
        <v>29</v>
      </c>
      <c r="C10" s="314">
        <f>Data!C11</f>
        <v>-40644</v>
      </c>
      <c r="D10" s="314">
        <f>Data!D11</f>
        <v>-50546</v>
      </c>
      <c r="E10" s="314">
        <f>Data!E11</f>
        <v>-51320</v>
      </c>
      <c r="F10" s="314">
        <f>Data!F11</f>
        <v>-43712</v>
      </c>
      <c r="G10" s="314">
        <f>Data!G11</f>
        <v>-48778</v>
      </c>
      <c r="H10" s="314">
        <f>Data!H11</f>
        <v>-45499</v>
      </c>
      <c r="I10" s="314">
        <f>Data!I11</f>
        <v>-43862</v>
      </c>
      <c r="J10" s="315">
        <f>Data!J11</f>
        <v>-1367.25</v>
      </c>
      <c r="K10" s="315">
        <f>Data!K11</f>
        <v>-1514.25</v>
      </c>
      <c r="L10" s="315">
        <f>Data!L11</f>
        <v>-1803.25</v>
      </c>
      <c r="M10" s="315">
        <f>Data!M11</f>
        <v>-2547.25</v>
      </c>
      <c r="N10" s="314">
        <f t="shared" si="0"/>
        <v>-7232</v>
      </c>
      <c r="O10" s="315">
        <f>Data!O11</f>
        <v>-1859</v>
      </c>
      <c r="P10" s="315">
        <f>Data!P11</f>
        <v>-2204</v>
      </c>
      <c r="Q10" s="315">
        <f>Data!Q11</f>
        <v>-1987</v>
      </c>
      <c r="R10" s="315">
        <f>Data!R11</f>
        <v>-1717</v>
      </c>
      <c r="S10" s="314">
        <f t="shared" si="1"/>
        <v>-7767</v>
      </c>
      <c r="T10" s="315">
        <f>Data!T11</f>
        <v>-1786</v>
      </c>
      <c r="U10" s="315">
        <f>Data!U11</f>
        <v>-1691</v>
      </c>
      <c r="V10" s="315">
        <f>Data!V11</f>
        <v>-2014</v>
      </c>
      <c r="W10" s="315">
        <f>Data!W11</f>
        <v>-2103</v>
      </c>
      <c r="X10" s="314">
        <f t="shared" si="2"/>
        <v>-7594</v>
      </c>
      <c r="Y10" s="315">
        <f>Data!Y11</f>
        <v>-1756</v>
      </c>
      <c r="Z10" s="315">
        <f>Data!Z11</f>
        <v>-1827</v>
      </c>
      <c r="AA10" s="315">
        <f>Data!AA11</f>
        <v>-1803</v>
      </c>
      <c r="AB10" s="315">
        <f>Data!AB11</f>
        <v>-2346</v>
      </c>
      <c r="AC10" s="314">
        <f t="shared" si="3"/>
        <v>-7732</v>
      </c>
      <c r="AD10" s="315">
        <f>Data!AD11</f>
        <v>-1755</v>
      </c>
      <c r="AE10" s="315">
        <f>Data!AE11</f>
        <v>-2248</v>
      </c>
      <c r="AF10" s="315">
        <f>Data!AF11</f>
        <v>-2176</v>
      </c>
      <c r="AG10" s="315">
        <f>Data!AG11</f>
        <v>-2288</v>
      </c>
      <c r="AH10" s="314">
        <f t="shared" si="4"/>
        <v>-8467</v>
      </c>
      <c r="AI10" s="315">
        <f>Data!AI11</f>
        <v>-2119</v>
      </c>
      <c r="AJ10" s="315">
        <f>Data!AJ11</f>
        <v>-2184</v>
      </c>
      <c r="AK10" s="315">
        <f>Data!AK11</f>
        <v>-2165</v>
      </c>
      <c r="AL10" s="315">
        <f>Data!AL11</f>
        <v>-2258</v>
      </c>
      <c r="AM10" s="314">
        <f>IF(AL10=0,0,SUM(AI10:AL10))</f>
        <v>-8726</v>
      </c>
      <c r="AN10" s="393">
        <f>Data!AN11</f>
        <v>-2281</v>
      </c>
      <c r="AO10" s="393">
        <f>Data!AO11</f>
        <v>-2384</v>
      </c>
      <c r="AP10" s="393">
        <f>Data!AP11</f>
        <v>-2472</v>
      </c>
      <c r="AQ10" s="393">
        <f>Data!AQ11</f>
        <v>-2352</v>
      </c>
      <c r="AR10" s="314">
        <f>IF(AQ10=0,0,SUM(AN10:AQ10))</f>
        <v>-9489</v>
      </c>
      <c r="AS10" s="393">
        <f>Data!AS11</f>
        <v>-2510</v>
      </c>
      <c r="AT10" s="393">
        <f>Data!AT11</f>
        <v>-2348</v>
      </c>
      <c r="AU10" s="393">
        <f>Data!AU11</f>
        <v>-2319</v>
      </c>
      <c r="AV10" s="393">
        <f>Data!AV11</f>
        <v>-1920</v>
      </c>
      <c r="AW10" s="314">
        <f>IF(AV10=0,0,SUM(AS10:AV10))</f>
        <v>-9097</v>
      </c>
      <c r="AX10" s="393">
        <f>Data!AX11</f>
        <v>-2380</v>
      </c>
      <c r="AY10" s="315">
        <f>Data!AY11</f>
        <v>-1962</v>
      </c>
      <c r="AZ10" s="393">
        <f>Data!AZ11</f>
        <v>-2089</v>
      </c>
      <c r="BA10" s="315">
        <f>Data!BA11</f>
        <v>-1816</v>
      </c>
      <c r="BB10" s="314">
        <f>IF(BA10=0,0,SUM(AX10:BA10))</f>
        <v>-8247</v>
      </c>
      <c r="BC10" s="393">
        <f>Data!BC11</f>
        <v>-2009</v>
      </c>
      <c r="BD10" s="315">
        <f>Data!BD11</f>
        <v>-1995</v>
      </c>
      <c r="BE10" s="315">
        <f>Data!BE11</f>
        <v>-1791</v>
      </c>
      <c r="BF10" s="315">
        <f>Data!BF11</f>
        <v>-1758</v>
      </c>
      <c r="BG10" s="394">
        <f>IF(BF10=0,0,SUM(BC10:BF10))</f>
        <v>-7553</v>
      </c>
      <c r="BH10" s="393">
        <f>Data!BH11</f>
        <v>-2020</v>
      </c>
      <c r="BI10" s="315">
        <f>Data!BI11</f>
        <v>-1979</v>
      </c>
      <c r="BJ10" s="315">
        <f>Data!BJ11</f>
        <v>-1966</v>
      </c>
      <c r="BK10" s="315">
        <f>Data!BK11</f>
        <v>-2167</v>
      </c>
      <c r="BL10" s="630">
        <f>IF(BK10=0,0,SUM(BH10:BK10))</f>
        <v>-8132</v>
      </c>
      <c r="BM10" s="620">
        <f>Data!BM11</f>
        <v>-2100</v>
      </c>
      <c r="BN10" s="620">
        <f>Data!BN11</f>
        <v>-2086</v>
      </c>
      <c r="BO10" s="620">
        <f>Data!BO11</f>
        <v>-2191</v>
      </c>
      <c r="BP10" s="620">
        <f>Data!BP11</f>
        <v>-2201</v>
      </c>
      <c r="BQ10" s="630">
        <f>Data!BQ11</f>
        <v>-8578</v>
      </c>
      <c r="BR10" s="620">
        <f>Data!BR11</f>
        <v>-2136</v>
      </c>
      <c r="BS10" s="620">
        <f>Data!BS11</f>
        <v>-2044</v>
      </c>
      <c r="BT10" s="620">
        <f>Data!BT11</f>
        <v>-1983</v>
      </c>
      <c r="BU10" s="620">
        <f>Data!BU11</f>
        <v>-1855</v>
      </c>
      <c r="BV10" s="630">
        <f>Data!BV11</f>
        <v>-8018</v>
      </c>
      <c r="BW10" s="620">
        <f>Data!BW11</f>
        <v>-1998</v>
      </c>
      <c r="BX10" s="620"/>
      <c r="BY10" s="620"/>
      <c r="BZ10" s="620"/>
      <c r="CA10" s="630">
        <f>Data!CA11</f>
        <v>-7741</v>
      </c>
      <c r="CB10" s="620">
        <f>Data!CB11</f>
        <v>-1992</v>
      </c>
      <c r="CC10" s="620">
        <f>Data!CC11</f>
        <v>-2083</v>
      </c>
      <c r="CD10" s="620">
        <f>Data!CD11</f>
        <v>-2140</v>
      </c>
      <c r="CE10" s="620">
        <f>Data!CE11</f>
        <v>-2284</v>
      </c>
      <c r="CF10" s="630">
        <f>Data!CF11</f>
        <v>-8499</v>
      </c>
      <c r="CG10" s="620">
        <f>Data!CG11</f>
        <v>-2389</v>
      </c>
      <c r="CH10" s="620">
        <f>Data!CH11</f>
        <v>-2122</v>
      </c>
      <c r="CI10" s="620">
        <f>Data!CI11</f>
        <v>-2241</v>
      </c>
      <c r="CJ10" s="620">
        <f>Data!CJ11</f>
        <v>-2402</v>
      </c>
      <c r="CK10" s="630">
        <f>Data!CK11</f>
        <v>-9154</v>
      </c>
      <c r="CL10" s="620">
        <f>Data!CL11</f>
        <v>-2043</v>
      </c>
      <c r="CM10" s="620">
        <f>Data!CM11</f>
        <v>-2589</v>
      </c>
      <c r="CN10" s="620">
        <f>Data!CN11</f>
        <v>-2185</v>
      </c>
      <c r="CO10" s="620">
        <f>Data!CO11</f>
        <v>-2415</v>
      </c>
      <c r="CP10" s="630">
        <f>Data!CP11</f>
        <v>-9232</v>
      </c>
      <c r="CQ10" s="620">
        <f>Data!CQ11</f>
        <v>-2167</v>
      </c>
      <c r="CR10" s="620">
        <f>Data!CR11</f>
        <v>-2316</v>
      </c>
      <c r="CS10" s="620">
        <f>Data!CS11</f>
        <v>-2288</v>
      </c>
      <c r="CT10" s="620">
        <f>Data!CT11</f>
        <v>-2512</v>
      </c>
      <c r="CU10" s="630">
        <f>Data!CU11</f>
        <v>-9283</v>
      </c>
      <c r="CV10" s="620">
        <f>Data!CV11</f>
        <v>-2226</v>
      </c>
      <c r="CW10" s="620">
        <f>Data!CW11</f>
        <v>-2269</v>
      </c>
      <c r="CX10" s="620">
        <f>Data!CX11</f>
        <v>-2230</v>
      </c>
      <c r="CY10" s="620">
        <f>Data!CY11</f>
        <v>-2384</v>
      </c>
      <c r="CZ10" s="630">
        <f>Data!CZ11</f>
        <v>-9109</v>
      </c>
      <c r="DA10" s="620">
        <f>Data!DA11</f>
        <v>-2445</v>
      </c>
      <c r="DB10" s="620">
        <f>Data!DB11</f>
        <v>-2689</v>
      </c>
      <c r="DC10" s="620">
        <f>Data!DC11</f>
        <v>-2475</v>
      </c>
      <c r="DD10" s="620">
        <f>Data!DD11</f>
        <v>-2597</v>
      </c>
      <c r="DE10" s="630">
        <f>Data!DE11</f>
        <v>-10206</v>
      </c>
      <c r="DF10" s="620">
        <f>Data!DF11</f>
        <v>-2629</v>
      </c>
      <c r="DG10" s="620">
        <f>Data!DG11</f>
        <v>-2730</v>
      </c>
      <c r="DH10" s="620">
        <f>Data!DH11</f>
        <v>-2934</v>
      </c>
      <c r="DI10" s="620">
        <f>Data!DI11</f>
        <v>-2821</v>
      </c>
      <c r="DJ10" s="630">
        <f>Data!DJ11</f>
        <v>-11114</v>
      </c>
      <c r="DK10" s="620">
        <f>Data!DK11</f>
        <v>-2700</v>
      </c>
      <c r="DL10" s="620">
        <f>Data!DL11</f>
        <v>-2908</v>
      </c>
      <c r="DM10" s="620">
        <f>Data!DM11</f>
        <v>-2908</v>
      </c>
      <c r="DN10" s="620">
        <f>Data!DN11</f>
        <v>-2897</v>
      </c>
      <c r="DO10" s="630">
        <f>Data!DO11</f>
        <v>-11413</v>
      </c>
      <c r="DP10" s="620">
        <f>Data!DP11</f>
        <v>-2640</v>
      </c>
      <c r="DQ10" s="620">
        <f>Data!DQ11</f>
        <v>-2659</v>
      </c>
      <c r="DR10" s="620">
        <f>Data!DR11</f>
        <v>0</v>
      </c>
      <c r="DS10" s="620">
        <f>Data!DS11</f>
        <v>0</v>
      </c>
      <c r="DT10" s="630">
        <f>Data!DT11</f>
        <v>0</v>
      </c>
      <c r="DU10" s="620">
        <f>Data!DU11</f>
        <v>0</v>
      </c>
      <c r="DV10" s="620">
        <f>Data!DV11</f>
        <v>0</v>
      </c>
      <c r="DW10" s="620">
        <f>Data!DW11</f>
        <v>0</v>
      </c>
      <c r="DX10" s="620">
        <f>Data!DX11</f>
        <v>0</v>
      </c>
      <c r="DY10" s="630">
        <f>Data!DY11</f>
        <v>0</v>
      </c>
      <c r="DZ10" s="630">
        <f>Data!DZ11</f>
        <v>0</v>
      </c>
      <c r="EA10" s="630">
        <f>Data!EA11</f>
        <v>0</v>
      </c>
      <c r="EB10" s="630">
        <f>Data!EB11</f>
        <v>0</v>
      </c>
    </row>
    <row r="11" spans="1:132" s="241" customFormat="1" ht="12" hidden="1" customHeight="1" outlineLevel="1">
      <c r="B11" s="241" t="s">
        <v>30</v>
      </c>
      <c r="C11" s="244">
        <f>Data!C12</f>
        <v>0</v>
      </c>
      <c r="D11" s="244">
        <f>Data!D12</f>
        <v>0</v>
      </c>
      <c r="E11" s="244">
        <f>Data!E12</f>
        <v>0</v>
      </c>
      <c r="F11" s="244">
        <f>Data!F12</f>
        <v>0</v>
      </c>
      <c r="G11" s="244">
        <f>Data!G12</f>
        <v>0</v>
      </c>
      <c r="H11" s="244">
        <f>Data!H12</f>
        <v>0</v>
      </c>
      <c r="I11" s="244">
        <f>Data!I12</f>
        <v>-442</v>
      </c>
      <c r="J11" s="245">
        <f>Data!J12</f>
        <v>-103</v>
      </c>
      <c r="K11" s="245">
        <f>Data!K12</f>
        <v>-89</v>
      </c>
      <c r="L11" s="245">
        <f>Data!L12</f>
        <v>-89</v>
      </c>
      <c r="M11" s="245">
        <f>Data!M12</f>
        <v>-69</v>
      </c>
      <c r="N11" s="244">
        <f t="shared" si="0"/>
        <v>-350</v>
      </c>
      <c r="O11" s="245">
        <f>Data!O12</f>
        <v>-89</v>
      </c>
      <c r="P11" s="245">
        <f>Data!P12</f>
        <v>-90</v>
      </c>
      <c r="Q11" s="245">
        <f>Data!Q12</f>
        <v>-87</v>
      </c>
      <c r="R11" s="245">
        <f>Data!R12</f>
        <v>-93</v>
      </c>
      <c r="S11" s="244">
        <f t="shared" si="1"/>
        <v>-359</v>
      </c>
      <c r="T11" s="245">
        <f>Data!T12</f>
        <v>-90</v>
      </c>
      <c r="U11" s="245">
        <f>Data!U12</f>
        <v>-89</v>
      </c>
      <c r="V11" s="245">
        <f>Data!V12</f>
        <v>-88</v>
      </c>
      <c r="W11" s="245">
        <f>Data!W12</f>
        <v>-86</v>
      </c>
      <c r="X11" s="244">
        <f t="shared" si="2"/>
        <v>-353</v>
      </c>
      <c r="Y11" s="245">
        <f>Data!Y12</f>
        <v>-79</v>
      </c>
      <c r="Z11" s="245">
        <f>Data!Z12</f>
        <v>-73</v>
      </c>
      <c r="AA11" s="245">
        <f>Data!AA12</f>
        <v>-73</v>
      </c>
      <c r="AB11" s="245">
        <f>Data!AB12</f>
        <v>-70</v>
      </c>
      <c r="AC11" s="244">
        <f t="shared" si="3"/>
        <v>-295</v>
      </c>
      <c r="AD11" s="245">
        <f>Data!AD12</f>
        <v>-62</v>
      </c>
      <c r="AE11" s="245">
        <f>Data!AE12</f>
        <v>-57</v>
      </c>
      <c r="AF11" s="245">
        <f>Data!AF12</f>
        <v>-54</v>
      </c>
      <c r="AG11" s="245">
        <f>Data!AG12</f>
        <v>-50</v>
      </c>
      <c r="AH11" s="244">
        <f t="shared" si="4"/>
        <v>-223</v>
      </c>
      <c r="AI11" s="245">
        <f>Data!AI12</f>
        <v>-47</v>
      </c>
      <c r="AJ11" s="245">
        <f>Data!AJ12</f>
        <v>-43</v>
      </c>
      <c r="AK11" s="245">
        <f>Data!AK12</f>
        <v>-42</v>
      </c>
      <c r="AL11" s="245">
        <f>Data!AL12</f>
        <v>-43</v>
      </c>
      <c r="AM11" s="244">
        <f>IF(AL11=0,0,SUM(AI11:AL11))</f>
        <v>-175</v>
      </c>
      <c r="AN11" s="287">
        <f>Data!AN12</f>
        <v>-41</v>
      </c>
      <c r="AO11" s="287">
        <f>Data!AO12</f>
        <v>-41</v>
      </c>
      <c r="AP11" s="287">
        <f>Data!AP12</f>
        <v>-42</v>
      </c>
      <c r="AQ11" s="287">
        <f>Data!AQ12</f>
        <v>-36</v>
      </c>
      <c r="AR11" s="244">
        <f>IF(AQ11=0,0,SUM(AN11:AQ11))</f>
        <v>-160</v>
      </c>
      <c r="AS11" s="287">
        <f>Data!AS12</f>
        <v>-33</v>
      </c>
      <c r="AT11" s="287">
        <f>Data!AT12</f>
        <v>-29</v>
      </c>
      <c r="AU11" s="245">
        <f>Data!AU12</f>
        <v>-32</v>
      </c>
      <c r="AV11" s="245">
        <f>Data!AV12</f>
        <v>-34</v>
      </c>
      <c r="AW11" s="244">
        <f>IF(AV11=0,0,SUM(AS11:AV11))</f>
        <v>-128</v>
      </c>
      <c r="AX11" s="245">
        <f>Data!AX12</f>
        <v>-28</v>
      </c>
      <c r="AY11" s="245">
        <f>Data!AY12</f>
        <v>-19</v>
      </c>
      <c r="AZ11" s="245">
        <f>Data!AZ12</f>
        <v>-22</v>
      </c>
      <c r="BA11" s="245">
        <f>Data!BA12</f>
        <v>-19</v>
      </c>
      <c r="BB11" s="244">
        <f>IF(BA11=0,0,SUM(AX11:BA11))</f>
        <v>-88</v>
      </c>
      <c r="BC11" s="245">
        <f>Data!BC12</f>
        <v>-19</v>
      </c>
      <c r="BD11" s="245">
        <f>Data!BD12</f>
        <v>-18</v>
      </c>
      <c r="BE11" s="245">
        <f>Data!BE12</f>
        <v>-18</v>
      </c>
      <c r="BF11" s="245">
        <f>Data!BF12</f>
        <v>-20</v>
      </c>
      <c r="BG11" s="244">
        <f>IF(BF11=0,0,SUM(BC11:BF11))</f>
        <v>-75</v>
      </c>
      <c r="BH11" s="245">
        <f>Data!BH12</f>
        <v>-18</v>
      </c>
      <c r="BI11" s="245">
        <f>Data!BI12</f>
        <v>-17</v>
      </c>
      <c r="BJ11" s="245">
        <f>Data!BJ12</f>
        <v>-18</v>
      </c>
      <c r="BK11" s="245">
        <f>Data!BK12</f>
        <v>-16</v>
      </c>
      <c r="BL11" s="631">
        <f>IF(BK11=0,0,SUM(BH11:BK11))</f>
        <v>-69</v>
      </c>
      <c r="BM11" s="621">
        <f>Data!BM12</f>
        <v>-16</v>
      </c>
      <c r="BN11" s="621">
        <f>Data!BN12</f>
        <v>-17</v>
      </c>
      <c r="BO11" s="621">
        <f>Data!BO12</f>
        <v>-16</v>
      </c>
      <c r="BP11" s="621">
        <f>Data!BP12</f>
        <v>-15</v>
      </c>
      <c r="BQ11" s="631">
        <f>Data!BQ12</f>
        <v>-64</v>
      </c>
      <c r="BR11" s="621">
        <f>Data!BR12</f>
        <v>-16</v>
      </c>
      <c r="BS11" s="621">
        <f>Data!BS12</f>
        <v>-16</v>
      </c>
      <c r="BT11" s="621">
        <f>Data!BT12</f>
        <v>-14</v>
      </c>
      <c r="BU11" s="621">
        <f>Data!BU12</f>
        <v>-13</v>
      </c>
      <c r="BV11" s="631">
        <f>Data!BV12</f>
        <v>-59</v>
      </c>
      <c r="BW11" s="621">
        <f>Data!BW12</f>
        <v>-13</v>
      </c>
      <c r="BX11" s="621"/>
      <c r="BY11" s="621"/>
      <c r="BZ11" s="621"/>
      <c r="CA11" s="631">
        <f>Data!CA12</f>
        <v>-70</v>
      </c>
      <c r="CB11" s="621">
        <f>Data!CB12</f>
        <v>-16</v>
      </c>
      <c r="CC11" s="621">
        <f>Data!CC12</f>
        <v>-17</v>
      </c>
      <c r="CD11" s="621">
        <f>Data!CD12</f>
        <v>-18</v>
      </c>
      <c r="CE11" s="621">
        <f>Data!CE12</f>
        <v>-18</v>
      </c>
      <c r="CF11" s="631">
        <f>Data!CF12</f>
        <v>-69</v>
      </c>
      <c r="CG11" s="621">
        <f>Data!CG12</f>
        <v>-18</v>
      </c>
      <c r="CH11" s="621">
        <f>Data!CH12</f>
        <v>-16</v>
      </c>
      <c r="CI11" s="621">
        <f>Data!CI12</f>
        <v>-15</v>
      </c>
      <c r="CJ11" s="621">
        <f>Data!CJ12</f>
        <v>-13</v>
      </c>
      <c r="CK11" s="631">
        <f>Data!CK12</f>
        <v>-62</v>
      </c>
      <c r="CL11" s="621">
        <f>Data!CL12</f>
        <v>-12</v>
      </c>
      <c r="CM11" s="621">
        <f>Data!CM12</f>
        <v>-11</v>
      </c>
      <c r="CN11" s="621">
        <f>Data!CN12</f>
        <v>-10</v>
      </c>
      <c r="CO11" s="621">
        <f>Data!CO12</f>
        <v>-10</v>
      </c>
      <c r="CP11" s="631">
        <f>Data!CP12</f>
        <v>-43</v>
      </c>
      <c r="CQ11" s="621">
        <f>Data!CQ12</f>
        <v>-9</v>
      </c>
      <c r="CR11" s="621">
        <f>Data!CR12</f>
        <v>-9</v>
      </c>
      <c r="CS11" s="621">
        <f>Data!CS12</f>
        <v>-7</v>
      </c>
      <c r="CT11" s="621">
        <f>Data!CT12</f>
        <v>-7</v>
      </c>
      <c r="CU11" s="631">
        <f>Data!CU12</f>
        <v>-32</v>
      </c>
      <c r="CV11" s="621">
        <f>Data!CV12</f>
        <v>-7</v>
      </c>
      <c r="CW11" s="621">
        <f>Data!CW12</f>
        <v>-6</v>
      </c>
      <c r="CX11" s="621">
        <f>Data!CX12</f>
        <v>-7</v>
      </c>
      <c r="CY11" s="621">
        <f>Data!CY12</f>
        <v>-8</v>
      </c>
      <c r="CZ11" s="631">
        <f>Data!CZ12</f>
        <v>-28</v>
      </c>
      <c r="DA11" s="621">
        <f>Data!DA12</f>
        <v>0</v>
      </c>
      <c r="DB11" s="621">
        <f>Data!DB12</f>
        <v>0</v>
      </c>
      <c r="DC11" s="621">
        <f>Data!DC12</f>
        <v>0</v>
      </c>
      <c r="DD11" s="621">
        <f>Data!DD12</f>
        <v>0</v>
      </c>
      <c r="DE11" s="631">
        <f>Data!DE12</f>
        <v>0</v>
      </c>
      <c r="DF11" s="621">
        <f>Data!DF12</f>
        <v>0</v>
      </c>
      <c r="DG11" s="621">
        <f>Data!DG12</f>
        <v>0</v>
      </c>
      <c r="DH11" s="621">
        <f>Data!DH12</f>
        <v>0</v>
      </c>
      <c r="DI11" s="621">
        <f>Data!DI12</f>
        <v>0</v>
      </c>
      <c r="DJ11" s="631">
        <f>Data!DJ12</f>
        <v>0</v>
      </c>
      <c r="DK11" s="621">
        <f>Data!DK12</f>
        <v>0</v>
      </c>
      <c r="DL11" s="621">
        <f>Data!DL12</f>
        <v>0</v>
      </c>
      <c r="DM11" s="621">
        <f>Data!DM12</f>
        <v>0</v>
      </c>
      <c r="DN11" s="621">
        <f>Data!DN12</f>
        <v>0</v>
      </c>
      <c r="DO11" s="631">
        <f>Data!DO12</f>
        <v>0</v>
      </c>
      <c r="DP11" s="621">
        <f>Data!DP12</f>
        <v>0</v>
      </c>
      <c r="DQ11" s="621">
        <f>Data!DQ12</f>
        <v>0</v>
      </c>
      <c r="DR11" s="621">
        <f>Data!DR12</f>
        <v>0</v>
      </c>
      <c r="DS11" s="621">
        <f>Data!DS12</f>
        <v>0</v>
      </c>
      <c r="DT11" s="631">
        <f>Data!DT12</f>
        <v>0</v>
      </c>
      <c r="DU11" s="621">
        <f>Data!DU12</f>
        <v>0</v>
      </c>
      <c r="DV11" s="621">
        <f>Data!DV12</f>
        <v>0</v>
      </c>
      <c r="DW11" s="621">
        <f>Data!DW12</f>
        <v>0</v>
      </c>
      <c r="DX11" s="621">
        <f>Data!DX12</f>
        <v>0</v>
      </c>
      <c r="DY11" s="631">
        <f>Data!DY12</f>
        <v>0</v>
      </c>
      <c r="DZ11" s="631">
        <f>Data!DZ12</f>
        <v>0</v>
      </c>
      <c r="EA11" s="631">
        <f>Data!EA12</f>
        <v>0</v>
      </c>
      <c r="EB11" s="631">
        <f>Data!EB12</f>
        <v>0</v>
      </c>
    </row>
    <row r="12" spans="1:132" s="121" customFormat="1" ht="12" customHeight="1" collapsed="1">
      <c r="B12" s="121" t="s">
        <v>265</v>
      </c>
      <c r="C12" s="286">
        <f>SUM(C9:C11)</f>
        <v>-40644</v>
      </c>
      <c r="D12" s="286">
        <f t="shared" ref="D12:AN12" si="5">SUM(D9:D11)</f>
        <v>-50546</v>
      </c>
      <c r="E12" s="286">
        <f t="shared" si="5"/>
        <v>-51320</v>
      </c>
      <c r="F12" s="286">
        <f t="shared" si="5"/>
        <v>-43712</v>
      </c>
      <c r="G12" s="286">
        <f t="shared" si="5"/>
        <v>-48778</v>
      </c>
      <c r="H12" s="286">
        <f t="shared" si="5"/>
        <v>-45499</v>
      </c>
      <c r="I12" s="286">
        <f t="shared" si="5"/>
        <v>-44304</v>
      </c>
      <c r="J12" s="287">
        <f t="shared" si="5"/>
        <v>-10831</v>
      </c>
      <c r="K12" s="287">
        <f t="shared" si="5"/>
        <v>-10964</v>
      </c>
      <c r="L12" s="287">
        <f t="shared" si="5"/>
        <v>-11253</v>
      </c>
      <c r="M12" s="287">
        <f t="shared" si="5"/>
        <v>-11977</v>
      </c>
      <c r="N12" s="286">
        <f t="shared" si="5"/>
        <v>-45025</v>
      </c>
      <c r="O12" s="287">
        <f t="shared" si="5"/>
        <v>-10778</v>
      </c>
      <c r="P12" s="287">
        <f t="shared" si="5"/>
        <v>-12481</v>
      </c>
      <c r="Q12" s="287">
        <f t="shared" si="5"/>
        <v>-10780</v>
      </c>
      <c r="R12" s="287">
        <f t="shared" si="5"/>
        <v>-12169</v>
      </c>
      <c r="S12" s="286">
        <f t="shared" si="5"/>
        <v>-46208</v>
      </c>
      <c r="T12" s="287">
        <f t="shared" si="5"/>
        <v>-11494</v>
      </c>
      <c r="U12" s="287">
        <f t="shared" si="5"/>
        <v>-12601</v>
      </c>
      <c r="V12" s="287">
        <f t="shared" si="5"/>
        <v>-11891</v>
      </c>
      <c r="W12" s="287">
        <f t="shared" si="5"/>
        <v>-14451</v>
      </c>
      <c r="X12" s="286">
        <f t="shared" si="5"/>
        <v>-50437</v>
      </c>
      <c r="Y12" s="287">
        <f t="shared" si="5"/>
        <v>-12266</v>
      </c>
      <c r="Z12" s="287">
        <f t="shared" si="5"/>
        <v>-13609</v>
      </c>
      <c r="AA12" s="287">
        <f t="shared" si="5"/>
        <v>-13207</v>
      </c>
      <c r="AB12" s="287">
        <f t="shared" si="5"/>
        <v>-14320</v>
      </c>
      <c r="AC12" s="286">
        <f t="shared" si="5"/>
        <v>-53402</v>
      </c>
      <c r="AD12" s="287">
        <f t="shared" si="5"/>
        <v>-12605</v>
      </c>
      <c r="AE12" s="287">
        <f t="shared" si="5"/>
        <v>-13942</v>
      </c>
      <c r="AF12" s="287">
        <f t="shared" si="5"/>
        <v>-12541</v>
      </c>
      <c r="AG12" s="287">
        <f t="shared" si="5"/>
        <v>-11264</v>
      </c>
      <c r="AH12" s="286">
        <f t="shared" si="5"/>
        <v>-50352</v>
      </c>
      <c r="AI12" s="287">
        <f t="shared" si="5"/>
        <v>-13745</v>
      </c>
      <c r="AJ12" s="287">
        <f t="shared" si="5"/>
        <v>-13807</v>
      </c>
      <c r="AK12" s="287">
        <f t="shared" si="5"/>
        <v>-14480</v>
      </c>
      <c r="AL12" s="287">
        <f t="shared" si="5"/>
        <v>-14508</v>
      </c>
      <c r="AM12" s="286">
        <f t="shared" ref="AM12:AM25" si="6">SUM(AI12:AL12)</f>
        <v>-56540</v>
      </c>
      <c r="AN12" s="287">
        <f t="shared" si="5"/>
        <v>-12144</v>
      </c>
      <c r="AO12" s="287">
        <f>SUM(AO9:AO11)</f>
        <v>-12540</v>
      </c>
      <c r="AP12" s="287">
        <f>SUM(AP9:AP11)</f>
        <v>-13746</v>
      </c>
      <c r="AQ12" s="287">
        <f>SUM(AQ9:AQ11)</f>
        <v>-13413</v>
      </c>
      <c r="AR12" s="286">
        <f t="shared" ref="AR12:AR26" si="7">SUM(AN12:AQ12)</f>
        <v>-51843</v>
      </c>
      <c r="AS12" s="287">
        <f>SUM(AS9:AS11)</f>
        <v>-12049</v>
      </c>
      <c r="AT12" s="287">
        <f>SUM(AT9:AT11)</f>
        <v>-13200</v>
      </c>
      <c r="AU12" s="245">
        <f>SUM(AU9:AU11)</f>
        <v>-14357</v>
      </c>
      <c r="AV12" s="245">
        <f>SUM(AV9:AV11)</f>
        <v>-16261</v>
      </c>
      <c r="AW12" s="286">
        <f t="shared" ref="AW12:AW24" si="8">SUM(AS12:AV12)</f>
        <v>-55867</v>
      </c>
      <c r="AX12" s="245">
        <f>SUM(AX9:AX11)</f>
        <v>-16069</v>
      </c>
      <c r="AY12" s="245">
        <f>SUM(AY9:AY11)</f>
        <v>-16740</v>
      </c>
      <c r="AZ12" s="245">
        <f>SUM(AZ9:AZ11)</f>
        <v>-16794</v>
      </c>
      <c r="BA12" s="245">
        <f>SUM(BA9:BA11)</f>
        <v>-19041</v>
      </c>
      <c r="BB12" s="286">
        <f t="shared" ref="BB12:BB26" si="9">SUM(AX12:BA12)</f>
        <v>-68644</v>
      </c>
      <c r="BC12" s="245">
        <f>SUM(BC9:BC11)</f>
        <v>-15756</v>
      </c>
      <c r="BD12" s="245">
        <f>SUM(BD9:BD11)</f>
        <v>-18450</v>
      </c>
      <c r="BE12" s="245">
        <f>SUM(BE9:BE11)</f>
        <v>-18674</v>
      </c>
      <c r="BF12" s="245">
        <f>SUM(BF9:BF11)</f>
        <v>-20388</v>
      </c>
      <c r="BG12" s="244">
        <f t="shared" ref="BG12:BG26" si="10">SUM(BC12:BF12)</f>
        <v>-73268</v>
      </c>
      <c r="BH12" s="245">
        <f>SUM(BH9:BH11)</f>
        <v>-17296</v>
      </c>
      <c r="BI12" s="245">
        <f>SUM(BI9:BI11)</f>
        <v>-18670</v>
      </c>
      <c r="BJ12" s="245">
        <f>SUM(BJ9:BJ11)</f>
        <v>-20075</v>
      </c>
      <c r="BK12" s="245">
        <f>SUM(BK9:BK11)</f>
        <v>-20711</v>
      </c>
      <c r="BL12" s="631">
        <f t="shared" ref="BL12:BL26" si="11">SUM(BH12:BK12)</f>
        <v>-76752</v>
      </c>
      <c r="BM12" s="621">
        <f>SUM(BM9:BM11)</f>
        <v>-18496</v>
      </c>
      <c r="BN12" s="621">
        <f>SUM(BN9:BN11)</f>
        <v>-21350</v>
      </c>
      <c r="BO12" s="621">
        <f>SUM(BO9:BO11)</f>
        <v>-21600</v>
      </c>
      <c r="BP12" s="621">
        <f>SUM(BP9:BP11)</f>
        <v>-20642</v>
      </c>
      <c r="BQ12" s="631">
        <f t="shared" ref="BQ12:BQ26" si="12">SUM(BM12:BP12)</f>
        <v>-82088</v>
      </c>
      <c r="BR12" s="621">
        <f>SUM(BR9:BR11)</f>
        <v>-19097</v>
      </c>
      <c r="BS12" s="621">
        <f>SUM(BS9:BS11)</f>
        <v>-22325</v>
      </c>
      <c r="BT12" s="621">
        <f>SUM(BT9:BT11)</f>
        <v>-19904</v>
      </c>
      <c r="BU12" s="621">
        <f>SUM(BU9:BU11)</f>
        <v>-19464</v>
      </c>
      <c r="BV12" s="631">
        <f t="shared" ref="BV12:BV26" si="13">SUM(BR12:BU12)</f>
        <v>-80790</v>
      </c>
      <c r="BW12" s="621">
        <f>Data!BW13</f>
        <v>-18073</v>
      </c>
      <c r="BX12" s="621">
        <f>Data!BX13</f>
        <v>-18702</v>
      </c>
      <c r="BY12" s="621">
        <f>Data!BY13</f>
        <v>-19956</v>
      </c>
      <c r="BZ12" s="621">
        <f>Data!BZ13</f>
        <v>-19881</v>
      </c>
      <c r="CA12" s="631">
        <f t="shared" ref="CA12:CA15" si="14">SUM(BW12:BZ12)</f>
        <v>-76612</v>
      </c>
      <c r="CB12" s="621">
        <f>Data!CB13</f>
        <v>-18824</v>
      </c>
      <c r="CC12" s="621">
        <f>Data!CC13</f>
        <v>-19536</v>
      </c>
      <c r="CD12" s="621">
        <f>Data!CD13</f>
        <v>-21040</v>
      </c>
      <c r="CE12" s="621">
        <f>Data!CE13</f>
        <v>-22090</v>
      </c>
      <c r="CF12" s="631">
        <f t="shared" ref="CF12" si="15">-(CF8-CF13)</f>
        <v>-81490</v>
      </c>
      <c r="CG12" s="621">
        <f>Data!CG13</f>
        <v>-18645</v>
      </c>
      <c r="CH12" s="621">
        <f>Data!CH13</f>
        <v>-17810</v>
      </c>
      <c r="CI12" s="621">
        <f>Data!CI13</f>
        <v>-16930</v>
      </c>
      <c r="CJ12" s="621">
        <f>Data!CJ13</f>
        <v>-18708</v>
      </c>
      <c r="CK12" s="631">
        <f t="shared" ref="CK12" si="16">-(CK8-CK13)</f>
        <v>-72093</v>
      </c>
      <c r="CL12" s="621">
        <f>Data!CL13</f>
        <v>-16768</v>
      </c>
      <c r="CM12" s="621">
        <f>Data!CM13</f>
        <v>-12978</v>
      </c>
      <c r="CN12" s="621">
        <f>Data!CN13</f>
        <v>-13105</v>
      </c>
      <c r="CO12" s="621">
        <f>Data!CO13</f>
        <v>-20992</v>
      </c>
      <c r="CP12" s="631">
        <f t="shared" ref="CP12" si="17">-(CP8-CP13)</f>
        <v>-63843</v>
      </c>
      <c r="CQ12" s="621">
        <f>Data!CQ13</f>
        <v>-13808</v>
      </c>
      <c r="CR12" s="621">
        <f>Data!CR13</f>
        <v>-14588</v>
      </c>
      <c r="CS12" s="621">
        <f>Data!CS13</f>
        <v>-13566</v>
      </c>
      <c r="CT12" s="621">
        <f>Data!CT13</f>
        <v>-17307</v>
      </c>
      <c r="CU12" s="631">
        <f t="shared" ref="CU12" si="18">-(CU8-CU13)</f>
        <v>-59269</v>
      </c>
      <c r="CV12" s="621">
        <f>Data!CV13</f>
        <v>-13645</v>
      </c>
      <c r="CW12" s="621">
        <f>Data!CW13</f>
        <v>-14559</v>
      </c>
      <c r="CX12" s="621">
        <f>Data!CX13</f>
        <v>-16778</v>
      </c>
      <c r="CY12" s="621">
        <f>Data!CY13</f>
        <v>-18124</v>
      </c>
      <c r="CZ12" s="631">
        <f t="shared" ref="CZ12" si="19">-(CZ8-CZ13)</f>
        <v>-63106</v>
      </c>
      <c r="DA12" s="621">
        <f>Data!DA13</f>
        <v>-15998</v>
      </c>
      <c r="DB12" s="621">
        <f>Data!DB13</f>
        <v>-17812</v>
      </c>
      <c r="DC12" s="621">
        <f>Data!DC13</f>
        <v>-16939</v>
      </c>
      <c r="DD12" s="621">
        <f>Data!DD13</f>
        <v>-19321</v>
      </c>
      <c r="DE12" s="631">
        <f t="shared" ref="DE12" si="20">-(DE8-DE13)</f>
        <v>-70070</v>
      </c>
      <c r="DF12" s="621">
        <f>Data!DF13</f>
        <v>-14693</v>
      </c>
      <c r="DG12" s="621">
        <f>Data!DG13</f>
        <v>-15637</v>
      </c>
      <c r="DH12" s="621">
        <f>Data!DH13</f>
        <v>-21347</v>
      </c>
      <c r="DI12" s="621">
        <f>Data!DI13</f>
        <v>-16831</v>
      </c>
      <c r="DJ12" s="631">
        <f t="shared" ref="DJ12" si="21">-(DJ8-DJ13)</f>
        <v>-68508</v>
      </c>
      <c r="DK12" s="621">
        <f>Data!DK13</f>
        <v>-17079</v>
      </c>
      <c r="DL12" s="621">
        <f>Data!DL13</f>
        <v>-20314</v>
      </c>
      <c r="DM12" s="621">
        <f>Data!DM13</f>
        <v>-25645</v>
      </c>
      <c r="DN12" s="621">
        <f>Data!DN13</f>
        <v>-22136</v>
      </c>
      <c r="DO12" s="631">
        <f t="shared" ref="DO12" si="22">-(DO8-DO13)</f>
        <v>-85174</v>
      </c>
      <c r="DP12" s="621">
        <f>Data!DP13</f>
        <v>-19671</v>
      </c>
      <c r="DQ12" s="621">
        <f>Data!DQ13</f>
        <v>-22146</v>
      </c>
      <c r="DR12" s="621">
        <f t="shared" ref="DR12:DU12" si="23">-(DR8-DR13)</f>
        <v>-21678.148188874362</v>
      </c>
      <c r="DS12" s="621">
        <f t="shared" si="23"/>
        <v>-22945.000729133979</v>
      </c>
      <c r="DT12" s="631">
        <f t="shared" si="23"/>
        <v>-86440.148918008344</v>
      </c>
      <c r="DU12" s="621">
        <f t="shared" si="23"/>
        <v>-22967.154700244737</v>
      </c>
      <c r="DV12" s="621">
        <f t="shared" ref="DV12:DY12" si="24">-(DV8-DV13)</f>
        <v>-24068.926431387452</v>
      </c>
      <c r="DW12" s="621">
        <f t="shared" si="24"/>
        <v>-24969.478500079695</v>
      </c>
      <c r="DX12" s="621">
        <f t="shared" si="24"/>
        <v>-26848.458895860294</v>
      </c>
      <c r="DY12" s="631">
        <f t="shared" si="24"/>
        <v>-98854.018527572174</v>
      </c>
      <c r="DZ12" s="631">
        <f t="shared" ref="DZ12" si="25">-(DZ8-DZ13)</f>
        <v>-105626.90989962664</v>
      </c>
      <c r="EA12" s="631">
        <f t="shared" ref="EA12:EB12" si="26">-(EA8-EA13)</f>
        <v>-113300.66810024442</v>
      </c>
      <c r="EB12" s="631">
        <f t="shared" si="26"/>
        <v>-116660.87974450964</v>
      </c>
    </row>
    <row r="13" spans="1:132" s="241" customFormat="1" ht="12" customHeight="1">
      <c r="A13" s="68"/>
      <c r="B13" s="100" t="s">
        <v>230</v>
      </c>
      <c r="C13" s="117">
        <f>C8+C12</f>
        <v>5156</v>
      </c>
      <c r="D13" s="117">
        <f t="shared" ref="D13:AN13" si="27">D8+D12</f>
        <v>5608</v>
      </c>
      <c r="E13" s="117">
        <f t="shared" si="27"/>
        <v>6673</v>
      </c>
      <c r="F13" s="117">
        <f t="shared" si="27"/>
        <v>7609</v>
      </c>
      <c r="G13" s="117">
        <f t="shared" si="27"/>
        <v>9420</v>
      </c>
      <c r="H13" s="117">
        <f t="shared" si="27"/>
        <v>8570</v>
      </c>
      <c r="I13" s="117">
        <f t="shared" si="27"/>
        <v>6181</v>
      </c>
      <c r="J13" s="100">
        <f t="shared" si="27"/>
        <v>2128</v>
      </c>
      <c r="K13" s="100">
        <f t="shared" si="27"/>
        <v>2124</v>
      </c>
      <c r="L13" s="100">
        <f t="shared" si="27"/>
        <v>1899</v>
      </c>
      <c r="M13" s="100">
        <f t="shared" si="27"/>
        <v>1281</v>
      </c>
      <c r="N13" s="117">
        <f t="shared" si="27"/>
        <v>7432</v>
      </c>
      <c r="O13" s="100">
        <f t="shared" si="27"/>
        <v>2209</v>
      </c>
      <c r="P13" s="100">
        <f t="shared" si="27"/>
        <v>2547</v>
      </c>
      <c r="Q13" s="100">
        <f t="shared" si="27"/>
        <v>1849</v>
      </c>
      <c r="R13" s="100">
        <f t="shared" si="27"/>
        <v>2032</v>
      </c>
      <c r="S13" s="117">
        <f t="shared" si="27"/>
        <v>8637</v>
      </c>
      <c r="T13" s="100">
        <f t="shared" si="27"/>
        <v>2770</v>
      </c>
      <c r="U13" s="100">
        <f t="shared" si="27"/>
        <v>2385</v>
      </c>
      <c r="V13" s="100">
        <f t="shared" si="27"/>
        <v>2848</v>
      </c>
      <c r="W13" s="100">
        <f t="shared" si="27"/>
        <v>3090</v>
      </c>
      <c r="X13" s="117">
        <f t="shared" si="27"/>
        <v>11093</v>
      </c>
      <c r="Y13" s="100">
        <f t="shared" si="27"/>
        <v>3099</v>
      </c>
      <c r="Z13" s="100">
        <f t="shared" si="27"/>
        <v>3419</v>
      </c>
      <c r="AA13" s="100">
        <f t="shared" si="27"/>
        <v>3310</v>
      </c>
      <c r="AB13" s="100">
        <f t="shared" si="27"/>
        <v>3157</v>
      </c>
      <c r="AC13" s="117">
        <f t="shared" si="27"/>
        <v>12985</v>
      </c>
      <c r="AD13" s="100">
        <f t="shared" si="27"/>
        <v>3385</v>
      </c>
      <c r="AE13" s="100">
        <f t="shared" si="27"/>
        <v>3020</v>
      </c>
      <c r="AF13" s="100">
        <f t="shared" si="27"/>
        <v>2752</v>
      </c>
      <c r="AG13" s="100">
        <f t="shared" si="27"/>
        <v>1400</v>
      </c>
      <c r="AH13" s="117">
        <f t="shared" si="27"/>
        <v>10557</v>
      </c>
      <c r="AI13" s="100">
        <f t="shared" si="27"/>
        <v>2757</v>
      </c>
      <c r="AJ13" s="100">
        <f t="shared" si="27"/>
        <v>3347</v>
      </c>
      <c r="AK13" s="100">
        <f t="shared" si="27"/>
        <v>2208</v>
      </c>
      <c r="AL13" s="100">
        <f t="shared" si="27"/>
        <v>3429</v>
      </c>
      <c r="AM13" s="117">
        <f t="shared" si="27"/>
        <v>11741</v>
      </c>
      <c r="AN13" s="100">
        <f t="shared" si="27"/>
        <v>3072</v>
      </c>
      <c r="AO13" s="100">
        <f>AO8+AO12</f>
        <v>3033</v>
      </c>
      <c r="AP13" s="100">
        <f>AP8+AP12</f>
        <v>3221</v>
      </c>
      <c r="AQ13" s="100">
        <f>AQ8+AQ12</f>
        <v>3137</v>
      </c>
      <c r="AR13" s="117">
        <f t="shared" si="7"/>
        <v>12463</v>
      </c>
      <c r="AS13" s="100">
        <f>AS8+AS12</f>
        <v>2861</v>
      </c>
      <c r="AT13" s="100">
        <f>AT8+AT12</f>
        <v>3343</v>
      </c>
      <c r="AU13" s="74">
        <f>AU8+AU12</f>
        <v>3370</v>
      </c>
      <c r="AV13" s="74">
        <f>AV8+AV12</f>
        <v>3294</v>
      </c>
      <c r="AW13" s="117">
        <f t="shared" si="8"/>
        <v>12868</v>
      </c>
      <c r="AX13" s="74">
        <f>AX8+AX12</f>
        <v>3314</v>
      </c>
      <c r="AY13" s="74">
        <f>AY8+AY12</f>
        <v>3265</v>
      </c>
      <c r="AZ13" s="74">
        <f>AZ8+AZ12</f>
        <v>3214</v>
      </c>
      <c r="BA13" s="74">
        <f>BA8+BA12</f>
        <v>3261</v>
      </c>
      <c r="BB13" s="117">
        <f t="shared" si="9"/>
        <v>13054</v>
      </c>
      <c r="BC13" s="74">
        <f>BC8+BC12</f>
        <v>3137</v>
      </c>
      <c r="BD13" s="74">
        <f>BD8+BD12</f>
        <v>3365</v>
      </c>
      <c r="BE13" s="74">
        <f>BE8+BE12</f>
        <v>3456</v>
      </c>
      <c r="BF13" s="74">
        <f>BF8+BF12</f>
        <v>3397.4000000000015</v>
      </c>
      <c r="BG13" s="193">
        <f t="shared" si="10"/>
        <v>13355.400000000001</v>
      </c>
      <c r="BH13" s="74">
        <f>BH8+BH12</f>
        <v>3169</v>
      </c>
      <c r="BI13" s="74">
        <f>BI8+BI12</f>
        <v>3375</v>
      </c>
      <c r="BJ13" s="74">
        <f>BJ8+BJ12</f>
        <v>3709</v>
      </c>
      <c r="BK13" s="74">
        <f>BK8+BK12</f>
        <v>3757</v>
      </c>
      <c r="BL13" s="193">
        <f t="shared" si="11"/>
        <v>14010</v>
      </c>
      <c r="BM13" s="74">
        <f>BM8+BM12</f>
        <v>3653</v>
      </c>
      <c r="BN13" s="74">
        <f>BN8+BN12</f>
        <v>3193</v>
      </c>
      <c r="BO13" s="74">
        <f>BO8+BO12</f>
        <v>4249</v>
      </c>
      <c r="BP13" s="74">
        <f>BP8+BP12</f>
        <v>2931</v>
      </c>
      <c r="BQ13" s="193">
        <f t="shared" si="12"/>
        <v>14026</v>
      </c>
      <c r="BR13" s="74">
        <f>BR8+BR12</f>
        <v>3535</v>
      </c>
      <c r="BS13" s="74">
        <f>BS8+BS12</f>
        <v>2430</v>
      </c>
      <c r="BT13" s="74">
        <f>BT8+BT12</f>
        <v>3994</v>
      </c>
      <c r="BU13" s="74">
        <f>BU8+BU12</f>
        <v>3822</v>
      </c>
      <c r="BV13" s="193">
        <f t="shared" si="13"/>
        <v>13781</v>
      </c>
      <c r="BW13" s="74">
        <f>BW8+BW12</f>
        <v>3888</v>
      </c>
      <c r="BX13" s="74">
        <f>BX8+BX12</f>
        <v>4349</v>
      </c>
      <c r="BY13" s="74">
        <f>BY8+BY12</f>
        <v>4267</v>
      </c>
      <c r="BZ13" s="74">
        <f>BZ8+BZ12</f>
        <v>4889</v>
      </c>
      <c r="CA13" s="193">
        <f t="shared" si="14"/>
        <v>17393</v>
      </c>
      <c r="CB13" s="74">
        <f>CB8+CB12</f>
        <v>4558</v>
      </c>
      <c r="CC13" s="74">
        <f>CC8+CC12</f>
        <v>4722</v>
      </c>
      <c r="CD13" s="74">
        <f>CD8+CD12</f>
        <v>4106</v>
      </c>
      <c r="CE13" s="74">
        <f>CE8+CE12</f>
        <v>6251</v>
      </c>
      <c r="CF13" s="193">
        <f t="shared" ref="CF13:CF15" si="28">SUM(CB13:CE13)</f>
        <v>19637</v>
      </c>
      <c r="CG13" s="74">
        <f>CG8+CG12</f>
        <v>4272</v>
      </c>
      <c r="CH13" s="74">
        <f>CH8+CH12</f>
        <v>-2059</v>
      </c>
      <c r="CI13" s="74">
        <f>CI8+CI12</f>
        <v>3050</v>
      </c>
      <c r="CJ13" s="74">
        <f>CJ8+CJ12</f>
        <v>-797</v>
      </c>
      <c r="CK13" s="193">
        <f t="shared" ref="CK13:CK15" si="29">SUM(CG13:CJ13)</f>
        <v>4466</v>
      </c>
      <c r="CL13" s="74">
        <f>CL8+CL12</f>
        <v>140</v>
      </c>
      <c r="CM13" s="74">
        <f>CM8+CM12</f>
        <v>-1171</v>
      </c>
      <c r="CN13" s="74">
        <f>CN8+CN12</f>
        <v>1034</v>
      </c>
      <c r="CO13" s="74">
        <f>CO8+CO12</f>
        <v>-5688</v>
      </c>
      <c r="CP13" s="193">
        <f t="shared" ref="CP13:CP15" si="30">SUM(CL13:CO13)</f>
        <v>-5685</v>
      </c>
      <c r="CQ13" s="74">
        <f>CQ8+CQ12</f>
        <v>1409</v>
      </c>
      <c r="CR13" s="74">
        <f>CR8+CR12</f>
        <v>2410</v>
      </c>
      <c r="CS13" s="74">
        <f>CS8+CS12</f>
        <v>1712</v>
      </c>
      <c r="CT13" s="74">
        <f>CT8+CT12</f>
        <v>-2514</v>
      </c>
      <c r="CU13" s="193">
        <f t="shared" ref="CU13:CU15" si="31">SUM(CQ13:CT13)</f>
        <v>3017</v>
      </c>
      <c r="CV13" s="74">
        <f>CV8+CV12</f>
        <v>346</v>
      </c>
      <c r="CW13" s="74">
        <f>CW8+CW12</f>
        <v>2122</v>
      </c>
      <c r="CX13" s="74">
        <f>CX8+CX12</f>
        <v>-822</v>
      </c>
      <c r="CY13" s="74">
        <f>CY8+CY12</f>
        <v>1856</v>
      </c>
      <c r="CZ13" s="193">
        <f t="shared" ref="CZ13:CZ15" si="32">SUM(CV13:CY13)</f>
        <v>3502</v>
      </c>
      <c r="DA13" s="74">
        <f>DA8+DA12</f>
        <v>1923</v>
      </c>
      <c r="DB13" s="74">
        <f>DB8+DB12</f>
        <v>1939</v>
      </c>
      <c r="DC13" s="74">
        <f>DC8+DC12</f>
        <v>1165</v>
      </c>
      <c r="DD13" s="74">
        <f>DD8+DD12</f>
        <v>2697</v>
      </c>
      <c r="DE13" s="193">
        <f t="shared" ref="DE13:DE15" si="33">SUM(DA13:DD13)</f>
        <v>7724</v>
      </c>
      <c r="DF13" s="74">
        <f>DF8+DF12</f>
        <v>1876</v>
      </c>
      <c r="DG13" s="74">
        <f>DG8+DG12</f>
        <v>1229</v>
      </c>
      <c r="DH13" s="74">
        <f>DH8+DH12</f>
        <v>-3507</v>
      </c>
      <c r="DI13" s="74">
        <f>DI8+DI12</f>
        <v>-1589</v>
      </c>
      <c r="DJ13" s="193">
        <f t="shared" ref="DJ13:DJ15" si="34">SUM(DF13:DI13)</f>
        <v>-1991</v>
      </c>
      <c r="DK13" s="74">
        <f>DK8+DK12</f>
        <v>2417</v>
      </c>
      <c r="DL13" s="74">
        <f>DL8+DL12</f>
        <v>2435</v>
      </c>
      <c r="DM13" s="74">
        <f>DM8+DM12</f>
        <v>-2375</v>
      </c>
      <c r="DN13" s="74">
        <f>DN8+DN12</f>
        <v>1812</v>
      </c>
      <c r="DO13" s="193">
        <f t="shared" ref="DO13:DO15" si="35">SUM(DK13:DN13)</f>
        <v>4289</v>
      </c>
      <c r="DP13" s="74">
        <f>DP8+DP12</f>
        <v>2546</v>
      </c>
      <c r="DQ13" s="74">
        <f>DQ8+DQ12</f>
        <v>2414</v>
      </c>
      <c r="DR13" s="74">
        <f t="shared" ref="DR13:DS13" si="36">DR18-DR17-DR16-DR15-DR14</f>
        <v>2620.3076340680432</v>
      </c>
      <c r="DS13" s="74">
        <f t="shared" si="36"/>
        <v>3149.2787350258332</v>
      </c>
      <c r="DT13" s="193">
        <f t="shared" ref="DT13:DT15" si="37">SUM(DP13:DS13)</f>
        <v>10729.586369093877</v>
      </c>
      <c r="DU13" s="74">
        <f t="shared" ref="DU13:DX13" si="38">DU18-DU17-DU16-DU15-DU14</f>
        <v>2748.4490183226108</v>
      </c>
      <c r="DV13" s="74">
        <f t="shared" si="38"/>
        <v>3599.8790438793453</v>
      </c>
      <c r="DW13" s="74">
        <f t="shared" si="38"/>
        <v>4253.0657861261616</v>
      </c>
      <c r="DX13" s="74">
        <f t="shared" si="38"/>
        <v>4891.2353648521794</v>
      </c>
      <c r="DY13" s="193">
        <f t="shared" ref="DY13:DY15" si="39">SUM(DU13:DX13)</f>
        <v>15492.629213180295</v>
      </c>
      <c r="DZ13" s="193">
        <f t="shared" ref="DZ13" si="40">DZ18-DZ17-DZ16-DZ15-DZ14</f>
        <v>20318.923150843668</v>
      </c>
      <c r="EA13" s="193">
        <f t="shared" ref="EA13:EB13" si="41">EA18-EA17-EA16-EA15-EA14</f>
        <v>25589.703687658359</v>
      </c>
      <c r="EB13" s="193">
        <f t="shared" si="41"/>
        <v>30608.314588145346</v>
      </c>
    </row>
    <row r="14" spans="1:132" s="241" customFormat="1" ht="12" customHeight="1">
      <c r="B14" s="241" t="s">
        <v>32</v>
      </c>
      <c r="C14" s="120">
        <f>Data!C14</f>
        <v>0</v>
      </c>
      <c r="D14" s="120">
        <f>Data!D14</f>
        <v>0</v>
      </c>
      <c r="E14" s="120">
        <f>Data!E14</f>
        <v>4</v>
      </c>
      <c r="F14" s="120">
        <f>Data!F14</f>
        <v>64</v>
      </c>
      <c r="G14" s="120">
        <f>Data!G14</f>
        <v>93</v>
      </c>
      <c r="H14" s="120">
        <f>Data!H14</f>
        <v>-128</v>
      </c>
      <c r="I14" s="120">
        <f>Data!I14</f>
        <v>28</v>
      </c>
      <c r="J14" s="121">
        <f>Data!J14</f>
        <v>13</v>
      </c>
      <c r="K14" s="121">
        <f>Data!K14</f>
        <v>27</v>
      </c>
      <c r="L14" s="121">
        <f>Data!L14</f>
        <v>27</v>
      </c>
      <c r="M14" s="121">
        <f>Data!M14</f>
        <v>24</v>
      </c>
      <c r="N14" s="120">
        <f t="shared" si="0"/>
        <v>91</v>
      </c>
      <c r="O14" s="121">
        <f>Data!O14</f>
        <v>16</v>
      </c>
      <c r="P14" s="121">
        <f>Data!P14</f>
        <v>28</v>
      </c>
      <c r="Q14" s="121">
        <f>Data!Q14</f>
        <v>24</v>
      </c>
      <c r="R14" s="121">
        <f>Data!R14</f>
        <v>20</v>
      </c>
      <c r="S14" s="120">
        <f t="shared" si="1"/>
        <v>88</v>
      </c>
      <c r="T14" s="121">
        <f>Data!T14</f>
        <v>20</v>
      </c>
      <c r="U14" s="121">
        <f>Data!U14</f>
        <v>33</v>
      </c>
      <c r="V14" s="121">
        <f>Data!V14</f>
        <v>42</v>
      </c>
      <c r="W14" s="121">
        <f>Data!W14</f>
        <v>51</v>
      </c>
      <c r="X14" s="120">
        <f t="shared" si="2"/>
        <v>146</v>
      </c>
      <c r="Y14" s="121">
        <f>Data!Y14</f>
        <v>39</v>
      </c>
      <c r="Z14" s="121">
        <f>Data!Z14</f>
        <v>50</v>
      </c>
      <c r="AA14" s="121">
        <f>Data!AA14</f>
        <v>11</v>
      </c>
      <c r="AB14" s="121">
        <f>Data!AB14</f>
        <v>88</v>
      </c>
      <c r="AC14" s="120">
        <f t="shared" si="3"/>
        <v>188</v>
      </c>
      <c r="AD14" s="121">
        <f>Data!AD14</f>
        <v>58</v>
      </c>
      <c r="AE14" s="121">
        <f>Data!AE14</f>
        <v>65</v>
      </c>
      <c r="AF14" s="121">
        <f>Data!AF14</f>
        <v>72</v>
      </c>
      <c r="AG14" s="121">
        <f>Data!AG14</f>
        <v>46</v>
      </c>
      <c r="AH14" s="120">
        <f t="shared" si="4"/>
        <v>241</v>
      </c>
      <c r="AI14" s="121">
        <f>Data!AI14</f>
        <v>32</v>
      </c>
      <c r="AJ14" s="121">
        <f>Data!AJ14</f>
        <v>70</v>
      </c>
      <c r="AK14" s="121">
        <f>Data!AK14</f>
        <v>84</v>
      </c>
      <c r="AL14" s="121">
        <f>Data!AL14</f>
        <v>63</v>
      </c>
      <c r="AM14" s="120">
        <f t="shared" si="6"/>
        <v>249</v>
      </c>
      <c r="AN14" s="121">
        <f>Data!AN14</f>
        <v>59</v>
      </c>
      <c r="AO14" s="121">
        <f>Data!AO14</f>
        <v>54</v>
      </c>
      <c r="AP14" s="121">
        <f>Data!AP14</f>
        <v>74</v>
      </c>
      <c r="AQ14" s="121">
        <f>Data!AQ14</f>
        <v>80</v>
      </c>
      <c r="AR14" s="120">
        <f t="shared" si="7"/>
        <v>267</v>
      </c>
      <c r="AS14" s="121">
        <f>Data!AS14</f>
        <v>62</v>
      </c>
      <c r="AT14" s="121">
        <f>Data!AT14</f>
        <v>88</v>
      </c>
      <c r="AU14" s="121">
        <f>Data!AU14</f>
        <v>52</v>
      </c>
      <c r="AV14" s="121">
        <f>Data!AV14</f>
        <v>76</v>
      </c>
      <c r="AW14" s="120">
        <f t="shared" si="8"/>
        <v>278</v>
      </c>
      <c r="AX14" s="121">
        <f>Data!AX14</f>
        <v>46</v>
      </c>
      <c r="AY14" s="121">
        <f>Data!AY14</f>
        <v>45</v>
      </c>
      <c r="AZ14" s="121">
        <f>Data!AZ14</f>
        <v>120</v>
      </c>
      <c r="BA14" s="121">
        <f>Data!BA14</f>
        <v>57</v>
      </c>
      <c r="BB14" s="120">
        <f t="shared" si="9"/>
        <v>268</v>
      </c>
      <c r="BC14" s="121">
        <f>Data!BC14</f>
        <v>45</v>
      </c>
      <c r="BD14" s="121">
        <f>Data!BD14</f>
        <v>43</v>
      </c>
      <c r="BE14" s="121">
        <f>Data!BE14</f>
        <v>59</v>
      </c>
      <c r="BF14" s="121">
        <f>Data!BF14</f>
        <v>67</v>
      </c>
      <c r="BG14" s="120">
        <f t="shared" si="10"/>
        <v>214</v>
      </c>
      <c r="BH14" s="121">
        <f>Data!BH14</f>
        <v>59</v>
      </c>
      <c r="BI14" s="121">
        <f>Data!BI14</f>
        <v>61</v>
      </c>
      <c r="BJ14" s="121">
        <f>Data!BJ14</f>
        <v>92</v>
      </c>
      <c r="BK14" s="121">
        <f>Data!BK14</f>
        <v>75</v>
      </c>
      <c r="BL14" s="120">
        <f t="shared" si="11"/>
        <v>287</v>
      </c>
      <c r="BM14" s="121">
        <f>Data!BM14</f>
        <v>79</v>
      </c>
      <c r="BN14" s="121">
        <f>Data!BN14</f>
        <v>50</v>
      </c>
      <c r="BO14" s="121">
        <f>Data!BO14</f>
        <v>78</v>
      </c>
      <c r="BP14" s="121">
        <f>Data!BP14</f>
        <v>67</v>
      </c>
      <c r="BQ14" s="120">
        <f t="shared" si="12"/>
        <v>274</v>
      </c>
      <c r="BR14" s="121">
        <f>Data!BR14</f>
        <v>54</v>
      </c>
      <c r="BS14" s="121">
        <f>Data!BS14</f>
        <v>97</v>
      </c>
      <c r="BT14" s="121">
        <f>Data!BT14</f>
        <v>69</v>
      </c>
      <c r="BU14" s="121">
        <f>Data!BU14</f>
        <v>83</v>
      </c>
      <c r="BV14" s="120">
        <f t="shared" si="13"/>
        <v>303</v>
      </c>
      <c r="BW14" s="121">
        <f>Data!BW14</f>
        <v>81</v>
      </c>
      <c r="BX14" s="121">
        <f>Data!BX14</f>
        <v>39</v>
      </c>
      <c r="BY14" s="121">
        <f>Data!BY14</f>
        <v>49</v>
      </c>
      <c r="BZ14" s="121">
        <f>Data!BZ14</f>
        <v>35</v>
      </c>
      <c r="CA14" s="120">
        <f t="shared" si="14"/>
        <v>204</v>
      </c>
      <c r="CB14" s="121">
        <f>Data!CB14</f>
        <v>74</v>
      </c>
      <c r="CC14" s="121">
        <f>Data!CC14</f>
        <v>6</v>
      </c>
      <c r="CD14" s="121">
        <f>Data!CD14</f>
        <v>32</v>
      </c>
      <c r="CE14" s="121">
        <f>Data!CE14</f>
        <v>-1</v>
      </c>
      <c r="CF14" s="120">
        <f t="shared" si="28"/>
        <v>111</v>
      </c>
      <c r="CG14" s="121">
        <f>Data!CG14</f>
        <v>20</v>
      </c>
      <c r="CH14" s="121">
        <f>Data!CH14</f>
        <v>-15</v>
      </c>
      <c r="CI14" s="121">
        <f>Data!CI14</f>
        <v>-8</v>
      </c>
      <c r="CJ14" s="121">
        <f>Data!CJ14</f>
        <v>-1</v>
      </c>
      <c r="CK14" s="120">
        <f t="shared" si="29"/>
        <v>-4</v>
      </c>
      <c r="CL14" s="121">
        <f>Data!CL14</f>
        <v>-2</v>
      </c>
      <c r="CM14" s="121">
        <f>Data!CM14</f>
        <v>-45</v>
      </c>
      <c r="CN14" s="121">
        <f>Data!CN14</f>
        <v>-14</v>
      </c>
      <c r="CO14" s="121">
        <f>Data!CO14</f>
        <v>70</v>
      </c>
      <c r="CP14" s="120">
        <f t="shared" si="30"/>
        <v>9</v>
      </c>
      <c r="CQ14" s="121">
        <f>Data!CQ14</f>
        <v>37</v>
      </c>
      <c r="CR14" s="121">
        <f>Data!CR14</f>
        <v>38</v>
      </c>
      <c r="CS14" s="121">
        <f>Data!CS14</f>
        <v>120</v>
      </c>
      <c r="CT14" s="121">
        <f>Data!CT14</f>
        <v>15</v>
      </c>
      <c r="CU14" s="120">
        <f t="shared" si="31"/>
        <v>210</v>
      </c>
      <c r="CV14" s="121">
        <f>Data!CV14</f>
        <v>-20</v>
      </c>
      <c r="CW14" s="121">
        <f>Data!CW14</f>
        <v>17</v>
      </c>
      <c r="CX14" s="121">
        <f>Data!CX14</f>
        <v>-24</v>
      </c>
      <c r="CY14" s="121">
        <f>Data!CY14</f>
        <v>11</v>
      </c>
      <c r="CZ14" s="120">
        <f t="shared" si="32"/>
        <v>-16</v>
      </c>
      <c r="DA14" s="121">
        <f>Data!DA14</f>
        <v>-27</v>
      </c>
      <c r="DB14" s="121">
        <f>Data!DB14</f>
        <v>44</v>
      </c>
      <c r="DC14" s="121">
        <f>Data!DC14</f>
        <v>28</v>
      </c>
      <c r="DD14" s="121">
        <f>Data!DD14</f>
        <v>1</v>
      </c>
      <c r="DE14" s="120">
        <f t="shared" si="33"/>
        <v>46</v>
      </c>
      <c r="DF14" s="121">
        <f>Data!DF14</f>
        <v>67</v>
      </c>
      <c r="DG14" s="121">
        <f>Data!DG14</f>
        <v>7</v>
      </c>
      <c r="DH14" s="121">
        <f>Data!DH14</f>
        <v>-15</v>
      </c>
      <c r="DI14" s="121">
        <f>Data!DI14</f>
        <v>12</v>
      </c>
      <c r="DJ14" s="120">
        <f t="shared" si="34"/>
        <v>71</v>
      </c>
      <c r="DK14" s="121">
        <f>Data!DK14</f>
        <v>3</v>
      </c>
      <c r="DL14" s="121">
        <f>Data!DL14</f>
        <v>25</v>
      </c>
      <c r="DM14" s="121">
        <f>Data!DM14</f>
        <v>14</v>
      </c>
      <c r="DN14" s="121">
        <f>Data!DN14</f>
        <v>-17</v>
      </c>
      <c r="DO14" s="120">
        <f t="shared" si="35"/>
        <v>25</v>
      </c>
      <c r="DP14" s="121">
        <f>Data!DP14</f>
        <v>-10</v>
      </c>
      <c r="DQ14" s="121">
        <f>Data!DQ14</f>
        <v>24</v>
      </c>
      <c r="DR14" s="122">
        <v>20</v>
      </c>
      <c r="DS14" s="122">
        <v>20</v>
      </c>
      <c r="DT14" s="120">
        <f t="shared" si="37"/>
        <v>54</v>
      </c>
      <c r="DU14" s="122">
        <v>20</v>
      </c>
      <c r="DV14" s="122">
        <v>20</v>
      </c>
      <c r="DW14" s="122">
        <v>20</v>
      </c>
      <c r="DX14" s="122">
        <v>20</v>
      </c>
      <c r="DY14" s="120">
        <f t="shared" si="39"/>
        <v>80</v>
      </c>
      <c r="DZ14" s="123">
        <v>80</v>
      </c>
      <c r="EA14" s="123">
        <v>80</v>
      </c>
      <c r="EB14" s="123">
        <v>80</v>
      </c>
    </row>
    <row r="15" spans="1:132" s="241" customFormat="1" ht="12" customHeight="1">
      <c r="B15" s="241" t="s">
        <v>33</v>
      </c>
      <c r="C15" s="120">
        <f>Data!C15</f>
        <v>-2187</v>
      </c>
      <c r="D15" s="120">
        <f>Data!D15</f>
        <v>-1993</v>
      </c>
      <c r="E15" s="120">
        <f>Data!E15</f>
        <v>-2044</v>
      </c>
      <c r="F15" s="120">
        <f>Data!F15</f>
        <v>-2335</v>
      </c>
      <c r="G15" s="120">
        <f>Data!G15</f>
        <v>-2389</v>
      </c>
      <c r="H15" s="120">
        <f>Data!H15</f>
        <v>-2534</v>
      </c>
      <c r="I15" s="120">
        <f>Data!I15</f>
        <v>-2768</v>
      </c>
      <c r="J15" s="121">
        <f>Data!J15</f>
        <v>-710</v>
      </c>
      <c r="K15" s="121">
        <f>Data!K15</f>
        <v>-824</v>
      </c>
      <c r="L15" s="121">
        <f>Data!L15</f>
        <v>-781</v>
      </c>
      <c r="M15" s="121">
        <f>Data!M15</f>
        <v>-766</v>
      </c>
      <c r="N15" s="120">
        <f t="shared" si="0"/>
        <v>-3081</v>
      </c>
      <c r="O15" s="121">
        <f>Data!O15</f>
        <v>-1071</v>
      </c>
      <c r="P15" s="121">
        <f>Data!P15</f>
        <v>-1057</v>
      </c>
      <c r="Q15" s="121">
        <f>Data!Q15</f>
        <v>-1172</v>
      </c>
      <c r="R15" s="121">
        <f>Data!R15</f>
        <v>-928</v>
      </c>
      <c r="S15" s="120">
        <f t="shared" si="1"/>
        <v>-4228</v>
      </c>
      <c r="T15" s="121">
        <f>Data!T15</f>
        <v>-1081</v>
      </c>
      <c r="U15" s="121">
        <f>Data!U15</f>
        <v>-1162</v>
      </c>
      <c r="V15" s="121">
        <f>Data!V15</f>
        <v>-834</v>
      </c>
      <c r="W15" s="121">
        <f>Data!W15</f>
        <v>-1094</v>
      </c>
      <c r="X15" s="120">
        <f t="shared" si="2"/>
        <v>-4171</v>
      </c>
      <c r="Y15" s="121">
        <f>Data!Y15</f>
        <v>-828</v>
      </c>
      <c r="Z15" s="121">
        <f>Data!Z15</f>
        <v>-976</v>
      </c>
      <c r="AA15" s="121">
        <f>Data!AA15</f>
        <v>-931</v>
      </c>
      <c r="AB15" s="121">
        <f>Data!AB15</f>
        <v>-796</v>
      </c>
      <c r="AC15" s="120">
        <f t="shared" si="3"/>
        <v>-3531</v>
      </c>
      <c r="AD15" s="121">
        <f>Data!AD15</f>
        <v>-775</v>
      </c>
      <c r="AE15" s="121">
        <f>Data!AE15</f>
        <v>-835</v>
      </c>
      <c r="AF15" s="121">
        <f>Data!AF15</f>
        <v>-740</v>
      </c>
      <c r="AG15" s="121">
        <f>Data!AG15</f>
        <v>-734</v>
      </c>
      <c r="AH15" s="120">
        <f t="shared" si="4"/>
        <v>-3084</v>
      </c>
      <c r="AI15" s="121">
        <f>Data!AI15</f>
        <v>-791</v>
      </c>
      <c r="AJ15" s="121">
        <f>Data!AJ15</f>
        <v>-925</v>
      </c>
      <c r="AK15" s="121">
        <f>Data!AK15</f>
        <v>-868</v>
      </c>
      <c r="AL15" s="121">
        <f>Data!AL15</f>
        <v>-780</v>
      </c>
      <c r="AM15" s="120">
        <f t="shared" si="6"/>
        <v>-3364</v>
      </c>
      <c r="AN15" s="121">
        <f>Data!AN15</f>
        <v>-953</v>
      </c>
      <c r="AO15" s="121">
        <f>Data!AO15</f>
        <v>-778</v>
      </c>
      <c r="AP15" s="121">
        <f>Data!AP15</f>
        <v>-936</v>
      </c>
      <c r="AQ15" s="121">
        <f>Data!AQ15</f>
        <v>-977</v>
      </c>
      <c r="AR15" s="120">
        <f t="shared" si="7"/>
        <v>-3644</v>
      </c>
      <c r="AS15" s="121">
        <f>Data!AS15</f>
        <v>-866</v>
      </c>
      <c r="AT15" s="121">
        <f>Data!AT15</f>
        <v>-870</v>
      </c>
      <c r="AU15" s="121">
        <f>Data!AU15</f>
        <v>-807</v>
      </c>
      <c r="AV15" s="121">
        <f>Data!AV15</f>
        <v>-865</v>
      </c>
      <c r="AW15" s="120">
        <f t="shared" si="8"/>
        <v>-3408</v>
      </c>
      <c r="AX15" s="121">
        <f>Data!AX15</f>
        <v>-955</v>
      </c>
      <c r="AY15" s="121">
        <f>Data!AY15</f>
        <v>-903</v>
      </c>
      <c r="AZ15" s="121">
        <f>Data!AZ15</f>
        <v>-916.4</v>
      </c>
      <c r="BA15" s="121">
        <f>Data!BA15</f>
        <v>-943</v>
      </c>
      <c r="BB15" s="120">
        <f t="shared" si="9"/>
        <v>-3717.4</v>
      </c>
      <c r="BC15" s="121">
        <f>Data!BC15</f>
        <v>-971</v>
      </c>
      <c r="BD15" s="121">
        <f>Data!BD15</f>
        <v>-929</v>
      </c>
      <c r="BE15" s="121">
        <f>Data!BE15</f>
        <v>-956</v>
      </c>
      <c r="BF15" s="121">
        <f>Data!BF15</f>
        <v>-1100</v>
      </c>
      <c r="BG15" s="120">
        <f t="shared" si="10"/>
        <v>-3956</v>
      </c>
      <c r="BH15" s="121">
        <f>Data!BH15</f>
        <v>-877</v>
      </c>
      <c r="BI15" s="121">
        <f>Data!BI15</f>
        <v>-918</v>
      </c>
      <c r="BJ15" s="121">
        <f>Data!BJ15</f>
        <v>-932</v>
      </c>
      <c r="BK15" s="121">
        <f>Data!BK15</f>
        <v>-1040</v>
      </c>
      <c r="BL15" s="120">
        <f t="shared" si="11"/>
        <v>-3767</v>
      </c>
      <c r="BM15" s="121">
        <f>Data!BM15</f>
        <v>-945</v>
      </c>
      <c r="BN15" s="121">
        <f>Data!BN15</f>
        <v>-760</v>
      </c>
      <c r="BO15" s="121">
        <f>Data!BO15</f>
        <v>-889</v>
      </c>
      <c r="BP15" s="121">
        <f>Data!BP15</f>
        <v>-931</v>
      </c>
      <c r="BQ15" s="120">
        <f t="shared" si="12"/>
        <v>-3525</v>
      </c>
      <c r="BR15" s="121">
        <f>Data!BR15</f>
        <v>-888</v>
      </c>
      <c r="BS15" s="121">
        <f>Data!BS15</f>
        <v>-806</v>
      </c>
      <c r="BT15" s="121">
        <f>Data!BT15</f>
        <v>-923</v>
      </c>
      <c r="BU15" s="121">
        <f>Data!BU15</f>
        <v>-999</v>
      </c>
      <c r="BV15" s="120">
        <f t="shared" si="13"/>
        <v>-3616</v>
      </c>
      <c r="BW15" s="121">
        <f>Data!BW15</f>
        <v>-929</v>
      </c>
      <c r="BX15" s="121">
        <f>Data!BX15</f>
        <v>-1043</v>
      </c>
      <c r="BY15" s="121">
        <f>Data!BY15</f>
        <v>-918</v>
      </c>
      <c r="BZ15" s="121">
        <f>Data!BZ15</f>
        <v>-1205</v>
      </c>
      <c r="CA15" s="120">
        <f t="shared" si="14"/>
        <v>-4095</v>
      </c>
      <c r="CB15" s="121">
        <f>Data!CB15</f>
        <v>-997</v>
      </c>
      <c r="CC15" s="121">
        <f>Data!CC15</f>
        <v>-1194</v>
      </c>
      <c r="CD15" s="121">
        <f>Data!CD15</f>
        <v>-1154</v>
      </c>
      <c r="CE15" s="121">
        <f>Data!CE15</f>
        <v>-1222</v>
      </c>
      <c r="CF15" s="120">
        <f t="shared" si="28"/>
        <v>-4567</v>
      </c>
      <c r="CG15" s="121">
        <f>Data!CG15</f>
        <v>-1184</v>
      </c>
      <c r="CH15" s="121">
        <f>Data!CH15</f>
        <v>-672</v>
      </c>
      <c r="CI15" s="121">
        <f>Data!CI15</f>
        <v>-1001</v>
      </c>
      <c r="CJ15" s="121">
        <f>Data!CJ15</f>
        <v>-1052</v>
      </c>
      <c r="CK15" s="120">
        <f t="shared" si="29"/>
        <v>-3909</v>
      </c>
      <c r="CL15" s="121">
        <f>Data!CL15</f>
        <v>-873</v>
      </c>
      <c r="CM15" s="121">
        <f>Data!CM15</f>
        <v>-1161</v>
      </c>
      <c r="CN15" s="121">
        <f>Data!CN15</f>
        <v>-955</v>
      </c>
      <c r="CO15" s="121">
        <f>Data!CO15</f>
        <v>-1828</v>
      </c>
      <c r="CP15" s="120">
        <f t="shared" si="30"/>
        <v>-4817</v>
      </c>
      <c r="CQ15" s="121">
        <f>Data!CQ15</f>
        <v>-1032</v>
      </c>
      <c r="CR15" s="121">
        <f>Data!CR15</f>
        <v>-1040</v>
      </c>
      <c r="CS15" s="121">
        <f>Data!CS15</f>
        <v>-1097</v>
      </c>
      <c r="CT15" s="121">
        <f>Data!CT15</f>
        <v>-988</v>
      </c>
      <c r="CU15" s="120">
        <f t="shared" si="31"/>
        <v>-4157</v>
      </c>
      <c r="CV15" s="121">
        <f>Data!CV15</f>
        <v>-863</v>
      </c>
      <c r="CW15" s="121">
        <f>Data!CW15</f>
        <v>-668</v>
      </c>
      <c r="CX15" s="121">
        <f>Data!CX15</f>
        <v>-1226</v>
      </c>
      <c r="CY15" s="121">
        <f>Data!CY15</f>
        <v>-1430</v>
      </c>
      <c r="CZ15" s="120">
        <f t="shared" si="32"/>
        <v>-4187</v>
      </c>
      <c r="DA15" s="121">
        <f>Data!DA15</f>
        <v>-1304</v>
      </c>
      <c r="DB15" s="121">
        <f>Data!DB15</f>
        <v>-1286</v>
      </c>
      <c r="DC15" s="121">
        <f>Data!DC15</f>
        <v>-1043</v>
      </c>
      <c r="DD15" s="121">
        <f>Data!DD15</f>
        <v>-1535</v>
      </c>
      <c r="DE15" s="120">
        <f t="shared" si="33"/>
        <v>-5168</v>
      </c>
      <c r="DF15" s="121">
        <f>Data!DF15</f>
        <v>-1161</v>
      </c>
      <c r="DG15" s="121">
        <f>Data!DG15</f>
        <v>-1377</v>
      </c>
      <c r="DH15" s="121">
        <f>Data!DH15</f>
        <v>-1085</v>
      </c>
      <c r="DI15" s="121">
        <f>Data!DI15</f>
        <v>-1398</v>
      </c>
      <c r="DJ15" s="120">
        <f t="shared" si="34"/>
        <v>-5021</v>
      </c>
      <c r="DK15" s="121">
        <f>Data!DK15</f>
        <v>-1112</v>
      </c>
      <c r="DL15" s="121">
        <f>Data!DL15</f>
        <v>-1793</v>
      </c>
      <c r="DM15" s="121">
        <f>Data!DM15</f>
        <v>-1522</v>
      </c>
      <c r="DN15" s="121">
        <f>Data!DN15</f>
        <v>-1663</v>
      </c>
      <c r="DO15" s="120">
        <f t="shared" si="35"/>
        <v>-6090</v>
      </c>
      <c r="DP15" s="121">
        <f>Data!DP15</f>
        <v>-1197</v>
      </c>
      <c r="DQ15" s="121">
        <f>Data!DQ15</f>
        <v>-1428</v>
      </c>
      <c r="DR15" s="124">
        <f t="shared" ref="DR15:DS15" si="42">-DR60*DR8</f>
        <v>-1214.9227911471203</v>
      </c>
      <c r="DS15" s="124">
        <f t="shared" si="42"/>
        <v>-1304.7139732079906</v>
      </c>
      <c r="DT15" s="120">
        <f t="shared" si="37"/>
        <v>-5144.6367643551112</v>
      </c>
      <c r="DU15" s="124">
        <f t="shared" ref="DU15:DX15" si="43">-DU60*DU8</f>
        <v>-1285.7801859283675</v>
      </c>
      <c r="DV15" s="124">
        <f t="shared" si="43"/>
        <v>-1383.44027376334</v>
      </c>
      <c r="DW15" s="124">
        <f t="shared" si="43"/>
        <v>-1461.1272143102929</v>
      </c>
      <c r="DX15" s="124">
        <f t="shared" si="43"/>
        <v>-1586.9847130356238</v>
      </c>
      <c r="DY15" s="120">
        <f t="shared" si="39"/>
        <v>-5717.3323870376234</v>
      </c>
      <c r="DZ15" s="125">
        <f t="shared" ref="DZ15" si="44">-DZ60*DZ8</f>
        <v>-6297.2916525235159</v>
      </c>
      <c r="EA15" s="125">
        <f t="shared" ref="EA15:EB15" si="45">-EA60*EA8</f>
        <v>-6944.5185893951393</v>
      </c>
      <c r="EB15" s="125">
        <f t="shared" si="45"/>
        <v>-7363.4597166327503</v>
      </c>
    </row>
    <row r="16" spans="1:132" s="241" customFormat="1" ht="12" customHeight="1">
      <c r="A16" s="241" t="s">
        <v>266</v>
      </c>
      <c r="B16" s="241" t="s">
        <v>34</v>
      </c>
      <c r="C16" s="120">
        <f>Data!C16</f>
        <v>-1924</v>
      </c>
      <c r="D16" s="120">
        <f>Data!D16</f>
        <v>-1895</v>
      </c>
      <c r="E16" s="120">
        <f>Data!E16</f>
        <v>-1341</v>
      </c>
      <c r="F16" s="120">
        <f>Data!F16</f>
        <v>-1441</v>
      </c>
      <c r="G16" s="120">
        <f>Data!G16</f>
        <v>-1936</v>
      </c>
      <c r="H16" s="120">
        <f>Data!H16</f>
        <v>-1639</v>
      </c>
      <c r="I16" s="120">
        <f>Data!I16</f>
        <v>-1651</v>
      </c>
      <c r="J16" s="121">
        <f>Data!J16</f>
        <v>-474</v>
      </c>
      <c r="K16" s="121">
        <f>Data!K16</f>
        <v>-522</v>
      </c>
      <c r="L16" s="121">
        <f>Data!L16</f>
        <v>-469</v>
      </c>
      <c r="M16" s="121">
        <f>Data!M16</f>
        <v>-414</v>
      </c>
      <c r="N16" s="120">
        <f t="shared" si="0"/>
        <v>-1879</v>
      </c>
      <c r="O16" s="121">
        <f>Data!O16</f>
        <v>-492</v>
      </c>
      <c r="P16" s="121">
        <f>Data!P16</f>
        <v>-591</v>
      </c>
      <c r="Q16" s="121">
        <f>Data!Q16</f>
        <v>-521</v>
      </c>
      <c r="R16" s="121">
        <f>Data!R16</f>
        <v>-601</v>
      </c>
      <c r="S16" s="120">
        <f t="shared" si="1"/>
        <v>-2205</v>
      </c>
      <c r="T16" s="121">
        <f>Data!T16</f>
        <v>-748</v>
      </c>
      <c r="U16" s="121">
        <f>Data!U16</f>
        <v>-739</v>
      </c>
      <c r="V16" s="121">
        <f>Data!V16</f>
        <v>-833</v>
      </c>
      <c r="W16" s="121">
        <f>Data!W16</f>
        <v>-937</v>
      </c>
      <c r="X16" s="120">
        <f t="shared" si="2"/>
        <v>-3257</v>
      </c>
      <c r="Y16" s="121">
        <f>Data!Y16</f>
        <v>-999</v>
      </c>
      <c r="Z16" s="121">
        <f>Data!Z16</f>
        <v>-989</v>
      </c>
      <c r="AA16" s="121">
        <f>Data!AA16</f>
        <v>-869</v>
      </c>
      <c r="AB16" s="121">
        <f>Data!AB16</f>
        <v>-993</v>
      </c>
      <c r="AC16" s="120">
        <f t="shared" si="3"/>
        <v>-3850</v>
      </c>
      <c r="AD16" s="121">
        <f>Data!AD16</f>
        <v>-869</v>
      </c>
      <c r="AE16" s="121">
        <f>Data!AE16</f>
        <v>-1005</v>
      </c>
      <c r="AF16" s="121">
        <f>Data!AF16</f>
        <v>-937</v>
      </c>
      <c r="AG16" s="121">
        <f>Data!AG16</f>
        <v>-957</v>
      </c>
      <c r="AH16" s="120">
        <f t="shared" si="4"/>
        <v>-3768</v>
      </c>
      <c r="AI16" s="121">
        <f>Data!AI16</f>
        <v>-970</v>
      </c>
      <c r="AJ16" s="121">
        <f>Data!AJ16</f>
        <v>-960</v>
      </c>
      <c r="AK16" s="121">
        <f>Data!AK16</f>
        <v>-3574</v>
      </c>
      <c r="AL16" s="121">
        <f>Data!AL16</f>
        <v>-1002</v>
      </c>
      <c r="AM16" s="120">
        <f t="shared" si="6"/>
        <v>-6506</v>
      </c>
      <c r="AN16" s="121">
        <f>Data!AN16</f>
        <v>-1000</v>
      </c>
      <c r="AO16" s="121">
        <f>Data!AO16</f>
        <v>-1001</v>
      </c>
      <c r="AP16" s="121">
        <f>Data!AP16</f>
        <v>-986</v>
      </c>
      <c r="AQ16" s="121">
        <f>Data!AQ16</f>
        <v>-1134</v>
      </c>
      <c r="AR16" s="120">
        <f t="shared" si="7"/>
        <v>-4121</v>
      </c>
      <c r="AS16" s="121">
        <f>Data!AS16</f>
        <v>-1057</v>
      </c>
      <c r="AT16" s="121">
        <f>Data!AT16</f>
        <v>-1047</v>
      </c>
      <c r="AU16" s="121">
        <f>Data!AU16</f>
        <v>-901</v>
      </c>
      <c r="AV16" s="121">
        <f>Data!AV16</f>
        <v>-913</v>
      </c>
      <c r="AW16" s="120">
        <f t="shared" si="8"/>
        <v>-3918</v>
      </c>
      <c r="AX16" s="121">
        <f>Data!AX16</f>
        <v>-835</v>
      </c>
      <c r="AY16" s="121">
        <f>Data!AY16</f>
        <v>-857</v>
      </c>
      <c r="AZ16" s="121">
        <f>Data!AZ16</f>
        <v>-853.4</v>
      </c>
      <c r="BA16" s="121">
        <f>Data!BA16</f>
        <v>-753</v>
      </c>
      <c r="BB16" s="120">
        <f t="shared" si="9"/>
        <v>-3298.4</v>
      </c>
      <c r="BC16" s="121">
        <f>Data!BC16</f>
        <v>-705</v>
      </c>
      <c r="BD16" s="121">
        <f>Data!BD16</f>
        <v>-763</v>
      </c>
      <c r="BE16" s="121">
        <f>Data!BE16</f>
        <v>-755</v>
      </c>
      <c r="BF16" s="121">
        <f>Data!BF16</f>
        <v>-848</v>
      </c>
      <c r="BG16" s="120">
        <f t="shared" si="10"/>
        <v>-3071</v>
      </c>
      <c r="BH16" s="121">
        <f>Data!BH16</f>
        <v>-809</v>
      </c>
      <c r="BI16" s="121">
        <f>Data!BI16</f>
        <v>-733</v>
      </c>
      <c r="BJ16" s="121">
        <f>Data!BJ16</f>
        <v>-750</v>
      </c>
      <c r="BK16" s="121">
        <f>Data!BK16</f>
        <v>-755</v>
      </c>
      <c r="BL16" s="120">
        <f t="shared" si="11"/>
        <v>-3047</v>
      </c>
      <c r="BM16" s="121">
        <f>Data!BM16</f>
        <v>-769</v>
      </c>
      <c r="BN16" s="121">
        <f>Data!BN16</f>
        <v>-800</v>
      </c>
      <c r="BO16" s="121">
        <f>Data!BO16</f>
        <v>-857</v>
      </c>
      <c r="BP16" s="121">
        <f>Data!BP16</f>
        <v>-905</v>
      </c>
      <c r="BQ16" s="120">
        <f t="shared" si="12"/>
        <v>-3331</v>
      </c>
      <c r="BR16" s="121">
        <f>Data!BR16</f>
        <v>-917</v>
      </c>
      <c r="BS16" s="121">
        <f>Data!BS16</f>
        <v>-2127</v>
      </c>
      <c r="BT16" s="121">
        <f>Data!BT16</f>
        <v>-857</v>
      </c>
      <c r="BU16" s="121">
        <f>Data!BU16</f>
        <v>-726</v>
      </c>
      <c r="BV16" s="120">
        <f t="shared" si="13"/>
        <v>-4627</v>
      </c>
      <c r="BW16" s="121">
        <f>Data!BW16</f>
        <v>-836</v>
      </c>
      <c r="BX16" s="121">
        <f>Data!BX16</f>
        <v>-813</v>
      </c>
      <c r="BY16" s="121">
        <f>Data!BY16</f>
        <v>-768</v>
      </c>
      <c r="BZ16" s="121">
        <f>Data!BZ16</f>
        <v>-762</v>
      </c>
      <c r="CA16" s="120">
        <f>SUM(BW16:BZ16)</f>
        <v>-3179</v>
      </c>
      <c r="CB16" s="121">
        <f>Data!CB16</f>
        <v>-764</v>
      </c>
      <c r="CC16" s="121">
        <f>Data!CC16</f>
        <v>-827</v>
      </c>
      <c r="CD16" s="121">
        <f>Data!CD16</f>
        <v>-826</v>
      </c>
      <c r="CE16" s="121">
        <f>Data!CE16</f>
        <v>-852</v>
      </c>
      <c r="CF16" s="120">
        <f>SUM(CB16:CE16)</f>
        <v>-3269</v>
      </c>
      <c r="CG16" s="121">
        <f>Data!CG16</f>
        <v>-866</v>
      </c>
      <c r="CH16" s="121">
        <f>Data!CH16</f>
        <v>-826</v>
      </c>
      <c r="CI16" s="121">
        <f>Data!CI16</f>
        <v>-778</v>
      </c>
      <c r="CJ16" s="121">
        <f>Data!CJ16</f>
        <v>-749</v>
      </c>
      <c r="CK16" s="120">
        <f>SUM(CG16:CJ16)</f>
        <v>-3219</v>
      </c>
      <c r="CL16" s="121">
        <f>Data!CL16</f>
        <v>-672</v>
      </c>
      <c r="CM16" s="121">
        <f>Data!CM16</f>
        <v>-625</v>
      </c>
      <c r="CN16" s="121">
        <f>Data!CN16</f>
        <v>-574</v>
      </c>
      <c r="CO16" s="121">
        <f>Data!CO16</f>
        <v>-605</v>
      </c>
      <c r="CP16" s="120">
        <f>SUM(CL16:CO16)</f>
        <v>-2476</v>
      </c>
      <c r="CQ16" s="121">
        <f>Data!CQ16</f>
        <v>-499</v>
      </c>
      <c r="CR16" s="121">
        <f>Data!CR16</f>
        <v>-497</v>
      </c>
      <c r="CS16" s="121">
        <f>Data!CS16</f>
        <v>-575</v>
      </c>
      <c r="CT16" s="121">
        <f>Data!CT16</f>
        <v>-678</v>
      </c>
      <c r="CU16" s="120">
        <f>SUM(CQ16:CT16)</f>
        <v>-2249</v>
      </c>
      <c r="CV16" s="121">
        <f>Data!CV16</f>
        <v>-633</v>
      </c>
      <c r="CW16" s="121">
        <f>Data!CW16</f>
        <v>-698</v>
      </c>
      <c r="CX16" s="121">
        <f>Data!CX16</f>
        <v>-727</v>
      </c>
      <c r="CY16" s="121">
        <f>Data!CY16</f>
        <v>-794</v>
      </c>
      <c r="CZ16" s="120">
        <f>SUM(CV16:CY16)</f>
        <v>-2852</v>
      </c>
      <c r="DA16" s="121">
        <f>Data!DA16</f>
        <v>-741</v>
      </c>
      <c r="DB16" s="121">
        <f>Data!DB16</f>
        <v>-797</v>
      </c>
      <c r="DC16" s="121">
        <f>Data!DC16</f>
        <v>-958</v>
      </c>
      <c r="DD16" s="121">
        <f>Data!DD16</f>
        <v>-881</v>
      </c>
      <c r="DE16" s="120">
        <f>SUM(DA16:DD16)</f>
        <v>-3377</v>
      </c>
      <c r="DF16" s="121">
        <f>Data!DF16</f>
        <v>-868</v>
      </c>
      <c r="DG16" s="121">
        <f>Data!DG16</f>
        <v>-954</v>
      </c>
      <c r="DH16" s="121">
        <f>Data!DH16</f>
        <v>-1154</v>
      </c>
      <c r="DI16" s="121">
        <f>Data!DI16</f>
        <v>-836</v>
      </c>
      <c r="DJ16" s="120">
        <f>SUM(DF16:DI16)</f>
        <v>-3812</v>
      </c>
      <c r="DK16" s="121">
        <f>Data!DK16</f>
        <v>-844</v>
      </c>
      <c r="DL16" s="121">
        <f>Data!DL16</f>
        <v>-910</v>
      </c>
      <c r="DM16" s="121">
        <f>Data!DM16</f>
        <v>-897</v>
      </c>
      <c r="DN16" s="121">
        <f>Data!DN16</f>
        <v>-964</v>
      </c>
      <c r="DO16" s="120">
        <f>SUM(DK16:DN16)</f>
        <v>-3615</v>
      </c>
      <c r="DP16" s="121">
        <f>Data!DP16</f>
        <v>-903</v>
      </c>
      <c r="DQ16" s="121">
        <f>Data!DQ16</f>
        <v>-921</v>
      </c>
      <c r="DR16" s="124">
        <f t="shared" ref="DR16:DS16" si="46">-DR59*DR8</f>
        <v>-874.74440962592644</v>
      </c>
      <c r="DS16" s="124">
        <f t="shared" si="46"/>
        <v>-887.20550178143367</v>
      </c>
      <c r="DT16" s="120">
        <f>SUM(DP16:DS16)</f>
        <v>-3585.9499114073601</v>
      </c>
      <c r="DU16" s="124">
        <f t="shared" ref="DU16:DX16" si="47">-DU59*DU8</f>
        <v>-874.33052643128997</v>
      </c>
      <c r="DV16" s="124">
        <f t="shared" si="47"/>
        <v>-940.73938615907116</v>
      </c>
      <c r="DW16" s="124">
        <f t="shared" si="47"/>
        <v>-993.5665057309991</v>
      </c>
      <c r="DX16" s="124">
        <f t="shared" si="47"/>
        <v>-1079.1496048642241</v>
      </c>
      <c r="DY16" s="120">
        <f>SUM(DU16:DX16)</f>
        <v>-3887.7860231855839</v>
      </c>
      <c r="DZ16" s="125">
        <f t="shared" ref="DZ16" si="48">-DZ59*DZ8</f>
        <v>-4156.2124906655199</v>
      </c>
      <c r="EA16" s="125">
        <f t="shared" ref="EA16:EB16" si="49">-EA59*EA8</f>
        <v>-4583.3822690007919</v>
      </c>
      <c r="EB16" s="125">
        <f t="shared" si="49"/>
        <v>-4712.6142186449597</v>
      </c>
    </row>
    <row r="17" spans="2:132" s="241" customFormat="1" ht="12" customHeight="1">
      <c r="B17" s="241" t="s">
        <v>35</v>
      </c>
      <c r="C17" s="69">
        <f>Data!C17</f>
        <v>-1400</v>
      </c>
      <c r="D17" s="69">
        <f>Data!D17</f>
        <v>-153</v>
      </c>
      <c r="E17" s="69">
        <f>Data!E17</f>
        <v>-122</v>
      </c>
      <c r="F17" s="69">
        <f>Data!F17</f>
        <v>-839</v>
      </c>
      <c r="G17" s="69">
        <f>Data!G17</f>
        <v>-1292</v>
      </c>
      <c r="H17" s="69">
        <f>Data!H17</f>
        <v>-401</v>
      </c>
      <c r="I17" s="69">
        <f>Data!I17</f>
        <v>-1341</v>
      </c>
      <c r="J17" s="70">
        <f>Data!J17</f>
        <v>-119</v>
      </c>
      <c r="K17" s="70">
        <f>Data!K17</f>
        <v>-161</v>
      </c>
      <c r="L17" s="70">
        <f>Data!L17</f>
        <v>-165</v>
      </c>
      <c r="M17" s="70">
        <f>Data!M17</f>
        <v>-111</v>
      </c>
      <c r="N17" s="69">
        <f t="shared" si="0"/>
        <v>-556</v>
      </c>
      <c r="O17" s="70">
        <f>Data!O17</f>
        <v>25</v>
      </c>
      <c r="P17" s="70">
        <f>Data!P17</f>
        <v>-117</v>
      </c>
      <c r="Q17" s="70">
        <f>Data!Q17</f>
        <v>583</v>
      </c>
      <c r="R17" s="70">
        <f>Data!R17</f>
        <v>29</v>
      </c>
      <c r="S17" s="69">
        <f t="shared" si="1"/>
        <v>520</v>
      </c>
      <c r="T17" s="70">
        <f>Data!T17</f>
        <v>-2</v>
      </c>
      <c r="U17" s="70">
        <f>Data!U17</f>
        <v>6</v>
      </c>
      <c r="V17" s="70">
        <f>Data!V17</f>
        <v>-272</v>
      </c>
      <c r="W17" s="70">
        <f>Data!W17</f>
        <v>42</v>
      </c>
      <c r="X17" s="69">
        <f t="shared" si="2"/>
        <v>-226</v>
      </c>
      <c r="Y17" s="70">
        <f>Data!Y17</f>
        <v>-2</v>
      </c>
      <c r="Z17" s="70">
        <f>Data!Z17</f>
        <v>2</v>
      </c>
      <c r="AA17" s="70">
        <f>Data!AA17</f>
        <v>-22</v>
      </c>
      <c r="AB17" s="70">
        <f>Data!AB17</f>
        <v>60</v>
      </c>
      <c r="AC17" s="69">
        <f t="shared" si="3"/>
        <v>38</v>
      </c>
      <c r="AD17" s="70">
        <f>Data!AD17</f>
        <v>0</v>
      </c>
      <c r="AE17" s="70">
        <f>Data!AE17</f>
        <v>2</v>
      </c>
      <c r="AF17" s="70">
        <f>Data!AF17</f>
        <v>0</v>
      </c>
      <c r="AG17" s="70">
        <f>Data!AG17</f>
        <v>2</v>
      </c>
      <c r="AH17" s="69">
        <f t="shared" si="4"/>
        <v>4</v>
      </c>
      <c r="AI17" s="70">
        <f>Data!AI17</f>
        <v>-3</v>
      </c>
      <c r="AJ17" s="70">
        <f>Data!AJ17</f>
        <v>-3</v>
      </c>
      <c r="AK17" s="70">
        <f>Data!AK17</f>
        <v>-1</v>
      </c>
      <c r="AL17" s="70">
        <f>Data!AL17</f>
        <v>-17</v>
      </c>
      <c r="AM17" s="69">
        <f t="shared" si="6"/>
        <v>-24</v>
      </c>
      <c r="AN17" s="404">
        <f>Data!AN17</f>
        <v>-4</v>
      </c>
      <c r="AO17" s="404">
        <f>Data!AO17</f>
        <v>-1</v>
      </c>
      <c r="AP17" s="404">
        <f>Data!AP17</f>
        <v>14</v>
      </c>
      <c r="AQ17" s="404">
        <f>Data!AQ17</f>
        <v>-3</v>
      </c>
      <c r="AR17" s="69">
        <f t="shared" si="7"/>
        <v>6</v>
      </c>
      <c r="AS17" s="404">
        <f>Data!AS17</f>
        <v>0</v>
      </c>
      <c r="AT17" s="404">
        <f>Data!AT17</f>
        <v>20</v>
      </c>
      <c r="AU17" s="70">
        <f>Data!AU17</f>
        <v>0</v>
      </c>
      <c r="AV17" s="70">
        <f>Data!AV17</f>
        <v>4</v>
      </c>
      <c r="AW17" s="69">
        <f t="shared" si="8"/>
        <v>24</v>
      </c>
      <c r="AX17" s="70">
        <f>Data!AX17</f>
        <v>0</v>
      </c>
      <c r="AY17" s="70">
        <f>Data!AY17</f>
        <v>-2</v>
      </c>
      <c r="AZ17" s="70">
        <f>Data!AZ17</f>
        <v>-1</v>
      </c>
      <c r="BA17" s="70">
        <f>Data!BA17</f>
        <v>7</v>
      </c>
      <c r="BB17" s="69">
        <f t="shared" si="9"/>
        <v>4</v>
      </c>
      <c r="BC17" s="70">
        <f>Data!BC17</f>
        <v>22</v>
      </c>
      <c r="BD17" s="70">
        <f>Data!BD17</f>
        <v>0</v>
      </c>
      <c r="BE17" s="70">
        <f>Data!BE17</f>
        <v>-1</v>
      </c>
      <c r="BF17" s="70">
        <f>Data!BF17</f>
        <v>-1</v>
      </c>
      <c r="BG17" s="69">
        <f t="shared" si="10"/>
        <v>20</v>
      </c>
      <c r="BH17" s="70">
        <f>Data!BH17</f>
        <v>0</v>
      </c>
      <c r="BI17" s="70">
        <f>Data!BI17</f>
        <v>2</v>
      </c>
      <c r="BJ17" s="70">
        <f>Data!BJ17</f>
        <v>0</v>
      </c>
      <c r="BK17" s="70">
        <f>Data!BK17</f>
        <v>-12</v>
      </c>
      <c r="BL17" s="69">
        <f t="shared" si="11"/>
        <v>-10</v>
      </c>
      <c r="BM17" s="70">
        <f>Data!BM17</f>
        <v>1</v>
      </c>
      <c r="BN17" s="70">
        <f>Data!BN17</f>
        <v>0</v>
      </c>
      <c r="BO17" s="70">
        <f>Data!BO17</f>
        <v>-1</v>
      </c>
      <c r="BP17" s="70">
        <f>Data!BP17</f>
        <v>-1</v>
      </c>
      <c r="BQ17" s="69">
        <f t="shared" si="12"/>
        <v>-1</v>
      </c>
      <c r="BR17" s="70">
        <f>Data!BR17</f>
        <v>4</v>
      </c>
      <c r="BS17" s="70">
        <f>Data!BS17</f>
        <v>-13</v>
      </c>
      <c r="BT17" s="70">
        <f>Data!BT17</f>
        <v>-1</v>
      </c>
      <c r="BU17" s="70">
        <f>Data!BU17</f>
        <v>3</v>
      </c>
      <c r="BV17" s="69">
        <f t="shared" si="13"/>
        <v>-7</v>
      </c>
      <c r="BW17" s="70">
        <f>Data!BW17</f>
        <v>2</v>
      </c>
      <c r="BX17" s="70">
        <f>Data!BX17</f>
        <v>-2</v>
      </c>
      <c r="BY17" s="70">
        <f>Data!BY17</f>
        <v>0</v>
      </c>
      <c r="BZ17" s="70">
        <f>Data!BZ17</f>
        <v>21</v>
      </c>
      <c r="CA17" s="69">
        <f t="shared" ref="CA17:CA26" si="50">SUM(BW17:BZ17)</f>
        <v>21</v>
      </c>
      <c r="CB17" s="70">
        <f>Data!CB17</f>
        <v>4</v>
      </c>
      <c r="CC17" s="70">
        <f>Data!CC17</f>
        <v>3</v>
      </c>
      <c r="CD17" s="70">
        <f>Data!CD17</f>
        <v>69</v>
      </c>
      <c r="CE17" s="70">
        <f>Data!CE17</f>
        <v>-1</v>
      </c>
      <c r="CF17" s="69">
        <f t="shared" ref="CF17:CF18" si="51">SUM(CB17:CE17)</f>
        <v>75</v>
      </c>
      <c r="CG17" s="70">
        <f>Data!CG17</f>
        <v>108</v>
      </c>
      <c r="CH17" s="70">
        <f>Data!CH17</f>
        <v>192</v>
      </c>
      <c r="CI17" s="70">
        <f>Data!CI17</f>
        <v>-4</v>
      </c>
      <c r="CJ17" s="70">
        <f>Data!CJ17</f>
        <v>395</v>
      </c>
      <c r="CK17" s="69">
        <f t="shared" ref="CK17:CK18" si="52">SUM(CG17:CJ17)</f>
        <v>691</v>
      </c>
      <c r="CL17" s="70">
        <f>Data!CL17</f>
        <v>54</v>
      </c>
      <c r="CM17" s="70">
        <f>Data!CM17</f>
        <v>38</v>
      </c>
      <c r="CN17" s="70">
        <f>Data!CN17</f>
        <v>108</v>
      </c>
      <c r="CO17" s="70">
        <f>Data!CO17</f>
        <v>2</v>
      </c>
      <c r="CP17" s="69">
        <f t="shared" ref="CP17:CP18" si="53">SUM(CL17:CO17)</f>
        <v>202</v>
      </c>
      <c r="CQ17" s="70">
        <f>Data!CQ17</f>
        <v>2</v>
      </c>
      <c r="CR17" s="70">
        <f>Data!CR17</f>
        <v>112</v>
      </c>
      <c r="CS17" s="70">
        <f>Data!CS17</f>
        <v>169</v>
      </c>
      <c r="CT17" s="70">
        <f>Data!CT17</f>
        <v>-6</v>
      </c>
      <c r="CU17" s="69">
        <f t="shared" ref="CU17:CU18" si="54">SUM(CQ17:CT17)</f>
        <v>277</v>
      </c>
      <c r="CV17" s="70">
        <f>Data!CV17</f>
        <v>1</v>
      </c>
      <c r="CW17" s="70">
        <f>Data!CW17</f>
        <v>1</v>
      </c>
      <c r="CX17" s="70">
        <f>Data!CX17</f>
        <v>0</v>
      </c>
      <c r="CY17" s="70">
        <f>Data!CY17</f>
        <v>4</v>
      </c>
      <c r="CZ17" s="69">
        <f t="shared" ref="CZ17:CZ18" si="55">SUM(CV17:CY17)</f>
        <v>6</v>
      </c>
      <c r="DA17" s="70">
        <f>Data!DA17</f>
        <v>0</v>
      </c>
      <c r="DB17" s="70">
        <f>Data!DB17</f>
        <v>1</v>
      </c>
      <c r="DC17" s="70">
        <f>Data!DC17</f>
        <v>0</v>
      </c>
      <c r="DD17" s="70">
        <f>Data!DD17</f>
        <v>1</v>
      </c>
      <c r="DE17" s="69">
        <f t="shared" ref="DE17:DE18" si="56">SUM(DA17:DD17)</f>
        <v>2</v>
      </c>
      <c r="DF17" s="70">
        <f>Data!DF17</f>
        <v>0</v>
      </c>
      <c r="DG17" s="70">
        <f>Data!DG17</f>
        <v>5</v>
      </c>
      <c r="DH17" s="70">
        <f>Data!DH17</f>
        <v>0</v>
      </c>
      <c r="DI17" s="70">
        <f>Data!DI17</f>
        <v>41</v>
      </c>
      <c r="DJ17" s="69">
        <f t="shared" ref="DJ17:DJ18" si="57">SUM(DF17:DI17)</f>
        <v>46</v>
      </c>
      <c r="DK17" s="70">
        <f>Data!DK17</f>
        <v>-3</v>
      </c>
      <c r="DL17" s="70">
        <f>Data!DL17</f>
        <v>67</v>
      </c>
      <c r="DM17" s="70">
        <f>Data!DM17</f>
        <v>-1</v>
      </c>
      <c r="DN17" s="70">
        <f>Data!DN17</f>
        <v>9609</v>
      </c>
      <c r="DO17" s="69">
        <f t="shared" ref="DO17:DO18" si="58">SUM(DK17:DN17)</f>
        <v>9672</v>
      </c>
      <c r="DP17" s="70">
        <f>Data!DP17</f>
        <v>12</v>
      </c>
      <c r="DQ17" s="70">
        <f>Data!DQ17</f>
        <v>67</v>
      </c>
      <c r="DR17" s="194">
        <v>0</v>
      </c>
      <c r="DS17" s="194">
        <v>0</v>
      </c>
      <c r="DT17" s="69">
        <f t="shared" ref="DT17:DT18" si="59">SUM(DP17:DS17)</f>
        <v>79</v>
      </c>
      <c r="DU17" s="194">
        <v>0</v>
      </c>
      <c r="DV17" s="194">
        <v>0</v>
      </c>
      <c r="DW17" s="194">
        <v>0</v>
      </c>
      <c r="DX17" s="194">
        <v>0</v>
      </c>
      <c r="DY17" s="69">
        <f t="shared" ref="DY17:DY18" si="60">SUM(DU17:DX17)</f>
        <v>0</v>
      </c>
      <c r="DZ17" s="195">
        <v>0</v>
      </c>
      <c r="EA17" s="195">
        <v>0</v>
      </c>
      <c r="EB17" s="195">
        <v>0</v>
      </c>
    </row>
    <row r="18" spans="2:132" s="100" customFormat="1" ht="12" customHeight="1">
      <c r="B18" s="100" t="s">
        <v>135</v>
      </c>
      <c r="C18" s="117">
        <f>SUM(C13:C17)</f>
        <v>-355</v>
      </c>
      <c r="D18" s="117">
        <f t="shared" ref="D18:AN18" si="61">SUM(D13:D17)</f>
        <v>1567</v>
      </c>
      <c r="E18" s="117">
        <f t="shared" si="61"/>
        <v>3170</v>
      </c>
      <c r="F18" s="117">
        <f t="shared" si="61"/>
        <v>3058</v>
      </c>
      <c r="G18" s="117">
        <f t="shared" si="61"/>
        <v>3896</v>
      </c>
      <c r="H18" s="117">
        <f t="shared" si="61"/>
        <v>3868</v>
      </c>
      <c r="I18" s="117">
        <f t="shared" si="61"/>
        <v>449</v>
      </c>
      <c r="J18" s="100">
        <f t="shared" si="61"/>
        <v>838</v>
      </c>
      <c r="K18" s="100">
        <f t="shared" si="61"/>
        <v>644</v>
      </c>
      <c r="L18" s="100">
        <f t="shared" si="61"/>
        <v>511</v>
      </c>
      <c r="M18" s="100">
        <f t="shared" si="61"/>
        <v>14</v>
      </c>
      <c r="N18" s="117">
        <f t="shared" si="61"/>
        <v>2007</v>
      </c>
      <c r="O18" s="100">
        <f t="shared" si="61"/>
        <v>687</v>
      </c>
      <c r="P18" s="100">
        <f t="shared" si="61"/>
        <v>810</v>
      </c>
      <c r="Q18" s="100">
        <f t="shared" si="61"/>
        <v>763</v>
      </c>
      <c r="R18" s="100">
        <f t="shared" si="61"/>
        <v>552</v>
      </c>
      <c r="S18" s="117">
        <f t="shared" si="61"/>
        <v>2812</v>
      </c>
      <c r="T18" s="100">
        <f t="shared" si="61"/>
        <v>959</v>
      </c>
      <c r="U18" s="100">
        <f t="shared" si="61"/>
        <v>523</v>
      </c>
      <c r="V18" s="100">
        <f t="shared" si="61"/>
        <v>951</v>
      </c>
      <c r="W18" s="100">
        <f t="shared" si="61"/>
        <v>1152</v>
      </c>
      <c r="X18" s="117">
        <f t="shared" si="61"/>
        <v>3585</v>
      </c>
      <c r="Y18" s="100">
        <f t="shared" si="61"/>
        <v>1309</v>
      </c>
      <c r="Z18" s="100">
        <f t="shared" si="61"/>
        <v>1506</v>
      </c>
      <c r="AA18" s="100">
        <f t="shared" si="61"/>
        <v>1499</v>
      </c>
      <c r="AB18" s="100">
        <f t="shared" si="61"/>
        <v>1516</v>
      </c>
      <c r="AC18" s="117">
        <f t="shared" si="61"/>
        <v>5830</v>
      </c>
      <c r="AD18" s="100">
        <f t="shared" si="61"/>
        <v>1799</v>
      </c>
      <c r="AE18" s="100">
        <f t="shared" si="61"/>
        <v>1247</v>
      </c>
      <c r="AF18" s="100">
        <f t="shared" si="61"/>
        <v>1147</v>
      </c>
      <c r="AG18" s="100">
        <f t="shared" si="61"/>
        <v>-243</v>
      </c>
      <c r="AH18" s="117">
        <f t="shared" si="61"/>
        <v>3950</v>
      </c>
      <c r="AI18" s="100">
        <f t="shared" si="61"/>
        <v>1025</v>
      </c>
      <c r="AJ18" s="100">
        <f t="shared" si="61"/>
        <v>1529</v>
      </c>
      <c r="AK18" s="100">
        <f t="shared" si="61"/>
        <v>-2151</v>
      </c>
      <c r="AL18" s="100">
        <f t="shared" si="61"/>
        <v>1693</v>
      </c>
      <c r="AM18" s="117">
        <f t="shared" si="61"/>
        <v>2096</v>
      </c>
      <c r="AN18" s="100">
        <f t="shared" si="61"/>
        <v>1174</v>
      </c>
      <c r="AO18" s="100">
        <f>SUM(AO13:AO17)</f>
        <v>1307</v>
      </c>
      <c r="AP18" s="100">
        <f>SUM(AP13:AP17)</f>
        <v>1387</v>
      </c>
      <c r="AQ18" s="100">
        <f>SUM(AQ13:AQ17)</f>
        <v>1103</v>
      </c>
      <c r="AR18" s="117">
        <f t="shared" si="7"/>
        <v>4971</v>
      </c>
      <c r="AS18" s="100">
        <f>SUM(AS13:AS17)</f>
        <v>1000</v>
      </c>
      <c r="AT18" s="100">
        <f>SUM(AT13:AT17)</f>
        <v>1534</v>
      </c>
      <c r="AU18" s="74">
        <f>SUM(AU13:AU17)</f>
        <v>1714</v>
      </c>
      <c r="AV18" s="74">
        <f>SUM(AV13:AV17)</f>
        <v>1596</v>
      </c>
      <c r="AW18" s="117">
        <f t="shared" si="8"/>
        <v>5844</v>
      </c>
      <c r="AX18" s="74">
        <f>SUM(AX13:AX17)</f>
        <v>1570</v>
      </c>
      <c r="AY18" s="74">
        <f>SUM(AY13:AY17)</f>
        <v>1548</v>
      </c>
      <c r="AZ18" s="74">
        <f>SUM(AZ13:AZ17)</f>
        <v>1563.1999999999998</v>
      </c>
      <c r="BA18" s="74">
        <f>SUM(BA13:BA17)</f>
        <v>1629</v>
      </c>
      <c r="BB18" s="117">
        <f t="shared" si="9"/>
        <v>6310.2</v>
      </c>
      <c r="BC18" s="74">
        <f>SUM(BC13:BC17)</f>
        <v>1528</v>
      </c>
      <c r="BD18" s="74">
        <f>SUM(BD13:BD17)</f>
        <v>1716</v>
      </c>
      <c r="BE18" s="74">
        <f>SUM(BE13:BE17)</f>
        <v>1803</v>
      </c>
      <c r="BF18" s="74">
        <f>SUM(BF13:BF17)</f>
        <v>1515.4000000000015</v>
      </c>
      <c r="BG18" s="193">
        <f t="shared" si="10"/>
        <v>6562.4000000000015</v>
      </c>
      <c r="BH18" s="74">
        <f>SUM(BH13:BH17)</f>
        <v>1542</v>
      </c>
      <c r="BI18" s="74">
        <f>SUM(BI13:BI17)</f>
        <v>1787</v>
      </c>
      <c r="BJ18" s="74">
        <f>SUM(BJ13:BJ17)</f>
        <v>2119</v>
      </c>
      <c r="BK18" s="74">
        <f>SUM(BK13:BK17)</f>
        <v>2025</v>
      </c>
      <c r="BL18" s="193">
        <f t="shared" si="11"/>
        <v>7473</v>
      </c>
      <c r="BM18" s="74">
        <f>SUM(BM13:BM17)</f>
        <v>2019</v>
      </c>
      <c r="BN18" s="74">
        <f>SUM(BN13:BN17)</f>
        <v>1683</v>
      </c>
      <c r="BO18" s="74">
        <f>SUM(BO13:BO17)</f>
        <v>2580</v>
      </c>
      <c r="BP18" s="74">
        <f>SUM(BP13:BP17)</f>
        <v>1161</v>
      </c>
      <c r="BQ18" s="193">
        <f t="shared" si="12"/>
        <v>7443</v>
      </c>
      <c r="BR18" s="74">
        <f>SUM(BR13:BR17)</f>
        <v>1788</v>
      </c>
      <c r="BS18" s="74">
        <f>SUM(BS13:BS17)</f>
        <v>-419</v>
      </c>
      <c r="BT18" s="74">
        <f>SUM(BT13:BT17)</f>
        <v>2282</v>
      </c>
      <c r="BU18" s="74">
        <f>SUM(BU13:BU17)</f>
        <v>2183</v>
      </c>
      <c r="BV18" s="193">
        <f t="shared" si="13"/>
        <v>5834</v>
      </c>
      <c r="BW18" s="74">
        <f>SUM(BW13:BW17)</f>
        <v>2206</v>
      </c>
      <c r="BX18" s="74">
        <f>SUM(BX13:BX17)</f>
        <v>2530</v>
      </c>
      <c r="BY18" s="74">
        <f>SUM(BY13:BY17)</f>
        <v>2630</v>
      </c>
      <c r="BZ18" s="74">
        <f>SUM(BZ13:BZ17)</f>
        <v>2978</v>
      </c>
      <c r="CA18" s="193">
        <f t="shared" si="50"/>
        <v>10344</v>
      </c>
      <c r="CB18" s="74">
        <f>SUM(CB13:CB17)</f>
        <v>2875</v>
      </c>
      <c r="CC18" s="74">
        <f>SUM(CC13:CC17)</f>
        <v>2710</v>
      </c>
      <c r="CD18" s="74">
        <f>SUM(CD13:CD17)</f>
        <v>2227</v>
      </c>
      <c r="CE18" s="74">
        <f>SUM(CE13:CE17)</f>
        <v>4175</v>
      </c>
      <c r="CF18" s="193">
        <f t="shared" si="51"/>
        <v>11987</v>
      </c>
      <c r="CG18" s="74">
        <f>SUM(CG13:CG17)</f>
        <v>2350</v>
      </c>
      <c r="CH18" s="74">
        <f>SUM(CH13:CH17)</f>
        <v>-3380</v>
      </c>
      <c r="CI18" s="74">
        <f>SUM(CI13:CI17)</f>
        <v>1259</v>
      </c>
      <c r="CJ18" s="74">
        <f>SUM(CJ13:CJ17)</f>
        <v>-2204</v>
      </c>
      <c r="CK18" s="193">
        <f t="shared" si="52"/>
        <v>-1975</v>
      </c>
      <c r="CL18" s="74">
        <f>SUM(CL13:CL17)</f>
        <v>-1353</v>
      </c>
      <c r="CM18" s="74">
        <f>SUM(CM13:CM17)</f>
        <v>-2964</v>
      </c>
      <c r="CN18" s="74">
        <f>SUM(CN13:CN17)</f>
        <v>-401</v>
      </c>
      <c r="CO18" s="74">
        <f>SUM(CO13:CO17)</f>
        <v>-8049</v>
      </c>
      <c r="CP18" s="193">
        <f t="shared" si="53"/>
        <v>-12767</v>
      </c>
      <c r="CQ18" s="74">
        <f>SUM(CQ13:CQ17)</f>
        <v>-83</v>
      </c>
      <c r="CR18" s="74">
        <f>SUM(CR13:CR17)</f>
        <v>1023</v>
      </c>
      <c r="CS18" s="74">
        <f>SUM(CS13:CS17)</f>
        <v>329</v>
      </c>
      <c r="CT18" s="74">
        <f>SUM(CT13:CT17)</f>
        <v>-4171</v>
      </c>
      <c r="CU18" s="193">
        <f t="shared" si="54"/>
        <v>-2902</v>
      </c>
      <c r="CV18" s="74">
        <f>SUM(CV13:CV17)</f>
        <v>-1169</v>
      </c>
      <c r="CW18" s="74">
        <f>SUM(CW13:CW17)</f>
        <v>774</v>
      </c>
      <c r="CX18" s="74">
        <f>SUM(CX13:CX17)</f>
        <v>-2799</v>
      </c>
      <c r="CY18" s="74">
        <f>SUM(CY13:CY17)</f>
        <v>-353</v>
      </c>
      <c r="CZ18" s="193">
        <f t="shared" si="55"/>
        <v>-3547</v>
      </c>
      <c r="DA18" s="74">
        <f>SUM(DA13:DA17)</f>
        <v>-149</v>
      </c>
      <c r="DB18" s="74">
        <f>SUM(DB13:DB17)</f>
        <v>-99</v>
      </c>
      <c r="DC18" s="74">
        <f>SUM(DC13:DC17)</f>
        <v>-808</v>
      </c>
      <c r="DD18" s="74">
        <f>SUM(DD13:DD17)</f>
        <v>283</v>
      </c>
      <c r="DE18" s="193">
        <f t="shared" si="56"/>
        <v>-773</v>
      </c>
      <c r="DF18" s="74">
        <f>SUM(DF13:DF17)</f>
        <v>-86</v>
      </c>
      <c r="DG18" s="74">
        <f>SUM(DG13:DG17)</f>
        <v>-1090</v>
      </c>
      <c r="DH18" s="74">
        <f>SUM(DH13:DH17)</f>
        <v>-5761</v>
      </c>
      <c r="DI18" s="74">
        <f>SUM(DI13:DI17)</f>
        <v>-3770</v>
      </c>
      <c r="DJ18" s="193">
        <f t="shared" si="57"/>
        <v>-10707</v>
      </c>
      <c r="DK18" s="74">
        <f>SUM(DK13:DK17)</f>
        <v>461</v>
      </c>
      <c r="DL18" s="74">
        <f>SUM(DL13:DL17)</f>
        <v>-176</v>
      </c>
      <c r="DM18" s="74">
        <f>SUM(DM13:DM17)</f>
        <v>-4781</v>
      </c>
      <c r="DN18" s="74">
        <f>SUM(DN13:DN17)</f>
        <v>8777</v>
      </c>
      <c r="DO18" s="193">
        <f t="shared" si="58"/>
        <v>4281</v>
      </c>
      <c r="DP18" s="74">
        <f>SUM(DP13:DP17)</f>
        <v>448</v>
      </c>
      <c r="DQ18" s="74">
        <f>SUM(DQ13:DQ17)</f>
        <v>156</v>
      </c>
      <c r="DR18" s="118">
        <f>SEG!DR188</f>
        <v>550.64043329499634</v>
      </c>
      <c r="DS18" s="118">
        <f>SEG!DS188</f>
        <v>977.35926003640907</v>
      </c>
      <c r="DT18" s="193">
        <f t="shared" si="59"/>
        <v>2131.9996933314055</v>
      </c>
      <c r="DU18" s="118">
        <f>SEG!DU188</f>
        <v>608.33830596295297</v>
      </c>
      <c r="DV18" s="118">
        <f>SEG!DV188</f>
        <v>1295.6993839569343</v>
      </c>
      <c r="DW18" s="118">
        <f>SEG!DW188</f>
        <v>1818.3720660848696</v>
      </c>
      <c r="DX18" s="118">
        <f>SEG!DX188</f>
        <v>2245.1010469523317</v>
      </c>
      <c r="DY18" s="193">
        <f t="shared" si="60"/>
        <v>5967.5108029570883</v>
      </c>
      <c r="DZ18" s="119">
        <f>SEG!DZ188</f>
        <v>9945.4190076546329</v>
      </c>
      <c r="EA18" s="119">
        <f>SEG!EA188</f>
        <v>14141.802829262428</v>
      </c>
      <c r="EB18" s="119">
        <f>SEG!EB188</f>
        <v>18612.240652867633</v>
      </c>
    </row>
    <row r="19" spans="2:132" s="241" customFormat="1" ht="12" customHeight="1">
      <c r="B19" s="121" t="s">
        <v>592</v>
      </c>
      <c r="C19" s="120">
        <f>Data!C22</f>
        <v>428</v>
      </c>
      <c r="D19" s="120">
        <f>Data!D22</f>
        <v>283</v>
      </c>
      <c r="E19" s="120">
        <f>Data!E22</f>
        <v>585</v>
      </c>
      <c r="F19" s="120">
        <f>Data!F22</f>
        <v>386</v>
      </c>
      <c r="G19" s="120">
        <f>Data!G22</f>
        <v>318</v>
      </c>
      <c r="H19" s="120">
        <f>Data!H22</f>
        <v>42</v>
      </c>
      <c r="I19" s="120">
        <f>Data!I22</f>
        <v>459</v>
      </c>
      <c r="J19" s="121">
        <f>Data!J22</f>
        <v>159</v>
      </c>
      <c r="K19" s="121">
        <f>Data!K22</f>
        <v>66</v>
      </c>
      <c r="L19" s="121">
        <f>Data!L22</f>
        <v>17</v>
      </c>
      <c r="M19" s="121">
        <f>Data!M22</f>
        <v>46</v>
      </c>
      <c r="N19" s="120">
        <f t="shared" si="0"/>
        <v>288</v>
      </c>
      <c r="O19" s="121">
        <f>Data!O22</f>
        <v>-16</v>
      </c>
      <c r="P19" s="121">
        <f>Data!P22</f>
        <v>81</v>
      </c>
      <c r="Q19" s="121">
        <f>Data!Q22</f>
        <v>119</v>
      </c>
      <c r="R19" s="121">
        <f>Data!R22</f>
        <v>117</v>
      </c>
      <c r="S19" s="120">
        <f t="shared" si="1"/>
        <v>301</v>
      </c>
      <c r="T19" s="121">
        <f>Data!T22</f>
        <v>86</v>
      </c>
      <c r="U19" s="121">
        <f>Data!U22</f>
        <v>-465</v>
      </c>
      <c r="V19" s="121">
        <f>Data!V22</f>
        <v>104</v>
      </c>
      <c r="W19" s="121">
        <f>Data!W22</f>
        <v>124</v>
      </c>
      <c r="X19" s="120">
        <f t="shared" si="2"/>
        <v>-151</v>
      </c>
      <c r="Y19" s="121">
        <f>Data!Y22</f>
        <v>91</v>
      </c>
      <c r="Z19" s="121">
        <f>Data!Z22</f>
        <v>125</v>
      </c>
      <c r="AA19" s="121">
        <f>Data!AA22</f>
        <v>139</v>
      </c>
      <c r="AB19" s="121">
        <f>Data!AB22</f>
        <v>129</v>
      </c>
      <c r="AC19" s="120">
        <f t="shared" si="3"/>
        <v>484</v>
      </c>
      <c r="AD19" s="121">
        <f>Data!AD22</f>
        <v>100</v>
      </c>
      <c r="AE19" s="121">
        <f>Data!AE22</f>
        <v>102</v>
      </c>
      <c r="AF19" s="121">
        <f>Data!AF22</f>
        <v>55</v>
      </c>
      <c r="AG19" s="121">
        <f>Data!AG22</f>
        <v>-10</v>
      </c>
      <c r="AH19" s="120">
        <f t="shared" si="4"/>
        <v>247</v>
      </c>
      <c r="AI19" s="121">
        <f>Data!AI22</f>
        <v>-36</v>
      </c>
      <c r="AJ19" s="121">
        <f>Data!AJ22</f>
        <v>47</v>
      </c>
      <c r="AK19" s="121">
        <f>Data!AK22</f>
        <v>-4</v>
      </c>
      <c r="AL19" s="121">
        <f>Data!AL22</f>
        <v>-33</v>
      </c>
      <c r="AM19" s="120">
        <f t="shared" si="6"/>
        <v>-26</v>
      </c>
      <c r="AN19" s="121">
        <f>Data!AN22</f>
        <v>-2</v>
      </c>
      <c r="AO19" s="121">
        <f>Data!AO22</f>
        <v>35</v>
      </c>
      <c r="AP19" s="121">
        <f>Data!AP22</f>
        <v>-13</v>
      </c>
      <c r="AQ19" s="121">
        <f>Data!AQ22</f>
        <v>32</v>
      </c>
      <c r="AR19" s="120">
        <f t="shared" si="7"/>
        <v>52</v>
      </c>
      <c r="AS19" s="121">
        <f>Data!AS22</f>
        <v>13</v>
      </c>
      <c r="AT19" s="121">
        <f>Data!AT22</f>
        <v>14</v>
      </c>
      <c r="AU19" s="121">
        <f>Data!AU22</f>
        <v>49</v>
      </c>
      <c r="AV19" s="121">
        <f>Data!AV22</f>
        <v>-29</v>
      </c>
      <c r="AW19" s="120">
        <f t="shared" si="8"/>
        <v>47</v>
      </c>
      <c r="AX19" s="121">
        <f>Data!AX22</f>
        <v>12</v>
      </c>
      <c r="AY19" s="121">
        <f>Data!AY22</f>
        <v>10</v>
      </c>
      <c r="AZ19" s="121">
        <f>Data!AZ22</f>
        <v>17</v>
      </c>
      <c r="BA19" s="121">
        <f>Data!BA22</f>
        <v>23</v>
      </c>
      <c r="BB19" s="120">
        <f t="shared" si="9"/>
        <v>62</v>
      </c>
      <c r="BC19" s="121">
        <f>Data!BC22</f>
        <v>9</v>
      </c>
      <c r="BD19" s="121">
        <f>Data!BD22</f>
        <v>13</v>
      </c>
      <c r="BE19" s="121">
        <f>Data!BE22</f>
        <v>19</v>
      </c>
      <c r="BF19" s="121">
        <f>Data!BF22</f>
        <v>15</v>
      </c>
      <c r="BG19" s="120">
        <f t="shared" si="10"/>
        <v>56</v>
      </c>
      <c r="BH19" s="121">
        <f>Data!BH22</f>
        <v>9</v>
      </c>
      <c r="BI19" s="121">
        <f>Data!BI22</f>
        <v>11</v>
      </c>
      <c r="BJ19" s="121">
        <f>Data!BJ22</f>
        <v>-9</v>
      </c>
      <c r="BK19" s="121">
        <f>Data!BK22</f>
        <v>-14</v>
      </c>
      <c r="BL19" s="120">
        <f t="shared" si="11"/>
        <v>-3</v>
      </c>
      <c r="BM19" s="121">
        <f>Data!BM22</f>
        <v>-12</v>
      </c>
      <c r="BN19" s="121">
        <f>Data!BN22</f>
        <v>15</v>
      </c>
      <c r="BO19" s="121">
        <f>Data!BO22</f>
        <v>-26</v>
      </c>
      <c r="BP19" s="121">
        <f>Data!BP22</f>
        <v>10</v>
      </c>
      <c r="BQ19" s="120">
        <f t="shared" si="12"/>
        <v>-13</v>
      </c>
      <c r="BR19" s="121">
        <f>Data!BR22</f>
        <v>26</v>
      </c>
      <c r="BS19" s="121">
        <f>Data!BS22</f>
        <v>13</v>
      </c>
      <c r="BT19" s="121">
        <f>Data!BT22</f>
        <v>2</v>
      </c>
      <c r="BU19" s="121">
        <f>Data!BU22</f>
        <v>-1</v>
      </c>
      <c r="BV19" s="120">
        <f t="shared" si="13"/>
        <v>40</v>
      </c>
      <c r="BW19" s="121">
        <f>Data!BW22</f>
        <v>26</v>
      </c>
      <c r="BX19" s="121">
        <f>Data!BX22</f>
        <v>25</v>
      </c>
      <c r="BY19" s="121">
        <f>Data!BY22</f>
        <v>40</v>
      </c>
      <c r="BZ19" s="121">
        <f>Data!BZ22</f>
        <v>32</v>
      </c>
      <c r="CA19" s="120">
        <f t="shared" si="50"/>
        <v>123</v>
      </c>
      <c r="CB19" s="121">
        <f>Data!CB22</f>
        <v>66</v>
      </c>
      <c r="CC19" s="121">
        <f>Data!CC22</f>
        <v>-15</v>
      </c>
      <c r="CD19" s="121">
        <f>Data!CD22</f>
        <v>12</v>
      </c>
      <c r="CE19" s="121">
        <f>Data!CE22</f>
        <v>29</v>
      </c>
      <c r="CF19" s="120">
        <f>SUM(CB19:CE19)</f>
        <v>92</v>
      </c>
      <c r="CG19" s="121">
        <f>Data!CG22</f>
        <v>106</v>
      </c>
      <c r="CH19" s="121">
        <f>Data!CH22</f>
        <v>107</v>
      </c>
      <c r="CI19" s="121">
        <f>Data!CI22</f>
        <v>121</v>
      </c>
      <c r="CJ19" s="121">
        <f>Data!CJ22</f>
        <v>104</v>
      </c>
      <c r="CK19" s="120">
        <f>SUM(CG19:CJ19)</f>
        <v>438</v>
      </c>
      <c r="CL19" s="121">
        <f>Data!CL22</f>
        <v>112</v>
      </c>
      <c r="CM19" s="121">
        <f>Data!CM22</f>
        <v>94</v>
      </c>
      <c r="CN19" s="121">
        <f>Data!CN22</f>
        <v>119</v>
      </c>
      <c r="CO19" s="121">
        <f>Data!CO22</f>
        <v>122</v>
      </c>
      <c r="CP19" s="120">
        <f>SUM(CL19:CO19)</f>
        <v>447</v>
      </c>
      <c r="CQ19" s="121">
        <f>Data!CQ22</f>
        <v>190</v>
      </c>
      <c r="CR19" s="121">
        <f>Data!CR22</f>
        <v>199</v>
      </c>
      <c r="CS19" s="121">
        <f>Data!CS22</f>
        <v>30</v>
      </c>
      <c r="CT19" s="121">
        <f>Data!CT22</f>
        <v>132</v>
      </c>
      <c r="CU19" s="120">
        <f>SUM(CQ19:CT19)</f>
        <v>551</v>
      </c>
      <c r="CV19" s="121">
        <f>Data!CV22</f>
        <v>181</v>
      </c>
      <c r="CW19" s="121">
        <f>Data!CW22</f>
        <v>253</v>
      </c>
      <c r="CX19" s="121">
        <f>Data!CX22</f>
        <v>288</v>
      </c>
      <c r="CY19" s="121">
        <f>Data!CY22</f>
        <v>336</v>
      </c>
      <c r="CZ19" s="120">
        <f>SUM(CV19:CY19)</f>
        <v>1058</v>
      </c>
      <c r="DA19" s="121">
        <f>Data!DA22</f>
        <v>302</v>
      </c>
      <c r="DB19" s="121">
        <f>Data!DB22</f>
        <v>320</v>
      </c>
      <c r="DC19" s="121">
        <f>Data!DC22</f>
        <v>297</v>
      </c>
      <c r="DD19" s="121">
        <f>Data!DD22</f>
        <v>308</v>
      </c>
      <c r="DE19" s="120">
        <f>SUM(DA19:DD19)</f>
        <v>1227</v>
      </c>
      <c r="DF19" s="121">
        <f>Data!DF22</f>
        <v>277</v>
      </c>
      <c r="DG19" s="121">
        <f>Data!DG22</f>
        <v>248</v>
      </c>
      <c r="DH19" s="121">
        <f>Data!DH22</f>
        <v>265</v>
      </c>
      <c r="DI19" s="121">
        <f>Data!DI22</f>
        <v>432</v>
      </c>
      <c r="DJ19" s="120">
        <f>SUM(DF19:DI19)</f>
        <v>1222</v>
      </c>
      <c r="DK19" s="121">
        <f>Data!DK22</f>
        <v>323</v>
      </c>
      <c r="DL19" s="121">
        <f>Data!DL22</f>
        <v>325</v>
      </c>
      <c r="DM19" s="121">
        <f>Data!DM22</f>
        <v>276</v>
      </c>
      <c r="DN19" s="121">
        <f>Data!DN22</f>
        <v>201</v>
      </c>
      <c r="DO19" s="120">
        <f>SUM(DK19:DN19)</f>
        <v>1125</v>
      </c>
      <c r="DP19" s="121">
        <f>Data!DP22</f>
        <v>194</v>
      </c>
      <c r="DQ19" s="121">
        <f>Data!DQ22</f>
        <v>79</v>
      </c>
      <c r="DR19" s="122">
        <v>250</v>
      </c>
      <c r="DS19" s="122">
        <v>300</v>
      </c>
      <c r="DT19" s="120">
        <f>SUM(DP19:DS19)</f>
        <v>823</v>
      </c>
      <c r="DU19" s="122">
        <v>200</v>
      </c>
      <c r="DV19" s="122">
        <v>220</v>
      </c>
      <c r="DW19" s="122">
        <v>250</v>
      </c>
      <c r="DX19" s="122">
        <v>300</v>
      </c>
      <c r="DY19" s="120">
        <f>SUM(DU19:DX19)</f>
        <v>970</v>
      </c>
      <c r="DZ19" s="123">
        <v>1000</v>
      </c>
      <c r="EA19" s="123">
        <v>1050</v>
      </c>
      <c r="EB19" s="123">
        <v>1070</v>
      </c>
    </row>
    <row r="20" spans="2:132" s="241" customFormat="1" ht="12" customHeight="1">
      <c r="B20" s="241" t="s">
        <v>36</v>
      </c>
      <c r="C20" s="69">
        <f>Data!C23</f>
        <v>-414</v>
      </c>
      <c r="D20" s="69">
        <f>Data!D23</f>
        <v>-453</v>
      </c>
      <c r="E20" s="69">
        <f>Data!E23</f>
        <v>-431</v>
      </c>
      <c r="F20" s="69">
        <f>Data!F23</f>
        <v>-445</v>
      </c>
      <c r="G20" s="69">
        <f>Data!G23</f>
        <v>-650</v>
      </c>
      <c r="H20" s="69">
        <f>Data!H23</f>
        <v>-730</v>
      </c>
      <c r="I20" s="69">
        <f>Data!I23</f>
        <v>-358</v>
      </c>
      <c r="J20" s="70">
        <f>Data!J23</f>
        <v>-84</v>
      </c>
      <c r="K20" s="70">
        <f>Data!K23</f>
        <v>-85</v>
      </c>
      <c r="L20" s="70">
        <f>Data!L23</f>
        <v>-83</v>
      </c>
      <c r="M20" s="70">
        <f>Data!M23</f>
        <v>-83</v>
      </c>
      <c r="N20" s="69">
        <f t="shared" si="0"/>
        <v>-335</v>
      </c>
      <c r="O20" s="70">
        <f>Data!O23</f>
        <v>-87</v>
      </c>
      <c r="P20" s="70">
        <f>Data!P23</f>
        <v>-84</v>
      </c>
      <c r="Q20" s="70">
        <f>Data!Q23</f>
        <v>-70</v>
      </c>
      <c r="R20" s="70">
        <f>Data!R23</f>
        <v>-53</v>
      </c>
      <c r="S20" s="69">
        <f t="shared" si="1"/>
        <v>-294</v>
      </c>
      <c r="T20" s="70">
        <f>Data!T23</f>
        <v>-69</v>
      </c>
      <c r="U20" s="70">
        <f>Data!U23</f>
        <v>-67</v>
      </c>
      <c r="V20" s="70">
        <f>Data!V23</f>
        <v>-67</v>
      </c>
      <c r="W20" s="70">
        <f>Data!W23</f>
        <v>-37</v>
      </c>
      <c r="X20" s="69">
        <f t="shared" si="2"/>
        <v>-240</v>
      </c>
      <c r="Y20" s="70">
        <f>Data!Y23</f>
        <v>-46</v>
      </c>
      <c r="Z20" s="70">
        <f>Data!Z23</f>
        <v>-46</v>
      </c>
      <c r="AA20" s="70">
        <f>Data!AA23</f>
        <v>-47</v>
      </c>
      <c r="AB20" s="70">
        <f>Data!AB23</f>
        <v>-57</v>
      </c>
      <c r="AC20" s="69">
        <f t="shared" si="3"/>
        <v>-196</v>
      </c>
      <c r="AD20" s="70">
        <f>Data!AD23</f>
        <v>-46</v>
      </c>
      <c r="AE20" s="70">
        <f>Data!AE23</f>
        <v>-50</v>
      </c>
      <c r="AF20" s="70">
        <f>Data!AF23</f>
        <v>-49</v>
      </c>
      <c r="AG20" s="70">
        <f>Data!AG23</f>
        <v>-57</v>
      </c>
      <c r="AH20" s="69">
        <f t="shared" si="4"/>
        <v>-202</v>
      </c>
      <c r="AI20" s="70">
        <f>Data!AI23</f>
        <v>-57</v>
      </c>
      <c r="AJ20" s="70">
        <f>Data!AJ23</f>
        <v>-80</v>
      </c>
      <c r="AK20" s="70">
        <f>Data!AK23</f>
        <v>-92</v>
      </c>
      <c r="AL20" s="70">
        <f>Data!AL23</f>
        <v>-110</v>
      </c>
      <c r="AM20" s="69">
        <f t="shared" si="6"/>
        <v>-339</v>
      </c>
      <c r="AN20" s="404">
        <f>Data!AN23</f>
        <v>-122</v>
      </c>
      <c r="AO20" s="404">
        <f>Data!AO23</f>
        <v>-132</v>
      </c>
      <c r="AP20" s="404">
        <f>Data!AP23</f>
        <v>-130</v>
      </c>
      <c r="AQ20" s="404">
        <f>Data!AQ23</f>
        <v>-132</v>
      </c>
      <c r="AR20" s="69">
        <f t="shared" si="7"/>
        <v>-516</v>
      </c>
      <c r="AS20" s="404">
        <f>Data!AS23</f>
        <v>-130.19999999999999</v>
      </c>
      <c r="AT20" s="404">
        <f>Data!AT23</f>
        <v>-123</v>
      </c>
      <c r="AU20" s="70">
        <f>Data!AU23</f>
        <v>-121</v>
      </c>
      <c r="AV20" s="70">
        <f>Data!AV23</f>
        <v>-123.80000000000001</v>
      </c>
      <c r="AW20" s="69">
        <f t="shared" si="8"/>
        <v>-498</v>
      </c>
      <c r="AX20" s="70">
        <f>Data!AX23</f>
        <v>-119</v>
      </c>
      <c r="AY20" s="70">
        <f>Data!AY23</f>
        <v>-112</v>
      </c>
      <c r="AZ20" s="70">
        <f>Data!AZ23</f>
        <v>-115.4</v>
      </c>
      <c r="BA20" s="70">
        <f>Data!BA23</f>
        <v>-117</v>
      </c>
      <c r="BB20" s="69">
        <f t="shared" si="9"/>
        <v>-463.4</v>
      </c>
      <c r="BC20" s="70">
        <f>Data!BC23</f>
        <v>-99</v>
      </c>
      <c r="BD20" s="70">
        <f>Data!BD23</f>
        <v>-96</v>
      </c>
      <c r="BE20" s="70">
        <f>Data!BE23</f>
        <v>-95</v>
      </c>
      <c r="BF20" s="70">
        <f>Data!BF23</f>
        <v>-96</v>
      </c>
      <c r="BG20" s="69">
        <f t="shared" si="10"/>
        <v>-386</v>
      </c>
      <c r="BH20" s="70">
        <f>Data!BH23</f>
        <v>-92</v>
      </c>
      <c r="BI20" s="70">
        <f>Data!BI23</f>
        <v>-81</v>
      </c>
      <c r="BJ20" s="70">
        <f>Data!BJ23</f>
        <v>-79</v>
      </c>
      <c r="BK20" s="70">
        <f>Data!BK23</f>
        <v>-81</v>
      </c>
      <c r="BL20" s="69">
        <f t="shared" si="11"/>
        <v>-333</v>
      </c>
      <c r="BM20" s="70">
        <f>Data!BM23</f>
        <v>-61</v>
      </c>
      <c r="BN20" s="70">
        <f>Data!BN23</f>
        <v>-75</v>
      </c>
      <c r="BO20" s="70">
        <f>Data!BO23</f>
        <v>-67</v>
      </c>
      <c r="BP20" s="70">
        <f>Data!BP23</f>
        <v>-72</v>
      </c>
      <c r="BQ20" s="69">
        <f t="shared" si="12"/>
        <v>-275</v>
      </c>
      <c r="BR20" s="70">
        <f>Data!BR23</f>
        <v>-73</v>
      </c>
      <c r="BS20" s="70">
        <f>Data!BS23</f>
        <v>-73</v>
      </c>
      <c r="BT20" s="70">
        <f>Data!BT23</f>
        <v>-81</v>
      </c>
      <c r="BU20" s="70">
        <f>Data!BU23</f>
        <v>-79</v>
      </c>
      <c r="BV20" s="69">
        <f t="shared" si="13"/>
        <v>-306</v>
      </c>
      <c r="BW20" s="70">
        <f>Data!BW23</f>
        <v>-87</v>
      </c>
      <c r="BX20" s="70">
        <f>Data!BX23</f>
        <v>-93</v>
      </c>
      <c r="BY20" s="70">
        <f>Data!BY23</f>
        <v>-87</v>
      </c>
      <c r="BZ20" s="70">
        <f>Data!BZ23</f>
        <v>-93</v>
      </c>
      <c r="CA20" s="69">
        <f t="shared" si="50"/>
        <v>-360</v>
      </c>
      <c r="CB20" s="70">
        <f>Data!CB23</f>
        <v>-102</v>
      </c>
      <c r="CC20" s="70">
        <f>Data!CC23</f>
        <v>-109</v>
      </c>
      <c r="CD20" s="70">
        <f>Data!CD23</f>
        <v>-106</v>
      </c>
      <c r="CE20" s="70">
        <f>Data!CE23</f>
        <v>-158</v>
      </c>
      <c r="CF20" s="69">
        <f t="shared" ref="CF20:CF26" si="62">SUM(CB20:CE20)</f>
        <v>-475</v>
      </c>
      <c r="CG20" s="70">
        <f>Data!CG23</f>
        <v>-123</v>
      </c>
      <c r="CH20" s="70">
        <f>Data!CH23</f>
        <v>-154</v>
      </c>
      <c r="CI20" s="70">
        <f>Data!CI23</f>
        <v>-203</v>
      </c>
      <c r="CJ20" s="70">
        <f>Data!CJ23</f>
        <v>-242</v>
      </c>
      <c r="CK20" s="69">
        <f t="shared" ref="CK20:CK26" si="63">SUM(CG20:CJ20)</f>
        <v>-722</v>
      </c>
      <c r="CL20" s="70">
        <f>Data!CL23</f>
        <v>-262</v>
      </c>
      <c r="CM20" s="70">
        <f>Data!CM23</f>
        <v>-553</v>
      </c>
      <c r="CN20" s="70">
        <f>Data!CN23</f>
        <v>-643</v>
      </c>
      <c r="CO20" s="70">
        <f>Data!CO23</f>
        <v>-698</v>
      </c>
      <c r="CP20" s="69">
        <f t="shared" ref="CP20:CP26" si="64">SUM(CL20:CO20)</f>
        <v>-2156</v>
      </c>
      <c r="CQ20" s="70">
        <f>Data!CQ23</f>
        <v>-679</v>
      </c>
      <c r="CR20" s="70">
        <f>Data!CR23</f>
        <v>-673</v>
      </c>
      <c r="CS20" s="70">
        <f>Data!CS23</f>
        <v>-669</v>
      </c>
      <c r="CT20" s="70">
        <f>Data!CT23</f>
        <v>-661</v>
      </c>
      <c r="CU20" s="69">
        <f t="shared" ref="CU20:CU26" si="65">SUM(CQ20:CT20)</f>
        <v>-2682</v>
      </c>
      <c r="CV20" s="70">
        <f>Data!CV23</f>
        <v>-630</v>
      </c>
      <c r="CW20" s="70">
        <f>Data!CW23</f>
        <v>-650</v>
      </c>
      <c r="CX20" s="70">
        <f>Data!CX23</f>
        <v>-621</v>
      </c>
      <c r="CY20" s="70">
        <f>Data!CY23</f>
        <v>-632</v>
      </c>
      <c r="CZ20" s="69">
        <f t="shared" ref="CZ20:CZ22" si="66">SUM(CV20:CY20)</f>
        <v>-2533</v>
      </c>
      <c r="DA20" s="70">
        <f>Data!DA23</f>
        <v>-649</v>
      </c>
      <c r="DB20" s="70">
        <f>Data!DB23</f>
        <v>-621</v>
      </c>
      <c r="DC20" s="70">
        <f>Data!DC23</f>
        <v>-589</v>
      </c>
      <c r="DD20" s="70">
        <f>Data!DD23</f>
        <v>-600</v>
      </c>
      <c r="DE20" s="69">
        <f t="shared" ref="DE20:DE22" si="67">SUM(DA20:DD20)</f>
        <v>-2459</v>
      </c>
      <c r="DF20" s="70">
        <f>Data!DF23</f>
        <v>-569</v>
      </c>
      <c r="DG20" s="70">
        <f>Data!DG23</f>
        <v>-673</v>
      </c>
      <c r="DH20" s="70">
        <f>Data!DH23</f>
        <v>-728</v>
      </c>
      <c r="DI20" s="70">
        <f>Data!DI23</f>
        <v>-755</v>
      </c>
      <c r="DJ20" s="69">
        <f t="shared" ref="DJ20:DJ22" si="68">SUM(DF20:DI20)</f>
        <v>-2725</v>
      </c>
      <c r="DK20" s="70">
        <f>Data!DK23</f>
        <v>-708</v>
      </c>
      <c r="DL20" s="70">
        <f>Data!DL23</f>
        <v>-710</v>
      </c>
      <c r="DM20" s="70">
        <f>Data!DM23</f>
        <v>-694</v>
      </c>
      <c r="DN20" s="70">
        <f>Data!DN23</f>
        <v>-659</v>
      </c>
      <c r="DO20" s="69">
        <f t="shared" ref="DO20:DO22" si="69">SUM(DK20:DN20)</f>
        <v>-2771</v>
      </c>
      <c r="DP20" s="70">
        <f>Data!DP23</f>
        <v>-616</v>
      </c>
      <c r="DQ20" s="70">
        <f>Data!DQ23</f>
        <v>-600</v>
      </c>
      <c r="DR20" s="194">
        <f>AVERAGE(BS!DR63,BS!DQ63)*(-0.053)/4</f>
        <v>-608.17499999999995</v>
      </c>
      <c r="DS20" s="194">
        <f>AVERAGE(BS!DS63,BS!DR63)*(-0.053)/4</f>
        <v>-608.17499999999995</v>
      </c>
      <c r="DT20" s="69">
        <f t="shared" ref="DT20:DT22" si="70">SUM(DP20:DS20)</f>
        <v>-2432.35</v>
      </c>
      <c r="DU20" s="194">
        <f>AVERAGE(BS!DU63,BS!DT63)*(-0.053)/4</f>
        <v>-579.6875</v>
      </c>
      <c r="DV20" s="194">
        <f>AVERAGE(BS!DV63,BS!DU63)*(-0.053)/4</f>
        <v>-551.19999999999993</v>
      </c>
      <c r="DW20" s="194">
        <f>AVERAGE(BS!DW63,BS!DV63)*(-0.053)/4</f>
        <v>-551.19999999999993</v>
      </c>
      <c r="DX20" s="194">
        <f>AVERAGE(BS!DX63,BS!DW63)*(-0.053)/4</f>
        <v>-551.19999999999993</v>
      </c>
      <c r="DY20" s="69">
        <f t="shared" ref="DY20:DY22" si="71">SUM(DU20:DX20)</f>
        <v>-2233.2874999999995</v>
      </c>
      <c r="DZ20" s="195">
        <f>(BS!DZ63)*(-0.0525)</f>
        <v>-2079</v>
      </c>
      <c r="EA20" s="195">
        <f>(BS!EA63)*(-0.0525)</f>
        <v>-2026.5</v>
      </c>
      <c r="EB20" s="195">
        <f>(BS!EB63)*(-0.0525)</f>
        <v>-2026.5</v>
      </c>
    </row>
    <row r="21" spans="2:132" s="100" customFormat="1" ht="12" customHeight="1">
      <c r="B21" s="100" t="s">
        <v>37</v>
      </c>
      <c r="C21" s="117">
        <f>SUM(C18:C20)</f>
        <v>-341</v>
      </c>
      <c r="D21" s="117">
        <f t="shared" ref="D21:AN21" si="72">SUM(D18:D20)</f>
        <v>1397</v>
      </c>
      <c r="E21" s="117">
        <f t="shared" si="72"/>
        <v>3324</v>
      </c>
      <c r="F21" s="117">
        <f t="shared" si="72"/>
        <v>2999</v>
      </c>
      <c r="G21" s="117">
        <f t="shared" si="72"/>
        <v>3564</v>
      </c>
      <c r="H21" s="117">
        <f t="shared" si="72"/>
        <v>3180</v>
      </c>
      <c r="I21" s="117">
        <f t="shared" si="72"/>
        <v>550</v>
      </c>
      <c r="J21" s="100">
        <f t="shared" si="72"/>
        <v>913</v>
      </c>
      <c r="K21" s="100">
        <f t="shared" si="72"/>
        <v>625</v>
      </c>
      <c r="L21" s="100">
        <f t="shared" si="72"/>
        <v>445</v>
      </c>
      <c r="M21" s="100">
        <f t="shared" si="72"/>
        <v>-23</v>
      </c>
      <c r="N21" s="117">
        <f t="shared" si="72"/>
        <v>1960</v>
      </c>
      <c r="O21" s="100">
        <f t="shared" si="72"/>
        <v>584</v>
      </c>
      <c r="P21" s="100">
        <f t="shared" si="72"/>
        <v>807</v>
      </c>
      <c r="Q21" s="100">
        <f t="shared" si="72"/>
        <v>812</v>
      </c>
      <c r="R21" s="100">
        <f t="shared" si="72"/>
        <v>616</v>
      </c>
      <c r="S21" s="117">
        <f t="shared" si="72"/>
        <v>2819</v>
      </c>
      <c r="T21" s="100">
        <f t="shared" si="72"/>
        <v>976</v>
      </c>
      <c r="U21" s="100">
        <f t="shared" si="72"/>
        <v>-9</v>
      </c>
      <c r="V21" s="100">
        <f t="shared" si="72"/>
        <v>988</v>
      </c>
      <c r="W21" s="100">
        <f t="shared" si="72"/>
        <v>1239</v>
      </c>
      <c r="X21" s="117">
        <f t="shared" si="72"/>
        <v>3194</v>
      </c>
      <c r="Y21" s="100">
        <f t="shared" si="72"/>
        <v>1354</v>
      </c>
      <c r="Z21" s="100">
        <f t="shared" si="72"/>
        <v>1585</v>
      </c>
      <c r="AA21" s="100">
        <f t="shared" si="72"/>
        <v>1591</v>
      </c>
      <c r="AB21" s="100">
        <f t="shared" si="72"/>
        <v>1588</v>
      </c>
      <c r="AC21" s="117">
        <f t="shared" si="72"/>
        <v>6118</v>
      </c>
      <c r="AD21" s="100">
        <f t="shared" si="72"/>
        <v>1853</v>
      </c>
      <c r="AE21" s="100">
        <f t="shared" si="72"/>
        <v>1299</v>
      </c>
      <c r="AF21" s="100">
        <f t="shared" si="72"/>
        <v>1153</v>
      </c>
      <c r="AG21" s="100">
        <f t="shared" si="72"/>
        <v>-310</v>
      </c>
      <c r="AH21" s="117">
        <f t="shared" si="72"/>
        <v>3995</v>
      </c>
      <c r="AI21" s="100">
        <f t="shared" si="72"/>
        <v>932</v>
      </c>
      <c r="AJ21" s="100">
        <f t="shared" si="72"/>
        <v>1496</v>
      </c>
      <c r="AK21" s="100">
        <f t="shared" si="72"/>
        <v>-2247</v>
      </c>
      <c r="AL21" s="100">
        <f t="shared" si="72"/>
        <v>1550</v>
      </c>
      <c r="AM21" s="117">
        <f t="shared" si="72"/>
        <v>1731</v>
      </c>
      <c r="AN21" s="100">
        <f t="shared" si="72"/>
        <v>1050</v>
      </c>
      <c r="AO21" s="100">
        <f>SUM(AO18:AO20)</f>
        <v>1210</v>
      </c>
      <c r="AP21" s="100">
        <f>SUM(AP18:AP20)</f>
        <v>1244</v>
      </c>
      <c r="AQ21" s="100">
        <f>SUM(AQ18:AQ20)</f>
        <v>1003</v>
      </c>
      <c r="AR21" s="117">
        <f t="shared" si="7"/>
        <v>4507</v>
      </c>
      <c r="AS21" s="100">
        <f>SUM(AS18:AS20)</f>
        <v>882.8</v>
      </c>
      <c r="AT21" s="100">
        <f>SUM(AT18:AT20)</f>
        <v>1425</v>
      </c>
      <c r="AU21" s="74">
        <f>SUM(AU18:AU20)</f>
        <v>1642</v>
      </c>
      <c r="AV21" s="74">
        <f>SUM(AV18:AV20)</f>
        <v>1443.2</v>
      </c>
      <c r="AW21" s="117">
        <f t="shared" si="8"/>
        <v>5393</v>
      </c>
      <c r="AX21" s="74">
        <f>SUM(AX18:AX20)</f>
        <v>1463</v>
      </c>
      <c r="AY21" s="100">
        <f>AY18+AY19+AY20</f>
        <v>1446</v>
      </c>
      <c r="AZ21" s="74">
        <f>AZ18+AZ19+AZ20</f>
        <v>1464.7999999999997</v>
      </c>
      <c r="BA21" s="74">
        <f>BA18+BA19+BA20</f>
        <v>1535</v>
      </c>
      <c r="BB21" s="117">
        <f t="shared" si="9"/>
        <v>5908.7999999999993</v>
      </c>
      <c r="BC21" s="74">
        <f>SUM(BC18:BC20)</f>
        <v>1438</v>
      </c>
      <c r="BD21" s="74">
        <f>SUM(BD18:BD20)</f>
        <v>1633</v>
      </c>
      <c r="BE21" s="74">
        <f>SUM(BE18:BE20)</f>
        <v>1727</v>
      </c>
      <c r="BF21" s="74">
        <f>SUM(BF18:BF20)</f>
        <v>1434.4000000000015</v>
      </c>
      <c r="BG21" s="193">
        <f t="shared" si="10"/>
        <v>6232.4000000000015</v>
      </c>
      <c r="BH21" s="74">
        <f>SUM(BH18:BH20)</f>
        <v>1459</v>
      </c>
      <c r="BI21" s="74">
        <f>SUM(BI18:BI20)</f>
        <v>1717</v>
      </c>
      <c r="BJ21" s="74">
        <f>SUM(BJ18:BJ20)</f>
        <v>2031</v>
      </c>
      <c r="BK21" s="74">
        <f>BK18+BK19+BK20</f>
        <v>1930</v>
      </c>
      <c r="BL21" s="193">
        <f t="shared" si="11"/>
        <v>7137</v>
      </c>
      <c r="BM21" s="74">
        <f>BM18+BM19+BM20</f>
        <v>1946</v>
      </c>
      <c r="BN21" s="74">
        <f>BN18+BN19+BN20</f>
        <v>1623</v>
      </c>
      <c r="BO21" s="74">
        <f>BO18+BO19+BO20</f>
        <v>2487</v>
      </c>
      <c r="BP21" s="74">
        <f>BP18+BP19+BP20</f>
        <v>1099</v>
      </c>
      <c r="BQ21" s="193">
        <f t="shared" si="12"/>
        <v>7155</v>
      </c>
      <c r="BR21" s="74">
        <f>BR18+BR19+BR20</f>
        <v>1741</v>
      </c>
      <c r="BS21" s="74">
        <f>BS18+BS19+BS20</f>
        <v>-479</v>
      </c>
      <c r="BT21" s="74">
        <f>BT18+BT19+BT20</f>
        <v>2203</v>
      </c>
      <c r="BU21" s="74">
        <f>BU18+BU19+BU20</f>
        <v>2103</v>
      </c>
      <c r="BV21" s="193">
        <f t="shared" si="13"/>
        <v>5568</v>
      </c>
      <c r="BW21" s="74">
        <f>BW18+BW19+BW20</f>
        <v>2145</v>
      </c>
      <c r="BX21" s="74">
        <f>BX18+BX19+BX20</f>
        <v>2462</v>
      </c>
      <c r="BY21" s="74">
        <f>BY18+BY19+BY20</f>
        <v>2583</v>
      </c>
      <c r="BZ21" s="74">
        <f>BZ18+BZ19+BZ20</f>
        <v>2917</v>
      </c>
      <c r="CA21" s="193">
        <f t="shared" si="50"/>
        <v>10107</v>
      </c>
      <c r="CB21" s="74">
        <f>CB18+CB19+CB20</f>
        <v>2839</v>
      </c>
      <c r="CC21" s="74">
        <f>CC18+CC19+CC20</f>
        <v>2586</v>
      </c>
      <c r="CD21" s="74">
        <f>CD18+CD19+CD20</f>
        <v>2133</v>
      </c>
      <c r="CE21" s="74">
        <f>CE18+CE19+CE20</f>
        <v>4046</v>
      </c>
      <c r="CF21" s="193">
        <f t="shared" si="62"/>
        <v>11604</v>
      </c>
      <c r="CG21" s="74">
        <f>CG18+CG19+CG20</f>
        <v>2333</v>
      </c>
      <c r="CH21" s="74">
        <f>CH18+CH19+CH20</f>
        <v>-3427</v>
      </c>
      <c r="CI21" s="74">
        <f>CI18+CI19+CI20</f>
        <v>1177</v>
      </c>
      <c r="CJ21" s="74">
        <f>CJ18+CJ19+CJ20</f>
        <v>-2342</v>
      </c>
      <c r="CK21" s="193">
        <f t="shared" si="63"/>
        <v>-2259</v>
      </c>
      <c r="CL21" s="74">
        <f>CL18+CL19+CL20</f>
        <v>-1503</v>
      </c>
      <c r="CM21" s="74">
        <f>CM18+CM19+CM20</f>
        <v>-3423</v>
      </c>
      <c r="CN21" s="74">
        <f>CN18+CN19+CN20</f>
        <v>-925</v>
      </c>
      <c r="CO21" s="74">
        <f>CO18+CO19+CO20</f>
        <v>-8625</v>
      </c>
      <c r="CP21" s="193">
        <f t="shared" si="64"/>
        <v>-14476</v>
      </c>
      <c r="CQ21" s="74">
        <f>CQ18+CQ19+CQ20</f>
        <v>-572</v>
      </c>
      <c r="CR21" s="74">
        <f>CR18+CR19+CR20</f>
        <v>549</v>
      </c>
      <c r="CS21" s="74">
        <f>CS18+CS19+CS20</f>
        <v>-310</v>
      </c>
      <c r="CT21" s="74">
        <f>CT18+CT19+CT20</f>
        <v>-4700</v>
      </c>
      <c r="CU21" s="193">
        <f t="shared" si="65"/>
        <v>-5033</v>
      </c>
      <c r="CV21" s="74">
        <f>CV18+CV19+CV20</f>
        <v>-1618</v>
      </c>
      <c r="CW21" s="74">
        <f>CW18+CW19+CW20</f>
        <v>377</v>
      </c>
      <c r="CX21" s="74">
        <f>CX18+CX19+CX20</f>
        <v>-3132</v>
      </c>
      <c r="CY21" s="74">
        <f>CY18+CY19+CY20</f>
        <v>-649</v>
      </c>
      <c r="CZ21" s="193">
        <f t="shared" si="66"/>
        <v>-5022</v>
      </c>
      <c r="DA21" s="74">
        <f>DA18+DA19+DA20</f>
        <v>-496</v>
      </c>
      <c r="DB21" s="74">
        <f>DB18+DB19+DB20</f>
        <v>-400</v>
      </c>
      <c r="DC21" s="74">
        <f>DC18+DC19+DC20</f>
        <v>-1100</v>
      </c>
      <c r="DD21" s="74">
        <f>DD18+DD19+DD20</f>
        <v>-9</v>
      </c>
      <c r="DE21" s="193">
        <f t="shared" si="67"/>
        <v>-2005</v>
      </c>
      <c r="DF21" s="74">
        <f>DF18+DF19+DF20</f>
        <v>-378</v>
      </c>
      <c r="DG21" s="74">
        <f>DG18+DG19+DG20</f>
        <v>-1515</v>
      </c>
      <c r="DH21" s="74">
        <f>DH18+DH19+DH20</f>
        <v>-6224</v>
      </c>
      <c r="DI21" s="74">
        <f>DI18+DI19+DI20</f>
        <v>-4093</v>
      </c>
      <c r="DJ21" s="193">
        <f t="shared" si="68"/>
        <v>-12210</v>
      </c>
      <c r="DK21" s="74">
        <f>DK18+DK19+DK20</f>
        <v>76</v>
      </c>
      <c r="DL21" s="74">
        <f>DL18+DL19+DL20</f>
        <v>-561</v>
      </c>
      <c r="DM21" s="74">
        <f>DM18+DM19+DM20</f>
        <v>-5199</v>
      </c>
      <c r="DN21" s="74">
        <f>DN18+DN19+DN20</f>
        <v>8319</v>
      </c>
      <c r="DO21" s="193">
        <f t="shared" si="69"/>
        <v>2635</v>
      </c>
      <c r="DP21" s="74">
        <f>DP18+DP19+DP20</f>
        <v>26</v>
      </c>
      <c r="DQ21" s="74">
        <f>DQ18+DQ19+DQ20</f>
        <v>-365</v>
      </c>
      <c r="DR21" s="74">
        <f t="shared" ref="DR21:DS21" si="73">DR18+DR19+DR20</f>
        <v>192.46543329499639</v>
      </c>
      <c r="DS21" s="74">
        <f t="shared" si="73"/>
        <v>669.18426003640911</v>
      </c>
      <c r="DT21" s="193">
        <f t="shared" si="70"/>
        <v>522.6496933314055</v>
      </c>
      <c r="DU21" s="74">
        <f t="shared" ref="DU21:DX21" si="74">DU18+DU19+DU20</f>
        <v>228.65080596295297</v>
      </c>
      <c r="DV21" s="74">
        <f t="shared" si="74"/>
        <v>964.49938395693437</v>
      </c>
      <c r="DW21" s="74">
        <f t="shared" si="74"/>
        <v>1517.1720660848696</v>
      </c>
      <c r="DX21" s="74">
        <f t="shared" si="74"/>
        <v>1993.9010469523319</v>
      </c>
      <c r="DY21" s="193">
        <f t="shared" si="71"/>
        <v>4704.2233029570889</v>
      </c>
      <c r="DZ21" s="193">
        <f t="shared" ref="DZ21" si="75">DZ18+DZ19+DZ20</f>
        <v>8866.4190076546329</v>
      </c>
      <c r="EA21" s="193">
        <f t="shared" ref="EA21:EB21" si="76">EA18+EA19+EA20</f>
        <v>13165.302829262428</v>
      </c>
      <c r="EB21" s="193">
        <f t="shared" si="76"/>
        <v>17655.740652867633</v>
      </c>
    </row>
    <row r="22" spans="2:132" s="241" customFormat="1" ht="12" customHeight="1">
      <c r="B22" s="241" t="s">
        <v>38</v>
      </c>
      <c r="C22" s="120">
        <f>Data!C25</f>
        <v>163</v>
      </c>
      <c r="D22" s="120">
        <f>Data!D25</f>
        <v>-277</v>
      </c>
      <c r="E22" s="120">
        <f>Data!E25</f>
        <v>-1015</v>
      </c>
      <c r="F22" s="120">
        <f>Data!F25</f>
        <v>-871</v>
      </c>
      <c r="G22" s="120">
        <f>Data!G25</f>
        <v>-738</v>
      </c>
      <c r="H22" s="120">
        <f>Data!H25</f>
        <v>-861</v>
      </c>
      <c r="I22" s="120">
        <f>Data!I25</f>
        <v>168</v>
      </c>
      <c r="J22" s="121">
        <f>Data!J25</f>
        <v>-290</v>
      </c>
      <c r="K22" s="121">
        <f>Data!K25</f>
        <v>-39</v>
      </c>
      <c r="L22" s="121">
        <f>Data!L25</f>
        <v>-7</v>
      </c>
      <c r="M22" s="121">
        <f>Data!M25</f>
        <v>196</v>
      </c>
      <c r="N22" s="120">
        <f t="shared" si="0"/>
        <v>-140</v>
      </c>
      <c r="O22" s="121">
        <f>Data!O25</f>
        <v>-70</v>
      </c>
      <c r="P22" s="121">
        <f>Data!P25</f>
        <v>-241</v>
      </c>
      <c r="Q22" s="121">
        <f>Data!Q25</f>
        <v>201</v>
      </c>
      <c r="R22" s="121">
        <f>Data!R25</f>
        <v>-147</v>
      </c>
      <c r="S22" s="120">
        <f t="shared" si="1"/>
        <v>-257</v>
      </c>
      <c r="T22" s="121">
        <f>Data!T25</f>
        <v>-284</v>
      </c>
      <c r="U22" s="121">
        <f>Data!U25</f>
        <v>-151</v>
      </c>
      <c r="V22" s="121">
        <f>Data!V25</f>
        <v>-294</v>
      </c>
      <c r="W22" s="121">
        <f>Data!W25</f>
        <v>-259</v>
      </c>
      <c r="X22" s="120">
        <f t="shared" si="2"/>
        <v>-988</v>
      </c>
      <c r="Y22" s="121">
        <f>Data!Y25</f>
        <v>-481</v>
      </c>
      <c r="Z22" s="121">
        <f>Data!Z25</f>
        <v>-536</v>
      </c>
      <c r="AA22" s="121">
        <f>Data!AA25</f>
        <v>-482</v>
      </c>
      <c r="AB22" s="121">
        <f>Data!AB25</f>
        <v>-561</v>
      </c>
      <c r="AC22" s="120">
        <f t="shared" si="3"/>
        <v>-2060</v>
      </c>
      <c r="AD22" s="121">
        <f>Data!AD25</f>
        <v>-647</v>
      </c>
      <c r="AE22" s="121">
        <f>Data!AE25</f>
        <v>-448</v>
      </c>
      <c r="AF22" s="121">
        <f>Data!AF25</f>
        <v>-470</v>
      </c>
      <c r="AG22" s="121">
        <f>Data!AG25</f>
        <v>224</v>
      </c>
      <c r="AH22" s="120">
        <f t="shared" si="4"/>
        <v>-1341</v>
      </c>
      <c r="AI22" s="121">
        <f>Data!AI25</f>
        <v>-317</v>
      </c>
      <c r="AJ22" s="121">
        <f>Data!AJ25</f>
        <v>-499</v>
      </c>
      <c r="AK22" s="121">
        <f>Data!AK25</f>
        <v>687</v>
      </c>
      <c r="AL22" s="121">
        <f>Data!AL25</f>
        <v>-267</v>
      </c>
      <c r="AM22" s="120">
        <f t="shared" si="6"/>
        <v>-396</v>
      </c>
      <c r="AN22" s="121">
        <f>Data!AN25</f>
        <v>-531</v>
      </c>
      <c r="AO22" s="121">
        <f>Data!AO25</f>
        <v>-421</v>
      </c>
      <c r="AP22" s="121">
        <f>Data!AP25</f>
        <v>-407</v>
      </c>
      <c r="AQ22" s="121">
        <f>Data!AQ25</f>
        <v>163</v>
      </c>
      <c r="AR22" s="120">
        <f t="shared" si="7"/>
        <v>-1196</v>
      </c>
      <c r="AS22" s="121">
        <f>Data!AS25</f>
        <v>-295</v>
      </c>
      <c r="AT22" s="121">
        <f>Data!AT25</f>
        <v>-483</v>
      </c>
      <c r="AU22" s="121">
        <f>Data!AU25</f>
        <v>-548</v>
      </c>
      <c r="AV22" s="121">
        <f>Data!AV25</f>
        <v>-56</v>
      </c>
      <c r="AW22" s="120">
        <f t="shared" si="8"/>
        <v>-1382</v>
      </c>
      <c r="AX22" s="121">
        <f>Data!AX25</f>
        <v>-539</v>
      </c>
      <c r="AY22" s="121">
        <f>Data!AY25</f>
        <v>-479</v>
      </c>
      <c r="AZ22" s="121">
        <f>Data!AZ25</f>
        <v>-432.4</v>
      </c>
      <c r="BA22" s="121">
        <f>Data!BA25</f>
        <v>-557</v>
      </c>
      <c r="BB22" s="120">
        <f t="shared" si="9"/>
        <v>-2007.4</v>
      </c>
      <c r="BC22" s="121">
        <f>Data!BC25</f>
        <v>-332</v>
      </c>
      <c r="BD22" s="121">
        <f>Data!BD25</f>
        <v>-546</v>
      </c>
      <c r="BE22" s="121">
        <f>Data!BE25</f>
        <v>-567</v>
      </c>
      <c r="BF22" s="121">
        <f>Data!BF25</f>
        <v>-201</v>
      </c>
      <c r="BG22" s="120">
        <f t="shared" si="10"/>
        <v>-1646</v>
      </c>
      <c r="BH22" s="121">
        <f>Data!BH25</f>
        <v>-494</v>
      </c>
      <c r="BI22" s="121">
        <f>Data!BI25</f>
        <v>-64</v>
      </c>
      <c r="BJ22" s="121">
        <f>Data!BJ25</f>
        <v>-669</v>
      </c>
      <c r="BK22" s="121">
        <f>Data!BK25</f>
        <v>-464</v>
      </c>
      <c r="BL22" s="120">
        <f t="shared" si="11"/>
        <v>-1691</v>
      </c>
      <c r="BM22" s="121">
        <f>Data!BM25</f>
        <v>-610</v>
      </c>
      <c r="BN22" s="121">
        <f>Data!BN25</f>
        <v>-513</v>
      </c>
      <c r="BO22" s="121">
        <f>Data!BO25</f>
        <v>-783</v>
      </c>
      <c r="BP22" s="121">
        <f>Data!BP25</f>
        <v>-73</v>
      </c>
      <c r="BQ22" s="120">
        <f t="shared" si="12"/>
        <v>-1979</v>
      </c>
      <c r="BR22" s="121">
        <f>Data!BR25</f>
        <v>-522</v>
      </c>
      <c r="BS22" s="121">
        <f>Data!BS25</f>
        <v>245</v>
      </c>
      <c r="BT22" s="121">
        <f>Data!BT25</f>
        <v>76</v>
      </c>
      <c r="BU22" s="121">
        <f>Data!BU25</f>
        <v>-472</v>
      </c>
      <c r="BV22" s="120">
        <f t="shared" si="13"/>
        <v>-673</v>
      </c>
      <c r="BW22" s="121">
        <f>Data!BW25</f>
        <v>-566</v>
      </c>
      <c r="BX22" s="121">
        <f>Data!BX25</f>
        <v>-713</v>
      </c>
      <c r="BY22" s="121">
        <f>Data!BY25</f>
        <v>-773</v>
      </c>
      <c r="BZ22" s="121">
        <f>Data!BZ25</f>
        <v>403</v>
      </c>
      <c r="CA22" s="120">
        <f t="shared" si="50"/>
        <v>-1649</v>
      </c>
      <c r="CB22" s="121">
        <f>Data!CB25</f>
        <v>-362</v>
      </c>
      <c r="CC22" s="121">
        <f>Data!CC25</f>
        <v>-390</v>
      </c>
      <c r="CD22" s="121">
        <f>Data!CD25</f>
        <v>230</v>
      </c>
      <c r="CE22" s="121">
        <f>Data!CE25</f>
        <v>-622</v>
      </c>
      <c r="CF22" s="120">
        <f t="shared" si="62"/>
        <v>-1144</v>
      </c>
      <c r="CG22" s="121">
        <f>Data!CG25</f>
        <v>-184</v>
      </c>
      <c r="CH22" s="121">
        <f>Data!CH25</f>
        <v>485</v>
      </c>
      <c r="CI22" s="121">
        <f>Data!CI25</f>
        <v>-10</v>
      </c>
      <c r="CJ22" s="121">
        <f>Data!CJ25</f>
        <v>1332</v>
      </c>
      <c r="CK22" s="120">
        <f t="shared" si="63"/>
        <v>1623</v>
      </c>
      <c r="CL22" s="121">
        <f>Data!CL25</f>
        <v>862</v>
      </c>
      <c r="CM22" s="121">
        <f>Data!CM25</f>
        <v>1028</v>
      </c>
      <c r="CN22" s="121">
        <f>Data!CN25</f>
        <v>459</v>
      </c>
      <c r="CO22" s="121">
        <f>Data!CO25</f>
        <v>186</v>
      </c>
      <c r="CP22" s="120">
        <f t="shared" si="64"/>
        <v>2535</v>
      </c>
      <c r="CQ22" s="121">
        <f>Data!CQ25</f>
        <v>11</v>
      </c>
      <c r="CR22" s="121">
        <f>Data!CR25</f>
        <v>18</v>
      </c>
      <c r="CS22" s="121">
        <f>Data!CS25</f>
        <v>178</v>
      </c>
      <c r="CT22" s="121">
        <f>Data!CT25</f>
        <v>536</v>
      </c>
      <c r="CU22" s="120">
        <f t="shared" si="65"/>
        <v>743</v>
      </c>
      <c r="CV22" s="121">
        <f>Data!CV25</f>
        <v>376</v>
      </c>
      <c r="CW22" s="121">
        <f>Data!CW25</f>
        <v>-217</v>
      </c>
      <c r="CX22" s="121">
        <f>Data!CX25</f>
        <v>-176</v>
      </c>
      <c r="CY22" s="121">
        <f>Data!CY25</f>
        <v>-14</v>
      </c>
      <c r="CZ22" s="120">
        <f t="shared" si="66"/>
        <v>-31</v>
      </c>
      <c r="DA22" s="121">
        <f>Data!DA25</f>
        <v>71</v>
      </c>
      <c r="DB22" s="121">
        <f>Data!DB25</f>
        <v>251</v>
      </c>
      <c r="DC22" s="121">
        <f>Data!DC25</f>
        <v>-538</v>
      </c>
      <c r="DD22" s="121">
        <f>Data!DD25</f>
        <v>-21</v>
      </c>
      <c r="DE22" s="120">
        <f t="shared" si="67"/>
        <v>-237</v>
      </c>
      <c r="DF22" s="121">
        <f>Data!DF25</f>
        <v>23</v>
      </c>
      <c r="DG22" s="121">
        <f>Data!DG25</f>
        <v>76</v>
      </c>
      <c r="DH22" s="121">
        <f>Data!DH25</f>
        <v>50</v>
      </c>
      <c r="DI22" s="121">
        <f>Data!DI25</f>
        <v>232</v>
      </c>
      <c r="DJ22" s="120">
        <f t="shared" si="68"/>
        <v>381</v>
      </c>
      <c r="DK22" s="121">
        <f>Data!DK25</f>
        <v>-107</v>
      </c>
      <c r="DL22" s="121">
        <f>Data!DL25</f>
        <v>-51</v>
      </c>
      <c r="DM22" s="121">
        <f>Data!DM25</f>
        <v>-140</v>
      </c>
      <c r="DN22" s="121">
        <f>Data!DN25</f>
        <v>-99</v>
      </c>
      <c r="DO22" s="120">
        <f t="shared" si="69"/>
        <v>-397</v>
      </c>
      <c r="DP22" s="121">
        <f>Data!DP25</f>
        <v>-33</v>
      </c>
      <c r="DQ22" s="121">
        <f>Data!DQ25</f>
        <v>-63</v>
      </c>
      <c r="DR22" s="124">
        <f t="shared" ref="DR22:DS22" si="77">-DR63*DR21</f>
        <v>-48.116358323749097</v>
      </c>
      <c r="DS22" s="124">
        <f t="shared" si="77"/>
        <v>-73.610268604005</v>
      </c>
      <c r="DT22" s="120">
        <f t="shared" si="70"/>
        <v>-217.7266269277541</v>
      </c>
      <c r="DU22" s="124">
        <f t="shared" ref="DU22:DX22" si="78">-DU63*DU21</f>
        <v>-34.297620894442943</v>
      </c>
      <c r="DV22" s="124">
        <f t="shared" si="78"/>
        <v>-144.67490759354015</v>
      </c>
      <c r="DW22" s="124">
        <f t="shared" si="78"/>
        <v>-227.57580991273042</v>
      </c>
      <c r="DX22" s="124">
        <f t="shared" si="78"/>
        <v>-299.08515704284974</v>
      </c>
      <c r="DY22" s="120">
        <f t="shared" si="71"/>
        <v>-705.63349544356333</v>
      </c>
      <c r="DZ22" s="125">
        <f t="shared" ref="DZ22" si="79">-DZ63*DZ21</f>
        <v>-1329.9628511481949</v>
      </c>
      <c r="EA22" s="125">
        <f t="shared" ref="EA22:EB22" si="80">-EA63*EA21</f>
        <v>-1974.7954243893641</v>
      </c>
      <c r="EB22" s="125">
        <f t="shared" si="80"/>
        <v>-2648.3610979301448</v>
      </c>
    </row>
    <row r="23" spans="2:132" s="241" customFormat="1" ht="12" customHeight="1">
      <c r="B23" s="121" t="s">
        <v>646</v>
      </c>
      <c r="C23" s="120"/>
      <c r="D23" s="120"/>
      <c r="E23" s="120"/>
      <c r="F23" s="120"/>
      <c r="G23" s="120"/>
      <c r="H23" s="120"/>
      <c r="I23" s="120"/>
      <c r="J23" s="121"/>
      <c r="K23" s="121"/>
      <c r="L23" s="121"/>
      <c r="M23" s="121"/>
      <c r="N23" s="120"/>
      <c r="O23" s="121"/>
      <c r="P23" s="121"/>
      <c r="Q23" s="121"/>
      <c r="R23" s="121"/>
      <c r="S23" s="120"/>
      <c r="T23" s="121"/>
      <c r="U23" s="121"/>
      <c r="V23" s="121"/>
      <c r="W23" s="121"/>
      <c r="X23" s="120"/>
      <c r="Y23" s="121"/>
      <c r="Z23" s="121"/>
      <c r="AA23" s="121"/>
      <c r="AB23" s="121"/>
      <c r="AC23" s="120"/>
      <c r="AD23" s="121"/>
      <c r="AE23" s="121"/>
      <c r="AF23" s="121"/>
      <c r="AG23" s="121"/>
      <c r="AH23" s="120"/>
      <c r="AI23" s="121"/>
      <c r="AJ23" s="121"/>
      <c r="AK23" s="121"/>
      <c r="AL23" s="121"/>
      <c r="AM23" s="120"/>
      <c r="AN23" s="121"/>
      <c r="AO23" s="121"/>
      <c r="AP23" s="121"/>
      <c r="AQ23" s="121"/>
      <c r="AR23" s="120"/>
      <c r="AS23" s="121"/>
      <c r="AT23" s="121"/>
      <c r="AU23" s="121"/>
      <c r="AV23" s="121"/>
      <c r="AW23" s="120"/>
      <c r="AX23" s="121"/>
      <c r="AY23" s="121"/>
      <c r="AZ23" s="121"/>
      <c r="BA23" s="121"/>
      <c r="BB23" s="120"/>
      <c r="BC23" s="121"/>
      <c r="BD23" s="121"/>
      <c r="BE23" s="121"/>
      <c r="BF23" s="121"/>
      <c r="BG23" s="120"/>
      <c r="BH23" s="121"/>
      <c r="BI23" s="121"/>
      <c r="BJ23" s="121"/>
      <c r="BK23" s="121"/>
      <c r="BL23" s="120"/>
      <c r="BM23" s="121"/>
      <c r="BN23" s="121"/>
      <c r="BO23" s="121"/>
      <c r="BP23" s="121"/>
      <c r="BQ23" s="120"/>
      <c r="BR23" s="121"/>
      <c r="BS23" s="121"/>
      <c r="BT23" s="121"/>
      <c r="BU23" s="121"/>
      <c r="BV23" s="120"/>
      <c r="BW23" s="121"/>
      <c r="BX23" s="121"/>
      <c r="BY23" s="121"/>
      <c r="BZ23" s="121"/>
      <c r="CA23" s="120"/>
      <c r="CB23" s="121"/>
      <c r="CC23" s="121"/>
      <c r="CD23" s="121"/>
      <c r="CE23" s="121"/>
      <c r="CF23" s="120"/>
      <c r="CG23" s="121"/>
      <c r="CH23" s="121"/>
      <c r="CI23" s="121"/>
      <c r="CJ23" s="121"/>
      <c r="CK23" s="120"/>
      <c r="CL23" s="121">
        <f>Data!CL26</f>
        <v>13</v>
      </c>
      <c r="CM23" s="121">
        <f>Data!CM26</f>
        <v>19</v>
      </c>
      <c r="CN23" s="121">
        <f>Data!CN26</f>
        <v>17</v>
      </c>
      <c r="CO23" s="121">
        <f>Data!CO26</f>
        <v>19</v>
      </c>
      <c r="CP23" s="120">
        <f>SUM(CL23:CO23)</f>
        <v>68</v>
      </c>
      <c r="CQ23" s="121">
        <f>Data!CQ26</f>
        <v>24</v>
      </c>
      <c r="CR23" s="121">
        <f>Data!CR26</f>
        <v>20</v>
      </c>
      <c r="CS23" s="121">
        <f>Data!CS26</f>
        <v>23</v>
      </c>
      <c r="CT23" s="121">
        <f>Data!CT26</f>
        <v>21</v>
      </c>
      <c r="CU23" s="120">
        <f>SUM(CQ23:CT23)</f>
        <v>88</v>
      </c>
      <c r="CV23" s="121">
        <f>Data!CV26</f>
        <v>23</v>
      </c>
      <c r="CW23" s="121">
        <f>Data!CW26</f>
        <v>33</v>
      </c>
      <c r="CX23" s="121">
        <f>Data!CX26</f>
        <v>33</v>
      </c>
      <c r="CY23" s="121">
        <f>Data!CY26</f>
        <v>29</v>
      </c>
      <c r="CZ23" s="120">
        <f>SUM(CV23:CY23)</f>
        <v>118</v>
      </c>
      <c r="DA23" s="121">
        <f>Data!DA26</f>
        <v>11</v>
      </c>
      <c r="DB23" s="121">
        <f>Data!DB26</f>
        <v>0</v>
      </c>
      <c r="DC23" s="121">
        <f>Data!DC26</f>
        <v>2</v>
      </c>
      <c r="DD23" s="121">
        <f>Data!DD26</f>
        <v>7</v>
      </c>
      <c r="DE23" s="120">
        <f>SUM(DA23:DD23)</f>
        <v>20</v>
      </c>
      <c r="DF23" s="121">
        <f>Data!DF26</f>
        <v>12</v>
      </c>
      <c r="DG23" s="121">
        <f>Data!DG26</f>
        <v>0</v>
      </c>
      <c r="DH23" s="121">
        <f>Data!DH26</f>
        <v>4</v>
      </c>
      <c r="DI23" s="121">
        <f>Data!DI26</f>
        <v>4</v>
      </c>
      <c r="DJ23" s="120">
        <f>SUM(DF23:DI23)</f>
        <v>20</v>
      </c>
      <c r="DK23" s="121">
        <f>Data!DK26</f>
        <v>-6</v>
      </c>
      <c r="DL23" s="121">
        <f>Data!DL26</f>
        <v>1</v>
      </c>
      <c r="DM23" s="121">
        <f>Data!DM26</f>
        <v>2</v>
      </c>
      <c r="DN23" s="121">
        <f>Data!DN26</f>
        <v>0</v>
      </c>
      <c r="DO23" s="120">
        <f>SUM(DK23:DN23)</f>
        <v>-3</v>
      </c>
      <c r="DP23" s="121">
        <f>Data!DP26</f>
        <v>3</v>
      </c>
      <c r="DQ23" s="121">
        <f>Data!DQ26</f>
        <v>-16</v>
      </c>
      <c r="DR23" s="122">
        <v>0</v>
      </c>
      <c r="DS23" s="122">
        <v>0</v>
      </c>
      <c r="DT23" s="120">
        <f>SUM(DP23:DS23)</f>
        <v>-13</v>
      </c>
      <c r="DU23" s="122">
        <v>0</v>
      </c>
      <c r="DV23" s="122">
        <v>0</v>
      </c>
      <c r="DW23" s="122">
        <v>0</v>
      </c>
      <c r="DX23" s="122">
        <v>0</v>
      </c>
      <c r="DY23" s="120">
        <f>SUM(DU23:DX23)</f>
        <v>0</v>
      </c>
      <c r="DZ23" s="123">
        <v>0</v>
      </c>
      <c r="EA23" s="123">
        <v>0</v>
      </c>
      <c r="EB23" s="123">
        <v>0</v>
      </c>
    </row>
    <row r="24" spans="2:132" s="241" customFormat="1" ht="12" customHeight="1">
      <c r="B24" s="127" t="s">
        <v>40</v>
      </c>
      <c r="C24" s="126">
        <f>SUM(C21:C22)</f>
        <v>-178</v>
      </c>
      <c r="D24" s="126">
        <f t="shared" ref="D24:AN24" si="81">SUM(D21:D22)</f>
        <v>1120</v>
      </c>
      <c r="E24" s="126">
        <f t="shared" si="81"/>
        <v>2309</v>
      </c>
      <c r="F24" s="126">
        <f t="shared" si="81"/>
        <v>2128</v>
      </c>
      <c r="G24" s="126">
        <f t="shared" si="81"/>
        <v>2826</v>
      </c>
      <c r="H24" s="126">
        <f t="shared" si="81"/>
        <v>2319</v>
      </c>
      <c r="I24" s="126">
        <f t="shared" si="81"/>
        <v>718</v>
      </c>
      <c r="J24" s="127">
        <f t="shared" si="81"/>
        <v>623</v>
      </c>
      <c r="K24" s="127">
        <f t="shared" si="81"/>
        <v>586</v>
      </c>
      <c r="L24" s="127">
        <f t="shared" si="81"/>
        <v>438</v>
      </c>
      <c r="M24" s="127">
        <f t="shared" si="81"/>
        <v>173</v>
      </c>
      <c r="N24" s="126">
        <f t="shared" si="81"/>
        <v>1820</v>
      </c>
      <c r="O24" s="127">
        <f t="shared" si="81"/>
        <v>514</v>
      </c>
      <c r="P24" s="127">
        <f t="shared" si="81"/>
        <v>566</v>
      </c>
      <c r="Q24" s="127">
        <f t="shared" si="81"/>
        <v>1013</v>
      </c>
      <c r="R24" s="127">
        <f t="shared" si="81"/>
        <v>469</v>
      </c>
      <c r="S24" s="126">
        <f t="shared" si="81"/>
        <v>2562</v>
      </c>
      <c r="T24" s="127">
        <f t="shared" si="81"/>
        <v>692</v>
      </c>
      <c r="U24" s="127">
        <f t="shared" si="81"/>
        <v>-160</v>
      </c>
      <c r="V24" s="127">
        <f t="shared" si="81"/>
        <v>694</v>
      </c>
      <c r="W24" s="127">
        <f t="shared" si="81"/>
        <v>980</v>
      </c>
      <c r="X24" s="126">
        <f t="shared" si="81"/>
        <v>2206</v>
      </c>
      <c r="Y24" s="127">
        <f t="shared" si="81"/>
        <v>873</v>
      </c>
      <c r="Z24" s="127">
        <f t="shared" si="81"/>
        <v>1049</v>
      </c>
      <c r="AA24" s="127">
        <f t="shared" si="81"/>
        <v>1109</v>
      </c>
      <c r="AB24" s="127">
        <f t="shared" si="81"/>
        <v>1027</v>
      </c>
      <c r="AC24" s="126">
        <f t="shared" si="81"/>
        <v>4058</v>
      </c>
      <c r="AD24" s="127">
        <f t="shared" si="81"/>
        <v>1206</v>
      </c>
      <c r="AE24" s="127">
        <f t="shared" si="81"/>
        <v>851</v>
      </c>
      <c r="AF24" s="127">
        <f t="shared" si="81"/>
        <v>683</v>
      </c>
      <c r="AG24" s="127">
        <f t="shared" si="81"/>
        <v>-86</v>
      </c>
      <c r="AH24" s="126">
        <f t="shared" si="81"/>
        <v>2654</v>
      </c>
      <c r="AI24" s="127">
        <f t="shared" si="81"/>
        <v>615</v>
      </c>
      <c r="AJ24" s="127">
        <f t="shared" si="81"/>
        <v>997</v>
      </c>
      <c r="AK24" s="127">
        <f t="shared" si="81"/>
        <v>-1560</v>
      </c>
      <c r="AL24" s="127">
        <f t="shared" si="81"/>
        <v>1283</v>
      </c>
      <c r="AM24" s="126">
        <f t="shared" si="81"/>
        <v>1335</v>
      </c>
      <c r="AN24" s="127">
        <f t="shared" si="81"/>
        <v>519</v>
      </c>
      <c r="AO24" s="127">
        <f>SUM(AO21:AO22)</f>
        <v>789</v>
      </c>
      <c r="AP24" s="127">
        <f>SUM(AP21:AP22)</f>
        <v>837</v>
      </c>
      <c r="AQ24" s="127">
        <f>SUM(AQ21:AQ22)</f>
        <v>1166</v>
      </c>
      <c r="AR24" s="126">
        <f t="shared" si="7"/>
        <v>3311</v>
      </c>
      <c r="AS24" s="127">
        <f>SUM(AS21:AS22)</f>
        <v>587.79999999999995</v>
      </c>
      <c r="AT24" s="127">
        <f>SUM(AT21:AT22)</f>
        <v>942</v>
      </c>
      <c r="AU24" s="127">
        <f>SUM(AU21:AU22)</f>
        <v>1094</v>
      </c>
      <c r="AV24" s="127">
        <f>SUM(AV21:AV22)</f>
        <v>1387.2</v>
      </c>
      <c r="AW24" s="126">
        <f t="shared" si="8"/>
        <v>4011</v>
      </c>
      <c r="AX24" s="25">
        <f>SUM(AX21:AX22)</f>
        <v>924</v>
      </c>
      <c r="AY24" s="127">
        <f>AY21+AY22</f>
        <v>967</v>
      </c>
      <c r="AZ24" s="25">
        <f>AZ21+AZ22</f>
        <v>1032.3999999999996</v>
      </c>
      <c r="BA24" s="25">
        <f>BA21+BA22</f>
        <v>978</v>
      </c>
      <c r="BB24" s="126">
        <f t="shared" si="9"/>
        <v>3901.3999999999996</v>
      </c>
      <c r="BC24" s="25">
        <f>SUM(BC21:BC22)</f>
        <v>1106</v>
      </c>
      <c r="BD24" s="25">
        <f>SUM(BD21:BD22)</f>
        <v>1087</v>
      </c>
      <c r="BE24" s="25">
        <f>SUM(BE21:BE22)</f>
        <v>1160</v>
      </c>
      <c r="BF24" s="25">
        <f>SUM(BF21:BF22)</f>
        <v>1233.4000000000015</v>
      </c>
      <c r="BG24" s="26">
        <f t="shared" si="10"/>
        <v>4586.4000000000015</v>
      </c>
      <c r="BH24" s="25">
        <f>BH21+BH22</f>
        <v>965</v>
      </c>
      <c r="BI24" s="25">
        <f>SUM(BI21:BI22)</f>
        <v>1653</v>
      </c>
      <c r="BJ24" s="25">
        <f>BJ21+BJ22</f>
        <v>1362</v>
      </c>
      <c r="BK24" s="25">
        <f>BK21+BK22</f>
        <v>1466</v>
      </c>
      <c r="BL24" s="26">
        <f t="shared" si="11"/>
        <v>5446</v>
      </c>
      <c r="BM24" s="25">
        <f>BM21+BM22</f>
        <v>1336</v>
      </c>
      <c r="BN24" s="25">
        <f>BN21+BN22</f>
        <v>1110</v>
      </c>
      <c r="BO24" s="25">
        <f>BO21+BO22</f>
        <v>1704</v>
      </c>
      <c r="BP24" s="25">
        <f>BP21+BP22</f>
        <v>1026</v>
      </c>
      <c r="BQ24" s="26">
        <f t="shared" si="12"/>
        <v>5176</v>
      </c>
      <c r="BR24" s="25">
        <f>BR21+BR22</f>
        <v>1219</v>
      </c>
      <c r="BS24" s="25">
        <f>BS21+BS22</f>
        <v>-234</v>
      </c>
      <c r="BT24" s="25">
        <f>BT21+BT22</f>
        <v>2279</v>
      </c>
      <c r="BU24" s="25">
        <f>BU21+BU22</f>
        <v>1631</v>
      </c>
      <c r="BV24" s="26">
        <f t="shared" si="13"/>
        <v>4895</v>
      </c>
      <c r="BW24" s="25">
        <f>BW21+BW22</f>
        <v>1579</v>
      </c>
      <c r="BX24" s="25">
        <f>BX21+BX22</f>
        <v>1749</v>
      </c>
      <c r="BY24" s="25">
        <f>BY21+BY22</f>
        <v>1810</v>
      </c>
      <c r="BZ24" s="25">
        <f t="shared" ref="BZ24" si="82">BZ21+BZ22</f>
        <v>3320</v>
      </c>
      <c r="CA24" s="26">
        <f t="shared" si="50"/>
        <v>8458</v>
      </c>
      <c r="CB24" s="25">
        <f t="shared" ref="CB24:CC24" si="83">CB21+CB22</f>
        <v>2477</v>
      </c>
      <c r="CC24" s="25">
        <f t="shared" si="83"/>
        <v>2196</v>
      </c>
      <c r="CD24" s="25">
        <f t="shared" ref="CD24:CE24" si="84">CD21+CD22</f>
        <v>2363</v>
      </c>
      <c r="CE24" s="25">
        <f t="shared" si="84"/>
        <v>3424</v>
      </c>
      <c r="CF24" s="26">
        <f t="shared" si="62"/>
        <v>10460</v>
      </c>
      <c r="CG24" s="25">
        <f t="shared" ref="CG24:CH24" si="85">CG21+CG22</f>
        <v>2149</v>
      </c>
      <c r="CH24" s="25">
        <f t="shared" si="85"/>
        <v>-2942</v>
      </c>
      <c r="CI24" s="25">
        <f t="shared" ref="CI24" si="86">CI21+CI22</f>
        <v>1167</v>
      </c>
      <c r="CJ24" s="25">
        <f t="shared" ref="CJ24" si="87">CJ21+CJ22</f>
        <v>-1010</v>
      </c>
      <c r="CK24" s="26">
        <f t="shared" si="63"/>
        <v>-636</v>
      </c>
      <c r="CL24" s="25">
        <f>CL21+CL22+CL23</f>
        <v>-628</v>
      </c>
      <c r="CM24" s="25">
        <f t="shared" ref="CM24" si="88">CM21+CM22+CM23</f>
        <v>-2376</v>
      </c>
      <c r="CN24" s="25">
        <f t="shared" ref="CN24" si="89">CN21+CN22+CN23</f>
        <v>-449</v>
      </c>
      <c r="CO24" s="25">
        <f t="shared" ref="CO24" si="90">CO21+CO22+CO23</f>
        <v>-8420</v>
      </c>
      <c r="CP24" s="26">
        <f t="shared" si="64"/>
        <v>-11873</v>
      </c>
      <c r="CQ24" s="25">
        <f t="shared" ref="CQ24" si="91">CQ21+CQ22+CQ23</f>
        <v>-537</v>
      </c>
      <c r="CR24" s="25">
        <f t="shared" ref="CR24:CS24" si="92">CR21+CR22+CR23</f>
        <v>587</v>
      </c>
      <c r="CS24" s="25">
        <f t="shared" si="92"/>
        <v>-109</v>
      </c>
      <c r="CT24" s="25">
        <f t="shared" ref="CT24" si="93">CT21+CT22+CT23</f>
        <v>-4143</v>
      </c>
      <c r="CU24" s="26">
        <f t="shared" si="65"/>
        <v>-4202</v>
      </c>
      <c r="CV24" s="25">
        <f t="shared" ref="CV24:CW24" si="94">CV21+CV22+CV23</f>
        <v>-1219</v>
      </c>
      <c r="CW24" s="25">
        <f t="shared" si="94"/>
        <v>193</v>
      </c>
      <c r="CX24" s="25">
        <f t="shared" ref="CX24:CY24" si="95">CX21+CX22+CX23</f>
        <v>-3275</v>
      </c>
      <c r="CY24" s="25">
        <f t="shared" si="95"/>
        <v>-634</v>
      </c>
      <c r="CZ24" s="26">
        <f t="shared" ref="CZ24:CZ26" si="96">SUM(CV24:CY24)</f>
        <v>-4935</v>
      </c>
      <c r="DA24" s="25">
        <f t="shared" ref="DA24:DD24" si="97">DA21+DA22+DA23</f>
        <v>-414</v>
      </c>
      <c r="DB24" s="25">
        <f t="shared" si="97"/>
        <v>-149</v>
      </c>
      <c r="DC24" s="25">
        <f t="shared" ref="DC24" si="98">DC21+DC22+DC23</f>
        <v>-1636</v>
      </c>
      <c r="DD24" s="25">
        <f t="shared" si="97"/>
        <v>-23</v>
      </c>
      <c r="DE24" s="26">
        <f t="shared" ref="DE24:DE26" si="99">SUM(DA24:DD24)</f>
        <v>-2222</v>
      </c>
      <c r="DF24" s="25">
        <f t="shared" ref="DF24:DG24" si="100">DF21+DF22+DF23</f>
        <v>-343</v>
      </c>
      <c r="DG24" s="25">
        <f t="shared" si="100"/>
        <v>-1439</v>
      </c>
      <c r="DH24" s="25">
        <f t="shared" ref="DH24:DI24" si="101">DH21+DH22+DH23</f>
        <v>-6170</v>
      </c>
      <c r="DI24" s="25">
        <f t="shared" si="101"/>
        <v>-3857</v>
      </c>
      <c r="DJ24" s="26">
        <f t="shared" ref="DJ24:DJ26" si="102">SUM(DF24:DI24)</f>
        <v>-11809</v>
      </c>
      <c r="DK24" s="25">
        <f t="shared" ref="DK24:DN24" si="103">DK21+DK22+DK23</f>
        <v>-37</v>
      </c>
      <c r="DL24" s="25">
        <f t="shared" si="103"/>
        <v>-611</v>
      </c>
      <c r="DM24" s="25">
        <f t="shared" si="103"/>
        <v>-5337</v>
      </c>
      <c r="DN24" s="25">
        <f t="shared" si="103"/>
        <v>8220</v>
      </c>
      <c r="DO24" s="26">
        <f t="shared" ref="DO24:DO26" si="104">SUM(DK24:DN24)</f>
        <v>2235</v>
      </c>
      <c r="DP24" s="25">
        <f t="shared" ref="DP24:DQ24" si="105">DP21+DP22+DP23</f>
        <v>-4</v>
      </c>
      <c r="DQ24" s="25">
        <f t="shared" si="105"/>
        <v>-444</v>
      </c>
      <c r="DR24" s="25">
        <f t="shared" ref="DR24:DS24" si="106">DR21+DR22+DR23</f>
        <v>144.34907497124729</v>
      </c>
      <c r="DS24" s="25">
        <f t="shared" si="106"/>
        <v>595.57399143240411</v>
      </c>
      <c r="DT24" s="26">
        <f t="shared" ref="DT24:DT26" si="107">SUM(DP24:DS24)</f>
        <v>291.92306640365143</v>
      </c>
      <c r="DU24" s="25">
        <f t="shared" ref="DU24:DX24" si="108">DU21+DU22+DU23</f>
        <v>194.35318506851002</v>
      </c>
      <c r="DV24" s="25">
        <f t="shared" si="108"/>
        <v>819.82447636339418</v>
      </c>
      <c r="DW24" s="25">
        <f t="shared" si="108"/>
        <v>1289.5962561721392</v>
      </c>
      <c r="DX24" s="25">
        <f t="shared" si="108"/>
        <v>1694.8158899094822</v>
      </c>
      <c r="DY24" s="26">
        <f t="shared" ref="DY24:DY26" si="109">SUM(DU24:DX24)</f>
        <v>3998.5898075135256</v>
      </c>
      <c r="DZ24" s="26">
        <f t="shared" ref="DZ24" si="110">DZ21+DZ22+DZ23</f>
        <v>7536.4561565064378</v>
      </c>
      <c r="EA24" s="26">
        <f t="shared" ref="EA24:EB24" si="111">EA21+EA22+EA23</f>
        <v>11190.507404873064</v>
      </c>
      <c r="EB24" s="26">
        <f t="shared" si="111"/>
        <v>15007.379554937488</v>
      </c>
    </row>
    <row r="25" spans="2:132" s="121" customFormat="1" ht="12" customHeight="1">
      <c r="B25" s="121" t="s">
        <v>39</v>
      </c>
      <c r="C25" s="120">
        <f>Data!C28</f>
        <v>0</v>
      </c>
      <c r="D25" s="120">
        <f>Data!D28</f>
        <v>0</v>
      </c>
      <c r="E25" s="120">
        <f>Data!E28</f>
        <v>0</v>
      </c>
      <c r="F25" s="120">
        <f>Data!F28</f>
        <v>0</v>
      </c>
      <c r="G25" s="120">
        <f>Data!G28</f>
        <v>1</v>
      </c>
      <c r="H25" s="120">
        <f>Data!H28</f>
        <v>-1827</v>
      </c>
      <c r="I25" s="120">
        <f>Data!I28</f>
        <v>0</v>
      </c>
      <c r="J25" s="121">
        <f>Data!J28</f>
        <v>0</v>
      </c>
      <c r="K25" s="121">
        <f>Data!K28</f>
        <v>21</v>
      </c>
      <c r="L25" s="121">
        <f>Data!L28</f>
        <v>18</v>
      </c>
      <c r="M25" s="121">
        <f>Data!M28</f>
        <v>13</v>
      </c>
      <c r="N25" s="120">
        <f t="shared" si="0"/>
        <v>52</v>
      </c>
      <c r="O25" s="121">
        <f>Data!O28</f>
        <v>21</v>
      </c>
      <c r="P25" s="121">
        <f>Data!P28</f>
        <v>0</v>
      </c>
      <c r="Q25" s="121">
        <f>Data!Q28</f>
        <v>-2</v>
      </c>
      <c r="R25" s="121">
        <f>Data!R28</f>
        <v>-9</v>
      </c>
      <c r="S25" s="120">
        <f t="shared" si="1"/>
        <v>10</v>
      </c>
      <c r="T25" s="121">
        <f>Data!T28</f>
        <v>0</v>
      </c>
      <c r="U25" s="121">
        <f>Data!U28</f>
        <v>0</v>
      </c>
      <c r="V25" s="121">
        <f>Data!V28</f>
        <v>0</v>
      </c>
      <c r="W25" s="121">
        <f>Data!W28</f>
        <v>9</v>
      </c>
      <c r="X25" s="120">
        <f t="shared" si="2"/>
        <v>9</v>
      </c>
      <c r="Y25" s="121">
        <f>Data!Y28</f>
        <v>4</v>
      </c>
      <c r="Z25" s="121">
        <f>Data!Z28</f>
        <v>1</v>
      </c>
      <c r="AA25" s="121">
        <f>Data!AA28</f>
        <v>5</v>
      </c>
      <c r="AB25" s="121">
        <f>Data!AB28</f>
        <v>6</v>
      </c>
      <c r="AC25" s="120">
        <f t="shared" si="3"/>
        <v>16</v>
      </c>
      <c r="AD25" s="121">
        <f>Data!AD28</f>
        <v>5</v>
      </c>
      <c r="AE25" s="121">
        <f>Data!AE28</f>
        <v>1</v>
      </c>
      <c r="AF25" s="121">
        <f>Data!AF28</f>
        <v>12</v>
      </c>
      <c r="AG25" s="121">
        <f>Data!AG28</f>
        <v>0</v>
      </c>
      <c r="AH25" s="120">
        <f t="shared" si="4"/>
        <v>18</v>
      </c>
      <c r="AI25" s="121">
        <f>Data!AI28</f>
        <v>-5</v>
      </c>
      <c r="AJ25" s="121">
        <f>Data!AJ28</f>
        <v>1</v>
      </c>
      <c r="AK25" s="121">
        <f>Data!AK28</f>
        <v>-4</v>
      </c>
      <c r="AL25" s="121">
        <f>Data!AL28</f>
        <v>-15</v>
      </c>
      <c r="AM25" s="120">
        <f t="shared" si="6"/>
        <v>-23</v>
      </c>
      <c r="AN25" s="121">
        <f>Data!AN28</f>
        <v>0</v>
      </c>
      <c r="AO25" s="121">
        <f>Data!AO28</f>
        <v>-2</v>
      </c>
      <c r="AP25" s="121">
        <f>Data!AP28</f>
        <v>0</v>
      </c>
      <c r="AQ25" s="121">
        <f>Data!AQ28</f>
        <v>-2</v>
      </c>
      <c r="AR25" s="120">
        <f t="shared" si="7"/>
        <v>-4</v>
      </c>
      <c r="AS25" s="121">
        <f>Data!AS28</f>
        <v>-2</v>
      </c>
      <c r="AT25" s="121">
        <f>Data!AT28</f>
        <v>-1</v>
      </c>
      <c r="AU25" s="121">
        <f>Data!AU28</f>
        <v>4</v>
      </c>
      <c r="AV25" s="121">
        <f>Data!AV28</f>
        <v>6</v>
      </c>
      <c r="AW25" s="120">
        <f>SUM(AS25:AV25)</f>
        <v>7</v>
      </c>
      <c r="AX25" s="121">
        <f>Data!AX28</f>
        <v>-1</v>
      </c>
      <c r="AY25" s="121">
        <f>Data!AY28</f>
        <v>0</v>
      </c>
      <c r="AZ25" s="121">
        <f>Data!AZ28</f>
        <v>0</v>
      </c>
      <c r="BA25" s="121">
        <f>Data!BA28</f>
        <v>0</v>
      </c>
      <c r="BB25" s="120">
        <f t="shared" si="9"/>
        <v>-1</v>
      </c>
      <c r="BC25" s="121">
        <f>Data!BC28</f>
        <v>0</v>
      </c>
      <c r="BD25" s="121">
        <f>Data!BD28</f>
        <v>1</v>
      </c>
      <c r="BE25" s="121">
        <f>Data!BE28</f>
        <v>-2</v>
      </c>
      <c r="BF25" s="121">
        <f>Data!BF28</f>
        <v>0</v>
      </c>
      <c r="BG25" s="120">
        <f t="shared" si="10"/>
        <v>-1</v>
      </c>
      <c r="BH25" s="121">
        <f>Data!BH28</f>
        <v>0</v>
      </c>
      <c r="BI25" s="121">
        <f>Data!BI28</f>
        <v>0</v>
      </c>
      <c r="BJ25" s="121">
        <f>Data!BJ28</f>
        <v>0</v>
      </c>
      <c r="BK25" s="121">
        <f>Data!BK28</f>
        <v>0</v>
      </c>
      <c r="BL25" s="120">
        <f t="shared" si="11"/>
        <v>0</v>
      </c>
      <c r="BM25" s="121">
        <f>Data!BM28</f>
        <v>0</v>
      </c>
      <c r="BN25" s="121">
        <f>Data!BN28</f>
        <v>0</v>
      </c>
      <c r="BO25" s="121">
        <f>Data!BO28</f>
        <v>0</v>
      </c>
      <c r="BP25" s="121">
        <f>Data!BP28</f>
        <v>0</v>
      </c>
      <c r="BQ25" s="120">
        <f t="shared" si="12"/>
        <v>0</v>
      </c>
      <c r="BR25" s="121">
        <f>Data!BR28</f>
        <v>0</v>
      </c>
      <c r="BS25" s="121">
        <f>Data!BS28</f>
        <v>0</v>
      </c>
      <c r="BT25" s="121">
        <f>Data!BT28</f>
        <v>0</v>
      </c>
      <c r="BU25" s="121">
        <f>Data!BU28</f>
        <v>0</v>
      </c>
      <c r="BV25" s="120">
        <f t="shared" si="13"/>
        <v>0</v>
      </c>
      <c r="BW25" s="121">
        <f>Data!BW28</f>
        <v>0</v>
      </c>
      <c r="BX25" s="121">
        <f>Data!BX28</f>
        <v>0</v>
      </c>
      <c r="BY25" s="121">
        <f>Data!BY28</f>
        <v>0</v>
      </c>
      <c r="BZ25" s="121">
        <f>Data!BZ28</f>
        <v>0</v>
      </c>
      <c r="CA25" s="120">
        <f t="shared" si="50"/>
        <v>0</v>
      </c>
      <c r="CB25" s="121">
        <f>Data!CB28</f>
        <v>0</v>
      </c>
      <c r="CC25" s="121">
        <f>Data!CC28</f>
        <v>0</v>
      </c>
      <c r="CD25" s="121">
        <f>Data!CD28</f>
        <v>0</v>
      </c>
      <c r="CE25" s="121">
        <f>Data!CE28</f>
        <v>0</v>
      </c>
      <c r="CF25" s="120">
        <f t="shared" si="62"/>
        <v>0</v>
      </c>
      <c r="CG25" s="121">
        <f>Data!CG28</f>
        <v>0</v>
      </c>
      <c r="CH25" s="121">
        <f>Data!CH28</f>
        <v>0</v>
      </c>
      <c r="CI25" s="121">
        <f>Data!CI28</f>
        <v>0</v>
      </c>
      <c r="CJ25" s="121">
        <f>Data!CJ28</f>
        <v>0</v>
      </c>
      <c r="CK25" s="120">
        <f t="shared" si="63"/>
        <v>0</v>
      </c>
      <c r="CL25" s="121">
        <f>Data!CL28</f>
        <v>0</v>
      </c>
      <c r="CM25" s="121">
        <f>Data!CM28</f>
        <v>0</v>
      </c>
      <c r="CN25" s="121">
        <f>Data!CN28</f>
        <v>0</v>
      </c>
      <c r="CO25" s="121">
        <f>Data!CO28</f>
        <v>0</v>
      </c>
      <c r="CP25" s="120">
        <f t="shared" si="64"/>
        <v>0</v>
      </c>
      <c r="CQ25" s="121">
        <f>Data!CQ28</f>
        <v>0</v>
      </c>
      <c r="CR25" s="121">
        <f>Data!CR28</f>
        <v>0</v>
      </c>
      <c r="CS25" s="121">
        <f>Data!CS28</f>
        <v>0</v>
      </c>
      <c r="CT25" s="121">
        <f>Data!CT28</f>
        <v>0</v>
      </c>
      <c r="CU25" s="120">
        <f t="shared" si="65"/>
        <v>0</v>
      </c>
      <c r="CV25" s="121">
        <f>Data!CV28</f>
        <v>0</v>
      </c>
      <c r="CW25" s="121">
        <f>Data!CW28</f>
        <v>0</v>
      </c>
      <c r="CX25" s="121">
        <f>Data!CX28</f>
        <v>0</v>
      </c>
      <c r="CY25" s="121">
        <f>Data!CY28</f>
        <v>0</v>
      </c>
      <c r="CZ25" s="120">
        <f t="shared" si="96"/>
        <v>0</v>
      </c>
      <c r="DA25" s="121">
        <f>Data!DA28</f>
        <v>0</v>
      </c>
      <c r="DB25" s="121">
        <f>Data!DB28</f>
        <v>0</v>
      </c>
      <c r="DC25" s="121">
        <f>Data!DC28</f>
        <v>0</v>
      </c>
      <c r="DD25" s="121">
        <f>Data!DD28</f>
        <v>0</v>
      </c>
      <c r="DE25" s="120">
        <f t="shared" si="99"/>
        <v>0</v>
      </c>
      <c r="DF25" s="121">
        <f>Data!DF28</f>
        <v>0</v>
      </c>
      <c r="DG25" s="121">
        <f>Data!DG28</f>
        <v>0</v>
      </c>
      <c r="DH25" s="121">
        <f>Data!DH28</f>
        <v>0</v>
      </c>
      <c r="DI25" s="121">
        <f>Data!DI28</f>
        <v>-58</v>
      </c>
      <c r="DJ25" s="120">
        <f t="shared" si="102"/>
        <v>-58</v>
      </c>
      <c r="DK25" s="121">
        <f>Data!DK28</f>
        <v>-86</v>
      </c>
      <c r="DL25" s="121">
        <f>Data!DL28</f>
        <v>-86</v>
      </c>
      <c r="DM25" s="121">
        <f>Data!DM28</f>
        <v>-87</v>
      </c>
      <c r="DN25" s="121">
        <f>Data!DN28</f>
        <v>-86</v>
      </c>
      <c r="DO25" s="120">
        <f t="shared" si="104"/>
        <v>-345</v>
      </c>
      <c r="DP25" s="121">
        <f>Data!DP28</f>
        <v>-86</v>
      </c>
      <c r="DQ25" s="121">
        <f>Data!DQ28</f>
        <v>-86</v>
      </c>
      <c r="DR25" s="122">
        <v>0</v>
      </c>
      <c r="DS25" s="122">
        <v>0</v>
      </c>
      <c r="DT25" s="120">
        <f t="shared" si="107"/>
        <v>-172</v>
      </c>
      <c r="DU25" s="122">
        <v>0</v>
      </c>
      <c r="DV25" s="122">
        <v>0</v>
      </c>
      <c r="DW25" s="122">
        <v>0</v>
      </c>
      <c r="DX25" s="122">
        <v>0</v>
      </c>
      <c r="DY25" s="120">
        <f t="shared" si="109"/>
        <v>0</v>
      </c>
      <c r="DZ25" s="123">
        <v>0</v>
      </c>
      <c r="EA25" s="123">
        <v>0</v>
      </c>
      <c r="EB25" s="123">
        <v>0</v>
      </c>
    </row>
    <row r="26" spans="2:132" s="121" customFormat="1" ht="12" customHeight="1">
      <c r="B26" s="121" t="s">
        <v>41</v>
      </c>
      <c r="C26" s="120">
        <f>SUM(C24:C25)</f>
        <v>-178</v>
      </c>
      <c r="D26" s="120">
        <f t="shared" ref="D26:AN26" si="112">SUM(D24:D25)</f>
        <v>1120</v>
      </c>
      <c r="E26" s="120">
        <f t="shared" si="112"/>
        <v>2309</v>
      </c>
      <c r="F26" s="120">
        <f t="shared" si="112"/>
        <v>2128</v>
      </c>
      <c r="G26" s="120">
        <f t="shared" si="112"/>
        <v>2827</v>
      </c>
      <c r="H26" s="120">
        <f t="shared" si="112"/>
        <v>492</v>
      </c>
      <c r="I26" s="120">
        <f t="shared" si="112"/>
        <v>718</v>
      </c>
      <c r="J26" s="121">
        <f t="shared" si="112"/>
        <v>623</v>
      </c>
      <c r="K26" s="121">
        <f t="shared" si="112"/>
        <v>607</v>
      </c>
      <c r="L26" s="121">
        <f t="shared" si="112"/>
        <v>456</v>
      </c>
      <c r="M26" s="121">
        <f t="shared" si="112"/>
        <v>186</v>
      </c>
      <c r="N26" s="120">
        <f t="shared" si="112"/>
        <v>1872</v>
      </c>
      <c r="O26" s="121">
        <f t="shared" si="112"/>
        <v>535</v>
      </c>
      <c r="P26" s="121">
        <f t="shared" si="112"/>
        <v>566</v>
      </c>
      <c r="Q26" s="121">
        <f t="shared" si="112"/>
        <v>1011</v>
      </c>
      <c r="R26" s="121">
        <f t="shared" si="112"/>
        <v>460</v>
      </c>
      <c r="S26" s="120">
        <f t="shared" si="112"/>
        <v>2572</v>
      </c>
      <c r="T26" s="121">
        <f t="shared" si="112"/>
        <v>692</v>
      </c>
      <c r="U26" s="121">
        <f t="shared" si="112"/>
        <v>-160</v>
      </c>
      <c r="V26" s="121">
        <f t="shared" si="112"/>
        <v>694</v>
      </c>
      <c r="W26" s="121">
        <f t="shared" si="112"/>
        <v>989</v>
      </c>
      <c r="X26" s="120">
        <f t="shared" si="112"/>
        <v>2215</v>
      </c>
      <c r="Y26" s="121">
        <f t="shared" si="112"/>
        <v>877</v>
      </c>
      <c r="Z26" s="121">
        <f t="shared" si="112"/>
        <v>1050</v>
      </c>
      <c r="AA26" s="121">
        <f t="shared" si="112"/>
        <v>1114</v>
      </c>
      <c r="AB26" s="121">
        <f t="shared" si="112"/>
        <v>1033</v>
      </c>
      <c r="AC26" s="120">
        <f t="shared" si="112"/>
        <v>4074</v>
      </c>
      <c r="AD26" s="121">
        <f t="shared" si="112"/>
        <v>1211</v>
      </c>
      <c r="AE26" s="121">
        <f t="shared" si="112"/>
        <v>852</v>
      </c>
      <c r="AF26" s="121">
        <f t="shared" si="112"/>
        <v>695</v>
      </c>
      <c r="AG26" s="121">
        <f t="shared" si="112"/>
        <v>-86</v>
      </c>
      <c r="AH26" s="120">
        <f t="shared" si="112"/>
        <v>2672</v>
      </c>
      <c r="AI26" s="121">
        <f t="shared" si="112"/>
        <v>610</v>
      </c>
      <c r="AJ26" s="121">
        <f t="shared" si="112"/>
        <v>998</v>
      </c>
      <c r="AK26" s="121">
        <f t="shared" si="112"/>
        <v>-1564</v>
      </c>
      <c r="AL26" s="121">
        <f t="shared" si="112"/>
        <v>1268</v>
      </c>
      <c r="AM26" s="120">
        <f t="shared" si="112"/>
        <v>1312</v>
      </c>
      <c r="AN26" s="121">
        <f t="shared" si="112"/>
        <v>519</v>
      </c>
      <c r="AO26" s="121">
        <f>SUM(AO24:AO25)</f>
        <v>787</v>
      </c>
      <c r="AP26" s="121">
        <f>SUM(AP24:AP25)</f>
        <v>837</v>
      </c>
      <c r="AQ26" s="121">
        <f>SUM(AQ24:AQ25)</f>
        <v>1164</v>
      </c>
      <c r="AR26" s="120">
        <f t="shared" si="7"/>
        <v>3307</v>
      </c>
      <c r="AS26" s="121">
        <f>SUM(AS24:AS25)</f>
        <v>585.79999999999995</v>
      </c>
      <c r="AT26" s="121">
        <f>SUM(AT24:AT25)</f>
        <v>941</v>
      </c>
      <c r="AU26" s="121">
        <f>SUM(AU24:AU25)</f>
        <v>1098</v>
      </c>
      <c r="AV26" s="121">
        <f>SUM(AV24:AV25)</f>
        <v>1393.2</v>
      </c>
      <c r="AW26" s="120">
        <f>SUM(AS26:AV26)</f>
        <v>4018</v>
      </c>
      <c r="AX26" s="121">
        <f>SUM(AX24:AX25)</f>
        <v>923</v>
      </c>
      <c r="AY26" s="121">
        <f>AY24+AY25</f>
        <v>967</v>
      </c>
      <c r="AZ26" s="121">
        <f>AZ24+AZ25</f>
        <v>1032.3999999999996</v>
      </c>
      <c r="BA26" s="121">
        <f>BA24+BA25</f>
        <v>978</v>
      </c>
      <c r="BB26" s="120">
        <f t="shared" si="9"/>
        <v>3900.3999999999996</v>
      </c>
      <c r="BC26" s="121">
        <f>SUM(BC24:BC25)</f>
        <v>1106</v>
      </c>
      <c r="BD26" s="121">
        <f>SUM(BD24:BD25)</f>
        <v>1088</v>
      </c>
      <c r="BE26" s="121">
        <f>SUM(BE24:BE25)</f>
        <v>1158</v>
      </c>
      <c r="BF26" s="121">
        <f>SUM(BF24:BF25)</f>
        <v>1233.4000000000015</v>
      </c>
      <c r="BG26" s="120">
        <f t="shared" si="10"/>
        <v>4585.4000000000015</v>
      </c>
      <c r="BH26" s="121">
        <f>BH24+BH25</f>
        <v>965</v>
      </c>
      <c r="BI26" s="121">
        <f>SUM(BI24:BI25)</f>
        <v>1653</v>
      </c>
      <c r="BJ26" s="121">
        <f>BJ24+BJ25</f>
        <v>1362</v>
      </c>
      <c r="BK26" s="121">
        <f>BK24+BK25</f>
        <v>1466</v>
      </c>
      <c r="BL26" s="120">
        <f t="shared" si="11"/>
        <v>5446</v>
      </c>
      <c r="BM26" s="121">
        <f>BM24+BM25</f>
        <v>1336</v>
      </c>
      <c r="BN26" s="121">
        <f>BN24+BN25</f>
        <v>1110</v>
      </c>
      <c r="BO26" s="121">
        <f>BO24+BO25</f>
        <v>1704</v>
      </c>
      <c r="BP26" s="121">
        <f>BP24+BP25</f>
        <v>1026</v>
      </c>
      <c r="BQ26" s="120">
        <f t="shared" si="12"/>
        <v>5176</v>
      </c>
      <c r="BR26" s="121">
        <f>BR24+BR25</f>
        <v>1219</v>
      </c>
      <c r="BS26" s="121">
        <f>BS24+BS25</f>
        <v>-234</v>
      </c>
      <c r="BT26" s="121">
        <f>BT24+BT25</f>
        <v>2279</v>
      </c>
      <c r="BU26" s="121">
        <f>BU24+BU25</f>
        <v>1631</v>
      </c>
      <c r="BV26" s="120">
        <f t="shared" si="13"/>
        <v>4895</v>
      </c>
      <c r="BW26" s="121">
        <f>BW24+BW25</f>
        <v>1579</v>
      </c>
      <c r="BX26" s="121">
        <f>BX24+BX25</f>
        <v>1749</v>
      </c>
      <c r="BY26" s="121">
        <f>BY24+BY25</f>
        <v>1810</v>
      </c>
      <c r="BZ26" s="121">
        <f t="shared" ref="BZ26" si="113">BZ24+BZ25</f>
        <v>3320</v>
      </c>
      <c r="CA26" s="120">
        <f t="shared" si="50"/>
        <v>8458</v>
      </c>
      <c r="CB26" s="121">
        <f t="shared" ref="CB26" si="114">CB24+CB25</f>
        <v>2477</v>
      </c>
      <c r="CC26" s="121">
        <f t="shared" ref="CC26" si="115">CC24+CC25</f>
        <v>2196</v>
      </c>
      <c r="CD26" s="121">
        <f t="shared" ref="CD26:CE26" si="116">CD24+CD25</f>
        <v>2363</v>
      </c>
      <c r="CE26" s="121">
        <f t="shared" si="116"/>
        <v>3424</v>
      </c>
      <c r="CF26" s="120">
        <f t="shared" si="62"/>
        <v>10460</v>
      </c>
      <c r="CG26" s="121">
        <f t="shared" ref="CG26:CH26" si="117">CG24+CG25</f>
        <v>2149</v>
      </c>
      <c r="CH26" s="121">
        <f t="shared" si="117"/>
        <v>-2942</v>
      </c>
      <c r="CI26" s="121">
        <f t="shared" ref="CI26" si="118">CI24+CI25</f>
        <v>1167</v>
      </c>
      <c r="CJ26" s="121">
        <f t="shared" ref="CJ26:CL26" si="119">CJ24+CJ25</f>
        <v>-1010</v>
      </c>
      <c r="CK26" s="120">
        <f t="shared" si="63"/>
        <v>-636</v>
      </c>
      <c r="CL26" s="121">
        <f t="shared" si="119"/>
        <v>-628</v>
      </c>
      <c r="CM26" s="121">
        <f t="shared" ref="CM26:CN26" si="120">CM24+CM25</f>
        <v>-2376</v>
      </c>
      <c r="CN26" s="121">
        <f t="shared" si="120"/>
        <v>-449</v>
      </c>
      <c r="CO26" s="121">
        <f t="shared" ref="CO26" si="121">CO24+CO25</f>
        <v>-8420</v>
      </c>
      <c r="CP26" s="120">
        <f t="shared" si="64"/>
        <v>-11873</v>
      </c>
      <c r="CQ26" s="121">
        <f t="shared" ref="CQ26" si="122">CQ24+CQ25</f>
        <v>-537</v>
      </c>
      <c r="CR26" s="121">
        <f t="shared" ref="CR26:CS26" si="123">CR24+CR25</f>
        <v>587</v>
      </c>
      <c r="CS26" s="121">
        <f t="shared" si="123"/>
        <v>-109</v>
      </c>
      <c r="CT26" s="121">
        <f t="shared" ref="CT26" si="124">CT24+CT25</f>
        <v>-4143</v>
      </c>
      <c r="CU26" s="120">
        <f t="shared" si="65"/>
        <v>-4202</v>
      </c>
      <c r="CV26" s="121">
        <f t="shared" ref="CV26:CW26" si="125">CV24+CV25</f>
        <v>-1219</v>
      </c>
      <c r="CW26" s="121">
        <f t="shared" si="125"/>
        <v>193</v>
      </c>
      <c r="CX26" s="121">
        <f t="shared" ref="CX26:CY26" si="126">CX24+CX25</f>
        <v>-3275</v>
      </c>
      <c r="CY26" s="121">
        <f t="shared" si="126"/>
        <v>-634</v>
      </c>
      <c r="CZ26" s="120">
        <f t="shared" si="96"/>
        <v>-4935</v>
      </c>
      <c r="DA26" s="121">
        <f t="shared" ref="DA26:DD26" si="127">DA24+DA25</f>
        <v>-414</v>
      </c>
      <c r="DB26" s="121">
        <f t="shared" si="127"/>
        <v>-149</v>
      </c>
      <c r="DC26" s="121">
        <f t="shared" ref="DC26" si="128">DC24+DC25</f>
        <v>-1636</v>
      </c>
      <c r="DD26" s="121">
        <f t="shared" si="127"/>
        <v>-23</v>
      </c>
      <c r="DE26" s="120">
        <f t="shared" si="99"/>
        <v>-2222</v>
      </c>
      <c r="DF26" s="121">
        <f t="shared" ref="DF26:DG26" si="129">DF24+DF25</f>
        <v>-343</v>
      </c>
      <c r="DG26" s="121">
        <f t="shared" si="129"/>
        <v>-1439</v>
      </c>
      <c r="DH26" s="121">
        <f t="shared" ref="DH26:DI26" si="130">DH24+DH25</f>
        <v>-6170</v>
      </c>
      <c r="DI26" s="121">
        <f t="shared" si="130"/>
        <v>-3915</v>
      </c>
      <c r="DJ26" s="120">
        <f t="shared" si="102"/>
        <v>-11867</v>
      </c>
      <c r="DK26" s="121">
        <f t="shared" ref="DK26:DN26" si="131">DK24+DK25</f>
        <v>-123</v>
      </c>
      <c r="DL26" s="121">
        <f t="shared" si="131"/>
        <v>-697</v>
      </c>
      <c r="DM26" s="121">
        <f t="shared" si="131"/>
        <v>-5424</v>
      </c>
      <c r="DN26" s="121">
        <f t="shared" si="131"/>
        <v>8134</v>
      </c>
      <c r="DO26" s="120">
        <f t="shared" si="104"/>
        <v>1890</v>
      </c>
      <c r="DP26" s="121">
        <f t="shared" ref="DP26:DQ26" si="132">DP24+DP25</f>
        <v>-90</v>
      </c>
      <c r="DQ26" s="121">
        <f t="shared" si="132"/>
        <v>-530</v>
      </c>
      <c r="DR26" s="121">
        <f t="shared" ref="DR26:DS26" si="133">DR24+DR25</f>
        <v>144.34907497124729</v>
      </c>
      <c r="DS26" s="121">
        <f t="shared" si="133"/>
        <v>595.57399143240411</v>
      </c>
      <c r="DT26" s="120">
        <f t="shared" si="107"/>
        <v>119.92306640365143</v>
      </c>
      <c r="DU26" s="121">
        <f t="shared" ref="DU26:DX26" si="134">DU24+DU25</f>
        <v>194.35318506851002</v>
      </c>
      <c r="DV26" s="121">
        <f t="shared" si="134"/>
        <v>819.82447636339418</v>
      </c>
      <c r="DW26" s="121">
        <f t="shared" si="134"/>
        <v>1289.5962561721392</v>
      </c>
      <c r="DX26" s="121">
        <f t="shared" si="134"/>
        <v>1694.8158899094822</v>
      </c>
      <c r="DY26" s="120">
        <f t="shared" si="109"/>
        <v>3998.5898075135256</v>
      </c>
      <c r="DZ26" s="120">
        <f t="shared" ref="DZ26" si="135">DZ24+DZ25</f>
        <v>7536.4561565064378</v>
      </c>
      <c r="EA26" s="120">
        <f t="shared" ref="EA26:EB26" si="136">EA24+EA25</f>
        <v>11190.507404873064</v>
      </c>
      <c r="EB26" s="120">
        <f t="shared" si="136"/>
        <v>15007.379554937488</v>
      </c>
    </row>
    <row r="27" spans="2:132" s="241" customFormat="1" ht="12" customHeight="1">
      <c r="B27" s="68"/>
      <c r="C27" s="120"/>
      <c r="D27" s="120"/>
      <c r="E27" s="120"/>
      <c r="F27" s="120"/>
      <c r="G27" s="120"/>
      <c r="H27" s="120"/>
      <c r="I27" s="120"/>
      <c r="J27" s="238"/>
      <c r="K27" s="238"/>
      <c r="L27" s="238"/>
      <c r="M27" s="238"/>
      <c r="N27" s="239"/>
      <c r="O27" s="238"/>
      <c r="P27" s="238"/>
      <c r="Q27" s="238"/>
      <c r="R27" s="238"/>
      <c r="S27" s="239"/>
      <c r="T27" s="238"/>
      <c r="U27" s="238"/>
      <c r="V27" s="238"/>
      <c r="W27" s="238"/>
      <c r="X27" s="239"/>
      <c r="Y27" s="238"/>
      <c r="Z27" s="238"/>
      <c r="AA27" s="238"/>
      <c r="AB27" s="238"/>
      <c r="AC27" s="239"/>
      <c r="AD27" s="238"/>
      <c r="AE27" s="238"/>
      <c r="AF27" s="238"/>
      <c r="AG27" s="238"/>
      <c r="AH27" s="239"/>
      <c r="AI27" s="238"/>
      <c r="AJ27" s="238"/>
      <c r="AK27" s="238"/>
      <c r="AL27" s="238"/>
      <c r="AM27" s="290"/>
      <c r="AN27" s="121"/>
      <c r="AO27" s="238"/>
      <c r="AP27" s="238"/>
      <c r="AQ27" s="535"/>
      <c r="AR27" s="473"/>
      <c r="AS27" s="121"/>
      <c r="AT27" s="238"/>
      <c r="AU27" s="238"/>
      <c r="AV27" s="238"/>
      <c r="AW27" s="473"/>
      <c r="AX27" s="535"/>
      <c r="AY27" s="535"/>
      <c r="AZ27" s="402"/>
      <c r="BA27" s="402"/>
      <c r="BB27" s="473"/>
      <c r="BC27" s="535"/>
      <c r="BD27" s="535"/>
      <c r="BE27" s="535"/>
      <c r="BF27" s="535"/>
      <c r="BG27" s="583"/>
      <c r="BH27" s="690"/>
      <c r="BI27" s="535"/>
      <c r="BJ27" s="690"/>
      <c r="BK27" s="690"/>
      <c r="BL27" s="691"/>
      <c r="BM27" s="402"/>
      <c r="BN27" s="402"/>
      <c r="BO27" s="690"/>
      <c r="BP27" s="690"/>
      <c r="BQ27" s="691"/>
      <c r="BR27" s="690"/>
      <c r="BS27" s="692"/>
      <c r="BT27" s="690"/>
      <c r="BU27" s="690"/>
      <c r="BV27" s="796"/>
      <c r="BW27" s="692"/>
      <c r="BX27" s="692"/>
      <c r="BY27" s="692"/>
      <c r="BZ27" s="692"/>
      <c r="CA27" s="796"/>
      <c r="CB27" s="692"/>
      <c r="CC27" s="692"/>
      <c r="CD27" s="692"/>
      <c r="CE27" s="692"/>
      <c r="CF27" s="796"/>
      <c r="CG27" s="692"/>
      <c r="CH27" s="692"/>
      <c r="CI27" s="692"/>
      <c r="CJ27" s="692"/>
      <c r="CK27" s="120"/>
      <c r="CL27" s="692"/>
      <c r="CM27" s="692"/>
      <c r="CN27" s="692"/>
      <c r="CO27" s="692"/>
      <c r="CP27" s="120"/>
      <c r="CQ27" s="692"/>
      <c r="CR27" s="692"/>
      <c r="CS27" s="692"/>
      <c r="CT27" s="692"/>
      <c r="CU27" s="120"/>
      <c r="CV27" s="692"/>
      <c r="CW27" s="692"/>
      <c r="CX27" s="692"/>
      <c r="CY27" s="692"/>
      <c r="CZ27" s="120"/>
      <c r="DA27" s="692"/>
      <c r="DB27" s="121"/>
      <c r="DC27" s="692"/>
      <c r="DD27" s="692"/>
      <c r="DE27" s="120"/>
      <c r="DF27" s="692"/>
      <c r="DG27" s="121"/>
      <c r="DH27" s="692"/>
      <c r="DI27" s="692"/>
      <c r="DJ27" s="120"/>
      <c r="DK27" s="692"/>
      <c r="DL27" s="121"/>
      <c r="DM27" s="692"/>
      <c r="DN27" s="692"/>
      <c r="DO27" s="120"/>
      <c r="DP27" s="692"/>
      <c r="DQ27" s="121"/>
      <c r="DR27" s="692"/>
      <c r="DS27" s="692"/>
      <c r="DT27" s="120"/>
      <c r="DU27" s="692"/>
      <c r="DV27" s="692"/>
      <c r="DW27" s="692"/>
      <c r="DX27" s="692"/>
      <c r="DY27" s="120"/>
      <c r="DZ27" s="796"/>
      <c r="EA27" s="796"/>
      <c r="EB27" s="796"/>
    </row>
    <row r="28" spans="2:132" s="68" customFormat="1" ht="12" hidden="1" customHeight="1" outlineLevel="1">
      <c r="B28" s="143" t="s">
        <v>42</v>
      </c>
      <c r="C28" s="381">
        <f t="shared" ref="C28:AK28" si="137">C24/C39</f>
        <v>-0.18348623853211007</v>
      </c>
      <c r="D28" s="381">
        <f t="shared" si="137"/>
        <v>1.1467185420292823</v>
      </c>
      <c r="E28" s="381">
        <f t="shared" si="137"/>
        <v>2.5177188965216444</v>
      </c>
      <c r="F28" s="381">
        <f t="shared" si="137"/>
        <v>2.4758580570098894</v>
      </c>
      <c r="G28" s="381">
        <f t="shared" si="137"/>
        <v>3.4623866699338395</v>
      </c>
      <c r="H28" s="381">
        <f t="shared" si="137"/>
        <v>2.9023779724655818</v>
      </c>
      <c r="I28" s="381">
        <f t="shared" si="137"/>
        <v>0.89738782652168481</v>
      </c>
      <c r="J28" s="382">
        <f t="shared" si="137"/>
        <v>0.77758362456315522</v>
      </c>
      <c r="K28" s="382">
        <f t="shared" si="137"/>
        <v>0.72542708591235461</v>
      </c>
      <c r="L28" s="382">
        <f t="shared" si="137"/>
        <v>0.54194506310319224</v>
      </c>
      <c r="M28" s="382">
        <f t="shared" si="137"/>
        <v>0.21336951159348785</v>
      </c>
      <c r="N28" s="381">
        <f t="shared" si="137"/>
        <v>2.2552664188351921</v>
      </c>
      <c r="O28" s="382">
        <f t="shared" si="137"/>
        <v>0.64378757515030061</v>
      </c>
      <c r="P28" s="382">
        <f t="shared" si="137"/>
        <v>0.71347535610739954</v>
      </c>
      <c r="Q28" s="382">
        <f t="shared" si="137"/>
        <v>1.2866759812015751</v>
      </c>
      <c r="R28" s="382">
        <f t="shared" si="137"/>
        <v>0.60516129032258059</v>
      </c>
      <c r="S28" s="381">
        <f t="shared" si="137"/>
        <v>3.2492073557387444</v>
      </c>
      <c r="T28" s="382">
        <f t="shared" si="137"/>
        <v>0.89811810512654122</v>
      </c>
      <c r="U28" s="382">
        <f t="shared" si="137"/>
        <v>-0.21016681991330621</v>
      </c>
      <c r="V28" s="382">
        <f t="shared" si="137"/>
        <v>0.89780077619663645</v>
      </c>
      <c r="W28" s="382">
        <f t="shared" si="137"/>
        <v>1.2577002053388089</v>
      </c>
      <c r="X28" s="381">
        <f t="shared" si="137"/>
        <v>2.8612191958495461</v>
      </c>
      <c r="Y28" s="382">
        <f t="shared" si="137"/>
        <v>1.1405800888424353</v>
      </c>
      <c r="Z28" s="382">
        <f t="shared" si="137"/>
        <v>1.3739358218729536</v>
      </c>
      <c r="AA28" s="382">
        <f t="shared" si="137"/>
        <v>1.4605557750559728</v>
      </c>
      <c r="AB28" s="382">
        <f t="shared" si="137"/>
        <v>1.3711615487316426</v>
      </c>
      <c r="AC28" s="381">
        <f t="shared" si="137"/>
        <v>5.3443961543526939</v>
      </c>
      <c r="AD28" s="382">
        <f t="shared" si="137"/>
        <v>1.6341463414634145</v>
      </c>
      <c r="AE28" s="382">
        <f t="shared" si="137"/>
        <v>1.1729841488628532</v>
      </c>
      <c r="AF28" s="382">
        <f t="shared" si="137"/>
        <v>0.95191637630662018</v>
      </c>
      <c r="AG28" s="382">
        <f t="shared" si="137"/>
        <v>-0.12122920778122355</v>
      </c>
      <c r="AH28" s="381">
        <f t="shared" si="137"/>
        <v>3.6728480487129809</v>
      </c>
      <c r="AI28" s="382">
        <f t="shared" si="137"/>
        <v>0.8719693747341557</v>
      </c>
      <c r="AJ28" s="382">
        <f t="shared" si="137"/>
        <v>1.4137833238797504</v>
      </c>
      <c r="AK28" s="382">
        <f t="shared" si="137"/>
        <v>-2.2244403251105092</v>
      </c>
      <c r="AL28" s="382">
        <f t="shared" ref="AL28:BL28" si="138">AL24/AL39</f>
        <v>1.7902467135786657</v>
      </c>
      <c r="AM28" s="381">
        <f t="shared" si="138"/>
        <v>1.8879524943069745</v>
      </c>
      <c r="AN28" s="405">
        <f t="shared" si="138"/>
        <v>0.70631464344039196</v>
      </c>
      <c r="AO28" s="382">
        <f t="shared" si="138"/>
        <v>1.0702658708627237</v>
      </c>
      <c r="AP28" s="382">
        <f t="shared" si="138"/>
        <v>1.1324583953456906</v>
      </c>
      <c r="AQ28" s="382">
        <f t="shared" si="138"/>
        <v>1.57</v>
      </c>
      <c r="AR28" s="381">
        <f t="shared" si="138"/>
        <v>4.4837535987089394</v>
      </c>
      <c r="AS28" s="405">
        <f t="shared" si="138"/>
        <v>0.79122358325481223</v>
      </c>
      <c r="AT28" s="382">
        <f t="shared" si="138"/>
        <v>1.2635814889336017</v>
      </c>
      <c r="AU28" s="382">
        <f t="shared" si="138"/>
        <v>1.4625668449197862</v>
      </c>
      <c r="AV28" s="382">
        <f t="shared" si="138"/>
        <v>1.85</v>
      </c>
      <c r="AW28" s="381">
        <f t="shared" si="138"/>
        <v>5.3726464103798683</v>
      </c>
      <c r="AX28" s="382">
        <f t="shared" si="138"/>
        <v>1.2279069767441861</v>
      </c>
      <c r="AY28" s="382">
        <f t="shared" si="138"/>
        <v>1.2792697446752217</v>
      </c>
      <c r="AZ28" s="405">
        <f t="shared" si="138"/>
        <v>1.3645255088554051</v>
      </c>
      <c r="BA28" s="405">
        <f t="shared" si="138"/>
        <v>1.2905779889152809</v>
      </c>
      <c r="BB28" s="381">
        <f t="shared" si="138"/>
        <v>5.162630673547703</v>
      </c>
      <c r="BC28" s="382">
        <f>BC24/BC39</f>
        <v>1.4499213424226534</v>
      </c>
      <c r="BD28" s="382">
        <f t="shared" si="138"/>
        <v>1.4240796541333685</v>
      </c>
      <c r="BE28" s="382">
        <f t="shared" si="138"/>
        <v>1.5275217276797473</v>
      </c>
      <c r="BF28" s="382">
        <f t="shared" si="138"/>
        <v>1.63</v>
      </c>
      <c r="BG28" s="577">
        <f t="shared" si="138"/>
        <v>6.0303982947366936</v>
      </c>
      <c r="BH28" s="622">
        <f t="shared" si="138"/>
        <v>1.2953020134228188</v>
      </c>
      <c r="BI28" s="382">
        <f t="shared" ref="BI28" si="139">BI24/BI39</f>
        <v>2.2609766105867868</v>
      </c>
      <c r="BJ28" s="622">
        <f t="shared" si="138"/>
        <v>1.8843386828998341</v>
      </c>
      <c r="BK28" s="622">
        <f t="shared" si="138"/>
        <v>2.0604356992269852</v>
      </c>
      <c r="BL28" s="632">
        <f t="shared" si="138"/>
        <v>7.484881803188566</v>
      </c>
      <c r="BM28" s="622">
        <f t="shared" ref="BM28:BN28" si="140">BM24/BM39</f>
        <v>1.8931557318974066</v>
      </c>
      <c r="BN28" s="622">
        <f t="shared" si="140"/>
        <v>1.6059027777777777</v>
      </c>
      <c r="BO28" s="622">
        <f t="shared" ref="BO28:BQ28" si="141">BO24/BO39</f>
        <v>2.5011008366358434</v>
      </c>
      <c r="BP28" s="622">
        <f t="shared" si="141"/>
        <v>1.5233853006681515</v>
      </c>
      <c r="BQ28" s="632">
        <f t="shared" si="141"/>
        <v>7.5240760257295491</v>
      </c>
      <c r="BR28" s="622">
        <f t="shared" ref="BR28:BV28" si="142">BR24/BR39</f>
        <v>1.8480897513644632</v>
      </c>
      <c r="BS28" s="622">
        <f t="shared" si="142"/>
        <v>-0.36775106082036779</v>
      </c>
      <c r="BT28" s="622">
        <f t="shared" si="142"/>
        <v>3.6434852118305354</v>
      </c>
      <c r="BU28" s="622">
        <f t="shared" si="142"/>
        <v>2.6175573744182317</v>
      </c>
      <c r="BV28" s="632">
        <f t="shared" si="142"/>
        <v>7.6950284928276673</v>
      </c>
      <c r="BW28" s="622">
        <f t="shared" ref="BW28:CA28" si="143">BW24/BW39</f>
        <v>2.563103644184725</v>
      </c>
      <c r="BX28" s="622">
        <f t="shared" si="143"/>
        <v>2.8935395814376705</v>
      </c>
      <c r="BY28" s="622">
        <f t="shared" si="143"/>
        <v>3.0108957830824257</v>
      </c>
      <c r="BZ28" s="622">
        <f t="shared" si="143"/>
        <v>5.5337944828735726</v>
      </c>
      <c r="CA28" s="632">
        <f t="shared" si="143"/>
        <v>13.970928311859925</v>
      </c>
      <c r="CB28" s="622">
        <f t="shared" ref="CB28:CJ28" si="144">CB24/CB39</f>
        <v>4.1848285183307983</v>
      </c>
      <c r="CC28" s="622">
        <f t="shared" si="144"/>
        <v>3.764141241001028</v>
      </c>
      <c r="CD28" s="622">
        <f t="shared" si="144"/>
        <v>4.1059947871416158</v>
      </c>
      <c r="CE28" s="622">
        <f>CE24/CE39</f>
        <v>5.9839217056973082</v>
      </c>
      <c r="CF28" s="632">
        <f t="shared" si="144"/>
        <v>18.011192423590185</v>
      </c>
      <c r="CG28" s="622">
        <f t="shared" si="144"/>
        <v>3.7894551225533415</v>
      </c>
      <c r="CH28" s="622">
        <f t="shared" si="144"/>
        <v>-5.253571428571429</v>
      </c>
      <c r="CI28" s="622">
        <f t="shared" si="144"/>
        <v>2.069515871608441</v>
      </c>
      <c r="CJ28" s="622">
        <f t="shared" si="144"/>
        <v>-1.8032494197464737</v>
      </c>
      <c r="CK28" s="632">
        <f t="shared" ref="CK28:CO28" si="145">CK24/CK39</f>
        <v>-1.130114166407534</v>
      </c>
      <c r="CL28" s="622">
        <f t="shared" si="145"/>
        <v>-1.120228326792722</v>
      </c>
      <c r="CM28" s="622">
        <f t="shared" si="145"/>
        <v>-4.2345392978078769</v>
      </c>
      <c r="CN28" s="622">
        <f t="shared" si="145"/>
        <v>-0.79992873686085864</v>
      </c>
      <c r="CO28" s="622">
        <f t="shared" si="145"/>
        <v>-14.769338712506578</v>
      </c>
      <c r="CP28" s="632">
        <f t="shared" ref="CP28:CT28" si="146">CP24/CP39</f>
        <v>-21.078514047312591</v>
      </c>
      <c r="CQ28" s="622">
        <f t="shared" si="146"/>
        <v>-0.92570246509222542</v>
      </c>
      <c r="CR28" s="622">
        <f t="shared" si="146"/>
        <v>1.0035903573260387</v>
      </c>
      <c r="CS28" s="622">
        <f t="shared" si="146"/>
        <v>-0.18673976357718006</v>
      </c>
      <c r="CT28" s="622">
        <f t="shared" si="146"/>
        <v>-7.0820512820512818</v>
      </c>
      <c r="CU28" s="632">
        <f t="shared" ref="CU28:CV28" si="147">CU24/CU39</f>
        <v>-7.202296781934268</v>
      </c>
      <c r="CV28" s="622">
        <f t="shared" si="147"/>
        <v>-2.0787858117326055</v>
      </c>
      <c r="CW28" s="622">
        <f t="shared" ref="CW28:CZ28" si="148">CW24/CW39</f>
        <v>0.32650989680257148</v>
      </c>
      <c r="CX28" s="622">
        <f t="shared" si="148"/>
        <v>-5.5414551607445013</v>
      </c>
      <c r="CY28" s="622">
        <f t="shared" si="148"/>
        <v>-1.0680592991913747</v>
      </c>
      <c r="CZ28" s="632">
        <f t="shared" si="148"/>
        <v>-8.3569704923584958</v>
      </c>
      <c r="DA28" s="622">
        <f t="shared" ref="DA28:DD28" si="149">DA24/DA39</f>
        <v>-0.69323509711989273</v>
      </c>
      <c r="DB28" s="622">
        <f t="shared" si="149"/>
        <v>-0.24825058313895365</v>
      </c>
      <c r="DC28" s="622">
        <f t="shared" si="149"/>
        <v>-2.7180594783186574</v>
      </c>
      <c r="DD28" s="622">
        <f t="shared" si="149"/>
        <v>-3.8282290279627158E-2</v>
      </c>
      <c r="DE28" s="632">
        <f t="shared" ref="DE28:DI28" si="150">DE24/DE39</f>
        <v>-3.7031790342069075</v>
      </c>
      <c r="DF28" s="622">
        <f t="shared" si="150"/>
        <v>-0.56423753906892571</v>
      </c>
      <c r="DG28" s="622">
        <f t="shared" si="150"/>
        <v>-2.3539996728283983</v>
      </c>
      <c r="DH28" s="622">
        <f t="shared" si="150"/>
        <v>-10.057049714751427</v>
      </c>
      <c r="DI28" s="622">
        <f t="shared" si="150"/>
        <v>-5.3711182286589612</v>
      </c>
      <c r="DJ28" s="632">
        <f t="shared" ref="DJ28:DN28" si="151">DJ24/DJ39</f>
        <v>-18.518111964873764</v>
      </c>
      <c r="DK28" s="622">
        <f t="shared" si="151"/>
        <v>-4.9110698168303692E-2</v>
      </c>
      <c r="DL28" s="622">
        <f t="shared" si="151"/>
        <v>-0.80756013745704469</v>
      </c>
      <c r="DM28" s="622">
        <f t="shared" si="151"/>
        <v>-7.0232925384919067</v>
      </c>
      <c r="DN28" s="622">
        <f t="shared" si="151"/>
        <v>10.703125</v>
      </c>
      <c r="DO28" s="632">
        <f t="shared" ref="DO28:DS28" si="152">DO24/DO39</f>
        <v>2.9428223443826327</v>
      </c>
      <c r="DP28" s="622">
        <f t="shared" si="152"/>
        <v>-5.076142131979695E-3</v>
      </c>
      <c r="DQ28" s="622">
        <f t="shared" si="152"/>
        <v>-0.56159878573235511</v>
      </c>
      <c r="DR28" s="622">
        <f t="shared" si="152"/>
        <v>0.1824662810911987</v>
      </c>
      <c r="DS28" s="622">
        <f t="shared" si="152"/>
        <v>0.75260503119024968</v>
      </c>
      <c r="DT28" s="632">
        <f t="shared" ref="DT28:DX28" si="153">DT24/DT39</f>
        <v>0.36940012515290988</v>
      </c>
      <c r="DU28" s="622">
        <f t="shared" si="153"/>
        <v>0.24621927543993161</v>
      </c>
      <c r="DV28" s="622">
        <f t="shared" si="153"/>
        <v>1.0438969585069002</v>
      </c>
      <c r="DW28" s="622">
        <f t="shared" si="153"/>
        <v>1.6462580662183433</v>
      </c>
      <c r="DX28" s="622">
        <f t="shared" si="153"/>
        <v>2.1858720447662114</v>
      </c>
      <c r="DY28" s="632">
        <f t="shared" ref="DY28" si="154">DY24/DY39</f>
        <v>5.1044741271634972</v>
      </c>
      <c r="DZ28" s="632">
        <f t="shared" ref="DZ28" si="155">DZ24/DZ39</f>
        <v>9.8470714790702782</v>
      </c>
      <c r="EA28" s="632">
        <f t="shared" ref="EA28:EB28" si="156">EA24/EA39</f>
        <v>15.115158242551582</v>
      </c>
      <c r="EB28" s="632">
        <f t="shared" si="156"/>
        <v>21.126739712729623</v>
      </c>
    </row>
    <row r="29" spans="2:132" s="68" customFormat="1" ht="12" hidden="1" customHeight="1" outlineLevel="1">
      <c r="B29" s="68" t="s">
        <v>39</v>
      </c>
      <c r="C29" s="18">
        <f t="shared" ref="C29:AK29" si="157">C25/C39</f>
        <v>0</v>
      </c>
      <c r="D29" s="18">
        <f t="shared" si="157"/>
        <v>0</v>
      </c>
      <c r="E29" s="18">
        <f t="shared" si="157"/>
        <v>0</v>
      </c>
      <c r="F29" s="18">
        <f t="shared" si="157"/>
        <v>0</v>
      </c>
      <c r="G29" s="18">
        <f t="shared" si="157"/>
        <v>1.2251899044351873E-3</v>
      </c>
      <c r="H29" s="18">
        <f t="shared" si="157"/>
        <v>-2.2866082603254068</v>
      </c>
      <c r="I29" s="18">
        <f t="shared" si="157"/>
        <v>0</v>
      </c>
      <c r="J29" s="19">
        <f t="shared" si="157"/>
        <v>0</v>
      </c>
      <c r="K29" s="19">
        <f t="shared" si="157"/>
        <v>2.5996533795493937E-2</v>
      </c>
      <c r="L29" s="19">
        <f t="shared" si="157"/>
        <v>2.2271714922048998E-2</v>
      </c>
      <c r="M29" s="19">
        <f t="shared" si="157"/>
        <v>1.6033547113961516E-2</v>
      </c>
      <c r="N29" s="18">
        <f t="shared" si="157"/>
        <v>6.4436183395291197E-2</v>
      </c>
      <c r="O29" s="19">
        <f t="shared" si="157"/>
        <v>2.6302605210420844E-2</v>
      </c>
      <c r="P29" s="19">
        <f t="shared" si="157"/>
        <v>0</v>
      </c>
      <c r="Q29" s="19">
        <f t="shared" si="157"/>
        <v>-2.5403277022735937E-3</v>
      </c>
      <c r="R29" s="19">
        <f t="shared" si="157"/>
        <v>-1.1612903225806452E-2</v>
      </c>
      <c r="S29" s="18">
        <f t="shared" si="157"/>
        <v>1.2682308180088777E-2</v>
      </c>
      <c r="T29" s="19">
        <f t="shared" si="157"/>
        <v>0</v>
      </c>
      <c r="U29" s="19">
        <f t="shared" si="157"/>
        <v>0</v>
      </c>
      <c r="V29" s="19">
        <f t="shared" si="157"/>
        <v>0</v>
      </c>
      <c r="W29" s="19">
        <f t="shared" si="157"/>
        <v>1.1550308008213552E-2</v>
      </c>
      <c r="X29" s="18">
        <f t="shared" si="157"/>
        <v>1.1673151750972763E-2</v>
      </c>
      <c r="Y29" s="19">
        <f t="shared" si="157"/>
        <v>5.2260256075254774E-3</v>
      </c>
      <c r="Z29" s="19">
        <f t="shared" si="157"/>
        <v>1.3097576948264572E-3</v>
      </c>
      <c r="AA29" s="19">
        <f t="shared" si="157"/>
        <v>6.5850125115237725E-3</v>
      </c>
      <c r="AB29" s="19">
        <f t="shared" si="157"/>
        <v>8.0106809078771719E-3</v>
      </c>
      <c r="AC29" s="18">
        <f t="shared" si="157"/>
        <v>2.1072040036876072E-2</v>
      </c>
      <c r="AD29" s="19">
        <f t="shared" si="157"/>
        <v>6.7750677506775072E-3</v>
      </c>
      <c r="AE29" s="19">
        <f t="shared" si="157"/>
        <v>1.3783597518952446E-3</v>
      </c>
      <c r="AF29" s="19">
        <f t="shared" si="157"/>
        <v>1.6724738675958188E-2</v>
      </c>
      <c r="AG29" s="19">
        <f t="shared" si="157"/>
        <v>0</v>
      </c>
      <c r="AH29" s="18">
        <f t="shared" si="157"/>
        <v>2.4910047052311098E-2</v>
      </c>
      <c r="AI29" s="19">
        <f t="shared" si="157"/>
        <v>-7.08918190840777E-3</v>
      </c>
      <c r="AJ29" s="19">
        <f t="shared" si="157"/>
        <v>1.4180374361883153E-3</v>
      </c>
      <c r="AK29" s="19">
        <f t="shared" si="157"/>
        <v>-5.7036931413089976E-3</v>
      </c>
      <c r="AL29" s="19">
        <f t="shared" ref="AL29:BL29" si="158">AL25/AL39</f>
        <v>-2.0930398054310198E-2</v>
      </c>
      <c r="AM29" s="18">
        <f t="shared" si="158"/>
        <v>-3.2526522373828026E-2</v>
      </c>
      <c r="AN29" s="401">
        <f t="shared" si="158"/>
        <v>0</v>
      </c>
      <c r="AO29" s="19">
        <f t="shared" si="158"/>
        <v>-2.7129679869777536E-3</v>
      </c>
      <c r="AP29" s="19">
        <f t="shared" si="158"/>
        <v>0</v>
      </c>
      <c r="AQ29" s="19">
        <f t="shared" si="158"/>
        <v>-2.6929674099485422E-3</v>
      </c>
      <c r="AR29" s="18">
        <f t="shared" si="158"/>
        <v>-5.4167968573952761E-3</v>
      </c>
      <c r="AS29" s="401">
        <f t="shared" si="158"/>
        <v>-2.6921523758244715E-3</v>
      </c>
      <c r="AT29" s="19">
        <f t="shared" si="158"/>
        <v>-1.3413816230717639E-3</v>
      </c>
      <c r="AU29" s="19">
        <f t="shared" si="158"/>
        <v>5.3475935828877002E-3</v>
      </c>
      <c r="AV29" s="19">
        <f t="shared" si="158"/>
        <v>8.0017301038062278E-3</v>
      </c>
      <c r="AW29" s="18">
        <f t="shared" si="158"/>
        <v>9.376346265933453E-3</v>
      </c>
      <c r="AX29" s="19">
        <f t="shared" si="158"/>
        <v>-1.3289036544850499E-3</v>
      </c>
      <c r="AY29" s="19">
        <f t="shared" si="158"/>
        <v>0</v>
      </c>
      <c r="AZ29" s="401">
        <f t="shared" si="158"/>
        <v>0</v>
      </c>
      <c r="BA29" s="401">
        <f t="shared" si="158"/>
        <v>0</v>
      </c>
      <c r="BB29" s="18">
        <f t="shared" si="158"/>
        <v>-1.3232764324467381E-3</v>
      </c>
      <c r="BC29" s="19">
        <f>BC25/BC39</f>
        <v>0</v>
      </c>
      <c r="BD29" s="19">
        <f t="shared" si="158"/>
        <v>1.3101008777675882E-3</v>
      </c>
      <c r="BE29" s="19">
        <f t="shared" si="158"/>
        <v>-2.6336581511719778E-3</v>
      </c>
      <c r="BF29" s="19">
        <f t="shared" si="158"/>
        <v>0</v>
      </c>
      <c r="BG29" s="578">
        <f t="shared" si="158"/>
        <v>-1.3148435144637826E-3</v>
      </c>
      <c r="BH29" s="623">
        <f t="shared" si="158"/>
        <v>0</v>
      </c>
      <c r="BI29" s="19">
        <f t="shared" ref="BI29" si="159">BI25/BI39</f>
        <v>0</v>
      </c>
      <c r="BJ29" s="623">
        <f t="shared" si="158"/>
        <v>0</v>
      </c>
      <c r="BK29" s="623">
        <f t="shared" si="158"/>
        <v>0</v>
      </c>
      <c r="BL29" s="633">
        <f t="shared" si="158"/>
        <v>0</v>
      </c>
      <c r="BM29" s="623">
        <f t="shared" ref="BM29:BN29" si="160">BM25/BM39</f>
        <v>0</v>
      </c>
      <c r="BN29" s="623">
        <f t="shared" si="160"/>
        <v>0</v>
      </c>
      <c r="BO29" s="623">
        <f t="shared" ref="BO29:BQ29" si="161">BO25/BO39</f>
        <v>0</v>
      </c>
      <c r="BP29" s="623">
        <f t="shared" si="161"/>
        <v>0</v>
      </c>
      <c r="BQ29" s="633">
        <f t="shared" si="161"/>
        <v>0</v>
      </c>
      <c r="BR29" s="623">
        <f t="shared" ref="BR29:BV29" si="162">BR25/BR39</f>
        <v>0</v>
      </c>
      <c r="BS29" s="623">
        <f t="shared" si="162"/>
        <v>0</v>
      </c>
      <c r="BT29" s="623">
        <f t="shared" si="162"/>
        <v>0</v>
      </c>
      <c r="BU29" s="623">
        <f t="shared" si="162"/>
        <v>0</v>
      </c>
      <c r="BV29" s="633">
        <f t="shared" si="162"/>
        <v>0</v>
      </c>
      <c r="BW29" s="623">
        <f t="shared" ref="BW29:CA29" si="163">BW25/BW39</f>
        <v>0</v>
      </c>
      <c r="BX29" s="623">
        <f t="shared" si="163"/>
        <v>0</v>
      </c>
      <c r="BY29" s="623">
        <f t="shared" si="163"/>
        <v>0</v>
      </c>
      <c r="BZ29" s="623">
        <f t="shared" si="163"/>
        <v>0</v>
      </c>
      <c r="CA29" s="633">
        <f t="shared" si="163"/>
        <v>0</v>
      </c>
      <c r="CB29" s="623">
        <f t="shared" ref="CB29:CJ29" si="164">CB25/CB39</f>
        <v>0</v>
      </c>
      <c r="CC29" s="623">
        <f t="shared" si="164"/>
        <v>0</v>
      </c>
      <c r="CD29" s="623">
        <f t="shared" si="164"/>
        <v>0</v>
      </c>
      <c r="CE29" s="623">
        <f>CE25/CE39</f>
        <v>0</v>
      </c>
      <c r="CF29" s="633">
        <f t="shared" si="164"/>
        <v>0</v>
      </c>
      <c r="CG29" s="623">
        <f t="shared" si="164"/>
        <v>0</v>
      </c>
      <c r="CH29" s="623">
        <f t="shared" si="164"/>
        <v>0</v>
      </c>
      <c r="CI29" s="623">
        <f t="shared" si="164"/>
        <v>0</v>
      </c>
      <c r="CJ29" s="623">
        <f t="shared" si="164"/>
        <v>0</v>
      </c>
      <c r="CK29" s="633">
        <f t="shared" ref="CK29:CO29" si="165">CK25/CK39</f>
        <v>0</v>
      </c>
      <c r="CL29" s="623">
        <f t="shared" si="165"/>
        <v>0</v>
      </c>
      <c r="CM29" s="623">
        <f t="shared" si="165"/>
        <v>0</v>
      </c>
      <c r="CN29" s="623">
        <f t="shared" si="165"/>
        <v>0</v>
      </c>
      <c r="CO29" s="623">
        <f t="shared" si="165"/>
        <v>0</v>
      </c>
      <c r="CP29" s="633">
        <f t="shared" ref="CP29:CT29" si="166">CP25/CP39</f>
        <v>0</v>
      </c>
      <c r="CQ29" s="623">
        <f t="shared" si="166"/>
        <v>0</v>
      </c>
      <c r="CR29" s="623">
        <f t="shared" si="166"/>
        <v>0</v>
      </c>
      <c r="CS29" s="623">
        <f t="shared" si="166"/>
        <v>0</v>
      </c>
      <c r="CT29" s="623">
        <f t="shared" si="166"/>
        <v>0</v>
      </c>
      <c r="CU29" s="633">
        <f t="shared" ref="CU29:CV29" si="167">CU25/CU39</f>
        <v>0</v>
      </c>
      <c r="CV29" s="623">
        <f t="shared" si="167"/>
        <v>0</v>
      </c>
      <c r="CW29" s="623">
        <f t="shared" ref="CW29:CZ29" si="168">CW25/CW39</f>
        <v>0</v>
      </c>
      <c r="CX29" s="623">
        <f t="shared" si="168"/>
        <v>0</v>
      </c>
      <c r="CY29" s="623">
        <f t="shared" si="168"/>
        <v>0</v>
      </c>
      <c r="CZ29" s="633">
        <f t="shared" si="168"/>
        <v>0</v>
      </c>
      <c r="DA29" s="623">
        <f t="shared" ref="DA29:DD29" si="169">DA25/DA39</f>
        <v>0</v>
      </c>
      <c r="DB29" s="623">
        <f t="shared" si="169"/>
        <v>0</v>
      </c>
      <c r="DC29" s="623">
        <f t="shared" si="169"/>
        <v>0</v>
      </c>
      <c r="DD29" s="623">
        <f t="shared" si="169"/>
        <v>0</v>
      </c>
      <c r="DE29" s="633">
        <f t="shared" ref="DE29:DH29" si="170">DE25/DE39</f>
        <v>0</v>
      </c>
      <c r="DF29" s="623">
        <f t="shared" si="170"/>
        <v>0</v>
      </c>
      <c r="DG29" s="623">
        <f t="shared" si="170"/>
        <v>0</v>
      </c>
      <c r="DH29" s="623">
        <f t="shared" si="170"/>
        <v>0</v>
      </c>
      <c r="DI29" s="623">
        <f>DI25/DI39-0.01</f>
        <v>-9.076869516780392E-2</v>
      </c>
      <c r="DJ29" s="633">
        <f t="shared" ref="DJ29:DN29" si="171">DJ25/DJ39</f>
        <v>-9.0951858240551978E-2</v>
      </c>
      <c r="DK29" s="623">
        <f t="shared" si="171"/>
        <v>-0.11414919033713831</v>
      </c>
      <c r="DL29" s="623">
        <f t="shared" si="171"/>
        <v>-0.11366640232619614</v>
      </c>
      <c r="DM29" s="623">
        <f t="shared" si="171"/>
        <v>-0.11448874851954205</v>
      </c>
      <c r="DN29" s="623">
        <f t="shared" si="171"/>
        <v>-0.11197916666666667</v>
      </c>
      <c r="DO29" s="633">
        <f t="shared" ref="DO29:DS29" si="172">DO25/DO39</f>
        <v>-0.45426116725369498</v>
      </c>
      <c r="DP29" s="623">
        <f t="shared" si="172"/>
        <v>-0.10913705583756345</v>
      </c>
      <c r="DQ29" s="623">
        <f t="shared" si="172"/>
        <v>-0.10877814318239312</v>
      </c>
      <c r="DR29" s="623">
        <f t="shared" si="172"/>
        <v>0</v>
      </c>
      <c r="DS29" s="623">
        <f t="shared" si="172"/>
        <v>0</v>
      </c>
      <c r="DT29" s="633">
        <f t="shared" ref="DT29:DX29" si="173">DT25/DT39</f>
        <v>-0.21764919884215689</v>
      </c>
      <c r="DU29" s="623">
        <f t="shared" si="173"/>
        <v>0</v>
      </c>
      <c r="DV29" s="623">
        <f t="shared" si="173"/>
        <v>0</v>
      </c>
      <c r="DW29" s="623">
        <f t="shared" si="173"/>
        <v>0</v>
      </c>
      <c r="DX29" s="623">
        <f t="shared" si="173"/>
        <v>0</v>
      </c>
      <c r="DY29" s="633">
        <f t="shared" ref="DY29" si="174">DY25/DY39</f>
        <v>0</v>
      </c>
      <c r="DZ29" s="633">
        <f t="shared" ref="DZ29" si="175">DZ25/DZ39</f>
        <v>0</v>
      </c>
      <c r="EA29" s="633">
        <f t="shared" ref="EA29:EB29" si="176">EA25/EA39</f>
        <v>0</v>
      </c>
      <c r="EB29" s="633">
        <f t="shared" si="176"/>
        <v>0</v>
      </c>
    </row>
    <row r="30" spans="2:132" s="68" customFormat="1" ht="12" hidden="1" customHeight="1" outlineLevel="1">
      <c r="B30" s="68" t="s">
        <v>43</v>
      </c>
      <c r="C30" s="18">
        <f t="shared" ref="C30:AN30" si="177">SUM(C28:C29)</f>
        <v>-0.18348623853211007</v>
      </c>
      <c r="D30" s="18">
        <f t="shared" si="177"/>
        <v>1.1467185420292823</v>
      </c>
      <c r="E30" s="18">
        <f t="shared" si="177"/>
        <v>2.5177188965216444</v>
      </c>
      <c r="F30" s="18">
        <f t="shared" si="177"/>
        <v>2.4758580570098894</v>
      </c>
      <c r="G30" s="18">
        <f t="shared" si="177"/>
        <v>3.4636118598382746</v>
      </c>
      <c r="H30" s="18">
        <f t="shared" si="177"/>
        <v>0.61576971214017506</v>
      </c>
      <c r="I30" s="18">
        <f t="shared" si="177"/>
        <v>0.89738782652168481</v>
      </c>
      <c r="J30" s="19">
        <f t="shared" si="177"/>
        <v>0.77758362456315522</v>
      </c>
      <c r="K30" s="19">
        <f t="shared" si="177"/>
        <v>0.75142361970784854</v>
      </c>
      <c r="L30" s="19">
        <f t="shared" si="177"/>
        <v>0.56421677802524128</v>
      </c>
      <c r="M30" s="19">
        <f t="shared" si="177"/>
        <v>0.22940305870744937</v>
      </c>
      <c r="N30" s="18">
        <f t="shared" si="177"/>
        <v>2.3197026022304832</v>
      </c>
      <c r="O30" s="19">
        <f t="shared" si="177"/>
        <v>0.67009018036072143</v>
      </c>
      <c r="P30" s="19">
        <f t="shared" si="177"/>
        <v>0.71347535610739954</v>
      </c>
      <c r="Q30" s="19">
        <f t="shared" si="177"/>
        <v>1.2841356534993016</v>
      </c>
      <c r="R30" s="19">
        <f t="shared" si="177"/>
        <v>0.59354838709677415</v>
      </c>
      <c r="S30" s="18">
        <f t="shared" si="177"/>
        <v>3.2618896639188333</v>
      </c>
      <c r="T30" s="19">
        <f t="shared" si="177"/>
        <v>0.89811810512654122</v>
      </c>
      <c r="U30" s="19">
        <f t="shared" si="177"/>
        <v>-0.21016681991330621</v>
      </c>
      <c r="V30" s="19">
        <f t="shared" si="177"/>
        <v>0.89780077619663645</v>
      </c>
      <c r="W30" s="19">
        <f t="shared" si="177"/>
        <v>1.2692505133470224</v>
      </c>
      <c r="X30" s="18">
        <f t="shared" si="177"/>
        <v>2.8728923476005188</v>
      </c>
      <c r="Y30" s="19">
        <f t="shared" si="177"/>
        <v>1.1458061144499607</v>
      </c>
      <c r="Z30" s="19">
        <f t="shared" si="177"/>
        <v>1.37524557956778</v>
      </c>
      <c r="AA30" s="19">
        <f t="shared" si="177"/>
        <v>1.4671407875674967</v>
      </c>
      <c r="AB30" s="19">
        <f t="shared" si="177"/>
        <v>1.3791722296395199</v>
      </c>
      <c r="AC30" s="18">
        <f t="shared" si="177"/>
        <v>5.3654681943895701</v>
      </c>
      <c r="AD30" s="19">
        <f t="shared" si="177"/>
        <v>1.640921409214092</v>
      </c>
      <c r="AE30" s="19">
        <f t="shared" si="177"/>
        <v>1.1743625086147484</v>
      </c>
      <c r="AF30" s="19">
        <f t="shared" si="177"/>
        <v>0.96864111498257832</v>
      </c>
      <c r="AG30" s="19">
        <f t="shared" si="177"/>
        <v>-0.12122920778122355</v>
      </c>
      <c r="AH30" s="18">
        <f t="shared" si="177"/>
        <v>3.697758095765292</v>
      </c>
      <c r="AI30" s="19">
        <f t="shared" si="177"/>
        <v>0.86488019282574791</v>
      </c>
      <c r="AJ30" s="19">
        <f t="shared" si="177"/>
        <v>1.4152013613159387</v>
      </c>
      <c r="AK30" s="19">
        <f t="shared" si="177"/>
        <v>-2.230144018251818</v>
      </c>
      <c r="AL30" s="19">
        <f t="shared" si="177"/>
        <v>1.7693163155243554</v>
      </c>
      <c r="AM30" s="18">
        <f>SUM(AM28:AM29)</f>
        <v>1.8554259719331465</v>
      </c>
      <c r="AN30" s="401">
        <f t="shared" si="177"/>
        <v>0.70631464344039196</v>
      </c>
      <c r="AO30" s="19">
        <f t="shared" ref="AO30:BL30" si="178">SUM(AO28:AO29)</f>
        <v>1.067552902875746</v>
      </c>
      <c r="AP30" s="19">
        <f t="shared" si="178"/>
        <v>1.1324583953456906</v>
      </c>
      <c r="AQ30" s="19">
        <f t="shared" si="178"/>
        <v>1.5673070325900516</v>
      </c>
      <c r="AR30" s="18">
        <f t="shared" si="178"/>
        <v>4.4783368018515439</v>
      </c>
      <c r="AS30" s="401">
        <f t="shared" si="178"/>
        <v>0.7885314308789878</v>
      </c>
      <c r="AT30" s="19">
        <f t="shared" si="178"/>
        <v>1.2622401073105298</v>
      </c>
      <c r="AU30" s="19">
        <f t="shared" si="178"/>
        <v>1.4679144385026739</v>
      </c>
      <c r="AV30" s="19">
        <f t="shared" si="178"/>
        <v>1.8580017301038063</v>
      </c>
      <c r="AW30" s="18">
        <f t="shared" si="178"/>
        <v>5.3820227566458021</v>
      </c>
      <c r="AX30" s="19">
        <f t="shared" si="178"/>
        <v>1.2265780730897011</v>
      </c>
      <c r="AY30" s="19">
        <f t="shared" si="178"/>
        <v>1.2792697446752217</v>
      </c>
      <c r="AZ30" s="401">
        <f t="shared" si="178"/>
        <v>1.3645255088554051</v>
      </c>
      <c r="BA30" s="401">
        <f t="shared" si="178"/>
        <v>1.2905779889152809</v>
      </c>
      <c r="BB30" s="18">
        <f t="shared" si="178"/>
        <v>5.1613073971152561</v>
      </c>
      <c r="BC30" s="19">
        <f>SUM(BC28:BC29)</f>
        <v>1.4499213424226534</v>
      </c>
      <c r="BD30" s="19">
        <f t="shared" si="178"/>
        <v>1.4253897550111361</v>
      </c>
      <c r="BE30" s="19">
        <f t="shared" si="178"/>
        <v>1.5248880695285754</v>
      </c>
      <c r="BF30" s="19">
        <f t="shared" si="178"/>
        <v>1.63</v>
      </c>
      <c r="BG30" s="578">
        <f t="shared" si="178"/>
        <v>6.0290834512222302</v>
      </c>
      <c r="BH30" s="623">
        <f t="shared" si="178"/>
        <v>1.2953020134228188</v>
      </c>
      <c r="BI30" s="19">
        <f t="shared" ref="BI30" si="179">SUM(BI28:BI29)</f>
        <v>2.2609766105867868</v>
      </c>
      <c r="BJ30" s="623">
        <f t="shared" si="178"/>
        <v>1.8843386828998341</v>
      </c>
      <c r="BK30" s="623">
        <f t="shared" si="178"/>
        <v>2.0604356992269852</v>
      </c>
      <c r="BL30" s="633">
        <f t="shared" si="178"/>
        <v>7.484881803188566</v>
      </c>
      <c r="BM30" s="623">
        <f t="shared" ref="BM30:BN30" si="180">SUM(BM28:BM29)</f>
        <v>1.8931557318974066</v>
      </c>
      <c r="BN30" s="623">
        <f t="shared" si="180"/>
        <v>1.6059027777777777</v>
      </c>
      <c r="BO30" s="623">
        <f t="shared" ref="BO30:BQ30" si="181">SUM(BO28:BO29)</f>
        <v>2.5011008366358434</v>
      </c>
      <c r="BP30" s="623">
        <f t="shared" si="181"/>
        <v>1.5233853006681515</v>
      </c>
      <c r="BQ30" s="633">
        <f t="shared" si="181"/>
        <v>7.5240760257295491</v>
      </c>
      <c r="BR30" s="623">
        <f t="shared" ref="BR30:BV30" si="182">SUM(BR28:BR29)</f>
        <v>1.8480897513644632</v>
      </c>
      <c r="BS30" s="623">
        <f t="shared" si="182"/>
        <v>-0.36775106082036779</v>
      </c>
      <c r="BT30" s="623">
        <f t="shared" si="182"/>
        <v>3.6434852118305354</v>
      </c>
      <c r="BU30" s="623">
        <f t="shared" si="182"/>
        <v>2.6175573744182317</v>
      </c>
      <c r="BV30" s="633">
        <f t="shared" si="182"/>
        <v>7.6950284928276673</v>
      </c>
      <c r="BW30" s="623">
        <f t="shared" ref="BW30:CA30" si="183">SUM(BW28:BW29)</f>
        <v>2.563103644184725</v>
      </c>
      <c r="BX30" s="623">
        <f t="shared" si="183"/>
        <v>2.8935395814376705</v>
      </c>
      <c r="BY30" s="623">
        <f t="shared" si="183"/>
        <v>3.0108957830824257</v>
      </c>
      <c r="BZ30" s="623">
        <f t="shared" si="183"/>
        <v>5.5337944828735726</v>
      </c>
      <c r="CA30" s="633">
        <f t="shared" si="183"/>
        <v>13.970928311859925</v>
      </c>
      <c r="CB30" s="623">
        <f t="shared" ref="CB30:CJ30" si="184">SUM(CB28:CB29)</f>
        <v>4.1848285183307983</v>
      </c>
      <c r="CC30" s="623">
        <f t="shared" si="184"/>
        <v>3.764141241001028</v>
      </c>
      <c r="CD30" s="623">
        <f t="shared" si="184"/>
        <v>4.1059947871416158</v>
      </c>
      <c r="CE30" s="623">
        <f>SUM(CE28:CE29)</f>
        <v>5.9839217056973082</v>
      </c>
      <c r="CF30" s="633">
        <f t="shared" si="184"/>
        <v>18.011192423590185</v>
      </c>
      <c r="CG30" s="623">
        <f t="shared" si="184"/>
        <v>3.7894551225533415</v>
      </c>
      <c r="CH30" s="623">
        <f t="shared" si="184"/>
        <v>-5.253571428571429</v>
      </c>
      <c r="CI30" s="623">
        <f t="shared" si="184"/>
        <v>2.069515871608441</v>
      </c>
      <c r="CJ30" s="623">
        <f t="shared" si="184"/>
        <v>-1.8032494197464737</v>
      </c>
      <c r="CK30" s="633">
        <f t="shared" ref="CK30:CO30" si="185">SUM(CK28:CK29)</f>
        <v>-1.130114166407534</v>
      </c>
      <c r="CL30" s="623">
        <f t="shared" si="185"/>
        <v>-1.120228326792722</v>
      </c>
      <c r="CM30" s="623">
        <f t="shared" si="185"/>
        <v>-4.2345392978078769</v>
      </c>
      <c r="CN30" s="623">
        <f t="shared" si="185"/>
        <v>-0.79992873686085864</v>
      </c>
      <c r="CO30" s="623">
        <f t="shared" si="185"/>
        <v>-14.769338712506578</v>
      </c>
      <c r="CP30" s="633">
        <f t="shared" ref="CP30:CT30" si="186">SUM(CP28:CP29)</f>
        <v>-21.078514047312591</v>
      </c>
      <c r="CQ30" s="623">
        <f t="shared" si="186"/>
        <v>-0.92570246509222542</v>
      </c>
      <c r="CR30" s="623">
        <f t="shared" si="186"/>
        <v>1.0035903573260387</v>
      </c>
      <c r="CS30" s="623">
        <f t="shared" si="186"/>
        <v>-0.18673976357718006</v>
      </c>
      <c r="CT30" s="623">
        <f t="shared" si="186"/>
        <v>-7.0820512820512818</v>
      </c>
      <c r="CU30" s="633">
        <f t="shared" ref="CU30:CV30" si="187">SUM(CU28:CU29)</f>
        <v>-7.202296781934268</v>
      </c>
      <c r="CV30" s="623">
        <f t="shared" si="187"/>
        <v>-2.0787858117326055</v>
      </c>
      <c r="CW30" s="623">
        <f t="shared" ref="CW30:CZ30" si="188">SUM(CW28:CW29)</f>
        <v>0.32650989680257148</v>
      </c>
      <c r="CX30" s="623">
        <f t="shared" si="188"/>
        <v>-5.5414551607445013</v>
      </c>
      <c r="CY30" s="623">
        <f t="shared" si="188"/>
        <v>-1.0680592991913747</v>
      </c>
      <c r="CZ30" s="633">
        <f t="shared" si="188"/>
        <v>-8.3569704923584958</v>
      </c>
      <c r="DA30" s="623">
        <f t="shared" ref="DA30:DD30" si="189">SUM(DA28:DA29)</f>
        <v>-0.69323509711989273</v>
      </c>
      <c r="DB30" s="623">
        <f t="shared" si="189"/>
        <v>-0.24825058313895365</v>
      </c>
      <c r="DC30" s="623">
        <f t="shared" si="189"/>
        <v>-2.7180594783186574</v>
      </c>
      <c r="DD30" s="623">
        <f t="shared" si="189"/>
        <v>-3.8282290279627158E-2</v>
      </c>
      <c r="DE30" s="633">
        <f t="shared" ref="DE30:DI30" si="190">SUM(DE28:DE29)</f>
        <v>-3.7031790342069075</v>
      </c>
      <c r="DF30" s="623">
        <f t="shared" si="190"/>
        <v>-0.56423753906892571</v>
      </c>
      <c r="DG30" s="623">
        <f t="shared" si="190"/>
        <v>-2.3539996728283983</v>
      </c>
      <c r="DH30" s="623">
        <f t="shared" si="190"/>
        <v>-10.057049714751427</v>
      </c>
      <c r="DI30" s="623">
        <f t="shared" si="190"/>
        <v>-5.4618869238267651</v>
      </c>
      <c r="DJ30" s="633">
        <f t="shared" ref="DJ30:DN30" si="191">SUM(DJ28:DJ29)</f>
        <v>-18.609063823114315</v>
      </c>
      <c r="DK30" s="623">
        <f t="shared" si="191"/>
        <v>-0.16325988850544201</v>
      </c>
      <c r="DL30" s="623">
        <f t="shared" si="191"/>
        <v>-0.92122653978324087</v>
      </c>
      <c r="DM30" s="623">
        <f t="shared" si="191"/>
        <v>-7.1377812870114488</v>
      </c>
      <c r="DN30" s="623">
        <f t="shared" si="191"/>
        <v>10.591145833333334</v>
      </c>
      <c r="DO30" s="633">
        <f t="shared" ref="DO30:DS30" si="192">SUM(DO28:DO29)</f>
        <v>2.4885611771289375</v>
      </c>
      <c r="DP30" s="623">
        <f t="shared" si="192"/>
        <v>-0.11421319796954314</v>
      </c>
      <c r="DQ30" s="623">
        <f t="shared" si="192"/>
        <v>-0.6703769289147482</v>
      </c>
      <c r="DR30" s="623">
        <f t="shared" si="192"/>
        <v>0.1824662810911987</v>
      </c>
      <c r="DS30" s="623">
        <f t="shared" si="192"/>
        <v>0.75260503119024968</v>
      </c>
      <c r="DT30" s="633">
        <f t="shared" ref="DT30:DX30" si="193">SUM(DT28:DT29)</f>
        <v>0.15175092631075299</v>
      </c>
      <c r="DU30" s="623">
        <f t="shared" si="193"/>
        <v>0.24621927543993161</v>
      </c>
      <c r="DV30" s="623">
        <f t="shared" si="193"/>
        <v>1.0438969585069002</v>
      </c>
      <c r="DW30" s="623">
        <f t="shared" si="193"/>
        <v>1.6462580662183433</v>
      </c>
      <c r="DX30" s="623">
        <f t="shared" si="193"/>
        <v>2.1858720447662114</v>
      </c>
      <c r="DY30" s="633">
        <f t="shared" ref="DY30" si="194">SUM(DY28:DY29)</f>
        <v>5.1044741271634972</v>
      </c>
      <c r="DZ30" s="633">
        <f t="shared" ref="DZ30" si="195">SUM(DZ28:DZ29)</f>
        <v>9.8470714790702782</v>
      </c>
      <c r="EA30" s="633">
        <f t="shared" ref="EA30:EB30" si="196">SUM(EA28:EA29)</f>
        <v>15.115158242551582</v>
      </c>
      <c r="EB30" s="633">
        <f t="shared" si="196"/>
        <v>21.126739712729623</v>
      </c>
    </row>
    <row r="31" spans="2:132" s="68" customFormat="1" ht="12" hidden="1" customHeight="1" outlineLevel="1">
      <c r="C31" s="120"/>
      <c r="D31" s="120"/>
      <c r="E31" s="120"/>
      <c r="F31" s="120"/>
      <c r="G31" s="120"/>
      <c r="H31" s="120"/>
      <c r="I31" s="120"/>
      <c r="J31" s="121"/>
      <c r="K31" s="121"/>
      <c r="L31" s="121"/>
      <c r="M31" s="121"/>
      <c r="N31" s="120"/>
      <c r="O31" s="121"/>
      <c r="P31" s="121"/>
      <c r="Q31" s="121"/>
      <c r="R31" s="121"/>
      <c r="S31" s="120"/>
      <c r="T31" s="121"/>
      <c r="U31" s="121"/>
      <c r="V31" s="121"/>
      <c r="W31" s="121"/>
      <c r="X31" s="120"/>
      <c r="Y31" s="121"/>
      <c r="Z31" s="121"/>
      <c r="AA31" s="121"/>
      <c r="AB31" s="121"/>
      <c r="AC31" s="120"/>
      <c r="AD31" s="121"/>
      <c r="AE31" s="121"/>
      <c r="AF31" s="121"/>
      <c r="AG31" s="121"/>
      <c r="AH31" s="120"/>
      <c r="AI31" s="121"/>
      <c r="AJ31" s="121"/>
      <c r="AK31" s="121"/>
      <c r="AL31" s="121"/>
      <c r="AM31" s="120"/>
      <c r="AN31" s="121"/>
      <c r="AO31" s="121"/>
      <c r="AP31" s="121"/>
      <c r="AQ31" s="121"/>
      <c r="AR31" s="120"/>
      <c r="AS31" s="121"/>
      <c r="AT31" s="121"/>
      <c r="AU31" s="121"/>
      <c r="AV31" s="121"/>
      <c r="AW31" s="120"/>
      <c r="AX31" s="121"/>
      <c r="AY31" s="121"/>
      <c r="AZ31" s="121"/>
      <c r="BA31" s="121"/>
      <c r="BB31" s="120"/>
      <c r="BC31" s="121"/>
      <c r="BD31" s="121"/>
      <c r="BE31" s="121"/>
      <c r="BF31" s="121"/>
      <c r="BG31" s="120"/>
      <c r="BH31" s="121"/>
      <c r="BI31" s="121"/>
      <c r="BJ31" s="121"/>
      <c r="BK31" s="121"/>
      <c r="BL31" s="120"/>
      <c r="BM31" s="121"/>
      <c r="BN31" s="121"/>
      <c r="BO31" s="121"/>
      <c r="BP31" s="121"/>
      <c r="BQ31" s="120"/>
      <c r="BR31" s="121"/>
      <c r="BS31" s="12"/>
      <c r="BT31" s="121"/>
      <c r="BU31" s="121"/>
      <c r="BV31" s="120"/>
      <c r="BW31" s="121"/>
      <c r="BX31" s="121"/>
      <c r="BY31" s="121"/>
      <c r="BZ31" s="121"/>
      <c r="CA31" s="120"/>
      <c r="CB31" s="121"/>
      <c r="CC31" s="121"/>
      <c r="CD31" s="121"/>
      <c r="CE31" s="121"/>
      <c r="CF31" s="120"/>
      <c r="CG31" s="121"/>
      <c r="CH31" s="121"/>
      <c r="CI31" s="121"/>
      <c r="CJ31" s="121"/>
      <c r="CK31" s="120"/>
      <c r="CL31" s="121"/>
      <c r="CM31" s="121"/>
      <c r="CN31" s="121"/>
      <c r="CO31" s="121"/>
      <c r="CP31" s="120"/>
      <c r="CQ31" s="121"/>
      <c r="CR31" s="121"/>
      <c r="CS31" s="121"/>
      <c r="CT31" s="121"/>
      <c r="CU31" s="120"/>
      <c r="CV31" s="121"/>
      <c r="CW31" s="121"/>
      <c r="CX31" s="121"/>
      <c r="CY31" s="121"/>
      <c r="CZ31" s="120"/>
      <c r="DA31" s="121"/>
      <c r="DB31" s="121"/>
      <c r="DC31" s="121"/>
      <c r="DD31" s="121"/>
      <c r="DE31" s="120"/>
      <c r="DF31" s="121"/>
      <c r="DG31" s="121"/>
      <c r="DH31" s="121"/>
      <c r="DI31" s="121"/>
      <c r="DJ31" s="120"/>
      <c r="DK31" s="121"/>
      <c r="DL31" s="121"/>
      <c r="DM31" s="121"/>
      <c r="DN31" s="121"/>
      <c r="DO31" s="120"/>
      <c r="DP31" s="121"/>
      <c r="DQ31" s="121"/>
      <c r="DR31" s="121"/>
      <c r="DS31" s="121"/>
      <c r="DT31" s="120"/>
      <c r="DU31" s="121"/>
      <c r="DV31" s="121"/>
      <c r="DW31" s="121"/>
      <c r="DX31" s="121"/>
      <c r="DY31" s="120"/>
      <c r="DZ31" s="120"/>
      <c r="EA31" s="120"/>
      <c r="EB31" s="120"/>
    </row>
    <row r="32" spans="2:132" s="241" customFormat="1" ht="12" customHeight="1" collapsed="1">
      <c r="B32" s="127" t="s">
        <v>44</v>
      </c>
      <c r="C32" s="256">
        <f t="shared" ref="C32:AK32" si="197">C24/C40</f>
        <v>-0.18348623853211007</v>
      </c>
      <c r="D32" s="256">
        <f t="shared" si="197"/>
        <v>1.1583410900817044</v>
      </c>
      <c r="E32" s="256">
        <f t="shared" si="197"/>
        <v>2.4937898261151314</v>
      </c>
      <c r="F32" s="256">
        <f t="shared" si="197"/>
        <v>2.4423275565247331</v>
      </c>
      <c r="G32" s="256">
        <f t="shared" si="197"/>
        <v>3.4076932352586522</v>
      </c>
      <c r="H32" s="256">
        <f t="shared" si="197"/>
        <v>2.8686293913904009</v>
      </c>
      <c r="I32" s="256">
        <f t="shared" si="197"/>
        <v>0.88762516998392882</v>
      </c>
      <c r="J32" s="257">
        <f t="shared" si="197"/>
        <v>0.76828215562954749</v>
      </c>
      <c r="K32" s="257">
        <f t="shared" si="197"/>
        <v>0.72140834666994957</v>
      </c>
      <c r="L32" s="257">
        <f t="shared" si="197"/>
        <v>0.53755522827687774</v>
      </c>
      <c r="M32" s="257">
        <f t="shared" si="197"/>
        <v>0.21253071253071254</v>
      </c>
      <c r="N32" s="256">
        <f t="shared" si="197"/>
        <v>2.2386223862238621</v>
      </c>
      <c r="O32" s="257">
        <f t="shared" si="197"/>
        <v>0.63708477937530994</v>
      </c>
      <c r="P32" s="257">
        <f t="shared" si="197"/>
        <v>0.70101560564775822</v>
      </c>
      <c r="Q32" s="257">
        <f t="shared" si="197"/>
        <v>1.2618335824613853</v>
      </c>
      <c r="R32" s="257">
        <f t="shared" si="197"/>
        <v>0.59023408004027178</v>
      </c>
      <c r="S32" s="256">
        <f t="shared" si="197"/>
        <v>3.1909328683522227</v>
      </c>
      <c r="T32" s="257">
        <f t="shared" si="197"/>
        <v>0.87395807021975247</v>
      </c>
      <c r="U32" s="257">
        <f t="shared" si="197"/>
        <v>-0.21016681991330621</v>
      </c>
      <c r="V32" s="257">
        <f t="shared" si="197"/>
        <v>0.88520408163265307</v>
      </c>
      <c r="W32" s="257">
        <f t="shared" si="197"/>
        <v>1.2049674166974049</v>
      </c>
      <c r="X32" s="256">
        <f t="shared" si="197"/>
        <v>2.800914169629253</v>
      </c>
      <c r="Y32" s="257">
        <f t="shared" si="197"/>
        <v>1.1229740159506045</v>
      </c>
      <c r="Z32" s="257">
        <f t="shared" si="197"/>
        <v>1.3500643500643501</v>
      </c>
      <c r="AA32" s="257">
        <f t="shared" si="197"/>
        <v>1.4339281096457202</v>
      </c>
      <c r="AB32" s="257">
        <f t="shared" si="197"/>
        <v>1.3474153765415902</v>
      </c>
      <c r="AC32" s="256">
        <f t="shared" si="197"/>
        <v>5.2530744336569581</v>
      </c>
      <c r="AD32" s="257">
        <f t="shared" si="197"/>
        <v>1.6135937918116137</v>
      </c>
      <c r="AE32" s="257">
        <f t="shared" si="197"/>
        <v>1.1612991266375547</v>
      </c>
      <c r="AF32" s="257">
        <f t="shared" si="197"/>
        <v>0.94611442027981718</v>
      </c>
      <c r="AG32" s="257">
        <f t="shared" si="197"/>
        <v>-0.12046505112760891</v>
      </c>
      <c r="AH32" s="256">
        <f t="shared" si="197"/>
        <v>3.6406035665294922</v>
      </c>
      <c r="AI32" s="257">
        <f t="shared" si="197"/>
        <v>0.86938083121289234</v>
      </c>
      <c r="AJ32" s="257">
        <f t="shared" si="197"/>
        <v>1.4085899971743432</v>
      </c>
      <c r="AK32" s="257">
        <f t="shared" si="197"/>
        <v>-2.2244403251105092</v>
      </c>
      <c r="AL32" s="257">
        <f t="shared" ref="AL32:BK32" si="198">AL24/AL40</f>
        <v>1.7723442464428789</v>
      </c>
      <c r="AM32" s="256">
        <f t="shared" si="198"/>
        <v>1.8713204373423045</v>
      </c>
      <c r="AN32" s="257">
        <f t="shared" si="198"/>
        <v>0.70125658694770976</v>
      </c>
      <c r="AO32" s="257">
        <f t="shared" si="198"/>
        <v>1.062054112262754</v>
      </c>
      <c r="AP32" s="257">
        <f t="shared" si="198"/>
        <v>1.1240934730056407</v>
      </c>
      <c r="AQ32" s="257">
        <f t="shared" si="198"/>
        <v>1.5609103078982598</v>
      </c>
      <c r="AR32" s="256">
        <f t="shared" si="198"/>
        <v>4.4523633429704832</v>
      </c>
      <c r="AS32" s="257">
        <f t="shared" si="198"/>
        <v>0.78477970627503335</v>
      </c>
      <c r="AT32" s="257">
        <f t="shared" si="198"/>
        <v>1.2516609088493222</v>
      </c>
      <c r="AU32" s="257">
        <f t="shared" si="198"/>
        <v>1.4511208383074679</v>
      </c>
      <c r="AV32" s="257">
        <f t="shared" si="198"/>
        <v>1.8322546559239201</v>
      </c>
      <c r="AW32" s="256">
        <f t="shared" si="198"/>
        <v>5.3259859248439785</v>
      </c>
      <c r="AX32" s="257">
        <f t="shared" si="198"/>
        <v>1.2164296998420221</v>
      </c>
      <c r="AY32" s="257">
        <f t="shared" si="198"/>
        <v>1.269028871391076</v>
      </c>
      <c r="AZ32" s="582">
        <f t="shared" si="198"/>
        <v>1.3491897543125975</v>
      </c>
      <c r="BA32" s="582">
        <f t="shared" si="198"/>
        <v>1.2762625603549524</v>
      </c>
      <c r="BB32" s="256">
        <f t="shared" si="198"/>
        <v>5.107881644409531</v>
      </c>
      <c r="BC32" s="257">
        <f>BC24/BC40</f>
        <v>1.4387927670092362</v>
      </c>
      <c r="BD32" s="257">
        <f t="shared" si="198"/>
        <v>1.4083959575019436</v>
      </c>
      <c r="BE32" s="257">
        <f t="shared" si="198"/>
        <v>1.5082564035886101</v>
      </c>
      <c r="BF32" s="257">
        <f t="shared" si="198"/>
        <v>1.6051535658511211</v>
      </c>
      <c r="BG32" s="579">
        <f t="shared" si="198"/>
        <v>5.9602339181286572</v>
      </c>
      <c r="BH32" s="624">
        <f t="shared" si="198"/>
        <v>1.2796711311497149</v>
      </c>
      <c r="BI32" s="257">
        <f>BI24/BI40</f>
        <v>2.233481961897041</v>
      </c>
      <c r="BJ32" s="624">
        <f t="shared" si="198"/>
        <v>1.8609099603771007</v>
      </c>
      <c r="BK32" s="624">
        <f t="shared" si="198"/>
        <v>2.0226269315673289</v>
      </c>
      <c r="BL32" s="634">
        <f>BL24/BL40</f>
        <v>7.382154596902641</v>
      </c>
      <c r="BM32" s="624">
        <f t="shared" ref="BM32:BN32" si="199">BM24/BM40</f>
        <v>1.8706244749369922</v>
      </c>
      <c r="BN32" s="624">
        <f t="shared" si="199"/>
        <v>1.5882100443554157</v>
      </c>
      <c r="BO32" s="624">
        <f t="shared" ref="BO32:BP32" si="200">BO24/BO40</f>
        <v>2.4731494920174164</v>
      </c>
      <c r="BP32" s="624">
        <f t="shared" si="200"/>
        <v>1.5061655901350557</v>
      </c>
      <c r="BQ32" s="634">
        <f>BQ24/BQ40</f>
        <v>7.4386519599037113</v>
      </c>
      <c r="BR32" s="624">
        <f t="shared" ref="BR32:BU32" si="201">BR24/BR40</f>
        <v>1.8308801441874438</v>
      </c>
      <c r="BS32" s="624">
        <f t="shared" si="201"/>
        <v>-0.36775106082036779</v>
      </c>
      <c r="BT32" s="624">
        <f t="shared" si="201"/>
        <v>3.6020230757072862</v>
      </c>
      <c r="BU32" s="624">
        <f t="shared" si="201"/>
        <v>2.5876566714263052</v>
      </c>
      <c r="BV32" s="634">
        <f>BV24/BV40</f>
        <v>7.6332306732680992</v>
      </c>
      <c r="BW32" s="624">
        <f t="shared" ref="BW32:BZ32" si="202">BW24/BW40</f>
        <v>2.5418544752092722</v>
      </c>
      <c r="BX32" s="624">
        <f t="shared" si="202"/>
        <v>2.8690944881889764</v>
      </c>
      <c r="BY32" s="624">
        <f t="shared" si="202"/>
        <v>2.9853207982846777</v>
      </c>
      <c r="BZ32" s="624">
        <f t="shared" si="202"/>
        <v>5.4866964138158982</v>
      </c>
      <c r="CA32" s="634">
        <f>CA24/CA40</f>
        <v>13.849680694285246</v>
      </c>
      <c r="CB32" s="624">
        <f t="shared" ref="CB32:CE32" si="203">CB24/CB40</f>
        <v>4.1476892163429335</v>
      </c>
      <c r="CC32" s="624">
        <f t="shared" si="203"/>
        <v>3.7302531000509593</v>
      </c>
      <c r="CD32" s="624">
        <f t="shared" si="203"/>
        <v>4.068526170798898</v>
      </c>
      <c r="CE32" s="624">
        <f t="shared" si="203"/>
        <v>5.9290043290043286</v>
      </c>
      <c r="CF32" s="634">
        <f>CF24/CF40</f>
        <v>17.848306458493305</v>
      </c>
      <c r="CG32" s="624">
        <f t="shared" ref="CG32:CJ32" si="204">CG24/CG40</f>
        <v>3.7543675751222922</v>
      </c>
      <c r="CH32" s="624">
        <f t="shared" si="204"/>
        <v>-5.2043162922342123</v>
      </c>
      <c r="CI32" s="624">
        <f t="shared" si="204"/>
        <v>2.0502459592410398</v>
      </c>
      <c r="CJ32" s="624">
        <f t="shared" si="204"/>
        <v>-1.7863459497700744</v>
      </c>
      <c r="CK32" s="634">
        <f>CK24/CK40</f>
        <v>-1.1195704792500991</v>
      </c>
      <c r="CL32" s="624">
        <f t="shared" ref="CL32" si="205">CL24/CL40</f>
        <v>-1.1097367025976321</v>
      </c>
      <c r="CM32" s="624">
        <f t="shared" ref="CM32:CO32" si="206">CM24/CM40</f>
        <v>-4.1949152542372881</v>
      </c>
      <c r="CN32" s="624">
        <f t="shared" si="206"/>
        <v>-0.79244617013766327</v>
      </c>
      <c r="CO32" s="624">
        <f t="shared" si="206"/>
        <v>-14.633298574904416</v>
      </c>
      <c r="CP32" s="634">
        <f>CP24/CP40</f>
        <v>-20.882029635492238</v>
      </c>
      <c r="CQ32" s="624">
        <f t="shared" ref="CQ32:CT32" si="207">CQ24/CQ40</f>
        <v>-0.91732148957977455</v>
      </c>
      <c r="CR32" s="624">
        <f t="shared" si="207"/>
        <v>0.994578109115554</v>
      </c>
      <c r="CS32" s="624">
        <f t="shared" si="207"/>
        <v>-0.18505942275042445</v>
      </c>
      <c r="CT32" s="624">
        <f t="shared" si="207"/>
        <v>-7.0184651871929535</v>
      </c>
      <c r="CU32" s="634">
        <f>CU24/CU40</f>
        <v>-7.1374580661599234</v>
      </c>
      <c r="CV32" s="624">
        <f t="shared" ref="CV32" si="208">CV24/CV40</f>
        <v>-2.0601656244718605</v>
      </c>
      <c r="CW32" s="624">
        <f t="shared" ref="CW32:CY32" si="209">CW24/CW40</f>
        <v>0.32360831656606304</v>
      </c>
      <c r="CX32" s="624">
        <f t="shared" si="209"/>
        <v>-5.4922019117893681</v>
      </c>
      <c r="CY32" s="624">
        <f t="shared" si="209"/>
        <v>-1.0586074469861413</v>
      </c>
      <c r="CZ32" s="634">
        <f>CZ24/CZ40</f>
        <v>-8.2826333235429868</v>
      </c>
      <c r="DA32" s="624">
        <f t="shared" ref="DA32:DD32" si="210">DA24/DA40</f>
        <v>-0.68713692946058091</v>
      </c>
      <c r="DB32" s="624">
        <f t="shared" si="210"/>
        <v>-0.24607762180016515</v>
      </c>
      <c r="DC32" s="624">
        <f>DC24/DC40-0.01</f>
        <v>-2.7043346508563895</v>
      </c>
      <c r="DD32" s="624">
        <f t="shared" si="210"/>
        <v>-3.7947533410328325E-2</v>
      </c>
      <c r="DE32" s="634">
        <f>DE24/DE40</f>
        <v>-3.6707553793416756</v>
      </c>
      <c r="DF32" s="624">
        <f t="shared" ref="DF32:DI32" si="211">DF24/DF40</f>
        <v>-0.55936073059360725</v>
      </c>
      <c r="DG32" s="624">
        <f t="shared" si="211"/>
        <v>-2.3337658125202725</v>
      </c>
      <c r="DH32" s="624">
        <f t="shared" si="211"/>
        <v>-9.9709114414996769</v>
      </c>
      <c r="DI32" s="624">
        <f t="shared" si="211"/>
        <v>-5.3711182286589612</v>
      </c>
      <c r="DJ32" s="634">
        <f>DJ24/DJ40-0.01</f>
        <v>-18.25629171817058</v>
      </c>
      <c r="DK32" s="624">
        <f t="shared" ref="DK32:DM32" si="212">DK24/DK40</f>
        <v>-4.9110698168303692E-2</v>
      </c>
      <c r="DL32" s="624">
        <f t="shared" si="212"/>
        <v>-0.80756013745704469</v>
      </c>
      <c r="DM32" s="624">
        <f t="shared" si="212"/>
        <v>-7.0232925384919067</v>
      </c>
      <c r="DN32" s="624">
        <f>DN24/DN40</f>
        <v>10.339622641509434</v>
      </c>
      <c r="DO32" s="634">
        <f>DO24/DO40</f>
        <v>2.9168977780678</v>
      </c>
      <c r="DP32" s="624">
        <f t="shared" ref="DP32:DQ32" si="213">DP24/DP40</f>
        <v>-5.076142131979695E-3</v>
      </c>
      <c r="DQ32" s="624">
        <f t="shared" si="213"/>
        <v>-0.56159878573235511</v>
      </c>
      <c r="DR32" s="624">
        <f t="shared" ref="DR32:DS32" si="214">DR24/DR40</f>
        <v>0.1824662810911987</v>
      </c>
      <c r="DS32" s="624">
        <f t="shared" si="214"/>
        <v>0.75260503119024968</v>
      </c>
      <c r="DT32" s="634">
        <f>DT24/DT40</f>
        <v>0.36940012515290988</v>
      </c>
      <c r="DU32" s="624">
        <f t="shared" ref="DU32:DX32" si="215">DU24/DU40</f>
        <v>0.24621927543993161</v>
      </c>
      <c r="DV32" s="624">
        <f t="shared" si="215"/>
        <v>1.0438969585069002</v>
      </c>
      <c r="DW32" s="624">
        <f t="shared" si="215"/>
        <v>1.6462580662183433</v>
      </c>
      <c r="DX32" s="624">
        <f t="shared" si="215"/>
        <v>2.1858720447662114</v>
      </c>
      <c r="DY32" s="634">
        <f>DY24/DY40</f>
        <v>5.1044741271634972</v>
      </c>
      <c r="DZ32" s="634">
        <f t="shared" ref="DZ32" si="216">DZ24/DZ40</f>
        <v>9.8470714790702782</v>
      </c>
      <c r="EA32" s="634">
        <f t="shared" ref="EA32:EB32" si="217">EA24/EA40</f>
        <v>15.115158242551582</v>
      </c>
      <c r="EB32" s="634">
        <f t="shared" si="217"/>
        <v>21.126739712729623</v>
      </c>
    </row>
    <row r="33" spans="1:132" s="241" customFormat="1" ht="12" customHeight="1">
      <c r="B33" s="241" t="s">
        <v>39</v>
      </c>
      <c r="C33" s="383">
        <f t="shared" ref="C33:AK33" si="218">C25/C40</f>
        <v>0</v>
      </c>
      <c r="D33" s="383">
        <f t="shared" si="218"/>
        <v>0</v>
      </c>
      <c r="E33" s="383">
        <f t="shared" si="218"/>
        <v>0</v>
      </c>
      <c r="F33" s="383">
        <f t="shared" si="218"/>
        <v>0</v>
      </c>
      <c r="G33" s="383">
        <f t="shared" si="218"/>
        <v>1.205836247437598E-3</v>
      </c>
      <c r="H33" s="383">
        <f t="shared" si="218"/>
        <v>-2.2600197921820881</v>
      </c>
      <c r="I33" s="383">
        <f t="shared" si="218"/>
        <v>0</v>
      </c>
      <c r="J33" s="384">
        <f t="shared" si="218"/>
        <v>0</v>
      </c>
      <c r="K33" s="384">
        <f t="shared" si="218"/>
        <v>2.5852517542779764E-2</v>
      </c>
      <c r="L33" s="384">
        <f t="shared" si="218"/>
        <v>2.2091310751104567E-2</v>
      </c>
      <c r="M33" s="384">
        <f t="shared" si="218"/>
        <v>1.5970515970515971E-2</v>
      </c>
      <c r="N33" s="383">
        <f t="shared" si="218"/>
        <v>6.3960639606396058E-2</v>
      </c>
      <c r="O33" s="384">
        <f t="shared" si="218"/>
        <v>2.6028755577590483E-2</v>
      </c>
      <c r="P33" s="384">
        <f t="shared" si="218"/>
        <v>0</v>
      </c>
      <c r="Q33" s="384">
        <f t="shared" si="218"/>
        <v>-2.4912805181863478E-3</v>
      </c>
      <c r="R33" s="384">
        <f t="shared" si="218"/>
        <v>-1.1326453561540396E-2</v>
      </c>
      <c r="S33" s="383">
        <f t="shared" si="218"/>
        <v>1.2454851164528583E-2</v>
      </c>
      <c r="T33" s="384">
        <f t="shared" si="218"/>
        <v>0</v>
      </c>
      <c r="U33" s="384">
        <f t="shared" si="218"/>
        <v>0</v>
      </c>
      <c r="V33" s="384">
        <f t="shared" si="218"/>
        <v>0</v>
      </c>
      <c r="W33" s="384">
        <f t="shared" si="218"/>
        <v>1.1066027296200659E-2</v>
      </c>
      <c r="X33" s="383">
        <f t="shared" si="218"/>
        <v>1.1427120365667849E-2</v>
      </c>
      <c r="Y33" s="384">
        <f t="shared" si="218"/>
        <v>5.1453563159248776E-3</v>
      </c>
      <c r="Z33" s="384">
        <f t="shared" si="218"/>
        <v>1.287001287001287E-3</v>
      </c>
      <c r="AA33" s="384">
        <f t="shared" si="218"/>
        <v>6.4649599172485134E-3</v>
      </c>
      <c r="AB33" s="384">
        <f t="shared" si="218"/>
        <v>7.8719496195224364E-3</v>
      </c>
      <c r="AC33" s="383">
        <f t="shared" si="218"/>
        <v>2.0711974110032363E-2</v>
      </c>
      <c r="AD33" s="384">
        <f t="shared" si="218"/>
        <v>6.6898581750066905E-3</v>
      </c>
      <c r="AE33" s="384">
        <f t="shared" si="218"/>
        <v>1.3646288209606988E-3</v>
      </c>
      <c r="AF33" s="384">
        <f t="shared" si="218"/>
        <v>1.6622800941958719E-2</v>
      </c>
      <c r="AG33" s="384">
        <f t="shared" si="218"/>
        <v>0</v>
      </c>
      <c r="AH33" s="383">
        <f t="shared" si="218"/>
        <v>2.4691358024691357E-2</v>
      </c>
      <c r="AI33" s="384">
        <f t="shared" si="218"/>
        <v>-7.0681368391292054E-3</v>
      </c>
      <c r="AJ33" s="384">
        <f t="shared" si="218"/>
        <v>1.4128284826222099E-3</v>
      </c>
      <c r="AK33" s="384">
        <f t="shared" si="218"/>
        <v>-5.7036931413089976E-3</v>
      </c>
      <c r="AL33" s="384">
        <f t="shared" ref="AL33:BL33" si="219">AL25/AL40</f>
        <v>-2.0721094073767096E-2</v>
      </c>
      <c r="AM33" s="383">
        <f t="shared" si="219"/>
        <v>-3.2239977572189514E-2</v>
      </c>
      <c r="AN33" s="401">
        <f t="shared" si="219"/>
        <v>0</v>
      </c>
      <c r="AO33" s="384">
        <f t="shared" si="219"/>
        <v>-2.6921523758244715E-3</v>
      </c>
      <c r="AP33" s="384">
        <f t="shared" si="219"/>
        <v>0</v>
      </c>
      <c r="AQ33" s="384">
        <f t="shared" si="219"/>
        <v>-2.6773761713520749E-3</v>
      </c>
      <c r="AR33" s="383">
        <f t="shared" si="219"/>
        <v>-5.3788744705170442E-3</v>
      </c>
      <c r="AS33" s="401">
        <f t="shared" si="219"/>
        <v>-2.6702269692923898E-3</v>
      </c>
      <c r="AT33" s="384">
        <f t="shared" si="219"/>
        <v>-1.3287270794578793E-3</v>
      </c>
      <c r="AU33" s="384">
        <f t="shared" si="219"/>
        <v>5.3057434673033557E-3</v>
      </c>
      <c r="AV33" s="384">
        <f t="shared" si="219"/>
        <v>7.9249768854840839E-3</v>
      </c>
      <c r="AW33" s="383">
        <f t="shared" si="219"/>
        <v>9.2949143540034529E-3</v>
      </c>
      <c r="AX33" s="384">
        <f t="shared" si="219"/>
        <v>-1.3164823591363876E-3</v>
      </c>
      <c r="AY33" s="384">
        <f t="shared" si="219"/>
        <v>0</v>
      </c>
      <c r="AZ33" s="401">
        <f t="shared" si="219"/>
        <v>0</v>
      </c>
      <c r="BA33" s="401">
        <f t="shared" si="219"/>
        <v>0</v>
      </c>
      <c r="BB33" s="383">
        <f t="shared" si="219"/>
        <v>-1.3092432573972245E-3</v>
      </c>
      <c r="BC33" s="384">
        <f>BC25/BC40</f>
        <v>0</v>
      </c>
      <c r="BD33" s="384">
        <f t="shared" si="219"/>
        <v>1.295672454003628E-3</v>
      </c>
      <c r="BE33" s="384">
        <f t="shared" si="219"/>
        <v>-2.600442075152776E-3</v>
      </c>
      <c r="BF33" s="384">
        <f t="shared" si="219"/>
        <v>0</v>
      </c>
      <c r="BG33" s="578">
        <f t="shared" si="219"/>
        <v>-1.2995451591942819E-3</v>
      </c>
      <c r="BH33" s="623">
        <f t="shared" si="219"/>
        <v>0</v>
      </c>
      <c r="BI33" s="384">
        <f t="shared" ref="BI33" si="220">BI25/BI40</f>
        <v>0</v>
      </c>
      <c r="BJ33" s="623">
        <f t="shared" si="219"/>
        <v>0</v>
      </c>
      <c r="BK33" s="623">
        <f t="shared" si="219"/>
        <v>0</v>
      </c>
      <c r="BL33" s="633">
        <f t="shared" si="219"/>
        <v>0</v>
      </c>
      <c r="BM33" s="623">
        <f t="shared" ref="BM33:BN33" si="221">BM25/BM40</f>
        <v>0</v>
      </c>
      <c r="BN33" s="623">
        <f t="shared" si="221"/>
        <v>0</v>
      </c>
      <c r="BO33" s="623">
        <f t="shared" ref="BO33:BQ33" si="222">BO25/BO40</f>
        <v>0</v>
      </c>
      <c r="BP33" s="623">
        <f t="shared" si="222"/>
        <v>0</v>
      </c>
      <c r="BQ33" s="633">
        <f t="shared" si="222"/>
        <v>0</v>
      </c>
      <c r="BR33" s="623">
        <f t="shared" ref="BR33:BV33" si="223">BR25/BR40</f>
        <v>0</v>
      </c>
      <c r="BS33" s="623">
        <f t="shared" si="223"/>
        <v>0</v>
      </c>
      <c r="BT33" s="623">
        <f t="shared" si="223"/>
        <v>0</v>
      </c>
      <c r="BU33" s="623">
        <f t="shared" si="223"/>
        <v>0</v>
      </c>
      <c r="BV33" s="633">
        <f t="shared" si="223"/>
        <v>0</v>
      </c>
      <c r="BW33" s="623">
        <f t="shared" ref="BW33:CA33" si="224">BW25/BW40</f>
        <v>0</v>
      </c>
      <c r="BX33" s="623">
        <f t="shared" si="224"/>
        <v>0</v>
      </c>
      <c r="BY33" s="623">
        <f t="shared" si="224"/>
        <v>0</v>
      </c>
      <c r="BZ33" s="623">
        <f t="shared" si="224"/>
        <v>0</v>
      </c>
      <c r="CA33" s="633">
        <f t="shared" si="224"/>
        <v>0</v>
      </c>
      <c r="CB33" s="623">
        <f t="shared" ref="CB33:CF33" si="225">CB25/CB40</f>
        <v>0</v>
      </c>
      <c r="CC33" s="623">
        <f t="shared" si="225"/>
        <v>0</v>
      </c>
      <c r="CD33" s="623">
        <f t="shared" si="225"/>
        <v>0</v>
      </c>
      <c r="CE33" s="623">
        <f t="shared" si="225"/>
        <v>0</v>
      </c>
      <c r="CF33" s="633">
        <f t="shared" si="225"/>
        <v>0</v>
      </c>
      <c r="CG33" s="623">
        <f t="shared" ref="CG33:CK33" si="226">CG25/CG40</f>
        <v>0</v>
      </c>
      <c r="CH33" s="623">
        <f t="shared" si="226"/>
        <v>0</v>
      </c>
      <c r="CI33" s="623">
        <f t="shared" si="226"/>
        <v>0</v>
      </c>
      <c r="CJ33" s="623">
        <f t="shared" si="226"/>
        <v>0</v>
      </c>
      <c r="CK33" s="633">
        <f t="shared" si="226"/>
        <v>0</v>
      </c>
      <c r="CL33" s="623">
        <f t="shared" ref="CL33" si="227">CL25/CL40</f>
        <v>0</v>
      </c>
      <c r="CM33" s="623">
        <f t="shared" ref="CM33:CP33" si="228">CM25/CM40</f>
        <v>0</v>
      </c>
      <c r="CN33" s="623">
        <f t="shared" si="228"/>
        <v>0</v>
      </c>
      <c r="CO33" s="623">
        <f t="shared" si="228"/>
        <v>0</v>
      </c>
      <c r="CP33" s="633">
        <f t="shared" si="228"/>
        <v>0</v>
      </c>
      <c r="CQ33" s="623">
        <f t="shared" ref="CQ33:CV33" si="229">CQ25/CQ40</f>
        <v>0</v>
      </c>
      <c r="CR33" s="623">
        <f t="shared" si="229"/>
        <v>0</v>
      </c>
      <c r="CS33" s="623">
        <f t="shared" si="229"/>
        <v>0</v>
      </c>
      <c r="CT33" s="623">
        <f t="shared" si="229"/>
        <v>0</v>
      </c>
      <c r="CU33" s="633">
        <f t="shared" si="229"/>
        <v>0</v>
      </c>
      <c r="CV33" s="623">
        <f t="shared" si="229"/>
        <v>0</v>
      </c>
      <c r="CW33" s="623">
        <f t="shared" ref="CW33:CZ33" si="230">CW25/CW40</f>
        <v>0</v>
      </c>
      <c r="CX33" s="623">
        <f t="shared" si="230"/>
        <v>0</v>
      </c>
      <c r="CY33" s="623">
        <f t="shared" si="230"/>
        <v>0</v>
      </c>
      <c r="CZ33" s="633">
        <f t="shared" si="230"/>
        <v>0</v>
      </c>
      <c r="DA33" s="623">
        <f t="shared" ref="DA33:DD33" si="231">DA25/DA40</f>
        <v>0</v>
      </c>
      <c r="DB33" s="623">
        <f t="shared" si="231"/>
        <v>0</v>
      </c>
      <c r="DC33" s="623">
        <f t="shared" si="231"/>
        <v>0</v>
      </c>
      <c r="DD33" s="623">
        <f t="shared" si="231"/>
        <v>0</v>
      </c>
      <c r="DE33" s="633">
        <f t="shared" ref="DE33:DH33" si="232">DE25/DE40</f>
        <v>0</v>
      </c>
      <c r="DF33" s="623">
        <f t="shared" si="232"/>
        <v>0</v>
      </c>
      <c r="DG33" s="623">
        <f t="shared" si="232"/>
        <v>0</v>
      </c>
      <c r="DH33" s="623">
        <f t="shared" si="232"/>
        <v>0</v>
      </c>
      <c r="DI33" s="623">
        <f>DI25/DI40-0.01</f>
        <v>-9.076869516780392E-2</v>
      </c>
      <c r="DJ33" s="633">
        <f>DJ25/DJ40-0.01</f>
        <v>-9.9616810877626694E-2</v>
      </c>
      <c r="DK33" s="623">
        <f t="shared" ref="DK33:DN33" si="233">DK25/DK40</f>
        <v>-0.11414919033713831</v>
      </c>
      <c r="DL33" s="623">
        <f t="shared" si="233"/>
        <v>-0.11366640232619614</v>
      </c>
      <c r="DM33" s="623">
        <f t="shared" si="233"/>
        <v>-0.11448874851954205</v>
      </c>
      <c r="DN33" s="623">
        <f t="shared" si="233"/>
        <v>-0.10817610062893082</v>
      </c>
      <c r="DO33" s="633">
        <f>DO25/DO40+0.01</f>
        <v>-0.44025938856080132</v>
      </c>
      <c r="DP33" s="623">
        <f t="shared" ref="DP33:DQ33" si="234">DP25/DP40</f>
        <v>-0.10913705583756345</v>
      </c>
      <c r="DQ33" s="623">
        <f t="shared" si="234"/>
        <v>-0.10877814318239312</v>
      </c>
      <c r="DR33" s="623">
        <f t="shared" ref="DR33:DS33" si="235">DR25/DR40</f>
        <v>0</v>
      </c>
      <c r="DS33" s="623">
        <f t="shared" si="235"/>
        <v>0</v>
      </c>
      <c r="DT33" s="633">
        <f t="shared" ref="DT33:DX33" si="236">DT25/DT40</f>
        <v>-0.21764919884215689</v>
      </c>
      <c r="DU33" s="623">
        <f t="shared" si="236"/>
        <v>0</v>
      </c>
      <c r="DV33" s="623">
        <f t="shared" si="236"/>
        <v>0</v>
      </c>
      <c r="DW33" s="623">
        <f t="shared" si="236"/>
        <v>0</v>
      </c>
      <c r="DX33" s="623">
        <f t="shared" si="236"/>
        <v>0</v>
      </c>
      <c r="DY33" s="633">
        <f t="shared" ref="DY33" si="237">DY25/DY40</f>
        <v>0</v>
      </c>
      <c r="DZ33" s="633">
        <f t="shared" ref="DZ33" si="238">DZ25/DZ40</f>
        <v>0</v>
      </c>
      <c r="EA33" s="633">
        <f t="shared" ref="EA33:EB33" si="239">EA25/EA40</f>
        <v>0</v>
      </c>
      <c r="EB33" s="633">
        <f t="shared" si="239"/>
        <v>0</v>
      </c>
    </row>
    <row r="34" spans="1:132" s="241" customFormat="1" ht="12" customHeight="1">
      <c r="B34" s="241" t="s">
        <v>45</v>
      </c>
      <c r="C34" s="383">
        <f t="shared" ref="C34:AN34" si="240">SUM(C32:C33)</f>
        <v>-0.18348623853211007</v>
      </c>
      <c r="D34" s="383">
        <f t="shared" si="240"/>
        <v>1.1583410900817044</v>
      </c>
      <c r="E34" s="383">
        <f t="shared" si="240"/>
        <v>2.4937898261151314</v>
      </c>
      <c r="F34" s="383">
        <f t="shared" si="240"/>
        <v>2.4423275565247331</v>
      </c>
      <c r="G34" s="383">
        <f t="shared" si="240"/>
        <v>3.4088990715060898</v>
      </c>
      <c r="H34" s="383">
        <f t="shared" si="240"/>
        <v>0.6086095992083127</v>
      </c>
      <c r="I34" s="383">
        <f t="shared" si="240"/>
        <v>0.88762516998392882</v>
      </c>
      <c r="J34" s="384">
        <f t="shared" si="240"/>
        <v>0.76828215562954749</v>
      </c>
      <c r="K34" s="384">
        <f t="shared" si="240"/>
        <v>0.7472608642127293</v>
      </c>
      <c r="L34" s="384">
        <f t="shared" si="240"/>
        <v>0.55964653902798234</v>
      </c>
      <c r="M34" s="384">
        <f t="shared" si="240"/>
        <v>0.2285012285012285</v>
      </c>
      <c r="N34" s="383">
        <f t="shared" si="240"/>
        <v>2.3025830258302582</v>
      </c>
      <c r="O34" s="384">
        <f t="shared" si="240"/>
        <v>0.66311353495290037</v>
      </c>
      <c r="P34" s="384">
        <f t="shared" si="240"/>
        <v>0.70101560564775822</v>
      </c>
      <c r="Q34" s="384">
        <f t="shared" si="240"/>
        <v>1.2593423019431991</v>
      </c>
      <c r="R34" s="384">
        <f t="shared" si="240"/>
        <v>0.5789076264787314</v>
      </c>
      <c r="S34" s="383">
        <f t="shared" si="240"/>
        <v>3.2033877195167513</v>
      </c>
      <c r="T34" s="384">
        <f t="shared" si="240"/>
        <v>0.87395807021975247</v>
      </c>
      <c r="U34" s="384">
        <f t="shared" si="240"/>
        <v>-0.21016681991330621</v>
      </c>
      <c r="V34" s="384">
        <f t="shared" si="240"/>
        <v>0.88520408163265307</v>
      </c>
      <c r="W34" s="384">
        <f t="shared" si="240"/>
        <v>1.2160334439936056</v>
      </c>
      <c r="X34" s="383">
        <f t="shared" si="240"/>
        <v>2.8123412899949209</v>
      </c>
      <c r="Y34" s="384">
        <f t="shared" si="240"/>
        <v>1.1281193722665295</v>
      </c>
      <c r="Z34" s="384">
        <f t="shared" si="240"/>
        <v>1.3513513513513513</v>
      </c>
      <c r="AA34" s="384">
        <f t="shared" si="240"/>
        <v>1.4403930695629688</v>
      </c>
      <c r="AB34" s="384">
        <f t="shared" si="240"/>
        <v>1.3552873261611127</v>
      </c>
      <c r="AC34" s="383">
        <f t="shared" si="240"/>
        <v>5.2737864077669903</v>
      </c>
      <c r="AD34" s="384">
        <f t="shared" si="240"/>
        <v>1.6202836499866204</v>
      </c>
      <c r="AE34" s="384">
        <f t="shared" si="240"/>
        <v>1.1626637554585155</v>
      </c>
      <c r="AF34" s="384">
        <f t="shared" si="240"/>
        <v>0.96273722122177585</v>
      </c>
      <c r="AG34" s="384">
        <f t="shared" si="240"/>
        <v>-0.12046505112760891</v>
      </c>
      <c r="AH34" s="383">
        <f t="shared" si="240"/>
        <v>3.6652949245541837</v>
      </c>
      <c r="AI34" s="384">
        <f t="shared" si="240"/>
        <v>0.86231269437376312</v>
      </c>
      <c r="AJ34" s="384">
        <f t="shared" si="240"/>
        <v>1.4100028256569654</v>
      </c>
      <c r="AK34" s="384">
        <f t="shared" si="240"/>
        <v>-2.230144018251818</v>
      </c>
      <c r="AL34" s="384">
        <f t="shared" si="240"/>
        <v>1.7516231523691119</v>
      </c>
      <c r="AM34" s="383">
        <f>SUM(AM32:AM33)</f>
        <v>1.8390804597701149</v>
      </c>
      <c r="AN34" s="401">
        <f t="shared" si="240"/>
        <v>0.70125658694770976</v>
      </c>
      <c r="AO34" s="384">
        <f t="shared" ref="AO34:BL34" si="241">SUM(AO32:AO33)</f>
        <v>1.0593619598869295</v>
      </c>
      <c r="AP34" s="384">
        <f t="shared" si="241"/>
        <v>1.1240934730056407</v>
      </c>
      <c r="AQ34" s="384">
        <f t="shared" si="241"/>
        <v>1.5582329317269077</v>
      </c>
      <c r="AR34" s="383">
        <f t="shared" si="241"/>
        <v>4.4469844684999664</v>
      </c>
      <c r="AS34" s="401">
        <f t="shared" si="241"/>
        <v>0.78210947930574093</v>
      </c>
      <c r="AT34" s="384">
        <f t="shared" si="241"/>
        <v>1.2503321817698643</v>
      </c>
      <c r="AU34" s="384">
        <f t="shared" si="241"/>
        <v>1.4564265817747712</v>
      </c>
      <c r="AV34" s="384">
        <f t="shared" si="241"/>
        <v>1.8401796328094042</v>
      </c>
      <c r="AW34" s="383">
        <f t="shared" si="241"/>
        <v>5.3352808391979822</v>
      </c>
      <c r="AX34" s="384">
        <f t="shared" si="241"/>
        <v>1.2151132174828858</v>
      </c>
      <c r="AY34" s="384">
        <f t="shared" si="241"/>
        <v>1.269028871391076</v>
      </c>
      <c r="AZ34" s="401">
        <f t="shared" si="241"/>
        <v>1.3491897543125975</v>
      </c>
      <c r="BA34" s="401">
        <f t="shared" si="241"/>
        <v>1.2762625603549524</v>
      </c>
      <c r="BB34" s="383">
        <f t="shared" si="241"/>
        <v>5.1065724011521336</v>
      </c>
      <c r="BC34" s="384">
        <f>SUM(BC32:BC33)</f>
        <v>1.4387927670092362</v>
      </c>
      <c r="BD34" s="384">
        <f t="shared" si="241"/>
        <v>1.4096916299559472</v>
      </c>
      <c r="BE34" s="384">
        <f t="shared" si="241"/>
        <v>1.5056559615134573</v>
      </c>
      <c r="BF34" s="384">
        <f t="shared" si="241"/>
        <v>1.6051535658511211</v>
      </c>
      <c r="BG34" s="578">
        <f t="shared" si="241"/>
        <v>5.9589343729694626</v>
      </c>
      <c r="BH34" s="623">
        <f t="shared" si="241"/>
        <v>1.2796711311497149</v>
      </c>
      <c r="BI34" s="384">
        <f t="shared" ref="BI34" si="242">SUM(BI32:BI33)</f>
        <v>2.233481961897041</v>
      </c>
      <c r="BJ34" s="623">
        <f t="shared" si="241"/>
        <v>1.8609099603771007</v>
      </c>
      <c r="BK34" s="623">
        <f t="shared" si="241"/>
        <v>2.0226269315673289</v>
      </c>
      <c r="BL34" s="633">
        <f t="shared" si="241"/>
        <v>7.382154596902641</v>
      </c>
      <c r="BM34" s="623">
        <f t="shared" ref="BM34:BN34" si="243">SUM(BM32:BM33)</f>
        <v>1.8706244749369922</v>
      </c>
      <c r="BN34" s="623">
        <f t="shared" si="243"/>
        <v>1.5882100443554157</v>
      </c>
      <c r="BO34" s="623">
        <f t="shared" ref="BO34:BQ34" si="244">SUM(BO32:BO33)</f>
        <v>2.4731494920174164</v>
      </c>
      <c r="BP34" s="623">
        <f t="shared" si="244"/>
        <v>1.5061655901350557</v>
      </c>
      <c r="BQ34" s="633">
        <f t="shared" si="244"/>
        <v>7.4386519599037113</v>
      </c>
      <c r="BR34" s="623">
        <f t="shared" ref="BR34:BV34" si="245">SUM(BR32:BR33)</f>
        <v>1.8308801441874438</v>
      </c>
      <c r="BS34" s="623">
        <f t="shared" si="245"/>
        <v>-0.36775106082036779</v>
      </c>
      <c r="BT34" s="623">
        <f t="shared" si="245"/>
        <v>3.6020230757072862</v>
      </c>
      <c r="BU34" s="623">
        <f t="shared" si="245"/>
        <v>2.5876566714263052</v>
      </c>
      <c r="BV34" s="633">
        <f t="shared" si="245"/>
        <v>7.6332306732680992</v>
      </c>
      <c r="BW34" s="623">
        <f t="shared" ref="BW34:CA34" si="246">SUM(BW32:BW33)</f>
        <v>2.5418544752092722</v>
      </c>
      <c r="BX34" s="623">
        <f t="shared" si="246"/>
        <v>2.8690944881889764</v>
      </c>
      <c r="BY34" s="623">
        <f t="shared" si="246"/>
        <v>2.9853207982846777</v>
      </c>
      <c r="BZ34" s="623">
        <f t="shared" si="246"/>
        <v>5.4866964138158982</v>
      </c>
      <c r="CA34" s="633">
        <f t="shared" si="246"/>
        <v>13.849680694285246</v>
      </c>
      <c r="CB34" s="623">
        <f t="shared" ref="CB34:CF34" si="247">SUM(CB32:CB33)</f>
        <v>4.1476892163429335</v>
      </c>
      <c r="CC34" s="623">
        <f t="shared" si="247"/>
        <v>3.7302531000509593</v>
      </c>
      <c r="CD34" s="623">
        <f t="shared" si="247"/>
        <v>4.068526170798898</v>
      </c>
      <c r="CE34" s="623">
        <f t="shared" si="247"/>
        <v>5.9290043290043286</v>
      </c>
      <c r="CF34" s="633">
        <f t="shared" si="247"/>
        <v>17.848306458493305</v>
      </c>
      <c r="CG34" s="623">
        <f t="shared" ref="CG34:CK34" si="248">SUM(CG32:CG33)</f>
        <v>3.7543675751222922</v>
      </c>
      <c r="CH34" s="623">
        <f t="shared" si="248"/>
        <v>-5.2043162922342123</v>
      </c>
      <c r="CI34" s="623">
        <f t="shared" si="248"/>
        <v>2.0502459592410398</v>
      </c>
      <c r="CJ34" s="623">
        <f t="shared" si="248"/>
        <v>-1.7863459497700744</v>
      </c>
      <c r="CK34" s="633">
        <f t="shared" si="248"/>
        <v>-1.1195704792500991</v>
      </c>
      <c r="CL34" s="623">
        <f t="shared" ref="CL34" si="249">SUM(CL32:CL33)</f>
        <v>-1.1097367025976321</v>
      </c>
      <c r="CM34" s="623">
        <f t="shared" ref="CM34:CP34" si="250">SUM(CM32:CM33)</f>
        <v>-4.1949152542372881</v>
      </c>
      <c r="CN34" s="623">
        <f t="shared" si="250"/>
        <v>-0.79244617013766327</v>
      </c>
      <c r="CO34" s="623">
        <f t="shared" si="250"/>
        <v>-14.633298574904416</v>
      </c>
      <c r="CP34" s="633">
        <f t="shared" si="250"/>
        <v>-20.882029635492238</v>
      </c>
      <c r="CQ34" s="623">
        <f t="shared" ref="CQ34:CV34" si="251">SUM(CQ32:CQ33)</f>
        <v>-0.91732148957977455</v>
      </c>
      <c r="CR34" s="623">
        <f t="shared" si="251"/>
        <v>0.994578109115554</v>
      </c>
      <c r="CS34" s="623">
        <f t="shared" si="251"/>
        <v>-0.18505942275042445</v>
      </c>
      <c r="CT34" s="623">
        <f t="shared" si="251"/>
        <v>-7.0184651871929535</v>
      </c>
      <c r="CU34" s="633">
        <f t="shared" si="251"/>
        <v>-7.1374580661599234</v>
      </c>
      <c r="CV34" s="623">
        <f t="shared" si="251"/>
        <v>-2.0601656244718605</v>
      </c>
      <c r="CW34" s="623">
        <f t="shared" ref="CW34:CZ34" si="252">SUM(CW32:CW33)</f>
        <v>0.32360831656606304</v>
      </c>
      <c r="CX34" s="623">
        <f t="shared" si="252"/>
        <v>-5.4922019117893681</v>
      </c>
      <c r="CY34" s="623">
        <f t="shared" si="252"/>
        <v>-1.0586074469861413</v>
      </c>
      <c r="CZ34" s="633">
        <f t="shared" si="252"/>
        <v>-8.2826333235429868</v>
      </c>
      <c r="DA34" s="623">
        <f t="shared" ref="DA34:DD34" si="253">SUM(DA32:DA33)</f>
        <v>-0.68713692946058091</v>
      </c>
      <c r="DB34" s="623">
        <f t="shared" si="253"/>
        <v>-0.24607762180016515</v>
      </c>
      <c r="DC34" s="623">
        <f t="shared" si="253"/>
        <v>-2.7043346508563895</v>
      </c>
      <c r="DD34" s="623">
        <f t="shared" si="253"/>
        <v>-3.7947533410328325E-2</v>
      </c>
      <c r="DE34" s="633">
        <f t="shared" ref="DE34:DI34" si="254">SUM(DE32:DE33)</f>
        <v>-3.6707553793416756</v>
      </c>
      <c r="DF34" s="623">
        <f t="shared" si="254"/>
        <v>-0.55936073059360725</v>
      </c>
      <c r="DG34" s="623">
        <f t="shared" si="254"/>
        <v>-2.3337658125202725</v>
      </c>
      <c r="DH34" s="623">
        <f t="shared" si="254"/>
        <v>-9.9709114414996769</v>
      </c>
      <c r="DI34" s="623">
        <f t="shared" si="254"/>
        <v>-5.4618869238267651</v>
      </c>
      <c r="DJ34" s="633">
        <f t="shared" ref="DJ34:DN34" si="255">SUM(DJ32:DJ33)</f>
        <v>-18.355908529048207</v>
      </c>
      <c r="DK34" s="623">
        <f t="shared" si="255"/>
        <v>-0.16325988850544201</v>
      </c>
      <c r="DL34" s="623">
        <f t="shared" si="255"/>
        <v>-0.92122653978324087</v>
      </c>
      <c r="DM34" s="623">
        <f t="shared" si="255"/>
        <v>-7.1377812870114488</v>
      </c>
      <c r="DN34" s="623">
        <f t="shared" si="255"/>
        <v>10.231446540880503</v>
      </c>
      <c r="DO34" s="633">
        <f t="shared" ref="DO34:DS34" si="256">SUM(DO32:DO33)</f>
        <v>2.4766383895069985</v>
      </c>
      <c r="DP34" s="623">
        <f t="shared" si="256"/>
        <v>-0.11421319796954314</v>
      </c>
      <c r="DQ34" s="623">
        <f t="shared" si="256"/>
        <v>-0.6703769289147482</v>
      </c>
      <c r="DR34" s="623">
        <f t="shared" si="256"/>
        <v>0.1824662810911987</v>
      </c>
      <c r="DS34" s="623">
        <f t="shared" si="256"/>
        <v>0.75260503119024968</v>
      </c>
      <c r="DT34" s="633">
        <f t="shared" ref="DT34:DX34" si="257">SUM(DT32:DT33)</f>
        <v>0.15175092631075299</v>
      </c>
      <c r="DU34" s="623">
        <f t="shared" si="257"/>
        <v>0.24621927543993161</v>
      </c>
      <c r="DV34" s="623">
        <f t="shared" si="257"/>
        <v>1.0438969585069002</v>
      </c>
      <c r="DW34" s="623">
        <f t="shared" si="257"/>
        <v>1.6462580662183433</v>
      </c>
      <c r="DX34" s="623">
        <f t="shared" si="257"/>
        <v>2.1858720447662114</v>
      </c>
      <c r="DY34" s="633">
        <f t="shared" ref="DY34" si="258">SUM(DY32:DY33)</f>
        <v>5.1044741271634972</v>
      </c>
      <c r="DZ34" s="633">
        <f t="shared" ref="DZ34" si="259">SUM(DZ32:DZ33)</f>
        <v>9.8470714790702782</v>
      </c>
      <c r="EA34" s="633">
        <f t="shared" ref="EA34:EB34" si="260">SUM(EA32:EA33)</f>
        <v>15.115158242551582</v>
      </c>
      <c r="EB34" s="633">
        <f t="shared" si="260"/>
        <v>21.126739712729623</v>
      </c>
    </row>
    <row r="35" spans="1:132" s="241" customFormat="1" ht="12" customHeight="1">
      <c r="C35" s="383"/>
      <c r="D35" s="383"/>
      <c r="E35" s="383"/>
      <c r="F35" s="383"/>
      <c r="G35" s="383"/>
      <c r="H35" s="383"/>
      <c r="I35" s="383"/>
      <c r="J35" s="384"/>
      <c r="K35" s="384"/>
      <c r="L35" s="384"/>
      <c r="M35" s="384"/>
      <c r="N35" s="383"/>
      <c r="O35" s="384"/>
      <c r="P35" s="384"/>
      <c r="Q35" s="384"/>
      <c r="R35" s="384"/>
      <c r="S35" s="383"/>
      <c r="T35" s="384"/>
      <c r="U35" s="384"/>
      <c r="V35" s="384"/>
      <c r="W35" s="384"/>
      <c r="X35" s="383"/>
      <c r="Y35" s="384"/>
      <c r="Z35" s="384"/>
      <c r="AA35" s="384"/>
      <c r="AB35" s="384"/>
      <c r="AC35" s="383"/>
      <c r="AD35" s="384"/>
      <c r="AE35" s="384"/>
      <c r="AF35" s="384"/>
      <c r="AG35" s="384"/>
      <c r="AH35" s="383"/>
      <c r="AI35" s="384"/>
      <c r="AJ35" s="384"/>
      <c r="AK35" s="384"/>
      <c r="AL35" s="384"/>
      <c r="AM35" s="383"/>
      <c r="AN35" s="401"/>
      <c r="AO35" s="384"/>
      <c r="AP35" s="384"/>
      <c r="AQ35" s="384"/>
      <c r="AR35" s="383"/>
      <c r="AS35" s="401"/>
      <c r="AT35" s="384"/>
      <c r="AU35" s="384"/>
      <c r="AV35" s="384"/>
      <c r="AW35" s="383"/>
      <c r="AX35" s="384"/>
      <c r="AY35" s="384"/>
      <c r="AZ35" s="401"/>
      <c r="BA35" s="401"/>
      <c r="BB35" s="383"/>
      <c r="BC35" s="384"/>
      <c r="BD35" s="384"/>
      <c r="BE35" s="384"/>
      <c r="BF35" s="384"/>
      <c r="BG35" s="578"/>
      <c r="BH35" s="623"/>
      <c r="BI35" s="384"/>
      <c r="BJ35" s="623"/>
      <c r="BK35" s="623"/>
      <c r="BL35" s="633"/>
      <c r="BM35" s="623"/>
      <c r="BN35" s="623"/>
      <c r="BO35" s="623"/>
      <c r="BP35" s="623"/>
      <c r="BQ35" s="633"/>
      <c r="BR35" s="623"/>
      <c r="BS35" s="623"/>
      <c r="BT35" s="623"/>
      <c r="BU35" s="623"/>
      <c r="BV35" s="633"/>
      <c r="BW35" s="12"/>
      <c r="BX35" s="623"/>
      <c r="BY35" s="623"/>
      <c r="BZ35" s="623"/>
      <c r="CA35" s="633"/>
      <c r="CB35" s="623"/>
      <c r="CC35" s="623"/>
      <c r="CD35" s="623"/>
      <c r="CE35" s="623"/>
      <c r="CF35" s="633"/>
      <c r="CG35" s="623"/>
      <c r="CH35" s="623"/>
      <c r="CI35" s="623"/>
      <c r="CJ35" s="623"/>
      <c r="CK35" s="633"/>
      <c r="CL35" s="623"/>
      <c r="CM35" s="623"/>
      <c r="CN35" s="623"/>
      <c r="CO35" s="623"/>
      <c r="CP35" s="633"/>
      <c r="CQ35" s="623"/>
      <c r="CR35" s="623"/>
      <c r="CS35" s="623"/>
      <c r="CT35" s="623"/>
      <c r="CU35" s="633"/>
      <c r="CV35" s="623"/>
      <c r="CW35" s="623"/>
      <c r="CX35" s="623"/>
      <c r="CY35" s="623"/>
      <c r="CZ35" s="633"/>
      <c r="DA35" s="623"/>
      <c r="DB35" s="623"/>
      <c r="DC35" s="623"/>
      <c r="DD35" s="623"/>
      <c r="DE35" s="633"/>
      <c r="DF35" s="623"/>
      <c r="DG35" s="623"/>
      <c r="DH35" s="623"/>
      <c r="DI35" s="623"/>
      <c r="DJ35" s="633"/>
      <c r="DK35" s="623"/>
      <c r="DL35" s="623"/>
      <c r="DM35" s="623"/>
      <c r="DN35" s="623"/>
      <c r="DO35" s="633"/>
      <c r="DP35" s="623"/>
      <c r="DQ35" s="623"/>
      <c r="DR35" s="623"/>
      <c r="DS35" s="623"/>
      <c r="DT35" s="633"/>
      <c r="DU35" s="623"/>
      <c r="DV35" s="623"/>
      <c r="DW35" s="623"/>
      <c r="DX35" s="623"/>
      <c r="DY35" s="633"/>
      <c r="DZ35" s="633"/>
      <c r="EA35" s="633"/>
      <c r="EB35" s="633"/>
    </row>
    <row r="36" spans="1:132" s="241" customFormat="1" ht="12" customHeight="1" collapsed="1">
      <c r="B36" s="25" t="s">
        <v>415</v>
      </c>
      <c r="C36" s="256"/>
      <c r="D36" s="256"/>
      <c r="E36" s="256"/>
      <c r="F36" s="256"/>
      <c r="G36" s="256"/>
      <c r="H36" s="256"/>
      <c r="I36" s="256"/>
      <c r="J36" s="257"/>
      <c r="K36" s="257"/>
      <c r="L36" s="257"/>
      <c r="M36" s="257"/>
      <c r="N36" s="256"/>
      <c r="O36" s="257"/>
      <c r="P36" s="257"/>
      <c r="Q36" s="257"/>
      <c r="R36" s="257"/>
      <c r="S36" s="256"/>
      <c r="T36" s="257"/>
      <c r="U36" s="257"/>
      <c r="V36" s="257"/>
      <c r="W36" s="257"/>
      <c r="X36" s="256">
        <f t="shared" ref="X36:BB36" si="261">X32-X49</f>
        <v>3.2148250926301944</v>
      </c>
      <c r="Y36" s="257">
        <f t="shared" si="261"/>
        <v>1.2573327977703963</v>
      </c>
      <c r="Z36" s="257">
        <f t="shared" si="261"/>
        <v>1.4931626534150193</v>
      </c>
      <c r="AA36" s="257">
        <f t="shared" si="261"/>
        <v>1.5988613868708408</v>
      </c>
      <c r="AB36" s="257">
        <f t="shared" si="261"/>
        <v>1.4942055907366123</v>
      </c>
      <c r="AC36" s="256">
        <f t="shared" si="261"/>
        <v>5.8420919330830241</v>
      </c>
      <c r="AD36" s="257">
        <f t="shared" si="261"/>
        <v>1.6893534571584083</v>
      </c>
      <c r="AE36" s="257">
        <f t="shared" si="261"/>
        <v>1.2471226186754341</v>
      </c>
      <c r="AF36" s="257">
        <f t="shared" si="261"/>
        <v>1.0043747184930583</v>
      </c>
      <c r="AG36" s="257">
        <f t="shared" si="261"/>
        <v>-0.10764135213660539</v>
      </c>
      <c r="AH36" s="256">
        <f t="shared" si="261"/>
        <v>3.9021437977169677</v>
      </c>
      <c r="AI36" s="257">
        <f t="shared" si="261"/>
        <v>0.86938083121289234</v>
      </c>
      <c r="AJ36" s="257">
        <f t="shared" si="261"/>
        <v>1.407648426320617</v>
      </c>
      <c r="AK36" s="257">
        <f t="shared" si="261"/>
        <v>-2.2313700457494825</v>
      </c>
      <c r="AL36" s="257">
        <f t="shared" si="261"/>
        <v>1.762053215334501</v>
      </c>
      <c r="AM36" s="256">
        <f t="shared" si="261"/>
        <v>1.8529423625677122</v>
      </c>
      <c r="AN36" s="257">
        <f t="shared" si="261"/>
        <v>0.69457795278630297</v>
      </c>
      <c r="AO36" s="257">
        <f t="shared" si="261"/>
        <v>1.0541545362211302</v>
      </c>
      <c r="AP36" s="257">
        <f t="shared" si="261"/>
        <v>1.1159609639565644</v>
      </c>
      <c r="AQ36" s="257">
        <f t="shared" si="261"/>
        <v>1.6122662801421705</v>
      </c>
      <c r="AR36" s="256">
        <f t="shared" si="261"/>
        <v>4.4567336784777787</v>
      </c>
      <c r="AS36" s="257">
        <f t="shared" si="261"/>
        <v>0.86722296395193588</v>
      </c>
      <c r="AT36" s="257">
        <f t="shared" si="261"/>
        <v>1.3181636991761891</v>
      </c>
      <c r="AU36" s="257">
        <f t="shared" si="261"/>
        <v>1.6520095503382413</v>
      </c>
      <c r="AV36" s="257">
        <f t="shared" si="261"/>
        <v>1.9120987980451722</v>
      </c>
      <c r="AW36" s="256">
        <f t="shared" si="261"/>
        <v>5.7558093214712525</v>
      </c>
      <c r="AX36" s="257">
        <f>AX32-AX49</f>
        <v>1.3944181147972616</v>
      </c>
      <c r="AY36" s="257">
        <f t="shared" si="261"/>
        <v>1.478018372703412</v>
      </c>
      <c r="AZ36" s="582">
        <f t="shared" si="261"/>
        <v>1.5479613173026654</v>
      </c>
      <c r="BA36" s="582">
        <f t="shared" si="261"/>
        <v>1.4560876941145766</v>
      </c>
      <c r="BB36" s="256">
        <f t="shared" si="261"/>
        <v>5.8729379418695995</v>
      </c>
      <c r="BC36" s="257">
        <f>BC32-BC49</f>
        <v>1.7254455574346297</v>
      </c>
      <c r="BD36" s="257">
        <f>BD32-BD49</f>
        <v>1.6711583311738794</v>
      </c>
      <c r="BE36" s="257">
        <f>BE32-BE49</f>
        <v>1.795605252892992</v>
      </c>
      <c r="BF36" s="257">
        <f>BF32-BF49</f>
        <v>1.8783836543466963</v>
      </c>
      <c r="BG36" s="579">
        <f t="shared" ref="BG36" si="262">BG32-BG49</f>
        <v>7.0701754385964932</v>
      </c>
      <c r="BH36" s="624">
        <f t="shared" ref="BH36:BP36" si="263">BH32-BH49</f>
        <v>1.7563320514520619</v>
      </c>
      <c r="BI36" s="257">
        <f>BI32-BI49</f>
        <v>2.4126469396027566</v>
      </c>
      <c r="BJ36" s="624">
        <f t="shared" si="263"/>
        <v>2.1371088946577403</v>
      </c>
      <c r="BK36" s="624">
        <f t="shared" si="263"/>
        <v>2.3087058498896247</v>
      </c>
      <c r="BL36" s="634">
        <f t="shared" si="263"/>
        <v>8.6042224406113412</v>
      </c>
      <c r="BM36" s="624">
        <f t="shared" ref="BM36:BN36" si="264">BM32-BM49</f>
        <v>1.9734668160179218</v>
      </c>
      <c r="BN36" s="624">
        <f t="shared" si="264"/>
        <v>1.6161110316211189</v>
      </c>
      <c r="BO36" s="624">
        <f t="shared" si="263"/>
        <v>2.5269230769230768</v>
      </c>
      <c r="BP36" s="624">
        <f t="shared" si="263"/>
        <v>1.5996770405167351</v>
      </c>
      <c r="BQ36" s="634">
        <f t="shared" ref="BQ36:CA36" si="265">BQ32-BQ49</f>
        <v>7.7170265512161818</v>
      </c>
      <c r="BR36" s="624">
        <f t="shared" si="265"/>
        <v>1.7391108440973266</v>
      </c>
      <c r="BS36" s="624">
        <f t="shared" si="265"/>
        <v>-0.43823668081093825</v>
      </c>
      <c r="BT36" s="624">
        <f t="shared" si="265"/>
        <v>3.5116168800379328</v>
      </c>
      <c r="BU36" s="624">
        <f t="shared" si="265"/>
        <v>2.4649373314294785</v>
      </c>
      <c r="BV36" s="634">
        <f t="shared" ref="BV36" si="266">BV32-BV49</f>
        <v>7.2581965615375621</v>
      </c>
      <c r="BW36" s="624">
        <f t="shared" si="265"/>
        <v>2.1699935608499676</v>
      </c>
      <c r="BX36" s="624">
        <f t="shared" si="265"/>
        <v>2.4905675853018372</v>
      </c>
      <c r="BY36" s="624">
        <f t="shared" si="265"/>
        <v>2.6197427016328549</v>
      </c>
      <c r="BZ36" s="624">
        <f t="shared" si="265"/>
        <v>5.0720542059163778</v>
      </c>
      <c r="CA36" s="634">
        <f t="shared" si="265"/>
        <v>12.325528082528246</v>
      </c>
      <c r="CB36" s="624">
        <f t="shared" ref="CB36:CF36" si="267">CB32-CB49</f>
        <v>3.6404052243804421</v>
      </c>
      <c r="CC36" s="624">
        <f t="shared" si="267"/>
        <v>3.3263971462544584</v>
      </c>
      <c r="CD36" s="624">
        <f t="shared" si="267"/>
        <v>3.5811294765840218</v>
      </c>
      <c r="CE36" s="624">
        <f t="shared" si="267"/>
        <v>5.4810043290043282</v>
      </c>
      <c r="CF36" s="634">
        <f t="shared" si="267"/>
        <v>16.059500042658478</v>
      </c>
      <c r="CG36" s="624">
        <f t="shared" ref="CG36:CK36" si="268">CG32-CG49</f>
        <v>3.2519916142557652</v>
      </c>
      <c r="CH36" s="624">
        <f t="shared" si="268"/>
        <v>-5.7143994339288877</v>
      </c>
      <c r="CI36" s="624">
        <f t="shared" si="268"/>
        <v>1.5450456781447643</v>
      </c>
      <c r="CJ36" s="624">
        <f t="shared" si="268"/>
        <v>-2.2362575168022643</v>
      </c>
      <c r="CK36" s="634">
        <f t="shared" si="268"/>
        <v>-3.0873564230075257</v>
      </c>
      <c r="CL36" s="624">
        <f t="shared" ref="CL36" si="269">CL32-CL49</f>
        <v>-1.6983919420392297</v>
      </c>
      <c r="CM36" s="624">
        <f t="shared" ref="CM36:CP36" si="270">CM32-CM49</f>
        <v>-4.7903425141242941</v>
      </c>
      <c r="CN36" s="624">
        <f t="shared" si="270"/>
        <v>-1.3905400635368865</v>
      </c>
      <c r="CO36" s="624">
        <f t="shared" si="270"/>
        <v>-15.247288842544318</v>
      </c>
      <c r="CP36" s="634">
        <f t="shared" si="270"/>
        <v>-22.824464670448048</v>
      </c>
      <c r="CQ36" s="624">
        <f t="shared" ref="CQ36:CV36" si="271">CQ32-CQ49</f>
        <v>-1.5339323539460199</v>
      </c>
      <c r="CR36" s="624">
        <f t="shared" si="271"/>
        <v>0.4025076245340562</v>
      </c>
      <c r="CS36" s="624">
        <f t="shared" si="271"/>
        <v>-0.59762308998302205</v>
      </c>
      <c r="CT36" s="624">
        <f t="shared" si="271"/>
        <v>-7.6862612231068956</v>
      </c>
      <c r="CU36" s="634">
        <f t="shared" si="271"/>
        <v>-8.9530256061828553</v>
      </c>
      <c r="CV36" s="624">
        <f t="shared" si="271"/>
        <v>-2.7501656244718604</v>
      </c>
      <c r="CW36" s="624">
        <f t="shared" ref="CW36:CZ36" si="272">CW32-CW49</f>
        <v>-0.36639168343393691</v>
      </c>
      <c r="CX36" s="624">
        <f t="shared" si="272"/>
        <v>-6.1822019117893685</v>
      </c>
      <c r="CY36" s="624">
        <f t="shared" si="272"/>
        <v>-1.7486074469861412</v>
      </c>
      <c r="CZ36" s="634">
        <f t="shared" si="272"/>
        <v>-9.7981286451558773</v>
      </c>
      <c r="DA36" s="624">
        <f t="shared" ref="DA36:DD36" si="273">DA32-DA49</f>
        <v>-1.2671369294605808</v>
      </c>
      <c r="DB36" s="624">
        <f t="shared" si="273"/>
        <v>-0.81607762180016508</v>
      </c>
      <c r="DC36" s="624">
        <f t="shared" si="273"/>
        <v>-3.2643346508563895</v>
      </c>
      <c r="DD36" s="624">
        <f t="shared" si="273"/>
        <v>-0.4679475334103283</v>
      </c>
      <c r="DE36" s="634">
        <f t="shared" ref="DE36:DI36" si="274">DE32-DE49</f>
        <v>-5.0489241316648075</v>
      </c>
      <c r="DF36" s="624">
        <f t="shared" si="274"/>
        <v>-1.1293607305936071</v>
      </c>
      <c r="DG36" s="624">
        <f t="shared" si="274"/>
        <v>-2.9037658125202723</v>
      </c>
      <c r="DH36" s="624">
        <f t="shared" si="274"/>
        <v>-10.440911441499678</v>
      </c>
      <c r="DI36" s="624">
        <f t="shared" si="274"/>
        <v>-5.9011182286589614</v>
      </c>
      <c r="DJ36" s="634">
        <f t="shared" ref="DJ36:DN36" si="275">DJ32-DJ49</f>
        <v>-20.276455500618045</v>
      </c>
      <c r="DK36" s="624">
        <f t="shared" si="275"/>
        <v>-0.48911069816830371</v>
      </c>
      <c r="DL36" s="624">
        <f t="shared" si="275"/>
        <v>-1.2375601374570446</v>
      </c>
      <c r="DM36" s="624">
        <f t="shared" si="275"/>
        <v>-7.4732925384919069</v>
      </c>
      <c r="DN36" s="624">
        <f t="shared" si="275"/>
        <v>9.9196226415094344</v>
      </c>
      <c r="DO36" s="634">
        <f>DO32-DO49+0.01</f>
        <v>1.1868977780678001</v>
      </c>
      <c r="DP36" s="624">
        <f t="shared" ref="DP36:DQ36" si="276">DP32-DP49</f>
        <v>-0.19507614213197969</v>
      </c>
      <c r="DQ36" s="624">
        <f t="shared" si="276"/>
        <v>-0.76159878573235518</v>
      </c>
      <c r="DR36" s="624">
        <f t="shared" ref="DR36:DS36" si="277">DR32-DR49</f>
        <v>2.7681803781124115E-2</v>
      </c>
      <c r="DS36" s="624">
        <f t="shared" si="277"/>
        <v>0.59786945274834657</v>
      </c>
      <c r="DT36" s="634">
        <f t="shared" ref="DT36:DX36" si="278">DT32-DT49</f>
        <v>-0.25039393061969739</v>
      </c>
      <c r="DU36" s="624">
        <f t="shared" si="278"/>
        <v>9.6095756088566575E-2</v>
      </c>
      <c r="DV36" s="624">
        <f t="shared" si="278"/>
        <v>0.89300881946061517</v>
      </c>
      <c r="DW36" s="624">
        <f t="shared" si="278"/>
        <v>1.4949846890561553</v>
      </c>
      <c r="DX36" s="624">
        <f t="shared" si="278"/>
        <v>2.0330378408582988</v>
      </c>
      <c r="DY36" s="634">
        <f t="shared" ref="DY36" si="279">DY32-DY49</f>
        <v>4.4993806185147456</v>
      </c>
      <c r="DZ36" s="634">
        <f t="shared" ref="DZ36" si="280">DZ32-DZ49</f>
        <v>9.2793573613463618</v>
      </c>
      <c r="EA36" s="634">
        <f t="shared" ref="EA36:EB36" si="281">EA32-EA49</f>
        <v>14.581626804718125</v>
      </c>
      <c r="EB36" s="634">
        <f t="shared" si="281"/>
        <v>20.570675800573643</v>
      </c>
    </row>
    <row r="37" spans="1:132" s="68" customFormat="1" ht="12" customHeight="1">
      <c r="A37" s="241"/>
      <c r="B37" s="241"/>
      <c r="C37" s="120"/>
      <c r="D37" s="120"/>
      <c r="E37" s="120"/>
      <c r="F37" s="120"/>
      <c r="G37" s="120"/>
      <c r="H37" s="120"/>
      <c r="I37" s="120"/>
      <c r="J37" s="121"/>
      <c r="K37" s="121"/>
      <c r="L37" s="121"/>
      <c r="M37" s="121"/>
      <c r="N37" s="120"/>
      <c r="O37" s="121"/>
      <c r="P37" s="121"/>
      <c r="Q37" s="121"/>
      <c r="R37" s="121"/>
      <c r="S37" s="120"/>
      <c r="T37" s="121"/>
      <c r="U37" s="121"/>
      <c r="V37" s="121"/>
      <c r="W37" s="121"/>
      <c r="X37" s="120"/>
      <c r="Y37" s="121"/>
      <c r="Z37" s="121"/>
      <c r="AA37" s="121"/>
      <c r="AB37" s="121"/>
      <c r="AC37" s="120"/>
      <c r="AD37" s="121"/>
      <c r="AE37" s="121"/>
      <c r="AF37" s="121"/>
      <c r="AG37" s="121"/>
      <c r="AH37" s="120"/>
      <c r="AI37" s="121"/>
      <c r="AJ37" s="121"/>
      <c r="AK37" s="121"/>
      <c r="AL37" s="238"/>
      <c r="AM37" s="239"/>
      <c r="AN37" s="402"/>
      <c r="AO37" s="238"/>
      <c r="AP37" s="238"/>
      <c r="AQ37" s="238"/>
      <c r="AR37" s="466"/>
      <c r="AS37" s="402"/>
      <c r="AT37" s="238"/>
      <c r="AU37" s="238"/>
      <c r="AV37" s="238"/>
      <c r="AW37" s="466"/>
      <c r="AX37" s="238"/>
      <c r="AY37" s="238"/>
      <c r="AZ37" s="238"/>
      <c r="BA37" s="238"/>
      <c r="BB37" s="466"/>
      <c r="BC37" s="12"/>
      <c r="BD37" s="238"/>
      <c r="BE37" s="238"/>
      <c r="BF37" s="238"/>
      <c r="BG37" s="120"/>
      <c r="BH37" s="12"/>
      <c r="BI37" s="535"/>
      <c r="BJ37" s="238"/>
      <c r="BK37" s="238"/>
      <c r="BL37" s="733"/>
      <c r="BM37" s="12"/>
      <c r="BN37" s="690"/>
      <c r="BO37" s="690"/>
      <c r="BP37" s="623"/>
      <c r="BQ37" s="691"/>
      <c r="BR37" s="12"/>
      <c r="BS37" s="690"/>
      <c r="BT37" s="690"/>
      <c r="BU37" s="690"/>
      <c r="BV37" s="691"/>
      <c r="BW37" s="12"/>
      <c r="BX37" s="690"/>
      <c r="BY37" s="690"/>
      <c r="BZ37" s="690"/>
      <c r="CA37" s="691"/>
      <c r="CB37" s="12"/>
      <c r="CC37" s="690"/>
      <c r="CD37" s="690"/>
      <c r="CE37" s="690"/>
      <c r="CF37" s="691"/>
      <c r="CG37" s="968"/>
      <c r="CH37" s="690"/>
      <c r="CI37" s="690"/>
      <c r="CJ37" s="690"/>
      <c r="CK37" s="691"/>
      <c r="CL37" s="690"/>
      <c r="CM37" s="690"/>
      <c r="CN37" s="690"/>
      <c r="CO37" s="690"/>
      <c r="CP37" s="583"/>
      <c r="CQ37" s="690"/>
      <c r="CR37" s="690"/>
      <c r="CS37" s="690"/>
      <c r="CT37" s="690"/>
      <c r="CU37" s="583"/>
      <c r="CV37" s="690"/>
      <c r="CW37" s="690"/>
      <c r="CX37" s="690"/>
      <c r="CY37" s="690"/>
      <c r="CZ37" s="583"/>
      <c r="DA37" s="690"/>
      <c r="DB37" s="690"/>
      <c r="DC37" s="690"/>
      <c r="DD37" s="690"/>
      <c r="DE37" s="583"/>
      <c r="DF37" s="690"/>
      <c r="DG37" s="690"/>
      <c r="DH37" s="690"/>
      <c r="DI37" s="690"/>
      <c r="DJ37" s="583"/>
      <c r="DK37" s="690"/>
      <c r="DL37" s="690"/>
      <c r="DM37" s="690"/>
      <c r="DN37" s="690"/>
      <c r="DO37" s="583"/>
      <c r="DP37" s="690"/>
      <c r="DQ37" s="690"/>
      <c r="DR37" s="690"/>
      <c r="DS37" s="690"/>
      <c r="DT37" s="583"/>
      <c r="DU37" s="690"/>
      <c r="DV37" s="690"/>
      <c r="DW37" s="690"/>
      <c r="DX37" s="690"/>
      <c r="DY37" s="583"/>
      <c r="DZ37" s="583"/>
      <c r="EA37" s="583"/>
      <c r="EB37" s="583"/>
    </row>
    <row r="38" spans="1:132" s="68" customFormat="1" ht="12" customHeight="1">
      <c r="B38" s="100" t="s">
        <v>323</v>
      </c>
      <c r="C38" s="120"/>
      <c r="D38" s="120"/>
      <c r="E38" s="120"/>
      <c r="F38" s="120"/>
      <c r="G38" s="120"/>
      <c r="H38" s="120"/>
      <c r="I38" s="120"/>
      <c r="J38" s="121"/>
      <c r="K38" s="121"/>
      <c r="L38" s="121"/>
      <c r="M38" s="121"/>
      <c r="N38" s="120"/>
      <c r="O38" s="121"/>
      <c r="P38" s="121"/>
      <c r="Q38" s="121"/>
      <c r="R38" s="121"/>
      <c r="S38" s="120"/>
      <c r="T38" s="121"/>
      <c r="U38" s="121"/>
      <c r="V38" s="121"/>
      <c r="W38" s="121"/>
      <c r="X38" s="120"/>
      <c r="Y38" s="121"/>
      <c r="Z38" s="121"/>
      <c r="AA38" s="121"/>
      <c r="AB38" s="121"/>
      <c r="AC38" s="120"/>
      <c r="AD38" s="121"/>
      <c r="AE38" s="121"/>
      <c r="AF38" s="121"/>
      <c r="AG38" s="121"/>
      <c r="AH38" s="120"/>
      <c r="AI38" s="121"/>
      <c r="AJ38" s="121"/>
      <c r="AK38" s="121"/>
      <c r="AL38" s="121"/>
      <c r="AM38" s="120"/>
      <c r="AN38" s="121"/>
      <c r="AO38" s="121"/>
      <c r="AP38" s="121"/>
      <c r="AQ38" s="121"/>
      <c r="AR38" s="120"/>
      <c r="AS38" s="121"/>
      <c r="AT38" s="121"/>
      <c r="AU38" s="121"/>
      <c r="AV38" s="121"/>
      <c r="AW38" s="120"/>
      <c r="AX38" s="121"/>
      <c r="AY38" s="121"/>
      <c r="AZ38" s="121"/>
      <c r="BA38" s="121"/>
      <c r="BB38" s="120"/>
      <c r="BC38" s="121"/>
      <c r="BD38" s="121"/>
      <c r="BE38" s="121"/>
      <c r="BF38" s="121"/>
      <c r="BG38" s="120"/>
      <c r="BH38" s="121"/>
      <c r="BI38" s="121"/>
      <c r="BJ38" s="121"/>
      <c r="BK38" s="121"/>
      <c r="BL38" s="733"/>
      <c r="BM38" s="121"/>
      <c r="BN38" s="690"/>
      <c r="BO38" s="121"/>
      <c r="BP38" s="121"/>
      <c r="BQ38" s="691"/>
      <c r="BR38" s="121"/>
      <c r="BS38" s="121"/>
      <c r="BT38" s="121"/>
      <c r="BU38" s="121"/>
      <c r="BV38" s="691"/>
      <c r="BW38" s="121"/>
      <c r="BX38" s="121"/>
      <c r="BY38" s="121"/>
      <c r="BZ38" s="121"/>
      <c r="CA38" s="120"/>
      <c r="CB38" s="121"/>
      <c r="CC38" s="121"/>
      <c r="CD38" s="121"/>
      <c r="CE38" s="121"/>
      <c r="CF38" s="120"/>
      <c r="CG38" s="121"/>
      <c r="CH38" s="121"/>
      <c r="CI38" s="121"/>
      <c r="CJ38" s="121"/>
      <c r="CK38" s="120"/>
      <c r="CL38" s="121"/>
      <c r="CM38" s="121"/>
      <c r="CN38" s="121"/>
      <c r="CO38" s="121"/>
      <c r="CP38" s="120"/>
      <c r="CQ38" s="121"/>
      <c r="CR38" s="121"/>
      <c r="CS38" s="121"/>
      <c r="CT38" s="121"/>
      <c r="CU38" s="120"/>
      <c r="CV38" s="121"/>
      <c r="CW38" s="121"/>
      <c r="CX38" s="121"/>
      <c r="CY38" s="121"/>
      <c r="CZ38" s="120"/>
      <c r="DA38" s="121"/>
      <c r="DB38" s="121"/>
      <c r="DC38" s="121"/>
      <c r="DD38" s="121"/>
      <c r="DE38" s="1013"/>
      <c r="DF38" s="121"/>
      <c r="DG38" s="121"/>
      <c r="DH38" s="121"/>
      <c r="DI38" s="121"/>
      <c r="DJ38" s="120"/>
      <c r="DK38" s="121"/>
      <c r="DL38" s="121"/>
      <c r="DM38" s="121"/>
      <c r="DN38" s="121"/>
      <c r="DO38" s="120"/>
      <c r="DP38" s="121"/>
      <c r="DQ38" s="121"/>
      <c r="DR38" s="121"/>
      <c r="DS38" s="121"/>
      <c r="DT38" s="120"/>
      <c r="DU38" s="121"/>
      <c r="DV38" s="121"/>
      <c r="DW38" s="121"/>
      <c r="DX38" s="121"/>
      <c r="DY38" s="120"/>
      <c r="DZ38" s="120"/>
      <c r="EA38" s="120"/>
      <c r="EB38" s="120"/>
    </row>
    <row r="39" spans="1:132" s="241" customFormat="1" ht="12" customHeight="1">
      <c r="A39" s="68"/>
      <c r="B39" s="68" t="s">
        <v>46</v>
      </c>
      <c r="C39" s="128">
        <f>Data!C40</f>
        <v>970.1</v>
      </c>
      <c r="D39" s="128">
        <f>Data!D40</f>
        <v>976.7</v>
      </c>
      <c r="E39" s="128">
        <f>Data!E40</f>
        <v>917.1</v>
      </c>
      <c r="F39" s="128">
        <f>Data!F40</f>
        <v>859.5</v>
      </c>
      <c r="G39" s="128">
        <f>Data!G40</f>
        <v>816.2</v>
      </c>
      <c r="H39" s="128">
        <f>Data!H40</f>
        <v>799</v>
      </c>
      <c r="I39" s="128">
        <f>Data!I40</f>
        <v>800.1</v>
      </c>
      <c r="J39" s="129">
        <f>Data!J40</f>
        <v>801.2</v>
      </c>
      <c r="K39" s="129">
        <f>Data!K40</f>
        <v>807.8</v>
      </c>
      <c r="L39" s="129">
        <f>Data!L40</f>
        <v>808.2</v>
      </c>
      <c r="M39" s="129">
        <f>Data!M40</f>
        <v>810.80000000000018</v>
      </c>
      <c r="N39" s="128">
        <f>AVERAGE(J39:M39)</f>
        <v>807</v>
      </c>
      <c r="O39" s="129">
        <f>Data!O40</f>
        <v>798.4</v>
      </c>
      <c r="P39" s="129">
        <f>Data!P40</f>
        <v>793.3</v>
      </c>
      <c r="Q39" s="129">
        <f>Data!Q40</f>
        <v>787.3</v>
      </c>
      <c r="R39" s="129">
        <f>Data!R40</f>
        <v>775</v>
      </c>
      <c r="S39" s="128">
        <f>AVERAGE(O39:R39)</f>
        <v>788.5</v>
      </c>
      <c r="T39" s="129">
        <f>Data!T40</f>
        <v>770.5</v>
      </c>
      <c r="U39" s="129">
        <f>Data!U40</f>
        <v>761.3</v>
      </c>
      <c r="V39" s="129">
        <f>Data!V40</f>
        <v>773</v>
      </c>
      <c r="W39" s="129">
        <f>Data!W40</f>
        <v>779.2</v>
      </c>
      <c r="X39" s="128">
        <f>AVERAGE(T39:W39)</f>
        <v>771</v>
      </c>
      <c r="Y39" s="129">
        <f>Data!Y40</f>
        <v>765.4</v>
      </c>
      <c r="Z39" s="129">
        <f>Data!Z40</f>
        <v>763.5</v>
      </c>
      <c r="AA39" s="129">
        <f>Data!AA40</f>
        <v>759.3</v>
      </c>
      <c r="AB39" s="129">
        <f>Data!AB40</f>
        <v>748.99999999999977</v>
      </c>
      <c r="AC39" s="128">
        <f>AVERAGE(Y39:AB39)</f>
        <v>759.3</v>
      </c>
      <c r="AD39" s="129">
        <f>Data!AD40</f>
        <v>738</v>
      </c>
      <c r="AE39" s="129">
        <f>Data!AE40</f>
        <v>725.5</v>
      </c>
      <c r="AF39" s="129">
        <f>Data!AF40</f>
        <v>717.5</v>
      </c>
      <c r="AG39" s="129">
        <f>Data!AG40</f>
        <v>709.40000000000009</v>
      </c>
      <c r="AH39" s="128">
        <f>AVERAGE(AD39:AG39)</f>
        <v>722.6</v>
      </c>
      <c r="AI39" s="129">
        <f>Data!AI40</f>
        <v>705.3</v>
      </c>
      <c r="AJ39" s="129">
        <f>Data!AJ40</f>
        <v>705.2</v>
      </c>
      <c r="AK39" s="129">
        <f>Data!AK40</f>
        <v>701.3</v>
      </c>
      <c r="AL39" s="129">
        <f>Data!AL40</f>
        <v>716.66099999999994</v>
      </c>
      <c r="AM39" s="128">
        <f>AVERAGE(AI39:AL39)</f>
        <v>707.11525000000006</v>
      </c>
      <c r="AN39" s="129">
        <f>Data!AN40</f>
        <v>734.8</v>
      </c>
      <c r="AO39" s="129">
        <f>Data!AO40</f>
        <v>737.2</v>
      </c>
      <c r="AP39" s="129">
        <f>Data!AP40</f>
        <v>739.1</v>
      </c>
      <c r="AQ39" s="129">
        <f>Data!AQ40</f>
        <v>742.67515923566873</v>
      </c>
      <c r="AR39" s="128">
        <f>AVERAGE(AN39:AQ39)</f>
        <v>738.44378980891713</v>
      </c>
      <c r="AS39" s="129">
        <f>Data!AS40</f>
        <v>742.9</v>
      </c>
      <c r="AT39" s="129">
        <f>Data!AT40</f>
        <v>745.5</v>
      </c>
      <c r="AU39" s="129">
        <f>Data!AU40</f>
        <v>748</v>
      </c>
      <c r="AV39" s="129">
        <f>Data!AV40</f>
        <v>749.83783783783781</v>
      </c>
      <c r="AW39" s="128">
        <f>AVERAGE(AS39:AV39)</f>
        <v>746.5594594594595</v>
      </c>
      <c r="AX39" s="129">
        <f>Data!AX40</f>
        <v>752.5</v>
      </c>
      <c r="AY39" s="129">
        <f>Data!AY40</f>
        <v>755.9</v>
      </c>
      <c r="AZ39" s="129">
        <f>Data!AZ40</f>
        <v>756.6</v>
      </c>
      <c r="BA39" s="129">
        <f>Data!BA40</f>
        <v>757.80000000000018</v>
      </c>
      <c r="BB39" s="128">
        <f>AVERAGE(AX39:BA39)</f>
        <v>755.7</v>
      </c>
      <c r="BC39" s="129">
        <f>Data!BC40</f>
        <v>762.8</v>
      </c>
      <c r="BD39" s="129">
        <f>Data!BD40</f>
        <v>763.3</v>
      </c>
      <c r="BE39" s="129">
        <f>Data!BE40</f>
        <v>759.4</v>
      </c>
      <c r="BF39" s="129">
        <f>Data!BF40</f>
        <v>756.68711656441815</v>
      </c>
      <c r="BG39" s="128">
        <f>AVERAGE(BC39:BF39)</f>
        <v>760.54677914110448</v>
      </c>
      <c r="BH39" s="129">
        <f>Data!BH40</f>
        <v>745</v>
      </c>
      <c r="BI39" s="129">
        <f>Data!BI40</f>
        <v>731.1</v>
      </c>
      <c r="BJ39" s="129">
        <f>Data!BJ40</f>
        <v>722.8</v>
      </c>
      <c r="BK39" s="129">
        <f>Data!BK40</f>
        <v>711.5</v>
      </c>
      <c r="BL39" s="128">
        <f>AVERAGE(BH39:BK39)</f>
        <v>727.59999999999991</v>
      </c>
      <c r="BM39" s="129">
        <f>Data!BM40</f>
        <v>705.7</v>
      </c>
      <c r="BN39" s="129">
        <f>Data!BN40</f>
        <v>691.2</v>
      </c>
      <c r="BO39" s="129">
        <f>Data!BO40</f>
        <v>681.3</v>
      </c>
      <c r="BP39" s="129">
        <f>Data!BP40</f>
        <v>673.5</v>
      </c>
      <c r="BQ39" s="128">
        <f>AVERAGE(BM39:BP39)</f>
        <v>687.92499999999995</v>
      </c>
      <c r="BR39" s="129">
        <f>Data!BR40</f>
        <v>659.6</v>
      </c>
      <c r="BS39" s="129">
        <f>Data!BS40</f>
        <v>636.29999999999995</v>
      </c>
      <c r="BT39" s="129">
        <f>Data!BT40</f>
        <v>625.5</v>
      </c>
      <c r="BU39" s="129">
        <f>Data!BU40</f>
        <v>623.09999999999991</v>
      </c>
      <c r="BV39" s="128">
        <f>AVERAGE(BR39:BU39)</f>
        <v>636.125</v>
      </c>
      <c r="BW39" s="129">
        <f>BW40-(BV40-BV39)</f>
        <v>616.05000000000007</v>
      </c>
      <c r="BX39" s="129">
        <f>BX40-(BW40-BW39)</f>
        <v>604.45000000000005</v>
      </c>
      <c r="BY39" s="129">
        <f>BY40-(BX40-BX39)</f>
        <v>601.15</v>
      </c>
      <c r="BZ39" s="129">
        <f>BZ40-(BY40-BY39)</f>
        <v>599.95000000000005</v>
      </c>
      <c r="CA39" s="128">
        <f>AVERAGE(BW39:BZ39)</f>
        <v>605.40000000000009</v>
      </c>
      <c r="CB39" s="129">
        <f>CB40-(CA40-CA39)</f>
        <v>591.90000000000009</v>
      </c>
      <c r="CC39" s="129">
        <f>CC40-(CB40-CB39)</f>
        <v>583.40000000000009</v>
      </c>
      <c r="CD39" s="129">
        <f>CD40-(CC40-CC39)</f>
        <v>575.5</v>
      </c>
      <c r="CE39" s="129">
        <f>CE40-(CD40-CD39)</f>
        <v>572.20000000000005</v>
      </c>
      <c r="CF39" s="128">
        <f>AVERAGE(CB39:CE39)</f>
        <v>580.75</v>
      </c>
      <c r="CG39" s="129">
        <f>CG40-(CE40-CE39)</f>
        <v>567.1</v>
      </c>
      <c r="CH39" s="129">
        <f t="shared" ref="CH39:CJ39" si="282">CH40-(CG40-CG39)</f>
        <v>560</v>
      </c>
      <c r="CI39" s="129">
        <f t="shared" si="282"/>
        <v>563.90000000000009</v>
      </c>
      <c r="CJ39" s="129">
        <f t="shared" si="282"/>
        <v>560.1</v>
      </c>
      <c r="CK39" s="128">
        <f>AVERAGE(CG39:CJ39)</f>
        <v>562.77499999999998</v>
      </c>
      <c r="CL39" s="129">
        <f>CL40-(CJ40-CJ39)</f>
        <v>560.6</v>
      </c>
      <c r="CM39" s="129">
        <f t="shared" ref="CM39" si="283">CM40-(CL40-CL39)</f>
        <v>561.1</v>
      </c>
      <c r="CN39" s="129">
        <f t="shared" ref="CN39" si="284">CN40-(CM40-CM39)</f>
        <v>561.30000000000007</v>
      </c>
      <c r="CO39" s="129">
        <f t="shared" ref="CO39" si="285">CO40-(CN40-CN39)</f>
        <v>570.1</v>
      </c>
      <c r="CP39" s="128">
        <f>AVERAGE(CL39:CO39)</f>
        <v>563.27499999999998</v>
      </c>
      <c r="CQ39" s="129">
        <f>CQ40-(CO40-CO39)</f>
        <v>580.1</v>
      </c>
      <c r="CR39" s="129">
        <f>CR40-(CP40-CP39)</f>
        <v>584.9</v>
      </c>
      <c r="CS39" s="129">
        <f>CS40-(CQ40-CQ39)</f>
        <v>583.70000000000005</v>
      </c>
      <c r="CT39" s="129">
        <f t="shared" ref="CT39" si="286">CT40-(CS40-CS39)</f>
        <v>585</v>
      </c>
      <c r="CU39" s="128">
        <f>AVERAGE(CQ39:CT39)</f>
        <v>583.42499999999995</v>
      </c>
      <c r="CV39" s="129">
        <f>CV40-(CT40-CT39)</f>
        <v>586.40000000000009</v>
      </c>
      <c r="CW39" s="129">
        <f t="shared" ref="CW39:CX39" si="287">CW40-(CV40-CV39)</f>
        <v>591.1</v>
      </c>
      <c r="CX39" s="129">
        <f t="shared" si="287"/>
        <v>591</v>
      </c>
      <c r="CY39" s="129">
        <f t="shared" ref="CY39" si="288">CY40-(CX40-CX39)</f>
        <v>593.6</v>
      </c>
      <c r="CZ39" s="128">
        <f>AVERAGE(CV39:CY39)</f>
        <v>590.52499999999998</v>
      </c>
      <c r="DA39" s="129">
        <f>DA40-(CY40-CY39)</f>
        <v>597.20000000000005</v>
      </c>
      <c r="DB39" s="129">
        <f>DB40-(CZ40-CZ39)</f>
        <v>600.20000000000005</v>
      </c>
      <c r="DC39" s="129">
        <f>DC40-(DA40-DA39)</f>
        <v>601.90000000000009</v>
      </c>
      <c r="DD39" s="129">
        <f t="shared" ref="DD39" si="289">DD40-(DC40-DC39)</f>
        <v>600.80000000000007</v>
      </c>
      <c r="DE39" s="128">
        <f>AVERAGE(DA39:DD39)</f>
        <v>600.02500000000009</v>
      </c>
      <c r="DF39" s="129">
        <f t="shared" ref="DF39:DH39" si="290">DF40-(DE40-DE39)</f>
        <v>607.90000000000009</v>
      </c>
      <c r="DG39" s="129">
        <f>DG40-(DE40-DE39)</f>
        <v>611.30000000000007</v>
      </c>
      <c r="DH39" s="129">
        <f t="shared" si="290"/>
        <v>613.5</v>
      </c>
      <c r="DI39" s="129">
        <f>Data!DI40</f>
        <v>718.1</v>
      </c>
      <c r="DJ39" s="128">
        <f>AVERAGE(DF39:DI39)</f>
        <v>637.70000000000005</v>
      </c>
      <c r="DK39" s="129">
        <f>Data!DK40</f>
        <v>753.4</v>
      </c>
      <c r="DL39" s="129">
        <f>Data!DL40</f>
        <v>756.6</v>
      </c>
      <c r="DM39" s="129">
        <f>Data!DM40</f>
        <v>759.9</v>
      </c>
      <c r="DN39" s="129">
        <f>Data!DN40</f>
        <v>768</v>
      </c>
      <c r="DO39" s="128">
        <f>AVERAGE(DK39:DN39)</f>
        <v>759.47500000000002</v>
      </c>
      <c r="DP39" s="129">
        <f>Data!DP40</f>
        <v>788</v>
      </c>
      <c r="DQ39" s="129">
        <f>Data!DQ40</f>
        <v>790.6</v>
      </c>
      <c r="DR39" s="129">
        <f t="shared" ref="DR39" si="291">DR40-(DQ40-DQ39)</f>
        <v>791.1</v>
      </c>
      <c r="DS39" s="129">
        <f t="shared" ref="DS39" si="292">DS40-(DR40-DR39)</f>
        <v>791.35</v>
      </c>
      <c r="DT39" s="128">
        <f>AVERAGE(DP39:DS39)</f>
        <v>790.26249999999993</v>
      </c>
      <c r="DU39" s="129">
        <f t="shared" ref="DU39" si="293">DU40-(DT40-DT39)</f>
        <v>789.35</v>
      </c>
      <c r="DV39" s="129">
        <f t="shared" ref="DV39" si="294">DV40-(DU40-DU39)</f>
        <v>785.35</v>
      </c>
      <c r="DW39" s="129">
        <f t="shared" ref="DW39" si="295">DW40-(DV40-DV39)</f>
        <v>783.35</v>
      </c>
      <c r="DX39" s="129">
        <f t="shared" ref="DX39" si="296">DX40-(DW40-DW39)</f>
        <v>775.35</v>
      </c>
      <c r="DY39" s="128">
        <f>AVERAGE(DU39:DX39)</f>
        <v>783.35</v>
      </c>
      <c r="DZ39" s="128">
        <f t="shared" ref="DZ39" si="297">DZ40-(DY40-DY39)</f>
        <v>765.35</v>
      </c>
      <c r="EA39" s="128">
        <f t="shared" ref="EA39" si="298">EA40-(DZ40-DZ39)</f>
        <v>740.35</v>
      </c>
      <c r="EB39" s="128">
        <f t="shared" ref="EB39" si="299">EB40-(EA40-EA39)</f>
        <v>710.35</v>
      </c>
    </row>
    <row r="40" spans="1:132" s="241" customFormat="1" ht="12" customHeight="1">
      <c r="B40" s="241" t="s">
        <v>47</v>
      </c>
      <c r="C40" s="128">
        <f>Data!C41</f>
        <v>970.1</v>
      </c>
      <c r="D40" s="128">
        <f>Data!D41</f>
        <v>966.9</v>
      </c>
      <c r="E40" s="128">
        <f>Data!E41</f>
        <v>925.9</v>
      </c>
      <c r="F40" s="128">
        <f>Data!F41</f>
        <v>871.3</v>
      </c>
      <c r="G40" s="128">
        <f>Data!G41</f>
        <v>829.3</v>
      </c>
      <c r="H40" s="128">
        <f>Data!H41</f>
        <v>808.4</v>
      </c>
      <c r="I40" s="128">
        <f>Data!I41</f>
        <v>808.9</v>
      </c>
      <c r="J40" s="129">
        <f>Data!J41</f>
        <v>810.9</v>
      </c>
      <c r="K40" s="129">
        <f>Data!K41</f>
        <v>812.3</v>
      </c>
      <c r="L40" s="129">
        <f>Data!L41</f>
        <v>814.8</v>
      </c>
      <c r="M40" s="129">
        <f>Data!M41</f>
        <v>814</v>
      </c>
      <c r="N40" s="128">
        <f>AVERAGE(J40:M40)</f>
        <v>813</v>
      </c>
      <c r="O40" s="129">
        <f>Data!O41</f>
        <v>806.8</v>
      </c>
      <c r="P40" s="129">
        <f>Data!P41</f>
        <v>807.4</v>
      </c>
      <c r="Q40" s="129">
        <f>Data!Q41</f>
        <v>802.8</v>
      </c>
      <c r="R40" s="129">
        <f>Data!R41</f>
        <v>794.60000000000014</v>
      </c>
      <c r="S40" s="128">
        <f>AVERAGE(O40:R40)</f>
        <v>802.90000000000009</v>
      </c>
      <c r="T40" s="129">
        <f>Data!T41</f>
        <v>791.8</v>
      </c>
      <c r="U40" s="129">
        <f>Data!U41</f>
        <v>761.3</v>
      </c>
      <c r="V40" s="129">
        <f>Data!V41</f>
        <v>784</v>
      </c>
      <c r="W40" s="129">
        <f>Data!W41</f>
        <v>813.30000000000041</v>
      </c>
      <c r="X40" s="128">
        <f>AVERAGE(T40:W40)</f>
        <v>787.60000000000014</v>
      </c>
      <c r="Y40" s="129">
        <f>Data!Y41</f>
        <v>777.4</v>
      </c>
      <c r="Z40" s="129">
        <f>Data!Z41</f>
        <v>777</v>
      </c>
      <c r="AA40" s="129">
        <f>Data!AA41</f>
        <v>773.4</v>
      </c>
      <c r="AB40" s="129">
        <f>Data!AB41</f>
        <v>762.19999999999993</v>
      </c>
      <c r="AC40" s="128">
        <f>AVERAGE(Y40:AB40)</f>
        <v>772.5</v>
      </c>
      <c r="AD40" s="129">
        <f>Data!AD41</f>
        <v>747.4</v>
      </c>
      <c r="AE40" s="129">
        <f>Data!AE41</f>
        <v>732.8</v>
      </c>
      <c r="AF40" s="129">
        <f>Data!AF41</f>
        <v>721.9</v>
      </c>
      <c r="AG40" s="129">
        <f>Data!AG41</f>
        <v>713.9</v>
      </c>
      <c r="AH40" s="128">
        <f>AVERAGE(AD40:AG40)</f>
        <v>729</v>
      </c>
      <c r="AI40" s="129">
        <f>Data!AI41</f>
        <v>707.4</v>
      </c>
      <c r="AJ40" s="129">
        <f>Data!AJ41</f>
        <v>707.8</v>
      </c>
      <c r="AK40" s="129">
        <f>Data!AK41</f>
        <v>701.3</v>
      </c>
      <c r="AL40" s="129">
        <f>Data!AL41</f>
        <v>723.9</v>
      </c>
      <c r="AM40" s="128">
        <f>Data!AM41</f>
        <v>713.4</v>
      </c>
      <c r="AN40" s="129">
        <f>Data!AN41</f>
        <v>740.1</v>
      </c>
      <c r="AO40" s="129">
        <f>Data!AO41</f>
        <v>742.9</v>
      </c>
      <c r="AP40" s="129">
        <f>Data!AP41</f>
        <v>744.6</v>
      </c>
      <c r="AQ40" s="129">
        <f>Data!AQ41</f>
        <v>747</v>
      </c>
      <c r="AR40" s="128">
        <f>AVERAGE(AN40:AQ40)</f>
        <v>743.65</v>
      </c>
      <c r="AS40" s="129">
        <f>Data!AS41</f>
        <v>749</v>
      </c>
      <c r="AT40" s="129">
        <f>Data!AT41</f>
        <v>752.6</v>
      </c>
      <c r="AU40" s="129">
        <f>Data!AU41</f>
        <v>753.9</v>
      </c>
      <c r="AV40" s="129">
        <f>Data!AV41</f>
        <v>757.1</v>
      </c>
      <c r="AW40" s="128">
        <f>Data!AW41:AW41</f>
        <v>753.1</v>
      </c>
      <c r="AX40" s="129">
        <f>Data!AX41</f>
        <v>759.6</v>
      </c>
      <c r="AY40" s="129">
        <f>Data!AY41</f>
        <v>762</v>
      </c>
      <c r="AZ40" s="129">
        <f>Data!AZ41</f>
        <v>765.2</v>
      </c>
      <c r="BA40" s="129">
        <f>Data!BA41</f>
        <v>766.3</v>
      </c>
      <c r="BB40" s="128">
        <f>Data!BB41:BB41</f>
        <v>763.8</v>
      </c>
      <c r="BC40" s="129">
        <f>Data!BC41</f>
        <v>768.7</v>
      </c>
      <c r="BD40" s="129">
        <f>Data!BD41</f>
        <v>771.8</v>
      </c>
      <c r="BE40" s="129">
        <f>Data!BE41</f>
        <v>769.1</v>
      </c>
      <c r="BF40" s="129">
        <f>Data!BF41</f>
        <v>768.4</v>
      </c>
      <c r="BG40" s="128">
        <f>AVERAGE(BC40:BF40)</f>
        <v>769.5</v>
      </c>
      <c r="BH40" s="129">
        <f>Data!BH41</f>
        <v>754.1</v>
      </c>
      <c r="BI40" s="129">
        <f>Data!BI41</f>
        <v>740.1</v>
      </c>
      <c r="BJ40" s="129">
        <f>Data!BJ41</f>
        <v>731.9</v>
      </c>
      <c r="BK40" s="129">
        <f>Data!BK41</f>
        <v>724.8</v>
      </c>
      <c r="BL40" s="128">
        <f>AVERAGE(BH40:BK40)</f>
        <v>737.72499999999991</v>
      </c>
      <c r="BM40" s="129">
        <f>Data!BM41</f>
        <v>714.2</v>
      </c>
      <c r="BN40" s="129">
        <f>Data!BN41</f>
        <v>698.9</v>
      </c>
      <c r="BO40" s="129">
        <f>Data!BO41</f>
        <v>689</v>
      </c>
      <c r="BP40" s="129">
        <f>Data!BP41</f>
        <v>681.2</v>
      </c>
      <c r="BQ40" s="128">
        <f>AVERAGE(BM40:BP40)</f>
        <v>695.82500000000005</v>
      </c>
      <c r="BR40" s="129">
        <f>Data!BR41</f>
        <v>665.8</v>
      </c>
      <c r="BS40" s="129">
        <f>Data!BS41</f>
        <v>636.29999999999995</v>
      </c>
      <c r="BT40" s="129">
        <f>Data!BT41</f>
        <v>632.70000000000005</v>
      </c>
      <c r="BU40" s="129">
        <f>Data!BU41</f>
        <v>630.29999999999995</v>
      </c>
      <c r="BV40" s="128">
        <f>AVERAGE(BR40:BU40)</f>
        <v>641.27499999999998</v>
      </c>
      <c r="BW40" s="129">
        <f>Data!BW41</f>
        <v>621.20000000000005</v>
      </c>
      <c r="BX40" s="129">
        <f>Data!BX41</f>
        <v>609.6</v>
      </c>
      <c r="BY40" s="129">
        <f>Data!BY41</f>
        <v>606.29999999999995</v>
      </c>
      <c r="BZ40" s="129">
        <f>Data!BZ41</f>
        <v>605.1</v>
      </c>
      <c r="CA40" s="128">
        <f>Data!CA41</f>
        <v>610.70000000000005</v>
      </c>
      <c r="CB40" s="129">
        <f>Data!CB41</f>
        <v>597.20000000000005</v>
      </c>
      <c r="CC40" s="129">
        <f>Data!CC41</f>
        <v>588.70000000000005</v>
      </c>
      <c r="CD40" s="129">
        <f>Data!CD41</f>
        <v>580.79999999999995</v>
      </c>
      <c r="CE40" s="129">
        <f>Data!CE41</f>
        <v>577.5</v>
      </c>
      <c r="CF40" s="128">
        <f>AVERAGE(CB40:CE40)</f>
        <v>586.04999999999995</v>
      </c>
      <c r="CG40" s="129">
        <f>Data!CG41</f>
        <v>572.4</v>
      </c>
      <c r="CH40" s="129">
        <f>Data!CH41</f>
        <v>565.29999999999995</v>
      </c>
      <c r="CI40" s="129">
        <f>Data!CI41</f>
        <v>569.20000000000005</v>
      </c>
      <c r="CJ40" s="129">
        <f>Data!CJ41</f>
        <v>565.4</v>
      </c>
      <c r="CK40" s="128">
        <f>AVERAGE(CG40:CJ40)</f>
        <v>568.07499999999993</v>
      </c>
      <c r="CL40" s="129">
        <f>Data!CL41</f>
        <v>565.9</v>
      </c>
      <c r="CM40" s="129">
        <f>Data!CM41</f>
        <v>566.4</v>
      </c>
      <c r="CN40" s="129">
        <f>Data!CN41</f>
        <v>566.6</v>
      </c>
      <c r="CO40" s="129">
        <f>Data!CO41</f>
        <v>575.4</v>
      </c>
      <c r="CP40" s="128">
        <f>AVERAGE(CL40:CO40)</f>
        <v>568.57500000000005</v>
      </c>
      <c r="CQ40" s="129">
        <f>Data!CQ41</f>
        <v>585.4</v>
      </c>
      <c r="CR40" s="129">
        <f>Data!CR41</f>
        <v>590.20000000000005</v>
      </c>
      <c r="CS40" s="129">
        <f>Data!CS41</f>
        <v>589</v>
      </c>
      <c r="CT40" s="129">
        <f>Data!CT41</f>
        <v>590.29999999999995</v>
      </c>
      <c r="CU40" s="128">
        <f>AVERAGE(CQ40:CT40)</f>
        <v>588.72499999999991</v>
      </c>
      <c r="CV40" s="129">
        <f>Data!CV41</f>
        <v>591.70000000000005</v>
      </c>
      <c r="CW40" s="129">
        <f>Data!CW41</f>
        <v>596.4</v>
      </c>
      <c r="CX40" s="129">
        <f>Data!CX41</f>
        <v>596.29999999999995</v>
      </c>
      <c r="CY40" s="129">
        <f>Data!CY41</f>
        <v>598.9</v>
      </c>
      <c r="CZ40" s="128">
        <f>AVERAGE(CV40:CY40)</f>
        <v>595.82499999999993</v>
      </c>
      <c r="DA40" s="129">
        <f>Data!DA41</f>
        <v>602.5</v>
      </c>
      <c r="DB40" s="129">
        <f>Data!DB41</f>
        <v>605.5</v>
      </c>
      <c r="DC40" s="129">
        <f>Data!DC41</f>
        <v>607.20000000000005</v>
      </c>
      <c r="DD40" s="129">
        <f>Data!DD41</f>
        <v>606.1</v>
      </c>
      <c r="DE40" s="128">
        <f>AVERAGE(DA40:DD40)</f>
        <v>605.32500000000005</v>
      </c>
      <c r="DF40" s="129">
        <f>Data!DF41</f>
        <v>613.20000000000005</v>
      </c>
      <c r="DG40" s="129">
        <f>Data!DG41</f>
        <v>616.6</v>
      </c>
      <c r="DH40" s="129">
        <f>Data!DH41</f>
        <v>618.79999999999995</v>
      </c>
      <c r="DI40" s="129">
        <f>Data!DI41</f>
        <v>718.1</v>
      </c>
      <c r="DJ40" s="128">
        <v>647.20000000000005</v>
      </c>
      <c r="DK40" s="129">
        <f>Data!DK41</f>
        <v>753.4</v>
      </c>
      <c r="DL40" s="129">
        <f>Data!DL41</f>
        <v>756.6</v>
      </c>
      <c r="DM40" s="129">
        <f>Data!DM41</f>
        <v>759.9</v>
      </c>
      <c r="DN40" s="129">
        <f>Data!DN41</f>
        <v>795</v>
      </c>
      <c r="DO40" s="128">
        <f>AVERAGE(DK40:DN40)</f>
        <v>766.22500000000002</v>
      </c>
      <c r="DP40" s="129">
        <f>Data!DP41</f>
        <v>788</v>
      </c>
      <c r="DQ40" s="129">
        <f>Data!DQ41</f>
        <v>790.6</v>
      </c>
      <c r="DR40" s="130">
        <f>DQ40+0.5</f>
        <v>791.1</v>
      </c>
      <c r="DS40" s="130">
        <f>DR40+0.25</f>
        <v>791.35</v>
      </c>
      <c r="DT40" s="128">
        <f>AVERAGE(DP40:DS40)</f>
        <v>790.26249999999993</v>
      </c>
      <c r="DU40" s="130">
        <f>DS40-2</f>
        <v>789.35</v>
      </c>
      <c r="DV40" s="130">
        <f>DU40-4</f>
        <v>785.35</v>
      </c>
      <c r="DW40" s="130">
        <f>DV40-2</f>
        <v>783.35</v>
      </c>
      <c r="DX40" s="130">
        <f>DW40-8</f>
        <v>775.35</v>
      </c>
      <c r="DY40" s="128">
        <f>AVERAGE(DU40:DX40)</f>
        <v>783.35</v>
      </c>
      <c r="DZ40" s="131">
        <f>DY40-18</f>
        <v>765.35</v>
      </c>
      <c r="EA40" s="131">
        <f>DZ40-25</f>
        <v>740.35</v>
      </c>
      <c r="EB40" s="131">
        <f>EA40-30</f>
        <v>710.35</v>
      </c>
    </row>
    <row r="41" spans="1:132" s="241" customFormat="1" ht="12" customHeight="1">
      <c r="C41" s="128"/>
      <c r="D41" s="128"/>
      <c r="E41" s="128"/>
      <c r="F41" s="128"/>
      <c r="G41" s="128"/>
      <c r="H41" s="128"/>
      <c r="I41" s="128"/>
      <c r="J41" s="129"/>
      <c r="K41" s="129"/>
      <c r="L41" s="129"/>
      <c r="M41" s="129"/>
      <c r="N41" s="128"/>
      <c r="O41" s="129"/>
      <c r="P41" s="129"/>
      <c r="Q41" s="129"/>
      <c r="R41" s="129"/>
      <c r="S41" s="128"/>
      <c r="T41" s="129"/>
      <c r="U41" s="129"/>
      <c r="V41" s="129"/>
      <c r="W41" s="129"/>
      <c r="X41" s="128"/>
      <c r="Y41" s="129"/>
      <c r="Z41" s="129"/>
      <c r="AA41" s="129"/>
      <c r="AB41" s="129"/>
      <c r="AC41" s="13"/>
      <c r="AD41" s="129"/>
      <c r="AE41" s="129"/>
      <c r="AF41" s="129"/>
      <c r="AG41" s="129"/>
      <c r="AH41" s="13"/>
      <c r="AI41" s="129"/>
      <c r="AJ41" s="129"/>
      <c r="AK41" s="129"/>
      <c r="AL41" s="130"/>
      <c r="AM41" s="13"/>
      <c r="AN41" s="130"/>
      <c r="AO41" s="130"/>
      <c r="AP41" s="130"/>
      <c r="AQ41" s="130"/>
      <c r="AR41" s="13"/>
      <c r="AS41" s="130"/>
      <c r="AT41" s="130"/>
      <c r="AU41" s="130"/>
      <c r="AV41" s="130"/>
      <c r="AW41" s="13"/>
      <c r="AX41" s="130"/>
      <c r="AY41" s="130"/>
      <c r="AZ41" s="130"/>
      <c r="BA41" s="130"/>
      <c r="BB41" s="13"/>
      <c r="BC41" s="130"/>
      <c r="BD41" s="130"/>
      <c r="BE41" s="130"/>
      <c r="BF41" s="130"/>
      <c r="BG41" s="13"/>
      <c r="BH41" s="130"/>
      <c r="BI41" s="130"/>
      <c r="BJ41" s="130"/>
      <c r="BK41" s="130"/>
      <c r="BL41" s="635"/>
      <c r="BM41" s="130"/>
      <c r="BN41" s="130"/>
      <c r="BO41" s="130"/>
      <c r="BP41" s="130"/>
      <c r="BQ41" s="635"/>
      <c r="BR41" s="130"/>
      <c r="BS41" s="130"/>
      <c r="BT41" s="130"/>
      <c r="BU41" s="130"/>
      <c r="BV41" s="128"/>
      <c r="BW41" s="130"/>
      <c r="BX41" s="130"/>
      <c r="BY41" s="130"/>
      <c r="BZ41" s="130"/>
      <c r="CA41" s="128"/>
      <c r="CB41" s="130"/>
      <c r="CC41" s="130"/>
      <c r="CD41" s="130"/>
      <c r="CE41" s="130"/>
      <c r="CF41" s="13"/>
      <c r="CG41" s="130"/>
      <c r="CH41" s="130"/>
      <c r="CI41" s="130"/>
      <c r="CJ41" s="130"/>
      <c r="CK41" s="868"/>
      <c r="CL41" s="130"/>
      <c r="CM41" s="130"/>
      <c r="CN41" s="130"/>
      <c r="CO41" s="130"/>
      <c r="CP41" s="868"/>
      <c r="CQ41" s="130"/>
      <c r="CR41" s="130"/>
      <c r="CS41" s="130"/>
      <c r="CT41" s="130"/>
      <c r="CU41" s="868"/>
      <c r="CV41" s="130"/>
      <c r="CW41" s="130"/>
      <c r="CX41" s="130"/>
      <c r="CY41" s="130"/>
      <c r="CZ41" s="868"/>
      <c r="DA41" s="130"/>
      <c r="DB41" s="130"/>
      <c r="DC41" s="130"/>
      <c r="DD41" s="130"/>
      <c r="DE41" s="868"/>
      <c r="DF41" s="130"/>
      <c r="DG41" s="130"/>
      <c r="DH41" s="130"/>
      <c r="DI41" s="130"/>
      <c r="DJ41" s="868"/>
      <c r="DK41" s="130"/>
      <c r="DL41" s="130"/>
      <c r="DM41" s="130"/>
      <c r="DN41" s="130"/>
      <c r="DO41" s="868"/>
      <c r="DP41" s="130"/>
      <c r="DQ41" s="130"/>
      <c r="DR41" s="130"/>
      <c r="DS41" s="130"/>
      <c r="DT41" s="868"/>
      <c r="DU41" s="130"/>
      <c r="DV41" s="130"/>
      <c r="DW41" s="130"/>
      <c r="DX41" s="130"/>
      <c r="DY41" s="868"/>
      <c r="DZ41" s="868"/>
      <c r="EA41" s="868"/>
      <c r="EB41" s="868"/>
    </row>
    <row r="42" spans="1:132" s="241" customFormat="1" ht="12" customHeight="1">
      <c r="B42" s="241" t="s">
        <v>298</v>
      </c>
      <c r="C42" s="132">
        <f>Data!C283</f>
        <v>0.56000000000000005</v>
      </c>
      <c r="D42" s="132">
        <f>Data!D283</f>
        <v>0.56000000000000005</v>
      </c>
      <c r="E42" s="132">
        <f>Data!E283</f>
        <v>0.56000000000000005</v>
      </c>
      <c r="F42" s="132">
        <f>Data!F283</f>
        <v>0.59</v>
      </c>
      <c r="G42" s="132">
        <f>Data!G283</f>
        <v>0.68</v>
      </c>
      <c r="H42" s="132">
        <f>Data!H283</f>
        <v>0.68</v>
      </c>
      <c r="I42" s="132">
        <f>Data!I283</f>
        <v>0.68</v>
      </c>
      <c r="J42" s="133">
        <f>Data!J283</f>
        <v>0.17</v>
      </c>
      <c r="K42" s="133">
        <f>Data!K283</f>
        <v>0.2</v>
      </c>
      <c r="L42" s="133">
        <f>Data!L283</f>
        <v>0.2</v>
      </c>
      <c r="M42" s="133">
        <f>Data!M283</f>
        <v>0.2</v>
      </c>
      <c r="N42" s="132">
        <f>SUM(J42:M42)</f>
        <v>0.77</v>
      </c>
      <c r="O42" s="133">
        <f>Data!O283</f>
        <v>0.25</v>
      </c>
      <c r="P42" s="133">
        <f>Data!P283</f>
        <v>0.25</v>
      </c>
      <c r="Q42" s="133">
        <f>Data!Q283</f>
        <v>0.25</v>
      </c>
      <c r="R42" s="133">
        <f>Data!R283</f>
        <v>0.25</v>
      </c>
      <c r="S42" s="132">
        <f>SUM(O42:R42)</f>
        <v>1</v>
      </c>
      <c r="T42" s="133">
        <f>Data!T283</f>
        <v>0.3</v>
      </c>
      <c r="U42" s="133">
        <f>Data!U283</f>
        <v>0.3</v>
      </c>
      <c r="V42" s="133">
        <f>Data!V283</f>
        <v>0.3</v>
      </c>
      <c r="W42" s="133">
        <f>Data!W283</f>
        <v>0.3</v>
      </c>
      <c r="X42" s="132">
        <f>SUM(T42:W42)</f>
        <v>1.2</v>
      </c>
      <c r="Y42" s="133">
        <f>Data!Y283</f>
        <v>0.35</v>
      </c>
      <c r="Z42" s="133">
        <f>Data!Z283</f>
        <v>0.35</v>
      </c>
      <c r="AA42" s="133">
        <f>Data!AA283</f>
        <v>0.35</v>
      </c>
      <c r="AB42" s="133">
        <f>Data!AB283</f>
        <v>0.35</v>
      </c>
      <c r="AC42" s="132">
        <f>SUM(Y42:AB42)</f>
        <v>1.4</v>
      </c>
      <c r="AD42" s="133">
        <f>Data!AD283</f>
        <v>0.4</v>
      </c>
      <c r="AE42" s="133">
        <f>Data!AE283</f>
        <v>0.4</v>
      </c>
      <c r="AF42" s="133">
        <f>Data!AF283</f>
        <v>0.4</v>
      </c>
      <c r="AG42" s="133">
        <f>Data!AG283</f>
        <v>0.4</v>
      </c>
      <c r="AH42" s="132">
        <f>SUM(AD42:AG42)</f>
        <v>1.6</v>
      </c>
      <c r="AI42" s="133">
        <f>Data!AI283</f>
        <v>0.42</v>
      </c>
      <c r="AJ42" s="133">
        <f>Data!AJ283</f>
        <v>0.42</v>
      </c>
      <c r="AK42" s="133">
        <f>Data!AK283</f>
        <v>0.42</v>
      </c>
      <c r="AL42" s="133">
        <f>Data!AL283</f>
        <v>0.42</v>
      </c>
      <c r="AM42" s="132">
        <f>SUM(AI42:AL42)</f>
        <v>1.68</v>
      </c>
      <c r="AN42" s="133">
        <f>Data!AN283</f>
        <v>0.42</v>
      </c>
      <c r="AO42" s="133">
        <f>Data!AO283</f>
        <v>0.42</v>
      </c>
      <c r="AP42" s="133">
        <f>Data!AP283</f>
        <v>0.42</v>
      </c>
      <c r="AQ42" s="133">
        <f>Data!AQ283</f>
        <v>0.42</v>
      </c>
      <c r="AR42" s="132">
        <f>SUM(AN42:AQ42)</f>
        <v>1.68</v>
      </c>
      <c r="AS42" s="133">
        <f>Data!AS283</f>
        <v>0.42</v>
      </c>
      <c r="AT42" s="133">
        <f>Data!AT283</f>
        <v>0.42</v>
      </c>
      <c r="AU42" s="133">
        <f>Data!AU283</f>
        <v>0.42</v>
      </c>
      <c r="AV42" s="133">
        <f>Data!AV283</f>
        <v>0.42</v>
      </c>
      <c r="AW42" s="132">
        <f>SUM(AS42:AV42)</f>
        <v>1.68</v>
      </c>
      <c r="AX42" s="133">
        <f>Data!AX283</f>
        <v>0.44</v>
      </c>
      <c r="AY42" s="133">
        <f>Data!AY283</f>
        <v>0.44</v>
      </c>
      <c r="AZ42" s="133">
        <f>Data!AZ283</f>
        <v>0.44</v>
      </c>
      <c r="BA42" s="133">
        <f>Data!BA283</f>
        <v>0.48499999999999999</v>
      </c>
      <c r="BB42" s="132">
        <f>SUM(AX42:BA42)</f>
        <v>1.8050000000000002</v>
      </c>
      <c r="BC42" s="133">
        <f>Data!BC283</f>
        <v>0.49</v>
      </c>
      <c r="BD42" s="133">
        <f>Data!BD283</f>
        <v>0.48499999999999999</v>
      </c>
      <c r="BE42" s="133">
        <f>Data!BE283</f>
        <v>0.48499999999999999</v>
      </c>
      <c r="BF42" s="133">
        <f>Data!BF283</f>
        <v>0.48499999999999999</v>
      </c>
      <c r="BG42" s="132">
        <f>SUM(BC42:BF42)</f>
        <v>1.9449999999999998</v>
      </c>
      <c r="BH42" s="133">
        <f>Data!BH283</f>
        <v>0.73</v>
      </c>
      <c r="BI42" s="133">
        <f>Data!BI283</f>
        <v>0.73</v>
      </c>
      <c r="BJ42" s="133">
        <f>Data!BJ283</f>
        <v>0.73</v>
      </c>
      <c r="BK42" s="133">
        <f>Data!BK283</f>
        <v>0.73</v>
      </c>
      <c r="BL42" s="132">
        <f>SUM(BH42:BK42)</f>
        <v>2.92</v>
      </c>
      <c r="BM42" s="133">
        <f>Data!BM283</f>
        <v>0.91</v>
      </c>
      <c r="BN42" s="133">
        <f>Data!BN283</f>
        <v>0.91</v>
      </c>
      <c r="BO42" s="133">
        <f>Data!BO283</f>
        <v>0.91</v>
      </c>
      <c r="BP42" s="133">
        <f>Data!BP283</f>
        <v>0.91</v>
      </c>
      <c r="BQ42" s="132">
        <f>SUM(BM42:BP42)</f>
        <v>3.64</v>
      </c>
      <c r="BR42" s="133">
        <f>Data!BR283</f>
        <v>1.0900000000000001</v>
      </c>
      <c r="BS42" s="133">
        <f>Data!BS283</f>
        <v>1.0900000000000001</v>
      </c>
      <c r="BT42" s="133">
        <f>Data!BT283</f>
        <v>1.0900000000000001</v>
      </c>
      <c r="BU42" s="133">
        <f>Data!BU283</f>
        <v>1.0900000000000001</v>
      </c>
      <c r="BV42" s="132">
        <f>SUM(BR42:BU42)</f>
        <v>4.3600000000000003</v>
      </c>
      <c r="BW42" s="133">
        <f>Data!BW283</f>
        <v>1.42</v>
      </c>
      <c r="BX42" s="133">
        <f>Data!BX283</f>
        <v>1.42</v>
      </c>
      <c r="BY42" s="133">
        <f>Data!BY283</f>
        <v>1.42</v>
      </c>
      <c r="BZ42" s="133">
        <f>Data!BZ283</f>
        <v>1.42</v>
      </c>
      <c r="CA42" s="132">
        <f>SUM(BW42:BZ42)</f>
        <v>5.68</v>
      </c>
      <c r="CB42" s="133">
        <f>Data!CB283</f>
        <v>1.71</v>
      </c>
      <c r="CC42" s="133">
        <f>Data!CC283</f>
        <v>1.71</v>
      </c>
      <c r="CD42" s="133">
        <f>Data!CD283</f>
        <v>1.71</v>
      </c>
      <c r="CE42" s="133">
        <f>Data!CE283</f>
        <v>1.71</v>
      </c>
      <c r="CF42" s="132">
        <f>SUM(CB42:CE42)</f>
        <v>6.84</v>
      </c>
      <c r="CG42" s="133">
        <f>Data!CG283</f>
        <v>2.0550000000000002</v>
      </c>
      <c r="CH42" s="133">
        <f>Data!CH283</f>
        <v>2.0550000000000002</v>
      </c>
      <c r="CI42" s="133">
        <f>Data!CI283</f>
        <v>2.0550000000000002</v>
      </c>
      <c r="CJ42" s="133">
        <f>Data!CJ283</f>
        <v>2.0550000000000002</v>
      </c>
      <c r="CK42" s="132">
        <f>SUM(CG42:CJ42)</f>
        <v>8.2200000000000006</v>
      </c>
      <c r="CL42" s="133">
        <f>Data!CL283</f>
        <v>2.0550000000000002</v>
      </c>
      <c r="CM42" s="133">
        <f>Data!CM283</f>
        <v>0</v>
      </c>
      <c r="CN42" s="133">
        <f>Data!CN283</f>
        <v>0</v>
      </c>
      <c r="CO42" s="133">
        <f>Data!CO283</f>
        <v>0</v>
      </c>
      <c r="CP42" s="132">
        <f>SUM(CL42:CO42)</f>
        <v>2.0550000000000002</v>
      </c>
      <c r="CQ42" s="133">
        <f>Data!CQ283</f>
        <v>0</v>
      </c>
      <c r="CR42" s="133">
        <f>Data!CR283</f>
        <v>0</v>
      </c>
      <c r="CS42" s="133">
        <f>Data!CS283</f>
        <v>0</v>
      </c>
      <c r="CT42" s="133">
        <f>Data!CT283</f>
        <v>0</v>
      </c>
      <c r="CU42" s="132">
        <f>SUM(CQ42:CT42)</f>
        <v>0</v>
      </c>
      <c r="CV42" s="133">
        <f>Data!CV283</f>
        <v>0</v>
      </c>
      <c r="CW42" s="133">
        <f>Data!CW283</f>
        <v>0</v>
      </c>
      <c r="CX42" s="133">
        <f>Data!CX283</f>
        <v>0</v>
      </c>
      <c r="CY42" s="133">
        <f>Data!CY283</f>
        <v>0</v>
      </c>
      <c r="CZ42" s="132">
        <f>SUM(CV42:CY42)</f>
        <v>0</v>
      </c>
      <c r="DA42" s="133">
        <f>Data!DA283</f>
        <v>0</v>
      </c>
      <c r="DB42" s="133">
        <f>Data!DB283</f>
        <v>0</v>
      </c>
      <c r="DC42" s="133">
        <f>Data!DC283</f>
        <v>0</v>
      </c>
      <c r="DD42" s="133">
        <f>Data!DD283</f>
        <v>0</v>
      </c>
      <c r="DE42" s="132">
        <f>SUM(DA42:DD42)</f>
        <v>0</v>
      </c>
      <c r="DF42" s="133">
        <f>Data!DF283</f>
        <v>0</v>
      </c>
      <c r="DG42" s="133">
        <f>Data!DG283</f>
        <v>0</v>
      </c>
      <c r="DH42" s="133">
        <f>Data!DH283</f>
        <v>0</v>
      </c>
      <c r="DI42" s="133">
        <f>Data!DI283</f>
        <v>0</v>
      </c>
      <c r="DJ42" s="132">
        <f>SUM(DF42:DI42)</f>
        <v>0</v>
      </c>
      <c r="DK42" s="133">
        <f>Data!DK283</f>
        <v>0</v>
      </c>
      <c r="DL42" s="133">
        <f>Data!DL283</f>
        <v>0</v>
      </c>
      <c r="DM42" s="133">
        <f>Data!DM283</f>
        <v>0</v>
      </c>
      <c r="DN42" s="133">
        <f>Data!DN283</f>
        <v>0</v>
      </c>
      <c r="DO42" s="132">
        <f>SUM(DK42:DN42)</f>
        <v>0</v>
      </c>
      <c r="DP42" s="133">
        <f>Data!DP283</f>
        <v>0</v>
      </c>
      <c r="DQ42" s="133">
        <f>Data!DQ283</f>
        <v>0</v>
      </c>
      <c r="DR42" s="134">
        <f>DQ42</f>
        <v>0</v>
      </c>
      <c r="DS42" s="134">
        <f>DR42</f>
        <v>0</v>
      </c>
      <c r="DT42" s="132">
        <f>SUM(DP42:DS42)</f>
        <v>0</v>
      </c>
      <c r="DU42" s="134">
        <f>DT42</f>
        <v>0</v>
      </c>
      <c r="DV42" s="134">
        <f>DU42</f>
        <v>0</v>
      </c>
      <c r="DW42" s="134">
        <f>DV42</f>
        <v>0</v>
      </c>
      <c r="DX42" s="134">
        <f>DW42</f>
        <v>0</v>
      </c>
      <c r="DY42" s="132">
        <f>SUM(DU42:DX42)</f>
        <v>0</v>
      </c>
      <c r="DZ42" s="135">
        <v>0</v>
      </c>
      <c r="EA42" s="135">
        <v>0</v>
      </c>
      <c r="EB42" s="135">
        <v>0</v>
      </c>
    </row>
    <row r="43" spans="1:132" s="147" customFormat="1" ht="12" customHeight="1">
      <c r="B43" s="147" t="s">
        <v>299</v>
      </c>
      <c r="C43" s="213">
        <f>C42/C28</f>
        <v>-3.0520000000000005</v>
      </c>
      <c r="D43" s="213">
        <f t="shared" ref="D43:AK43" si="300">D42/D28</f>
        <v>0.48835000000000006</v>
      </c>
      <c r="E43" s="213">
        <f t="shared" si="300"/>
        <v>0.22242355998267649</v>
      </c>
      <c r="F43" s="213">
        <f t="shared" si="300"/>
        <v>0.23830122180451127</v>
      </c>
      <c r="G43" s="213">
        <f t="shared" si="300"/>
        <v>0.19639631988676579</v>
      </c>
      <c r="H43" s="213">
        <f t="shared" si="300"/>
        <v>0.2342906425183269</v>
      </c>
      <c r="I43" s="213">
        <f t="shared" si="300"/>
        <v>0.75775487465181057</v>
      </c>
      <c r="J43" s="214">
        <f t="shared" si="300"/>
        <v>0.2186260032102729</v>
      </c>
      <c r="K43" s="214">
        <f t="shared" si="300"/>
        <v>0.27569965870307167</v>
      </c>
      <c r="L43" s="214">
        <f t="shared" si="300"/>
        <v>0.36904109589041101</v>
      </c>
      <c r="M43" s="214">
        <f t="shared" si="300"/>
        <v>0.93734104046242805</v>
      </c>
      <c r="N43" s="213">
        <f t="shared" si="300"/>
        <v>0.34142307692307694</v>
      </c>
      <c r="O43" s="214">
        <f t="shared" si="300"/>
        <v>0.38832684824902725</v>
      </c>
      <c r="P43" s="214">
        <f t="shared" si="300"/>
        <v>0.35039752650176675</v>
      </c>
      <c r="Q43" s="214">
        <f t="shared" si="300"/>
        <v>0.19429911154985191</v>
      </c>
      <c r="R43" s="214">
        <f t="shared" si="300"/>
        <v>0.41311300639658854</v>
      </c>
      <c r="S43" s="213">
        <f t="shared" si="300"/>
        <v>0.30776736924277909</v>
      </c>
      <c r="T43" s="214">
        <f t="shared" si="300"/>
        <v>0.33403179190751442</v>
      </c>
      <c r="U43" s="214">
        <f t="shared" si="300"/>
        <v>-1.4274374999999997</v>
      </c>
      <c r="V43" s="214">
        <f t="shared" si="300"/>
        <v>0.33414985590778096</v>
      </c>
      <c r="W43" s="214">
        <f t="shared" si="300"/>
        <v>0.23853061224489797</v>
      </c>
      <c r="X43" s="213">
        <f t="shared" si="300"/>
        <v>0.41940163191296465</v>
      </c>
      <c r="Y43" s="214">
        <f t="shared" si="300"/>
        <v>0.30686139747995417</v>
      </c>
      <c r="Z43" s="214">
        <f t="shared" si="300"/>
        <v>0.25474261201143944</v>
      </c>
      <c r="AA43" s="214">
        <f t="shared" si="300"/>
        <v>0.23963480613165009</v>
      </c>
      <c r="AB43" s="214">
        <f t="shared" si="300"/>
        <v>0.25525803310613426</v>
      </c>
      <c r="AC43" s="213">
        <f t="shared" si="300"/>
        <v>0.26195662888122223</v>
      </c>
      <c r="AD43" s="214">
        <f t="shared" si="300"/>
        <v>0.2447761194029851</v>
      </c>
      <c r="AE43" s="214">
        <f t="shared" si="300"/>
        <v>0.3410105757931845</v>
      </c>
      <c r="AF43" s="214">
        <f t="shared" si="300"/>
        <v>0.42020497803806739</v>
      </c>
      <c r="AG43" s="214">
        <f t="shared" si="300"/>
        <v>-3.2995348837209311</v>
      </c>
      <c r="AH43" s="213">
        <f t="shared" si="300"/>
        <v>0.43562923888470234</v>
      </c>
      <c r="AI43" s="214">
        <f t="shared" si="300"/>
        <v>0.48166829268292682</v>
      </c>
      <c r="AJ43" s="214">
        <f t="shared" si="300"/>
        <v>0.2970752256770311</v>
      </c>
      <c r="AK43" s="214">
        <f t="shared" si="300"/>
        <v>-0.18881153846153845</v>
      </c>
      <c r="AL43" s="214">
        <f t="shared" ref="AL43:AW43" si="301">AL42/AL28</f>
        <v>0.23460453624318001</v>
      </c>
      <c r="AM43" s="213">
        <f t="shared" si="301"/>
        <v>0.88985289887640451</v>
      </c>
      <c r="AN43" s="214">
        <f t="shared" si="301"/>
        <v>0.59463583815028898</v>
      </c>
      <c r="AO43" s="214">
        <f t="shared" si="301"/>
        <v>0.392425855513308</v>
      </c>
      <c r="AP43" s="214">
        <f t="shared" si="301"/>
        <v>0.37087455197132618</v>
      </c>
      <c r="AQ43" s="214">
        <f t="shared" si="301"/>
        <v>0.26751592356687898</v>
      </c>
      <c r="AR43" s="213">
        <f t="shared" si="301"/>
        <v>0.37468606671065563</v>
      </c>
      <c r="AS43" s="214">
        <f t="shared" si="301"/>
        <v>0.53082340932289895</v>
      </c>
      <c r="AT43" s="214">
        <f t="shared" si="301"/>
        <v>0.33238853503184712</v>
      </c>
      <c r="AU43" s="214">
        <f t="shared" si="301"/>
        <v>0.28716636197440581</v>
      </c>
      <c r="AV43" s="214">
        <f t="shared" si="301"/>
        <v>0.22702702702702701</v>
      </c>
      <c r="AW43" s="213">
        <f t="shared" si="301"/>
        <v>0.3126950615537003</v>
      </c>
      <c r="AX43" s="214">
        <f t="shared" ref="AX43:BG43" si="302">AX42/AX28</f>
        <v>0.35833333333333328</v>
      </c>
      <c r="AY43" s="214">
        <f t="shared" si="302"/>
        <v>0.34394622543950359</v>
      </c>
      <c r="AZ43" s="214">
        <f t="shared" si="302"/>
        <v>0.32245641224331667</v>
      </c>
      <c r="BA43" s="214">
        <f t="shared" si="302"/>
        <v>0.37580061349693256</v>
      </c>
      <c r="BB43" s="213">
        <f t="shared" si="302"/>
        <v>0.34962795406777064</v>
      </c>
      <c r="BC43" s="137">
        <f t="shared" si="302"/>
        <v>0.33794936708860762</v>
      </c>
      <c r="BD43" s="214">
        <f t="shared" si="302"/>
        <v>0.34057083716651326</v>
      </c>
      <c r="BE43" s="214">
        <f t="shared" si="302"/>
        <v>0.31750775862068964</v>
      </c>
      <c r="BF43" s="214">
        <f t="shared" si="302"/>
        <v>0.29754601226993865</v>
      </c>
      <c r="BG43" s="136">
        <f t="shared" si="302"/>
        <v>0.32253259319497812</v>
      </c>
      <c r="BH43" s="625">
        <f>BH42/BH28</f>
        <v>0.56357512953367872</v>
      </c>
      <c r="BI43" s="625">
        <f t="shared" ref="BI43:BL43" si="303">BI42/BI28</f>
        <v>0.32286932849364797</v>
      </c>
      <c r="BJ43" s="625">
        <f t="shared" si="303"/>
        <v>0.38740381791483108</v>
      </c>
      <c r="BK43" s="625">
        <f t="shared" si="303"/>
        <v>0.35429399727148703</v>
      </c>
      <c r="BL43" s="136">
        <f t="shared" si="303"/>
        <v>0.39011972089607044</v>
      </c>
      <c r="BM43" s="625">
        <f>BM42/BM28</f>
        <v>0.48067889221556892</v>
      </c>
      <c r="BN43" s="625">
        <f t="shared" ref="BN43:BQ43" si="304">BN42/BN28</f>
        <v>0.5666594594594595</v>
      </c>
      <c r="BO43" s="625">
        <f t="shared" si="304"/>
        <v>0.36383978873239436</v>
      </c>
      <c r="BP43" s="625">
        <f t="shared" si="304"/>
        <v>0.59735380116959069</v>
      </c>
      <c r="BQ43" s="136">
        <f t="shared" si="304"/>
        <v>0.48378033230293666</v>
      </c>
      <c r="BR43" s="625">
        <f t="shared" ref="BR43:CA43" si="305">BR42/BR28</f>
        <v>0.58979819524200172</v>
      </c>
      <c r="BS43" s="625">
        <f t="shared" si="305"/>
        <v>-2.9639615384615383</v>
      </c>
      <c r="BT43" s="625">
        <f t="shared" si="305"/>
        <v>0.29916410706450203</v>
      </c>
      <c r="BU43" s="625">
        <f t="shared" si="305"/>
        <v>0.4164187614960147</v>
      </c>
      <c r="BV43" s="136">
        <f t="shared" si="305"/>
        <v>0.5665995914198162</v>
      </c>
      <c r="BW43" s="625">
        <f t="shared" si="305"/>
        <v>0.55401583280557321</v>
      </c>
      <c r="BX43" s="625">
        <f t="shared" si="305"/>
        <v>0.49074842767295596</v>
      </c>
      <c r="BY43" s="625">
        <f t="shared" si="305"/>
        <v>0.4716204419889502</v>
      </c>
      <c r="BZ43" s="625">
        <f t="shared" si="305"/>
        <v>0.25660512048192768</v>
      </c>
      <c r="CA43" s="136">
        <f t="shared" si="305"/>
        <v>0.40655852447387092</v>
      </c>
      <c r="CB43" s="625">
        <f t="shared" ref="CB43:CJ43" si="306">CB42/CB28</f>
        <v>0.40861889382317329</v>
      </c>
      <c r="CC43" s="625">
        <f t="shared" si="306"/>
        <v>0.45428688524590166</v>
      </c>
      <c r="CD43" s="625">
        <f t="shared" si="306"/>
        <v>0.41646424037240798</v>
      </c>
      <c r="CE43" s="625">
        <f>CE42/CE28</f>
        <v>0.28576577102803741</v>
      </c>
      <c r="CF43" s="136">
        <f t="shared" si="306"/>
        <v>0.37976386233269599</v>
      </c>
      <c r="CG43" s="625">
        <f t="shared" si="306"/>
        <v>0.54229432294090285</v>
      </c>
      <c r="CH43" s="625">
        <f t="shared" si="306"/>
        <v>-0.39116247450713798</v>
      </c>
      <c r="CI43" s="625">
        <f t="shared" si="306"/>
        <v>0.99298586118251952</v>
      </c>
      <c r="CJ43" s="625">
        <f t="shared" si="306"/>
        <v>-1.1396094059405943</v>
      </c>
      <c r="CK43" s="136">
        <f t="shared" ref="CK43:CO43" si="307">CK42/CK28</f>
        <v>-7.2736014150943404</v>
      </c>
      <c r="CL43" s="625">
        <f t="shared" si="307"/>
        <v>-1.8344474522292997</v>
      </c>
      <c r="CM43" s="625">
        <f t="shared" si="307"/>
        <v>0</v>
      </c>
      <c r="CN43" s="625">
        <f t="shared" si="307"/>
        <v>0</v>
      </c>
      <c r="CO43" s="625">
        <f t="shared" si="307"/>
        <v>0</v>
      </c>
      <c r="CP43" s="136">
        <f t="shared" ref="CP43:CT43" si="308">CP42/CP28</f>
        <v>-9.7492640865830038E-2</v>
      </c>
      <c r="CQ43" s="625">
        <f t="shared" si="308"/>
        <v>0</v>
      </c>
      <c r="CR43" s="625">
        <f t="shared" si="308"/>
        <v>0</v>
      </c>
      <c r="CS43" s="625">
        <f t="shared" si="308"/>
        <v>0</v>
      </c>
      <c r="CT43" s="625">
        <f t="shared" si="308"/>
        <v>0</v>
      </c>
      <c r="CU43" s="136">
        <f t="shared" ref="CU43:CV43" si="309">CU42/CU28</f>
        <v>0</v>
      </c>
      <c r="CV43" s="625">
        <f t="shared" si="309"/>
        <v>0</v>
      </c>
      <c r="CW43" s="625">
        <f t="shared" ref="CW43:CZ43" si="310">CW42/CW28</f>
        <v>0</v>
      </c>
      <c r="CX43" s="625">
        <f t="shared" si="310"/>
        <v>0</v>
      </c>
      <c r="CY43" s="625">
        <f t="shared" si="310"/>
        <v>0</v>
      </c>
      <c r="CZ43" s="136">
        <f t="shared" si="310"/>
        <v>0</v>
      </c>
      <c r="DA43" s="625">
        <f t="shared" ref="DA43:DD43" si="311">DA42/DA28</f>
        <v>0</v>
      </c>
      <c r="DB43" s="625">
        <f t="shared" si="311"/>
        <v>0</v>
      </c>
      <c r="DC43" s="625">
        <f t="shared" si="311"/>
        <v>0</v>
      </c>
      <c r="DD43" s="625">
        <f t="shared" si="311"/>
        <v>0</v>
      </c>
      <c r="DE43" s="136">
        <f t="shared" ref="DE43:DI43" si="312">DE42/DE28</f>
        <v>0</v>
      </c>
      <c r="DF43" s="625">
        <f t="shared" si="312"/>
        <v>0</v>
      </c>
      <c r="DG43" s="625">
        <f t="shared" si="312"/>
        <v>0</v>
      </c>
      <c r="DH43" s="625">
        <f t="shared" si="312"/>
        <v>0</v>
      </c>
      <c r="DI43" s="625">
        <f t="shared" si="312"/>
        <v>0</v>
      </c>
      <c r="DJ43" s="136">
        <f t="shared" ref="DJ43:DN43" si="313">DJ42/DJ28</f>
        <v>0</v>
      </c>
      <c r="DK43" s="625">
        <f t="shared" si="313"/>
        <v>0</v>
      </c>
      <c r="DL43" s="625">
        <f t="shared" si="313"/>
        <v>0</v>
      </c>
      <c r="DM43" s="625">
        <f t="shared" si="313"/>
        <v>0</v>
      </c>
      <c r="DN43" s="625">
        <f t="shared" si="313"/>
        <v>0</v>
      </c>
      <c r="DO43" s="136">
        <f t="shared" ref="DO43:DS43" si="314">DO42/DO28</f>
        <v>0</v>
      </c>
      <c r="DP43" s="625">
        <f t="shared" si="314"/>
        <v>0</v>
      </c>
      <c r="DQ43" s="625">
        <f t="shared" si="314"/>
        <v>0</v>
      </c>
      <c r="DR43" s="625">
        <f t="shared" si="314"/>
        <v>0</v>
      </c>
      <c r="DS43" s="625">
        <f t="shared" si="314"/>
        <v>0</v>
      </c>
      <c r="DT43" s="136">
        <f t="shared" ref="DT43:DX43" si="315">DT42/DT28</f>
        <v>0</v>
      </c>
      <c r="DU43" s="625">
        <f t="shared" si="315"/>
        <v>0</v>
      </c>
      <c r="DV43" s="625">
        <f t="shared" si="315"/>
        <v>0</v>
      </c>
      <c r="DW43" s="625">
        <f t="shared" si="315"/>
        <v>0</v>
      </c>
      <c r="DX43" s="625">
        <f t="shared" si="315"/>
        <v>0</v>
      </c>
      <c r="DY43" s="136">
        <f t="shared" ref="DY43" si="316">DY42/DY28</f>
        <v>0</v>
      </c>
      <c r="DZ43" s="136">
        <f t="shared" ref="DZ43" si="317">DZ42/DZ28</f>
        <v>0</v>
      </c>
      <c r="EA43" s="136">
        <f t="shared" ref="EA43:EB43" si="318">EA42/EA28</f>
        <v>0</v>
      </c>
      <c r="EB43" s="136">
        <f t="shared" si="318"/>
        <v>0</v>
      </c>
    </row>
    <row r="44" spans="1:132" s="241" customFormat="1" ht="12" hidden="1" customHeight="1" outlineLevel="1">
      <c r="C44" s="128"/>
      <c r="D44" s="128"/>
      <c r="E44" s="128"/>
      <c r="F44" s="128"/>
      <c r="G44" s="128"/>
      <c r="H44" s="128"/>
      <c r="I44" s="128"/>
      <c r="J44" s="129"/>
      <c r="K44" s="129"/>
      <c r="L44" s="129"/>
      <c r="M44" s="129"/>
      <c r="N44" s="128"/>
      <c r="O44" s="129"/>
      <c r="P44" s="129"/>
      <c r="Q44" s="129"/>
      <c r="R44" s="129"/>
      <c r="S44" s="128"/>
      <c r="T44" s="129"/>
      <c r="U44" s="129"/>
      <c r="V44" s="129"/>
      <c r="W44" s="129"/>
      <c r="X44" s="128"/>
      <c r="Y44" s="129"/>
      <c r="Z44" s="129"/>
      <c r="AA44" s="129"/>
      <c r="AB44" s="129"/>
      <c r="AC44" s="128"/>
      <c r="AD44" s="129"/>
      <c r="AE44" s="129"/>
      <c r="AF44" s="129"/>
      <c r="AG44" s="129"/>
      <c r="AH44" s="128"/>
      <c r="AI44" s="129"/>
      <c r="AJ44" s="129"/>
      <c r="AK44" s="129"/>
      <c r="AL44" s="130"/>
      <c r="AM44" s="128"/>
      <c r="AN44" s="130"/>
      <c r="AO44" s="130"/>
      <c r="AP44" s="130"/>
      <c r="AQ44" s="130"/>
      <c r="AR44" s="128"/>
      <c r="AS44" s="130"/>
      <c r="AT44" s="130"/>
      <c r="AU44" s="130"/>
      <c r="AV44" s="130"/>
      <c r="AW44" s="128"/>
      <c r="AX44" s="130"/>
      <c r="AY44" s="130"/>
      <c r="AZ44" s="130"/>
      <c r="BA44" s="130"/>
      <c r="BB44" s="131"/>
      <c r="BC44" s="129"/>
      <c r="BD44" s="130"/>
      <c r="BE44" s="130"/>
      <c r="BF44" s="130"/>
      <c r="BG44" s="128"/>
      <c r="BH44" s="130"/>
      <c r="BI44" s="130"/>
      <c r="BJ44" s="130"/>
      <c r="BK44" s="130"/>
      <c r="BL44" s="128"/>
      <c r="BM44" s="130"/>
      <c r="BN44" s="130"/>
      <c r="BO44" s="130"/>
      <c r="BP44" s="130"/>
      <c r="BQ44" s="128"/>
      <c r="BR44" s="130"/>
      <c r="BS44" s="130"/>
      <c r="BT44" s="130"/>
      <c r="BU44" s="130"/>
      <c r="BV44" s="128"/>
      <c r="BW44" s="130"/>
      <c r="BX44" s="130"/>
      <c r="BY44" s="130"/>
      <c r="BZ44" s="130"/>
      <c r="CA44" s="128"/>
      <c r="CB44" s="130"/>
      <c r="CC44" s="130"/>
      <c r="CD44" s="130"/>
      <c r="CE44" s="130"/>
      <c r="CF44" s="131"/>
      <c r="CG44" s="130"/>
      <c r="CH44" s="130"/>
      <c r="CI44" s="130"/>
      <c r="CJ44" s="130"/>
      <c r="CK44" s="128"/>
      <c r="CL44" s="130"/>
      <c r="CM44" s="130"/>
      <c r="CN44" s="130"/>
      <c r="CO44" s="130"/>
      <c r="CP44" s="128"/>
      <c r="CQ44" s="130"/>
      <c r="CR44" s="130"/>
      <c r="CS44" s="130"/>
      <c r="CT44" s="130"/>
      <c r="CU44" s="128"/>
      <c r="CV44" s="130"/>
      <c r="CW44" s="130"/>
      <c r="CX44" s="130"/>
      <c r="CY44" s="130"/>
      <c r="CZ44" s="128"/>
      <c r="DA44" s="130"/>
      <c r="DB44" s="130"/>
      <c r="DC44" s="130"/>
      <c r="DD44" s="130"/>
      <c r="DE44" s="128"/>
      <c r="DF44" s="130"/>
      <c r="DG44" s="130"/>
      <c r="DH44" s="130"/>
      <c r="DI44" s="130"/>
      <c r="DJ44" s="128"/>
      <c r="DK44" s="130"/>
      <c r="DL44" s="130"/>
      <c r="DM44" s="130"/>
      <c r="DN44" s="130"/>
      <c r="DO44" s="128"/>
      <c r="DP44" s="130"/>
      <c r="DQ44" s="130"/>
      <c r="DR44" s="130"/>
      <c r="DS44" s="130"/>
      <c r="DT44" s="128"/>
      <c r="DU44" s="130"/>
      <c r="DV44" s="130"/>
      <c r="DW44" s="130"/>
      <c r="DX44" s="130"/>
      <c r="DY44" s="128"/>
      <c r="DZ44" s="131"/>
      <c r="EA44" s="131"/>
      <c r="EB44" s="131"/>
    </row>
    <row r="45" spans="1:132" s="241" customFormat="1" ht="12" hidden="1" customHeight="1" outlineLevel="1">
      <c r="B45" s="241" t="s">
        <v>300</v>
      </c>
      <c r="C45" s="314">
        <f>Data!C286</f>
        <v>0</v>
      </c>
      <c r="D45" s="314">
        <f>Data!D286</f>
        <v>121</v>
      </c>
      <c r="E45" s="314">
        <f>Data!E286</f>
        <v>125</v>
      </c>
      <c r="F45" s="314">
        <f>Data!F286</f>
        <v>428</v>
      </c>
      <c r="G45" s="314">
        <f>Data!G286</f>
        <v>920</v>
      </c>
      <c r="H45" s="314">
        <f>Data!H286</f>
        <v>404</v>
      </c>
      <c r="I45" s="314">
        <f>Data!I286</f>
        <v>67</v>
      </c>
      <c r="J45" s="315">
        <f>Data!J286</f>
        <v>-97</v>
      </c>
      <c r="K45" s="315">
        <f>Data!K286</f>
        <v>-97</v>
      </c>
      <c r="L45" s="315">
        <f>Data!L286</f>
        <v>-93</v>
      </c>
      <c r="M45" s="315">
        <f>Data!M286</f>
        <v>-164</v>
      </c>
      <c r="N45" s="314">
        <f>SUM(J45:M45)</f>
        <v>-451</v>
      </c>
      <c r="O45" s="315">
        <f>Data!O286</f>
        <v>-234</v>
      </c>
      <c r="P45" s="315">
        <f>Data!P286</f>
        <v>-164</v>
      </c>
      <c r="Q45" s="315">
        <f>Data!Q286</f>
        <v>-430</v>
      </c>
      <c r="R45" s="315">
        <f>Data!R286</f>
        <v>-475</v>
      </c>
      <c r="S45" s="314">
        <f>SUM(O45:R45)</f>
        <v>-1303</v>
      </c>
      <c r="T45" s="315">
        <f>Data!T286</f>
        <v>-268</v>
      </c>
      <c r="U45" s="315">
        <f>Data!U286</f>
        <v>-261</v>
      </c>
      <c r="V45" s="315">
        <f>Data!V286</f>
        <v>-260</v>
      </c>
      <c r="W45" s="315">
        <f>Data!W286</f>
        <v>-261</v>
      </c>
      <c r="X45" s="314">
        <f>SUM(T45:W45)</f>
        <v>-1050</v>
      </c>
      <c r="Y45" s="315">
        <f>Data!Y286</f>
        <v>-275</v>
      </c>
      <c r="Z45" s="315">
        <f>Data!Z286</f>
        <v>-276</v>
      </c>
      <c r="AA45" s="315">
        <f>Data!AA286</f>
        <v>-275</v>
      </c>
      <c r="AB45" s="315">
        <f>Data!AB286</f>
        <v>-275</v>
      </c>
      <c r="AC45" s="314">
        <f>SUM(Y45:AB45)</f>
        <v>-1101</v>
      </c>
      <c r="AD45" s="315">
        <f>Data!AD286</f>
        <v>-191</v>
      </c>
      <c r="AE45" s="315">
        <f>Data!AE286</f>
        <v>-216</v>
      </c>
      <c r="AF45" s="315">
        <f>Data!AF286</f>
        <v>-176</v>
      </c>
      <c r="AG45" s="315">
        <f>Data!AG286</f>
        <v>-113</v>
      </c>
      <c r="AH45" s="314">
        <f>SUM(AD45:AG45)</f>
        <v>-696</v>
      </c>
      <c r="AI45" s="315">
        <f>Data!AI286</f>
        <v>-219</v>
      </c>
      <c r="AJ45" s="315">
        <f>Data!AJ286</f>
        <v>-207</v>
      </c>
      <c r="AK45" s="315">
        <f>Data!AK286</f>
        <v>-230</v>
      </c>
      <c r="AL45" s="315">
        <f>Data!AL286</f>
        <v>-223</v>
      </c>
      <c r="AM45" s="314">
        <f>SUM(AI45:AL45)</f>
        <v>-879</v>
      </c>
      <c r="AN45" s="315">
        <f>Data!AN286</f>
        <v>-284</v>
      </c>
      <c r="AO45" s="315">
        <f>Data!AO286</f>
        <v>-283</v>
      </c>
      <c r="AP45" s="315">
        <f>Data!AP286</f>
        <v>-280</v>
      </c>
      <c r="AQ45" s="315">
        <f>Data!AQ286</f>
        <v>-254</v>
      </c>
      <c r="AR45" s="314">
        <f>SUM(AN45:AQ45)</f>
        <v>-1101</v>
      </c>
      <c r="AS45" s="315">
        <f>Data!AS286</f>
        <v>-526</v>
      </c>
      <c r="AT45" s="315">
        <f>Data!AT286</f>
        <v>-389</v>
      </c>
      <c r="AU45" s="315">
        <f>Data!AU286</f>
        <v>-389</v>
      </c>
      <c r="AV45" s="315">
        <f>Data!AV286</f>
        <v>-344</v>
      </c>
      <c r="AW45" s="314">
        <f>SUM(AS45:AV45)</f>
        <v>-1648</v>
      </c>
      <c r="AX45" s="315">
        <f>Data!AX286</f>
        <v>-655</v>
      </c>
      <c r="AY45" s="315">
        <f>Data!AY286</f>
        <v>-593</v>
      </c>
      <c r="AZ45" s="315">
        <f>Data!AZ286</f>
        <v>-583</v>
      </c>
      <c r="BA45" s="315">
        <f>Data!BA286</f>
        <v>-576</v>
      </c>
      <c r="BB45" s="314">
        <f>SUM(AX45:BA45)</f>
        <v>-2407</v>
      </c>
      <c r="BC45" s="393">
        <f>Data!BC286</f>
        <v>-791</v>
      </c>
      <c r="BD45" s="393">
        <f>Data!BD286</f>
        <v>-753</v>
      </c>
      <c r="BE45" s="393">
        <f>Data!BE286</f>
        <v>-775</v>
      </c>
      <c r="BF45" s="393">
        <f>Data!BF286</f>
        <v>-717</v>
      </c>
      <c r="BG45" s="394">
        <f>SUM(BC45:BF45)</f>
        <v>-3036</v>
      </c>
      <c r="BH45" s="393">
        <f>Data!BH286</f>
        <v>-801</v>
      </c>
      <c r="BI45" s="393">
        <f>Data!BI286</f>
        <v>-693</v>
      </c>
      <c r="BJ45" s="393">
        <f>Data!BJ286</f>
        <v>-715</v>
      </c>
      <c r="BK45" s="393">
        <f>Data!BK286</f>
        <v>-1006</v>
      </c>
      <c r="BL45" s="630">
        <f>SUM(BH45:BK45)</f>
        <v>-3215</v>
      </c>
      <c r="BM45" s="393">
        <f>Data!BM286</f>
        <v>-664</v>
      </c>
      <c r="BN45" s="393">
        <f>Data!BN286</f>
        <v>-523</v>
      </c>
      <c r="BO45" s="393">
        <f>Data!BO286</f>
        <v>-529</v>
      </c>
      <c r="BP45" s="393">
        <f>Data!BP286</f>
        <v>-650</v>
      </c>
      <c r="BQ45" s="630">
        <f>SUM(BM45:BP45)</f>
        <v>-2366</v>
      </c>
      <c r="BR45" s="393">
        <f>Data!BR286</f>
        <v>-150</v>
      </c>
      <c r="BS45" s="393">
        <f>Data!BS286</f>
        <v>-463</v>
      </c>
      <c r="BT45" s="393">
        <f>Data!BT286</f>
        <v>-453</v>
      </c>
      <c r="BU45" s="393">
        <f>Data!BU286</f>
        <v>-913</v>
      </c>
      <c r="BV45" s="630">
        <f>SUM(BR45:BU45)</f>
        <v>-1979</v>
      </c>
      <c r="BW45" s="393">
        <f>Data!BW286</f>
        <v>-80</v>
      </c>
      <c r="BX45" s="393">
        <f>Data!BX286</f>
        <v>-100</v>
      </c>
      <c r="BY45" s="393">
        <f>Data!BY286</f>
        <v>-100</v>
      </c>
      <c r="BZ45" s="393">
        <f>Data!BZ286</f>
        <v>-359</v>
      </c>
      <c r="CA45" s="630">
        <f>SUM(BW45:BZ45)</f>
        <v>-639</v>
      </c>
      <c r="CB45" s="393">
        <f>Data!CB286</f>
        <v>-69</v>
      </c>
      <c r="CC45" s="393">
        <f>Data!CC286</f>
        <v>-111</v>
      </c>
      <c r="CD45" s="393">
        <f>Data!CD286</f>
        <v>-69</v>
      </c>
      <c r="CE45" s="393">
        <f>Data!CE286</f>
        <v>-64</v>
      </c>
      <c r="CF45" s="630">
        <f>SUM(CB45:CE45)</f>
        <v>-313</v>
      </c>
      <c r="CG45" s="393">
        <f>Data!CG286</f>
        <v>-92</v>
      </c>
      <c r="CH45" s="393">
        <f>Data!CH286</f>
        <v>-93</v>
      </c>
      <c r="CI45" s="393">
        <f>Data!CI286</f>
        <v>-93</v>
      </c>
      <c r="CJ45" s="393">
        <f>Data!CJ286</f>
        <v>-35</v>
      </c>
      <c r="CK45" s="630">
        <f>SUM(CG45:CJ45)</f>
        <v>-313</v>
      </c>
      <c r="CL45" s="393">
        <f>Data!CL286</f>
        <v>-87</v>
      </c>
      <c r="CM45" s="393">
        <f>Data!CM286</f>
        <v>-83</v>
      </c>
      <c r="CN45" s="393">
        <f>Data!CN286</f>
        <v>-83</v>
      </c>
      <c r="CO45" s="393">
        <f>Data!CO286</f>
        <v>250</v>
      </c>
      <c r="CP45" s="630">
        <f>SUM(CL45:CO45)</f>
        <v>-3</v>
      </c>
      <c r="CQ45" s="393">
        <f>Data!CQ286</f>
        <v>-176</v>
      </c>
      <c r="CR45" s="393">
        <f>Data!CR286</f>
        <v>-174</v>
      </c>
      <c r="CS45" s="393">
        <f>Data!CS286</f>
        <v>-29</v>
      </c>
      <c r="CT45" s="393">
        <f>Data!CT286</f>
        <v>376</v>
      </c>
      <c r="CU45" s="630">
        <f>SUM(CQ45:CT45)</f>
        <v>-3</v>
      </c>
      <c r="CV45" s="393">
        <f>Data!CV286</f>
        <v>-659</v>
      </c>
      <c r="CW45" s="626">
        <v>-25</v>
      </c>
      <c r="CX45" s="626">
        <v>-25</v>
      </c>
      <c r="CY45" s="626">
        <v>-25</v>
      </c>
      <c r="CZ45" s="630">
        <f>SUM(CV45:CY45)</f>
        <v>-734</v>
      </c>
      <c r="DA45" s="626">
        <v>-25</v>
      </c>
      <c r="DB45" s="626">
        <v>-25</v>
      </c>
      <c r="DC45" s="626">
        <v>-25</v>
      </c>
      <c r="DD45" s="626">
        <v>-25</v>
      </c>
      <c r="DE45" s="630">
        <f>SUM(DA45:DD45)</f>
        <v>-100</v>
      </c>
      <c r="DF45" s="626">
        <v>-25</v>
      </c>
      <c r="DG45" s="626">
        <v>-122</v>
      </c>
      <c r="DH45" s="626">
        <v>-25</v>
      </c>
      <c r="DI45" s="626">
        <v>-25</v>
      </c>
      <c r="DJ45" s="630">
        <f>SUM(DF45:DI45)</f>
        <v>-197</v>
      </c>
      <c r="DK45" s="626">
        <v>-25</v>
      </c>
      <c r="DL45" s="626">
        <v>-60</v>
      </c>
      <c r="DM45" s="626">
        <v>-25</v>
      </c>
      <c r="DN45" s="626">
        <v>-25</v>
      </c>
      <c r="DO45" s="630">
        <f>SUM(DK45:DN45)</f>
        <v>-135</v>
      </c>
      <c r="DP45" s="626">
        <v>-25</v>
      </c>
      <c r="DQ45" s="626">
        <v>-92</v>
      </c>
      <c r="DR45" s="626">
        <v>-25</v>
      </c>
      <c r="DS45" s="626">
        <v>-25</v>
      </c>
      <c r="DT45" s="630">
        <f>SUM(DP45:DS45)</f>
        <v>-167</v>
      </c>
      <c r="DU45" s="626">
        <v>-25</v>
      </c>
      <c r="DV45" s="626">
        <v>-25</v>
      </c>
      <c r="DW45" s="626">
        <v>-25</v>
      </c>
      <c r="DX45" s="626">
        <v>-25</v>
      </c>
      <c r="DY45" s="630">
        <f>SUM(DU45:DX45)</f>
        <v>-100</v>
      </c>
      <c r="DZ45" s="636">
        <v>-100</v>
      </c>
      <c r="EA45" s="636">
        <v>-100</v>
      </c>
      <c r="EB45" s="636">
        <v>-100</v>
      </c>
    </row>
    <row r="46" spans="1:132" s="147" customFormat="1" ht="12" hidden="1" customHeight="1" outlineLevel="1">
      <c r="B46" s="584" t="s">
        <v>418</v>
      </c>
      <c r="C46" s="140">
        <f t="shared" ref="C46:BB46" si="319">(C45*(1-C63))/C40</f>
        <v>0</v>
      </c>
      <c r="D46" s="140">
        <f t="shared" si="319"/>
        <v>0.10032875583384841</v>
      </c>
      <c r="E46" s="140">
        <f t="shared" si="319"/>
        <v>9.377970164392041E-2</v>
      </c>
      <c r="F46" s="140">
        <f t="shared" si="319"/>
        <v>0.34855491636965186</v>
      </c>
      <c r="G46" s="140">
        <f t="shared" si="319"/>
        <v>0.87965145242367004</v>
      </c>
      <c r="H46" s="140">
        <f t="shared" si="319"/>
        <v>0.36444222456657926</v>
      </c>
      <c r="I46" s="140">
        <f t="shared" si="319"/>
        <v>0.10812888434349678</v>
      </c>
      <c r="J46" s="141">
        <f t="shared" si="319"/>
        <v>-8.1624719710915769E-2</v>
      </c>
      <c r="K46" s="141">
        <f t="shared" si="319"/>
        <v>-0.11196257540317617</v>
      </c>
      <c r="L46" s="141">
        <f t="shared" si="319"/>
        <v>-0.11234300276348232</v>
      </c>
      <c r="M46" s="141">
        <f t="shared" si="319"/>
        <v>1.5154363850016026</v>
      </c>
      <c r="N46" s="140">
        <f t="shared" si="319"/>
        <v>-0.51511157968722543</v>
      </c>
      <c r="O46" s="141">
        <f t="shared" si="319"/>
        <v>-0.25527027118805223</v>
      </c>
      <c r="P46" s="141">
        <f t="shared" si="319"/>
        <v>-0.14246165963597565</v>
      </c>
      <c r="Q46" s="141">
        <f t="shared" si="319"/>
        <v>-0.66821236509654636</v>
      </c>
      <c r="R46" s="141">
        <f t="shared" si="319"/>
        <v>-0.45513179873235238</v>
      </c>
      <c r="S46" s="140">
        <f t="shared" si="319"/>
        <v>-1.4749150505366961</v>
      </c>
      <c r="T46" s="141">
        <f t="shared" si="319"/>
        <v>-0.23998028977345665</v>
      </c>
      <c r="U46" s="141">
        <f t="shared" si="319"/>
        <v>-6.0948377774858802</v>
      </c>
      <c r="V46" s="141">
        <f t="shared" si="319"/>
        <v>-0.23294844253490873</v>
      </c>
      <c r="W46" s="141">
        <f t="shared" si="319"/>
        <v>-0.25383090860211682</v>
      </c>
      <c r="X46" s="140">
        <f t="shared" si="319"/>
        <v>-0.92077641769277263</v>
      </c>
      <c r="Y46" s="141">
        <f t="shared" si="319"/>
        <v>-0.22807817901507849</v>
      </c>
      <c r="Z46" s="141">
        <f t="shared" si="319"/>
        <v>-0.2350900697903853</v>
      </c>
      <c r="AA46" s="141">
        <f t="shared" si="319"/>
        <v>-0.24785055320714838</v>
      </c>
      <c r="AB46" s="141">
        <f t="shared" si="319"/>
        <v>-0.23333704568572877</v>
      </c>
      <c r="AC46" s="140">
        <f t="shared" si="319"/>
        <v>-0.94534732779606256</v>
      </c>
      <c r="AD46" s="141">
        <f t="shared" si="319"/>
        <v>-0.16632294346250309</v>
      </c>
      <c r="AE46" s="141">
        <f t="shared" si="319"/>
        <v>-0.19310285708522848</v>
      </c>
      <c r="AF46" s="141">
        <f t="shared" si="319"/>
        <v>-0.14441989416240056</v>
      </c>
      <c r="AG46" s="141">
        <f t="shared" si="319"/>
        <v>-4.3911454120709063E-2</v>
      </c>
      <c r="AH46" s="140">
        <f t="shared" si="319"/>
        <v>-0.63425784287973141</v>
      </c>
      <c r="AI46" s="141">
        <f t="shared" si="319"/>
        <v>-0.20428583909401651</v>
      </c>
      <c r="AJ46" s="141">
        <f t="shared" si="319"/>
        <v>-0.19490516672131622</v>
      </c>
      <c r="AK46" s="141">
        <f t="shared" si="319"/>
        <v>-0.22769082099484519</v>
      </c>
      <c r="AL46" s="141">
        <f t="shared" si="319"/>
        <v>-0.25498888190758839</v>
      </c>
      <c r="AM46" s="140">
        <f t="shared" si="319"/>
        <v>-0.95025457216862252</v>
      </c>
      <c r="AN46" s="141">
        <f t="shared" si="319"/>
        <v>-0.189673210183952</v>
      </c>
      <c r="AO46" s="141">
        <f t="shared" si="319"/>
        <v>-0.24839777997550366</v>
      </c>
      <c r="AP46" s="141">
        <f t="shared" si="319"/>
        <v>-0.25301139263792555</v>
      </c>
      <c r="AQ46" s="141">
        <f t="shared" si="319"/>
        <v>-0.39528536211979853</v>
      </c>
      <c r="AR46" s="140">
        <f t="shared" si="319"/>
        <v>-1.0876529932572669</v>
      </c>
      <c r="AS46" s="141">
        <f>(AS45*(1-AS63))/AS40</f>
        <v>-0.46759642671122281</v>
      </c>
      <c r="AT46" s="141">
        <f t="shared" si="319"/>
        <v>-0.34168146915255188</v>
      </c>
      <c r="AU46" s="141">
        <f t="shared" si="319"/>
        <v>-0.3437795408657765</v>
      </c>
      <c r="AV46" s="141">
        <f t="shared" si="319"/>
        <v>-0.43673475723241995</v>
      </c>
      <c r="AW46" s="140">
        <f t="shared" si="319"/>
        <v>-1.6275217511854025</v>
      </c>
      <c r="AX46" s="141">
        <f>(AX45*(1-AX63))/AX40</f>
        <v>-0.54460796541115819</v>
      </c>
      <c r="AY46" s="141">
        <f>(AY45*(1-AY63))/AY40</f>
        <v>-0.52042470313617439</v>
      </c>
      <c r="AZ46" s="141">
        <f>(AZ45*(1-AZ63))/AZ40</f>
        <v>-0.53698636453047832</v>
      </c>
      <c r="BA46" s="141">
        <f>(BA45*(1-BA63))/BA40</f>
        <v>-0.47891025066088116</v>
      </c>
      <c r="BB46" s="140">
        <f t="shared" si="319"/>
        <v>-2.0807390871401537</v>
      </c>
      <c r="BC46" s="133">
        <f t="shared" ref="BC46:BG46" si="320">(BC45*(1-BC63))/BC40</f>
        <v>-0.79143607698491358</v>
      </c>
      <c r="BD46" s="141">
        <f t="shared" si="320"/>
        <v>-0.64943181628840385</v>
      </c>
      <c r="BE46" s="141">
        <f t="shared" si="320"/>
        <v>-0.67683770282638833</v>
      </c>
      <c r="BF46" s="141">
        <f t="shared" si="320"/>
        <v>-0.80235297456445387</v>
      </c>
      <c r="BG46" s="132">
        <f t="shared" si="320"/>
        <v>-2.9034192566970343</v>
      </c>
      <c r="BH46" s="141">
        <f t="shared" ref="BH46:BQ46" si="321">(BH45*(1-BH63))/BH40</f>
        <v>-0.70254734479158443</v>
      </c>
      <c r="BI46" s="141">
        <f t="shared" si="321"/>
        <v>-0.90145777495320289</v>
      </c>
      <c r="BJ46" s="141">
        <f t="shared" si="321"/>
        <v>-0.65512093632182522</v>
      </c>
      <c r="BK46" s="141">
        <f t="shared" si="321"/>
        <v>-1.0542811881641103</v>
      </c>
      <c r="BL46" s="132">
        <f t="shared" si="321"/>
        <v>-3.3254346404710646</v>
      </c>
      <c r="BM46" s="141">
        <f t="shared" si="321"/>
        <v>-0.63828091025599321</v>
      </c>
      <c r="BN46" s="141">
        <f t="shared" si="321"/>
        <v>-0.51178918866166512</v>
      </c>
      <c r="BO46" s="141">
        <f t="shared" si="321"/>
        <v>-0.52605391285774561</v>
      </c>
      <c r="BP46" s="141">
        <f t="shared" si="321"/>
        <v>-0.89081677305531048</v>
      </c>
      <c r="BQ46" s="132">
        <f t="shared" si="321"/>
        <v>-2.4597974195852101</v>
      </c>
      <c r="BR46" s="141">
        <f t="shared" ref="BR46:CA46" si="322">(BR45*(1-BR63))/BR40</f>
        <v>-0.1577438378105207</v>
      </c>
      <c r="BS46" s="141">
        <f t="shared" si="322"/>
        <v>-0.35546710054244313</v>
      </c>
      <c r="BT46" s="141">
        <f t="shared" si="322"/>
        <v>-0.74067927975279191</v>
      </c>
      <c r="BU46" s="141">
        <f t="shared" si="322"/>
        <v>-1.1234096723786098</v>
      </c>
      <c r="BV46" s="132">
        <f t="shared" si="322"/>
        <v>-2.7130322382179539</v>
      </c>
      <c r="BW46" s="141">
        <f t="shared" si="322"/>
        <v>-9.4801099308504319E-2</v>
      </c>
      <c r="BX46" s="141">
        <f t="shared" si="322"/>
        <v>-0.11653511324894299</v>
      </c>
      <c r="BY46" s="141">
        <f t="shared" si="322"/>
        <v>-0.11557571809077342</v>
      </c>
      <c r="BZ46" s="141">
        <f t="shared" si="322"/>
        <v>-0.67525677496054415</v>
      </c>
      <c r="CA46" s="132">
        <f t="shared" si="322"/>
        <v>-0.8756254045362889</v>
      </c>
      <c r="CB46" s="141">
        <f t="shared" ref="CB46:CF46" si="323">(CB45*(1-CB63))/CB40</f>
        <v>-0.10080681786814456</v>
      </c>
      <c r="CC46" s="141">
        <f t="shared" si="323"/>
        <v>-0.16011527227596925</v>
      </c>
      <c r="CD46" s="141">
        <f t="shared" si="323"/>
        <v>-0.13161195770516831</v>
      </c>
      <c r="CE46" s="141">
        <f t="shared" si="323"/>
        <v>-9.378553560461618E-2</v>
      </c>
      <c r="CF46" s="132">
        <f t="shared" si="323"/>
        <v>-0.48143053442850769</v>
      </c>
      <c r="CG46" s="141">
        <f t="shared" ref="CG46:CK46" si="324">(CG45*(1-CG63))/CG40</f>
        <v>-0.14805050017627555</v>
      </c>
      <c r="CH46" s="141">
        <f t="shared" si="324"/>
        <v>-0.14123181067341165</v>
      </c>
      <c r="CI46" s="141">
        <f t="shared" si="324"/>
        <v>-0.16199904350842539</v>
      </c>
      <c r="CJ46" s="141">
        <f t="shared" si="324"/>
        <v>-2.6696032554206918E-2</v>
      </c>
      <c r="CK46" s="132">
        <f t="shared" si="324"/>
        <v>-0.15512419654948253</v>
      </c>
      <c r="CL46" s="141">
        <f t="shared" ref="CL46:CP46" si="325">(CL45*(1-CL63))/CL40</f>
        <v>-6.5565987657129635E-2</v>
      </c>
      <c r="CM46" s="141">
        <f t="shared" si="325"/>
        <v>-0.10253059232080756</v>
      </c>
      <c r="CN46" s="141">
        <f t="shared" si="325"/>
        <v>-7.3798189294129984E-2</v>
      </c>
      <c r="CO46" s="141">
        <f t="shared" si="325"/>
        <v>0.42511069803992685</v>
      </c>
      <c r="CP46" s="132">
        <f t="shared" si="325"/>
        <v>-4.352368100484191E-3</v>
      </c>
      <c r="CQ46" s="141">
        <f t="shared" ref="CQ46:CV46" si="326">(CQ45*(1-CQ63))/CQ40</f>
        <v>-0.29486741478541956</v>
      </c>
      <c r="CR46" s="141">
        <f t="shared" si="326"/>
        <v>-0.30448139280377307</v>
      </c>
      <c r="CS46" s="141">
        <f t="shared" si="326"/>
        <v>-2.0965003559888274E-2</v>
      </c>
      <c r="CT46" s="141">
        <f t="shared" si="326"/>
        <v>0.56432322547857028</v>
      </c>
      <c r="CU46" s="132">
        <f t="shared" si="326"/>
        <v>-4.3434931220474237E-3</v>
      </c>
      <c r="CV46" s="141">
        <f t="shared" si="326"/>
        <v>-0.85492284805904828</v>
      </c>
      <c r="CW46" s="141">
        <f t="shared" ref="CW46:CZ46" si="327">(CW45*(1-CW63))/CW40</f>
        <v>-1.779020720254329E-2</v>
      </c>
      <c r="CX46" s="141">
        <f t="shared" si="327"/>
        <v>-4.4281155674980824E-2</v>
      </c>
      <c r="CY46" s="141">
        <f t="shared" si="327"/>
        <v>-4.2643665415357024E-2</v>
      </c>
      <c r="CZ46" s="132">
        <f t="shared" si="327"/>
        <v>-1.2395096952922937</v>
      </c>
      <c r="DA46" s="141">
        <f t="shared" ref="DA46:DD46" si="328">(DA45*(1-DA63))/DA40</f>
        <v>-3.5554142685048855E-2</v>
      </c>
      <c r="DB46" s="141">
        <f t="shared" si="328"/>
        <v>-1.5379851362510326E-2</v>
      </c>
      <c r="DC46" s="141">
        <f t="shared" si="328"/>
        <v>-6.1309737693136898E-2</v>
      </c>
      <c r="DD46" s="141">
        <f t="shared" si="328"/>
        <v>-0.13749106308089976</v>
      </c>
      <c r="DE46" s="132">
        <f t="shared" ref="DE46:DI46" si="329">(DE45*(1-DE63))/DE40</f>
        <v>-0.18472795420279267</v>
      </c>
      <c r="DF46" s="141">
        <f t="shared" si="329"/>
        <v>-3.8289034538219142E-2</v>
      </c>
      <c r="DG46" s="141">
        <f t="shared" si="329"/>
        <v>-0.18793361658579089</v>
      </c>
      <c r="DH46" s="141">
        <f t="shared" si="329"/>
        <v>-4.0076219334876532E-2</v>
      </c>
      <c r="DI46" s="141">
        <f t="shared" si="329"/>
        <v>-3.284075545747691E-2</v>
      </c>
      <c r="DJ46" s="132">
        <f t="shared" ref="DJ46:DN46" si="330">(DJ45*(1-DJ63))/DJ40</f>
        <v>-0.29489002712117668</v>
      </c>
      <c r="DK46" s="141">
        <f t="shared" si="330"/>
        <v>1.3535131963170473E-2</v>
      </c>
      <c r="DL46" s="141">
        <f t="shared" si="330"/>
        <v>-8.6511426717612278E-2</v>
      </c>
      <c r="DM46" s="141">
        <f t="shared" si="330"/>
        <v>-3.3784980110334824E-2</v>
      </c>
      <c r="DN46" s="141">
        <f t="shared" si="330"/>
        <v>-3.1072312301687208E-2</v>
      </c>
      <c r="DO46" s="132">
        <f t="shared" ref="DO46:DS46" si="331">(DO45*(1-DO63))/DO40</f>
        <v>-0.14964317472802013</v>
      </c>
      <c r="DP46" s="141">
        <f t="shared" si="331"/>
        <v>8.5415853182350624E-3</v>
      </c>
      <c r="DQ46" s="141">
        <f t="shared" si="331"/>
        <v>-0.13645263351226222</v>
      </c>
      <c r="DR46" s="141">
        <f t="shared" si="331"/>
        <v>-2.3701175578308684E-2</v>
      </c>
      <c r="DS46" s="141">
        <f t="shared" si="331"/>
        <v>-2.8116509761799455E-2</v>
      </c>
      <c r="DT46" s="132">
        <f t="shared" ref="DT46:DX46" si="332">(DT45*(1-DT63))/DT40</f>
        <v>-0.12328909814149659</v>
      </c>
      <c r="DU46" s="141">
        <f t="shared" si="332"/>
        <v>-2.6920884271869259E-2</v>
      </c>
      <c r="DV46" s="141">
        <f t="shared" si="332"/>
        <v>-2.7057999618004709E-2</v>
      </c>
      <c r="DW46" s="141">
        <f t="shared" si="332"/>
        <v>-2.7127082402502074E-2</v>
      </c>
      <c r="DX46" s="141">
        <f t="shared" si="332"/>
        <v>-2.7406977494034951E-2</v>
      </c>
      <c r="DY46" s="132">
        <f t="shared" ref="DY46" si="333">(DY45*(1-DY63))/DY40</f>
        <v>-0.10850832961000829</v>
      </c>
      <c r="DZ46" s="132">
        <f t="shared" ref="DZ46" si="334">(DZ45*(1-DZ63))/DZ40</f>
        <v>-0.11106029920951198</v>
      </c>
      <c r="EA46" s="132">
        <f t="shared" ref="EA46:EB46" si="335">(EA45*(1-EA63))/EA40</f>
        <v>-0.11481056257175659</v>
      </c>
      <c r="EB46" s="132">
        <f t="shared" si="335"/>
        <v>-0.11965932286900823</v>
      </c>
    </row>
    <row r="47" spans="1:132" s="147" customFormat="1" ht="12" hidden="1" customHeight="1" outlineLevel="1">
      <c r="C47" s="140"/>
      <c r="D47" s="140"/>
      <c r="E47" s="140"/>
      <c r="F47" s="140"/>
      <c r="G47" s="140"/>
      <c r="H47" s="140"/>
      <c r="I47" s="140"/>
      <c r="J47" s="141"/>
      <c r="K47" s="141"/>
      <c r="L47" s="141"/>
      <c r="M47" s="141"/>
      <c r="N47" s="140"/>
      <c r="O47" s="141"/>
      <c r="P47" s="141"/>
      <c r="Q47" s="141"/>
      <c r="R47" s="141"/>
      <c r="S47" s="140"/>
      <c r="T47" s="141"/>
      <c r="U47" s="141"/>
      <c r="V47" s="141"/>
      <c r="W47" s="141"/>
      <c r="X47" s="140"/>
      <c r="Y47" s="141"/>
      <c r="Z47" s="141"/>
      <c r="AA47" s="141"/>
      <c r="AB47" s="141"/>
      <c r="AC47" s="140"/>
      <c r="AD47" s="141"/>
      <c r="AE47" s="141"/>
      <c r="AF47" s="141"/>
      <c r="AG47" s="141"/>
      <c r="AH47" s="140"/>
      <c r="AI47" s="141"/>
      <c r="AJ47" s="141"/>
      <c r="AK47" s="141"/>
      <c r="AL47" s="141"/>
      <c r="AM47" s="140"/>
      <c r="AN47" s="141"/>
      <c r="AO47" s="141"/>
      <c r="AP47" s="141"/>
      <c r="AQ47" s="141"/>
      <c r="AR47" s="140"/>
      <c r="AS47" s="141"/>
      <c r="AT47" s="141"/>
      <c r="AU47" s="141"/>
      <c r="AV47" s="141"/>
      <c r="AW47" s="140"/>
      <c r="AX47" s="141"/>
      <c r="AY47" s="141"/>
      <c r="AZ47" s="141"/>
      <c r="BA47" s="141"/>
      <c r="BB47" s="140"/>
      <c r="BC47" s="133"/>
      <c r="BD47" s="141"/>
      <c r="BE47" s="141"/>
      <c r="BF47" s="141"/>
      <c r="BG47" s="132"/>
      <c r="BH47" s="141"/>
      <c r="BI47" s="141"/>
      <c r="BJ47" s="141"/>
      <c r="BK47" s="141"/>
      <c r="BL47" s="132"/>
      <c r="BM47" s="141"/>
      <c r="BN47" s="141"/>
      <c r="BO47" s="141"/>
      <c r="BP47" s="141"/>
      <c r="BQ47" s="132"/>
      <c r="BR47" s="141"/>
      <c r="BS47" s="141"/>
      <c r="BT47" s="141"/>
      <c r="BU47" s="141"/>
      <c r="BV47" s="132"/>
      <c r="BW47" s="141"/>
      <c r="BX47" s="141"/>
      <c r="BY47" s="141"/>
      <c r="BZ47" s="141"/>
      <c r="CA47" s="140"/>
      <c r="CB47" s="141"/>
      <c r="CC47" s="141"/>
      <c r="CD47" s="141"/>
      <c r="CE47" s="141"/>
      <c r="CF47" s="140"/>
      <c r="CG47" s="141"/>
      <c r="CH47" s="141"/>
      <c r="CI47" s="141"/>
      <c r="CJ47" s="141"/>
      <c r="CK47" s="132"/>
      <c r="CL47" s="141"/>
      <c r="CM47" s="141"/>
      <c r="CN47" s="141"/>
      <c r="CO47" s="141"/>
      <c r="CP47" s="132"/>
      <c r="CQ47" s="141"/>
      <c r="CR47" s="141"/>
      <c r="CS47" s="141"/>
      <c r="CT47" s="141"/>
      <c r="CU47" s="132"/>
      <c r="CV47" s="141"/>
      <c r="CW47" s="141"/>
      <c r="CX47" s="141"/>
      <c r="CY47" s="141"/>
      <c r="CZ47" s="132"/>
      <c r="DA47" s="141"/>
      <c r="DB47" s="141"/>
      <c r="DC47" s="141"/>
      <c r="DD47" s="141"/>
      <c r="DE47" s="132"/>
      <c r="DF47" s="141"/>
      <c r="DG47" s="141"/>
      <c r="DH47" s="141"/>
      <c r="DI47" s="141"/>
      <c r="DJ47" s="132"/>
      <c r="DK47" s="141"/>
      <c r="DL47" s="141"/>
      <c r="DM47" s="141"/>
      <c r="DN47" s="141"/>
      <c r="DO47" s="132"/>
      <c r="DP47" s="141"/>
      <c r="DQ47" s="141"/>
      <c r="DR47" s="141"/>
      <c r="DS47" s="141"/>
      <c r="DT47" s="132"/>
      <c r="DU47" s="141"/>
      <c r="DV47" s="141"/>
      <c r="DW47" s="141"/>
      <c r="DX47" s="141"/>
      <c r="DY47" s="132"/>
      <c r="DZ47" s="140"/>
      <c r="EA47" s="140"/>
      <c r="EB47" s="140"/>
    </row>
    <row r="48" spans="1:132" s="241" customFormat="1" ht="12" hidden="1" customHeight="1" outlineLevel="1">
      <c r="B48" s="241" t="s">
        <v>416</v>
      </c>
      <c r="C48" s="314"/>
      <c r="D48" s="314"/>
      <c r="E48" s="314"/>
      <c r="F48" s="314"/>
      <c r="G48" s="314"/>
      <c r="H48" s="314"/>
      <c r="I48" s="314"/>
      <c r="J48" s="315"/>
      <c r="K48" s="315"/>
      <c r="L48" s="315"/>
      <c r="M48" s="315"/>
      <c r="N48" s="314"/>
      <c r="O48" s="315"/>
      <c r="P48" s="315"/>
      <c r="Q48" s="315"/>
      <c r="R48" s="315"/>
      <c r="S48" s="314"/>
      <c r="T48" s="297">
        <f>SEG!T182</f>
        <v>-118</v>
      </c>
      <c r="U48" s="297">
        <f>SEG!U182</f>
        <v>-91</v>
      </c>
      <c r="V48" s="297">
        <f>SEG!V182</f>
        <v>-153</v>
      </c>
      <c r="W48" s="297">
        <f>SEG!W182</f>
        <v>-110</v>
      </c>
      <c r="X48" s="394">
        <f>SUM(T48:W48)</f>
        <v>-472</v>
      </c>
      <c r="Y48" s="297">
        <f>SEG!Y182</f>
        <v>-162</v>
      </c>
      <c r="Z48" s="297">
        <f>SEG!Z182</f>
        <v>-168</v>
      </c>
      <c r="AA48" s="297">
        <f>SEG!AA182</f>
        <v>-183</v>
      </c>
      <c r="AB48" s="297">
        <f>SEG!AB182</f>
        <v>-173</v>
      </c>
      <c r="AC48" s="394">
        <f>SUM(Y48:AB48)</f>
        <v>-686</v>
      </c>
      <c r="AD48" s="297">
        <f>SEG!AD182</f>
        <v>-87</v>
      </c>
      <c r="AE48" s="297">
        <f>SEG!AE182</f>
        <v>-96</v>
      </c>
      <c r="AF48" s="297">
        <f>SEG!AF182</f>
        <v>-71</v>
      </c>
      <c r="AG48" s="297">
        <f>SEG!AG182</f>
        <v>-33</v>
      </c>
      <c r="AH48" s="394">
        <f>SUM(AD48:AG48)</f>
        <v>-287</v>
      </c>
      <c r="AI48" s="297">
        <f>SEG!AI182</f>
        <v>0</v>
      </c>
      <c r="AJ48" s="297">
        <f>SEG!AJ182</f>
        <v>1</v>
      </c>
      <c r="AK48" s="297">
        <f>SEG!AK182</f>
        <v>7</v>
      </c>
      <c r="AL48" s="297">
        <f>SEG!AL182</f>
        <v>9</v>
      </c>
      <c r="AM48" s="394">
        <f>SUM(AI48:AL48)</f>
        <v>17</v>
      </c>
      <c r="AN48" s="297">
        <f>SEG!AN182</f>
        <v>10</v>
      </c>
      <c r="AO48" s="297">
        <f>SEG!AO182</f>
        <v>9</v>
      </c>
      <c r="AP48" s="297">
        <f>SEG!AP182</f>
        <v>9</v>
      </c>
      <c r="AQ48" s="297">
        <f>SEG!AQ182</f>
        <v>-33</v>
      </c>
      <c r="AR48" s="394">
        <f>SUM(AN48:AQ48)</f>
        <v>-5</v>
      </c>
      <c r="AS48" s="297">
        <f>SEG!AS182</f>
        <v>-95</v>
      </c>
      <c r="AT48" s="297">
        <f>SEG!AT182</f>
        <v>-77</v>
      </c>
      <c r="AU48" s="297">
        <f>SEG!AU182</f>
        <v>-233</v>
      </c>
      <c r="AV48" s="297">
        <f>SEG!AV182</f>
        <v>-93</v>
      </c>
      <c r="AW48" s="394">
        <f>SUM(AS48:AV48)</f>
        <v>-498</v>
      </c>
      <c r="AX48" s="297">
        <f>SEG!AX182</f>
        <v>-208</v>
      </c>
      <c r="AY48" s="297">
        <f>SEG!AY182</f>
        <v>-245</v>
      </c>
      <c r="AZ48" s="297">
        <f>SEG!AZ182</f>
        <v>-234</v>
      </c>
      <c r="BA48" s="297">
        <f>SEG!BA182</f>
        <v>-212</v>
      </c>
      <c r="BB48" s="394">
        <f>SUM(AX48:BA48)</f>
        <v>-899</v>
      </c>
      <c r="BC48" s="393">
        <f>SEG!BC182</f>
        <v>-339</v>
      </c>
      <c r="BD48" s="393">
        <f>SEG!BD182</f>
        <v>-312</v>
      </c>
      <c r="BE48" s="393">
        <f>SEG!BE182</f>
        <v>-340</v>
      </c>
      <c r="BF48" s="393">
        <f>SEG!BF182</f>
        <v>-323</v>
      </c>
      <c r="BG48" s="394">
        <f>SUM(BC48:BF48)</f>
        <v>-1314</v>
      </c>
      <c r="BH48" s="393">
        <f>SEG!BH182</f>
        <v>-553</v>
      </c>
      <c r="BI48" s="393">
        <f>SEG!BI182</f>
        <v>-204</v>
      </c>
      <c r="BJ48" s="393">
        <f>SEG!BJ182</f>
        <v>-311</v>
      </c>
      <c r="BK48" s="393">
        <f>SEG!BK182</f>
        <v>-319</v>
      </c>
      <c r="BL48" s="630">
        <f>SUM(BH48:BK48)</f>
        <v>-1387</v>
      </c>
      <c r="BM48" s="393">
        <f>SEG!BM182</f>
        <v>-113</v>
      </c>
      <c r="BN48" s="393">
        <f>SEG!BN182</f>
        <v>-30</v>
      </c>
      <c r="BO48" s="393">
        <f>SEG!BO182</f>
        <v>-57</v>
      </c>
      <c r="BP48" s="393">
        <f>SEG!BP182</f>
        <v>-98</v>
      </c>
      <c r="BQ48" s="630">
        <f>SUM(BM48:BP48)</f>
        <v>-298</v>
      </c>
      <c r="BR48" s="393">
        <f>SEG!BR182</f>
        <v>94</v>
      </c>
      <c r="BS48" s="393">
        <f>SEG!BS182</f>
        <v>69</v>
      </c>
      <c r="BT48" s="393">
        <f>SEG!BT182</f>
        <v>88</v>
      </c>
      <c r="BU48" s="393">
        <f>SEG!BU182</f>
        <v>119</v>
      </c>
      <c r="BV48" s="630">
        <f>SUM(BR48:BU48)</f>
        <v>370</v>
      </c>
      <c r="BW48" s="393">
        <f>SEG!BW187+Data!BW20+Data!BW21</f>
        <v>350</v>
      </c>
      <c r="BX48" s="393">
        <f>SEG!BX187+Data!BX20+Data!BX21</f>
        <v>355</v>
      </c>
      <c r="BY48" s="393">
        <f>SEG!BY187+Data!BY20+Data!BY21</f>
        <v>341</v>
      </c>
      <c r="BZ48" s="393">
        <f>SEG!BZ187+Data!BZ20+Data!BZ21</f>
        <v>386</v>
      </c>
      <c r="CA48" s="630">
        <f>SUM(BW48:BZ48)</f>
        <v>1432</v>
      </c>
      <c r="CB48" s="393">
        <f>SEG!CB187+Data!CB20+Data!CB21</f>
        <v>365</v>
      </c>
      <c r="CC48" s="393">
        <f>SEG!CC187+Data!CC20+Data!CC21</f>
        <v>317</v>
      </c>
      <c r="CD48" s="393">
        <f>SEG!CD187+Data!CD20+Data!CD21</f>
        <v>337</v>
      </c>
      <c r="CE48" s="393">
        <f>SEG!CE187+Data!CE20+Data!CE21</f>
        <v>308</v>
      </c>
      <c r="CF48" s="630">
        <f>SUM(CB48:CE48)</f>
        <v>1327</v>
      </c>
      <c r="CG48" s="393">
        <f>SEG!CG187+Data!CG20+Data!CG21</f>
        <v>364</v>
      </c>
      <c r="CH48" s="393">
        <f>SEG!CH187+Data!CH20+Data!CH21</f>
        <v>365</v>
      </c>
      <c r="CI48" s="393">
        <f>SEG!CI187+Data!CI20+Data!CI21</f>
        <v>364</v>
      </c>
      <c r="CJ48" s="393">
        <f>SEG!CJ187+Data!CJ20+Data!CJ21</f>
        <v>322</v>
      </c>
      <c r="CK48" s="630">
        <f>SUM(CG48:CJ48)</f>
        <v>1415</v>
      </c>
      <c r="CL48" s="393">
        <f>SEG!CL187+Data!CL20+Data!CL21</f>
        <v>347</v>
      </c>
      <c r="CM48" s="393">
        <f>SEG!CM187+Data!CM20+Data!CM21</f>
        <v>355</v>
      </c>
      <c r="CN48" s="393">
        <f>SEG!CN187+Data!CN20+Data!CN21</f>
        <v>353</v>
      </c>
      <c r="CO48" s="393">
        <f>SEG!CO187+Data!CO20+Data!CO21+15</f>
        <v>343</v>
      </c>
      <c r="CP48" s="630">
        <f>SUM(CL48:CO48)</f>
        <v>1398</v>
      </c>
      <c r="CQ48" s="393">
        <f>SEG!CQ187+Data!CQ20+Data!CQ21</f>
        <v>270</v>
      </c>
      <c r="CR48" s="620">
        <f>SEG!CR187+CR19-19</f>
        <v>448</v>
      </c>
      <c r="CS48" s="393">
        <f>SEG!CS187+Data!CS20+Data!CS21</f>
        <v>270</v>
      </c>
      <c r="CT48" s="393">
        <f>SEG!CT187+Data!CT20+Data!CT21</f>
        <v>365</v>
      </c>
      <c r="CU48" s="630">
        <f>SUM(CQ48:CT48)</f>
        <v>1353</v>
      </c>
      <c r="CV48" s="393">
        <f>SEG!CV187+Data!CV20+Data!CV21</f>
        <v>283</v>
      </c>
      <c r="CW48" s="393">
        <f>SEG!CW187+Data!CW20+Data!CW21</f>
        <v>284</v>
      </c>
      <c r="CX48" s="393">
        <f>SEG!CX187+Data!CX20+Data!CX21</f>
        <v>279</v>
      </c>
      <c r="CY48" s="393">
        <f>SEG!CY187+Data!CY20+Data!CY21</f>
        <v>297</v>
      </c>
      <c r="CZ48" s="630">
        <f>SUM(CV48:CY48)</f>
        <v>1143</v>
      </c>
      <c r="DA48" s="393">
        <f>SEG!DA187+Data!DA20+Data!DA21</f>
        <v>291</v>
      </c>
      <c r="DB48" s="393">
        <f>SEG!DB187+Data!DB20+Data!DB21</f>
        <v>291</v>
      </c>
      <c r="DC48" s="393">
        <f>SEG!DC187+Data!DC20+Data!DC21</f>
        <v>281</v>
      </c>
      <c r="DD48" s="393">
        <f>SEG!DD187+Data!DD20+Data!DD21</f>
        <v>193</v>
      </c>
      <c r="DE48" s="630">
        <f>SUM(DA48:DD48)</f>
        <v>1056</v>
      </c>
      <c r="DF48" s="393">
        <f>SEG!DF187+Data!DF20+Data!DF21</f>
        <v>302</v>
      </c>
      <c r="DG48" s="393">
        <f>SEG!DG187+Data!DG20+Data!DG21</f>
        <v>302</v>
      </c>
      <c r="DH48" s="393">
        <f>SEG!DH187+Data!DH20+Data!DH21</f>
        <v>228</v>
      </c>
      <c r="DI48" s="393">
        <f>SEG!DI187+Data!DI20+Data!DI21</f>
        <v>272</v>
      </c>
      <c r="DJ48" s="630">
        <v>1655</v>
      </c>
      <c r="DK48" s="393">
        <f>SEG!DK187+Data!DK20+Data!DK21</f>
        <v>262</v>
      </c>
      <c r="DL48" s="393">
        <f>SEG!DL187+Data!DL20+Data!DL21</f>
        <v>257</v>
      </c>
      <c r="DM48" s="393">
        <f>SEG!DM187+Data!DM20+Data!DM21</f>
        <v>268</v>
      </c>
      <c r="DN48" s="393">
        <f>SEG!DN187+Data!DN20+Data!DN21</f>
        <v>258</v>
      </c>
      <c r="DO48" s="630">
        <f>SUM(DK48:DN48)</f>
        <v>1045</v>
      </c>
      <c r="DP48" s="393">
        <f>SEG!DP187+Data!DP20+Data!DP21</f>
        <v>155</v>
      </c>
      <c r="DQ48" s="393">
        <f>SEG!DQ187+Data!DQ20+Data!DQ21</f>
        <v>155</v>
      </c>
      <c r="DR48" s="626">
        <f>SEG!DR187</f>
        <v>155</v>
      </c>
      <c r="DS48" s="626">
        <f>SEG!DS187</f>
        <v>155</v>
      </c>
      <c r="DT48" s="630">
        <f>SUM(DP48:DS48)</f>
        <v>620</v>
      </c>
      <c r="DU48" s="626">
        <f>SEG!DU187</f>
        <v>150</v>
      </c>
      <c r="DV48" s="626">
        <f>SEG!DV187</f>
        <v>150</v>
      </c>
      <c r="DW48" s="626">
        <f>SEG!DW187</f>
        <v>150</v>
      </c>
      <c r="DX48" s="626">
        <f>SEG!DX187</f>
        <v>150</v>
      </c>
      <c r="DY48" s="630">
        <f>SUM(DU48:DX48)</f>
        <v>600</v>
      </c>
      <c r="DZ48" s="636">
        <f>SEG!DZ187</f>
        <v>550</v>
      </c>
      <c r="EA48" s="636">
        <f>SEG!EA187</f>
        <v>500</v>
      </c>
      <c r="EB48" s="636">
        <f>SEG!EB187</f>
        <v>500</v>
      </c>
    </row>
    <row r="49" spans="1:132" s="147" customFormat="1" ht="12" hidden="1" customHeight="1" outlineLevel="1">
      <c r="B49" s="584" t="s">
        <v>417</v>
      </c>
      <c r="C49" s="140"/>
      <c r="D49" s="140"/>
      <c r="E49" s="140"/>
      <c r="F49" s="140"/>
      <c r="G49" s="140"/>
      <c r="H49" s="140"/>
      <c r="I49" s="140"/>
      <c r="J49" s="141"/>
      <c r="K49" s="141"/>
      <c r="L49" s="141"/>
      <c r="M49" s="141"/>
      <c r="N49" s="140"/>
      <c r="O49" s="141"/>
      <c r="P49" s="141"/>
      <c r="Q49" s="141"/>
      <c r="R49" s="141"/>
      <c r="S49" s="140"/>
      <c r="T49" s="141"/>
      <c r="U49" s="141"/>
      <c r="V49" s="141"/>
      <c r="W49" s="141"/>
      <c r="X49" s="140">
        <f t="shared" ref="X49:AQ49" si="336">(X48*(1-X63))/X40</f>
        <v>-0.41391092300094162</v>
      </c>
      <c r="Y49" s="141">
        <f t="shared" si="336"/>
        <v>-0.13435878181979169</v>
      </c>
      <c r="Z49" s="141">
        <f t="shared" si="336"/>
        <v>-0.14309830335066928</v>
      </c>
      <c r="AA49" s="141">
        <f t="shared" si="336"/>
        <v>-0.16493327722512055</v>
      </c>
      <c r="AB49" s="141">
        <f t="shared" si="336"/>
        <v>-0.14679021419502211</v>
      </c>
      <c r="AC49" s="140">
        <f t="shared" si="336"/>
        <v>-0.58901749942606629</v>
      </c>
      <c r="AD49" s="141">
        <f t="shared" si="336"/>
        <v>-7.5759665346794597E-2</v>
      </c>
      <c r="AE49" s="141">
        <f t="shared" si="336"/>
        <v>-8.5823492037879326E-2</v>
      </c>
      <c r="AF49" s="141">
        <f t="shared" si="336"/>
        <v>-5.8260298213241121E-2</v>
      </c>
      <c r="AG49" s="141">
        <f t="shared" si="336"/>
        <v>-1.2823698991003531E-2</v>
      </c>
      <c r="AH49" s="140">
        <f t="shared" si="336"/>
        <v>-0.26154023118747544</v>
      </c>
      <c r="AI49" s="141">
        <f t="shared" si="336"/>
        <v>0</v>
      </c>
      <c r="AJ49" s="141">
        <f t="shared" si="336"/>
        <v>9.4157085372616525E-4</v>
      </c>
      <c r="AK49" s="141">
        <f t="shared" si="336"/>
        <v>6.929720638973548E-3</v>
      </c>
      <c r="AL49" s="141">
        <f t="shared" si="336"/>
        <v>1.0291031108378007E-2</v>
      </c>
      <c r="AM49" s="140">
        <f t="shared" si="336"/>
        <v>1.8378074774592246E-2</v>
      </c>
      <c r="AN49" s="141">
        <f t="shared" si="336"/>
        <v>6.6786341614067596E-3</v>
      </c>
      <c r="AO49" s="141">
        <f t="shared" si="336"/>
        <v>7.8995760416237914E-3</v>
      </c>
      <c r="AP49" s="141">
        <f t="shared" si="336"/>
        <v>8.1325090490761785E-3</v>
      </c>
      <c r="AQ49" s="141">
        <f t="shared" si="336"/>
        <v>-5.1355972243910836E-2</v>
      </c>
      <c r="AR49" s="140">
        <f t="shared" ref="AR49:BL49" si="337">(AR48*(1-0.35))/AR40</f>
        <v>-4.3703355072950987E-3</v>
      </c>
      <c r="AS49" s="141">
        <f t="shared" si="337"/>
        <v>-8.244325767690254E-2</v>
      </c>
      <c r="AT49" s="141">
        <f t="shared" si="337"/>
        <v>-6.6502790326866859E-2</v>
      </c>
      <c r="AU49" s="141">
        <f t="shared" si="337"/>
        <v>-0.20088871203077335</v>
      </c>
      <c r="AV49" s="141">
        <f t="shared" si="337"/>
        <v>-7.9844142121252154E-2</v>
      </c>
      <c r="AW49" s="140">
        <f t="shared" si="337"/>
        <v>-0.42982339662727392</v>
      </c>
      <c r="AX49" s="141">
        <f t="shared" si="337"/>
        <v>-0.17798841495523962</v>
      </c>
      <c r="AY49" s="141">
        <f t="shared" si="337"/>
        <v>-0.20898950131233596</v>
      </c>
      <c r="AZ49" s="141">
        <f t="shared" si="337"/>
        <v>-0.19877156299006793</v>
      </c>
      <c r="BA49" s="141">
        <f t="shared" si="337"/>
        <v>-0.17982513375962419</v>
      </c>
      <c r="BB49" s="140">
        <f t="shared" si="337"/>
        <v>-0.7650562974600682</v>
      </c>
      <c r="BC49" s="141">
        <f t="shared" si="337"/>
        <v>-0.28665279042539349</v>
      </c>
      <c r="BD49" s="141">
        <f t="shared" si="337"/>
        <v>-0.26276237367193578</v>
      </c>
      <c r="BE49" s="141">
        <f t="shared" si="337"/>
        <v>-0.28734884930438176</v>
      </c>
      <c r="BF49" s="141">
        <f t="shared" si="337"/>
        <v>-0.27323008849557523</v>
      </c>
      <c r="BG49" s="132">
        <f t="shared" si="337"/>
        <v>-1.1099415204678362</v>
      </c>
      <c r="BH49" s="141">
        <f t="shared" si="337"/>
        <v>-0.47666092030234714</v>
      </c>
      <c r="BI49" s="141">
        <f t="shared" si="337"/>
        <v>-0.17916497770571543</v>
      </c>
      <c r="BJ49" s="141">
        <f t="shared" si="337"/>
        <v>-0.27619893428063946</v>
      </c>
      <c r="BK49" s="141">
        <f t="shared" si="337"/>
        <v>-0.28607891832229582</v>
      </c>
      <c r="BL49" s="132">
        <f t="shared" si="337"/>
        <v>-1.2220678437086994</v>
      </c>
      <c r="BM49" s="141">
        <f>(BM48*(1-0.35))/BM40</f>
        <v>-0.10284234108092971</v>
      </c>
      <c r="BN49" s="141">
        <f t="shared" ref="BN49:BR49" si="338">(BN48*(1-0.35))/BN40</f>
        <v>-2.790098726570325E-2</v>
      </c>
      <c r="BO49" s="141">
        <f t="shared" si="338"/>
        <v>-5.3773584905660386E-2</v>
      </c>
      <c r="BP49" s="141">
        <f t="shared" si="338"/>
        <v>-9.3511450381679392E-2</v>
      </c>
      <c r="BQ49" s="132">
        <f t="shared" si="338"/>
        <v>-0.27837459131247083</v>
      </c>
      <c r="BR49" s="141">
        <f t="shared" si="338"/>
        <v>9.1769300090117162E-2</v>
      </c>
      <c r="BS49" s="141">
        <f t="shared" ref="BS49:CA49" si="339">(BS48*(1-0.35))/BS40</f>
        <v>7.0485619990570486E-2</v>
      </c>
      <c r="BT49" s="141">
        <f t="shared" si="339"/>
        <v>9.0406195669353567E-2</v>
      </c>
      <c r="BU49" s="141">
        <f t="shared" si="339"/>
        <v>0.12271933999682692</v>
      </c>
      <c r="BV49" s="132">
        <f t="shared" si="339"/>
        <v>0.37503411173053686</v>
      </c>
      <c r="BW49" s="141">
        <f>(BW48*(1-0.34))/BW40</f>
        <v>0.37186091435930452</v>
      </c>
      <c r="BX49" s="141">
        <f t="shared" si="339"/>
        <v>0.37852690288713908</v>
      </c>
      <c r="BY49" s="141">
        <f t="shared" si="339"/>
        <v>0.36557809665182256</v>
      </c>
      <c r="BZ49" s="141">
        <f t="shared" si="339"/>
        <v>0.41464220789952072</v>
      </c>
      <c r="CA49" s="132">
        <f t="shared" si="339"/>
        <v>1.5241526117570001</v>
      </c>
      <c r="CB49" s="141">
        <f>(CB48*(1-0.17))/CB40</f>
        <v>0.50728399196249152</v>
      </c>
      <c r="CC49" s="141">
        <f>(CC48*(1-0.25))/CC40</f>
        <v>0.40385595379650074</v>
      </c>
      <c r="CD49" s="141">
        <f>(CD48*(1-0.16))/CD40</f>
        <v>0.48739669421487603</v>
      </c>
      <c r="CE49" s="141">
        <f>(CE48*(1-0.16))/CE40</f>
        <v>0.44799999999999995</v>
      </c>
      <c r="CF49" s="132">
        <f t="shared" ref="CF49" si="340">(CF48*(1-0.21))/CF40</f>
        <v>1.7888064158348267</v>
      </c>
      <c r="CG49" s="141">
        <f t="shared" ref="CG49:CK49" si="341">(CG48*(1-0.21))/CG40</f>
        <v>0.50237596086652692</v>
      </c>
      <c r="CH49" s="141">
        <f t="shared" si="341"/>
        <v>0.5100831416946755</v>
      </c>
      <c r="CI49" s="141">
        <f t="shared" si="341"/>
        <v>0.50520028109627546</v>
      </c>
      <c r="CJ49" s="141">
        <f t="shared" si="341"/>
        <v>0.44991156703218965</v>
      </c>
      <c r="CK49" s="132">
        <f t="shared" si="341"/>
        <v>1.9677859437574268</v>
      </c>
      <c r="CL49" s="141">
        <f>(CL48*(1-0.04))/CL40</f>
        <v>0.58865523944159748</v>
      </c>
      <c r="CM49" s="141">
        <f>(CM48*(1-0.05))/CM40</f>
        <v>0.59542725988700562</v>
      </c>
      <c r="CN49" s="141">
        <f>(CN48*(1-0.04))/CN40</f>
        <v>0.59809389339922336</v>
      </c>
      <c r="CO49" s="141">
        <f>(CO48*(1+0.03))/CO40</f>
        <v>0.61399026763990272</v>
      </c>
      <c r="CP49" s="132">
        <f t="shared" ref="CP49" si="342">(CP48*(1-0.21))/CP40</f>
        <v>1.9424350349558106</v>
      </c>
      <c r="CQ49" s="141">
        <f>(CQ48*(1-0.01))/CQ40+0.16</f>
        <v>0.61661086436624535</v>
      </c>
      <c r="CR49" s="141">
        <f>(CR48*(1-0.22))/CR40</f>
        <v>0.5920704845814978</v>
      </c>
      <c r="CS49" s="141">
        <f>(CS48*(1-0.1))/CS40</f>
        <v>0.41256366723259763</v>
      </c>
      <c r="CT49" s="141">
        <f>(CT48*(1+0.08))/CT40</f>
        <v>0.66779603591394221</v>
      </c>
      <c r="CU49" s="132">
        <f t="shared" ref="CU49" si="343">(CU48*(1-0.21))/CU40</f>
        <v>1.8155675400229314</v>
      </c>
      <c r="CV49" s="141">
        <v>0.69</v>
      </c>
      <c r="CW49" s="141">
        <v>0.69</v>
      </c>
      <c r="CX49" s="141">
        <v>0.69</v>
      </c>
      <c r="CY49" s="141">
        <v>0.69</v>
      </c>
      <c r="CZ49" s="132">
        <f t="shared" ref="CZ49" si="344">(CZ48*(1-0.21))/CZ40</f>
        <v>1.5154953216128899</v>
      </c>
      <c r="DA49" s="141">
        <v>0.57999999999999996</v>
      </c>
      <c r="DB49" s="141">
        <v>0.56999999999999995</v>
      </c>
      <c r="DC49" s="141">
        <v>0.56000000000000005</v>
      </c>
      <c r="DD49" s="141">
        <v>0.43</v>
      </c>
      <c r="DE49" s="132">
        <f t="shared" ref="DE49" si="345">(DE48*(1-0.21))/DE40</f>
        <v>1.3781687523231321</v>
      </c>
      <c r="DF49" s="141">
        <v>0.56999999999999995</v>
      </c>
      <c r="DG49" s="141">
        <v>0.56999999999999995</v>
      </c>
      <c r="DH49" s="141">
        <v>0.47</v>
      </c>
      <c r="DI49" s="141">
        <v>0.53</v>
      </c>
      <c r="DJ49" s="132">
        <f t="shared" ref="DJ49" si="346">(DJ48*(1-0.21))/DJ40</f>
        <v>2.0201637824474661</v>
      </c>
      <c r="DK49" s="141">
        <v>0.44</v>
      </c>
      <c r="DL49" s="141">
        <v>0.43</v>
      </c>
      <c r="DM49" s="141">
        <v>0.45</v>
      </c>
      <c r="DN49" s="141">
        <v>0.42</v>
      </c>
      <c r="DO49" s="132">
        <f>+SUM(DK49:DN49)</f>
        <v>1.74</v>
      </c>
      <c r="DP49" s="141">
        <v>0.19</v>
      </c>
      <c r="DQ49" s="141">
        <v>0.2</v>
      </c>
      <c r="DR49" s="141">
        <f t="shared" ref="DR49:DU49" si="347">(DR48*(1-0.21))/DR40</f>
        <v>0.15478447731007458</v>
      </c>
      <c r="DS49" s="141">
        <f t="shared" si="347"/>
        <v>0.15473557844190308</v>
      </c>
      <c r="DT49" s="132">
        <f t="shared" si="347"/>
        <v>0.61979405577260727</v>
      </c>
      <c r="DU49" s="141">
        <f t="shared" si="347"/>
        <v>0.15012351935136503</v>
      </c>
      <c r="DV49" s="141">
        <f t="shared" ref="DV49:DY49" si="348">(DV48*(1-0.21))/DV40</f>
        <v>0.15088813904628509</v>
      </c>
      <c r="DW49" s="141">
        <f t="shared" si="348"/>
        <v>0.15127337716218803</v>
      </c>
      <c r="DX49" s="141">
        <f t="shared" si="348"/>
        <v>0.15283420390791255</v>
      </c>
      <c r="DY49" s="132">
        <f t="shared" si="348"/>
        <v>0.60509350864875211</v>
      </c>
      <c r="DZ49" s="132">
        <f t="shared" ref="DZ49" si="349">(DZ48*(1-0.21))/DZ40</f>
        <v>0.56771411772391711</v>
      </c>
      <c r="EA49" s="132">
        <f t="shared" ref="EA49:EB49" si="350">(EA48*(1-0.21))/EA40</f>
        <v>0.53353143783345713</v>
      </c>
      <c r="EB49" s="132">
        <f t="shared" si="350"/>
        <v>0.55606391215597939</v>
      </c>
    </row>
    <row r="50" spans="1:132" s="68" customFormat="1" ht="12" customHeight="1" collapsed="1">
      <c r="A50" s="241"/>
      <c r="B50" s="241"/>
      <c r="C50" s="120"/>
      <c r="D50" s="120"/>
      <c r="E50" s="120"/>
      <c r="F50" s="120"/>
      <c r="G50" s="120"/>
      <c r="H50" s="120"/>
      <c r="I50" s="120"/>
      <c r="J50" s="121"/>
      <c r="K50" s="121"/>
      <c r="L50" s="121"/>
      <c r="M50" s="121"/>
      <c r="N50" s="120"/>
      <c r="O50" s="121"/>
      <c r="P50" s="121"/>
      <c r="Q50" s="121"/>
      <c r="R50" s="121"/>
      <c r="S50" s="120"/>
      <c r="T50" s="121"/>
      <c r="U50" s="121"/>
      <c r="V50" s="121"/>
      <c r="W50" s="121"/>
      <c r="X50" s="120"/>
      <c r="Y50" s="121"/>
      <c r="Z50" s="121"/>
      <c r="AA50" s="121"/>
      <c r="AB50" s="121"/>
      <c r="AC50" s="120"/>
      <c r="AD50" s="121"/>
      <c r="AE50" s="121"/>
      <c r="AF50" s="121"/>
      <c r="AG50" s="121"/>
      <c r="AH50" s="120"/>
      <c r="AI50" s="121"/>
      <c r="AJ50" s="121"/>
      <c r="AK50" s="121"/>
      <c r="AL50" s="121"/>
      <c r="AM50" s="120"/>
      <c r="AN50" s="121"/>
      <c r="AO50" s="121"/>
      <c r="AP50" s="121"/>
      <c r="AQ50" s="121"/>
      <c r="AR50" s="120"/>
      <c r="AS50" s="121"/>
      <c r="AT50" s="121"/>
      <c r="AU50" s="121"/>
      <c r="AV50" s="121"/>
      <c r="AW50" s="120"/>
      <c r="AX50" s="121"/>
      <c r="AY50" s="121"/>
      <c r="AZ50" s="121"/>
      <c r="BA50" s="121"/>
      <c r="BB50" s="120"/>
      <c r="BC50" s="121"/>
      <c r="BD50" s="121"/>
      <c r="BE50" s="121"/>
      <c r="BF50" s="121"/>
      <c r="BG50" s="120"/>
      <c r="BH50" s="121"/>
      <c r="BI50" s="121"/>
      <c r="BJ50" s="121"/>
      <c r="BK50" s="121"/>
      <c r="BL50" s="120"/>
      <c r="BM50" s="121"/>
      <c r="BN50" s="121"/>
      <c r="BO50" s="121"/>
      <c r="BP50" s="121"/>
      <c r="BQ50" s="120"/>
      <c r="BR50" s="121"/>
      <c r="BS50" s="121"/>
      <c r="BT50" s="121"/>
      <c r="BU50" s="121"/>
      <c r="BV50" s="120"/>
      <c r="BW50" s="121"/>
      <c r="BX50" s="121"/>
      <c r="BY50" s="121"/>
      <c r="BZ50" s="121"/>
      <c r="CA50" s="120"/>
      <c r="CB50" s="121"/>
      <c r="CC50" s="121"/>
      <c r="CD50" s="121"/>
      <c r="CE50" s="121"/>
      <c r="CF50" s="120"/>
      <c r="CG50" s="121"/>
      <c r="CH50" s="121"/>
      <c r="CI50" s="121"/>
      <c r="CJ50" s="121"/>
      <c r="CK50" s="120"/>
      <c r="CL50" s="121"/>
      <c r="CM50" s="121"/>
      <c r="CN50" s="121"/>
      <c r="CO50" s="121"/>
      <c r="CP50" s="120"/>
      <c r="CQ50" s="121"/>
      <c r="CR50" s="121"/>
      <c r="CS50" s="121"/>
      <c r="CT50" s="121"/>
      <c r="CU50" s="120"/>
      <c r="CV50" s="121"/>
      <c r="CW50" s="121"/>
      <c r="CX50" s="121"/>
      <c r="CY50" s="121"/>
      <c r="CZ50" s="120"/>
      <c r="DA50" s="121"/>
      <c r="DB50" s="121"/>
      <c r="DC50" s="121"/>
      <c r="DD50" s="121"/>
      <c r="DE50" s="120"/>
      <c r="DF50" s="121"/>
      <c r="DG50" s="121"/>
      <c r="DH50" s="121"/>
      <c r="DI50" s="121"/>
      <c r="DJ50" s="120"/>
      <c r="DK50" s="121"/>
      <c r="DL50" s="121"/>
      <c r="DM50" s="121"/>
      <c r="DN50" s="121"/>
      <c r="DO50" s="120"/>
      <c r="DP50" s="121"/>
      <c r="DQ50" s="121"/>
      <c r="DR50" s="121"/>
      <c r="DS50" s="121"/>
      <c r="DT50" s="120"/>
      <c r="DU50" s="121"/>
      <c r="DV50" s="121"/>
      <c r="DW50" s="121"/>
      <c r="DX50" s="121"/>
      <c r="DY50" s="120"/>
      <c r="DZ50" s="120"/>
      <c r="EA50" s="120"/>
      <c r="EB50" s="120"/>
    </row>
    <row r="51" spans="1:132" s="98" customFormat="1" ht="3" customHeight="1">
      <c r="A51" s="148"/>
      <c r="B51" s="148"/>
      <c r="C51" s="142"/>
      <c r="D51" s="142"/>
      <c r="E51" s="142"/>
      <c r="F51" s="142"/>
      <c r="G51" s="142"/>
      <c r="H51" s="142"/>
      <c r="I51" s="142"/>
      <c r="J51" s="143"/>
      <c r="K51" s="143"/>
      <c r="L51" s="143"/>
      <c r="M51" s="143"/>
      <c r="N51" s="142"/>
      <c r="O51" s="143"/>
      <c r="P51" s="143"/>
      <c r="Q51" s="143"/>
      <c r="R51" s="143"/>
      <c r="S51" s="142"/>
      <c r="T51" s="143"/>
      <c r="U51" s="143"/>
      <c r="V51" s="143"/>
      <c r="W51" s="143"/>
      <c r="X51" s="142"/>
      <c r="Y51" s="143"/>
      <c r="Z51" s="143"/>
      <c r="AA51" s="143"/>
      <c r="AB51" s="143"/>
      <c r="AC51" s="142"/>
      <c r="AD51" s="143"/>
      <c r="AE51" s="143"/>
      <c r="AF51" s="143"/>
      <c r="AG51" s="143"/>
      <c r="AH51" s="142"/>
      <c r="AI51" s="143"/>
      <c r="AJ51" s="143"/>
      <c r="AK51" s="143"/>
      <c r="AL51" s="143"/>
      <c r="AM51" s="142"/>
      <c r="AN51" s="143"/>
      <c r="AO51" s="143"/>
      <c r="AP51" s="143"/>
      <c r="AQ51" s="143"/>
      <c r="AR51" s="142"/>
      <c r="AS51" s="143"/>
      <c r="AT51" s="143"/>
      <c r="AU51" s="143"/>
      <c r="AV51" s="143"/>
      <c r="AW51" s="142"/>
      <c r="AX51" s="143"/>
      <c r="AY51" s="143"/>
      <c r="AZ51" s="143"/>
      <c r="BA51" s="143"/>
      <c r="BB51" s="142"/>
      <c r="BC51" s="143"/>
      <c r="BD51" s="143"/>
      <c r="BE51" s="143"/>
      <c r="BF51" s="143"/>
      <c r="BG51" s="142"/>
      <c r="BH51" s="143"/>
      <c r="BI51" s="143"/>
      <c r="BJ51" s="143"/>
      <c r="BK51" s="143"/>
      <c r="BL51" s="142"/>
      <c r="BM51" s="143"/>
      <c r="BN51" s="143"/>
      <c r="BO51" s="143"/>
      <c r="BP51" s="143"/>
      <c r="BQ51" s="142"/>
      <c r="BR51" s="143"/>
      <c r="BS51" s="143"/>
      <c r="BT51" s="143"/>
      <c r="BU51" s="143"/>
      <c r="BV51" s="142"/>
      <c r="BW51" s="143"/>
      <c r="BX51" s="143"/>
      <c r="BY51" s="143"/>
      <c r="BZ51" s="143"/>
      <c r="CA51" s="142"/>
      <c r="CB51" s="143"/>
      <c r="CC51" s="143"/>
      <c r="CD51" s="143"/>
      <c r="CE51" s="143"/>
      <c r="CF51" s="142"/>
      <c r="CG51" s="143"/>
      <c r="CH51" s="143"/>
      <c r="CI51" s="143"/>
      <c r="CJ51" s="143"/>
      <c r="CK51" s="142"/>
      <c r="CL51" s="143"/>
      <c r="CM51" s="143"/>
      <c r="CN51" s="143"/>
      <c r="CO51" s="143"/>
      <c r="CP51" s="142"/>
      <c r="CQ51" s="143"/>
      <c r="CR51" s="143"/>
      <c r="CS51" s="143"/>
      <c r="CT51" s="143"/>
      <c r="CU51" s="142"/>
      <c r="CV51" s="143"/>
      <c r="CW51" s="143"/>
      <c r="CX51" s="143"/>
      <c r="CY51" s="143"/>
      <c r="CZ51" s="142"/>
      <c r="DA51" s="143"/>
      <c r="DB51" s="143"/>
      <c r="DC51" s="143"/>
      <c r="DD51" s="143"/>
      <c r="DE51" s="142"/>
      <c r="DF51" s="143"/>
      <c r="DG51" s="143"/>
      <c r="DH51" s="143"/>
      <c r="DI51" s="143"/>
      <c r="DJ51" s="142"/>
      <c r="DK51" s="143"/>
      <c r="DL51" s="143"/>
      <c r="DM51" s="143"/>
      <c r="DN51" s="143"/>
      <c r="DO51" s="142"/>
      <c r="DP51" s="143"/>
      <c r="DQ51" s="143"/>
      <c r="DR51" s="143"/>
      <c r="DS51" s="143"/>
      <c r="DT51" s="142"/>
      <c r="DU51" s="143"/>
      <c r="DV51" s="143"/>
      <c r="DW51" s="143"/>
      <c r="DX51" s="143"/>
      <c r="DY51" s="142"/>
      <c r="DZ51" s="142"/>
      <c r="EA51" s="142"/>
      <c r="EB51" s="142"/>
    </row>
    <row r="52" spans="1:132" s="68" customFormat="1" ht="12" customHeight="1">
      <c r="B52" s="149" t="s">
        <v>215</v>
      </c>
      <c r="C52" s="120"/>
      <c r="D52" s="120"/>
      <c r="E52" s="120"/>
      <c r="F52" s="120"/>
      <c r="G52" s="120"/>
      <c r="H52" s="120"/>
      <c r="I52" s="120"/>
      <c r="J52" s="121"/>
      <c r="K52" s="121"/>
      <c r="L52" s="121"/>
      <c r="M52" s="121"/>
      <c r="N52" s="120"/>
      <c r="O52" s="121"/>
      <c r="P52" s="121"/>
      <c r="Q52" s="121"/>
      <c r="R52" s="121"/>
      <c r="S52" s="120"/>
      <c r="T52" s="121"/>
      <c r="U52" s="121"/>
      <c r="V52" s="121"/>
      <c r="W52" s="121"/>
      <c r="X52" s="120"/>
      <c r="Y52" s="121"/>
      <c r="Z52" s="121"/>
      <c r="AA52" s="121"/>
      <c r="AB52" s="121"/>
      <c r="AC52" s="120"/>
      <c r="AD52" s="121"/>
      <c r="AE52" s="121"/>
      <c r="AF52" s="121"/>
      <c r="AG52" s="121"/>
      <c r="AH52" s="120"/>
      <c r="AI52" s="121"/>
      <c r="AJ52" s="121"/>
      <c r="AK52" s="121"/>
      <c r="AL52" s="121"/>
      <c r="AM52" s="120"/>
      <c r="AN52" s="121"/>
      <c r="AO52" s="121"/>
      <c r="AP52" s="121"/>
      <c r="AQ52" s="121"/>
      <c r="AR52" s="120"/>
      <c r="AS52" s="121"/>
      <c r="AT52" s="121"/>
      <c r="AU52" s="121"/>
      <c r="AV52" s="121"/>
      <c r="AW52" s="120"/>
      <c r="AX52" s="121"/>
      <c r="AY52" s="121"/>
      <c r="AZ52" s="121"/>
      <c r="BA52" s="121"/>
      <c r="BB52" s="120"/>
      <c r="BC52" s="121"/>
      <c r="BD52" s="121"/>
      <c r="BE52" s="121"/>
      <c r="BF52" s="121"/>
      <c r="BG52" s="120"/>
      <c r="BH52" s="121"/>
      <c r="BI52" s="121"/>
      <c r="BJ52" s="121"/>
      <c r="BK52" s="121"/>
      <c r="BL52" s="120"/>
      <c r="BM52" s="121"/>
      <c r="BN52" s="121"/>
      <c r="BO52" s="121"/>
      <c r="BP52" s="121"/>
      <c r="BQ52" s="120"/>
      <c r="BR52" s="121"/>
      <c r="BS52" s="121"/>
      <c r="BT52" s="121"/>
      <c r="BU52" s="121"/>
      <c r="BV52" s="120"/>
      <c r="BW52" s="121"/>
      <c r="BX52" s="121"/>
      <c r="BY52" s="121"/>
      <c r="BZ52" s="121"/>
      <c r="CA52" s="120"/>
      <c r="CB52" s="121"/>
      <c r="CC52" s="121"/>
      <c r="CD52" s="121"/>
      <c r="CE52" s="121"/>
      <c r="CF52" s="120"/>
      <c r="CG52" s="121"/>
      <c r="CH52" s="121"/>
      <c r="CI52" s="121"/>
      <c r="CJ52" s="121"/>
      <c r="CK52" s="120"/>
      <c r="CL52" s="121"/>
      <c r="CM52" s="121"/>
      <c r="CN52" s="121"/>
      <c r="CO52" s="121"/>
      <c r="CP52" s="120"/>
      <c r="CQ52" s="121"/>
      <c r="CR52" s="121"/>
      <c r="CS52" s="121"/>
      <c r="CT52" s="121"/>
      <c r="CU52" s="120"/>
      <c r="CV52" s="121"/>
      <c r="CW52" s="121"/>
      <c r="CX52" s="121"/>
      <c r="CY52" s="121"/>
      <c r="CZ52" s="120"/>
      <c r="DA52" s="121"/>
      <c r="DB52" s="121"/>
      <c r="DC52" s="121"/>
      <c r="DD52" s="121"/>
      <c r="DE52" s="120"/>
      <c r="DF52" s="121"/>
      <c r="DG52" s="121"/>
      <c r="DH52" s="121"/>
      <c r="DI52" s="121"/>
      <c r="DJ52" s="120"/>
      <c r="DK52" s="121"/>
      <c r="DL52" s="121"/>
      <c r="DM52" s="121"/>
      <c r="DN52" s="121"/>
      <c r="DO52" s="120"/>
      <c r="DP52" s="121"/>
      <c r="DQ52" s="121"/>
      <c r="DR52" s="121"/>
      <c r="DS52" s="121"/>
      <c r="DT52" s="120"/>
      <c r="DU52" s="121"/>
      <c r="DV52" s="121"/>
      <c r="DW52" s="121"/>
      <c r="DX52" s="121"/>
      <c r="DY52" s="120"/>
      <c r="DZ52" s="120"/>
      <c r="EA52" s="120"/>
      <c r="EB52" s="120"/>
    </row>
    <row r="53" spans="1:132" s="241" customFormat="1" ht="12" customHeight="1">
      <c r="A53" s="68"/>
      <c r="B53" s="150" t="s">
        <v>216</v>
      </c>
      <c r="C53" s="314">
        <f>C18</f>
        <v>-355</v>
      </c>
      <c r="D53" s="314">
        <f t="shared" ref="D53:AR53" si="351">D18</f>
        <v>1567</v>
      </c>
      <c r="E53" s="314">
        <f t="shared" si="351"/>
        <v>3170</v>
      </c>
      <c r="F53" s="314">
        <f t="shared" si="351"/>
        <v>3058</v>
      </c>
      <c r="G53" s="314">
        <f t="shared" si="351"/>
        <v>3896</v>
      </c>
      <c r="H53" s="314">
        <f t="shared" si="351"/>
        <v>3868</v>
      </c>
      <c r="I53" s="314">
        <f t="shared" si="351"/>
        <v>449</v>
      </c>
      <c r="J53" s="315">
        <f t="shared" si="351"/>
        <v>838</v>
      </c>
      <c r="K53" s="315">
        <f t="shared" si="351"/>
        <v>644</v>
      </c>
      <c r="L53" s="315">
        <f t="shared" si="351"/>
        <v>511</v>
      </c>
      <c r="M53" s="315">
        <f t="shared" si="351"/>
        <v>14</v>
      </c>
      <c r="N53" s="314">
        <f t="shared" si="351"/>
        <v>2007</v>
      </c>
      <c r="O53" s="315">
        <f t="shared" si="351"/>
        <v>687</v>
      </c>
      <c r="P53" s="315">
        <f t="shared" si="351"/>
        <v>810</v>
      </c>
      <c r="Q53" s="315">
        <f t="shared" si="351"/>
        <v>763</v>
      </c>
      <c r="R53" s="315">
        <f t="shared" si="351"/>
        <v>552</v>
      </c>
      <c r="S53" s="314">
        <f t="shared" si="351"/>
        <v>2812</v>
      </c>
      <c r="T53" s="315">
        <f t="shared" si="351"/>
        <v>959</v>
      </c>
      <c r="U53" s="315">
        <f t="shared" si="351"/>
        <v>523</v>
      </c>
      <c r="V53" s="315">
        <f t="shared" si="351"/>
        <v>951</v>
      </c>
      <c r="W53" s="315">
        <f t="shared" si="351"/>
        <v>1152</v>
      </c>
      <c r="X53" s="314">
        <f t="shared" si="351"/>
        <v>3585</v>
      </c>
      <c r="Y53" s="315">
        <f t="shared" si="351"/>
        <v>1309</v>
      </c>
      <c r="Z53" s="315">
        <f t="shared" si="351"/>
        <v>1506</v>
      </c>
      <c r="AA53" s="315">
        <f t="shared" si="351"/>
        <v>1499</v>
      </c>
      <c r="AB53" s="315">
        <f t="shared" si="351"/>
        <v>1516</v>
      </c>
      <c r="AC53" s="314">
        <f t="shared" si="351"/>
        <v>5830</v>
      </c>
      <c r="AD53" s="315">
        <f t="shared" si="351"/>
        <v>1799</v>
      </c>
      <c r="AE53" s="315">
        <f t="shared" si="351"/>
        <v>1247</v>
      </c>
      <c r="AF53" s="315">
        <f t="shared" si="351"/>
        <v>1147</v>
      </c>
      <c r="AG53" s="315">
        <f t="shared" si="351"/>
        <v>-243</v>
      </c>
      <c r="AH53" s="314">
        <f t="shared" si="351"/>
        <v>3950</v>
      </c>
      <c r="AI53" s="315">
        <f t="shared" si="351"/>
        <v>1025</v>
      </c>
      <c r="AJ53" s="315">
        <f>AJ18</f>
        <v>1529</v>
      </c>
      <c r="AK53" s="315">
        <f t="shared" si="351"/>
        <v>-2151</v>
      </c>
      <c r="AL53" s="315">
        <f t="shared" si="351"/>
        <v>1693</v>
      </c>
      <c r="AM53" s="314">
        <f t="shared" si="351"/>
        <v>2096</v>
      </c>
      <c r="AN53" s="315">
        <f t="shared" si="351"/>
        <v>1174</v>
      </c>
      <c r="AO53" s="315">
        <f t="shared" si="351"/>
        <v>1307</v>
      </c>
      <c r="AP53" s="315">
        <f t="shared" si="351"/>
        <v>1387</v>
      </c>
      <c r="AQ53" s="315">
        <f t="shared" si="351"/>
        <v>1103</v>
      </c>
      <c r="AR53" s="314">
        <f t="shared" si="351"/>
        <v>4971</v>
      </c>
      <c r="AS53" s="315">
        <f t="shared" ref="AS53:BG53" si="352">AS18</f>
        <v>1000</v>
      </c>
      <c r="AT53" s="315">
        <f t="shared" si="352"/>
        <v>1534</v>
      </c>
      <c r="AU53" s="315">
        <f t="shared" si="352"/>
        <v>1714</v>
      </c>
      <c r="AV53" s="315">
        <f t="shared" si="352"/>
        <v>1596</v>
      </c>
      <c r="AW53" s="314">
        <f t="shared" si="352"/>
        <v>5844</v>
      </c>
      <c r="AX53" s="315">
        <f t="shared" si="352"/>
        <v>1570</v>
      </c>
      <c r="AY53" s="315">
        <f t="shared" si="352"/>
        <v>1548</v>
      </c>
      <c r="AZ53" s="315">
        <f t="shared" si="352"/>
        <v>1563.1999999999998</v>
      </c>
      <c r="BA53" s="315">
        <f t="shared" si="352"/>
        <v>1629</v>
      </c>
      <c r="BB53" s="314">
        <f t="shared" si="352"/>
        <v>6310.2</v>
      </c>
      <c r="BC53" s="315">
        <f t="shared" si="352"/>
        <v>1528</v>
      </c>
      <c r="BD53" s="315">
        <f t="shared" si="352"/>
        <v>1716</v>
      </c>
      <c r="BE53" s="315">
        <f t="shared" si="352"/>
        <v>1803</v>
      </c>
      <c r="BF53" s="315">
        <f t="shared" si="352"/>
        <v>1515.4000000000015</v>
      </c>
      <c r="BG53" s="314">
        <f t="shared" si="352"/>
        <v>6562.4000000000015</v>
      </c>
      <c r="BH53" s="620">
        <f t="shared" ref="BH53:BP53" si="353">BH18</f>
        <v>1542</v>
      </c>
      <c r="BI53" s="315">
        <f t="shared" si="353"/>
        <v>1787</v>
      </c>
      <c r="BJ53" s="620">
        <f t="shared" si="353"/>
        <v>2119</v>
      </c>
      <c r="BK53" s="620">
        <f t="shared" si="353"/>
        <v>2025</v>
      </c>
      <c r="BL53" s="630">
        <f t="shared" si="353"/>
        <v>7473</v>
      </c>
      <c r="BM53" s="620">
        <f t="shared" si="353"/>
        <v>2019</v>
      </c>
      <c r="BN53" s="620">
        <f t="shared" si="353"/>
        <v>1683</v>
      </c>
      <c r="BO53" s="620">
        <f t="shared" si="353"/>
        <v>2580</v>
      </c>
      <c r="BP53" s="620">
        <f t="shared" si="353"/>
        <v>1161</v>
      </c>
      <c r="BQ53" s="630">
        <f t="shared" ref="BQ53:BU53" si="354">BQ18</f>
        <v>7443</v>
      </c>
      <c r="BR53" s="620">
        <f t="shared" si="354"/>
        <v>1788</v>
      </c>
      <c r="BS53" s="620">
        <f t="shared" si="354"/>
        <v>-419</v>
      </c>
      <c r="BT53" s="620">
        <f t="shared" si="354"/>
        <v>2282</v>
      </c>
      <c r="BU53" s="620">
        <f t="shared" si="354"/>
        <v>2183</v>
      </c>
      <c r="BV53" s="630">
        <f t="shared" ref="BV53:BZ53" si="355">BV18</f>
        <v>5834</v>
      </c>
      <c r="BW53" s="620">
        <f t="shared" si="355"/>
        <v>2206</v>
      </c>
      <c r="BX53" s="620">
        <f t="shared" si="355"/>
        <v>2530</v>
      </c>
      <c r="BY53" s="620">
        <f t="shared" si="355"/>
        <v>2630</v>
      </c>
      <c r="BZ53" s="620">
        <f t="shared" si="355"/>
        <v>2978</v>
      </c>
      <c r="CA53" s="630">
        <f t="shared" ref="CA53:CE53" si="356">CA18</f>
        <v>10344</v>
      </c>
      <c r="CB53" s="620">
        <f t="shared" si="356"/>
        <v>2875</v>
      </c>
      <c r="CC53" s="620">
        <f t="shared" si="356"/>
        <v>2710</v>
      </c>
      <c r="CD53" s="620">
        <f t="shared" si="356"/>
        <v>2227</v>
      </c>
      <c r="CE53" s="620">
        <f t="shared" si="356"/>
        <v>4175</v>
      </c>
      <c r="CF53" s="630">
        <f t="shared" ref="CF53:CJ53" si="357">CF18</f>
        <v>11987</v>
      </c>
      <c r="CG53" s="620">
        <f t="shared" si="357"/>
        <v>2350</v>
      </c>
      <c r="CH53" s="620">
        <f t="shared" si="357"/>
        <v>-3380</v>
      </c>
      <c r="CI53" s="620">
        <f t="shared" si="357"/>
        <v>1259</v>
      </c>
      <c r="CJ53" s="620">
        <f t="shared" si="357"/>
        <v>-2204</v>
      </c>
      <c r="CK53" s="630">
        <f t="shared" ref="CK53:CO53" si="358">CK18</f>
        <v>-1975</v>
      </c>
      <c r="CL53" s="620">
        <f t="shared" si="358"/>
        <v>-1353</v>
      </c>
      <c r="CM53" s="620">
        <f t="shared" si="358"/>
        <v>-2964</v>
      </c>
      <c r="CN53" s="620">
        <f t="shared" si="358"/>
        <v>-401</v>
      </c>
      <c r="CO53" s="620">
        <f t="shared" si="358"/>
        <v>-8049</v>
      </c>
      <c r="CP53" s="630">
        <f t="shared" ref="CP53:CT53" si="359">CP18</f>
        <v>-12767</v>
      </c>
      <c r="CQ53" s="620">
        <f t="shared" si="359"/>
        <v>-83</v>
      </c>
      <c r="CR53" s="620">
        <f t="shared" si="359"/>
        <v>1023</v>
      </c>
      <c r="CS53" s="620">
        <f t="shared" si="359"/>
        <v>329</v>
      </c>
      <c r="CT53" s="620">
        <f t="shared" si="359"/>
        <v>-4171</v>
      </c>
      <c r="CU53" s="630">
        <f t="shared" ref="CU53:CV53" si="360">CU18</f>
        <v>-2902</v>
      </c>
      <c r="CV53" s="620">
        <f t="shared" si="360"/>
        <v>-1169</v>
      </c>
      <c r="CW53" s="620">
        <f t="shared" ref="CW53:CZ53" si="361">CW18</f>
        <v>774</v>
      </c>
      <c r="CX53" s="620">
        <f t="shared" si="361"/>
        <v>-2799</v>
      </c>
      <c r="CY53" s="620">
        <f t="shared" si="361"/>
        <v>-353</v>
      </c>
      <c r="CZ53" s="630">
        <f t="shared" si="361"/>
        <v>-3547</v>
      </c>
      <c r="DA53" s="620">
        <f t="shared" ref="DA53:DD53" si="362">DA18</f>
        <v>-149</v>
      </c>
      <c r="DB53" s="620">
        <f t="shared" si="362"/>
        <v>-99</v>
      </c>
      <c r="DC53" s="620">
        <f t="shared" si="362"/>
        <v>-808</v>
      </c>
      <c r="DD53" s="620">
        <f t="shared" si="362"/>
        <v>283</v>
      </c>
      <c r="DE53" s="630">
        <f t="shared" ref="DE53:DI53" si="363">DE18</f>
        <v>-773</v>
      </c>
      <c r="DF53" s="620">
        <f t="shared" si="363"/>
        <v>-86</v>
      </c>
      <c r="DG53" s="620">
        <f t="shared" si="363"/>
        <v>-1090</v>
      </c>
      <c r="DH53" s="620">
        <f t="shared" si="363"/>
        <v>-5761</v>
      </c>
      <c r="DI53" s="620">
        <f t="shared" si="363"/>
        <v>-3770</v>
      </c>
      <c r="DJ53" s="630">
        <f t="shared" ref="DJ53:DN53" si="364">DJ18</f>
        <v>-10707</v>
      </c>
      <c r="DK53" s="620">
        <f t="shared" si="364"/>
        <v>461</v>
      </c>
      <c r="DL53" s="620">
        <f t="shared" si="364"/>
        <v>-176</v>
      </c>
      <c r="DM53" s="620">
        <f t="shared" si="364"/>
        <v>-4781</v>
      </c>
      <c r="DN53" s="620">
        <f t="shared" si="364"/>
        <v>8777</v>
      </c>
      <c r="DO53" s="630">
        <f t="shared" ref="DO53:DS53" si="365">DO18</f>
        <v>4281</v>
      </c>
      <c r="DP53" s="620">
        <f t="shared" si="365"/>
        <v>448</v>
      </c>
      <c r="DQ53" s="620">
        <f t="shared" si="365"/>
        <v>156</v>
      </c>
      <c r="DR53" s="620">
        <f t="shared" si="365"/>
        <v>550.64043329499634</v>
      </c>
      <c r="DS53" s="620">
        <f t="shared" si="365"/>
        <v>977.35926003640907</v>
      </c>
      <c r="DT53" s="630">
        <f t="shared" ref="DT53:DX53" si="366">DT18</f>
        <v>2131.9996933314055</v>
      </c>
      <c r="DU53" s="620">
        <f t="shared" si="366"/>
        <v>608.33830596295297</v>
      </c>
      <c r="DV53" s="620">
        <f t="shared" si="366"/>
        <v>1295.6993839569343</v>
      </c>
      <c r="DW53" s="620">
        <f t="shared" si="366"/>
        <v>1818.3720660848696</v>
      </c>
      <c r="DX53" s="620">
        <f t="shared" si="366"/>
        <v>2245.1010469523317</v>
      </c>
      <c r="DY53" s="630">
        <f t="shared" ref="DY53" si="367">DY18</f>
        <v>5967.5108029570883</v>
      </c>
      <c r="DZ53" s="630">
        <f t="shared" ref="DZ53" si="368">DZ18</f>
        <v>9945.4190076546329</v>
      </c>
      <c r="EA53" s="630">
        <f t="shared" ref="EA53:EB53" si="369">EA18</f>
        <v>14141.802829262428</v>
      </c>
      <c r="EB53" s="630">
        <f t="shared" si="369"/>
        <v>18612.240652867633</v>
      </c>
    </row>
    <row r="54" spans="1:132" s="241" customFormat="1" ht="12" customHeight="1">
      <c r="B54" s="151" t="s">
        <v>217</v>
      </c>
      <c r="C54" s="314">
        <f>CFLO!C9+CFLO!C10</f>
        <v>1458</v>
      </c>
      <c r="D54" s="314">
        <f>CFLO!D9+CFLO!D10</f>
        <v>1622</v>
      </c>
      <c r="E54" s="314">
        <f>CFLO!E9+CFLO!E10</f>
        <v>1645</v>
      </c>
      <c r="F54" s="314">
        <f>CFLO!F9+CFLO!F10</f>
        <v>1479</v>
      </c>
      <c r="G54" s="314">
        <f>CFLO!G9+CFLO!G10</f>
        <v>1750</v>
      </c>
      <c r="H54" s="314">
        <f>CFLO!H9+CFLO!H10</f>
        <v>1497</v>
      </c>
      <c r="I54" s="314">
        <f>CFLO!I9+CFLO!I10</f>
        <v>1450</v>
      </c>
      <c r="J54" s="315">
        <f>CFLO!J9+CFLO!J10</f>
        <v>350</v>
      </c>
      <c r="K54" s="315">
        <f>CFLO!K9+CFLO!K10</f>
        <v>330</v>
      </c>
      <c r="L54" s="315">
        <f>CFLO!L9+CFLO!L10</f>
        <v>326</v>
      </c>
      <c r="M54" s="315">
        <f>CFLO!M9+CFLO!M10</f>
        <v>503</v>
      </c>
      <c r="N54" s="314">
        <f>CFLO!N9+CFLO!N10</f>
        <v>1509</v>
      </c>
      <c r="O54" s="315">
        <f>CFLO!O9+CFLO!O10</f>
        <v>355</v>
      </c>
      <c r="P54" s="315">
        <f>CFLO!P9+CFLO!P10</f>
        <v>403</v>
      </c>
      <c r="Q54" s="315">
        <f>CFLO!Q9+CFLO!Q10</f>
        <v>372</v>
      </c>
      <c r="R54" s="315">
        <f>CFLO!R9+CFLO!R10</f>
        <v>373</v>
      </c>
      <c r="S54" s="314">
        <f>CFLO!S9+CFLO!S10</f>
        <v>1503</v>
      </c>
      <c r="T54" s="315">
        <f>CFLO!T9+CFLO!T10</f>
        <v>369</v>
      </c>
      <c r="U54" s="315">
        <f>CFLO!U9+CFLO!U10</f>
        <v>385</v>
      </c>
      <c r="V54" s="315">
        <f>CFLO!V9+CFLO!V10</f>
        <v>369</v>
      </c>
      <c r="W54" s="315">
        <f>CFLO!W9+CFLO!W10</f>
        <v>422</v>
      </c>
      <c r="X54" s="314">
        <f>CFLO!X9+CFLO!X10</f>
        <v>1545</v>
      </c>
      <c r="Y54" s="315">
        <f>CFLO!Y9+CFLO!Y10</f>
        <v>356</v>
      </c>
      <c r="Z54" s="315">
        <f>CFLO!Z9+CFLO!Z10</f>
        <v>397</v>
      </c>
      <c r="AA54" s="315">
        <f>CFLO!AA9+CFLO!AA10</f>
        <v>338</v>
      </c>
      <c r="AB54" s="315">
        <f>CFLO!AB9+CFLO!AB10</f>
        <v>395</v>
      </c>
      <c r="AC54" s="314">
        <f>CFLO!AC9+CFLO!AC10</f>
        <v>1486</v>
      </c>
      <c r="AD54" s="315">
        <f>CFLO!AD9+CFLO!AD10</f>
        <v>362</v>
      </c>
      <c r="AE54" s="315">
        <f>CFLO!AE9+CFLO!AE10</f>
        <v>362</v>
      </c>
      <c r="AF54" s="315">
        <f>CFLO!AF9+CFLO!AF10</f>
        <v>350</v>
      </c>
      <c r="AG54" s="315">
        <f>CFLO!AG9+CFLO!AG10</f>
        <v>417</v>
      </c>
      <c r="AH54" s="314">
        <f>CFLO!AH9+CFLO!AH10</f>
        <v>1491</v>
      </c>
      <c r="AI54" s="315">
        <f>CFLO!AI9+CFLO!AI10</f>
        <v>384</v>
      </c>
      <c r="AJ54" s="315">
        <f>CFLO!AJ9+CFLO!AJ10</f>
        <v>381</v>
      </c>
      <c r="AK54" s="315">
        <f>CFLO!AK9+CFLO!AK10</f>
        <v>434</v>
      </c>
      <c r="AL54" s="315">
        <f>CFLO!AL9+CFLO!AL10</f>
        <v>467</v>
      </c>
      <c r="AM54" s="314">
        <f>CFLO!AM9+CFLO!AM10</f>
        <v>1666</v>
      </c>
      <c r="AN54" s="315">
        <f>CFLO!AN9+CFLO!AN10</f>
        <v>405</v>
      </c>
      <c r="AO54" s="315">
        <f>CFLO!AO9+CFLO!AO10</f>
        <v>449</v>
      </c>
      <c r="AP54" s="315">
        <f>CFLO!AP9+CFLO!AP10</f>
        <v>416</v>
      </c>
      <c r="AQ54" s="315">
        <f>CFLO!AQ9+CFLO!AQ10</f>
        <v>457</v>
      </c>
      <c r="AR54" s="314">
        <f>CFLO!AR9+CFLO!AR10</f>
        <v>1727</v>
      </c>
      <c r="AS54" s="315">
        <f>CFLO!AS9+CFLO!AS10</f>
        <v>380</v>
      </c>
      <c r="AT54" s="315">
        <f>CFLO!AT9+CFLO!AT10</f>
        <v>429</v>
      </c>
      <c r="AU54" s="315">
        <f>CFLO!AU9+CFLO!AU10</f>
        <v>417</v>
      </c>
      <c r="AV54" s="315">
        <f>CFLO!AV9+CFLO!AV10</f>
        <v>434</v>
      </c>
      <c r="AW54" s="314">
        <f>CFLO!AW9+CFLO!AW10</f>
        <v>1660</v>
      </c>
      <c r="AX54" s="315">
        <f>CFLO!AX9+CFLO!AX10</f>
        <v>426</v>
      </c>
      <c r="AY54" s="315">
        <f>CFLO!AY9+CFLO!AY10</f>
        <v>422</v>
      </c>
      <c r="AZ54" s="315">
        <f>CFLO!AZ9+CFLO!AZ10</f>
        <v>465</v>
      </c>
      <c r="BA54" s="393">
        <f>CFLO!BA9+CFLO!BA10</f>
        <v>498</v>
      </c>
      <c r="BB54" s="314">
        <f>CFLO!BB9+CFLO!BB10</f>
        <v>1811</v>
      </c>
      <c r="BC54" s="315">
        <f>CFLO!BC9+CFLO!BC10</f>
        <v>429</v>
      </c>
      <c r="BD54" s="393">
        <f>CFLO!BD9+CFLO!BD10</f>
        <v>436</v>
      </c>
      <c r="BE54" s="393">
        <f>CFLO!BE9+CFLO!BE10</f>
        <v>458</v>
      </c>
      <c r="BF54" s="393">
        <f>CFLO!BF9+CFLO!BF10</f>
        <v>521</v>
      </c>
      <c r="BG54" s="314">
        <f>CFLO!BG9+CFLO!BG10</f>
        <v>1844</v>
      </c>
      <c r="BH54" s="315">
        <f>CFLO!BH9+CFLO!BH10</f>
        <v>448</v>
      </c>
      <c r="BI54" s="393">
        <f>CFLO!BI9+CFLO!BI10</f>
        <v>452</v>
      </c>
      <c r="BJ54" s="393">
        <f>CFLO!BJ9+CFLO!BJ10</f>
        <v>478</v>
      </c>
      <c r="BK54" s="393">
        <f>CFLO!BK9+CFLO!BK10</f>
        <v>528</v>
      </c>
      <c r="BL54" s="630">
        <f>CFLO!BL9+CFLO!BL10</f>
        <v>1906</v>
      </c>
      <c r="BM54" s="393">
        <f>CFLO!BM9+CFLO!BM10</f>
        <v>459</v>
      </c>
      <c r="BN54" s="393">
        <f>CFLO!BN9+CFLO!BN10</f>
        <v>453</v>
      </c>
      <c r="BO54" s="620">
        <f>CFLO!BO9+CFLO!BO10</f>
        <v>437</v>
      </c>
      <c r="BP54" s="620">
        <f>CFLO!BP9+CFLO!BP10</f>
        <v>484</v>
      </c>
      <c r="BQ54" s="630">
        <f>CFLO!BQ9+CFLO!BQ10</f>
        <v>1833</v>
      </c>
      <c r="BR54" s="620">
        <f>CFLO!BR9+CFLO!BR10</f>
        <v>443</v>
      </c>
      <c r="BS54" s="620">
        <f>CFLO!BS9+CFLO!BS10</f>
        <v>447</v>
      </c>
      <c r="BT54" s="620">
        <f>CFLO!BT9+CFLO!BT10</f>
        <v>474</v>
      </c>
      <c r="BU54" s="620">
        <f>CFLO!BU9+CFLO!BU10</f>
        <v>546</v>
      </c>
      <c r="BV54" s="630">
        <f>CFLO!BV9+CFLO!BV10</f>
        <v>1910</v>
      </c>
      <c r="BW54" s="620">
        <f>CFLO!BW9+CFLO!BW10</f>
        <v>471</v>
      </c>
      <c r="BX54" s="620">
        <f>CFLO!BX9+CFLO!BX10</f>
        <v>494</v>
      </c>
      <c r="BY54" s="620">
        <f>CFLO!BY9+CFLO!BY10</f>
        <v>522</v>
      </c>
      <c r="BZ54" s="620">
        <f>CFLO!BZ9+CFLO!BZ10</f>
        <v>582</v>
      </c>
      <c r="CA54" s="630">
        <f>CFLO!CA9+CFLO!CA10</f>
        <v>2069</v>
      </c>
      <c r="CB54" s="620">
        <f>CFLO!CB9+CFLO!CB10</f>
        <v>501</v>
      </c>
      <c r="CC54" s="620">
        <f>CFLO!CC9+CFLO!CC10</f>
        <v>507</v>
      </c>
      <c r="CD54" s="620">
        <f>CFLO!CD9+CFLO!CD10</f>
        <v>523</v>
      </c>
      <c r="CE54" s="620">
        <f>CFLO!CE9+CFLO!CE10</f>
        <v>583</v>
      </c>
      <c r="CF54" s="630">
        <f>CFLO!CF9+CFLO!CF10</f>
        <v>2114</v>
      </c>
      <c r="CG54" s="620">
        <f>CFLO!CG9+CFLO!CG10</f>
        <v>521</v>
      </c>
      <c r="CH54" s="620">
        <f>CFLO!CH9+CFLO!CH10</f>
        <v>546</v>
      </c>
      <c r="CI54" s="620">
        <f>CFLO!CI9+CFLO!CI10</f>
        <v>576</v>
      </c>
      <c r="CJ54" s="620">
        <f>CFLO!CJ9+CFLO!CJ10</f>
        <v>628</v>
      </c>
      <c r="CK54" s="630">
        <f>CFLO!CK9+CFLO!CK10</f>
        <v>2271</v>
      </c>
      <c r="CL54" s="620">
        <f>CFLO!CL9+CFLO!CL10</f>
        <v>556</v>
      </c>
      <c r="CM54" s="620">
        <f>CFLO!CM9+CFLO!CM10</f>
        <v>547</v>
      </c>
      <c r="CN54" s="620">
        <f>CFLO!CN9+CFLO!CN10</f>
        <v>565</v>
      </c>
      <c r="CO54" s="620">
        <f>CFLO!CO9+CFLO!CO10</f>
        <v>578</v>
      </c>
      <c r="CP54" s="630">
        <f>CFLO!CP9+CFLO!CP10</f>
        <v>2246</v>
      </c>
      <c r="CQ54" s="620">
        <f>CFLO!CQ9+CFLO!CQ10</f>
        <v>536</v>
      </c>
      <c r="CR54" s="620">
        <f>CFLO!CR9+CFLO!CR10</f>
        <v>551</v>
      </c>
      <c r="CS54" s="620">
        <f>CFLO!CS9+CFLO!CS10</f>
        <v>523</v>
      </c>
      <c r="CT54" s="620">
        <f>CFLO!CT9+CFLO!CT10</f>
        <v>534</v>
      </c>
      <c r="CU54" s="630">
        <f>CFLO!CU9+CFLO!CU10</f>
        <v>2144</v>
      </c>
      <c r="CV54" s="620">
        <f>CFLO!CV9+CFLO!CV10</f>
        <v>486</v>
      </c>
      <c r="CW54" s="620">
        <f>CFLO!CW9+CFLO!CW10</f>
        <v>498</v>
      </c>
      <c r="CX54" s="620">
        <f>CFLO!CX9+CFLO!CX10</f>
        <v>493</v>
      </c>
      <c r="CY54" s="620">
        <f>CFLO!CY9+CFLO!CY10</f>
        <v>502</v>
      </c>
      <c r="CZ54" s="630">
        <f>CFLO!CZ9+CFLO!CZ10</f>
        <v>1979</v>
      </c>
      <c r="DA54" s="620">
        <f>CFLO!DA9+CFLO!DA10</f>
        <v>457</v>
      </c>
      <c r="DB54" s="620">
        <f>CFLO!DB9+CFLO!DB10</f>
        <v>456</v>
      </c>
      <c r="DC54" s="620">
        <f>CFLO!DC9+CFLO!DC10</f>
        <v>467</v>
      </c>
      <c r="DD54" s="620">
        <f>CFLO!DD9+CFLO!DD10</f>
        <v>481</v>
      </c>
      <c r="DE54" s="630">
        <f>CFLO!DE9+CFLO!DE10</f>
        <v>1861</v>
      </c>
      <c r="DF54" s="620">
        <f>CFLO!DF9+CFLO!DF10</f>
        <v>442</v>
      </c>
      <c r="DG54" s="620">
        <f>CFLO!DG9+CFLO!DG10</f>
        <v>441</v>
      </c>
      <c r="DH54" s="620">
        <f>CFLO!DH9+CFLO!DH10</f>
        <v>444</v>
      </c>
      <c r="DI54" s="620">
        <f>CFLO!DI9+CFLO!DI10</f>
        <v>509</v>
      </c>
      <c r="DJ54" s="630">
        <f>CFLO!DJ9+CFLO!DJ10</f>
        <v>1836</v>
      </c>
      <c r="DK54" s="620">
        <f>CFLO!DK9+CFLO!DK10</f>
        <v>466</v>
      </c>
      <c r="DL54" s="620">
        <f>CFLO!DL9+CFLO!DL10</f>
        <v>460</v>
      </c>
      <c r="DM54" s="620">
        <f>CFLO!DM9+CFLO!DM10</f>
        <v>491</v>
      </c>
      <c r="DN54" s="620">
        <f>CFLO!DN9+CFLO!DN10</f>
        <v>536</v>
      </c>
      <c r="DO54" s="630">
        <f>CFLO!DO9+CFLO!DO10</f>
        <v>1953</v>
      </c>
      <c r="DP54" s="620">
        <f>CFLO!DP9+CFLO!DP10</f>
        <v>573</v>
      </c>
      <c r="DQ54" s="620">
        <f>CFLO!DQ9+CFLO!DQ10</f>
        <v>596</v>
      </c>
      <c r="DR54" s="620">
        <f>CFLO!DR9+CFLO!DR10</f>
        <v>590</v>
      </c>
      <c r="DS54" s="620">
        <f>CFLO!DS9+CFLO!DS10</f>
        <v>630</v>
      </c>
      <c r="DT54" s="630">
        <f>CFLO!DT9+CFLO!DT10</f>
        <v>2389</v>
      </c>
      <c r="DU54" s="620">
        <f>CFLO!DU9+CFLO!DU10</f>
        <v>600</v>
      </c>
      <c r="DV54" s="620">
        <f>CFLO!DV9+CFLO!DV10</f>
        <v>600</v>
      </c>
      <c r="DW54" s="620">
        <f>CFLO!DW9+CFLO!DW10</f>
        <v>620</v>
      </c>
      <c r="DX54" s="620">
        <f>CFLO!DX9+CFLO!DX10</f>
        <v>650</v>
      </c>
      <c r="DY54" s="630">
        <f>CFLO!DY9+CFLO!DY10</f>
        <v>2470</v>
      </c>
      <c r="DZ54" s="630">
        <f>CFLO!DZ9+CFLO!DZ10</f>
        <v>2500</v>
      </c>
      <c r="EA54" s="630">
        <f>CFLO!EA9+CFLO!EA10</f>
        <v>2550</v>
      </c>
      <c r="EB54" s="630">
        <f>CFLO!EB9+CFLO!EB10</f>
        <v>2600</v>
      </c>
    </row>
    <row r="55" spans="1:132" s="74" customFormat="1" ht="12" customHeight="1">
      <c r="B55" s="152" t="s">
        <v>218</v>
      </c>
      <c r="C55" s="254">
        <f>C54+C53</f>
        <v>1103</v>
      </c>
      <c r="D55" s="254">
        <f t="shared" ref="D55:AR55" si="370">D54+D53</f>
        <v>3189</v>
      </c>
      <c r="E55" s="254">
        <f t="shared" si="370"/>
        <v>4815</v>
      </c>
      <c r="F55" s="254">
        <f t="shared" si="370"/>
        <v>4537</v>
      </c>
      <c r="G55" s="254">
        <f t="shared" si="370"/>
        <v>5646</v>
      </c>
      <c r="H55" s="254">
        <f t="shared" si="370"/>
        <v>5365</v>
      </c>
      <c r="I55" s="254">
        <f t="shared" si="370"/>
        <v>1899</v>
      </c>
      <c r="J55" s="255">
        <f t="shared" si="370"/>
        <v>1188</v>
      </c>
      <c r="K55" s="255">
        <f t="shared" si="370"/>
        <v>974</v>
      </c>
      <c r="L55" s="255">
        <f t="shared" si="370"/>
        <v>837</v>
      </c>
      <c r="M55" s="255">
        <f t="shared" si="370"/>
        <v>517</v>
      </c>
      <c r="N55" s="254">
        <f t="shared" si="370"/>
        <v>3516</v>
      </c>
      <c r="O55" s="255">
        <f t="shared" si="370"/>
        <v>1042</v>
      </c>
      <c r="P55" s="255">
        <f t="shared" si="370"/>
        <v>1213</v>
      </c>
      <c r="Q55" s="255">
        <f t="shared" si="370"/>
        <v>1135</v>
      </c>
      <c r="R55" s="255">
        <f t="shared" si="370"/>
        <v>925</v>
      </c>
      <c r="S55" s="254">
        <f t="shared" si="370"/>
        <v>4315</v>
      </c>
      <c r="T55" s="255">
        <f t="shared" si="370"/>
        <v>1328</v>
      </c>
      <c r="U55" s="255">
        <f t="shared" si="370"/>
        <v>908</v>
      </c>
      <c r="V55" s="255">
        <f t="shared" si="370"/>
        <v>1320</v>
      </c>
      <c r="W55" s="255">
        <f t="shared" si="370"/>
        <v>1574</v>
      </c>
      <c r="X55" s="254">
        <f t="shared" si="370"/>
        <v>5130</v>
      </c>
      <c r="Y55" s="255">
        <f t="shared" si="370"/>
        <v>1665</v>
      </c>
      <c r="Z55" s="255">
        <f t="shared" si="370"/>
        <v>1903</v>
      </c>
      <c r="AA55" s="255">
        <f t="shared" si="370"/>
        <v>1837</v>
      </c>
      <c r="AB55" s="255">
        <f t="shared" si="370"/>
        <v>1911</v>
      </c>
      <c r="AC55" s="254">
        <f t="shared" si="370"/>
        <v>7316</v>
      </c>
      <c r="AD55" s="255">
        <f t="shared" si="370"/>
        <v>2161</v>
      </c>
      <c r="AE55" s="255">
        <f t="shared" si="370"/>
        <v>1609</v>
      </c>
      <c r="AF55" s="255">
        <f t="shared" si="370"/>
        <v>1497</v>
      </c>
      <c r="AG55" s="255">
        <f t="shared" si="370"/>
        <v>174</v>
      </c>
      <c r="AH55" s="254">
        <f t="shared" si="370"/>
        <v>5441</v>
      </c>
      <c r="AI55" s="255">
        <f t="shared" si="370"/>
        <v>1409</v>
      </c>
      <c r="AJ55" s="255">
        <f t="shared" si="370"/>
        <v>1910</v>
      </c>
      <c r="AK55" s="255">
        <f t="shared" si="370"/>
        <v>-1717</v>
      </c>
      <c r="AL55" s="255">
        <f t="shared" si="370"/>
        <v>2160</v>
      </c>
      <c r="AM55" s="254">
        <f t="shared" si="370"/>
        <v>3762</v>
      </c>
      <c r="AN55" s="255">
        <f t="shared" si="370"/>
        <v>1579</v>
      </c>
      <c r="AO55" s="255">
        <f t="shared" si="370"/>
        <v>1756</v>
      </c>
      <c r="AP55" s="255">
        <f t="shared" si="370"/>
        <v>1803</v>
      </c>
      <c r="AQ55" s="255">
        <f t="shared" si="370"/>
        <v>1560</v>
      </c>
      <c r="AR55" s="254">
        <f t="shared" si="370"/>
        <v>6698</v>
      </c>
      <c r="AS55" s="255">
        <f t="shared" ref="AS55:BG55" si="371">AS54+AS53</f>
        <v>1380</v>
      </c>
      <c r="AT55" s="255">
        <f t="shared" si="371"/>
        <v>1963</v>
      </c>
      <c r="AU55" s="255">
        <f t="shared" si="371"/>
        <v>2131</v>
      </c>
      <c r="AV55" s="255">
        <f t="shared" si="371"/>
        <v>2030</v>
      </c>
      <c r="AW55" s="254">
        <f t="shared" si="371"/>
        <v>7504</v>
      </c>
      <c r="AX55" s="255">
        <f t="shared" si="371"/>
        <v>1996</v>
      </c>
      <c r="AY55" s="255">
        <f t="shared" si="371"/>
        <v>1970</v>
      </c>
      <c r="AZ55" s="255">
        <f t="shared" si="371"/>
        <v>2028.1999999999998</v>
      </c>
      <c r="BA55" s="255">
        <f t="shared" si="371"/>
        <v>2127</v>
      </c>
      <c r="BB55" s="254">
        <f t="shared" si="371"/>
        <v>8121.2</v>
      </c>
      <c r="BC55" s="255">
        <f t="shared" si="371"/>
        <v>1957</v>
      </c>
      <c r="BD55" s="255">
        <f t="shared" si="371"/>
        <v>2152</v>
      </c>
      <c r="BE55" s="255">
        <f t="shared" si="371"/>
        <v>2261</v>
      </c>
      <c r="BF55" s="255">
        <f t="shared" si="371"/>
        <v>2036.4000000000015</v>
      </c>
      <c r="BG55" s="254">
        <f t="shared" si="371"/>
        <v>8406.4000000000015</v>
      </c>
      <c r="BH55" s="627">
        <f t="shared" ref="BH55:BQ55" si="372">BH54+BH53</f>
        <v>1990</v>
      </c>
      <c r="BI55" s="255">
        <f t="shared" si="372"/>
        <v>2239</v>
      </c>
      <c r="BJ55" s="627">
        <f t="shared" si="372"/>
        <v>2597</v>
      </c>
      <c r="BK55" s="627">
        <f t="shared" si="372"/>
        <v>2553</v>
      </c>
      <c r="BL55" s="637">
        <f t="shared" si="372"/>
        <v>9379</v>
      </c>
      <c r="BM55" s="627">
        <f t="shared" si="372"/>
        <v>2478</v>
      </c>
      <c r="BN55" s="627">
        <f t="shared" si="372"/>
        <v>2136</v>
      </c>
      <c r="BO55" s="627">
        <f t="shared" si="372"/>
        <v>3017</v>
      </c>
      <c r="BP55" s="627">
        <f t="shared" si="372"/>
        <v>1645</v>
      </c>
      <c r="BQ55" s="637">
        <f t="shared" si="372"/>
        <v>9276</v>
      </c>
      <c r="BR55" s="627">
        <f t="shared" ref="BR55" si="373">BR54+BR53</f>
        <v>2231</v>
      </c>
      <c r="BS55" s="627">
        <f t="shared" ref="BS55:BV55" si="374">BS54+BS53</f>
        <v>28</v>
      </c>
      <c r="BT55" s="627">
        <f t="shared" si="374"/>
        <v>2756</v>
      </c>
      <c r="BU55" s="627">
        <f t="shared" si="374"/>
        <v>2729</v>
      </c>
      <c r="BV55" s="637">
        <f t="shared" si="374"/>
        <v>7744</v>
      </c>
      <c r="BW55" s="627">
        <f t="shared" ref="BW55:CA55" si="375">BW54+BW53</f>
        <v>2677</v>
      </c>
      <c r="BX55" s="627">
        <f t="shared" si="375"/>
        <v>3024</v>
      </c>
      <c r="BY55" s="627">
        <f t="shared" si="375"/>
        <v>3152</v>
      </c>
      <c r="BZ55" s="627">
        <f t="shared" si="375"/>
        <v>3560</v>
      </c>
      <c r="CA55" s="637">
        <f t="shared" si="375"/>
        <v>12413</v>
      </c>
      <c r="CB55" s="627">
        <f t="shared" ref="CB55:CF55" si="376">CB54+CB53</f>
        <v>3376</v>
      </c>
      <c r="CC55" s="627">
        <f t="shared" si="376"/>
        <v>3217</v>
      </c>
      <c r="CD55" s="627">
        <f t="shared" si="376"/>
        <v>2750</v>
      </c>
      <c r="CE55" s="627">
        <f t="shared" si="376"/>
        <v>4758</v>
      </c>
      <c r="CF55" s="637">
        <f t="shared" si="376"/>
        <v>14101</v>
      </c>
      <c r="CG55" s="627">
        <f t="shared" ref="CG55:CK55" si="377">CG54+CG53</f>
        <v>2871</v>
      </c>
      <c r="CH55" s="627">
        <f t="shared" si="377"/>
        <v>-2834</v>
      </c>
      <c r="CI55" s="627">
        <f t="shared" si="377"/>
        <v>1835</v>
      </c>
      <c r="CJ55" s="627">
        <f t="shared" si="377"/>
        <v>-1576</v>
      </c>
      <c r="CK55" s="637">
        <f t="shared" si="377"/>
        <v>296</v>
      </c>
      <c r="CL55" s="627">
        <f t="shared" ref="CL55:CP55" si="378">CL54+CL53</f>
        <v>-797</v>
      </c>
      <c r="CM55" s="627">
        <f t="shared" si="378"/>
        <v>-2417</v>
      </c>
      <c r="CN55" s="627">
        <f t="shared" si="378"/>
        <v>164</v>
      </c>
      <c r="CO55" s="627">
        <f t="shared" si="378"/>
        <v>-7471</v>
      </c>
      <c r="CP55" s="637">
        <f t="shared" si="378"/>
        <v>-10521</v>
      </c>
      <c r="CQ55" s="627">
        <f t="shared" ref="CQ55:CV55" si="379">CQ54+CQ53</f>
        <v>453</v>
      </c>
      <c r="CR55" s="627">
        <f t="shared" si="379"/>
        <v>1574</v>
      </c>
      <c r="CS55" s="627">
        <f t="shared" si="379"/>
        <v>852</v>
      </c>
      <c r="CT55" s="627">
        <f t="shared" si="379"/>
        <v>-3637</v>
      </c>
      <c r="CU55" s="637">
        <f t="shared" si="379"/>
        <v>-758</v>
      </c>
      <c r="CV55" s="627">
        <f t="shared" si="379"/>
        <v>-683</v>
      </c>
      <c r="CW55" s="627">
        <f t="shared" ref="CW55:CZ55" si="380">CW54+CW53</f>
        <v>1272</v>
      </c>
      <c r="CX55" s="627">
        <f t="shared" si="380"/>
        <v>-2306</v>
      </c>
      <c r="CY55" s="627">
        <f t="shared" si="380"/>
        <v>149</v>
      </c>
      <c r="CZ55" s="637">
        <f t="shared" si="380"/>
        <v>-1568</v>
      </c>
      <c r="DA55" s="627">
        <f t="shared" ref="DA55:DD55" si="381">DA54+DA53</f>
        <v>308</v>
      </c>
      <c r="DB55" s="627">
        <f t="shared" si="381"/>
        <v>357</v>
      </c>
      <c r="DC55" s="627">
        <f t="shared" si="381"/>
        <v>-341</v>
      </c>
      <c r="DD55" s="627">
        <f t="shared" si="381"/>
        <v>764</v>
      </c>
      <c r="DE55" s="637">
        <f t="shared" ref="DE55:DI55" si="382">DE54+DE53</f>
        <v>1088</v>
      </c>
      <c r="DF55" s="627">
        <f t="shared" si="382"/>
        <v>356</v>
      </c>
      <c r="DG55" s="627">
        <f t="shared" si="382"/>
        <v>-649</v>
      </c>
      <c r="DH55" s="627">
        <f t="shared" si="382"/>
        <v>-5317</v>
      </c>
      <c r="DI55" s="627">
        <f t="shared" si="382"/>
        <v>-3261</v>
      </c>
      <c r="DJ55" s="637">
        <f t="shared" ref="DJ55:DN55" si="383">DJ54+DJ53</f>
        <v>-8871</v>
      </c>
      <c r="DK55" s="627">
        <f t="shared" si="383"/>
        <v>927</v>
      </c>
      <c r="DL55" s="627">
        <f t="shared" si="383"/>
        <v>284</v>
      </c>
      <c r="DM55" s="627">
        <f t="shared" si="383"/>
        <v>-4290</v>
      </c>
      <c r="DN55" s="627">
        <f t="shared" si="383"/>
        <v>9313</v>
      </c>
      <c r="DO55" s="637">
        <f t="shared" ref="DO55:DS55" si="384">DO54+DO53</f>
        <v>6234</v>
      </c>
      <c r="DP55" s="627">
        <f t="shared" si="384"/>
        <v>1021</v>
      </c>
      <c r="DQ55" s="627">
        <f t="shared" si="384"/>
        <v>752</v>
      </c>
      <c r="DR55" s="627">
        <f t="shared" si="384"/>
        <v>1140.6404332949965</v>
      </c>
      <c r="DS55" s="627">
        <f t="shared" si="384"/>
        <v>1607.3592600364091</v>
      </c>
      <c r="DT55" s="637">
        <f t="shared" ref="DT55:DX55" si="385">DT54+DT53</f>
        <v>4520.9996933314051</v>
      </c>
      <c r="DU55" s="627">
        <f t="shared" si="385"/>
        <v>1208.338305962953</v>
      </c>
      <c r="DV55" s="627">
        <f t="shared" si="385"/>
        <v>1895.6993839569343</v>
      </c>
      <c r="DW55" s="627">
        <f t="shared" si="385"/>
        <v>2438.3720660848694</v>
      </c>
      <c r="DX55" s="627">
        <f t="shared" si="385"/>
        <v>2895.1010469523317</v>
      </c>
      <c r="DY55" s="637">
        <f t="shared" ref="DY55" si="386">DY54+DY53</f>
        <v>8437.5108029570874</v>
      </c>
      <c r="DZ55" s="637">
        <f t="shared" ref="DZ55" si="387">DZ54+DZ53</f>
        <v>12445.419007654633</v>
      </c>
      <c r="EA55" s="637">
        <f t="shared" ref="EA55:EB55" si="388">EA54+EA53</f>
        <v>16691.802829262429</v>
      </c>
      <c r="EB55" s="637">
        <f t="shared" si="388"/>
        <v>21212.240652867633</v>
      </c>
    </row>
    <row r="56" spans="1:132" s="68" customFormat="1" ht="12" customHeight="1">
      <c r="B56" s="153"/>
      <c r="C56" s="120"/>
      <c r="D56" s="120"/>
      <c r="E56" s="120"/>
      <c r="F56" s="120"/>
      <c r="G56" s="120"/>
      <c r="H56" s="120"/>
      <c r="I56" s="120"/>
      <c r="J56" s="121"/>
      <c r="K56" s="121"/>
      <c r="L56" s="121"/>
      <c r="M56" s="121"/>
      <c r="N56" s="120"/>
      <c r="O56" s="121"/>
      <c r="P56" s="121"/>
      <c r="Q56" s="121"/>
      <c r="R56" s="121"/>
      <c r="S56" s="120"/>
      <c r="T56" s="121"/>
      <c r="U56" s="121"/>
      <c r="V56" s="121"/>
      <c r="W56" s="121"/>
      <c r="X56" s="120"/>
      <c r="Y56" s="121"/>
      <c r="Z56" s="121"/>
      <c r="AA56" s="121"/>
      <c r="AB56" s="121"/>
      <c r="AC56" s="120"/>
      <c r="AD56" s="121"/>
      <c r="AE56" s="121"/>
      <c r="AF56" s="121"/>
      <c r="AG56" s="121"/>
      <c r="AH56" s="120"/>
      <c r="AI56" s="121"/>
      <c r="AJ56" s="121"/>
      <c r="AK56" s="121"/>
      <c r="AL56" s="121"/>
      <c r="AM56" s="120"/>
      <c r="AN56" s="121"/>
      <c r="AO56" s="121"/>
      <c r="AP56" s="121"/>
      <c r="AQ56" s="121"/>
      <c r="AR56" s="120"/>
      <c r="AS56" s="121"/>
      <c r="AT56" s="121"/>
      <c r="AU56" s="121"/>
      <c r="AV56" s="121"/>
      <c r="AW56" s="120"/>
      <c r="AX56" s="121"/>
      <c r="AY56" s="121"/>
      <c r="AZ56" s="121"/>
      <c r="BA56" s="121"/>
      <c r="BB56" s="120"/>
      <c r="BC56" s="121"/>
      <c r="BD56" s="121"/>
      <c r="BE56" s="121"/>
      <c r="BF56" s="121"/>
      <c r="BG56" s="120"/>
      <c r="BH56" s="121"/>
      <c r="BI56" s="121"/>
      <c r="BJ56" s="121"/>
      <c r="BK56" s="121"/>
      <c r="BL56" s="120"/>
      <c r="BM56" s="121"/>
      <c r="BN56" s="121"/>
      <c r="BO56" s="121"/>
      <c r="BP56" s="121"/>
      <c r="BQ56" s="120"/>
      <c r="BR56" s="121"/>
      <c r="BS56" s="121"/>
      <c r="BT56" s="121"/>
      <c r="BU56" s="121"/>
      <c r="BV56" s="120"/>
      <c r="BW56" s="121"/>
      <c r="BX56" s="121"/>
      <c r="BY56" s="121"/>
      <c r="BZ56" s="121"/>
      <c r="CA56" s="120"/>
      <c r="CB56" s="121"/>
      <c r="CC56" s="121"/>
      <c r="CD56" s="121"/>
      <c r="CE56" s="121"/>
      <c r="CF56" s="120"/>
      <c r="CG56" s="121"/>
      <c r="CH56" s="121"/>
      <c r="CI56" s="121"/>
      <c r="CJ56" s="121"/>
      <c r="CK56" s="120"/>
      <c r="CL56" s="121"/>
      <c r="CM56" s="121"/>
      <c r="CN56" s="121"/>
      <c r="CO56" s="121"/>
      <c r="CP56" s="120"/>
      <c r="CQ56" s="121"/>
      <c r="CR56" s="121"/>
      <c r="CS56" s="121"/>
      <c r="CT56" s="121"/>
      <c r="CU56" s="120"/>
      <c r="CV56" s="121"/>
      <c r="CW56" s="121"/>
      <c r="CX56" s="121"/>
      <c r="CY56" s="121"/>
      <c r="CZ56" s="120"/>
      <c r="DA56" s="121"/>
      <c r="DB56" s="121"/>
      <c r="DC56" s="121"/>
      <c r="DD56" s="121"/>
      <c r="DE56" s="120"/>
      <c r="DF56" s="121"/>
      <c r="DG56" s="121"/>
      <c r="DH56" s="121"/>
      <c r="DI56" s="121"/>
      <c r="DJ56" s="120"/>
      <c r="DK56" s="121"/>
      <c r="DL56" s="121"/>
      <c r="DM56" s="121"/>
      <c r="DN56" s="121"/>
      <c r="DO56" s="120"/>
      <c r="DP56" s="121"/>
      <c r="DQ56" s="121"/>
      <c r="DR56" s="121"/>
      <c r="DS56" s="121"/>
      <c r="DT56" s="120"/>
      <c r="DU56" s="121"/>
      <c r="DV56" s="121"/>
      <c r="DW56" s="121"/>
      <c r="DX56" s="121"/>
      <c r="DY56" s="120"/>
      <c r="DZ56" s="120"/>
      <c r="EA56" s="120"/>
      <c r="EB56" s="120"/>
    </row>
    <row r="57" spans="1:132" s="68" customFormat="1" ht="12" customHeight="1">
      <c r="B57" s="154" t="s">
        <v>219</v>
      </c>
      <c r="C57" s="120"/>
      <c r="D57" s="120"/>
      <c r="E57" s="120"/>
      <c r="F57" s="120"/>
      <c r="G57" s="120"/>
      <c r="H57" s="120"/>
      <c r="I57" s="120"/>
      <c r="J57" s="121"/>
      <c r="K57" s="121"/>
      <c r="L57" s="121"/>
      <c r="M57" s="121"/>
      <c r="N57" s="120"/>
      <c r="O57" s="121"/>
      <c r="P57" s="121"/>
      <c r="Q57" s="121"/>
      <c r="R57" s="121"/>
      <c r="S57" s="120"/>
      <c r="T57" s="121"/>
      <c r="U57" s="121"/>
      <c r="V57" s="121"/>
      <c r="W57" s="121"/>
      <c r="X57" s="120"/>
      <c r="Y57" s="121"/>
      <c r="Z57" s="121"/>
      <c r="AA57" s="121"/>
      <c r="AB57" s="121"/>
      <c r="AC57" s="120"/>
      <c r="AD57" s="121"/>
      <c r="AE57" s="121"/>
      <c r="AF57" s="121"/>
      <c r="AG57" s="121"/>
      <c r="AH57" s="120"/>
      <c r="AI57" s="121"/>
      <c r="AJ57" s="121"/>
      <c r="AK57" s="121"/>
      <c r="AL57" s="121"/>
      <c r="AM57" s="120"/>
      <c r="AN57" s="121"/>
      <c r="AO57" s="121"/>
      <c r="AP57" s="121"/>
      <c r="AQ57" s="121"/>
      <c r="AR57" s="120"/>
      <c r="AS57" s="121"/>
      <c r="AT57" s="121"/>
      <c r="AU57" s="121"/>
      <c r="AV57" s="121"/>
      <c r="AW57" s="120"/>
      <c r="AX57" s="121"/>
      <c r="AY57" s="121"/>
      <c r="AZ57" s="121"/>
      <c r="BA57" s="121"/>
      <c r="BB57" s="120"/>
      <c r="BC57" s="121"/>
      <c r="BD57" s="121"/>
      <c r="BE57" s="121"/>
      <c r="BF57" s="121"/>
      <c r="BG57" s="120"/>
      <c r="BH57" s="121"/>
      <c r="BI57" s="121"/>
      <c r="BJ57" s="121"/>
      <c r="BK57" s="121"/>
      <c r="BL57" s="120"/>
      <c r="BM57" s="121"/>
      <c r="BN57" s="121"/>
      <c r="BO57" s="121"/>
      <c r="BP57" s="121"/>
      <c r="BQ57" s="120"/>
      <c r="BR57" s="121"/>
      <c r="BS57" s="121"/>
      <c r="BT57" s="121"/>
      <c r="BU57" s="121"/>
      <c r="BV57" s="120"/>
      <c r="BW57" s="121"/>
      <c r="BX57" s="121"/>
      <c r="BY57" s="121"/>
      <c r="BZ57" s="121"/>
      <c r="CA57" s="120"/>
      <c r="CB57" s="121"/>
      <c r="CC57" s="121"/>
      <c r="CD57" s="121"/>
      <c r="CE57" s="121"/>
      <c r="CF57" s="120"/>
      <c r="CG57" s="121"/>
      <c r="CH57" s="121"/>
      <c r="CI57" s="121"/>
      <c r="CJ57" s="121"/>
      <c r="CK57" s="120"/>
      <c r="CL57" s="121"/>
      <c r="CM57" s="121"/>
      <c r="CN57" s="121"/>
      <c r="CO57" s="121"/>
      <c r="CP57" s="120"/>
      <c r="CQ57" s="121"/>
      <c r="CR57" s="121"/>
      <c r="CS57" s="121"/>
      <c r="CT57" s="121"/>
      <c r="CU57" s="120"/>
      <c r="CV57" s="121"/>
      <c r="CW57" s="121"/>
      <c r="CX57" s="121"/>
      <c r="CY57" s="121"/>
      <c r="CZ57" s="120"/>
      <c r="DA57" s="121"/>
      <c r="DB57" s="121"/>
      <c r="DC57" s="121"/>
      <c r="DD57" s="121"/>
      <c r="DE57" s="120"/>
      <c r="DF57" s="121"/>
      <c r="DG57" s="121"/>
      <c r="DH57" s="121"/>
      <c r="DI57" s="121"/>
      <c r="DJ57" s="120"/>
      <c r="DK57" s="121"/>
      <c r="DL57" s="121"/>
      <c r="DM57" s="121"/>
      <c r="DN57" s="121"/>
      <c r="DO57" s="120"/>
      <c r="DP57" s="121"/>
      <c r="DQ57" s="121"/>
      <c r="DR57" s="121"/>
      <c r="DS57" s="121"/>
      <c r="DT57" s="120"/>
      <c r="DU57" s="121"/>
      <c r="DV57" s="121"/>
      <c r="DW57" s="121"/>
      <c r="DX57" s="121"/>
      <c r="DY57" s="120"/>
      <c r="DZ57" s="120"/>
      <c r="EA57" s="120"/>
      <c r="EB57" s="120"/>
    </row>
    <row r="58" spans="1:132" s="68" customFormat="1" ht="12" customHeight="1">
      <c r="B58" s="153" t="s">
        <v>220</v>
      </c>
      <c r="C58" s="136">
        <f>IF(ISERROR((C8+C12)/C8),"",(C8+C12)/C8)</f>
        <v>0.11257641921397379</v>
      </c>
      <c r="D58" s="136">
        <f t="shared" ref="D58:BL58" si="389">IF(ISERROR((D8+D12)/D8),"",(D8+D12)/D8)</f>
        <v>9.9868219539124545E-2</v>
      </c>
      <c r="E58" s="136">
        <f t="shared" si="389"/>
        <v>0.1150656113668891</v>
      </c>
      <c r="F58" s="136">
        <f t="shared" si="389"/>
        <v>0.14826289433175502</v>
      </c>
      <c r="G58" s="136">
        <f t="shared" si="389"/>
        <v>0.16186123234475411</v>
      </c>
      <c r="H58" s="136">
        <f t="shared" si="389"/>
        <v>0.15850117442527142</v>
      </c>
      <c r="I58" s="136">
        <f t="shared" si="389"/>
        <v>0.12243240566504902</v>
      </c>
      <c r="J58" s="137">
        <f t="shared" si="389"/>
        <v>0.16421020140442935</v>
      </c>
      <c r="K58" s="137">
        <f t="shared" si="389"/>
        <v>0.16228606356968214</v>
      </c>
      <c r="L58" s="137">
        <f t="shared" si="389"/>
        <v>0.14438868613138686</v>
      </c>
      <c r="M58" s="137">
        <f t="shared" si="389"/>
        <v>9.6620908130939806E-2</v>
      </c>
      <c r="N58" s="136">
        <f t="shared" si="389"/>
        <v>0.14167794574603962</v>
      </c>
      <c r="O58" s="137">
        <f t="shared" si="389"/>
        <v>0.1700931700931701</v>
      </c>
      <c r="P58" s="137">
        <f t="shared" si="389"/>
        <v>0.16948363055629492</v>
      </c>
      <c r="Q58" s="137">
        <f t="shared" si="389"/>
        <v>0.14640905851611372</v>
      </c>
      <c r="R58" s="137">
        <f t="shared" si="389"/>
        <v>0.14308851489331736</v>
      </c>
      <c r="S58" s="136">
        <f t="shared" si="389"/>
        <v>0.15748017139210502</v>
      </c>
      <c r="T58" s="137">
        <f t="shared" si="389"/>
        <v>0.19419517666853617</v>
      </c>
      <c r="U58" s="137">
        <f t="shared" si="389"/>
        <v>0.15914853863606032</v>
      </c>
      <c r="V58" s="137">
        <f t="shared" si="389"/>
        <v>0.19322884863287876</v>
      </c>
      <c r="W58" s="137">
        <f t="shared" si="389"/>
        <v>0.17615871387036086</v>
      </c>
      <c r="X58" s="136">
        <f t="shared" si="389"/>
        <v>0.18028603933040793</v>
      </c>
      <c r="Y58" s="137">
        <f t="shared" si="389"/>
        <v>0.20169215750081354</v>
      </c>
      <c r="Z58" s="137">
        <f t="shared" si="389"/>
        <v>0.20078693915903217</v>
      </c>
      <c r="AA58" s="137">
        <f t="shared" si="389"/>
        <v>0.20039958830296059</v>
      </c>
      <c r="AB58" s="137">
        <f t="shared" si="389"/>
        <v>0.18063740916633289</v>
      </c>
      <c r="AC58" s="136">
        <f t="shared" si="389"/>
        <v>0.1955955232199075</v>
      </c>
      <c r="AD58" s="137">
        <f t="shared" si="389"/>
        <v>0.21169480925578488</v>
      </c>
      <c r="AE58" s="137">
        <f t="shared" si="389"/>
        <v>0.17804504185827144</v>
      </c>
      <c r="AF58" s="137">
        <f t="shared" si="389"/>
        <v>0.17995161184855815</v>
      </c>
      <c r="AG58" s="137">
        <f t="shared" si="389"/>
        <v>0.11054958938723942</v>
      </c>
      <c r="AH58" s="136">
        <f t="shared" si="389"/>
        <v>0.17332413928976012</v>
      </c>
      <c r="AI58" s="137">
        <f t="shared" si="389"/>
        <v>0.16707065810204824</v>
      </c>
      <c r="AJ58" s="137">
        <f t="shared" si="389"/>
        <v>0.19511484201935408</v>
      </c>
      <c r="AK58" s="137">
        <f t="shared" si="389"/>
        <v>0.13231064237775647</v>
      </c>
      <c r="AL58" s="137">
        <f>IF(ISERROR((AL8+AL12)/AL8),"",(AL8+AL12)/AL8)</f>
        <v>0.19116909182137481</v>
      </c>
      <c r="AM58" s="136">
        <f t="shared" si="389"/>
        <v>0.1719512016519969</v>
      </c>
      <c r="AN58" s="137">
        <f t="shared" ref="AN58:AS58" si="390">IF(ISERROR((AN8+AN12)/AN8),"",(AN8+AN12)/AN8)</f>
        <v>0.20189274447949526</v>
      </c>
      <c r="AO58" s="137">
        <f t="shared" si="390"/>
        <v>0.19476016181853206</v>
      </c>
      <c r="AP58" s="137">
        <f t="shared" si="390"/>
        <v>0.18983909942830199</v>
      </c>
      <c r="AQ58" s="137">
        <f t="shared" si="390"/>
        <v>0.18954682779456195</v>
      </c>
      <c r="AR58" s="136">
        <f t="shared" si="390"/>
        <v>0.19380773178241534</v>
      </c>
      <c r="AS58" s="137">
        <f t="shared" si="390"/>
        <v>0.19188464118041582</v>
      </c>
      <c r="AT58" s="137">
        <f>IF(ISERROR((AT8+AT12)/AT8),"",(AT8+AT12)/AT8)</f>
        <v>0.20207942936589493</v>
      </c>
      <c r="AU58" s="137">
        <f t="shared" si="389"/>
        <v>0.19010548880239184</v>
      </c>
      <c r="AV58" s="137">
        <f t="shared" si="389"/>
        <v>0.16844796727179751</v>
      </c>
      <c r="AW58" s="136">
        <f t="shared" si="389"/>
        <v>0.18721175529206371</v>
      </c>
      <c r="AX58" s="137">
        <f t="shared" ref="AX58:BB58" si="391">IF(ISERROR((AX8+AX12)/AX8),"",(AX8+AX12)/AX8)</f>
        <v>0.17097456534076252</v>
      </c>
      <c r="AY58" s="137">
        <f t="shared" si="391"/>
        <v>0.16320919770057485</v>
      </c>
      <c r="AZ58" s="137">
        <f t="shared" si="391"/>
        <v>0.16063574570171932</v>
      </c>
      <c r="BA58" s="137">
        <f t="shared" si="391"/>
        <v>0.14622006994888351</v>
      </c>
      <c r="BB58" s="136">
        <f t="shared" si="391"/>
        <v>0.15978359323361649</v>
      </c>
      <c r="BC58" s="137">
        <f>IF(ISERROR((BC8+BC12)/BC8),"",(BC8+BC12)/BC8)</f>
        <v>0.16604033239824273</v>
      </c>
      <c r="BD58" s="137">
        <f>IF(ISERROR((BD8+BD12)/BD8),"",(BD8+BD12)/BD8)</f>
        <v>0.15425166170066468</v>
      </c>
      <c r="BE58" s="137">
        <f>IF(ISERROR((BE8+BE12)/BE8),"",(BE8+BE12)/BE8)</f>
        <v>0.15616809760506101</v>
      </c>
      <c r="BF58" s="137">
        <f>IF(ISERROR((BF8+BF12)/BF8),"",(BF8+BF12)/BF8)</f>
        <v>0.14283552094982641</v>
      </c>
      <c r="BG58" s="136">
        <f t="shared" si="389"/>
        <v>0.15417773950225916</v>
      </c>
      <c r="BH58" s="137">
        <f t="shared" si="389"/>
        <v>0.15484974346445149</v>
      </c>
      <c r="BI58" s="137">
        <f>IF(ISERROR((BI8+BI12)/BI8),"",(BI8+BI12)/BI8)</f>
        <v>0.15309594012247676</v>
      </c>
      <c r="BJ58" s="137">
        <f t="shared" si="389"/>
        <v>0.15594517322569795</v>
      </c>
      <c r="BK58" s="137">
        <f t="shared" si="389"/>
        <v>0.15354749059996731</v>
      </c>
      <c r="BL58" s="136">
        <f t="shared" si="389"/>
        <v>0.15435975408210484</v>
      </c>
      <c r="BM58" s="137">
        <f t="shared" ref="BM58:BQ58" si="392">IF(ISERROR((BM8+BM12)/BM8),"",(BM8+BM12)/BM8)</f>
        <v>0.16492843920718769</v>
      </c>
      <c r="BN58" s="137">
        <f t="shared" ref="BN58" si="393">IF(ISERROR((BN8+BN12)/BN8),"",(BN8+BN12)/BN8)</f>
        <v>0.13009819500468564</v>
      </c>
      <c r="BO58" s="137">
        <f t="shared" si="392"/>
        <v>0.16437773221401214</v>
      </c>
      <c r="BP58" s="137">
        <f t="shared" si="392"/>
        <v>0.12433716540109448</v>
      </c>
      <c r="BQ58" s="136">
        <f t="shared" si="392"/>
        <v>0.1459308737540837</v>
      </c>
      <c r="BR58" s="137">
        <f t="shared" ref="BR58" si="394">IF(ISERROR((BR8+BR12)/BR8),"",(BR8+BR12)/BR8)</f>
        <v>0.15619476846942382</v>
      </c>
      <c r="BS58" s="137">
        <f t="shared" ref="BS58:CE58" si="395">IF(ISERROR((BS8+BS12)/BS8),"",(BS8+BS12)/BS8)</f>
        <v>9.8161987477277321E-2</v>
      </c>
      <c r="BT58" s="137">
        <f t="shared" si="395"/>
        <v>0.16712695623064691</v>
      </c>
      <c r="BU58" s="137">
        <f t="shared" si="395"/>
        <v>0.16413295542385983</v>
      </c>
      <c r="BV58" s="136">
        <f t="shared" si="395"/>
        <v>0.14572120417464127</v>
      </c>
      <c r="BW58" s="137">
        <f t="shared" si="395"/>
        <v>0.1770411183461591</v>
      </c>
      <c r="BX58" s="137">
        <f t="shared" ref="BX58" si="396">IF(ISERROR((BX8+BX12)/BX8),"",(BX8+BX12)/BX8)</f>
        <v>0.18866860439894148</v>
      </c>
      <c r="BY58" s="137">
        <f t="shared" si="395"/>
        <v>0.17615489410890475</v>
      </c>
      <c r="BZ58" s="137">
        <f t="shared" si="395"/>
        <v>0.19737585789261203</v>
      </c>
      <c r="CA58" s="136">
        <f t="shared" si="395"/>
        <v>0.18502207329397372</v>
      </c>
      <c r="CB58" s="137">
        <f t="shared" si="395"/>
        <v>0.19493627576768455</v>
      </c>
      <c r="CC58" s="137">
        <f t="shared" si="395"/>
        <v>0.19465743259955479</v>
      </c>
      <c r="CD58" s="137">
        <f t="shared" si="395"/>
        <v>0.16328640738089556</v>
      </c>
      <c r="CE58" s="137">
        <f t="shared" si="395"/>
        <v>0.22056384742951907</v>
      </c>
      <c r="CF58" s="136">
        <f t="shared" ref="CF58:CJ58" si="397">IF(ISERROR((CF8+CF12)/CF8),"",(CF8+CF12)/CF8)</f>
        <v>0.19418157366479774</v>
      </c>
      <c r="CG58" s="137">
        <f t="shared" si="397"/>
        <v>0.18641183400968714</v>
      </c>
      <c r="CH58" s="137">
        <f t="shared" si="397"/>
        <v>-0.13072185892959176</v>
      </c>
      <c r="CI58" s="137">
        <f t="shared" si="397"/>
        <v>0.15265265265265265</v>
      </c>
      <c r="CJ58" s="137">
        <f t="shared" si="397"/>
        <v>-4.4497794651331586E-2</v>
      </c>
      <c r="CK58" s="136">
        <f t="shared" ref="CK58:CO58" si="398">IF(ISERROR((CK8+CK12)/CK8),"",(CK8+CK12)/CK8)</f>
        <v>5.833409527292676E-2</v>
      </c>
      <c r="CL58" s="137">
        <f t="shared" si="398"/>
        <v>8.2801040927371651E-3</v>
      </c>
      <c r="CM58" s="137">
        <f t="shared" si="398"/>
        <v>-9.917845345981198E-2</v>
      </c>
      <c r="CN58" s="137">
        <f t="shared" si="398"/>
        <v>7.3131055944550535E-2</v>
      </c>
      <c r="CO58" s="137">
        <f t="shared" si="398"/>
        <v>-0.37166753789858858</v>
      </c>
      <c r="CP58" s="136">
        <f t="shared" ref="CP58:CT58" si="399">IF(ISERROR((CP8+CP12)/CP8),"",(CP8+CP12)/CP8)</f>
        <v>-9.7750954296915299E-2</v>
      </c>
      <c r="CQ58" s="137">
        <f t="shared" si="399"/>
        <v>9.2593809555102852E-2</v>
      </c>
      <c r="CR58" s="137">
        <f t="shared" si="399"/>
        <v>0.1417813860454171</v>
      </c>
      <c r="CS58" s="137">
        <f t="shared" si="399"/>
        <v>0.11205655190469957</v>
      </c>
      <c r="CT58" s="137">
        <f t="shared" si="399"/>
        <v>-0.16994524437233827</v>
      </c>
      <c r="CU58" s="136">
        <f t="shared" ref="CU58:CV58" si="400">IF(ISERROR((CU8+CU12)/CU8),"",(CU8+CU12)/CU8)</f>
        <v>4.8437851202517417E-2</v>
      </c>
      <c r="CV58" s="137">
        <f t="shared" si="400"/>
        <v>2.4730183689514688E-2</v>
      </c>
      <c r="CW58" s="137">
        <f t="shared" ref="CW58:CZ58" si="401">IF(ISERROR((CW8+CW12)/CW8),"",(CW8+CW12)/CW8)</f>
        <v>0.12721059888495895</v>
      </c>
      <c r="CX58" s="137">
        <f t="shared" si="401"/>
        <v>-5.1516670844823267E-2</v>
      </c>
      <c r="CY58" s="137">
        <f t="shared" si="401"/>
        <v>9.2892892892892889E-2</v>
      </c>
      <c r="CZ58" s="136">
        <f t="shared" si="401"/>
        <v>5.2576267115061255E-2</v>
      </c>
      <c r="DA58" s="137">
        <f t="shared" ref="DA58:DD58" si="402">IF(ISERROR((DA8+DA12)/DA8),"",(DA8+DA12)/DA8)</f>
        <v>0.10730427989509514</v>
      </c>
      <c r="DB58" s="137">
        <f t="shared" si="402"/>
        <v>9.8172244443319331E-2</v>
      </c>
      <c r="DC58" s="137">
        <f t="shared" si="402"/>
        <v>6.4350419796730007E-2</v>
      </c>
      <c r="DD58" s="137">
        <f t="shared" si="402"/>
        <v>0.12249068943591607</v>
      </c>
      <c r="DE58" s="136">
        <f t="shared" ref="DE58:DF58" si="403">IF(ISERROR((DE8+DE12)/DE8),"",(DE8+DE12)/DE8)</f>
        <v>9.9287862817183839E-2</v>
      </c>
      <c r="DF58" s="137">
        <f t="shared" si="403"/>
        <v>0.11322348964934516</v>
      </c>
      <c r="DG58" s="137">
        <f t="shared" ref="DG58:DI58" si="404">IF(ISERROR((DG8+DG12)/DG8),"",(DG8+DG12)/DG8)</f>
        <v>7.2868492825803391E-2</v>
      </c>
      <c r="DH58" s="137">
        <f t="shared" si="404"/>
        <v>-0.19658071748878925</v>
      </c>
      <c r="DI58" s="137">
        <f t="shared" si="404"/>
        <v>-0.10425141057603989</v>
      </c>
      <c r="DJ58" s="136">
        <f t="shared" ref="DJ58:DN58" si="405">IF(ISERROR((DJ8+DJ12)/DJ8),"",(DJ8+DJ12)/DJ8)</f>
        <v>-2.9932197784025137E-2</v>
      </c>
      <c r="DK58" s="137">
        <f t="shared" si="405"/>
        <v>0.12397414854329093</v>
      </c>
      <c r="DL58" s="137">
        <f t="shared" si="405"/>
        <v>0.10703767198558178</v>
      </c>
      <c r="DM58" s="137">
        <f t="shared" si="405"/>
        <v>-0.1020627417275462</v>
      </c>
      <c r="DN58" s="137">
        <f t="shared" si="405"/>
        <v>7.5663938533489225E-2</v>
      </c>
      <c r="DO58" s="136">
        <f t="shared" ref="DO58:DS58" si="406">IF(ISERROR((DO8+DO12)/DO8),"",(DO8+DO12)/DO8)</f>
        <v>4.7941607144853182E-2</v>
      </c>
      <c r="DP58" s="137">
        <f t="shared" si="406"/>
        <v>0.11459693027861548</v>
      </c>
      <c r="DQ58" s="137">
        <f t="shared" si="406"/>
        <v>9.8289902280130292E-2</v>
      </c>
      <c r="DR58" s="137">
        <f t="shared" si="406"/>
        <v>0.10783844262210147</v>
      </c>
      <c r="DS58" s="137">
        <f t="shared" si="406"/>
        <v>0.12068847271109098</v>
      </c>
      <c r="DT58" s="136">
        <f t="shared" ref="DT58:DX58" si="407">IF(ISERROR((DT8+DT12)/DT8),"",(DT8+DT12)/DT8)</f>
        <v>0.11042107233689313</v>
      </c>
      <c r="DU58" s="137">
        <f t="shared" si="407"/>
        <v>0.10687865034792703</v>
      </c>
      <c r="DV58" s="137">
        <f t="shared" si="407"/>
        <v>0.13010605199770128</v>
      </c>
      <c r="DW58" s="137">
        <f t="shared" si="407"/>
        <v>0.14554057115874638</v>
      </c>
      <c r="DX58" s="137">
        <f t="shared" si="407"/>
        <v>0.15410467803108521</v>
      </c>
      <c r="DY58" s="136">
        <f t="shared" ref="DY58" si="408">IF(ISERROR((DY8+DY12)/DY8),"",(DY8+DY12)/DY8)</f>
        <v>0.13548826764301206</v>
      </c>
      <c r="DZ58" s="136">
        <f t="shared" ref="DZ58" si="409">IF(ISERROR((DZ8+DZ12)/DZ8),"",(DZ8+DZ12)/DZ8)</f>
        <v>0.16133065031775412</v>
      </c>
      <c r="EA58" s="136">
        <f t="shared" ref="EA58:EB58" si="410">IF(ISERROR((EA8+EA12)/EA8),"",(EA8+EA12)/EA8)</f>
        <v>0.18424389940244365</v>
      </c>
      <c r="EB58" s="136">
        <f t="shared" si="410"/>
        <v>0.20783922073347261</v>
      </c>
    </row>
    <row r="59" spans="1:132" s="241" customFormat="1" ht="12" customHeight="1">
      <c r="B59" s="153" t="s">
        <v>221</v>
      </c>
      <c r="C59" s="136">
        <f>-C16/C8</f>
        <v>4.2008733624454148E-2</v>
      </c>
      <c r="D59" s="136">
        <f t="shared" ref="D59:AM59" si="411">-D16/D8</f>
        <v>3.374648288634826E-2</v>
      </c>
      <c r="E59" s="136">
        <f t="shared" si="411"/>
        <v>2.3123480420050697E-2</v>
      </c>
      <c r="F59" s="136">
        <f t="shared" si="411"/>
        <v>2.8078174626371272E-2</v>
      </c>
      <c r="G59" s="136">
        <f t="shared" si="411"/>
        <v>3.3265747963847556E-2</v>
      </c>
      <c r="H59" s="136">
        <f t="shared" si="411"/>
        <v>3.0313118422756108E-2</v>
      </c>
      <c r="I59" s="136">
        <f t="shared" si="411"/>
        <v>3.270278300485293E-2</v>
      </c>
      <c r="J59" s="137">
        <f t="shared" si="411"/>
        <v>3.6576896365460299E-2</v>
      </c>
      <c r="K59" s="137">
        <f t="shared" si="411"/>
        <v>3.9883863080684596E-2</v>
      </c>
      <c r="L59" s="137">
        <f t="shared" si="411"/>
        <v>3.5659975669099758E-2</v>
      </c>
      <c r="M59" s="137">
        <f t="shared" si="411"/>
        <v>3.1226429325690148E-2</v>
      </c>
      <c r="N59" s="136">
        <f t="shared" si="411"/>
        <v>3.5819814324113082E-2</v>
      </c>
      <c r="O59" s="137">
        <f t="shared" si="411"/>
        <v>3.7884037884037887E-2</v>
      </c>
      <c r="P59" s="137">
        <f t="shared" si="411"/>
        <v>3.932659036465265E-2</v>
      </c>
      <c r="Q59" s="137">
        <f t="shared" si="411"/>
        <v>4.1254256077282447E-2</v>
      </c>
      <c r="R59" s="137">
        <f t="shared" si="411"/>
        <v>4.2320963312442783E-2</v>
      </c>
      <c r="S59" s="136">
        <f t="shared" si="411"/>
        <v>4.0204211869814932E-2</v>
      </c>
      <c r="T59" s="137">
        <f t="shared" si="411"/>
        <v>5.243970835670219E-2</v>
      </c>
      <c r="U59" s="137">
        <f t="shared" si="411"/>
        <v>4.9312691845722671E-2</v>
      </c>
      <c r="V59" s="137">
        <f t="shared" si="411"/>
        <v>5.6516724336793542E-2</v>
      </c>
      <c r="W59" s="137">
        <f t="shared" si="411"/>
        <v>5.341770708625506E-2</v>
      </c>
      <c r="X59" s="136">
        <f t="shared" si="411"/>
        <v>5.2933528360149522E-2</v>
      </c>
      <c r="Y59" s="137">
        <f t="shared" si="411"/>
        <v>6.5017897819720144E-2</v>
      </c>
      <c r="Z59" s="137">
        <f t="shared" si="411"/>
        <v>5.808080808080808E-2</v>
      </c>
      <c r="AA59" s="137">
        <f t="shared" si="411"/>
        <v>5.2612459889810496E-2</v>
      </c>
      <c r="AB59" s="137">
        <f t="shared" si="411"/>
        <v>5.6817531612977056E-2</v>
      </c>
      <c r="AC59" s="136">
        <f t="shared" si="411"/>
        <v>5.7993281817223248E-2</v>
      </c>
      <c r="AD59" s="137">
        <f t="shared" si="411"/>
        <v>5.4346466541588492E-2</v>
      </c>
      <c r="AE59" s="137">
        <f t="shared" si="411"/>
        <v>5.9250088432967814E-2</v>
      </c>
      <c r="AF59" s="137">
        <f t="shared" si="411"/>
        <v>6.1269862028378995E-2</v>
      </c>
      <c r="AG59" s="137">
        <f t="shared" si="411"/>
        <v>7.556854074542009E-2</v>
      </c>
      <c r="AH59" s="136">
        <f t="shared" si="411"/>
        <v>6.1862778899669998E-2</v>
      </c>
      <c r="AI59" s="137">
        <f t="shared" si="411"/>
        <v>5.8780753848018424E-2</v>
      </c>
      <c r="AJ59" s="137">
        <f t="shared" si="411"/>
        <v>5.5963623644630991E-2</v>
      </c>
      <c r="AK59" s="137">
        <f t="shared" si="411"/>
        <v>0.21416586768935761</v>
      </c>
      <c r="AL59" s="137">
        <f>-AL16/AL8</f>
        <v>5.5862184311757816E-2</v>
      </c>
      <c r="AM59" s="136">
        <f t="shared" si="411"/>
        <v>9.5282728723949564E-2</v>
      </c>
      <c r="AN59" s="137">
        <f t="shared" ref="AN59:AS59" si="412">-AN16/AN8</f>
        <v>6.5720294426919026E-2</v>
      </c>
      <c r="AO59" s="137">
        <f t="shared" si="412"/>
        <v>6.427791690746805E-2</v>
      </c>
      <c r="AP59" s="137">
        <f t="shared" si="412"/>
        <v>5.8112807214003658E-2</v>
      </c>
      <c r="AQ59" s="137">
        <f t="shared" si="412"/>
        <v>6.8519637462235647E-2</v>
      </c>
      <c r="AR59" s="136">
        <f t="shared" si="412"/>
        <v>6.4084222312070407E-2</v>
      </c>
      <c r="AS59" s="137">
        <f t="shared" si="412"/>
        <v>7.0892018779342716E-2</v>
      </c>
      <c r="AT59" s="137">
        <f t="shared" ref="AT59:BC59" si="413">-AT16/AT8</f>
        <v>6.3289608898023333E-2</v>
      </c>
      <c r="AU59" s="137">
        <f t="shared" si="413"/>
        <v>5.0826422970609804E-2</v>
      </c>
      <c r="AV59" s="137">
        <f t="shared" si="413"/>
        <v>4.6688826387113268E-2</v>
      </c>
      <c r="AW59" s="136">
        <f t="shared" si="413"/>
        <v>5.7001527606023131E-2</v>
      </c>
      <c r="AX59" s="137">
        <f t="shared" si="413"/>
        <v>4.3078986740958572E-2</v>
      </c>
      <c r="AY59" s="137">
        <f t="shared" si="413"/>
        <v>4.2839290177455636E-2</v>
      </c>
      <c r="AZ59" s="137">
        <f t="shared" si="413"/>
        <v>4.2652938824470209E-2</v>
      </c>
      <c r="BA59" s="137">
        <f t="shared" si="413"/>
        <v>3.3763788001076135E-2</v>
      </c>
      <c r="BB59" s="136">
        <f t="shared" si="413"/>
        <v>4.0373081348380621E-2</v>
      </c>
      <c r="BC59" s="137">
        <f t="shared" si="413"/>
        <v>3.731540782300323E-2</v>
      </c>
      <c r="BD59" s="137">
        <f t="shared" ref="BD59:BE59" si="414">-BD16/BD8</f>
        <v>3.4975933990373596E-2</v>
      </c>
      <c r="BE59" s="137">
        <f t="shared" si="414"/>
        <v>3.4116583822864886E-2</v>
      </c>
      <c r="BF59" s="137">
        <f t="shared" ref="BF59" si="415">-BF16/BF8</f>
        <v>3.5652122730750795E-2</v>
      </c>
      <c r="BG59" s="136">
        <f>-BG16/BG8</f>
        <v>3.5452314270739776E-2</v>
      </c>
      <c r="BH59" s="137">
        <f t="shared" ref="BH59:BJ59" si="416">-BH16/BH8</f>
        <v>3.9530906425604688E-2</v>
      </c>
      <c r="BI59" s="137">
        <f t="shared" si="416"/>
        <v>3.3250170106600134E-2</v>
      </c>
      <c r="BJ59" s="137">
        <f t="shared" si="416"/>
        <v>3.1533804238143288E-2</v>
      </c>
      <c r="BK59" s="137">
        <f t="shared" ref="BK59:BM59" si="417">-BK16/BK8</f>
        <v>3.0856629066535884E-2</v>
      </c>
      <c r="BL59" s="136">
        <f>-BL16/BL8</f>
        <v>3.3571318393160132E-2</v>
      </c>
      <c r="BM59" s="137">
        <f t="shared" si="417"/>
        <v>3.4719400424398396E-2</v>
      </c>
      <c r="BN59" s="137">
        <f t="shared" ref="BN59:BO59" si="418">-BN16/BN8</f>
        <v>3.2595852177810372E-2</v>
      </c>
      <c r="BO59" s="137">
        <f t="shared" si="418"/>
        <v>3.3154087198731093E-2</v>
      </c>
      <c r="BP59" s="137">
        <f t="shared" ref="BP59" si="419">-BP16/BP8</f>
        <v>3.8391379968608155E-2</v>
      </c>
      <c r="BQ59" s="136">
        <f>-BQ16/BQ8</f>
        <v>3.4656761762074204E-2</v>
      </c>
      <c r="BR59" s="137">
        <f t="shared" ref="BR59:BS59" si="420">-BR16/BR8</f>
        <v>4.0517850830682219E-2</v>
      </c>
      <c r="BS59" s="137">
        <f t="shared" si="420"/>
        <v>8.5922035952332859E-2</v>
      </c>
      <c r="BT59" s="137">
        <f t="shared" ref="BT59" si="421">-BT16/BT8</f>
        <v>3.5860741484643063E-2</v>
      </c>
      <c r="BU59" s="137">
        <f t="shared" ref="BU59:BW59" si="422">-BU16/BU8</f>
        <v>3.117753156402989E-2</v>
      </c>
      <c r="BV59" s="136">
        <f>-BV16/BV8</f>
        <v>4.8926203593067645E-2</v>
      </c>
      <c r="BW59" s="137">
        <f t="shared" si="422"/>
        <v>3.8067483265789355E-2</v>
      </c>
      <c r="BX59" s="137">
        <f t="shared" ref="BX59:BY59" si="423">-BX16/BX8</f>
        <v>3.5269619539282461E-2</v>
      </c>
      <c r="BY59" s="137">
        <f t="shared" si="423"/>
        <v>3.170540395491888E-2</v>
      </c>
      <c r="BZ59" s="137">
        <f t="shared" ref="BZ59:CB59" si="424">-BZ16/BZ8</f>
        <v>3.0763019781994347E-2</v>
      </c>
      <c r="CA59" s="136">
        <f>-CA16/CA8</f>
        <v>3.3817350140949949E-2</v>
      </c>
      <c r="CB59" s="137">
        <f t="shared" si="424"/>
        <v>3.2674707039603117E-2</v>
      </c>
      <c r="CC59" s="137">
        <f t="shared" ref="CC59:CD59" si="425">-CC16/CC8</f>
        <v>3.4091845988952096E-2</v>
      </c>
      <c r="CD59" s="137">
        <f t="shared" si="425"/>
        <v>3.2848166706434423E-2</v>
      </c>
      <c r="CE59" s="137">
        <f t="shared" ref="CE59" si="426">-CE16/CE8</f>
        <v>3.0062453689001799E-2</v>
      </c>
      <c r="CF59" s="136">
        <f>-CF16/CF8</f>
        <v>3.2325689479565302E-2</v>
      </c>
      <c r="CG59" s="137">
        <f t="shared" ref="CG59:CI59" si="427">-CG16/CG8</f>
        <v>3.7788541257581708E-2</v>
      </c>
      <c r="CH59" s="137">
        <f t="shared" si="427"/>
        <v>5.2441114849850805E-2</v>
      </c>
      <c r="CI59" s="137">
        <f t="shared" si="427"/>
        <v>3.893893893893894E-2</v>
      </c>
      <c r="CJ59" s="137">
        <f t="shared" ref="CJ59:CL59" si="428">-CJ16/CJ8</f>
        <v>4.1817877282117132E-2</v>
      </c>
      <c r="CK59" s="136">
        <f>-CK16/CK8</f>
        <v>4.204600373568098E-2</v>
      </c>
      <c r="CL59" s="137">
        <f t="shared" si="428"/>
        <v>3.9744499645138397E-2</v>
      </c>
      <c r="CM59" s="137">
        <f t="shared" ref="CM59:CN59" si="429">-CM16/CM8</f>
        <v>5.2934699754382995E-2</v>
      </c>
      <c r="CN59" s="137">
        <f t="shared" si="429"/>
        <v>4.0596930475988398E-2</v>
      </c>
      <c r="CO59" s="137">
        <f t="shared" ref="CO59" si="430">-CO16/CO8</f>
        <v>3.9532148457919497E-2</v>
      </c>
      <c r="CP59" s="136">
        <f>-CP16/CP8</f>
        <v>4.2573678599676743E-2</v>
      </c>
      <c r="CQ59" s="137">
        <f t="shared" ref="CQ59:CR59" si="431">-CQ16/CQ8</f>
        <v>3.2792271801274891E-2</v>
      </c>
      <c r="CR59" s="137">
        <f t="shared" si="431"/>
        <v>2.9238733968702201E-2</v>
      </c>
      <c r="CS59" s="137">
        <f t="shared" ref="CS59:CT59" si="432">-CS16/CS8</f>
        <v>3.7635816206309729E-2</v>
      </c>
      <c r="CT59" s="137">
        <f t="shared" si="432"/>
        <v>4.5832488339079297E-2</v>
      </c>
      <c r="CU59" s="136">
        <f>-CU16/CU8</f>
        <v>3.6107632533795717E-2</v>
      </c>
      <c r="CV59" s="137">
        <f t="shared" ref="CV59:CW59" si="433">-CV16/CV8</f>
        <v>4.5243370738331783E-2</v>
      </c>
      <c r="CW59" s="137">
        <f t="shared" si="433"/>
        <v>4.1844014147832863E-2</v>
      </c>
      <c r="CX59" s="137">
        <f t="shared" ref="CX59:CY59" si="434">-CX16/CX8</f>
        <v>4.5562797693657557E-2</v>
      </c>
      <c r="CY59" s="137">
        <f t="shared" si="434"/>
        <v>3.9739739739739738E-2</v>
      </c>
      <c r="CZ59" s="136">
        <f>-CZ16/CZ8</f>
        <v>4.2817679558011051E-2</v>
      </c>
      <c r="DA59" s="137">
        <f t="shared" ref="DA59:DB59" si="435">-DA16/DA8</f>
        <v>4.1348139054740246E-2</v>
      </c>
      <c r="DB59" s="137">
        <f t="shared" si="435"/>
        <v>4.0352387220900204E-2</v>
      </c>
      <c r="DC59" s="137">
        <f t="shared" ref="DC59:DD59" si="436">-DC16/DC8</f>
        <v>5.2916482545293859E-2</v>
      </c>
      <c r="DD59" s="137">
        <f t="shared" si="436"/>
        <v>4.0012716868017079E-2</v>
      </c>
      <c r="DE59" s="136">
        <f>-DE16/DE8</f>
        <v>4.3409517443504637E-2</v>
      </c>
      <c r="DF59" s="137">
        <f t="shared" ref="DF59:DI59" si="437">-DF16/DF8</f>
        <v>5.238698774820448E-2</v>
      </c>
      <c r="DG59" s="137">
        <f t="shared" si="437"/>
        <v>5.656350053361793E-2</v>
      </c>
      <c r="DH59" s="137">
        <f t="shared" si="437"/>
        <v>6.4686098654708521E-2</v>
      </c>
      <c r="DI59" s="137">
        <f t="shared" si="437"/>
        <v>5.4848445085946725E-2</v>
      </c>
      <c r="DJ59" s="136">
        <f>-DJ16/DJ8</f>
        <v>5.730865793706872E-2</v>
      </c>
      <c r="DK59" s="137">
        <f t="shared" ref="DK59:DN59" si="438">-DK16/DK8</f>
        <v>4.3290931473122692E-2</v>
      </c>
      <c r="DL59" s="137">
        <f t="shared" si="438"/>
        <v>4.0001758319046989E-2</v>
      </c>
      <c r="DM59" s="137">
        <f t="shared" si="438"/>
        <v>3.8547486033519554E-2</v>
      </c>
      <c r="DN59" s="137">
        <f t="shared" si="438"/>
        <v>4.0253883414063808E-2</v>
      </c>
      <c r="DO59" s="136">
        <f>-DO16/DO8</f>
        <v>4.0407766339156971E-2</v>
      </c>
      <c r="DP59" s="137">
        <f t="shared" ref="DP59:DQ59" si="439">-DP16/DP8</f>
        <v>4.0644551469595357E-2</v>
      </c>
      <c r="DQ59" s="137">
        <f t="shared" si="439"/>
        <v>3.7499999999999999E-2</v>
      </c>
      <c r="DR59" s="138">
        <v>3.5999999999999997E-2</v>
      </c>
      <c r="DS59" s="138">
        <v>3.4000000000000002E-2</v>
      </c>
      <c r="DT59" s="136">
        <f>-DT16/DT8</f>
        <v>3.6903979421289416E-2</v>
      </c>
      <c r="DU59" s="138">
        <v>3.4000000000000002E-2</v>
      </c>
      <c r="DV59" s="138">
        <v>3.4000000000000002E-2</v>
      </c>
      <c r="DW59" s="138">
        <v>3.4000000000000002E-2</v>
      </c>
      <c r="DX59" s="138">
        <v>3.4000000000000002E-2</v>
      </c>
      <c r="DY59" s="136">
        <f>-DY16/DY8</f>
        <v>3.4000000000000002E-2</v>
      </c>
      <c r="DZ59" s="139">
        <v>3.3000000000000002E-2</v>
      </c>
      <c r="EA59" s="139">
        <v>3.3000000000000002E-2</v>
      </c>
      <c r="EB59" s="139">
        <v>3.2000000000000001E-2</v>
      </c>
    </row>
    <row r="60" spans="1:132" s="241" customFormat="1" ht="12" customHeight="1">
      <c r="B60" s="153" t="s">
        <v>222</v>
      </c>
      <c r="C60" s="136">
        <f>-C15/C8</f>
        <v>4.7751091703056768E-2</v>
      </c>
      <c r="D60" s="136">
        <f t="shared" ref="D60:AK60" si="440">-D15/D8</f>
        <v>3.5491683584428536E-2</v>
      </c>
      <c r="E60" s="136">
        <f t="shared" si="440"/>
        <v>3.5245633093649233E-2</v>
      </c>
      <c r="F60" s="136">
        <f t="shared" si="440"/>
        <v>4.5497944311295571E-2</v>
      </c>
      <c r="G60" s="136">
        <f t="shared" si="440"/>
        <v>4.1049520602082543E-2</v>
      </c>
      <c r="H60" s="136">
        <f t="shared" si="440"/>
        <v>4.6866041539514326E-2</v>
      </c>
      <c r="I60" s="136">
        <f t="shared" si="440"/>
        <v>5.4828166782212535E-2</v>
      </c>
      <c r="J60" s="137">
        <f t="shared" si="440"/>
        <v>5.4788178100162052E-2</v>
      </c>
      <c r="K60" s="137">
        <f t="shared" si="440"/>
        <v>6.295843520782396E-2</v>
      </c>
      <c r="L60" s="137">
        <f t="shared" si="440"/>
        <v>5.9382603406326034E-2</v>
      </c>
      <c r="M60" s="137">
        <f t="shared" si="440"/>
        <v>5.7776436868305928E-2</v>
      </c>
      <c r="N60" s="136">
        <f t="shared" si="440"/>
        <v>5.8733820081209372E-2</v>
      </c>
      <c r="O60" s="137">
        <f t="shared" si="440"/>
        <v>8.2467082467082467E-2</v>
      </c>
      <c r="P60" s="137">
        <f t="shared" si="440"/>
        <v>7.0335373968591963E-2</v>
      </c>
      <c r="Q60" s="137">
        <f t="shared" si="440"/>
        <v>9.2802280465595063E-2</v>
      </c>
      <c r="R60" s="137">
        <f t="shared" si="440"/>
        <v>6.5347510738680378E-2</v>
      </c>
      <c r="S60" s="136">
        <f t="shared" si="440"/>
        <v>7.70899808551372E-2</v>
      </c>
      <c r="T60" s="137">
        <f t="shared" si="440"/>
        <v>7.5785193494111044E-2</v>
      </c>
      <c r="U60" s="137">
        <f t="shared" si="440"/>
        <v>7.7539036434005074E-2</v>
      </c>
      <c r="V60" s="137">
        <f t="shared" si="440"/>
        <v>5.6584571544880925E-2</v>
      </c>
      <c r="W60" s="137">
        <f t="shared" si="440"/>
        <v>6.2368166011059802E-2</v>
      </c>
      <c r="X60" s="136">
        <f t="shared" si="440"/>
        <v>6.7788070859743213E-2</v>
      </c>
      <c r="Y60" s="137">
        <f t="shared" si="440"/>
        <v>5.3888708102831112E-2</v>
      </c>
      <c r="Z60" s="137">
        <f t="shared" si="440"/>
        <v>5.7317359642941039E-2</v>
      </c>
      <c r="AA60" s="137">
        <f t="shared" si="440"/>
        <v>5.6366168190349335E-2</v>
      </c>
      <c r="AB60" s="137">
        <f t="shared" si="440"/>
        <v>4.5545574183212222E-2</v>
      </c>
      <c r="AC60" s="136">
        <f t="shared" si="440"/>
        <v>5.3188124180939038E-2</v>
      </c>
      <c r="AD60" s="137">
        <f t="shared" si="440"/>
        <v>4.8467792370231397E-2</v>
      </c>
      <c r="AE60" s="137">
        <f t="shared" si="440"/>
        <v>4.9227685414455845E-2</v>
      </c>
      <c r="AF60" s="137">
        <f t="shared" si="440"/>
        <v>4.8388151441836134E-2</v>
      </c>
      <c r="AG60" s="137">
        <f t="shared" si="440"/>
        <v>5.7959570435881236E-2</v>
      </c>
      <c r="AH60" s="136">
        <f t="shared" si="440"/>
        <v>5.0632911392405063E-2</v>
      </c>
      <c r="AI60" s="137">
        <f t="shared" si="440"/>
        <v>4.7933583808023268E-2</v>
      </c>
      <c r="AJ60" s="137">
        <f t="shared" si="440"/>
        <v>5.3923283199253817E-2</v>
      </c>
      <c r="AK60" s="137">
        <f t="shared" si="440"/>
        <v>5.2013422818791948E-2</v>
      </c>
      <c r="AL60" s="137">
        <f t="shared" ref="AL60:AR60" si="441">-AL15/AL8</f>
        <v>4.3485532697775546E-2</v>
      </c>
      <c r="AM60" s="136">
        <f t="shared" si="441"/>
        <v>4.9266999604575208E-2</v>
      </c>
      <c r="AN60" s="137">
        <f t="shared" si="441"/>
        <v>6.2631440588853837E-2</v>
      </c>
      <c r="AO60" s="137">
        <f t="shared" si="441"/>
        <v>4.9958261092917226E-2</v>
      </c>
      <c r="AP60" s="137">
        <f t="shared" si="441"/>
        <v>5.5165910296457829E-2</v>
      </c>
      <c r="AQ60" s="137">
        <f t="shared" si="441"/>
        <v>5.9033232628398789E-2</v>
      </c>
      <c r="AR60" s="136">
        <f t="shared" si="441"/>
        <v>5.666656299567692E-2</v>
      </c>
      <c r="AS60" s="137">
        <f t="shared" ref="AS60:BA60" si="442">-AS15/AS8</f>
        <v>5.8081824279007377E-2</v>
      </c>
      <c r="AT60" s="137">
        <f t="shared" si="442"/>
        <v>5.2590219428156927E-2</v>
      </c>
      <c r="AU60" s="137">
        <f t="shared" si="442"/>
        <v>4.5523777288881365E-2</v>
      </c>
      <c r="AV60" s="137">
        <f t="shared" si="442"/>
        <v>4.4234211199181792E-2</v>
      </c>
      <c r="AW60" s="136">
        <f t="shared" si="442"/>
        <v>4.9581726922237578E-2</v>
      </c>
      <c r="AX60" s="137">
        <f t="shared" si="442"/>
        <v>4.9269978847443635E-2</v>
      </c>
      <c r="AY60" s="137">
        <f t="shared" si="442"/>
        <v>4.5138715321169705E-2</v>
      </c>
      <c r="AZ60" s="137">
        <f t="shared" si="442"/>
        <v>4.5801679328268688E-2</v>
      </c>
      <c r="BA60" s="137">
        <f t="shared" si="442"/>
        <v>4.228320330015245E-2</v>
      </c>
      <c r="BB60" s="136">
        <f t="shared" ref="BB60:BG60" si="443">-BB15/BB8</f>
        <v>4.5501725868442311E-2</v>
      </c>
      <c r="BC60" s="137">
        <f t="shared" si="443"/>
        <v>5.1394696448420048E-2</v>
      </c>
      <c r="BD60" s="137">
        <f t="shared" si="443"/>
        <v>4.2585377034150815E-2</v>
      </c>
      <c r="BE60" s="137">
        <f t="shared" si="443"/>
        <v>4.3199276999548127E-2</v>
      </c>
      <c r="BF60" s="137">
        <f t="shared" si="443"/>
        <v>4.6246857315832397E-2</v>
      </c>
      <c r="BG60" s="136">
        <f t="shared" si="443"/>
        <v>4.566895319278625E-2</v>
      </c>
      <c r="BH60" s="137">
        <f t="shared" ref="BH60:BJ60" si="444">-BH15/BH8</f>
        <v>4.2853652577571462E-2</v>
      </c>
      <c r="BI60" s="137">
        <f t="shared" si="444"/>
        <v>4.1642095713313676E-2</v>
      </c>
      <c r="BJ60" s="137">
        <f t="shared" si="444"/>
        <v>3.9186007399932728E-2</v>
      </c>
      <c r="BK60" s="137">
        <f t="shared" ref="BK60:BM60" si="445">-BK15/BK8</f>
        <v>4.2504495667811018E-2</v>
      </c>
      <c r="BL60" s="136">
        <f>-BL15/BL8</f>
        <v>4.1504153720720124E-2</v>
      </c>
      <c r="BM60" s="137">
        <f t="shared" si="445"/>
        <v>4.2665583096302313E-2</v>
      </c>
      <c r="BN60" s="137">
        <f t="shared" ref="BN60:BO60" si="446">-BN15/BN8</f>
        <v>3.0966059568919856E-2</v>
      </c>
      <c r="BO60" s="137">
        <f t="shared" si="446"/>
        <v>3.4392046113969593E-2</v>
      </c>
      <c r="BP60" s="137">
        <f t="shared" ref="BP60" si="447">-BP15/BP8</f>
        <v>3.949433674118695E-2</v>
      </c>
      <c r="BQ60" s="136">
        <f>-BQ15/BQ8</f>
        <v>3.6675198202134968E-2</v>
      </c>
      <c r="BR60" s="137">
        <f t="shared" ref="BR60:BS60" si="448">-BR15/BR8</f>
        <v>3.9236479321314952E-2</v>
      </c>
      <c r="BS60" s="137">
        <f t="shared" si="448"/>
        <v>3.2559078973944659E-2</v>
      </c>
      <c r="BT60" s="137">
        <f t="shared" ref="BT60" si="449">-BT15/BT8</f>
        <v>3.862247886852456E-2</v>
      </c>
      <c r="BU60" s="137">
        <f t="shared" ref="BU60:BW60" si="450">-BU15/BU8</f>
        <v>4.2901314094305594E-2</v>
      </c>
      <c r="BV60" s="136">
        <f>-BV15/BV8</f>
        <v>3.8235822820949339E-2</v>
      </c>
      <c r="BW60" s="137">
        <f t="shared" si="450"/>
        <v>4.2302263102773095E-2</v>
      </c>
      <c r="BX60" s="137">
        <f t="shared" ref="BX60:BY60" si="451">-BX15/BX8</f>
        <v>4.5247494685696936E-2</v>
      </c>
      <c r="BY60" s="137">
        <f t="shared" si="451"/>
        <v>3.7897865664863972E-2</v>
      </c>
      <c r="BZ60" s="137">
        <f t="shared" ref="BZ60:CB60" si="452">-BZ15/BZ8</f>
        <v>4.8647557529269275E-2</v>
      </c>
      <c r="CA60" s="136">
        <f>-CA15/CA8</f>
        <v>4.3561512685495456E-2</v>
      </c>
      <c r="CB60" s="137">
        <f t="shared" si="452"/>
        <v>4.263963732785904E-2</v>
      </c>
      <c r="CC60" s="137">
        <f t="shared" ref="CC60:CD60" si="453">-CC15/CC8</f>
        <v>4.922087558743507E-2</v>
      </c>
      <c r="CD60" s="137">
        <f t="shared" si="453"/>
        <v>4.5891990773880537E-2</v>
      </c>
      <c r="CE60" s="137">
        <f t="shared" ref="CE60" si="454">-CE15/CE8</f>
        <v>4.3117744610281922E-2</v>
      </c>
      <c r="CF60" s="136">
        <f>-CF15/CF8</f>
        <v>4.5161035134039379E-2</v>
      </c>
      <c r="CG60" s="137">
        <f t="shared" ref="CG60:CI60" si="455">-CG15/CG8</f>
        <v>5.16647030588646E-2</v>
      </c>
      <c r="CH60" s="137">
        <f t="shared" si="455"/>
        <v>4.2663957843946415E-2</v>
      </c>
      <c r="CI60" s="137">
        <f t="shared" si="455"/>
        <v>5.0100100100100103E-2</v>
      </c>
      <c r="CJ60" s="137">
        <f t="shared" ref="CJ60:CL60" si="456">-CJ15/CJ8</f>
        <v>5.8734855675283346E-2</v>
      </c>
      <c r="CK60" s="136">
        <f>-CK15/CK8</f>
        <v>5.1058660640812971E-2</v>
      </c>
      <c r="CL60" s="137">
        <f t="shared" si="456"/>
        <v>5.1632363378282468E-2</v>
      </c>
      <c r="CM60" s="137">
        <f t="shared" ref="CM60:CN60" si="457">-CM15/CM8</f>
        <v>9.8331498263741851E-2</v>
      </c>
      <c r="CN60" s="137">
        <f t="shared" si="457"/>
        <v>6.7543673527123566E-2</v>
      </c>
      <c r="CO60" s="137">
        <f t="shared" ref="CO60" si="458">-CO15/CO8</f>
        <v>0.11944589649764767</v>
      </c>
      <c r="CP60" s="136">
        <f>-CP15/CP8</f>
        <v>8.2826094432408265E-2</v>
      </c>
      <c r="CQ60" s="137">
        <f t="shared" ref="CQ60:CR60" si="459">-CQ15/CQ8</f>
        <v>6.7818886771374126E-2</v>
      </c>
      <c r="CR60" s="137">
        <f t="shared" si="459"/>
        <v>6.1183668666901989E-2</v>
      </c>
      <c r="CS60" s="137">
        <f t="shared" ref="CS60:CT60" si="460">-CS15/CS8</f>
        <v>7.1802591962298726E-2</v>
      </c>
      <c r="CT60" s="137">
        <f t="shared" si="460"/>
        <v>6.6788345839248295E-2</v>
      </c>
      <c r="CU60" s="136">
        <f>-CU15/CU8</f>
        <v>6.67405195389012E-2</v>
      </c>
      <c r="CV60" s="137">
        <f t="shared" ref="CV60:CW60" si="461">-CV15/CV8</f>
        <v>6.1682510185119006E-2</v>
      </c>
      <c r="CW60" s="137">
        <f t="shared" si="461"/>
        <v>4.0045560817696779E-2</v>
      </c>
      <c r="CX60" s="137">
        <f t="shared" ref="CX60:CY60" si="462">-CX15/CX8</f>
        <v>7.6836299824517423E-2</v>
      </c>
      <c r="CY60" s="137">
        <f t="shared" si="462"/>
        <v>7.1571571571571568E-2</v>
      </c>
      <c r="CZ60" s="136">
        <f>-CZ15/CZ8</f>
        <v>6.2860317079029546E-2</v>
      </c>
      <c r="DA60" s="137">
        <f t="shared" ref="DA60:DB60" si="463">-DA15/DA8</f>
        <v>7.2763796663132638E-2</v>
      </c>
      <c r="DB60" s="137">
        <f t="shared" si="463"/>
        <v>6.5110627310009619E-2</v>
      </c>
      <c r="DC60" s="137">
        <f t="shared" ref="DC60:DD60" si="464">-DC15/DC8</f>
        <v>5.7611577551922227E-2</v>
      </c>
      <c r="DD60" s="137">
        <f t="shared" si="464"/>
        <v>6.971568716504678E-2</v>
      </c>
      <c r="DE60" s="136">
        <f>-DE15/DE8</f>
        <v>6.6431858498084681E-2</v>
      </c>
      <c r="DF60" s="137">
        <f t="shared" ref="DF60:DI60" si="465">-DF15/DF8</f>
        <v>7.0070613796849535E-2</v>
      </c>
      <c r="DG60" s="137">
        <f t="shared" si="465"/>
        <v>8.1643543223052298E-2</v>
      </c>
      <c r="DH60" s="137">
        <f t="shared" si="465"/>
        <v>6.0818385650224217E-2</v>
      </c>
      <c r="DI60" s="137">
        <f t="shared" si="465"/>
        <v>9.1720246686786508E-2</v>
      </c>
      <c r="DJ60" s="136">
        <f>-DJ15/DJ8</f>
        <v>7.5484462618578704E-2</v>
      </c>
      <c r="DK60" s="137">
        <f t="shared" ref="DK60:DN60" si="466">-DK15/DK8</f>
        <v>5.703734099302421E-2</v>
      </c>
      <c r="DL60" s="137">
        <f t="shared" si="466"/>
        <v>7.8816651281375008E-2</v>
      </c>
      <c r="DM60" s="137">
        <f t="shared" si="466"/>
        <v>6.5406102277610664E-2</v>
      </c>
      <c r="DN60" s="137">
        <f t="shared" si="466"/>
        <v>6.9442124603307162E-2</v>
      </c>
      <c r="DO60" s="136">
        <f>-DO15/DO8</f>
        <v>6.8072834579658625E-2</v>
      </c>
      <c r="DP60" s="137">
        <f t="shared" ref="DP60:DQ60" si="467">-DP15/DP8</f>
        <v>5.3877661250393845E-2</v>
      </c>
      <c r="DQ60" s="137">
        <f t="shared" si="467"/>
        <v>5.8143322475570032E-2</v>
      </c>
      <c r="DR60" s="138">
        <v>0.05</v>
      </c>
      <c r="DS60" s="138">
        <v>0.05</v>
      </c>
      <c r="DT60" s="136">
        <f>-DT15/DT8</f>
        <v>5.2944846964484656E-2</v>
      </c>
      <c r="DU60" s="138">
        <v>0.05</v>
      </c>
      <c r="DV60" s="138">
        <v>0.05</v>
      </c>
      <c r="DW60" s="138">
        <v>0.05</v>
      </c>
      <c r="DX60" s="138">
        <v>0.05</v>
      </c>
      <c r="DY60" s="136">
        <f>-DY15/DY8</f>
        <v>0.05</v>
      </c>
      <c r="DZ60" s="139">
        <v>0.05</v>
      </c>
      <c r="EA60" s="139">
        <v>0.05</v>
      </c>
      <c r="EB60" s="139">
        <v>0.05</v>
      </c>
    </row>
    <row r="61" spans="1:132" s="68" customFormat="1" ht="12" customHeight="1">
      <c r="B61" s="153" t="s">
        <v>223</v>
      </c>
      <c r="C61" s="136">
        <f t="shared" ref="C61:BL61" si="468">C55/C8</f>
        <v>2.4082969432314409E-2</v>
      </c>
      <c r="D61" s="136">
        <f t="shared" si="468"/>
        <v>5.6790255369163371E-2</v>
      </c>
      <c r="E61" s="136">
        <f t="shared" si="468"/>
        <v>8.3027261910920289E-2</v>
      </c>
      <c r="F61" s="136">
        <f t="shared" si="468"/>
        <v>8.8404356890941324E-2</v>
      </c>
      <c r="G61" s="136">
        <f t="shared" si="468"/>
        <v>9.7013643080518228E-2</v>
      </c>
      <c r="H61" s="136">
        <f t="shared" si="468"/>
        <v>9.9225064269729421E-2</v>
      </c>
      <c r="I61" s="136">
        <f t="shared" si="468"/>
        <v>3.7615133207883532E-2</v>
      </c>
      <c r="J61" s="137">
        <f t="shared" si="468"/>
        <v>9.1673740257735933E-2</v>
      </c>
      <c r="K61" s="137">
        <f t="shared" si="468"/>
        <v>7.4419315403422989E-2</v>
      </c>
      <c r="L61" s="137">
        <f t="shared" si="468"/>
        <v>6.3640510948905105E-2</v>
      </c>
      <c r="M61" s="137">
        <f t="shared" si="468"/>
        <v>3.8995323578216924E-2</v>
      </c>
      <c r="N61" s="136">
        <f t="shared" si="468"/>
        <v>6.7026326324418101E-2</v>
      </c>
      <c r="O61" s="137">
        <f t="shared" si="468"/>
        <v>8.0234080234080241E-2</v>
      </c>
      <c r="P61" s="137">
        <f t="shared" si="468"/>
        <v>8.0715996805962198E-2</v>
      </c>
      <c r="Q61" s="137">
        <f t="shared" si="468"/>
        <v>8.9872515638609554E-2</v>
      </c>
      <c r="R61" s="137">
        <f t="shared" si="468"/>
        <v>6.5136258009999295E-2</v>
      </c>
      <c r="S61" s="136">
        <f t="shared" si="468"/>
        <v>7.867626948673534E-2</v>
      </c>
      <c r="T61" s="137">
        <f t="shared" si="468"/>
        <v>9.3101514301738644E-2</v>
      </c>
      <c r="U61" s="137">
        <f t="shared" si="468"/>
        <v>6.0589883891632189E-2</v>
      </c>
      <c r="V61" s="137">
        <f t="shared" si="468"/>
        <v>8.9558314675351108E-2</v>
      </c>
      <c r="W61" s="137">
        <f t="shared" si="468"/>
        <v>8.9732626418106157E-2</v>
      </c>
      <c r="X61" s="136">
        <f t="shared" si="468"/>
        <v>8.3373963920038999E-2</v>
      </c>
      <c r="Y61" s="137">
        <f t="shared" si="468"/>
        <v>0.1083631630328669</v>
      </c>
      <c r="Z61" s="137">
        <f t="shared" si="468"/>
        <v>0.11175710594315245</v>
      </c>
      <c r="AA61" s="137">
        <f t="shared" si="468"/>
        <v>0.11121874432402978</v>
      </c>
      <c r="AB61" s="137">
        <f t="shared" si="468"/>
        <v>0.1093437088745208</v>
      </c>
      <c r="AC61" s="136">
        <f t="shared" si="468"/>
        <v>0.11020229864280658</v>
      </c>
      <c r="AD61" s="137">
        <f t="shared" si="468"/>
        <v>0.13514696685428393</v>
      </c>
      <c r="AE61" s="137">
        <f t="shared" si="468"/>
        <v>9.4859096804622095E-2</v>
      </c>
      <c r="AF61" s="137">
        <f t="shared" si="468"/>
        <v>9.788792257895769E-2</v>
      </c>
      <c r="AG61" s="137">
        <f t="shared" si="468"/>
        <v>1.3739734680985471E-2</v>
      </c>
      <c r="AH61" s="136">
        <f t="shared" si="468"/>
        <v>8.9329984074603103E-2</v>
      </c>
      <c r="AI61" s="137">
        <f t="shared" si="468"/>
        <v>8.5383589867894807E-2</v>
      </c>
      <c r="AJ61" s="137">
        <f t="shared" si="468"/>
        <v>0.11134429287629707</v>
      </c>
      <c r="AK61" s="137">
        <f t="shared" si="468"/>
        <v>-0.10288830297219559</v>
      </c>
      <c r="AL61" s="137">
        <f>AL55/AL8</f>
        <v>0.12042147516307075</v>
      </c>
      <c r="AM61" s="136">
        <f t="shared" si="468"/>
        <v>5.5095853897863242E-2</v>
      </c>
      <c r="AN61" s="137">
        <f t="shared" ref="AN61:AS61" si="469">AN55/AN8</f>
        <v>0.10377234490010515</v>
      </c>
      <c r="AO61" s="137">
        <f t="shared" si="469"/>
        <v>0.11275926282668722</v>
      </c>
      <c r="AP61" s="137">
        <f t="shared" si="469"/>
        <v>0.10626510284670242</v>
      </c>
      <c r="AQ61" s="137">
        <f t="shared" si="469"/>
        <v>9.4259818731117828E-2</v>
      </c>
      <c r="AR61" s="136">
        <f t="shared" si="469"/>
        <v>0.10415824339874973</v>
      </c>
      <c r="AS61" s="137">
        <f t="shared" si="469"/>
        <v>9.2555331991951706E-2</v>
      </c>
      <c r="AT61" s="137">
        <f>AT55/AT8</f>
        <v>0.11866046061778396</v>
      </c>
      <c r="AU61" s="137">
        <f t="shared" si="468"/>
        <v>0.12021210582726914</v>
      </c>
      <c r="AV61" s="137">
        <f t="shared" si="468"/>
        <v>0.10380976732293531</v>
      </c>
      <c r="AW61" s="136">
        <f t="shared" si="468"/>
        <v>0.10917291045318979</v>
      </c>
      <c r="AX61" s="137">
        <f t="shared" ref="AX61:BB61" si="470">AX55/AX8</f>
        <v>0.10297683537120157</v>
      </c>
      <c r="AY61" s="137">
        <f t="shared" si="470"/>
        <v>9.8475381154711328E-2</v>
      </c>
      <c r="AZ61" s="137">
        <f t="shared" si="470"/>
        <v>0.10136945221911235</v>
      </c>
      <c r="BA61" s="137">
        <f t="shared" si="470"/>
        <v>9.537261232176486E-2</v>
      </c>
      <c r="BB61" s="136">
        <f t="shared" si="470"/>
        <v>9.9405126196479718E-2</v>
      </c>
      <c r="BC61" s="137">
        <f>BC55/BC8</f>
        <v>0.10358333774413804</v>
      </c>
      <c r="BD61" s="137">
        <f>BD55/BD8</f>
        <v>9.864771945908779E-2</v>
      </c>
      <c r="BE61" s="137">
        <f>BE55/BE8</f>
        <v>0.10216900135562584</v>
      </c>
      <c r="BF61" s="137">
        <f>BF55/BF8</f>
        <v>8.5615545670873788E-2</v>
      </c>
      <c r="BG61" s="136">
        <f t="shared" si="468"/>
        <v>9.7045371112193732E-2</v>
      </c>
      <c r="BH61" s="137">
        <f t="shared" si="468"/>
        <v>9.7239188859027603E-2</v>
      </c>
      <c r="BI61" s="137">
        <f>BI55/BI8</f>
        <v>0.10156498072125199</v>
      </c>
      <c r="BJ61" s="137">
        <f t="shared" si="468"/>
        <v>0.10919105280861083</v>
      </c>
      <c r="BK61" s="137">
        <f t="shared" si="468"/>
        <v>0.10434036292300147</v>
      </c>
      <c r="BL61" s="136">
        <f t="shared" si="468"/>
        <v>0.10333619796831273</v>
      </c>
      <c r="BM61" s="137">
        <f t="shared" ref="BM61:BQ61" si="471">BM55/BM8</f>
        <v>0.11187864011919274</v>
      </c>
      <c r="BN61" s="137">
        <f t="shared" ref="BN61" si="472">BN55/BN8</f>
        <v>8.7030925314753704E-2</v>
      </c>
      <c r="BO61" s="137">
        <f t="shared" si="471"/>
        <v>0.11671631397732987</v>
      </c>
      <c r="BP61" s="137">
        <f t="shared" ref="BP61" si="473">BP55/BP8</f>
        <v>6.9783226572773943E-2</v>
      </c>
      <c r="BQ61" s="136">
        <f t="shared" si="471"/>
        <v>9.6510393907235162E-2</v>
      </c>
      <c r="BR61" s="137">
        <f t="shared" ref="BR61:BS61" si="474">BR55/BR8</f>
        <v>9.8577235772357719E-2</v>
      </c>
      <c r="BS61" s="137">
        <f t="shared" si="474"/>
        <v>1.1310846293678045E-3</v>
      </c>
      <c r="BT61" s="137">
        <f t="shared" ref="BT61:BV61" si="475">BT55/BT8</f>
        <v>0.11532345802996066</v>
      </c>
      <c r="BU61" s="137">
        <f t="shared" si="475"/>
        <v>0.11719488104440437</v>
      </c>
      <c r="BV61" s="136">
        <f t="shared" si="475"/>
        <v>8.1885567457254338E-2</v>
      </c>
      <c r="BW61" s="137">
        <f t="shared" ref="BW61:CA61" si="476">BW55/BW8</f>
        <v>0.12189790993124175</v>
      </c>
      <c r="BX61" s="137">
        <f t="shared" si="476"/>
        <v>0.13118736714242332</v>
      </c>
      <c r="BY61" s="137">
        <f t="shared" si="476"/>
        <v>0.13012426206497957</v>
      </c>
      <c r="BZ61" s="137">
        <f t="shared" si="476"/>
        <v>0.14372224465078726</v>
      </c>
      <c r="CA61" s="136">
        <f t="shared" si="476"/>
        <v>0.13204616775703421</v>
      </c>
      <c r="CB61" s="137">
        <f t="shared" ref="CB61:CF61" si="477">CB55/CB8</f>
        <v>0.14438456932683261</v>
      </c>
      <c r="CC61" s="137">
        <f t="shared" si="477"/>
        <v>0.13261604419160689</v>
      </c>
      <c r="CD61" s="137">
        <f t="shared" si="477"/>
        <v>0.10936132983377078</v>
      </c>
      <c r="CE61" s="137">
        <f t="shared" si="477"/>
        <v>0.1678839843336509</v>
      </c>
      <c r="CF61" s="136">
        <f t="shared" si="477"/>
        <v>0.13943852779178656</v>
      </c>
      <c r="CG61" s="137">
        <f t="shared" ref="CG61:CK61" si="478">CG55/CG8</f>
        <v>0.12527817777195968</v>
      </c>
      <c r="CH61" s="137">
        <f t="shared" si="478"/>
        <v>-0.17992508412164307</v>
      </c>
      <c r="CI61" s="137">
        <f t="shared" si="478"/>
        <v>9.184184184184184E-2</v>
      </c>
      <c r="CJ61" s="137">
        <f t="shared" si="478"/>
        <v>-8.7990620289207747E-2</v>
      </c>
      <c r="CK61" s="136">
        <f t="shared" si="478"/>
        <v>3.8662991940856071E-3</v>
      </c>
      <c r="CL61" s="137">
        <f t="shared" ref="CL61:CP61" si="479">CL55/CL8</f>
        <v>-4.7137449727939436E-2</v>
      </c>
      <c r="CM61" s="137">
        <f t="shared" si="479"/>
        <v>-0.20470907089014992</v>
      </c>
      <c r="CN61" s="137">
        <f t="shared" si="479"/>
        <v>1.1599122993139543E-2</v>
      </c>
      <c r="CO61" s="137">
        <f t="shared" si="479"/>
        <v>-0.48817302665969681</v>
      </c>
      <c r="CP61" s="136">
        <f t="shared" si="479"/>
        <v>-0.18090374497059733</v>
      </c>
      <c r="CQ61" s="137">
        <f t="shared" ref="CQ61:CV61" si="480">CQ55/CQ8</f>
        <v>2.9769336925806664E-2</v>
      </c>
      <c r="CR61" s="137">
        <f t="shared" si="480"/>
        <v>9.2599129309330508E-2</v>
      </c>
      <c r="CS61" s="137">
        <f t="shared" si="480"/>
        <v>5.576646157874067E-2</v>
      </c>
      <c r="CT61" s="137">
        <f t="shared" si="480"/>
        <v>-0.24585952815520853</v>
      </c>
      <c r="CU61" s="136">
        <f t="shared" si="480"/>
        <v>-1.2169668946472723E-2</v>
      </c>
      <c r="CV61" s="137">
        <f t="shared" si="480"/>
        <v>-4.8817096705024661E-2</v>
      </c>
      <c r="CW61" s="137">
        <f t="shared" ref="CW61:DA61" si="481">CW55/CW8</f>
        <v>7.6254421197769914E-2</v>
      </c>
      <c r="CX61" s="137">
        <f t="shared" si="481"/>
        <v>-0.14452243670092754</v>
      </c>
      <c r="CY61" s="137">
        <f t="shared" si="481"/>
        <v>7.4574574574574571E-3</v>
      </c>
      <c r="CZ61" s="136">
        <f t="shared" si="481"/>
        <v>-2.354071582993034E-2</v>
      </c>
      <c r="DA61" s="137">
        <f t="shared" si="481"/>
        <v>1.7186540929635622E-2</v>
      </c>
      <c r="DB61" s="137">
        <f t="shared" ref="DB61:DD61" si="482">DB55/DB8</f>
        <v>1.8075034175484787E-2</v>
      </c>
      <c r="DC61" s="137">
        <f t="shared" si="482"/>
        <v>-1.8835616438356163E-2</v>
      </c>
      <c r="DD61" s="137">
        <f t="shared" si="482"/>
        <v>3.4698882732309928E-2</v>
      </c>
      <c r="DE61" s="136">
        <f t="shared" ref="DE61:DF61" si="483">DE55/DE8</f>
        <v>1.3985654420649408E-2</v>
      </c>
      <c r="DF61" s="137">
        <f t="shared" si="483"/>
        <v>2.1485907417466352E-2</v>
      </c>
      <c r="DG61" s="137">
        <f t="shared" ref="DG61:DI61" si="484">DG55/DG8</f>
        <v>-3.8479781809557689E-2</v>
      </c>
      <c r="DH61" s="137">
        <f t="shared" si="484"/>
        <v>-0.29803811659192825</v>
      </c>
      <c r="DI61" s="137">
        <f t="shared" si="484"/>
        <v>-0.21394830074793333</v>
      </c>
      <c r="DJ61" s="136">
        <f t="shared" ref="DJ61:DN61" si="485">DJ55/DJ8</f>
        <v>-0.13336440308492567</v>
      </c>
      <c r="DK61" s="137">
        <f t="shared" si="485"/>
        <v>4.7548215018465324E-2</v>
      </c>
      <c r="DL61" s="137">
        <f t="shared" si="485"/>
        <v>1.2484065233636644E-2</v>
      </c>
      <c r="DM61" s="137">
        <f t="shared" si="485"/>
        <v>-0.18435754189944134</v>
      </c>
      <c r="DN61" s="137">
        <f t="shared" si="485"/>
        <v>0.38888424920661435</v>
      </c>
      <c r="DO61" s="136">
        <f t="shared" ref="DO61:DS61" si="486">DO55/DO8</f>
        <v>6.9682438550015088E-2</v>
      </c>
      <c r="DP61" s="137">
        <f t="shared" si="486"/>
        <v>4.5955799612909035E-2</v>
      </c>
      <c r="DQ61" s="137">
        <f t="shared" si="486"/>
        <v>3.0618892508143321E-2</v>
      </c>
      <c r="DR61" s="137">
        <f t="shared" si="486"/>
        <v>4.6942918579130986E-2</v>
      </c>
      <c r="DS61" s="137">
        <f t="shared" si="486"/>
        <v>6.1598146913544718E-2</v>
      </c>
      <c r="DT61" s="136">
        <f t="shared" ref="DT61:DX61" si="487">DT55/DT8</f>
        <v>4.6526829366916038E-2</v>
      </c>
      <c r="DU61" s="137">
        <f t="shared" si="487"/>
        <v>4.6988525689968565E-2</v>
      </c>
      <c r="DV61" s="137">
        <f t="shared" si="487"/>
        <v>6.8513958278809836E-2</v>
      </c>
      <c r="DW61" s="137">
        <f t="shared" si="487"/>
        <v>8.3441470468944526E-2</v>
      </c>
      <c r="DX61" s="137">
        <f t="shared" si="487"/>
        <v>9.1213892080110548E-2</v>
      </c>
      <c r="DY61" s="136">
        <f t="shared" ref="DY61" si="488">DY55/DY8</f>
        <v>7.3788877677347153E-2</v>
      </c>
      <c r="DZ61" s="136">
        <f t="shared" ref="DZ61" si="489">DZ55/DZ8</f>
        <v>9.8815647220876116E-2</v>
      </c>
      <c r="EA61" s="136">
        <f t="shared" ref="EA61:EB61" si="490">EA55/EA8</f>
        <v>0.12017969722733703</v>
      </c>
      <c r="EB61" s="136">
        <f t="shared" si="490"/>
        <v>0.14403718815051669</v>
      </c>
    </row>
    <row r="62" spans="1:132" s="68" customFormat="1" ht="12" customHeight="1">
      <c r="B62" s="153" t="s">
        <v>224</v>
      </c>
      <c r="C62" s="136">
        <f t="shared" ref="C62:BL62" si="491">C53/C8</f>
        <v>-7.7510917030567689E-3</v>
      </c>
      <c r="D62" s="136">
        <f t="shared" si="491"/>
        <v>2.7905402998895892E-2</v>
      </c>
      <c r="E62" s="136">
        <f t="shared" si="491"/>
        <v>5.4661769523908055E-2</v>
      </c>
      <c r="F62" s="136">
        <f t="shared" si="491"/>
        <v>5.9585744626955831E-2</v>
      </c>
      <c r="G62" s="136">
        <f t="shared" si="491"/>
        <v>6.6943881233032063E-2</v>
      </c>
      <c r="H62" s="136">
        <f t="shared" si="491"/>
        <v>7.1538219682257861E-2</v>
      </c>
      <c r="I62" s="136">
        <f t="shared" si="491"/>
        <v>8.8937308111320199E-3</v>
      </c>
      <c r="J62" s="137">
        <f t="shared" si="491"/>
        <v>6.4665483447796893E-2</v>
      </c>
      <c r="K62" s="137">
        <f t="shared" si="491"/>
        <v>4.9205378973105132E-2</v>
      </c>
      <c r="L62" s="137">
        <f t="shared" si="491"/>
        <v>3.8853406326034061E-2</v>
      </c>
      <c r="M62" s="137">
        <f t="shared" si="491"/>
        <v>1.0559662090813093E-3</v>
      </c>
      <c r="N62" s="136">
        <f t="shared" si="491"/>
        <v>3.8259908115218177E-2</v>
      </c>
      <c r="O62" s="137">
        <f t="shared" si="491"/>
        <v>5.2899052899052897E-2</v>
      </c>
      <c r="P62" s="137">
        <f t="shared" si="491"/>
        <v>5.3899387809422411E-2</v>
      </c>
      <c r="Q62" s="137">
        <f t="shared" si="491"/>
        <v>6.0416501702430916E-2</v>
      </c>
      <c r="R62" s="137">
        <f t="shared" si="491"/>
        <v>3.88705020773185E-2</v>
      </c>
      <c r="S62" s="136">
        <f t="shared" si="491"/>
        <v>5.127176588567782E-2</v>
      </c>
      <c r="T62" s="137">
        <f t="shared" si="491"/>
        <v>6.723219293325855E-2</v>
      </c>
      <c r="U62" s="137">
        <f t="shared" si="491"/>
        <v>3.4899239290004005E-2</v>
      </c>
      <c r="V62" s="137">
        <f t="shared" si="491"/>
        <v>6.4522694891105237E-2</v>
      </c>
      <c r="W62" s="137">
        <f t="shared" si="491"/>
        <v>6.5674704976911233E-2</v>
      </c>
      <c r="X62" s="136">
        <f t="shared" si="491"/>
        <v>5.8264261335933688E-2</v>
      </c>
      <c r="Y62" s="137">
        <f t="shared" si="491"/>
        <v>8.5193621867881555E-2</v>
      </c>
      <c r="Z62" s="137">
        <f t="shared" si="491"/>
        <v>8.8442565186751226E-2</v>
      </c>
      <c r="AA62" s="137">
        <f t="shared" si="491"/>
        <v>9.0754979717866446E-2</v>
      </c>
      <c r="AB62" s="137">
        <f t="shared" si="491"/>
        <v>8.6742575956972018E-2</v>
      </c>
      <c r="AC62" s="136">
        <f t="shared" si="491"/>
        <v>8.7818398180366644E-2</v>
      </c>
      <c r="AD62" s="137">
        <f t="shared" si="491"/>
        <v>0.11250781738586617</v>
      </c>
      <c r="AE62" s="137">
        <f t="shared" si="491"/>
        <v>7.3517273906378966E-2</v>
      </c>
      <c r="AF62" s="137">
        <f t="shared" si="491"/>
        <v>7.5001634734846001E-2</v>
      </c>
      <c r="AG62" s="137">
        <f t="shared" si="491"/>
        <v>-1.9188250157927984E-2</v>
      </c>
      <c r="AH62" s="136">
        <f t="shared" si="491"/>
        <v>6.4850843060959798E-2</v>
      </c>
      <c r="AI62" s="137">
        <f t="shared" si="491"/>
        <v>6.2113683189916377E-2</v>
      </c>
      <c r="AJ62" s="137">
        <f t="shared" si="491"/>
        <v>8.9133729742334147E-2</v>
      </c>
      <c r="AK62" s="137">
        <f t="shared" si="491"/>
        <v>-0.12889501438159157</v>
      </c>
      <c r="AL62" s="137">
        <f>AL53/AL8</f>
        <v>9.4385906227351282E-2</v>
      </c>
      <c r="AM62" s="136">
        <f t="shared" si="491"/>
        <v>3.0696679896310832E-2</v>
      </c>
      <c r="AN62" s="137">
        <f>AN53/AN8</f>
        <v>7.715562565720295E-2</v>
      </c>
      <c r="AO62" s="137">
        <f>AO53/AO8</f>
        <v>8.3927310087972773E-2</v>
      </c>
      <c r="AP62" s="137">
        <f>AP53/AP8</f>
        <v>8.174692049272117E-2</v>
      </c>
      <c r="AQ62" s="137">
        <f>AQ53/AQ8</f>
        <v>6.6646525679758303E-2</v>
      </c>
      <c r="AR62" s="136">
        <f t="shared" si="491"/>
        <v>7.7302273504805147E-2</v>
      </c>
      <c r="AS62" s="137">
        <f>AS53/AS8</f>
        <v>6.70690811535882E-2</v>
      </c>
      <c r="AT62" s="137">
        <f>AT53/AT8</f>
        <v>9.272804207217554E-2</v>
      </c>
      <c r="AU62" s="137">
        <f t="shared" si="491"/>
        <v>9.6688667005133414E-2</v>
      </c>
      <c r="AV62" s="137">
        <f t="shared" si="491"/>
        <v>8.1615954998721554E-2</v>
      </c>
      <c r="AW62" s="136">
        <f t="shared" si="491"/>
        <v>8.50221866589074E-2</v>
      </c>
      <c r="AX62" s="137">
        <f t="shared" ref="AX62:BB62" si="492">AX53/AX8</f>
        <v>8.0998813393179589E-2</v>
      </c>
      <c r="AY62" s="137">
        <f t="shared" si="492"/>
        <v>7.7380654836290932E-2</v>
      </c>
      <c r="AZ62" s="137">
        <f t="shared" si="492"/>
        <v>7.8128748500599754E-2</v>
      </c>
      <c r="BA62" s="137">
        <f t="shared" si="492"/>
        <v>7.304277643260694E-2</v>
      </c>
      <c r="BB62" s="136">
        <f t="shared" si="492"/>
        <v>7.7238120884232167E-2</v>
      </c>
      <c r="BC62" s="137">
        <f>BC53/BC8</f>
        <v>8.0876515111416927E-2</v>
      </c>
      <c r="BD62" s="137">
        <f>BD53/BD8</f>
        <v>7.8661471464588587E-2</v>
      </c>
      <c r="BE62" s="137">
        <f>BE53/BE8</f>
        <v>8.1473113420695895E-2</v>
      </c>
      <c r="BF62" s="137">
        <f>BF53/BF8</f>
        <v>6.3711352342193162E-2</v>
      </c>
      <c r="BG62" s="136">
        <f t="shared" si="491"/>
        <v>7.5757820635070916E-2</v>
      </c>
      <c r="BH62" s="137">
        <f t="shared" si="491"/>
        <v>7.5348155387246513E-2</v>
      </c>
      <c r="BI62" s="137">
        <f>BI53/BI8</f>
        <v>8.1061465184849177E-2</v>
      </c>
      <c r="BJ62" s="137">
        <f t="shared" si="491"/>
        <v>8.9093508240834174E-2</v>
      </c>
      <c r="BK62" s="137">
        <f t="shared" si="491"/>
        <v>8.2761157430112794E-2</v>
      </c>
      <c r="BL62" s="136">
        <f t="shared" si="491"/>
        <v>8.2336220003966412E-2</v>
      </c>
      <c r="BM62" s="137">
        <f t="shared" ref="BM62:BQ62" si="493">BM53/BM8</f>
        <v>9.1155356900988763E-2</v>
      </c>
      <c r="BN62" s="137">
        <f t="shared" ref="BN62" si="494">BN53/BN8</f>
        <v>6.8573524019068577E-2</v>
      </c>
      <c r="BO62" s="137">
        <f t="shared" si="493"/>
        <v>9.9810437541104108E-2</v>
      </c>
      <c r="BP62" s="137">
        <f t="shared" ref="BP62" si="495">BP53/BP8</f>
        <v>4.9251262037076318E-2</v>
      </c>
      <c r="BQ62" s="136">
        <f t="shared" si="493"/>
        <v>7.7439290842124975E-2</v>
      </c>
      <c r="BR62" s="137">
        <f t="shared" ref="BR62:BS62" si="496">BR53/BR8</f>
        <v>7.9003181336161188E-2</v>
      </c>
      <c r="BS62" s="137">
        <f t="shared" si="496"/>
        <v>-1.6925873560896788E-2</v>
      </c>
      <c r="BT62" s="137">
        <f t="shared" ref="BT62:BV62" si="497">BT53/BT8</f>
        <v>9.5489162272993561E-2</v>
      </c>
      <c r="BU62" s="137">
        <f t="shared" si="497"/>
        <v>9.3747315983852955E-2</v>
      </c>
      <c r="BV62" s="136">
        <f t="shared" si="497"/>
        <v>6.1689101310126782E-2</v>
      </c>
      <c r="BW62" s="137">
        <f t="shared" ref="BW62:CA62" si="498">BW53/BW8</f>
        <v>0.10045079914393698</v>
      </c>
      <c r="BX62" s="137">
        <f t="shared" si="498"/>
        <v>0.1097566266105592</v>
      </c>
      <c r="BY62" s="137">
        <f t="shared" si="498"/>
        <v>0.10857449531437063</v>
      </c>
      <c r="BZ62" s="137">
        <f t="shared" si="498"/>
        <v>0.12022607993540574</v>
      </c>
      <c r="CA62" s="136">
        <f t="shared" si="498"/>
        <v>0.11003670017552258</v>
      </c>
      <c r="CB62" s="137">
        <f t="shared" ref="CB62:CF62" si="499">CB53/CB8</f>
        <v>0.1229578308100248</v>
      </c>
      <c r="CC62" s="137">
        <f t="shared" si="499"/>
        <v>0.11171572264819853</v>
      </c>
      <c r="CD62" s="137">
        <f t="shared" si="499"/>
        <v>8.8562793287202735E-2</v>
      </c>
      <c r="CE62" s="137">
        <f t="shared" si="499"/>
        <v>0.14731307999012033</v>
      </c>
      <c r="CF62" s="136">
        <f t="shared" si="499"/>
        <v>0.11853412046238888</v>
      </c>
      <c r="CG62" s="137">
        <f t="shared" ref="CG62:CK62" si="500">CG53/CG8</f>
        <v>0.10254396299690187</v>
      </c>
      <c r="CH62" s="137">
        <f t="shared" si="500"/>
        <v>-0.21458954986984954</v>
      </c>
      <c r="CI62" s="137">
        <f t="shared" si="500"/>
        <v>6.3013013013013014E-2</v>
      </c>
      <c r="CJ62" s="137">
        <f t="shared" si="500"/>
        <v>-0.12305287253643013</v>
      </c>
      <c r="CK62" s="136">
        <f t="shared" si="500"/>
        <v>-2.5797097663240117E-2</v>
      </c>
      <c r="CL62" s="137">
        <f t="shared" ref="CL62:CP62" si="501">CL53/CL8</f>
        <v>-8.0021291696238464E-2</v>
      </c>
      <c r="CM62" s="137">
        <f t="shared" si="501"/>
        <v>-0.25103752011518593</v>
      </c>
      <c r="CN62" s="137">
        <f t="shared" si="501"/>
        <v>-2.836127024542047E-2</v>
      </c>
      <c r="CO62" s="137">
        <f t="shared" si="501"/>
        <v>-0.52594093047569268</v>
      </c>
      <c r="CP62" s="136">
        <f t="shared" si="501"/>
        <v>-0.21952267959696001</v>
      </c>
      <c r="CQ62" s="137">
        <f t="shared" ref="CQ62:CV62" si="502">CQ53/CQ8</f>
        <v>-5.4544259709535386E-3</v>
      </c>
      <c r="CR62" s="137">
        <f t="shared" si="502"/>
        <v>6.0183551006000709E-2</v>
      </c>
      <c r="CS62" s="137">
        <f t="shared" si="502"/>
        <v>2.1534232229349391E-2</v>
      </c>
      <c r="CT62" s="137">
        <f t="shared" si="502"/>
        <v>-0.28195768268775773</v>
      </c>
      <c r="CU62" s="136">
        <f t="shared" si="502"/>
        <v>-4.6591529396654147E-2</v>
      </c>
      <c r="CV62" s="137">
        <f t="shared" si="502"/>
        <v>-8.3553713101279389E-2</v>
      </c>
      <c r="CW62" s="137">
        <f t="shared" ref="CW62:DA62" si="503">CW53/CW8</f>
        <v>4.6400095917510938E-2</v>
      </c>
      <c r="CX62" s="137">
        <f t="shared" si="503"/>
        <v>-0.17541990473802957</v>
      </c>
      <c r="CY62" s="137">
        <f t="shared" si="503"/>
        <v>-1.7667667667667669E-2</v>
      </c>
      <c r="CZ62" s="136">
        <f t="shared" si="503"/>
        <v>-5.3251861638241652E-2</v>
      </c>
      <c r="DA62" s="137">
        <f t="shared" si="503"/>
        <v>-8.3142681769990522E-3</v>
      </c>
      <c r="DB62" s="137">
        <f t="shared" ref="DB62:DD62" si="504">DB53/DB8</f>
        <v>-5.0124044352184696E-3</v>
      </c>
      <c r="DC62" s="137">
        <f t="shared" si="504"/>
        <v>-4.4631020768890854E-2</v>
      </c>
      <c r="DD62" s="137">
        <f t="shared" si="504"/>
        <v>1.2853120174402762E-2</v>
      </c>
      <c r="DE62" s="136">
        <f t="shared" ref="DE62:DF62" si="505">DE53/DE8</f>
        <v>-9.9364989587885956E-3</v>
      </c>
      <c r="DF62" s="137">
        <f t="shared" si="505"/>
        <v>-5.1904158368036692E-3</v>
      </c>
      <c r="DG62" s="137">
        <f t="shared" ref="DG62:DI62" si="506">DG53/DG8</f>
        <v>-6.4627060358116925E-2</v>
      </c>
      <c r="DH62" s="137">
        <f t="shared" si="506"/>
        <v>-0.32292600896860985</v>
      </c>
      <c r="DI62" s="137">
        <f t="shared" si="506"/>
        <v>-0.24734286838997507</v>
      </c>
      <c r="DJ62" s="136">
        <f t="shared" ref="DJ62:DN62" si="507">DJ53/DJ8</f>
        <v>-0.16096636949952645</v>
      </c>
      <c r="DK62" s="137">
        <f t="shared" si="507"/>
        <v>2.364587607714403E-2</v>
      </c>
      <c r="DL62" s="137">
        <f t="shared" si="507"/>
        <v>-7.7366038067607371E-3</v>
      </c>
      <c r="DM62" s="137">
        <f t="shared" si="507"/>
        <v>-0.2054576708207993</v>
      </c>
      <c r="DN62" s="137">
        <f t="shared" si="507"/>
        <v>0.36650242191414734</v>
      </c>
      <c r="DO62" s="136">
        <f t="shared" ref="DO62:DS62" si="508">DO53/DO8</f>
        <v>4.78521847020556E-2</v>
      </c>
      <c r="DP62" s="137">
        <f t="shared" si="508"/>
        <v>2.0164738713597696E-2</v>
      </c>
      <c r="DQ62" s="137">
        <f t="shared" si="508"/>
        <v>6.3517915309446258E-3</v>
      </c>
      <c r="DR62" s="137">
        <f t="shared" si="508"/>
        <v>2.2661540194463144E-2</v>
      </c>
      <c r="DS62" s="137">
        <f t="shared" si="508"/>
        <v>3.7454924225012634E-2</v>
      </c>
      <c r="DT62" s="136">
        <f t="shared" ref="DT62:DX62" si="509">DT53/DT8</f>
        <v>2.1940984886210713E-2</v>
      </c>
      <c r="DU62" s="137">
        <f t="shared" si="509"/>
        <v>2.3656388262186377E-2</v>
      </c>
      <c r="DV62" s="137">
        <f t="shared" si="509"/>
        <v>4.6828887684188705E-2</v>
      </c>
      <c r="DW62" s="137">
        <f t="shared" si="509"/>
        <v>6.2224974262190098E-2</v>
      </c>
      <c r="DX62" s="137">
        <f t="shared" si="509"/>
        <v>7.0734803823593442E-2</v>
      </c>
      <c r="DY62" s="136">
        <f t="shared" ref="DY62" si="510">DY53/DY8</f>
        <v>5.2187894624481437E-2</v>
      </c>
      <c r="DZ62" s="136">
        <f t="shared" ref="DZ62" si="511">DZ53/DZ8</f>
        <v>7.8965844020176534E-2</v>
      </c>
      <c r="EA62" s="136">
        <f t="shared" ref="EA62:EB62" si="512">EA53/EA8</f>
        <v>0.10181989325263052</v>
      </c>
      <c r="EB62" s="136">
        <f t="shared" si="512"/>
        <v>0.12638244364144399</v>
      </c>
    </row>
    <row r="63" spans="1:132" s="241" customFormat="1" ht="12" customHeight="1">
      <c r="B63" s="153" t="s">
        <v>225</v>
      </c>
      <c r="C63" s="136">
        <f>-C22/C21</f>
        <v>0.47800586510263932</v>
      </c>
      <c r="D63" s="136">
        <f t="shared" ref="D63:AK63" si="513">-D22/D21</f>
        <v>0.19828203292770222</v>
      </c>
      <c r="E63" s="136">
        <f t="shared" si="513"/>
        <v>0.3053549939831528</v>
      </c>
      <c r="F63" s="136">
        <f t="shared" si="513"/>
        <v>0.29043014338112705</v>
      </c>
      <c r="G63" s="136">
        <f t="shared" si="513"/>
        <v>0.20707070707070707</v>
      </c>
      <c r="H63" s="136">
        <f t="shared" si="513"/>
        <v>0.27075471698113207</v>
      </c>
      <c r="I63" s="136">
        <f t="shared" si="513"/>
        <v>-0.30545454545454548</v>
      </c>
      <c r="J63" s="137">
        <f t="shared" si="513"/>
        <v>0.31763417305585978</v>
      </c>
      <c r="K63" s="137">
        <f t="shared" si="513"/>
        <v>6.2399999999999997E-2</v>
      </c>
      <c r="L63" s="137">
        <f t="shared" si="513"/>
        <v>1.5730337078651686E-2</v>
      </c>
      <c r="M63" s="137">
        <f t="shared" si="513"/>
        <v>8.5217391304347831</v>
      </c>
      <c r="N63" s="136">
        <f t="shared" si="513"/>
        <v>7.1428571428571425E-2</v>
      </c>
      <c r="O63" s="137">
        <f t="shared" si="513"/>
        <v>0.11986301369863013</v>
      </c>
      <c r="P63" s="137">
        <f t="shared" si="513"/>
        <v>0.29863692688971499</v>
      </c>
      <c r="Q63" s="137">
        <f t="shared" si="513"/>
        <v>-0.24753694581280788</v>
      </c>
      <c r="R63" s="137">
        <f t="shared" si="513"/>
        <v>0.23863636363636365</v>
      </c>
      <c r="S63" s="136">
        <f t="shared" si="513"/>
        <v>9.1167080525008867E-2</v>
      </c>
      <c r="T63" s="137">
        <f t="shared" si="513"/>
        <v>0.29098360655737704</v>
      </c>
      <c r="U63" s="137">
        <f t="shared" si="513"/>
        <v>-16.777777777777779</v>
      </c>
      <c r="V63" s="137">
        <f t="shared" si="513"/>
        <v>0.29757085020242913</v>
      </c>
      <c r="W63" s="137">
        <f t="shared" si="513"/>
        <v>0.20903954802259886</v>
      </c>
      <c r="X63" s="136">
        <f t="shared" si="513"/>
        <v>0.30932999373825926</v>
      </c>
      <c r="Y63" s="137">
        <f t="shared" si="513"/>
        <v>0.35524372230428358</v>
      </c>
      <c r="Z63" s="137">
        <f t="shared" si="513"/>
        <v>0.33817034700315457</v>
      </c>
      <c r="AA63" s="137">
        <f t="shared" si="513"/>
        <v>0.30295411690760526</v>
      </c>
      <c r="AB63" s="137">
        <f t="shared" si="513"/>
        <v>0.35327455919395467</v>
      </c>
      <c r="AC63" s="136">
        <f t="shared" si="513"/>
        <v>0.33671134357633214</v>
      </c>
      <c r="AD63" s="137">
        <f t="shared" si="513"/>
        <v>0.34916351861845657</v>
      </c>
      <c r="AE63" s="137">
        <f t="shared" si="513"/>
        <v>0.34488067744418782</v>
      </c>
      <c r="AF63" s="137">
        <f t="shared" si="513"/>
        <v>0.40763226366001737</v>
      </c>
      <c r="AG63" s="137">
        <f t="shared" si="513"/>
        <v>0.72258064516129028</v>
      </c>
      <c r="AH63" s="136">
        <f t="shared" si="513"/>
        <v>0.33566958698372967</v>
      </c>
      <c r="AI63" s="137">
        <f t="shared" si="513"/>
        <v>0.34012875536480686</v>
      </c>
      <c r="AJ63" s="137">
        <f t="shared" si="513"/>
        <v>0.33355614973262032</v>
      </c>
      <c r="AK63" s="137">
        <f t="shared" si="513"/>
        <v>0.30574098798397864</v>
      </c>
      <c r="AL63" s="137">
        <f t="shared" ref="AL63:AR63" si="514">-AL22/AL21</f>
        <v>0.17225806451612904</v>
      </c>
      <c r="AM63" s="136">
        <f t="shared" si="514"/>
        <v>0.22876949740034663</v>
      </c>
      <c r="AN63" s="137">
        <f t="shared" si="514"/>
        <v>0.50571428571428567</v>
      </c>
      <c r="AO63" s="137">
        <f t="shared" si="514"/>
        <v>0.34793388429752065</v>
      </c>
      <c r="AP63" s="137">
        <f t="shared" si="514"/>
        <v>0.32717041800643087</v>
      </c>
      <c r="AQ63" s="137">
        <f t="shared" si="514"/>
        <v>-0.16251246261216351</v>
      </c>
      <c r="AR63" s="136">
        <f t="shared" si="514"/>
        <v>0.2653649877967606</v>
      </c>
      <c r="AS63" s="137">
        <f t="shared" ref="AS63:BA63" si="515">-AS22/AS21</f>
        <v>0.33416402356139557</v>
      </c>
      <c r="AT63" s="137">
        <f t="shared" si="515"/>
        <v>0.33894736842105261</v>
      </c>
      <c r="AU63" s="137">
        <f t="shared" si="515"/>
        <v>0.33373934226552981</v>
      </c>
      <c r="AV63" s="137">
        <f t="shared" si="515"/>
        <v>3.8802660753880266E-2</v>
      </c>
      <c r="AW63" s="136">
        <f t="shared" si="515"/>
        <v>0.25625811236788432</v>
      </c>
      <c r="AX63" s="137">
        <f t="shared" si="515"/>
        <v>0.36842105263157893</v>
      </c>
      <c r="AY63" s="137">
        <f t="shared" si="515"/>
        <v>0.33125864453665282</v>
      </c>
      <c r="AZ63" s="137">
        <f t="shared" si="515"/>
        <v>0.29519388312397599</v>
      </c>
      <c r="BA63" s="137">
        <f t="shared" si="515"/>
        <v>0.36286644951140062</v>
      </c>
      <c r="BB63" s="136">
        <f t="shared" ref="BB63:BH63" si="516">-BB22/BB21</f>
        <v>0.33973057135120505</v>
      </c>
      <c r="BC63" s="137">
        <f t="shared" si="516"/>
        <v>0.23087621696801114</v>
      </c>
      <c r="BD63" s="137">
        <f t="shared" si="516"/>
        <v>0.33435394978567057</v>
      </c>
      <c r="BE63" s="137">
        <f t="shared" si="516"/>
        <v>0.32831499710480599</v>
      </c>
      <c r="BF63" s="137">
        <f t="shared" si="516"/>
        <v>0.14012827663134397</v>
      </c>
      <c r="BG63" s="136">
        <f t="shared" si="516"/>
        <v>0.26410371606443739</v>
      </c>
      <c r="BH63" s="137">
        <f t="shared" si="516"/>
        <v>0.33858807402330365</v>
      </c>
      <c r="BI63" s="137">
        <f t="shared" ref="BI63:BM63" si="517">-BI22/BI21</f>
        <v>3.7274315666860805E-2</v>
      </c>
      <c r="BJ63" s="137">
        <f t="shared" si="517"/>
        <v>0.32939438700147711</v>
      </c>
      <c r="BK63" s="137">
        <f t="shared" si="517"/>
        <v>0.24041450777202072</v>
      </c>
      <c r="BL63" s="136">
        <f>-BL22/BL21</f>
        <v>0.23693428611461398</v>
      </c>
      <c r="BM63" s="137">
        <f t="shared" si="517"/>
        <v>0.31346351490236385</v>
      </c>
      <c r="BN63" s="137">
        <f t="shared" ref="BN63:BO63" si="518">-BN22/BN21</f>
        <v>0.31608133086876156</v>
      </c>
      <c r="BO63" s="137">
        <f t="shared" si="518"/>
        <v>0.31483715319662242</v>
      </c>
      <c r="BP63" s="137">
        <f t="shared" ref="BP63" si="519">-BP22/BP21</f>
        <v>6.6424021838034572E-2</v>
      </c>
      <c r="BQ63" s="136">
        <f>-BQ22/BQ21</f>
        <v>0.27658979734451433</v>
      </c>
      <c r="BR63" s="137">
        <f t="shared" ref="BR63:CY63" si="520">-BR22/BR21</f>
        <v>0.29982768523836878</v>
      </c>
      <c r="BS63" s="137">
        <f t="shared" si="520"/>
        <v>0.51148225469728603</v>
      </c>
      <c r="BT63" s="137">
        <f t="shared" si="520"/>
        <v>-3.4498411257376307E-2</v>
      </c>
      <c r="BU63" s="137">
        <f t="shared" si="520"/>
        <v>0.22444127436994771</v>
      </c>
      <c r="BV63" s="136">
        <f>-BV22/BV21</f>
        <v>0.12086925287356322</v>
      </c>
      <c r="BW63" s="137">
        <f t="shared" si="520"/>
        <v>0.26386946386946386</v>
      </c>
      <c r="BX63" s="137">
        <f t="shared" si="520"/>
        <v>0.28960194963444352</v>
      </c>
      <c r="BY63" s="137">
        <f t="shared" si="520"/>
        <v>0.29926442121564073</v>
      </c>
      <c r="BZ63" s="137">
        <f t="shared" si="520"/>
        <v>-0.13815563935550224</v>
      </c>
      <c r="CA63" s="136">
        <f>-CA22/CA21</f>
        <v>0.16315424953002869</v>
      </c>
      <c r="CB63" s="137">
        <f t="shared" si="520"/>
        <v>0.12750968650933428</v>
      </c>
      <c r="CC63" s="137">
        <f t="shared" si="520"/>
        <v>0.15081206496519722</v>
      </c>
      <c r="CD63" s="137">
        <f t="shared" si="520"/>
        <v>-0.10782934833567745</v>
      </c>
      <c r="CE63" s="137">
        <f t="shared" si="520"/>
        <v>0.15373208106772121</v>
      </c>
      <c r="CF63" s="136">
        <f>-CF22/CF21</f>
        <v>9.8586694243364359E-2</v>
      </c>
      <c r="CG63" s="137">
        <f t="shared" si="520"/>
        <v>7.8868409772824694E-2</v>
      </c>
      <c r="CH63" s="137">
        <f t="shared" si="520"/>
        <v>0.14152319813247738</v>
      </c>
      <c r="CI63" s="137">
        <f t="shared" si="520"/>
        <v>8.4961767204757861E-3</v>
      </c>
      <c r="CJ63" s="137">
        <f t="shared" si="520"/>
        <v>0.56874466268146884</v>
      </c>
      <c r="CK63" s="136">
        <f>-CK22/CK21</f>
        <v>0.71845949535192566</v>
      </c>
      <c r="CL63" s="137">
        <f t="shared" si="520"/>
        <v>0.57351962741184304</v>
      </c>
      <c r="CM63" s="137">
        <f t="shared" si="520"/>
        <v>0.30032135553607947</v>
      </c>
      <c r="CN63" s="137">
        <f t="shared" si="520"/>
        <v>0.4962162162162162</v>
      </c>
      <c r="CO63" s="137">
        <f t="shared" si="520"/>
        <v>2.1565217391304348E-2</v>
      </c>
      <c r="CP63" s="136">
        <f>-CP22/CP21</f>
        <v>0.17511743575573363</v>
      </c>
      <c r="CQ63" s="137">
        <f t="shared" si="520"/>
        <v>1.9230769230769232E-2</v>
      </c>
      <c r="CR63" s="137">
        <f t="shared" si="520"/>
        <v>-3.2786885245901641E-2</v>
      </c>
      <c r="CS63" s="137">
        <f t="shared" si="520"/>
        <v>0.5741935483870968</v>
      </c>
      <c r="CT63" s="137">
        <f t="shared" si="520"/>
        <v>0.11404255319148936</v>
      </c>
      <c r="CU63" s="136">
        <f>-CU22/CU21</f>
        <v>0.14762567057421022</v>
      </c>
      <c r="CV63" s="137">
        <f t="shared" si="520"/>
        <v>0.23238566131025959</v>
      </c>
      <c r="CW63" s="137">
        <f t="shared" si="520"/>
        <v>0.5755968169761273</v>
      </c>
      <c r="CX63" s="137">
        <f t="shared" si="520"/>
        <v>-5.6194125159642401E-2</v>
      </c>
      <c r="CY63" s="137">
        <f t="shared" si="520"/>
        <v>-2.1571648690292759E-2</v>
      </c>
      <c r="CZ63" s="136">
        <f>-CZ22/CZ21</f>
        <v>-6.1728395061728392E-3</v>
      </c>
      <c r="DA63" s="137">
        <f t="shared" ref="DA63:DF63" si="521">-DA22/DA21</f>
        <v>0.14314516129032259</v>
      </c>
      <c r="DB63" s="137">
        <f t="shared" si="521"/>
        <v>0.62749999999999995</v>
      </c>
      <c r="DC63" s="137">
        <f t="shared" si="521"/>
        <v>-0.48909090909090908</v>
      </c>
      <c r="DD63" s="137">
        <f t="shared" si="521"/>
        <v>-2.3333333333333335</v>
      </c>
      <c r="DE63" s="136">
        <f>-DE22/DE21</f>
        <v>-0.11820448877805487</v>
      </c>
      <c r="DF63" s="137">
        <f t="shared" si="521"/>
        <v>6.0846560846560843E-2</v>
      </c>
      <c r="DG63" s="137">
        <f t="shared" ref="DG63:DI63" si="522">-DG22/DG21</f>
        <v>5.0165016501650166E-2</v>
      </c>
      <c r="DH63" s="137">
        <f t="shared" si="522"/>
        <v>8.0334190231362464E-3</v>
      </c>
      <c r="DI63" s="137">
        <f t="shared" si="522"/>
        <v>5.6682140239433181E-2</v>
      </c>
      <c r="DJ63" s="136">
        <f>-DJ22/DJ21</f>
        <v>3.1203931203931203E-2</v>
      </c>
      <c r="DK63" s="137">
        <f t="shared" ref="DK63:DN63" si="523">-DK22/DK21</f>
        <v>1.4078947368421053</v>
      </c>
      <c r="DL63" s="137">
        <f t="shared" si="523"/>
        <v>-9.0909090909090912E-2</v>
      </c>
      <c r="DM63" s="137">
        <f t="shared" si="523"/>
        <v>-2.6928255433737256E-2</v>
      </c>
      <c r="DN63" s="137">
        <f t="shared" si="523"/>
        <v>1.1900468806346917E-2</v>
      </c>
      <c r="DO63" s="136">
        <f>-DO22/DO21</f>
        <v>0.15066413662239089</v>
      </c>
      <c r="DP63" s="137">
        <f t="shared" ref="DP63:DQ63" si="524">-DP22/DP21</f>
        <v>1.2692307692307692</v>
      </c>
      <c r="DQ63" s="137">
        <f t="shared" si="524"/>
        <v>-0.17260273972602741</v>
      </c>
      <c r="DR63" s="138">
        <v>0.25</v>
      </c>
      <c r="DS63" s="138">
        <v>0.11</v>
      </c>
      <c r="DT63" s="136">
        <f>-DT22/DT21</f>
        <v>0.41658232982009313</v>
      </c>
      <c r="DU63" s="138">
        <v>0.15</v>
      </c>
      <c r="DV63" s="138">
        <v>0.15</v>
      </c>
      <c r="DW63" s="138">
        <v>0.15</v>
      </c>
      <c r="DX63" s="138">
        <v>0.15</v>
      </c>
      <c r="DY63" s="136">
        <f>-DY22/DY21</f>
        <v>0.15</v>
      </c>
      <c r="DZ63" s="139">
        <v>0.15</v>
      </c>
      <c r="EA63" s="139">
        <v>0.15</v>
      </c>
      <c r="EB63" s="139">
        <v>0.15</v>
      </c>
    </row>
    <row r="64" spans="1:132" s="68" customFormat="1" ht="12" customHeight="1">
      <c r="B64" s="153" t="s">
        <v>226</v>
      </c>
      <c r="C64" s="136">
        <f>C24/C8</f>
        <v>-3.88646288209607E-3</v>
      </c>
      <c r="D64" s="136">
        <f t="shared" ref="D64:BL64" si="525">D24/D8</f>
        <v>1.994515083520319E-2</v>
      </c>
      <c r="E64" s="136">
        <f t="shared" si="525"/>
        <v>3.9815150104322933E-2</v>
      </c>
      <c r="F64" s="136">
        <f t="shared" si="525"/>
        <v>4.1464507706396994E-2</v>
      </c>
      <c r="G64" s="136">
        <f t="shared" si="525"/>
        <v>4.8558369703426238E-2</v>
      </c>
      <c r="H64" s="136">
        <f t="shared" si="525"/>
        <v>4.2889641014259558E-2</v>
      </c>
      <c r="I64" s="136">
        <f t="shared" si="525"/>
        <v>1.4222046152322473E-2</v>
      </c>
      <c r="J64" s="295">
        <f t="shared" si="525"/>
        <v>4.807469712169149E-2</v>
      </c>
      <c r="K64" s="295">
        <f t="shared" si="525"/>
        <v>4.4773838630806848E-2</v>
      </c>
      <c r="L64" s="295">
        <f t="shared" si="525"/>
        <v>3.3302919708029198E-2</v>
      </c>
      <c r="M64" s="295">
        <f t="shared" si="525"/>
        <v>1.3048725297933323E-2</v>
      </c>
      <c r="N64" s="136">
        <f t="shared" si="525"/>
        <v>3.4695083592275577E-2</v>
      </c>
      <c r="O64" s="295">
        <f t="shared" si="525"/>
        <v>3.9578039578039577E-2</v>
      </c>
      <c r="P64" s="295">
        <f t="shared" si="525"/>
        <v>3.766302901250998E-2</v>
      </c>
      <c r="Q64" s="295">
        <f t="shared" si="525"/>
        <v>8.021220999287354E-2</v>
      </c>
      <c r="R64" s="295">
        <f t="shared" si="525"/>
        <v>3.302584325047532E-2</v>
      </c>
      <c r="S64" s="136">
        <f t="shared" si="525"/>
        <v>4.6713465220165923E-2</v>
      </c>
      <c r="T64" s="295">
        <f t="shared" si="525"/>
        <v>4.851374088614694E-2</v>
      </c>
      <c r="U64" s="295">
        <f t="shared" si="525"/>
        <v>-1.0676631522754571E-2</v>
      </c>
      <c r="V64" s="295">
        <f t="shared" si="525"/>
        <v>4.7085962412646717E-2</v>
      </c>
      <c r="W64" s="295">
        <f t="shared" si="525"/>
        <v>5.5869106664386298E-2</v>
      </c>
      <c r="X64" s="136">
        <f t="shared" si="525"/>
        <v>3.5852429709084997E-2</v>
      </c>
      <c r="Y64" s="295">
        <f t="shared" si="525"/>
        <v>5.6817442238854536E-2</v>
      </c>
      <c r="Z64" s="295">
        <f t="shared" si="525"/>
        <v>6.1604416255579046E-2</v>
      </c>
      <c r="AA64" s="295">
        <f t="shared" si="525"/>
        <v>6.7142943633831803E-2</v>
      </c>
      <c r="AB64" s="295">
        <f t="shared" si="525"/>
        <v>5.8762945585626822E-2</v>
      </c>
      <c r="AC64" s="136">
        <f t="shared" si="525"/>
        <v>6.1126425354361545E-2</v>
      </c>
      <c r="AD64" s="295">
        <f t="shared" si="525"/>
        <v>7.5422138836772984E-2</v>
      </c>
      <c r="AE64" s="295">
        <f t="shared" si="525"/>
        <v>5.017097040443344E-2</v>
      </c>
      <c r="AF64" s="295">
        <f t="shared" si="525"/>
        <v>4.4660955992937942E-2</v>
      </c>
      <c r="AG64" s="295">
        <f t="shared" si="525"/>
        <v>-6.7909033480732786E-3</v>
      </c>
      <c r="AH64" s="136">
        <f t="shared" si="525"/>
        <v>4.3573199362984122E-2</v>
      </c>
      <c r="AI64" s="295">
        <f t="shared" si="525"/>
        <v>3.7268209913949822E-2</v>
      </c>
      <c r="AJ64" s="295">
        <f t="shared" si="525"/>
        <v>5.8120554972601143E-2</v>
      </c>
      <c r="AK64" s="295">
        <f t="shared" si="525"/>
        <v>-9.3480345158197503E-2</v>
      </c>
      <c r="AL64" s="295">
        <f>AL24/AL8</f>
        <v>7.1528126219546184E-2</v>
      </c>
      <c r="AM64" s="136">
        <f t="shared" si="525"/>
        <v>1.9551558998843015E-2</v>
      </c>
      <c r="AN64" s="295">
        <f>AN24/AN8</f>
        <v>3.4108832807570981E-2</v>
      </c>
      <c r="AO64" s="295">
        <f>AO24/AO8</f>
        <v>5.0664611828164133E-2</v>
      </c>
      <c r="AP64" s="295">
        <f>AP24/AP8</f>
        <v>4.9331054399717099E-2</v>
      </c>
      <c r="AQ64" s="295">
        <f>AQ24/AQ8</f>
        <v>7.0453172205438064E-2</v>
      </c>
      <c r="AR64" s="136">
        <f t="shared" si="525"/>
        <v>5.1488197057817313E-2</v>
      </c>
      <c r="AS64" s="295">
        <f>AS24/AS8</f>
        <v>3.9423205902079136E-2</v>
      </c>
      <c r="AT64" s="295">
        <f>AT24/AT8</f>
        <v>5.6942513449797498E-2</v>
      </c>
      <c r="AU64" s="295">
        <f t="shared" si="525"/>
        <v>6.1713769955435212E-2</v>
      </c>
      <c r="AV64" s="295">
        <f t="shared" si="525"/>
        <v>7.0938378931219639E-2</v>
      </c>
      <c r="AW64" s="136">
        <f t="shared" si="525"/>
        <v>5.8354550083654616E-2</v>
      </c>
      <c r="AX64" s="295">
        <f t="shared" ref="AX64:BB64" si="526">AX24/AX8</f>
        <v>4.7670639219934995E-2</v>
      </c>
      <c r="AY64" s="295">
        <f t="shared" si="526"/>
        <v>4.8337915521119719E-2</v>
      </c>
      <c r="AZ64" s="295">
        <f t="shared" si="526"/>
        <v>5.1599360255897619E-2</v>
      </c>
      <c r="BA64" s="295">
        <f t="shared" si="526"/>
        <v>4.385256927629809E-2</v>
      </c>
      <c r="BB64" s="136">
        <f t="shared" si="526"/>
        <v>4.7753922984650782E-2</v>
      </c>
      <c r="BC64" s="295">
        <f>BC24/BC8</f>
        <v>5.8540200074101517E-2</v>
      </c>
      <c r="BD64" s="295">
        <f>BD24/BD8</f>
        <v>4.9828099931239975E-2</v>
      </c>
      <c r="BE64" s="295">
        <f>BE24/BE8</f>
        <v>5.2417532760957973E-2</v>
      </c>
      <c r="BF64" s="295">
        <f>BF24/BF8</f>
        <v>5.1855339830316136E-2</v>
      </c>
      <c r="BG64" s="136">
        <f t="shared" si="525"/>
        <v>5.294643248821914E-2</v>
      </c>
      <c r="BH64" s="295">
        <f t="shared" si="525"/>
        <v>4.7153677009528466E-2</v>
      </c>
      <c r="BI64" s="295">
        <f>BI24/BI8</f>
        <v>7.4982989339986386E-2</v>
      </c>
      <c r="BJ64" s="295">
        <f t="shared" si="525"/>
        <v>5.7265388496468214E-2</v>
      </c>
      <c r="BK64" s="295">
        <f t="shared" si="525"/>
        <v>5.9914991008664376E-2</v>
      </c>
      <c r="BL64" s="136">
        <f t="shared" si="525"/>
        <v>6.000308499151627E-2</v>
      </c>
      <c r="BM64" s="295">
        <f t="shared" ref="BM64:BQ64" si="527">BM24/BM8</f>
        <v>6.0318750282179784E-2</v>
      </c>
      <c r="BN64" s="295">
        <f t="shared" ref="BN64" si="528">BN24/BN8</f>
        <v>4.5226744896711892E-2</v>
      </c>
      <c r="BO64" s="295">
        <f t="shared" si="527"/>
        <v>6.5921312236450147E-2</v>
      </c>
      <c r="BP64" s="295">
        <f t="shared" si="527"/>
        <v>4.3524371102532558E-2</v>
      </c>
      <c r="BQ64" s="136">
        <f t="shared" si="527"/>
        <v>5.3852716565744842E-2</v>
      </c>
      <c r="BR64" s="295">
        <f t="shared" ref="BR64" si="529">BR24/BR8</f>
        <v>5.386178861788618E-2</v>
      </c>
      <c r="BS64" s="295">
        <f t="shared" ref="BS64:CE64" si="530">BS24/BS8</f>
        <v>-9.452635831145223E-3</v>
      </c>
      <c r="BT64" s="295">
        <f t="shared" si="530"/>
        <v>9.5363628755544397E-2</v>
      </c>
      <c r="BU64" s="295">
        <f t="shared" si="530"/>
        <v>7.0042085373185611E-2</v>
      </c>
      <c r="BV64" s="136">
        <f t="shared" si="530"/>
        <v>5.1760053293292869E-2</v>
      </c>
      <c r="BW64" s="295">
        <f t="shared" si="530"/>
        <v>7.190018669459497E-2</v>
      </c>
      <c r="BX64" s="295">
        <f t="shared" si="530"/>
        <v>7.5875233178603965E-2</v>
      </c>
      <c r="BY64" s="295">
        <f t="shared" si="530"/>
        <v>7.4722371300004128E-2</v>
      </c>
      <c r="BZ64" s="295">
        <f t="shared" si="530"/>
        <v>0.13403310456197012</v>
      </c>
      <c r="CA64" s="136">
        <f t="shared" si="530"/>
        <v>8.9973937556512951E-2</v>
      </c>
      <c r="CB64" s="295">
        <f t="shared" si="530"/>
        <v>0.10593619023180224</v>
      </c>
      <c r="CC64" s="295">
        <f t="shared" si="530"/>
        <v>9.0526836507543909E-2</v>
      </c>
      <c r="CD64" s="295">
        <f t="shared" si="530"/>
        <v>9.3971208144436491E-2</v>
      </c>
      <c r="CE64" s="295">
        <f t="shared" si="530"/>
        <v>0.12081436787692743</v>
      </c>
      <c r="CF64" s="136">
        <f t="shared" ref="CF64:CJ64" si="531">CF24/CF8</f>
        <v>0.10343429548982962</v>
      </c>
      <c r="CG64" s="295">
        <f t="shared" si="531"/>
        <v>9.3773181480996642E-2</v>
      </c>
      <c r="CH64" s="295">
        <f t="shared" si="531"/>
        <v>-0.18678179163227732</v>
      </c>
      <c r="CI64" s="295">
        <f t="shared" si="531"/>
        <v>5.8408408408408406E-2</v>
      </c>
      <c r="CJ64" s="295">
        <f t="shared" si="531"/>
        <v>-5.63899279772207E-2</v>
      </c>
      <c r="CK64" s="136">
        <f t="shared" ref="CK64:CO64" si="532">CK24/CK8</f>
        <v>-8.3073185386434E-3</v>
      </c>
      <c r="CL64" s="295">
        <f t="shared" si="532"/>
        <v>-3.7142181215992429E-2</v>
      </c>
      <c r="CM64" s="295">
        <f t="shared" si="532"/>
        <v>-0.20123655458626238</v>
      </c>
      <c r="CN64" s="295">
        <f t="shared" si="532"/>
        <v>-3.1756135511705211E-2</v>
      </c>
      <c r="CO64" s="295">
        <f t="shared" si="532"/>
        <v>-0.55018295870360689</v>
      </c>
      <c r="CP64" s="136">
        <f t="shared" ref="CP64:CT64" si="533">CP24/CP8</f>
        <v>-0.20415076171807833</v>
      </c>
      <c r="CQ64" s="295">
        <f t="shared" si="533"/>
        <v>-3.5289478872313859E-2</v>
      </c>
      <c r="CR64" s="295">
        <f t="shared" si="533"/>
        <v>3.4533474526414872E-2</v>
      </c>
      <c r="CS64" s="295">
        <f t="shared" si="533"/>
        <v>-7.1344416808482788E-3</v>
      </c>
      <c r="CT64" s="295">
        <f t="shared" si="533"/>
        <v>-0.28006489555871023</v>
      </c>
      <c r="CU64" s="136">
        <f t="shared" ref="CU64:CV64" si="534">CU24/CU8</f>
        <v>-6.7462993289021611E-2</v>
      </c>
      <c r="CV64" s="295">
        <f t="shared" si="534"/>
        <v>-8.7127439067972268E-2</v>
      </c>
      <c r="CW64" s="295">
        <f t="shared" ref="CW64:CZ64" si="535">CW24/CW8</f>
        <v>1.15700497572088E-2</v>
      </c>
      <c r="CX64" s="295">
        <f t="shared" si="535"/>
        <v>-0.20525194284281775</v>
      </c>
      <c r="CY64" s="295">
        <f t="shared" si="535"/>
        <v>-3.173173173173173E-2</v>
      </c>
      <c r="CZ64" s="136">
        <f t="shared" si="535"/>
        <v>-7.4090199375450402E-2</v>
      </c>
      <c r="DA64" s="295">
        <f t="shared" ref="DA64:DD64" si="536">DA24/DA8</f>
        <v>-2.3101389431393338E-2</v>
      </c>
      <c r="DB64" s="295">
        <f t="shared" si="536"/>
        <v>-7.5439218267429496E-3</v>
      </c>
      <c r="DC64" s="295">
        <f t="shared" si="536"/>
        <v>-9.0366769774635439E-2</v>
      </c>
      <c r="DD64" s="295">
        <f t="shared" si="536"/>
        <v>-1.0445998728313198E-3</v>
      </c>
      <c r="DE64" s="136">
        <f t="shared" ref="DE64:DF64" si="537">DE24/DE8</f>
        <v>-2.8562614083348332E-2</v>
      </c>
      <c r="DF64" s="295">
        <f t="shared" si="537"/>
        <v>-2.0701309674693705E-2</v>
      </c>
      <c r="DG64" s="295">
        <f t="shared" ref="DG64:DI64" si="538">DG24/DG8</f>
        <v>-8.5319577848926839E-2</v>
      </c>
      <c r="DH64" s="295">
        <f t="shared" si="538"/>
        <v>-0.34585201793721976</v>
      </c>
      <c r="DI64" s="295">
        <f t="shared" si="538"/>
        <v>-0.25305078073743603</v>
      </c>
      <c r="DJ64" s="136">
        <f t="shared" ref="DJ64:DN64" si="539">DJ24/DJ8</f>
        <v>-0.17753356284859509</v>
      </c>
      <c r="DK64" s="295">
        <f t="shared" si="539"/>
        <v>-1.8978251949117767E-3</v>
      </c>
      <c r="DL64" s="295">
        <f t="shared" si="539"/>
        <v>-2.6858323442788695E-2</v>
      </c>
      <c r="DM64" s="295">
        <f t="shared" si="539"/>
        <v>-0.22935109583154276</v>
      </c>
      <c r="DN64" s="295">
        <f t="shared" si="539"/>
        <v>0.34324369467178889</v>
      </c>
      <c r="DO64" s="136">
        <f t="shared" ref="DO64:DS64" si="540">DO24/DO8</f>
        <v>2.4982394956574228E-2</v>
      </c>
      <c r="DP64" s="295">
        <f t="shared" si="540"/>
        <v>-1.8004230994283655E-4</v>
      </c>
      <c r="DQ64" s="295">
        <f t="shared" si="540"/>
        <v>-1.8078175895765471E-2</v>
      </c>
      <c r="DR64" s="295">
        <f t="shared" si="540"/>
        <v>5.9406686590739678E-3</v>
      </c>
      <c r="DS64" s="295">
        <f t="shared" si="540"/>
        <v>2.28239293692864E-2</v>
      </c>
      <c r="DT64" s="136">
        <f t="shared" ref="DT64:DX64" si="541">DT24/DT8</f>
        <v>3.0042591506616949E-3</v>
      </c>
      <c r="DU64" s="295">
        <f t="shared" si="541"/>
        <v>7.5577920392427677E-3</v>
      </c>
      <c r="DV64" s="295">
        <f t="shared" si="541"/>
        <v>2.962991940856417E-2</v>
      </c>
      <c r="DW64" s="295">
        <f t="shared" si="541"/>
        <v>4.413018399567889E-2</v>
      </c>
      <c r="DX64" s="295">
        <f t="shared" si="541"/>
        <v>5.3397360289236702E-2</v>
      </c>
      <c r="DY64" s="136">
        <f t="shared" ref="DY64" si="542">DY24/DY8</f>
        <v>3.4969016464559216E-2</v>
      </c>
      <c r="DZ64" s="136">
        <f t="shared" ref="DZ64" si="543">DZ24/DZ8</f>
        <v>5.9838868614941407E-2</v>
      </c>
      <c r="EA64" s="136">
        <f t="shared" ref="EA64:EB64" si="544">EA24/EA8</f>
        <v>8.0570793070968982E-2</v>
      </c>
      <c r="EB64" s="136">
        <f t="shared" si="544"/>
        <v>0.10190440453580861</v>
      </c>
    </row>
    <row r="65" spans="1:132" s="68" customFormat="1" ht="12" customHeight="1">
      <c r="B65" s="153"/>
      <c r="C65" s="120"/>
      <c r="D65" s="120"/>
      <c r="E65" s="120"/>
      <c r="F65" s="120"/>
      <c r="G65" s="120"/>
      <c r="H65" s="120"/>
      <c r="I65" s="120"/>
      <c r="J65" s="121"/>
      <c r="K65" s="121"/>
      <c r="L65" s="121"/>
      <c r="M65" s="121"/>
      <c r="N65" s="120"/>
      <c r="O65" s="121"/>
      <c r="P65" s="121"/>
      <c r="Q65" s="121"/>
      <c r="R65" s="121"/>
      <c r="S65" s="120"/>
      <c r="T65" s="121"/>
      <c r="U65" s="121"/>
      <c r="V65" s="121"/>
      <c r="W65" s="121"/>
      <c r="X65" s="120"/>
      <c r="Y65" s="121"/>
      <c r="Z65" s="121"/>
      <c r="AA65" s="121"/>
      <c r="AB65" s="121"/>
      <c r="AC65" s="120"/>
      <c r="AD65" s="121"/>
      <c r="AE65" s="121"/>
      <c r="AF65" s="121"/>
      <c r="AG65" s="121"/>
      <c r="AH65" s="120"/>
      <c r="AI65" s="121"/>
      <c r="AJ65" s="121"/>
      <c r="AK65" s="121"/>
      <c r="AL65" s="121"/>
      <c r="AM65" s="120"/>
      <c r="AN65" s="121"/>
      <c r="AO65" s="121"/>
      <c r="AP65" s="121"/>
      <c r="AQ65" s="121"/>
      <c r="AR65" s="120"/>
      <c r="AS65" s="121"/>
      <c r="AT65" s="121"/>
      <c r="AU65" s="121"/>
      <c r="AV65" s="121"/>
      <c r="AW65" s="120"/>
      <c r="AX65" s="121"/>
      <c r="AY65" s="121"/>
      <c r="AZ65" s="121"/>
      <c r="BA65" s="121"/>
      <c r="BB65" s="120"/>
      <c r="BC65" s="121"/>
      <c r="BD65" s="121"/>
      <c r="BE65" s="121"/>
      <c r="BF65" s="121"/>
      <c r="BG65" s="120"/>
      <c r="BH65" s="121"/>
      <c r="BI65" s="121"/>
      <c r="BJ65" s="121"/>
      <c r="BK65" s="121"/>
      <c r="BL65" s="120"/>
      <c r="BM65" s="121"/>
      <c r="BN65" s="121"/>
      <c r="BO65" s="121"/>
      <c r="BP65" s="121"/>
      <c r="BQ65" s="120"/>
      <c r="BR65" s="121"/>
      <c r="BS65" s="121"/>
      <c r="BT65" s="121"/>
      <c r="BU65" s="121"/>
      <c r="BV65" s="120"/>
      <c r="BW65" s="121"/>
      <c r="BX65" s="121"/>
      <c r="BY65" s="121"/>
      <c r="BZ65" s="121"/>
      <c r="CA65" s="120"/>
      <c r="CB65" s="121"/>
      <c r="CC65" s="121"/>
      <c r="CD65" s="121"/>
      <c r="CE65" s="121"/>
      <c r="CF65" s="120"/>
      <c r="CG65" s="121"/>
      <c r="CH65" s="121"/>
      <c r="CI65" s="121"/>
      <c r="CJ65" s="121"/>
      <c r="CK65" s="120"/>
      <c r="CL65" s="121"/>
      <c r="CM65" s="121"/>
      <c r="CN65" s="121"/>
      <c r="CO65" s="121"/>
      <c r="CP65" s="120"/>
      <c r="CQ65" s="121"/>
      <c r="CR65" s="121"/>
      <c r="CS65" s="121"/>
      <c r="CT65" s="121"/>
      <c r="CU65" s="120"/>
      <c r="CV65" s="121"/>
      <c r="CW65" s="121"/>
      <c r="CX65" s="121"/>
      <c r="CY65" s="121"/>
      <c r="CZ65" s="120"/>
      <c r="DA65" s="121"/>
      <c r="DB65" s="121"/>
      <c r="DC65" s="121"/>
      <c r="DD65" s="121"/>
      <c r="DE65" s="120"/>
      <c r="DF65" s="121"/>
      <c r="DG65" s="121"/>
      <c r="DH65" s="121"/>
      <c r="DI65" s="121"/>
      <c r="DJ65" s="120"/>
      <c r="DK65" s="121"/>
      <c r="DL65" s="121"/>
      <c r="DM65" s="121"/>
      <c r="DN65" s="121"/>
      <c r="DO65" s="120"/>
      <c r="DP65" s="121"/>
      <c r="DQ65" s="121"/>
      <c r="DR65" s="121"/>
      <c r="DS65" s="121"/>
      <c r="DT65" s="120"/>
      <c r="DU65" s="121"/>
      <c r="DV65" s="121"/>
      <c r="DW65" s="121"/>
      <c r="DX65" s="121"/>
      <c r="DY65" s="120"/>
      <c r="DZ65" s="120"/>
      <c r="EA65" s="120"/>
      <c r="EB65" s="120"/>
    </row>
    <row r="66" spans="1:132" s="68" customFormat="1" ht="12" customHeight="1">
      <c r="B66" s="154" t="s">
        <v>227</v>
      </c>
      <c r="C66" s="120"/>
      <c r="D66" s="120"/>
      <c r="E66" s="120"/>
      <c r="F66" s="120"/>
      <c r="G66" s="120"/>
      <c r="H66" s="120"/>
      <c r="I66" s="120"/>
      <c r="J66" s="121"/>
      <c r="K66" s="121"/>
      <c r="L66" s="121"/>
      <c r="M66" s="121"/>
      <c r="N66" s="120"/>
      <c r="O66" s="121"/>
      <c r="P66" s="121"/>
      <c r="Q66" s="121"/>
      <c r="R66" s="121"/>
      <c r="S66" s="120"/>
      <c r="T66" s="121"/>
      <c r="U66" s="121"/>
      <c r="V66" s="121"/>
      <c r="W66" s="121"/>
      <c r="X66" s="120"/>
      <c r="Y66" s="121"/>
      <c r="Z66" s="121"/>
      <c r="AA66" s="121"/>
      <c r="AB66" s="121"/>
      <c r="AC66" s="120"/>
      <c r="AD66" s="121"/>
      <c r="AE66" s="121"/>
      <c r="AF66" s="121"/>
      <c r="AG66" s="121"/>
      <c r="AH66" s="120"/>
      <c r="AI66" s="121"/>
      <c r="AJ66" s="121"/>
      <c r="AK66" s="121"/>
      <c r="AL66" s="121"/>
      <c r="AM66" s="120"/>
      <c r="AN66" s="121"/>
      <c r="AO66" s="121"/>
      <c r="AP66" s="121"/>
      <c r="AQ66" s="121"/>
      <c r="AR66" s="120"/>
      <c r="AS66" s="121"/>
      <c r="AT66" s="121"/>
      <c r="AU66" s="121"/>
      <c r="AV66" s="121"/>
      <c r="AW66" s="120"/>
      <c r="AX66" s="121"/>
      <c r="AY66" s="121"/>
      <c r="AZ66" s="121"/>
      <c r="BA66" s="121"/>
      <c r="BB66" s="120"/>
      <c r="BC66" s="121"/>
      <c r="BD66" s="121"/>
      <c r="BE66" s="121"/>
      <c r="BF66" s="121"/>
      <c r="BG66" s="120"/>
      <c r="BH66" s="121"/>
      <c r="BI66" s="121"/>
      <c r="BJ66" s="121"/>
      <c r="BK66" s="121"/>
      <c r="BL66" s="120"/>
      <c r="BM66" s="121"/>
      <c r="BN66" s="121"/>
      <c r="BO66" s="121"/>
      <c r="BP66" s="121"/>
      <c r="BQ66" s="120"/>
      <c r="BR66" s="121"/>
      <c r="BS66" s="121"/>
      <c r="BT66" s="121"/>
      <c r="BU66" s="121"/>
      <c r="BV66" s="120"/>
      <c r="BW66" s="121"/>
      <c r="BX66" s="121"/>
      <c r="BY66" s="121"/>
      <c r="BZ66" s="121"/>
      <c r="CA66" s="120"/>
      <c r="CB66" s="121"/>
      <c r="CC66" s="121"/>
      <c r="CD66" s="121"/>
      <c r="CE66" s="121"/>
      <c r="CF66" s="120"/>
      <c r="CG66" s="121"/>
      <c r="CH66" s="121"/>
      <c r="CI66" s="121"/>
      <c r="CJ66" s="121"/>
      <c r="CK66" s="120"/>
      <c r="CL66" s="121"/>
      <c r="CM66" s="121"/>
      <c r="CN66" s="121"/>
      <c r="CO66" s="121"/>
      <c r="CP66" s="120"/>
      <c r="CQ66" s="121"/>
      <c r="CR66" s="121"/>
      <c r="CS66" s="121"/>
      <c r="CT66" s="121"/>
      <c r="CU66" s="120"/>
      <c r="CV66" s="121"/>
      <c r="CW66" s="121"/>
      <c r="CX66" s="121"/>
      <c r="CY66" s="121"/>
      <c r="CZ66" s="120"/>
      <c r="DA66" s="121"/>
      <c r="DB66" s="121"/>
      <c r="DC66" s="121"/>
      <c r="DD66" s="121"/>
      <c r="DE66" s="120"/>
      <c r="DF66" s="121"/>
      <c r="DG66" s="121"/>
      <c r="DH66" s="121"/>
      <c r="DI66" s="121"/>
      <c r="DJ66" s="120"/>
      <c r="DK66" s="121"/>
      <c r="DL66" s="121"/>
      <c r="DM66" s="121"/>
      <c r="DN66" s="121"/>
      <c r="DO66" s="120"/>
      <c r="DP66" s="121"/>
      <c r="DQ66" s="121"/>
      <c r="DR66" s="121"/>
      <c r="DS66" s="121"/>
      <c r="DT66" s="120"/>
      <c r="DU66" s="121"/>
      <c r="DV66" s="121"/>
      <c r="DW66" s="121"/>
      <c r="DX66" s="121"/>
      <c r="DY66" s="120"/>
      <c r="DZ66" s="120"/>
      <c r="EA66" s="120"/>
      <c r="EB66" s="120"/>
    </row>
    <row r="67" spans="1:132" s="68" customFormat="1" ht="12" customHeight="1">
      <c r="B67" s="153" t="s">
        <v>113</v>
      </c>
      <c r="C67" s="144"/>
      <c r="D67" s="144">
        <f t="shared" ref="D67:I67" si="545">IF(ISERROR(D8/C8-1),"",(D8/C8-1))</f>
        <v>0.22606986899563308</v>
      </c>
      <c r="E67" s="144">
        <f t="shared" si="545"/>
        <v>3.2749225344588018E-2</v>
      </c>
      <c r="F67" s="144">
        <f t="shared" si="545"/>
        <v>-0.11504836790647144</v>
      </c>
      <c r="G67" s="144">
        <f t="shared" si="545"/>
        <v>0.13399972720718623</v>
      </c>
      <c r="H67" s="144">
        <f t="shared" si="545"/>
        <v>-7.0947455239011692E-2</v>
      </c>
      <c r="I67" s="144">
        <f t="shared" si="545"/>
        <v>-6.6285672011688779E-2</v>
      </c>
      <c r="J67" s="145"/>
      <c r="K67" s="145"/>
      <c r="L67" s="145"/>
      <c r="M67" s="145"/>
      <c r="N67" s="144">
        <f>IF(ISERROR(N8/I8-1),"",(N8/I8-1))</f>
        <v>3.9061107259582117E-2</v>
      </c>
      <c r="O67" s="145">
        <f t="shared" ref="O67:AJ67" si="546">IF(ISERROR(O8/J8-1),"",(O8/J8-1))</f>
        <v>2.1606605447950233E-3</v>
      </c>
      <c r="P67" s="145">
        <f t="shared" si="546"/>
        <v>0.14822738386308076</v>
      </c>
      <c r="Q67" s="145">
        <f t="shared" si="546"/>
        <v>-3.9765815085158196E-2</v>
      </c>
      <c r="R67" s="145">
        <f t="shared" si="546"/>
        <v>7.112686679740543E-2</v>
      </c>
      <c r="S67" s="144">
        <f t="shared" si="546"/>
        <v>4.5522999790304386E-2</v>
      </c>
      <c r="T67" s="145">
        <f t="shared" si="546"/>
        <v>9.8329098329098308E-2</v>
      </c>
      <c r="U67" s="145">
        <f t="shared" si="546"/>
        <v>-2.794783071599638E-3</v>
      </c>
      <c r="V67" s="145">
        <f t="shared" si="546"/>
        <v>0.16707577797133588</v>
      </c>
      <c r="W67" s="145">
        <f t="shared" si="546"/>
        <v>0.23519470459826763</v>
      </c>
      <c r="X67" s="144">
        <f t="shared" si="546"/>
        <v>0.12188895979578818</v>
      </c>
      <c r="Y67" s="145">
        <f t="shared" si="546"/>
        <v>7.718732473359502E-2</v>
      </c>
      <c r="Z67" s="145">
        <f t="shared" si="546"/>
        <v>0.13626050980915516</v>
      </c>
      <c r="AA67" s="145">
        <f t="shared" si="546"/>
        <v>0.12063233597937439</v>
      </c>
      <c r="AB67" s="145">
        <f t="shared" si="546"/>
        <v>-3.6485947209394798E-3</v>
      </c>
      <c r="AC67" s="144">
        <f t="shared" si="546"/>
        <v>7.8937103851779655E-2</v>
      </c>
      <c r="AD67" s="145">
        <f t="shared" si="546"/>
        <v>4.0676863000325358E-2</v>
      </c>
      <c r="AE67" s="145">
        <f t="shared" si="546"/>
        <v>-3.8759689922480689E-3</v>
      </c>
      <c r="AF67" s="145">
        <f t="shared" si="546"/>
        <v>-7.4105467094508715E-2</v>
      </c>
      <c r="AG67" s="145">
        <f t="shared" si="546"/>
        <v>-0.27539051324598041</v>
      </c>
      <c r="AH67" s="144">
        <f t="shared" si="546"/>
        <v>-8.2516155271363356E-2</v>
      </c>
      <c r="AI67" s="145">
        <f t="shared" si="546"/>
        <v>3.2020012507817386E-2</v>
      </c>
      <c r="AJ67" s="145">
        <f t="shared" si="546"/>
        <v>1.1319419879731063E-2</v>
      </c>
      <c r="AK67" s="145">
        <f t="shared" ref="AK67:AS67" si="547">IF(ISERROR(AK8/AF8-1),"",(AK8/AF8-1))</f>
        <v>9.1218204407245151E-2</v>
      </c>
      <c r="AL67" s="145">
        <f>IF(ISERROR(AL8/AG8-1),"",(AL8/AG8-1))</f>
        <v>0.41637713202779536</v>
      </c>
      <c r="AM67" s="144">
        <f t="shared" si="547"/>
        <v>0.12103301646718867</v>
      </c>
      <c r="AN67" s="145">
        <f t="shared" si="547"/>
        <v>-7.7929947885104878E-2</v>
      </c>
      <c r="AO67" s="145">
        <f t="shared" si="547"/>
        <v>-9.2165092689751704E-2</v>
      </c>
      <c r="AP67" s="145">
        <f t="shared" si="547"/>
        <v>1.6718600191754529E-2</v>
      </c>
      <c r="AQ67" s="145">
        <f t="shared" si="547"/>
        <v>-7.7326197245916273E-2</v>
      </c>
      <c r="AR67" s="144">
        <f t="shared" ref="AR67:AW67" si="548">IF(ISERROR(AR8/AM8-1),"",(AR8/AM8-1))</f>
        <v>-5.8215316120150518E-2</v>
      </c>
      <c r="AS67" s="145">
        <f t="shared" si="547"/>
        <v>-2.011041009463721E-2</v>
      </c>
      <c r="AT67" s="145">
        <f t="shared" si="548"/>
        <v>6.2287292108135883E-2</v>
      </c>
      <c r="AU67" s="145">
        <f t="shared" si="548"/>
        <v>4.4792833146696465E-2</v>
      </c>
      <c r="AV67" s="145">
        <f t="shared" si="548"/>
        <v>0.18157099697885193</v>
      </c>
      <c r="AW67" s="144">
        <f t="shared" si="548"/>
        <v>6.8873822038379107E-2</v>
      </c>
      <c r="AX67" s="145">
        <f t="shared" ref="AX67:BI67" si="549">IF(ISERROR(AX8/AS8-1),"",(AX8/AS8-1))</f>
        <v>0.30000000000000004</v>
      </c>
      <c r="AY67" s="145">
        <f t="shared" si="549"/>
        <v>0.20927280420721761</v>
      </c>
      <c r="AZ67" s="145">
        <f t="shared" si="549"/>
        <v>0.12867377446832506</v>
      </c>
      <c r="BA67" s="145">
        <f t="shared" si="549"/>
        <v>0.14047558169266172</v>
      </c>
      <c r="BB67" s="144">
        <f t="shared" si="549"/>
        <v>0.18859387502727865</v>
      </c>
      <c r="BC67" s="145">
        <f t="shared" si="549"/>
        <v>-2.5279884434813993E-2</v>
      </c>
      <c r="BD67" s="145">
        <f t="shared" si="549"/>
        <v>9.0477380654836237E-2</v>
      </c>
      <c r="BE67" s="145">
        <f t="shared" si="549"/>
        <v>0.10605757696921225</v>
      </c>
      <c r="BF67" s="145">
        <f t="shared" si="549"/>
        <v>6.6514213971841096E-2</v>
      </c>
      <c r="BG67" s="144">
        <f t="shared" si="549"/>
        <v>6.0287889544419659E-2</v>
      </c>
      <c r="BH67" s="145">
        <f t="shared" ref="BH67:BQ67" si="550">IF(ISERROR(BH8/BC8-1),"",(BH8/BC8-1))</f>
        <v>8.3205419996824181E-2</v>
      </c>
      <c r="BI67" s="145">
        <f t="shared" si="549"/>
        <v>1.0543204217281721E-2</v>
      </c>
      <c r="BJ67" s="145">
        <f t="shared" si="550"/>
        <v>7.4740171712607273E-2</v>
      </c>
      <c r="BK67" s="145">
        <f t="shared" si="550"/>
        <v>2.869827709435202E-2</v>
      </c>
      <c r="BL67" s="144">
        <f t="shared" si="550"/>
        <v>4.777692863591132E-2</v>
      </c>
      <c r="BM67" s="145">
        <f t="shared" si="550"/>
        <v>8.2286831175177211E-2</v>
      </c>
      <c r="BN67" s="145">
        <f t="shared" si="550"/>
        <v>0.11331367657065083</v>
      </c>
      <c r="BO67" s="145">
        <f t="shared" si="550"/>
        <v>8.6823074335687922E-2</v>
      </c>
      <c r="BP67" s="145">
        <f t="shared" si="550"/>
        <v>-3.6578388098741255E-2</v>
      </c>
      <c r="BQ67" s="144">
        <f t="shared" si="550"/>
        <v>5.8967409268195992E-2</v>
      </c>
      <c r="BR67" s="145">
        <f t="shared" ref="BR67" si="551">IF(ISERROR(BR8/BM8-1),"",(BR8/BM8-1))</f>
        <v>2.1806853582554409E-2</v>
      </c>
      <c r="BS67" s="145">
        <f t="shared" ref="BS67" si="552">IF(ISERROR(BS8/BN8-1),"",(BS8/BN8-1))</f>
        <v>8.6379008271197932E-3</v>
      </c>
      <c r="BT67" s="145">
        <f t="shared" ref="BT67" si="553">IF(ISERROR(BT8/BO8-1),"",(BT8/BO8-1))</f>
        <v>-7.5476807613447328E-2</v>
      </c>
      <c r="BU67" s="145">
        <f t="shared" ref="BU67:BV67" si="554">IF(ISERROR(BU8/BP8-1),"",(BU8/BP8-1))</f>
        <v>-1.2174945912696744E-2</v>
      </c>
      <c r="BV67" s="144">
        <f t="shared" si="554"/>
        <v>-1.6053852716565786E-2</v>
      </c>
      <c r="BW67" s="145">
        <f t="shared" ref="BW67" si="555">IF(ISERROR(BW8/BR8-1),"",(BW8/BR8-1))</f>
        <v>-2.9648285613290914E-2</v>
      </c>
      <c r="BX67" s="145">
        <f t="shared" ref="BX67" si="556">IF(ISERROR(BX8/BS8-1),"",(BX8/BS8-1))</f>
        <v>-6.8834578872954966E-2</v>
      </c>
      <c r="BY67" s="145">
        <f t="shared" ref="BY67" si="557">IF(ISERROR(BY8/BT8-1),"",(BY8/BT8-1))</f>
        <v>1.3599464390325444E-2</v>
      </c>
      <c r="BZ67" s="145">
        <f t="shared" ref="BZ67" si="558">IF(ISERROR(BZ8/BU8-1),"",(BZ8/BU8-1))</f>
        <v>6.3729279395344784E-2</v>
      </c>
      <c r="CA67" s="144">
        <f t="shared" ref="CA67" si="559">IF(ISERROR(CA8/BV8-1),"",(CA8/BV8-1))</f>
        <v>-5.9849213818189417E-3</v>
      </c>
      <c r="CB67" s="145">
        <f t="shared" ref="CB67" si="560">IF(ISERROR(CB8/BW8-1),"",(CB8/BW8-1))</f>
        <v>6.4705614498429043E-2</v>
      </c>
      <c r="CC67" s="145">
        <f t="shared" ref="CC67" si="561">IF(ISERROR(CC8/BX8-1),"",(CC8/BX8-1))</f>
        <v>5.2362153485749019E-2</v>
      </c>
      <c r="CD67" s="145">
        <f t="shared" ref="CD67" si="562">IF(ISERROR(CD8/BY8-1),"",(CD8/BY8-1))</f>
        <v>3.8104281055195477E-2</v>
      </c>
      <c r="CE67" s="145">
        <f t="shared" ref="CE67" si="563">IF(ISERROR(CE8/BZ8-1),"",(CE8/BZ8-1))</f>
        <v>0.14416633023819125</v>
      </c>
      <c r="CF67" s="144">
        <f>IF(ISERROR(CF8/CA8-1),"",(CF8/CA8-1))</f>
        <v>7.5761927557044917E-2</v>
      </c>
      <c r="CG67" s="145">
        <f t="shared" ref="CG67" si="564">IF(ISERROR(CG8/CB8-1),"",(CG8/CB8-1))</f>
        <v>-1.9887092635360482E-2</v>
      </c>
      <c r="CH67" s="145">
        <f t="shared" ref="CH67" si="565">IF(ISERROR(CH8/CC8-1),"",(CH8/CC8-1))</f>
        <v>-0.35068843268200178</v>
      </c>
      <c r="CI67" s="145">
        <f t="shared" ref="CI67" si="566">IF(ISERROR(CI8/CD8-1),"",(CI8/CD8-1))</f>
        <v>-0.20544022906227632</v>
      </c>
      <c r="CJ67" s="145">
        <f t="shared" ref="CJ67" si="567">IF(ISERROR(CJ8/CE8-1),"",(CJ8/CE8-1))</f>
        <v>-0.3680180656998695</v>
      </c>
      <c r="CK67" s="144">
        <f>IF(ISERROR(CK8/CF8-1),"",(CK8/CF8-1))</f>
        <v>-0.24294204317343537</v>
      </c>
      <c r="CL67" s="145">
        <f t="shared" ref="CL67" si="568">IF(ISERROR(CL8/CG8-1),"",(CL8/CG8-1))</f>
        <v>-0.26220709516952478</v>
      </c>
      <c r="CM67" s="145">
        <f t="shared" ref="CM67" si="569">IF(ISERROR(CM8/CH8-1),"",(CM8/CH8-1))</f>
        <v>-0.25039680020316168</v>
      </c>
      <c r="CN67" s="145">
        <f t="shared" ref="CN67" si="570">IF(ISERROR(CN8/CI8-1),"",(CN8/CI8-1))</f>
        <v>-0.29234234234234235</v>
      </c>
      <c r="CO67" s="145">
        <f t="shared" ref="CO67" si="571">IF(ISERROR(CO8/CJ8-1),"",(CO8/CJ8-1))</f>
        <v>-0.14555301211545979</v>
      </c>
      <c r="CP67" s="144">
        <f>IF(ISERROR(CP8/CK8-1),"",(CP8/CK8-1))</f>
        <v>-0.24035057929178805</v>
      </c>
      <c r="CQ67" s="145">
        <f t="shared" ref="CQ67" si="572">IF(ISERROR(CQ8/CL8-1),"",(CQ8/CL8-1))</f>
        <v>-0.10001182872013248</v>
      </c>
      <c r="CR67" s="145">
        <f t="shared" ref="CR67" si="573">IF(ISERROR(CR8/CM8-1),"",(CR8/CM8-1))</f>
        <v>0.43965444228000328</v>
      </c>
      <c r="CS67" s="145">
        <f t="shared" ref="CS67" si="574">IF(ISERROR(CS8/CN8-1),"",(CS8/CN8-1))</f>
        <v>8.055732371454849E-2</v>
      </c>
      <c r="CT67" s="145">
        <f t="shared" ref="CT67" si="575">IF(ISERROR(CT8/CO8-1),"",(CT8/CO8-1))</f>
        <v>-3.3389963408259282E-2</v>
      </c>
      <c r="CU67" s="144">
        <f>IF(ISERROR(CU8/CP8-1),"",(CU8/CP8-1))</f>
        <v>7.0979057051480554E-2</v>
      </c>
      <c r="CV67" s="145">
        <f t="shared" ref="CV67:CW67" si="576">IF(ISERROR(CV8/CQ8-1),"",(CV8/CQ8-1))</f>
        <v>-8.0567786028783561E-2</v>
      </c>
      <c r="CW67" s="145">
        <f t="shared" si="576"/>
        <v>-1.8649252853276899E-2</v>
      </c>
      <c r="CX67" s="145">
        <f t="shared" ref="CX67" si="577">IF(ISERROR(CX8/CS8-1),"",(CX8/CS8-1))</f>
        <v>4.4377536326744238E-2</v>
      </c>
      <c r="CY67" s="145">
        <f t="shared" ref="CY67" si="578">IF(ISERROR(CY8/CT8-1),"",(CY8/CT8-1))</f>
        <v>0.35063881565605359</v>
      </c>
      <c r="CZ67" s="144">
        <f>IF(ISERROR(CZ8/CU8-1),"",(CZ8/CU8-1))</f>
        <v>6.9389589956009301E-2</v>
      </c>
      <c r="DA67" s="145">
        <f t="shared" ref="DA67" si="579">IF(ISERROR(DA8/CV8-1),"",(DA8/CV8-1))</f>
        <v>0.28089486098205985</v>
      </c>
      <c r="DB67" s="145">
        <f t="shared" ref="DB67" si="580">IF(ISERROR(DB8/CW8-1),"",(DB8/CW8-1))</f>
        <v>0.18404172411725916</v>
      </c>
      <c r="DC67" s="145">
        <f t="shared" ref="DC67" si="581">IF(ISERROR(DC8/CX8-1),"",(DC8/CX8-1))</f>
        <v>0.13462020556530452</v>
      </c>
      <c r="DD67" s="145">
        <f t="shared" ref="DD67" si="582">IF(ISERROR(DD8/CY8-1),"",(DD8/CY8-1))</f>
        <v>0.10200200200200205</v>
      </c>
      <c r="DE67" s="144">
        <f>IF(ISERROR(DE8/CZ8-1),"",(DE8/CZ8-1))</f>
        <v>0.16793778525102088</v>
      </c>
      <c r="DF67" s="145">
        <f t="shared" ref="DF67:DN67" si="583">IF(ISERROR(DF8/DA8-1),"",(DF8/DA8-1))</f>
        <v>-7.5442218626192714E-2</v>
      </c>
      <c r="DG67" s="145">
        <f t="shared" si="583"/>
        <v>-0.14606855349096248</v>
      </c>
      <c r="DH67" s="145">
        <f t="shared" si="583"/>
        <v>-1.4582412726469318E-2</v>
      </c>
      <c r="DI67" s="145">
        <f t="shared" si="583"/>
        <v>-0.30774820601326192</v>
      </c>
      <c r="DJ67" s="144">
        <f>IF(ISERROR(DJ8/DE8-1),"",(DJ8/DE8-1))</f>
        <v>-0.14495976553461709</v>
      </c>
      <c r="DK67" s="145">
        <f t="shared" si="583"/>
        <v>0.17665519946888764</v>
      </c>
      <c r="DL67" s="145">
        <f t="shared" si="583"/>
        <v>0.3488082532906438</v>
      </c>
      <c r="DM67" s="145">
        <f t="shared" si="583"/>
        <v>0.30437219730941711</v>
      </c>
      <c r="DN67" s="145">
        <f t="shared" si="583"/>
        <v>0.57118488387350741</v>
      </c>
      <c r="DO67" s="144">
        <f>IF(ISERROR(DO8/DJ8-1),"",(DO8/DJ8-1))</f>
        <v>0.34496444517942781</v>
      </c>
      <c r="DP67" s="145">
        <f t="shared" ref="DP67" si="584">IF(ISERROR(DP8/DK8-1),"",(DP8/DK8-1))</f>
        <v>0.13956709068526885</v>
      </c>
      <c r="DQ67" s="145">
        <f t="shared" ref="DQ67" si="585">IF(ISERROR(DQ8/DL8-1),"",(DQ8/DL8-1))</f>
        <v>7.9607894852520955E-2</v>
      </c>
      <c r="DR67" s="145">
        <f t="shared" ref="DR67" si="586">IF(ISERROR(DR8/DM8-1),"",(DR8/DM8-1))</f>
        <v>4.4196640435857582E-2</v>
      </c>
      <c r="DS67" s="145">
        <f t="shared" ref="DS67" si="587">IF(ISERROR(DS8/DN8-1),"",(DS8/DN8-1))</f>
        <v>8.9622493074988041E-2</v>
      </c>
      <c r="DT67" s="144">
        <f>IF(ISERROR(DT8/DO8-1),"",(DT8/DO8-1))</f>
        <v>8.6144386920874672E-2</v>
      </c>
      <c r="DU67" s="145">
        <f t="shared" ref="DU67" si="588">IF(ISERROR(DU8/DP8-1),"",(DU8/DP8-1))</f>
        <v>0.15747417376636585</v>
      </c>
      <c r="DV67" s="145">
        <f t="shared" ref="DV67" si="589">IF(ISERROR(DV8/DQ8-1),"",(DV8/DQ8-1))</f>
        <v>0.12658002749457631</v>
      </c>
      <c r="DW67" s="145">
        <f t="shared" ref="DW67" si="590">IF(ISERROR(DW8/DR8-1),"",(DW8/DR8-1))</f>
        <v>0.20265026301030065</v>
      </c>
      <c r="DX67" s="145">
        <f t="shared" ref="DX67" si="591">IF(ISERROR(DX8/DS8-1),"",(DX8/DS8-1))</f>
        <v>0.21634683587667447</v>
      </c>
      <c r="DY67" s="144">
        <f>IF(ISERROR(DY8/DT8-1),"",(DY8/DT8-1))</f>
        <v>0.1767722470674491</v>
      </c>
      <c r="DZ67" s="144">
        <f t="shared" ref="DZ67" si="592">IF(ISERROR(DZ8/DY8-1),"",(DZ8/DY8-1))</f>
        <v>0.10143878757176683</v>
      </c>
      <c r="EA67" s="144">
        <f t="shared" ref="EA67" si="593">IF(ISERROR(EA8/DZ8-1),"",(EA8/DZ8-1))</f>
        <v>0.10277861858474679</v>
      </c>
      <c r="EB67" s="144">
        <f t="shared" ref="EB67" si="594">IF(ISERROR(EB8/EA8-1),"",(EB8/EA8-1))</f>
        <v>6.0326878219804758E-2</v>
      </c>
    </row>
    <row r="68" spans="1:132" s="68" customFormat="1" ht="12" customHeight="1">
      <c r="B68" s="151" t="s">
        <v>218</v>
      </c>
      <c r="C68" s="144"/>
      <c r="D68" s="144">
        <f t="shared" ref="D68:I68" si="595">IF(ISERROR(D55/C55-1),"",(D55/C55-1))</f>
        <v>1.8912058023572076</v>
      </c>
      <c r="E68" s="144">
        <f t="shared" si="595"/>
        <v>0.50987770460959547</v>
      </c>
      <c r="F68" s="144">
        <f t="shared" si="595"/>
        <v>-5.7736240913811021E-2</v>
      </c>
      <c r="G68" s="144">
        <f t="shared" si="595"/>
        <v>0.24443464844610974</v>
      </c>
      <c r="H68" s="144">
        <f t="shared" si="595"/>
        <v>-4.9769748494509436E-2</v>
      </c>
      <c r="I68" s="144">
        <f t="shared" si="595"/>
        <v>-0.6460391425908667</v>
      </c>
      <c r="J68" s="145"/>
      <c r="K68" s="145"/>
      <c r="L68" s="145"/>
      <c r="M68" s="145"/>
      <c r="N68" s="144">
        <f t="shared" ref="N68:AJ68" si="596">IF(ISERROR(N55/I55-1),"",(N55/I55-1))</f>
        <v>0.85150078988941558</v>
      </c>
      <c r="O68" s="145">
        <f t="shared" si="596"/>
        <v>-0.12289562289562295</v>
      </c>
      <c r="P68" s="145">
        <f t="shared" si="596"/>
        <v>0.24537987679671458</v>
      </c>
      <c r="Q68" s="145">
        <f t="shared" si="596"/>
        <v>0.35603345280764631</v>
      </c>
      <c r="R68" s="145">
        <f t="shared" si="596"/>
        <v>0.78916827852998073</v>
      </c>
      <c r="S68" s="144">
        <f t="shared" si="596"/>
        <v>0.22724687144482369</v>
      </c>
      <c r="T68" s="145">
        <f t="shared" si="596"/>
        <v>0.27447216890595016</v>
      </c>
      <c r="U68" s="145">
        <f t="shared" si="596"/>
        <v>-0.25144270403957136</v>
      </c>
      <c r="V68" s="145">
        <f t="shared" si="596"/>
        <v>0.16299559471365632</v>
      </c>
      <c r="W68" s="145">
        <f t="shared" si="596"/>
        <v>0.70162162162162156</v>
      </c>
      <c r="X68" s="144">
        <f t="shared" si="596"/>
        <v>0.18887601390498254</v>
      </c>
      <c r="Y68" s="145">
        <f t="shared" si="596"/>
        <v>0.25376506024096379</v>
      </c>
      <c r="Z68" s="145">
        <f t="shared" si="596"/>
        <v>1.0958149779735682</v>
      </c>
      <c r="AA68" s="145">
        <f t="shared" si="596"/>
        <v>0.39166666666666661</v>
      </c>
      <c r="AB68" s="145">
        <f t="shared" si="596"/>
        <v>0.2141041931385006</v>
      </c>
      <c r="AC68" s="144">
        <f t="shared" si="596"/>
        <v>0.42612085769980501</v>
      </c>
      <c r="AD68" s="145">
        <f t="shared" si="596"/>
        <v>0.29789789789789789</v>
      </c>
      <c r="AE68" s="145">
        <f t="shared" si="596"/>
        <v>-0.1544929059379927</v>
      </c>
      <c r="AF68" s="145">
        <f t="shared" si="596"/>
        <v>-0.18508437670114319</v>
      </c>
      <c r="AG68" s="145">
        <f t="shared" si="596"/>
        <v>-0.90894819466248034</v>
      </c>
      <c r="AH68" s="144">
        <f t="shared" si="596"/>
        <v>-0.25628758884636416</v>
      </c>
      <c r="AI68" s="145">
        <f t="shared" si="596"/>
        <v>-0.34798704303563166</v>
      </c>
      <c r="AJ68" s="145">
        <f t="shared" si="596"/>
        <v>0.18707271597265374</v>
      </c>
      <c r="AK68" s="145">
        <f t="shared" ref="AK68:AS68" si="597">IF(ISERROR(AK55/AF55-1),"",(AK55/AF55-1))</f>
        <v>-2.1469605878423517</v>
      </c>
      <c r="AL68" s="145">
        <f t="shared" si="597"/>
        <v>11.413793103448276</v>
      </c>
      <c r="AM68" s="144">
        <f t="shared" si="597"/>
        <v>-0.30858298106965631</v>
      </c>
      <c r="AN68" s="145">
        <f t="shared" si="597"/>
        <v>0.12065294535131299</v>
      </c>
      <c r="AO68" s="145">
        <f t="shared" si="597"/>
        <v>-8.0628272251308863E-2</v>
      </c>
      <c r="AP68" s="145">
        <f t="shared" si="597"/>
        <v>-2.0500873616773445</v>
      </c>
      <c r="AQ68" s="145">
        <f t="shared" si="597"/>
        <v>-0.27777777777777779</v>
      </c>
      <c r="AR68" s="144">
        <f t="shared" si="597"/>
        <v>0.78043593833067515</v>
      </c>
      <c r="AS68" s="145">
        <f t="shared" si="597"/>
        <v>-0.12602913236225455</v>
      </c>
      <c r="AT68" s="145">
        <f t="shared" ref="AT68:BB68" si="598">IF(ISERROR(AT55/AO55-1),"",(AT55/AO55-1))</f>
        <v>0.11788154897494296</v>
      </c>
      <c r="AU68" s="145">
        <f t="shared" si="598"/>
        <v>0.18191902384914038</v>
      </c>
      <c r="AV68" s="145">
        <f t="shared" si="598"/>
        <v>0.30128205128205132</v>
      </c>
      <c r="AW68" s="144">
        <f t="shared" si="598"/>
        <v>0.12033442818751872</v>
      </c>
      <c r="AX68" s="145">
        <f t="shared" si="598"/>
        <v>0.44637681159420284</v>
      </c>
      <c r="AY68" s="145">
        <f t="shared" si="598"/>
        <v>3.5659704533876901E-3</v>
      </c>
      <c r="AZ68" s="145">
        <f t="shared" si="598"/>
        <v>-4.8240262787423882E-2</v>
      </c>
      <c r="BA68" s="145">
        <f t="shared" si="598"/>
        <v>4.7783251231527046E-2</v>
      </c>
      <c r="BB68" s="144">
        <f t="shared" si="598"/>
        <v>8.2249466950959471E-2</v>
      </c>
      <c r="BC68" s="145">
        <f t="shared" ref="BC68:BL68" si="599">IF(ISERROR(BC55/AX55-1),"",(BC55/AX55-1))</f>
        <v>-1.9539078156312617E-2</v>
      </c>
      <c r="BD68" s="145">
        <f t="shared" si="599"/>
        <v>9.2385786802030356E-2</v>
      </c>
      <c r="BE68" s="145">
        <f t="shared" si="599"/>
        <v>0.11478157972586533</v>
      </c>
      <c r="BF68" s="145">
        <f t="shared" si="599"/>
        <v>-4.2595204513398488E-2</v>
      </c>
      <c r="BG68" s="144">
        <f t="shared" si="599"/>
        <v>3.5117962862631247E-2</v>
      </c>
      <c r="BH68" s="145">
        <f t="shared" si="599"/>
        <v>1.6862544711292893E-2</v>
      </c>
      <c r="BI68" s="145">
        <f t="shared" si="599"/>
        <v>4.042750929368033E-2</v>
      </c>
      <c r="BJ68" s="145">
        <f t="shared" si="599"/>
        <v>0.14860681114551078</v>
      </c>
      <c r="BK68" s="145">
        <f t="shared" si="599"/>
        <v>0.25368296994696427</v>
      </c>
      <c r="BL68" s="144">
        <f t="shared" si="599"/>
        <v>0.11569756376094387</v>
      </c>
      <c r="BM68" s="145">
        <f t="shared" ref="BM68:BN68" si="600">IF(ISERROR(BM55/BH55-1),"",(BM55/BH55-1))</f>
        <v>0.24522613065326637</v>
      </c>
      <c r="BN68" s="145">
        <f t="shared" si="600"/>
        <v>-4.6002679767753407E-2</v>
      </c>
      <c r="BO68" s="145">
        <f t="shared" ref="BO68" si="601">IF(ISERROR(BO55/BJ55-1),"",(BO55/BJ55-1))</f>
        <v>0.16172506738544468</v>
      </c>
      <c r="BP68" s="145">
        <f t="shared" ref="BP68:BQ68" si="602">IF(ISERROR(BP55/BK55-1),"",(BP55/BK55-1))</f>
        <v>-0.35566000783392093</v>
      </c>
      <c r="BQ68" s="144">
        <f t="shared" si="602"/>
        <v>-1.0981981021430887E-2</v>
      </c>
      <c r="BR68" s="145">
        <f t="shared" ref="BR68" si="603">IF(ISERROR(BR55/BM55-1),"",(BR55/BM55-1))</f>
        <v>-9.9677158999192939E-2</v>
      </c>
      <c r="BS68" s="145">
        <f t="shared" ref="BS68" si="604">IF(ISERROR(BS55/BN55-1),"",(BS55/BN55-1))</f>
        <v>-0.98689138576779023</v>
      </c>
      <c r="BT68" s="145">
        <f t="shared" ref="BT68" si="605">IF(ISERROR(BT55/BO55-1),"",(BT55/BO55-1))</f>
        <v>-8.650977792509118E-2</v>
      </c>
      <c r="BU68" s="145">
        <f t="shared" ref="BU68:BV68" si="606">IF(ISERROR(BU55/BP55-1),"",(BU55/BP55-1))</f>
        <v>0.65896656534954401</v>
      </c>
      <c r="BV68" s="144">
        <f t="shared" si="606"/>
        <v>-0.16515739542906427</v>
      </c>
      <c r="BW68" s="145">
        <f t="shared" ref="BW68" si="607">IF(ISERROR(BW55/BR55-1),"",(BW55/BR55-1))</f>
        <v>0.19991035410129987</v>
      </c>
      <c r="BX68" s="145">
        <f t="shared" ref="BX68" si="608">IF(ISERROR(BX55/BS55-1),"",(BX55/BS55-1))</f>
        <v>107</v>
      </c>
      <c r="BY68" s="145">
        <f t="shared" ref="BY68" si="609">IF(ISERROR(BY55/BT55-1),"",(BY55/BT55-1))</f>
        <v>0.14368650217706813</v>
      </c>
      <c r="BZ68" s="145">
        <f t="shared" ref="BZ68" si="610">IF(ISERROR(BZ55/BU55-1),"",(BZ55/BU55-1))</f>
        <v>0.30450714547453273</v>
      </c>
      <c r="CA68" s="144">
        <f t="shared" ref="CA68" si="611">IF(ISERROR(CA55/BV55-1),"",(CA55/BV55-1))</f>
        <v>0.60291838842975198</v>
      </c>
      <c r="CB68" s="145">
        <f t="shared" ref="CB68" si="612">IF(ISERROR(CB55/BW55-1),"",(CB55/BW55-1))</f>
        <v>0.26111318640268966</v>
      </c>
      <c r="CC68" s="145">
        <f t="shared" ref="CC68" si="613">IF(ISERROR(CC55/BX55-1),"",(CC55/BX55-1))</f>
        <v>6.3822751322751392E-2</v>
      </c>
      <c r="CD68" s="145">
        <f t="shared" ref="CD68" si="614">IF(ISERROR(CD55/BY55-1),"",(CD55/BY55-1))</f>
        <v>-0.1275380710659898</v>
      </c>
      <c r="CE68" s="145">
        <f t="shared" ref="CE68" si="615">IF(ISERROR(CE55/BZ55-1),"",(CE55/BZ55-1))</f>
        <v>0.33651685393258424</v>
      </c>
      <c r="CF68" s="144">
        <f t="shared" ref="CF68" si="616">IF(ISERROR(CF55/CA55-1),"",(CF55/CA55-1))</f>
        <v>0.13598646580198182</v>
      </c>
      <c r="CG68" s="145">
        <f t="shared" ref="CG68" si="617">IF(ISERROR(CG55/CB55-1),"",(CG55/CB55-1))</f>
        <v>-0.14958530805687209</v>
      </c>
      <c r="CH68" s="145">
        <f t="shared" ref="CH68" si="618">IF(ISERROR(CH55/CC55-1),"",(CH55/CC55-1))</f>
        <v>-1.8809449797948399</v>
      </c>
      <c r="CI68" s="145">
        <f t="shared" ref="CI68" si="619">IF(ISERROR(CI55/CD55-1),"",(CI55/CD55-1))</f>
        <v>-0.33272727272727276</v>
      </c>
      <c r="CJ68" s="145">
        <f t="shared" ref="CJ68:CK68" si="620">IF(ISERROR(CJ55/CE55-1),"",(CJ55/CE55-1))</f>
        <v>-1.3312316099201345</v>
      </c>
      <c r="CK68" s="144">
        <f t="shared" si="620"/>
        <v>-0.97900858095170551</v>
      </c>
      <c r="CL68" s="145">
        <f t="shared" ref="CL68" si="621">IF(ISERROR(CL55/CG55-1),"",(CL55/CG55-1))</f>
        <v>-1.2776036224312086</v>
      </c>
      <c r="CM68" s="145">
        <f t="shared" ref="CM68" si="622">IF(ISERROR(CM55/CH55-1),"",(CM55/CH55-1))</f>
        <v>-0.14714184897671134</v>
      </c>
      <c r="CN68" s="145">
        <f t="shared" ref="CN68" si="623">IF(ISERROR(CN55/CI55-1),"",(CN55/CI55-1))</f>
        <v>-0.91062670299727522</v>
      </c>
      <c r="CO68" s="145">
        <f t="shared" ref="CO68:CP68" si="624">IF(ISERROR(CO55/CJ55-1),"",(CO55/CJ55-1))</f>
        <v>3.7404822335025383</v>
      </c>
      <c r="CP68" s="144">
        <f t="shared" si="624"/>
        <v>-36.543918918918919</v>
      </c>
      <c r="CQ68" s="145">
        <f t="shared" ref="CQ68" si="625">IF(ISERROR(CQ55/CL55-1),"",(CQ55/CL55-1))</f>
        <v>-1.5683814303638646</v>
      </c>
      <c r="CR68" s="145">
        <f t="shared" ref="CR68" si="626">IF(ISERROR(CR55/CM55-1),"",(CR55/CM55-1))</f>
        <v>-1.6512205213074058</v>
      </c>
      <c r="CS68" s="145">
        <f t="shared" ref="CS68" si="627">IF(ISERROR(CS55/CN55-1),"",(CS55/CN55-1))</f>
        <v>4.1951219512195124</v>
      </c>
      <c r="CT68" s="145">
        <f t="shared" ref="CT68:CU68" si="628">IF(ISERROR(CT55/CO55-1),"",(CT55/CO55-1))</f>
        <v>-0.51318431267567921</v>
      </c>
      <c r="CU68" s="144">
        <f t="shared" si="628"/>
        <v>-0.9279536165763711</v>
      </c>
      <c r="CV68" s="145">
        <f t="shared" ref="CV68:CW68" si="629">IF(ISERROR(CV55/CQ55-1),"",(CV55/CQ55-1))</f>
        <v>-2.5077262693156732</v>
      </c>
      <c r="CW68" s="145">
        <f t="shared" si="629"/>
        <v>-0.19186785260482841</v>
      </c>
      <c r="CX68" s="145">
        <f t="shared" ref="CX68" si="630">IF(ISERROR(CX55/CS55-1),"",(CX55/CS55-1))</f>
        <v>-3.7065727699530515</v>
      </c>
      <c r="CY68" s="145">
        <f t="shared" ref="CY68" si="631">IF(ISERROR(CY55/CT55-1),"",(CY55/CT55-1))</f>
        <v>-1.0409678306296397</v>
      </c>
      <c r="CZ68" s="144">
        <f t="shared" ref="CZ68" si="632">IF(ISERROR(CZ55/CU55-1),"",(CZ55/CU55-1))</f>
        <v>1.0686015831134563</v>
      </c>
      <c r="DA68" s="145">
        <f t="shared" ref="DA68" si="633">IF(ISERROR(DA55/CV55-1),"",(DA55/CV55-1))</f>
        <v>-1.45095168374817</v>
      </c>
      <c r="DB68" s="145">
        <f t="shared" ref="DB68" si="634">IF(ISERROR(DB55/CW55-1),"",(DB55/CW55-1))</f>
        <v>-0.71933962264150941</v>
      </c>
      <c r="DC68" s="145">
        <f t="shared" ref="DC68" si="635">IF(ISERROR(DC55/CX55-1),"",(DC55/CX55-1))</f>
        <v>-0.85212489158716398</v>
      </c>
      <c r="DD68" s="145">
        <f t="shared" ref="DD68" si="636">IF(ISERROR(DD55/CY55-1),"",(DD55/CY55-1))</f>
        <v>4.1275167785234901</v>
      </c>
      <c r="DE68" s="144">
        <f t="shared" ref="DE68:DO68" si="637">IF(ISERROR(DE55/CZ55-1),"",(DE55/CZ55-1))</f>
        <v>-1.693877551020408</v>
      </c>
      <c r="DF68" s="145">
        <f t="shared" si="637"/>
        <v>0.1558441558441559</v>
      </c>
      <c r="DG68" s="145">
        <f t="shared" si="637"/>
        <v>-2.8179271708683471</v>
      </c>
      <c r="DH68" s="145">
        <f t="shared" si="637"/>
        <v>14.592375366568914</v>
      </c>
      <c r="DI68" s="145">
        <f t="shared" si="637"/>
        <v>-5.2683246073298431</v>
      </c>
      <c r="DJ68" s="144">
        <f t="shared" si="637"/>
        <v>-9.1534926470588243</v>
      </c>
      <c r="DK68" s="145">
        <f t="shared" si="637"/>
        <v>1.6039325842696628</v>
      </c>
      <c r="DL68" s="145">
        <f t="shared" si="637"/>
        <v>-1.4375963020030817</v>
      </c>
      <c r="DM68" s="145">
        <f t="shared" si="637"/>
        <v>-0.1931540342298288</v>
      </c>
      <c r="DN68" s="145">
        <f t="shared" si="637"/>
        <v>-3.855872431769396</v>
      </c>
      <c r="DO68" s="144">
        <f t="shared" si="637"/>
        <v>-1.7027392627663174</v>
      </c>
      <c r="DP68" s="145">
        <f t="shared" ref="DP68" si="638">IF(ISERROR(DP55/DK55-1),"",(DP55/DK55-1))</f>
        <v>0.10140237324703349</v>
      </c>
      <c r="DQ68" s="145">
        <f t="shared" ref="DQ68" si="639">IF(ISERROR(DQ55/DL55-1),"",(DQ55/DL55-1))</f>
        <v>1.647887323943662</v>
      </c>
      <c r="DR68" s="145">
        <f t="shared" ref="DR68" si="640">IF(ISERROR(DR55/DM55-1),"",(DR55/DM55-1))</f>
        <v>-1.2658835508846145</v>
      </c>
      <c r="DS68" s="145">
        <f t="shared" ref="DS68" si="641">IF(ISERROR(DS55/DN55-1),"",(DS55/DN55-1))</f>
        <v>-0.82740693009380339</v>
      </c>
      <c r="DT68" s="144">
        <f t="shared" ref="DT68" si="642">IF(ISERROR(DT55/DO55-1),"",(DT55/DO55-1))</f>
        <v>-0.27478349481369824</v>
      </c>
      <c r="DU68" s="145">
        <f t="shared" ref="DU68" si="643">IF(ISERROR(DU55/DP55-1),"",(DU55/DP55-1))</f>
        <v>0.18348511847497839</v>
      </c>
      <c r="DV68" s="145">
        <f t="shared" ref="DV68" si="644">IF(ISERROR(DV55/DQ55-1),"",(DV55/DQ55-1))</f>
        <v>1.5208768403682638</v>
      </c>
      <c r="DW68" s="145">
        <f t="shared" ref="DW68" si="645">IF(ISERROR(DW55/DR55-1),"",(DW55/DR55-1))</f>
        <v>1.1377219278831658</v>
      </c>
      <c r="DX68" s="145">
        <f t="shared" ref="DX68" si="646">IF(ISERROR(DX55/DS55-1),"",(DX55/DS55-1))</f>
        <v>0.80115368040792156</v>
      </c>
      <c r="DY68" s="144">
        <f t="shared" ref="DY68" si="647">IF(ISERROR(DY55/DT55-1),"",(DY55/DT55-1))</f>
        <v>0.86629315976345689</v>
      </c>
      <c r="DZ68" s="144">
        <f t="shared" ref="DZ68" si="648">IF(ISERROR(DZ55/DY55-1),"",(DZ55/DY55-1))</f>
        <v>0.47501073459875132</v>
      </c>
      <c r="EA68" s="144">
        <f t="shared" ref="EA68" si="649">IF(ISERROR(EA55/DZ55-1),"",(EA55/DZ55-1))</f>
        <v>0.34120055090118151</v>
      </c>
      <c r="EB68" s="144">
        <f t="shared" ref="EB68" si="650">IF(ISERROR(EB55/EA55-1),"",(EB55/EA55-1))</f>
        <v>0.27081783015555483</v>
      </c>
    </row>
    <row r="69" spans="1:132" s="68" customFormat="1" ht="12" customHeight="1">
      <c r="B69" s="151" t="s">
        <v>216</v>
      </c>
      <c r="C69" s="144"/>
      <c r="D69" s="144">
        <f t="shared" ref="D69:I69" si="651">IF(ISERROR(D53/C53-1),"",(D53/C53-1))</f>
        <v>-5.4140845070422534</v>
      </c>
      <c r="E69" s="144">
        <f t="shared" si="651"/>
        <v>1.02297383535418</v>
      </c>
      <c r="F69" s="144">
        <f t="shared" si="651"/>
        <v>-3.5331230283911719E-2</v>
      </c>
      <c r="G69" s="144">
        <f t="shared" si="651"/>
        <v>0.27403531720078478</v>
      </c>
      <c r="H69" s="144">
        <f t="shared" si="651"/>
        <v>-7.1868583162217892E-3</v>
      </c>
      <c r="I69" s="144">
        <f t="shared" si="651"/>
        <v>-0.88391933815925539</v>
      </c>
      <c r="J69" s="145"/>
      <c r="K69" s="145"/>
      <c r="L69" s="145"/>
      <c r="M69" s="145"/>
      <c r="N69" s="144">
        <f t="shared" ref="N69:AJ69" si="652">IF(ISERROR(N53/I53-1),"",(N53/I53-1))</f>
        <v>3.4699331848552335</v>
      </c>
      <c r="O69" s="145">
        <f t="shared" si="652"/>
        <v>-0.18019093078758952</v>
      </c>
      <c r="P69" s="145">
        <f t="shared" si="652"/>
        <v>0.2577639751552796</v>
      </c>
      <c r="Q69" s="145">
        <f t="shared" si="652"/>
        <v>0.49315068493150682</v>
      </c>
      <c r="R69" s="145">
        <f t="shared" si="652"/>
        <v>38.428571428571431</v>
      </c>
      <c r="S69" s="144">
        <f t="shared" si="652"/>
        <v>0.40109616342800192</v>
      </c>
      <c r="T69" s="145">
        <f t="shared" si="652"/>
        <v>0.39592430858806416</v>
      </c>
      <c r="U69" s="145">
        <f t="shared" si="652"/>
        <v>-0.35432098765432096</v>
      </c>
      <c r="V69" s="145">
        <f t="shared" si="652"/>
        <v>0.2463958060288336</v>
      </c>
      <c r="W69" s="145">
        <f t="shared" si="652"/>
        <v>1.0869565217391304</v>
      </c>
      <c r="X69" s="144">
        <f t="shared" si="652"/>
        <v>0.27489331436699849</v>
      </c>
      <c r="Y69" s="145">
        <f t="shared" si="652"/>
        <v>0.36496350364963503</v>
      </c>
      <c r="Z69" s="145">
        <f t="shared" si="652"/>
        <v>1.8795411089866159</v>
      </c>
      <c r="AA69" s="145">
        <f t="shared" si="652"/>
        <v>0.57623554153522605</v>
      </c>
      <c r="AB69" s="145">
        <f t="shared" si="652"/>
        <v>0.31597222222222232</v>
      </c>
      <c r="AC69" s="144">
        <f t="shared" si="652"/>
        <v>0.62622036262203618</v>
      </c>
      <c r="AD69" s="145">
        <f t="shared" si="652"/>
        <v>0.37433155080213898</v>
      </c>
      <c r="AE69" s="145">
        <f t="shared" si="652"/>
        <v>-0.17197875166002652</v>
      </c>
      <c r="AF69" s="145">
        <f t="shared" si="652"/>
        <v>-0.2348232154769847</v>
      </c>
      <c r="AG69" s="145">
        <f t="shared" si="652"/>
        <v>-1.1602902374670185</v>
      </c>
      <c r="AH69" s="144">
        <f t="shared" si="652"/>
        <v>-0.3224699828473413</v>
      </c>
      <c r="AI69" s="145">
        <f t="shared" si="652"/>
        <v>-0.43023902167871042</v>
      </c>
      <c r="AJ69" s="145">
        <f t="shared" si="652"/>
        <v>0.22614274258219735</v>
      </c>
      <c r="AK69" s="145">
        <f t="shared" ref="AK69:AS69" si="653">IF(ISERROR(AK53/AF53-1),"",(AK53/AF53-1))</f>
        <v>-2.875326939843069</v>
      </c>
      <c r="AL69" s="145">
        <f t="shared" si="653"/>
        <v>-7.9670781893004117</v>
      </c>
      <c r="AM69" s="144">
        <f t="shared" si="653"/>
        <v>-0.46936708860759491</v>
      </c>
      <c r="AN69" s="145">
        <f t="shared" si="653"/>
        <v>0.14536585365853649</v>
      </c>
      <c r="AO69" s="145">
        <f t="shared" si="653"/>
        <v>-0.145192936559843</v>
      </c>
      <c r="AP69" s="145">
        <f t="shared" si="653"/>
        <v>-1.6448163644816365</v>
      </c>
      <c r="AQ69" s="145">
        <f t="shared" si="653"/>
        <v>-0.34849379799173064</v>
      </c>
      <c r="AR69" s="144">
        <f t="shared" si="653"/>
        <v>1.3716603053435112</v>
      </c>
      <c r="AS69" s="145">
        <f t="shared" si="653"/>
        <v>-0.14821124361158433</v>
      </c>
      <c r="AT69" s="145">
        <f t="shared" ref="AT69:BB69" si="654">IF(ISERROR(AT53/AO53-1),"",(AT53/AO53-1))</f>
        <v>0.17368018362662596</v>
      </c>
      <c r="AU69" s="145">
        <f t="shared" si="654"/>
        <v>0.23576063446286954</v>
      </c>
      <c r="AV69" s="145">
        <f t="shared" si="654"/>
        <v>0.44696282864913872</v>
      </c>
      <c r="AW69" s="144">
        <f t="shared" si="654"/>
        <v>0.17561858780929396</v>
      </c>
      <c r="AX69" s="145">
        <f t="shared" si="654"/>
        <v>0.57000000000000006</v>
      </c>
      <c r="AY69" s="145">
        <f t="shared" si="654"/>
        <v>9.126466753585305E-3</v>
      </c>
      <c r="AZ69" s="145">
        <f t="shared" si="654"/>
        <v>-8.7981330221703735E-2</v>
      </c>
      <c r="BA69" s="145">
        <f t="shared" si="654"/>
        <v>2.0676691729323293E-2</v>
      </c>
      <c r="BB69" s="144">
        <f t="shared" si="654"/>
        <v>7.9774127310061616E-2</v>
      </c>
      <c r="BC69" s="145">
        <f t="shared" ref="BC69:BL69" si="655">IF(ISERROR(BC53/AX53-1),"",(BC53/AX53-1))</f>
        <v>-2.6751592356687892E-2</v>
      </c>
      <c r="BD69" s="145">
        <f t="shared" si="655"/>
        <v>0.10852713178294571</v>
      </c>
      <c r="BE69" s="145">
        <f t="shared" si="655"/>
        <v>0.15340327533265108</v>
      </c>
      <c r="BF69" s="145">
        <f t="shared" si="655"/>
        <v>-6.9736034376917444E-2</v>
      </c>
      <c r="BG69" s="144">
        <f t="shared" si="655"/>
        <v>3.9967037494849977E-2</v>
      </c>
      <c r="BH69" s="145">
        <f t="shared" si="655"/>
        <v>9.162303664921545E-3</v>
      </c>
      <c r="BI69" s="145">
        <f t="shared" si="655"/>
        <v>4.137529137529139E-2</v>
      </c>
      <c r="BJ69" s="145">
        <f t="shared" si="655"/>
        <v>0.17526344980587916</v>
      </c>
      <c r="BK69" s="145">
        <f t="shared" si="655"/>
        <v>0.33628084994060847</v>
      </c>
      <c r="BL69" s="144">
        <f t="shared" si="655"/>
        <v>0.1387602096793854</v>
      </c>
      <c r="BM69" s="145">
        <f t="shared" ref="BM69:BN69" si="656">IF(ISERROR(BM53/BH53-1),"",(BM53/BH53-1))</f>
        <v>0.30933852140077822</v>
      </c>
      <c r="BN69" s="145">
        <f t="shared" si="656"/>
        <v>-5.8198097369893675E-2</v>
      </c>
      <c r="BO69" s="145">
        <f t="shared" ref="BO69" si="657">IF(ISERROR(BO53/BJ53-1),"",(BO53/BJ53-1))</f>
        <v>0.21755545068428495</v>
      </c>
      <c r="BP69" s="145">
        <f t="shared" ref="BP69:BQ69" si="658">IF(ISERROR(BP53/BK53-1),"",(BP53/BK53-1))</f>
        <v>-0.42666666666666664</v>
      </c>
      <c r="BQ69" s="144">
        <f t="shared" si="658"/>
        <v>-4.0144520272982209E-3</v>
      </c>
      <c r="BR69" s="145">
        <f t="shared" ref="BR69" si="659">IF(ISERROR(BR53/BM53-1),"",(BR53/BM53-1))</f>
        <v>-0.11441307578008919</v>
      </c>
      <c r="BS69" s="145">
        <f t="shared" ref="BS69" si="660">IF(ISERROR(BS53/BN53-1),"",(BS53/BN53-1))</f>
        <v>-1.2489601901366607</v>
      </c>
      <c r="BT69" s="145">
        <f t="shared" ref="BT69" si="661">IF(ISERROR(BT53/BO53-1),"",(BT53/BO53-1))</f>
        <v>-0.11550387596899225</v>
      </c>
      <c r="BU69" s="145">
        <f t="shared" ref="BU69:BV69" si="662">IF(ISERROR(BU53/BP53-1),"",(BU53/BP53-1))</f>
        <v>0.88027562446167096</v>
      </c>
      <c r="BV69" s="144">
        <f t="shared" si="662"/>
        <v>-0.21617627300819564</v>
      </c>
      <c r="BW69" s="145">
        <f t="shared" ref="BW69" si="663">IF(ISERROR(BW53/BR53-1),"",(BW53/BR53-1))</f>
        <v>0.23378076062639819</v>
      </c>
      <c r="BX69" s="145">
        <f t="shared" ref="BX69" si="664">IF(ISERROR(BX53/BS53-1),"",(BX53/BS53-1))</f>
        <v>-7.0381861575178997</v>
      </c>
      <c r="BY69" s="145">
        <f t="shared" ref="BY69" si="665">IF(ISERROR(BY53/BT53-1),"",(BY53/BT53-1))</f>
        <v>0.1524978089395268</v>
      </c>
      <c r="BZ69" s="145">
        <f t="shared" ref="BZ69" si="666">IF(ISERROR(BZ53/BU53-1),"",(BZ53/BU53-1))</f>
        <v>0.36417773705909307</v>
      </c>
      <c r="CA69" s="144">
        <f t="shared" ref="CA69" si="667">IF(ISERROR(CA53/BV53-1),"",(CA53/BV53-1))</f>
        <v>0.77305450805622211</v>
      </c>
      <c r="CB69" s="145">
        <f t="shared" ref="CB69" si="668">IF(ISERROR(CB53/BW53-1),"",(CB53/BW53-1))</f>
        <v>0.30326382592928369</v>
      </c>
      <c r="CC69" s="145">
        <f t="shared" ref="CC69" si="669">IF(ISERROR(CC53/BX53-1),"",(CC53/BX53-1))</f>
        <v>7.1146245059288571E-2</v>
      </c>
      <c r="CD69" s="145">
        <f t="shared" ref="CD69" si="670">IF(ISERROR(CD53/BY53-1),"",(CD53/BY53-1))</f>
        <v>-0.15323193916349809</v>
      </c>
      <c r="CE69" s="145">
        <f t="shared" ref="CE69" si="671">IF(ISERROR(CE53/BZ53-1),"",(CE53/BZ53-1))</f>
        <v>0.4019476158495634</v>
      </c>
      <c r="CF69" s="144">
        <f t="shared" ref="CF69" si="672">IF(ISERROR(CF53/CA53-1),"",(CF53/CA53-1))</f>
        <v>0.15883604021655073</v>
      </c>
      <c r="CG69" s="145">
        <f t="shared" ref="CG69" si="673">IF(ISERROR(CG53/CB53-1),"",(CG53/CB53-1))</f>
        <v>-0.18260869565217386</v>
      </c>
      <c r="CH69" s="145">
        <f t="shared" ref="CH69" si="674">IF(ISERROR(CH53/CC53-1),"",(CH53/CC53-1))</f>
        <v>-2.2472324723247232</v>
      </c>
      <c r="CI69" s="145">
        <f t="shared" ref="CI69" si="675">IF(ISERROR(CI53/CD53-1),"",(CI53/CD53-1))</f>
        <v>-0.43466546924113159</v>
      </c>
      <c r="CJ69" s="145">
        <f t="shared" ref="CJ69:CK69" si="676">IF(ISERROR(CJ53/CE53-1),"",(CJ53/CE53-1))</f>
        <v>-1.5279041916167664</v>
      </c>
      <c r="CK69" s="144">
        <f t="shared" si="676"/>
        <v>-1.1647618253107532</v>
      </c>
      <c r="CL69" s="145">
        <f t="shared" ref="CL69" si="677">IF(ISERROR(CL53/CG53-1),"",(CL53/CG53-1))</f>
        <v>-1.5757446808510638</v>
      </c>
      <c r="CM69" s="145">
        <f t="shared" ref="CM69" si="678">IF(ISERROR(CM53/CH53-1),"",(CM53/CH53-1))</f>
        <v>-0.12307692307692308</v>
      </c>
      <c r="CN69" s="145">
        <f t="shared" ref="CN69" si="679">IF(ISERROR(CN53/CI53-1),"",(CN53/CI53-1))</f>
        <v>-1.3185067513899922</v>
      </c>
      <c r="CO69" s="145">
        <f t="shared" ref="CO69:CP69" si="680">IF(ISERROR(CO53/CJ53-1),"",(CO53/CJ53-1))</f>
        <v>2.6519963702359348</v>
      </c>
      <c r="CP69" s="144">
        <f t="shared" si="680"/>
        <v>5.4643037974683546</v>
      </c>
      <c r="CQ69" s="145">
        <f t="shared" ref="CQ69" si="681">IF(ISERROR(CQ53/CL53-1),"",(CQ53/CL53-1))</f>
        <v>-0.93865484109386543</v>
      </c>
      <c r="CR69" s="145">
        <f t="shared" ref="CR69" si="682">IF(ISERROR(CR53/CM53-1),"",(CR53/CM53-1))</f>
        <v>-1.3451417004048583</v>
      </c>
      <c r="CS69" s="145">
        <f t="shared" ref="CS69" si="683">IF(ISERROR(CS53/CN53-1),"",(CS53/CN53-1))</f>
        <v>-1.8204488778054864</v>
      </c>
      <c r="CT69" s="145">
        <f t="shared" ref="CT69:CU69" si="684">IF(ISERROR(CT53/CO53-1),"",(CT53/CO53-1))</f>
        <v>-0.48179898123990561</v>
      </c>
      <c r="CU69" s="144">
        <f t="shared" si="684"/>
        <v>-0.77269522988955908</v>
      </c>
      <c r="CV69" s="145">
        <f t="shared" ref="CV69:CW69" si="685">IF(ISERROR(CV53/CQ53-1),"",(CV53/CQ53-1))</f>
        <v>13.08433734939759</v>
      </c>
      <c r="CW69" s="145">
        <f t="shared" si="685"/>
        <v>-0.24340175953079179</v>
      </c>
      <c r="CX69" s="145">
        <f t="shared" ref="CX69" si="686">IF(ISERROR(CX53/CS53-1),"",(CX53/CS53-1))</f>
        <v>-9.5075987841945295</v>
      </c>
      <c r="CY69" s="145">
        <f t="shared" ref="CY69" si="687">IF(ISERROR(CY53/CT53-1),"",(CY53/CT53-1))</f>
        <v>-0.91536801726204753</v>
      </c>
      <c r="CZ69" s="144">
        <f t="shared" ref="CZ69" si="688">IF(ISERROR(CZ53/CU53-1),"",(CZ53/CU53-1))</f>
        <v>0.22226050999310809</v>
      </c>
      <c r="DA69" s="145">
        <f t="shared" ref="DA69" si="689">IF(ISERROR(DA53/CV53-1),"",(DA53/CV53-1))</f>
        <v>-0.87254063301967499</v>
      </c>
      <c r="DB69" s="145">
        <f t="shared" ref="DB69" si="690">IF(ISERROR(DB53/CW53-1),"",(DB53/CW53-1))</f>
        <v>-1.1279069767441861</v>
      </c>
      <c r="DC69" s="145">
        <f t="shared" ref="DC69" si="691">IF(ISERROR(DC53/CX53-1),"",(DC53/CX53-1))</f>
        <v>-0.71132547338335117</v>
      </c>
      <c r="DD69" s="145">
        <f t="shared" ref="DD69" si="692">IF(ISERROR(DD53/CY53-1),"",(DD53/CY53-1))</f>
        <v>-1.8016997167138811</v>
      </c>
      <c r="DE69" s="144">
        <f t="shared" ref="DE69:DO69" si="693">IF(ISERROR(DE53/CZ53-1),"",(DE53/CZ53-1))</f>
        <v>-0.7820693543839865</v>
      </c>
      <c r="DF69" s="145">
        <f t="shared" si="693"/>
        <v>-0.42281879194630867</v>
      </c>
      <c r="DG69" s="145">
        <f t="shared" si="693"/>
        <v>10.01010101010101</v>
      </c>
      <c r="DH69" s="145">
        <f t="shared" si="693"/>
        <v>6.1299504950495045</v>
      </c>
      <c r="DI69" s="145">
        <f t="shared" si="693"/>
        <v>-14.321554770318022</v>
      </c>
      <c r="DJ69" s="144">
        <f t="shared" si="693"/>
        <v>12.851228978007763</v>
      </c>
      <c r="DK69" s="145">
        <f t="shared" si="693"/>
        <v>-6.3604651162790695</v>
      </c>
      <c r="DL69" s="145">
        <f t="shared" si="693"/>
        <v>-0.83853211009174311</v>
      </c>
      <c r="DM69" s="145">
        <f t="shared" si="693"/>
        <v>-0.17010935601458077</v>
      </c>
      <c r="DN69" s="145">
        <f t="shared" si="693"/>
        <v>-3.3281167108753316</v>
      </c>
      <c r="DO69" s="144">
        <f t="shared" si="693"/>
        <v>-1.399831885682264</v>
      </c>
      <c r="DP69" s="145">
        <f t="shared" ref="DP69" si="694">IF(ISERROR(DP53/DK53-1),"",(DP53/DK53-1))</f>
        <v>-2.8199566160520662E-2</v>
      </c>
      <c r="DQ69" s="145">
        <f t="shared" ref="DQ69" si="695">IF(ISERROR(DQ53/DL53-1),"",(DQ53/DL53-1))</f>
        <v>-1.8863636363636362</v>
      </c>
      <c r="DR69" s="145">
        <f t="shared" ref="DR69" si="696">IF(ISERROR(DR53/DM53-1),"",(DR53/DM53-1))</f>
        <v>-1.1151726486707794</v>
      </c>
      <c r="DS69" s="145">
        <f t="shared" ref="DS69" si="697">IF(ISERROR(DS53/DN53-1),"",(DS53/DN53-1))</f>
        <v>-0.88864540731042396</v>
      </c>
      <c r="DT69" s="144">
        <f t="shared" ref="DT69" si="698">IF(ISERROR(DT53/DO53-1),"",(DT53/DO53-1))</f>
        <v>-0.50198558903727974</v>
      </c>
      <c r="DU69" s="145">
        <f t="shared" ref="DU69" si="699">IF(ISERROR(DU53/DP53-1),"",(DU53/DP53-1))</f>
        <v>0.35789800438159136</v>
      </c>
      <c r="DV69" s="145">
        <f t="shared" ref="DV69" si="700">IF(ISERROR(DV53/DQ53-1),"",(DV53/DQ53-1))</f>
        <v>7.3057652817752192</v>
      </c>
      <c r="DW69" s="145">
        <f t="shared" ref="DW69" si="701">IF(ISERROR(DW53/DR53-1),"",(DW53/DR53-1))</f>
        <v>2.3022857678718762</v>
      </c>
      <c r="DX69" s="145">
        <f t="shared" ref="DX69" si="702">IF(ISERROR(DX53/DS53-1),"",(DX53/DS53-1))</f>
        <v>1.297109301311266</v>
      </c>
      <c r="DY69" s="144">
        <f t="shared" ref="DY69" si="703">IF(ISERROR(DY53/DT53-1),"",(DY53/DT53-1))</f>
        <v>1.7990204790472628</v>
      </c>
      <c r="DZ69" s="144">
        <f t="shared" ref="DZ69" si="704">IF(ISERROR(DZ53/DY53-1),"",(DZ53/DY53-1))</f>
        <v>0.66659421927252582</v>
      </c>
      <c r="EA69" s="144">
        <f t="shared" ref="EA69" si="705">IF(ISERROR(EA53/DZ53-1),"",(EA53/DZ53-1))</f>
        <v>0.4219413800844376</v>
      </c>
      <c r="EB69" s="144">
        <f t="shared" ref="EB69" si="706">IF(ISERROR(EB53/EA53-1),"",(EB53/EA53-1))</f>
        <v>0.31611512885435711</v>
      </c>
    </row>
    <row r="70" spans="1:132" s="68" customFormat="1" ht="12" customHeight="1">
      <c r="B70" s="151" t="s">
        <v>84</v>
      </c>
      <c r="C70" s="144"/>
      <c r="D70" s="144">
        <f t="shared" ref="D70:I70" si="707">IF(ISERROR(D24/C24-1),"",(D24/C24-1))</f>
        <v>-7.2921348314606744</v>
      </c>
      <c r="E70" s="144">
        <f t="shared" si="707"/>
        <v>1.061607142857143</v>
      </c>
      <c r="F70" s="144">
        <f t="shared" si="707"/>
        <v>-7.8388912949328704E-2</v>
      </c>
      <c r="G70" s="144">
        <f t="shared" si="707"/>
        <v>0.32800751879699241</v>
      </c>
      <c r="H70" s="144">
        <f t="shared" si="707"/>
        <v>-0.17940552016985134</v>
      </c>
      <c r="I70" s="144">
        <f t="shared" si="707"/>
        <v>-0.69038378611470463</v>
      </c>
      <c r="J70" s="145"/>
      <c r="K70" s="145"/>
      <c r="L70" s="145"/>
      <c r="M70" s="145"/>
      <c r="N70" s="144">
        <f t="shared" ref="N70:AJ70" si="708">IF(ISERROR(N24/I24-1),"",(N24/I24-1))</f>
        <v>1.5348189415041782</v>
      </c>
      <c r="O70" s="145">
        <f t="shared" si="708"/>
        <v>-0.1749598715890851</v>
      </c>
      <c r="P70" s="145">
        <f t="shared" si="708"/>
        <v>-3.4129692832764458E-2</v>
      </c>
      <c r="Q70" s="145">
        <f t="shared" si="708"/>
        <v>1.3127853881278537</v>
      </c>
      <c r="R70" s="145">
        <f t="shared" si="708"/>
        <v>1.7109826589595376</v>
      </c>
      <c r="S70" s="144">
        <f t="shared" si="708"/>
        <v>0.4076923076923078</v>
      </c>
      <c r="T70" s="145">
        <f t="shared" si="708"/>
        <v>0.34630350194552539</v>
      </c>
      <c r="U70" s="145">
        <f t="shared" si="708"/>
        <v>-1.2826855123674912</v>
      </c>
      <c r="V70" s="145">
        <f t="shared" si="708"/>
        <v>-0.31490621915103656</v>
      </c>
      <c r="W70" s="145">
        <f t="shared" si="708"/>
        <v>1.08955223880597</v>
      </c>
      <c r="X70" s="144">
        <f t="shared" si="708"/>
        <v>-0.1389539422326308</v>
      </c>
      <c r="Y70" s="145">
        <f t="shared" si="708"/>
        <v>0.2615606936416186</v>
      </c>
      <c r="Z70" s="145">
        <f t="shared" si="708"/>
        <v>-7.5562500000000004</v>
      </c>
      <c r="AA70" s="145">
        <f t="shared" si="708"/>
        <v>0.59798270893371752</v>
      </c>
      <c r="AB70" s="145">
        <f t="shared" si="708"/>
        <v>4.7959183673469408E-2</v>
      </c>
      <c r="AC70" s="144">
        <f t="shared" si="708"/>
        <v>0.83952855847688124</v>
      </c>
      <c r="AD70" s="145">
        <f t="shared" si="708"/>
        <v>0.38144329896907214</v>
      </c>
      <c r="AE70" s="145">
        <f t="shared" si="708"/>
        <v>-0.18875119161105813</v>
      </c>
      <c r="AF70" s="145">
        <f t="shared" si="708"/>
        <v>-0.38412984670874661</v>
      </c>
      <c r="AG70" s="145">
        <f t="shared" si="708"/>
        <v>-1.0837390457643623</v>
      </c>
      <c r="AH70" s="144">
        <f t="shared" si="708"/>
        <v>-0.34598324297683591</v>
      </c>
      <c r="AI70" s="145">
        <f t="shared" si="708"/>
        <v>-0.49004975124378114</v>
      </c>
      <c r="AJ70" s="145">
        <f t="shared" si="708"/>
        <v>0.1715628672150411</v>
      </c>
      <c r="AK70" s="145">
        <f t="shared" ref="AK70:AS70" si="709">IF(ISERROR(AK24/AF24-1),"",(AK24/AF24-1))</f>
        <v>-3.2840409956076133</v>
      </c>
      <c r="AL70" s="145">
        <f t="shared" si="709"/>
        <v>-15.918604651162791</v>
      </c>
      <c r="AM70" s="144">
        <f t="shared" si="709"/>
        <v>-0.49698568198944992</v>
      </c>
      <c r="AN70" s="145">
        <f t="shared" si="709"/>
        <v>-0.15609756097560978</v>
      </c>
      <c r="AO70" s="145">
        <f t="shared" si="709"/>
        <v>-0.20862587763289875</v>
      </c>
      <c r="AP70" s="145">
        <f t="shared" si="709"/>
        <v>-1.5365384615384614</v>
      </c>
      <c r="AQ70" s="145">
        <f t="shared" si="709"/>
        <v>-9.1192517537022622E-2</v>
      </c>
      <c r="AR70" s="144">
        <f t="shared" si="709"/>
        <v>1.4801498127340822</v>
      </c>
      <c r="AS70" s="145">
        <f t="shared" si="709"/>
        <v>0.13256262042389211</v>
      </c>
      <c r="AT70" s="145">
        <f t="shared" ref="AT70:BB70" si="710">IF(ISERROR(AT24/AO24-1),"",(AT24/AO24-1))</f>
        <v>0.19391634980988592</v>
      </c>
      <c r="AU70" s="145">
        <f t="shared" si="710"/>
        <v>0.30704898446833928</v>
      </c>
      <c r="AV70" s="145">
        <f t="shared" si="710"/>
        <v>0.18970840480274442</v>
      </c>
      <c r="AW70" s="144">
        <f t="shared" si="710"/>
        <v>0.21141649048625788</v>
      </c>
      <c r="AX70" s="145">
        <f t="shared" si="710"/>
        <v>0.57196325280707727</v>
      </c>
      <c r="AY70" s="145">
        <f t="shared" si="710"/>
        <v>2.6539278131634925E-2</v>
      </c>
      <c r="AZ70" s="145">
        <f t="shared" si="710"/>
        <v>-5.6307129798903399E-2</v>
      </c>
      <c r="BA70" s="145">
        <f t="shared" si="710"/>
        <v>-0.29498269896193774</v>
      </c>
      <c r="BB70" s="144">
        <f t="shared" si="710"/>
        <v>-2.7324856644228457E-2</v>
      </c>
      <c r="BC70" s="145">
        <f t="shared" ref="BC70:BL70" si="711">IF(ISERROR(BC24/AX24-1),"",(BC24/AX24-1))</f>
        <v>0.19696969696969702</v>
      </c>
      <c r="BD70" s="145">
        <f t="shared" si="711"/>
        <v>0.124095139607032</v>
      </c>
      <c r="BE70" s="145">
        <f t="shared" si="711"/>
        <v>0.12359550561797783</v>
      </c>
      <c r="BF70" s="145">
        <f t="shared" si="711"/>
        <v>0.26114519427403016</v>
      </c>
      <c r="BG70" s="144">
        <f t="shared" si="711"/>
        <v>0.17557799764187254</v>
      </c>
      <c r="BH70" s="145">
        <f t="shared" si="711"/>
        <v>-0.12748643761301992</v>
      </c>
      <c r="BI70" s="145">
        <f t="shared" si="711"/>
        <v>0.52069917203311866</v>
      </c>
      <c r="BJ70" s="145">
        <f t="shared" si="711"/>
        <v>0.17413793103448283</v>
      </c>
      <c r="BK70" s="145">
        <f t="shared" si="711"/>
        <v>0.18858440084319628</v>
      </c>
      <c r="BL70" s="144">
        <f t="shared" si="711"/>
        <v>0.18742368742368698</v>
      </c>
      <c r="BM70" s="145">
        <f t="shared" ref="BM70:BN70" si="712">IF(ISERROR(BM24/BH24-1),"",(BM24/BH24-1))</f>
        <v>0.38445595854922288</v>
      </c>
      <c r="BN70" s="145">
        <f t="shared" si="712"/>
        <v>-0.32849364791288571</v>
      </c>
      <c r="BO70" s="145">
        <f t="shared" ref="BO70" si="713">IF(ISERROR(BO24/BJ24-1),"",(BO24/BJ24-1))</f>
        <v>0.25110132158590304</v>
      </c>
      <c r="BP70" s="145">
        <f t="shared" ref="BP70:BQ70" si="714">IF(ISERROR(BP24/BK24-1),"",(BP24/BK24-1))</f>
        <v>-0.30013642564802179</v>
      </c>
      <c r="BQ70" s="144">
        <f t="shared" si="714"/>
        <v>-4.9577671685640867E-2</v>
      </c>
      <c r="BR70" s="145">
        <f t="shared" ref="BR70" si="715">IF(ISERROR(BR24/BM24-1),"",(BR24/BM24-1))</f>
        <v>-8.7574850299401152E-2</v>
      </c>
      <c r="BS70" s="145">
        <f t="shared" ref="BS70" si="716">IF(ISERROR(BS24/BN24-1),"",(BS24/BN24-1))</f>
        <v>-1.2108108108108109</v>
      </c>
      <c r="BT70" s="145">
        <f t="shared" ref="BT70" si="717">IF(ISERROR(BT24/BO24-1),"",(BT24/BO24-1))</f>
        <v>0.33744131455399051</v>
      </c>
      <c r="BU70" s="145">
        <f t="shared" ref="BU70:BV70" si="718">IF(ISERROR(BU24/BP24-1),"",(BU24/BP24-1))</f>
        <v>0.58966861598440556</v>
      </c>
      <c r="BV70" s="144">
        <f t="shared" si="718"/>
        <v>-5.4289026275115893E-2</v>
      </c>
      <c r="BW70" s="145">
        <f t="shared" ref="BW70" si="719">IF(ISERROR(BW24/BR24-1),"",(BW24/BR24-1))</f>
        <v>0.29532403609515989</v>
      </c>
      <c r="BX70" s="145">
        <f t="shared" ref="BX70" si="720">IF(ISERROR(BX24/BS24-1),"",(BX24/BS24-1))</f>
        <v>-8.4743589743589745</v>
      </c>
      <c r="BY70" s="145">
        <f t="shared" ref="BY70" si="721">IF(ISERROR(BY24/BT24-1),"",(BY24/BT24-1))</f>
        <v>-0.20579201404124614</v>
      </c>
      <c r="BZ70" s="145">
        <f t="shared" ref="BZ70" si="722">IF(ISERROR(BZ24/BU24-1),"",(BZ24/BU24-1))</f>
        <v>1.0355610055180873</v>
      </c>
      <c r="CA70" s="144">
        <f t="shared" ref="CA70" si="723">IF(ISERROR(CA24/BV24-1),"",(CA24/BV24-1))</f>
        <v>0.727885597548519</v>
      </c>
      <c r="CB70" s="145">
        <f t="shared" ref="CB70" si="724">IF(ISERROR(CB24/BW24-1),"",(CB24/BW24-1))</f>
        <v>0.56871437618746046</v>
      </c>
      <c r="CC70" s="145">
        <f t="shared" ref="CC70" si="725">IF(ISERROR(CC24/BX24-1),"",(CC24/BX24-1))</f>
        <v>0.25557461406518001</v>
      </c>
      <c r="CD70" s="145">
        <f t="shared" ref="CD70" si="726">IF(ISERROR(CD24/BY24-1),"",(CD24/BY24-1))</f>
        <v>0.30552486187845296</v>
      </c>
      <c r="CE70" s="145">
        <f t="shared" ref="CE70" si="727">IF(ISERROR(CE24/BZ24-1),"",(CE24/BZ24-1))</f>
        <v>3.1325301204819356E-2</v>
      </c>
      <c r="CF70" s="144">
        <f t="shared" ref="CF70" si="728">IF(ISERROR(CF24/CA24-1),"",(CF24/CA24-1))</f>
        <v>0.23669898321116101</v>
      </c>
      <c r="CG70" s="145">
        <f t="shared" ref="CG70" si="729">IF(ISERROR(CG24/CB24-1),"",(CG24/CB24-1))</f>
        <v>-0.13241824788050061</v>
      </c>
      <c r="CH70" s="145">
        <f t="shared" ref="CH70" si="730">IF(ISERROR(CH24/CC24-1),"",(CH24/CC24-1))</f>
        <v>-2.3397085610200365</v>
      </c>
      <c r="CI70" s="145">
        <f t="shared" ref="CI70" si="731">IF(ISERROR(CI24/CD24-1),"",(CI24/CD24-1))</f>
        <v>-0.50613626745662299</v>
      </c>
      <c r="CJ70" s="145">
        <f t="shared" ref="CJ70:CK70" si="732">IF(ISERROR(CJ24/CE24-1),"",(CJ24/CE24-1))</f>
        <v>-1.2949766355140186</v>
      </c>
      <c r="CK70" s="144">
        <f t="shared" si="732"/>
        <v>-1.0608030592734226</v>
      </c>
      <c r="CL70" s="145">
        <f t="shared" ref="CL70" si="733">IF(ISERROR(CL24/CG24-1),"",(CL24/CG24-1))</f>
        <v>-1.2922289436947416</v>
      </c>
      <c r="CM70" s="145">
        <f t="shared" ref="CM70" si="734">IF(ISERROR(CM24/CH24-1),"",(CM24/CH24-1))</f>
        <v>-0.19238613188307274</v>
      </c>
      <c r="CN70" s="145">
        <f t="shared" ref="CN70" si="735">IF(ISERROR(CN24/CI24-1),"",(CN24/CI24-1))</f>
        <v>-1.3847472150814053</v>
      </c>
      <c r="CO70" s="145">
        <f t="shared" ref="CO70:CP70" si="736">IF(ISERROR(CO24/CJ24-1),"",(CO24/CJ24-1))</f>
        <v>7.3366336633663369</v>
      </c>
      <c r="CP70" s="144">
        <f t="shared" si="736"/>
        <v>17.668238993710691</v>
      </c>
      <c r="CQ70" s="145">
        <f t="shared" ref="CQ70" si="737">IF(ISERROR(CQ24/CL24-1),"",(CQ24/CL24-1))</f>
        <v>-0.14490445859872614</v>
      </c>
      <c r="CR70" s="145">
        <f t="shared" ref="CR70" si="738">IF(ISERROR(CR24/CM24-1),"",(CR24/CM24-1))</f>
        <v>-1.247053872053872</v>
      </c>
      <c r="CS70" s="145">
        <f t="shared" ref="CS70" si="739">IF(ISERROR(CS24/CN24-1),"",(CS24/CN24-1))</f>
        <v>-0.75723830734966591</v>
      </c>
      <c r="CT70" s="145">
        <f t="shared" ref="CT70:CU70" si="740">IF(ISERROR(CT24/CO24-1),"",(CT24/CO24-1))</f>
        <v>-0.50795724465558201</v>
      </c>
      <c r="CU70" s="144">
        <f t="shared" si="740"/>
        <v>-0.64608776214941466</v>
      </c>
      <c r="CV70" s="145">
        <f t="shared" ref="CV70:CW70" si="741">IF(ISERROR(CV24/CQ24-1),"",(CV24/CQ24-1))</f>
        <v>1.2700186219739291</v>
      </c>
      <c r="CW70" s="145">
        <f t="shared" si="741"/>
        <v>-0.67120954003407163</v>
      </c>
      <c r="CX70" s="145">
        <f t="shared" ref="CX70" si="742">IF(ISERROR(CX24/CS24-1),"",(CX24/CS24-1))</f>
        <v>29.045871559633028</v>
      </c>
      <c r="CY70" s="145">
        <f t="shared" ref="CY70" si="743">IF(ISERROR(CY24/CT24-1),"",(CY24/CT24-1))</f>
        <v>-0.84697079411054788</v>
      </c>
      <c r="CZ70" s="144">
        <f t="shared" ref="CZ70" si="744">IF(ISERROR(CZ24/CU24-1),"",(CZ24/CU24-1))</f>
        <v>0.17444074250356967</v>
      </c>
      <c r="DA70" s="145">
        <f t="shared" ref="DA70" si="745">IF(ISERROR(DA24/CV24-1),"",(DA24/CV24-1))</f>
        <v>-0.66037735849056611</v>
      </c>
      <c r="DB70" s="145">
        <f t="shared" ref="DB70" si="746">IF(ISERROR(DB24/CW24-1),"",(DB24/CW24-1))</f>
        <v>-1.7720207253886011</v>
      </c>
      <c r="DC70" s="145">
        <f t="shared" ref="DC70" si="747">IF(ISERROR(DC24/CX24-1),"",(DC24/CX24-1))</f>
        <v>-0.50045801526717559</v>
      </c>
      <c r="DD70" s="145">
        <f t="shared" ref="DD70" si="748">IF(ISERROR(DD24/CY24-1),"",(DD24/CY24-1))</f>
        <v>-0.9637223974763407</v>
      </c>
      <c r="DE70" s="144">
        <f t="shared" ref="DE70:DO70" si="749">IF(ISERROR(DE24/CZ24-1),"",(DE24/CZ24-1))</f>
        <v>-0.5497467071935157</v>
      </c>
      <c r="DF70" s="145">
        <f t="shared" si="749"/>
        <v>-0.17149758454106279</v>
      </c>
      <c r="DG70" s="145">
        <f t="shared" si="749"/>
        <v>8.6577181208053684</v>
      </c>
      <c r="DH70" s="145">
        <f t="shared" si="749"/>
        <v>2.7713936430317849</v>
      </c>
      <c r="DI70" s="145">
        <f t="shared" si="749"/>
        <v>166.69565217391303</v>
      </c>
      <c r="DJ70" s="144">
        <f t="shared" si="749"/>
        <v>4.3145814581458142</v>
      </c>
      <c r="DK70" s="145">
        <f t="shared" si="749"/>
        <v>-0.89212827988338195</v>
      </c>
      <c r="DL70" s="145">
        <f t="shared" si="749"/>
        <v>-0.57539958304378036</v>
      </c>
      <c r="DM70" s="145">
        <f t="shared" si="749"/>
        <v>-0.13500810372771477</v>
      </c>
      <c r="DN70" s="145">
        <f t="shared" si="749"/>
        <v>-3.1311900440757063</v>
      </c>
      <c r="DO70" s="144">
        <f t="shared" si="749"/>
        <v>-1.1892624269624863</v>
      </c>
      <c r="DP70" s="145">
        <f t="shared" ref="DP70" si="750">IF(ISERROR(DP24/DK24-1),"",(DP24/DK24-1))</f>
        <v>-0.89189189189189189</v>
      </c>
      <c r="DQ70" s="145">
        <f t="shared" ref="DQ70" si="751">IF(ISERROR(DQ24/DL24-1),"",(DQ24/DL24-1))</f>
        <v>-0.27332242225859249</v>
      </c>
      <c r="DR70" s="145">
        <f t="shared" ref="DR70" si="752">IF(ISERROR(DR24/DM24-1),"",(DR24/DM24-1))</f>
        <v>-1.0270468568430293</v>
      </c>
      <c r="DS70" s="145">
        <f t="shared" ref="DS70" si="753">IF(ISERROR(DS24/DN24-1),"",(DS24/DN24-1))</f>
        <v>-0.92754574313474403</v>
      </c>
      <c r="DT70" s="144">
        <f t="shared" ref="DT70" si="754">IF(ISERROR(DT24/DO24-1),"",(DT24/DO24-1))</f>
        <v>-0.86938565261581591</v>
      </c>
      <c r="DU70" s="145">
        <f t="shared" ref="DU70" si="755">IF(ISERROR(DU24/DP24-1),"",(DU24/DP24-1))</f>
        <v>-49.588296267127504</v>
      </c>
      <c r="DV70" s="145">
        <f t="shared" ref="DV70" si="756">IF(ISERROR(DV24/DQ24-1),"",(DV24/DQ24-1))</f>
        <v>-2.8464515233409777</v>
      </c>
      <c r="DW70" s="145">
        <f t="shared" ref="DW70" si="757">IF(ISERROR(DW24/DR24-1),"",(DW24/DR24-1))</f>
        <v>7.933872672402039</v>
      </c>
      <c r="DX70" s="145">
        <f t="shared" ref="DX70" si="758">IF(ISERROR(DX24/DS24-1),"",(DX24/DS24-1))</f>
        <v>1.8456848591277657</v>
      </c>
      <c r="DY70" s="144">
        <f t="shared" ref="DY70" si="759">IF(ISERROR(DY24/DT24-1),"",(DY24/DT24-1))</f>
        <v>12.697409583881756</v>
      </c>
      <c r="DZ70" s="144">
        <f t="shared" ref="DZ70" si="760">IF(ISERROR(DZ24/DY24-1),"",(DZ24/DY24-1))</f>
        <v>0.88477851425147591</v>
      </c>
      <c r="EA70" s="144">
        <f t="shared" ref="EA70" si="761">IF(ISERROR(EA24/DZ24-1),"",(EA24/DZ24-1))</f>
        <v>0.4848500638077724</v>
      </c>
      <c r="EB70" s="144">
        <f t="shared" ref="EB70" si="762">IF(ISERROR(EB24/EA24-1),"",(EB24/EA24-1))</f>
        <v>0.34108124073107837</v>
      </c>
    </row>
    <row r="71" spans="1:132" s="68" customFormat="1" ht="12" customHeight="1">
      <c r="B71" s="151" t="s">
        <v>228</v>
      </c>
      <c r="C71" s="144"/>
      <c r="D71" s="144">
        <f t="shared" ref="D71:I71" si="763">IF(ISERROR(D32/C32-1),"",(D32/C32-1))</f>
        <v>-7.3129589409452898</v>
      </c>
      <c r="E71" s="144">
        <f t="shared" si="763"/>
        <v>1.1528976632774293</v>
      </c>
      <c r="F71" s="144">
        <f t="shared" si="763"/>
        <v>-2.063616951656555E-2</v>
      </c>
      <c r="G71" s="144">
        <f t="shared" si="763"/>
        <v>0.395264622124466</v>
      </c>
      <c r="H71" s="144">
        <f t="shared" si="763"/>
        <v>-0.15819024972397056</v>
      </c>
      <c r="I71" s="144">
        <f t="shared" si="763"/>
        <v>-0.69057516713453726</v>
      </c>
      <c r="J71" s="145"/>
      <c r="K71" s="145"/>
      <c r="L71" s="145"/>
      <c r="M71" s="145"/>
      <c r="N71" s="144">
        <f t="shared" ref="N71:AJ71" si="764">IF(ISERROR(N32/I32-1),"",(N32/I32-1))</f>
        <v>1.5220357217499751</v>
      </c>
      <c r="O71" s="145">
        <f t="shared" si="764"/>
        <v>-0.17076717881952042</v>
      </c>
      <c r="P71" s="145">
        <f t="shared" si="764"/>
        <v>-2.8267958246290137E-2</v>
      </c>
      <c r="Q71" s="145">
        <f t="shared" si="764"/>
        <v>1.3473561712089883</v>
      </c>
      <c r="R71" s="145">
        <f t="shared" si="764"/>
        <v>1.7771707581085621</v>
      </c>
      <c r="S71" s="144">
        <f t="shared" si="764"/>
        <v>0.42540023185184461</v>
      </c>
      <c r="T71" s="145">
        <f t="shared" si="764"/>
        <v>0.37180811488968124</v>
      </c>
      <c r="U71" s="145">
        <f t="shared" si="764"/>
        <v>-1.2998033399258011</v>
      </c>
      <c r="V71" s="145">
        <f t="shared" si="764"/>
        <v>-0.29847794991639309</v>
      </c>
      <c r="W71" s="145">
        <f t="shared" si="764"/>
        <v>1.0415076957521494</v>
      </c>
      <c r="X71" s="144">
        <f t="shared" si="764"/>
        <v>-0.12222717143039519</v>
      </c>
      <c r="Y71" s="145">
        <f t="shared" si="764"/>
        <v>0.28492893906024364</v>
      </c>
      <c r="Z71" s="145">
        <f t="shared" si="764"/>
        <v>-7.4237749356499352</v>
      </c>
      <c r="AA71" s="145">
        <f t="shared" si="764"/>
        <v>0.61988420455654847</v>
      </c>
      <c r="AB71" s="145">
        <f t="shared" si="764"/>
        <v>0.11821727116456726</v>
      </c>
      <c r="AC71" s="144">
        <f t="shared" si="764"/>
        <v>0.8754856862865914</v>
      </c>
      <c r="AD71" s="145">
        <f t="shared" si="764"/>
        <v>0.43689325745057106</v>
      </c>
      <c r="AE71" s="145">
        <f t="shared" si="764"/>
        <v>-0.13981942669458536</v>
      </c>
      <c r="AF71" s="145">
        <f t="shared" si="764"/>
        <v>-0.34019396515382272</v>
      </c>
      <c r="AG71" s="145">
        <f t="shared" si="764"/>
        <v>-1.0894045394055145</v>
      </c>
      <c r="AH71" s="144">
        <f t="shared" si="764"/>
        <v>-0.30695755171413686</v>
      </c>
      <c r="AI71" s="145">
        <f t="shared" si="764"/>
        <v>-0.46121456612892564</v>
      </c>
      <c r="AJ71" s="145">
        <f t="shared" si="764"/>
        <v>0.21294330191463984</v>
      </c>
      <c r="AK71" s="145">
        <f t="shared" ref="AK71:AS71" si="765">IF(ISERROR(AK32/AF32-1),"",(AK32/AF32-1))</f>
        <v>-3.3511324607573596</v>
      </c>
      <c r="AL71" s="145">
        <f t="shared" si="765"/>
        <v>-15.712518110878735</v>
      </c>
      <c r="AM71" s="144">
        <f t="shared" si="765"/>
        <v>-0.48598620993875663</v>
      </c>
      <c r="AN71" s="145">
        <f t="shared" si="765"/>
        <v>-0.19338388681819541</v>
      </c>
      <c r="AO71" s="145">
        <f t="shared" si="765"/>
        <v>-0.24601614778377412</v>
      </c>
      <c r="AP71" s="145">
        <f t="shared" si="765"/>
        <v>-1.5053376619351639</v>
      </c>
      <c r="AQ71" s="145">
        <f t="shared" si="765"/>
        <v>-0.11929620273768493</v>
      </c>
      <c r="AR71" s="144">
        <f t="shared" si="765"/>
        <v>1.3792629279963617</v>
      </c>
      <c r="AS71" s="145">
        <f t="shared" si="765"/>
        <v>0.11910493374595799</v>
      </c>
      <c r="AT71" s="145">
        <f t="shared" ref="AT71:BB71" si="766">IF(ISERROR(AT32/AO32-1),"",(AT32/AO32-1))</f>
        <v>0.17852837665926691</v>
      </c>
      <c r="AU71" s="145">
        <f t="shared" si="766"/>
        <v>0.29092541959825624</v>
      </c>
      <c r="AV71" s="145">
        <f t="shared" si="766"/>
        <v>0.17383724526172228</v>
      </c>
      <c r="AW71" s="144">
        <f t="shared" si="766"/>
        <v>0.19621547357602687</v>
      </c>
      <c r="AX71" s="145">
        <f t="shared" si="766"/>
        <v>0.55002695675684676</v>
      </c>
      <c r="AY71" s="145">
        <f t="shared" si="766"/>
        <v>1.3875932705863958E-2</v>
      </c>
      <c r="AZ71" s="145">
        <f t="shared" si="766"/>
        <v>-7.0243002032662538E-2</v>
      </c>
      <c r="BA71" s="145">
        <f t="shared" si="766"/>
        <v>-0.30344695469670235</v>
      </c>
      <c r="BB71" s="144">
        <f t="shared" si="766"/>
        <v>-4.095096823614619E-2</v>
      </c>
      <c r="BC71" s="145">
        <f t="shared" ref="BC71:BL71" si="767">IF(ISERROR(BC32/AX32-1),"",(BC32/AX32-1))</f>
        <v>0.18279976820369681</v>
      </c>
      <c r="BD71" s="145">
        <f t="shared" si="767"/>
        <v>0.10982184034796383</v>
      </c>
      <c r="BE71" s="145">
        <f t="shared" si="767"/>
        <v>0.11789790781286791</v>
      </c>
      <c r="BF71" s="145">
        <f t="shared" si="767"/>
        <v>0.25769854551300009</v>
      </c>
      <c r="BG71" s="144">
        <f t="shared" si="767"/>
        <v>0.16687001247415512</v>
      </c>
      <c r="BH71" s="145">
        <f t="shared" si="767"/>
        <v>-0.11059385306077218</v>
      </c>
      <c r="BI71" s="145">
        <f t="shared" si="767"/>
        <v>0.58583383458338201</v>
      </c>
      <c r="BJ71" s="145">
        <f t="shared" si="767"/>
        <v>0.23381538838450688</v>
      </c>
      <c r="BK71" s="145">
        <f t="shared" si="767"/>
        <v>0.2600831313574945</v>
      </c>
      <c r="BL71" s="144">
        <f t="shared" si="767"/>
        <v>0.23856793178017188</v>
      </c>
      <c r="BM71" s="145">
        <f t="shared" ref="BM71:BN71" si="768">IF(ISERROR(BM32/BH32-1),"",(BM32/BH32-1))</f>
        <v>0.46180094979273156</v>
      </c>
      <c r="BN71" s="145">
        <f t="shared" si="768"/>
        <v>-0.28890849738206703</v>
      </c>
      <c r="BO71" s="145">
        <f t="shared" ref="BO71" si="769">IF(ISERROR(BO32/BJ32-1),"",(BO32/BJ32-1))</f>
        <v>0.32900008311861018</v>
      </c>
      <c r="BP71" s="145">
        <f t="shared" ref="BP71:BQ71" si="770">IF(ISERROR(BP32/BK32-1),"",(BP32/BK32-1))</f>
        <v>-0.25534186921562863</v>
      </c>
      <c r="BQ71" s="144">
        <f t="shared" si="770"/>
        <v>7.6532348732949451E-3</v>
      </c>
      <c r="BR71" s="145">
        <f t="shared" ref="BR71" si="771">IF(ISERROR(BR32/BM32-1),"",(BR32/BM32-1))</f>
        <v>-2.1246557650694275E-2</v>
      </c>
      <c r="BS71" s="145">
        <f t="shared" ref="BS71" si="772">IF(ISERROR(BS32/BN32-1),"",(BS32/BN32-1))</f>
        <v>-1.2315506454120315</v>
      </c>
      <c r="BT71" s="145">
        <f t="shared" ref="BT71" si="773">IF(ISERROR(BT32/BO32-1),"",(BT32/BO32-1))</f>
        <v>0.45645181875723018</v>
      </c>
      <c r="BU71" s="145">
        <f t="shared" ref="BU71:BV71" si="774">IF(ISERROR(BU32/BP32-1),"",(BU32/BP32-1))</f>
        <v>0.71804261654541834</v>
      </c>
      <c r="BV71" s="144">
        <f t="shared" si="774"/>
        <v>2.6157792354477349E-2</v>
      </c>
      <c r="BW71" s="145">
        <f t="shared" ref="BW71" si="775">IF(ISERROR(BW32/BR32-1),"",(BW32/BR32-1))</f>
        <v>0.38832379786245563</v>
      </c>
      <c r="BX71" s="145">
        <f t="shared" ref="BX71" si="776">IF(ISERROR(BX32/BS32-1),"",(BX32/BS32-1))</f>
        <v>-8.80173001211387</v>
      </c>
      <c r="BY71" s="145">
        <f t="shared" ref="BY71" si="777">IF(ISERROR(BY32/BT32-1),"",(BY32/BT32-1))</f>
        <v>-0.171209974078668</v>
      </c>
      <c r="BZ71" s="145">
        <f t="shared" ref="BZ71" si="778">IF(ISERROR(BZ32/BU32-1),"",(BZ32/BU32-1))</f>
        <v>1.1203339973195341</v>
      </c>
      <c r="CA71" s="144">
        <f t="shared" ref="CA71" si="779">IF(ISERROR(CA32/BV32-1),"",(CA32/BV32-1))</f>
        <v>0.8143930515276343</v>
      </c>
      <c r="CB71" s="145">
        <f t="shared" ref="CB71" si="780">IF(ISERROR(CB32/BW32-1),"",(CB32/BW32-1))</f>
        <v>0.63175715085005102</v>
      </c>
      <c r="CC71" s="145">
        <f t="shared" ref="CC71" si="781">IF(ISERROR(CC32/BX32-1),"",(CC32/BX32-1))</f>
        <v>0.30014996557522289</v>
      </c>
      <c r="CD71" s="145">
        <f t="shared" ref="CD71" si="782">IF(ISERROR(CD32/BY32-1),"",(CD32/BY32-1))</f>
        <v>0.362843876991918</v>
      </c>
      <c r="CE71" s="145">
        <f t="shared" ref="CE71" si="783">IF(ISERROR(CE32/BZ32-1),"",(CE32/BZ32-1))</f>
        <v>8.0614614301361298E-2</v>
      </c>
      <c r="CF71" s="144">
        <f t="shared" ref="CF71" si="784">IF(ISERROR(CF32/CA32-1),"",(CF32/CA32-1))</f>
        <v>0.28871609768288753</v>
      </c>
      <c r="CG71" s="145">
        <f t="shared" ref="CG71" si="785">IF(ISERROR(CG32/CB32-1),"",(CG32/CB32-1))</f>
        <v>-9.4829101387552295E-2</v>
      </c>
      <c r="CH71" s="145">
        <f t="shared" ref="CH71" si="786">IF(ISERROR(CH32/CC32-1),"",(CH32/CC32-1))</f>
        <v>-2.395164390363516</v>
      </c>
      <c r="CI71" s="145">
        <f t="shared" ref="CI71" si="787">IF(ISERROR(CI32/CD32-1),"",(CI32/CD32-1))</f>
        <v>-0.49607158141041219</v>
      </c>
      <c r="CJ71" s="145">
        <f t="shared" ref="CJ71:CK71" si="788">IF(ISERROR(CJ32/CE32-1),"",(CJ32/CE32-1))</f>
        <v>-1.3012893650678206</v>
      </c>
      <c r="CK71" s="144">
        <f t="shared" si="788"/>
        <v>-1.0627269865549254</v>
      </c>
      <c r="CL71" s="145">
        <f t="shared" ref="CL71" si="789">IF(ISERROR(CL32/CG32-1),"",(CL32/CG32-1))</f>
        <v>-1.2955855228324265</v>
      </c>
      <c r="CM71" s="145">
        <f t="shared" ref="CM71" si="790">IF(ISERROR(CM32/CH32-1),"",(CM32/CH32-1))</f>
        <v>-0.19395459101959933</v>
      </c>
      <c r="CN71" s="145">
        <f t="shared" ref="CN71" si="791">IF(ISERROR(CN32/CI32-1),"",(CN32/CI32-1))</f>
        <v>-1.3865127335410095</v>
      </c>
      <c r="CO71" s="145">
        <f t="shared" ref="CO71:CP71" si="792">IF(ISERROR(CO32/CJ32-1),"",(CO32/CJ32-1))</f>
        <v>7.1917495190603518</v>
      </c>
      <c r="CP71" s="144">
        <f t="shared" si="792"/>
        <v>17.651822303745679</v>
      </c>
      <c r="CQ71" s="145">
        <f t="shared" ref="CQ71" si="793">IF(ISERROR(CQ32/CL32-1),"",(CQ32/CL32-1))</f>
        <v>-0.17338816727198347</v>
      </c>
      <c r="CR71" s="145">
        <f t="shared" ref="CR71" si="794">IF(ISERROR(CR32/CM32-1),"",(CR32/CM32-1))</f>
        <v>-1.2370913472235059</v>
      </c>
      <c r="CS71" s="145">
        <f t="shared" ref="CS71" si="795">IF(ISERROR(CS32/CN32-1),"",(CS32/CN32-1))</f>
        <v>-0.76647067053365148</v>
      </c>
      <c r="CT71" s="145">
        <f t="shared" ref="CT71:CU71" si="796">IF(ISERROR(CT32/CO32-1),"",(CT32/CO32-1))</f>
        <v>-0.52037709397733667</v>
      </c>
      <c r="CU71" s="144">
        <f t="shared" si="796"/>
        <v>-0.65820094163506448</v>
      </c>
      <c r="CV71" s="145">
        <f t="shared" ref="CV71:CW71" si="797">IF(ISERROR(CV32/CQ32-1),"",(CV32/CQ32-1))</f>
        <v>1.2458490811281697</v>
      </c>
      <c r="CW71" s="145">
        <f t="shared" si="797"/>
        <v>-0.67462754951057846</v>
      </c>
      <c r="CX71" s="145">
        <f t="shared" ref="CX71" si="798">IF(ISERROR(CX32/CS32-1),"",(CX32/CS32-1))</f>
        <v>28.67804519306365</v>
      </c>
      <c r="CY71" s="145">
        <f t="shared" ref="CY71" si="799">IF(ISERROR(CY32/CT32-1),"",(CY32/CT32-1))</f>
        <v>-0.84916824138162705</v>
      </c>
      <c r="CZ71" s="144">
        <f t="shared" ref="CZ71" si="800">IF(ISERROR(CZ32/CU32-1),"",(CZ32/CU32-1))</f>
        <v>0.16044581232813981</v>
      </c>
      <c r="DA71" s="145">
        <f t="shared" ref="DA71" si="801">IF(ISERROR(DA32/CV32-1),"",(DA32/CV32-1))</f>
        <v>-0.66646520003131604</v>
      </c>
      <c r="DB71" s="145">
        <f t="shared" ref="DB71" si="802">IF(ISERROR(DB32/CW32-1),"",(DB32/CW32-1))</f>
        <v>-1.760418101770044</v>
      </c>
      <c r="DC71" s="145">
        <f t="shared" ref="DC71" si="803">IF(ISERROR(DC32/CX32-1),"",(DC32/CX32-1))</f>
        <v>-0.50760465578452973</v>
      </c>
      <c r="DD71" s="145">
        <f t="shared" ref="DD71" si="804">IF(ISERROR(DD32/CY32-1),"",(DD32/CY32-1))</f>
        <v>-0.96415334738257785</v>
      </c>
      <c r="DE71" s="144">
        <f t="shared" ref="DE71:DO71" si="805">IF(ISERROR(DE32/CZ32-1),"",(DE32/CZ32-1))</f>
        <v>-0.55681300427634173</v>
      </c>
      <c r="DF71" s="145">
        <f t="shared" si="805"/>
        <v>-0.18595449231244354</v>
      </c>
      <c r="DG71" s="145">
        <f t="shared" si="805"/>
        <v>8.4838603992015091</v>
      </c>
      <c r="DH71" s="145">
        <f t="shared" si="805"/>
        <v>2.6870109393976667</v>
      </c>
      <c r="DI71" s="145">
        <f t="shared" si="805"/>
        <v>140.54064166913898</v>
      </c>
      <c r="DJ71" s="144">
        <f t="shared" si="805"/>
        <v>3.9734427472104441</v>
      </c>
      <c r="DK71" s="145">
        <f t="shared" si="805"/>
        <v>-0.9122020987848285</v>
      </c>
      <c r="DL71" s="145">
        <f t="shared" si="805"/>
        <v>-0.65396693484641155</v>
      </c>
      <c r="DM71" s="145">
        <f t="shared" si="805"/>
        <v>-0.29562181153666256</v>
      </c>
      <c r="DN71" s="145">
        <f t="shared" si="805"/>
        <v>-2.9250409693720316</v>
      </c>
      <c r="DO71" s="144">
        <f t="shared" si="805"/>
        <v>-1.1597749325600772</v>
      </c>
      <c r="DP71" s="145">
        <f t="shared" ref="DP71" si="806">IF(ISERROR(DP32/DK32-1),"",(DP32/DK32-1))</f>
        <v>-0.89663877075044585</v>
      </c>
      <c r="DQ71" s="145">
        <f t="shared" ref="DQ71" si="807">IF(ISERROR(DQ32/DL32-1),"",(DQ32/DL32-1))</f>
        <v>-0.30457341851865816</v>
      </c>
      <c r="DR71" s="145">
        <f t="shared" ref="DR71" si="808">IF(ISERROR(DR32/DM32-1),"",(DR32/DM32-1))</f>
        <v>-1.0259801624510403</v>
      </c>
      <c r="DS71" s="145">
        <f t="shared" ref="DS71" si="809">IF(ISERROR(DS32/DN32-1),"",(DS32/DN32-1))</f>
        <v>-0.92721155720240289</v>
      </c>
      <c r="DT71" s="144">
        <f t="shared" ref="DT71" si="810">IF(ISERROR(DT32/DO32-1),"",(DT32/DO32-1))</f>
        <v>-0.87335856335781281</v>
      </c>
      <c r="DU71" s="145">
        <f t="shared" ref="DU71" si="811">IF(ISERROR(DU32/DP32-1),"",(DU32/DP32-1))</f>
        <v>-49.505197261666531</v>
      </c>
      <c r="DV71" s="145">
        <f t="shared" ref="DV71" si="812">IF(ISERROR(DV32/DQ32-1),"",(DV32/DQ32-1))</f>
        <v>-2.8587948995395394</v>
      </c>
      <c r="DW71" s="145">
        <f t="shared" ref="DW71" si="813">IF(ISERROR(DW32/DR32-1),"",(DW32/DR32-1))</f>
        <v>8.022259106577204</v>
      </c>
      <c r="DX71" s="145">
        <f t="shared" ref="DX71" si="814">IF(ISERROR(DX32/DS32-1),"",(DX32/DS32-1))</f>
        <v>1.9044079619149512</v>
      </c>
      <c r="DY71" s="144">
        <f t="shared" ref="DY71" si="815">IF(ISERROR(DY32/DT32-1),"",(DY32/DT32-1))</f>
        <v>12.818279365905861</v>
      </c>
      <c r="DZ71" s="144">
        <f t="shared" ref="DZ71" si="816">IF(ISERROR(DZ32/DY32-1),"",(DZ32/DY32-1))</f>
        <v>0.92910596346624885</v>
      </c>
      <c r="EA71" s="144">
        <f t="shared" ref="EA71" si="817">IF(ISERROR(EA32/DZ32-1),"",(EA32/DZ32-1))</f>
        <v>0.53499020238438399</v>
      </c>
      <c r="EB71" s="144">
        <f t="shared" ref="EB71" si="818">IF(ISERROR(EB32/EA32-1),"",(EB32/EA32-1))</f>
        <v>0.39771872538221142</v>
      </c>
    </row>
    <row r="72" spans="1:132" s="68" customFormat="1" ht="12" customHeight="1">
      <c r="B72" s="153"/>
      <c r="C72" s="120"/>
      <c r="D72" s="120"/>
      <c r="E72" s="120"/>
      <c r="F72" s="120"/>
      <c r="G72" s="120"/>
      <c r="H72" s="120"/>
      <c r="I72" s="120"/>
      <c r="J72" s="121"/>
      <c r="K72" s="121"/>
      <c r="L72" s="121"/>
      <c r="M72" s="121"/>
      <c r="N72" s="120"/>
      <c r="O72" s="121"/>
      <c r="P72" s="121"/>
      <c r="Q72" s="121"/>
      <c r="R72" s="121"/>
      <c r="S72" s="120"/>
      <c r="T72" s="121"/>
      <c r="U72" s="121"/>
      <c r="V72" s="121"/>
      <c r="W72" s="121"/>
      <c r="X72" s="120"/>
      <c r="Y72" s="121"/>
      <c r="Z72" s="121"/>
      <c r="AA72" s="121"/>
      <c r="AB72" s="121"/>
      <c r="AC72" s="120"/>
      <c r="AD72" s="121"/>
      <c r="AE72" s="121"/>
      <c r="AF72" s="121"/>
      <c r="AG72" s="121"/>
      <c r="AH72" s="120"/>
      <c r="AI72" s="121"/>
      <c r="AJ72" s="121"/>
      <c r="AK72" s="121"/>
      <c r="AL72" s="121"/>
      <c r="AM72" s="120"/>
      <c r="AN72" s="121"/>
      <c r="AO72" s="121"/>
      <c r="AP72" s="121"/>
      <c r="AQ72" s="121"/>
      <c r="AR72" s="120"/>
      <c r="AS72" s="121"/>
      <c r="AT72" s="121"/>
      <c r="AU72" s="121"/>
      <c r="AV72" s="121"/>
      <c r="AW72" s="120"/>
      <c r="AX72" s="121"/>
      <c r="AY72" s="121"/>
      <c r="AZ72" s="121"/>
      <c r="BA72" s="121"/>
      <c r="BB72" s="120"/>
      <c r="BC72" s="121"/>
      <c r="BD72" s="121"/>
      <c r="BE72" s="121"/>
      <c r="BF72" s="121"/>
      <c r="BG72" s="120"/>
      <c r="BH72" s="121"/>
      <c r="BI72" s="121"/>
      <c r="BJ72" s="121"/>
      <c r="BK72" s="121"/>
      <c r="BL72" s="120"/>
      <c r="BM72" s="121"/>
      <c r="BN72" s="121"/>
      <c r="BO72" s="121"/>
      <c r="BP72" s="121"/>
      <c r="BQ72" s="120"/>
      <c r="BR72" s="121"/>
      <c r="BS72" s="121"/>
      <c r="BT72" s="121"/>
      <c r="BU72" s="121"/>
      <c r="BV72" s="120"/>
      <c r="BW72" s="121"/>
      <c r="BX72" s="121"/>
      <c r="BY72" s="121"/>
      <c r="BZ72" s="121"/>
      <c r="CA72" s="120"/>
      <c r="CB72" s="121"/>
      <c r="CC72" s="121"/>
      <c r="CD72" s="121"/>
      <c r="CE72" s="121"/>
      <c r="CF72" s="120"/>
      <c r="CG72" s="121"/>
      <c r="CH72" s="121"/>
      <c r="CI72" s="121"/>
      <c r="CJ72" s="121"/>
      <c r="CK72" s="120"/>
      <c r="CL72" s="121"/>
      <c r="CM72" s="121"/>
      <c r="CN72" s="121"/>
      <c r="CO72" s="121"/>
      <c r="CP72" s="120"/>
      <c r="CQ72" s="121"/>
      <c r="CR72" s="121"/>
      <c r="CS72" s="121"/>
      <c r="CT72" s="121"/>
      <c r="CU72" s="120"/>
      <c r="CV72" s="121"/>
      <c r="CW72" s="121"/>
      <c r="CX72" s="121"/>
      <c r="CY72" s="121"/>
      <c r="CZ72" s="120"/>
      <c r="DA72" s="121"/>
      <c r="DB72" s="121"/>
      <c r="DC72" s="121"/>
      <c r="DD72" s="121"/>
      <c r="DE72" s="120"/>
      <c r="DF72" s="121"/>
      <c r="DG72" s="121"/>
      <c r="DH72" s="121"/>
      <c r="DI72" s="121"/>
      <c r="DJ72" s="120"/>
      <c r="DK72" s="121"/>
      <c r="DL72" s="121"/>
      <c r="DM72" s="121"/>
      <c r="DN72" s="121"/>
      <c r="DO72" s="120"/>
      <c r="DP72" s="121"/>
      <c r="DQ72" s="121"/>
      <c r="DR72" s="121"/>
      <c r="DS72" s="121"/>
      <c r="DT72" s="120"/>
      <c r="DU72" s="121"/>
      <c r="DV72" s="121"/>
      <c r="DW72" s="121"/>
      <c r="DX72" s="121"/>
      <c r="DY72" s="120"/>
      <c r="DZ72" s="120"/>
      <c r="EA72" s="120"/>
      <c r="EB72" s="120"/>
    </row>
    <row r="73" spans="1:132" s="68" customFormat="1" ht="12" customHeight="1">
      <c r="B73" s="154" t="s">
        <v>229</v>
      </c>
      <c r="C73" s="120"/>
      <c r="D73" s="120"/>
      <c r="E73" s="120"/>
      <c r="F73" s="120"/>
      <c r="G73" s="120"/>
      <c r="H73" s="120"/>
      <c r="I73" s="120"/>
      <c r="J73" s="121"/>
      <c r="K73" s="121"/>
      <c r="L73" s="121"/>
      <c r="M73" s="121"/>
      <c r="N73" s="120"/>
      <c r="O73" s="121"/>
      <c r="P73" s="121"/>
      <c r="Q73" s="121"/>
      <c r="R73" s="121"/>
      <c r="S73" s="120"/>
      <c r="T73" s="121"/>
      <c r="U73" s="121"/>
      <c r="V73" s="121"/>
      <c r="W73" s="121"/>
      <c r="X73" s="120"/>
      <c r="Y73" s="121"/>
      <c r="Z73" s="121"/>
      <c r="AA73" s="121"/>
      <c r="AB73" s="121"/>
      <c r="AC73" s="120"/>
      <c r="AD73" s="121"/>
      <c r="AE73" s="121"/>
      <c r="AF73" s="121"/>
      <c r="AG73" s="121"/>
      <c r="AH73" s="120"/>
      <c r="AI73" s="121"/>
      <c r="AJ73" s="121"/>
      <c r="AK73" s="121"/>
      <c r="AL73" s="121"/>
      <c r="AM73" s="120"/>
      <c r="AN73" s="121"/>
      <c r="AO73" s="121"/>
      <c r="AP73" s="121"/>
      <c r="AQ73" s="121"/>
      <c r="AR73" s="120"/>
      <c r="AS73" s="121"/>
      <c r="AT73" s="121"/>
      <c r="AU73" s="121"/>
      <c r="AV73" s="121"/>
      <c r="AW73" s="120"/>
      <c r="AX73" s="121"/>
      <c r="AY73" s="121"/>
      <c r="AZ73" s="121"/>
      <c r="BA73" s="121"/>
      <c r="BB73" s="120"/>
      <c r="BC73" s="121"/>
      <c r="BD73" s="121"/>
      <c r="BE73" s="121"/>
      <c r="BF73" s="121"/>
      <c r="BG73" s="120"/>
      <c r="BH73" s="121"/>
      <c r="BI73" s="121"/>
      <c r="BJ73" s="121"/>
      <c r="BK73" s="121"/>
      <c r="BL73" s="120"/>
      <c r="BM73" s="121"/>
      <c r="BN73" s="121"/>
      <c r="BO73" s="121"/>
      <c r="BP73" s="121"/>
      <c r="BQ73" s="120"/>
      <c r="BR73" s="121"/>
      <c r="BS73" s="121"/>
      <c r="BT73" s="121"/>
      <c r="BU73" s="121"/>
      <c r="BV73" s="120"/>
      <c r="BW73" s="121"/>
      <c r="BX73" s="121"/>
      <c r="BY73" s="121"/>
      <c r="BZ73" s="121"/>
      <c r="CA73" s="120"/>
      <c r="CB73" s="121"/>
      <c r="CC73" s="121"/>
      <c r="CD73" s="121"/>
      <c r="CE73" s="121"/>
      <c r="CF73" s="120"/>
      <c r="CG73" s="121"/>
      <c r="CH73" s="121"/>
      <c r="CI73" s="121"/>
      <c r="CJ73" s="121"/>
      <c r="CK73" s="120"/>
      <c r="CL73" s="121"/>
      <c r="CM73" s="121"/>
      <c r="CN73" s="121"/>
      <c r="CO73" s="121"/>
      <c r="CP73" s="120"/>
      <c r="CQ73" s="121"/>
      <c r="CR73" s="121"/>
      <c r="CS73" s="121"/>
      <c r="CT73" s="121"/>
      <c r="CU73" s="120"/>
      <c r="CV73" s="121"/>
      <c r="CW73" s="121"/>
      <c r="CX73" s="121"/>
      <c r="CY73" s="121"/>
      <c r="CZ73" s="120"/>
      <c r="DA73" s="121"/>
      <c r="DB73" s="121"/>
      <c r="DC73" s="121"/>
      <c r="DD73" s="121"/>
      <c r="DE73" s="120"/>
      <c r="DF73" s="121"/>
      <c r="DG73" s="121"/>
      <c r="DH73" s="121"/>
      <c r="DI73" s="121"/>
      <c r="DJ73" s="120"/>
      <c r="DK73" s="121"/>
      <c r="DL73" s="121"/>
      <c r="DM73" s="121"/>
      <c r="DN73" s="121"/>
      <c r="DO73" s="120"/>
      <c r="DP73" s="121"/>
      <c r="DQ73" s="121"/>
      <c r="DR73" s="121"/>
      <c r="DS73" s="121"/>
      <c r="DT73" s="120"/>
      <c r="DU73" s="121"/>
      <c r="DV73" s="121"/>
      <c r="DW73" s="121"/>
      <c r="DX73" s="121"/>
      <c r="DY73" s="120"/>
      <c r="DZ73" s="120"/>
      <c r="EA73" s="120"/>
      <c r="EB73" s="120"/>
    </row>
    <row r="74" spans="1:132" s="241" customFormat="1" ht="12" customHeight="1">
      <c r="A74" s="68"/>
      <c r="B74" s="153" t="s">
        <v>113</v>
      </c>
      <c r="C74" s="296"/>
      <c r="D74" s="296"/>
      <c r="E74" s="296"/>
      <c r="F74" s="296"/>
      <c r="G74" s="296"/>
      <c r="H74" s="296"/>
      <c r="I74" s="296"/>
      <c r="J74" s="303"/>
      <c r="K74" s="303">
        <f>K8/J8-1</f>
        <v>9.9544717956632223E-3</v>
      </c>
      <c r="L74" s="303">
        <f>L8/K8-1</f>
        <v>4.8899755501221609E-3</v>
      </c>
      <c r="M74" s="303">
        <f>M8/L8-1</f>
        <v>8.0596107055961319E-3</v>
      </c>
      <c r="N74" s="296"/>
      <c r="O74" s="303">
        <f>O8/M8-1</f>
        <v>-2.0440488761502507E-2</v>
      </c>
      <c r="P74" s="303">
        <f>P8/O8-1</f>
        <v>0.15715715715715706</v>
      </c>
      <c r="Q74" s="303">
        <f>Q8/P8-1</f>
        <v>-0.15963534735161033</v>
      </c>
      <c r="R74" s="303">
        <f>R8/Q8-1</f>
        <v>0.12447541373030324</v>
      </c>
      <c r="S74" s="296"/>
      <c r="T74" s="303">
        <f>T8/R8-1</f>
        <v>4.4363073023026001E-3</v>
      </c>
      <c r="U74" s="303">
        <f>U8/T8-1</f>
        <v>5.0616937745372903E-2</v>
      </c>
      <c r="V74" s="303">
        <f>V8/U8-1</f>
        <v>-1.6482049913252417E-2</v>
      </c>
      <c r="W74" s="303">
        <f>W8/V8-1</f>
        <v>0.19010787706085885</v>
      </c>
      <c r="X74" s="296"/>
      <c r="Y74" s="303">
        <f>Y8/W8-1</f>
        <v>-0.12405222051194342</v>
      </c>
      <c r="Z74" s="303">
        <f>Z8/Y8-1</f>
        <v>0.10823299707126588</v>
      </c>
      <c r="AA74" s="303">
        <f>AA8/Z8-1</f>
        <v>-3.0009396288466106E-2</v>
      </c>
      <c r="AB74" s="303">
        <f>AB8/AA8-1</f>
        <v>5.812193497608531E-2</v>
      </c>
      <c r="AC74" s="296"/>
      <c r="AD74" s="303">
        <f>AD8/AB8-1</f>
        <v>-8.508325227441782E-2</v>
      </c>
      <c r="AE74" s="303">
        <f>AE8/AD8-1</f>
        <v>6.078799249530964E-2</v>
      </c>
      <c r="AF74" s="303">
        <f>AF8/AE8-1</f>
        <v>-9.8396415517038038E-2</v>
      </c>
      <c r="AG74" s="303">
        <f>AG8/AF8-1</f>
        <v>-0.17190871640619887</v>
      </c>
      <c r="AH74" s="296"/>
      <c r="AI74" s="303">
        <f>AI8/AG8-1</f>
        <v>0.30306380290587498</v>
      </c>
      <c r="AJ74" s="303">
        <f>AJ8/AI8-1</f>
        <v>3.9510362380317465E-2</v>
      </c>
      <c r="AK74" s="303">
        <f>AK8/AJ8-1</f>
        <v>-2.7165675644164611E-2</v>
      </c>
      <c r="AL74" s="303">
        <f>AL8/AK8-1</f>
        <v>7.4844199424736413E-2</v>
      </c>
      <c r="AM74" s="296"/>
      <c r="AN74" s="303">
        <f>AN8/AL8-1</f>
        <v>-0.15169760829570167</v>
      </c>
      <c r="AO74" s="303">
        <f>AO8/AN8-1</f>
        <v>2.3462145110410004E-2</v>
      </c>
      <c r="AP74" s="303">
        <f>AP8/AO8-1</f>
        <v>8.9513902266743717E-2</v>
      </c>
      <c r="AQ74" s="303">
        <f>AQ8/AP8-1</f>
        <v>-2.4577120292332166E-2</v>
      </c>
      <c r="AR74" s="296"/>
      <c r="AS74" s="303">
        <f>AS8/AQ8-1</f>
        <v>-9.9093655589123864E-2</v>
      </c>
      <c r="AT74" s="303">
        <f>AT8/AS8-1</f>
        <v>0.10952380952380958</v>
      </c>
      <c r="AU74" s="303">
        <f>AU8/AT8-1</f>
        <v>7.1571057244756098E-2</v>
      </c>
      <c r="AV74" s="303">
        <f>AV8/AU8-1</f>
        <v>0.10311953517233596</v>
      </c>
      <c r="AW74" s="296"/>
      <c r="AX74" s="303">
        <f>AX8/AV8-1</f>
        <v>-8.7957044234211468E-3</v>
      </c>
      <c r="AY74" s="303">
        <f>AY8/AX8-1</f>
        <v>3.2089975751947497E-2</v>
      </c>
      <c r="AZ74" s="303">
        <f>AZ8/AY8-1</f>
        <v>1.4996250937260314E-4</v>
      </c>
      <c r="BA74" s="303">
        <f>BA8/AZ8-1</f>
        <v>0.1146541383446622</v>
      </c>
      <c r="BB74" s="296"/>
      <c r="BC74" s="303">
        <f>BC8/BA8-1</f>
        <v>-0.1528562460765851</v>
      </c>
      <c r="BD74" s="303">
        <f>BD8/BC8-1</f>
        <v>0.15466045625363889</v>
      </c>
      <c r="BE74" s="303">
        <f>BE8/BD8-1</f>
        <v>1.4439605775842246E-2</v>
      </c>
      <c r="BF74" s="303">
        <f>BF8/BE8-1</f>
        <v>7.4803434252146417E-2</v>
      </c>
      <c r="BG74" s="296"/>
      <c r="BH74" s="628">
        <f>BH8/BF8-1</f>
        <v>-0.13959824093771811</v>
      </c>
      <c r="BI74" s="303">
        <f>BI8/BH8-1</f>
        <v>7.7204984119227937E-2</v>
      </c>
      <c r="BJ74" s="628">
        <f>BJ8/BI8-1</f>
        <v>7.8884100703107363E-2</v>
      </c>
      <c r="BK74" s="628">
        <f>BK8/BJ8-1</f>
        <v>2.8758829465186597E-2</v>
      </c>
      <c r="BL74" s="638"/>
      <c r="BM74" s="628">
        <f>BM8/BK8-1</f>
        <v>-9.4776851397743944E-2</v>
      </c>
      <c r="BN74" s="628">
        <f>BN8/BM8-1</f>
        <v>0.10808614384396598</v>
      </c>
      <c r="BO74" s="628">
        <f>BO8/BN8-1</f>
        <v>5.321272868027549E-2</v>
      </c>
      <c r="BP74" s="628">
        <f>BP8/BO8-1</f>
        <v>-8.8049827846338302E-2</v>
      </c>
      <c r="BQ74" s="638"/>
      <c r="BR74" s="628">
        <f>BR8/BP8-1</f>
        <v>-3.9918550884486481E-2</v>
      </c>
      <c r="BS74" s="628">
        <f>BS8/BR8-1</f>
        <v>9.3805231530576183E-2</v>
      </c>
      <c r="BT74" s="628">
        <f>BT8/BS8-1</f>
        <v>-3.4619268834578887E-2</v>
      </c>
      <c r="BU74" s="628">
        <f>BU8/BT8-1</f>
        <v>-2.5608837559628395E-2</v>
      </c>
      <c r="BV74" s="638"/>
      <c r="BW74" s="628">
        <f>BW8/BU8-1</f>
        <v>-5.6901142317272169E-2</v>
      </c>
      <c r="BX74" s="628">
        <f>BX8/BW8-1</f>
        <v>4.9633441100132014E-2</v>
      </c>
      <c r="BY74" s="628">
        <f>BY8/BX8-1</f>
        <v>5.0843781180859748E-2</v>
      </c>
      <c r="BZ74" s="628">
        <f>BZ8/BY8-1</f>
        <v>2.2581843702266458E-2</v>
      </c>
      <c r="CA74" s="638"/>
      <c r="CB74" s="628">
        <f>CB8/BZ8-1</f>
        <v>-5.6035526846992312E-2</v>
      </c>
      <c r="CC74" s="628">
        <f>CC8/CB8-1</f>
        <v>3.7464716448550206E-2</v>
      </c>
      <c r="CD74" s="628">
        <f>CD8/CC8-1</f>
        <v>3.6606480336383918E-2</v>
      </c>
      <c r="CE74" s="628">
        <f>CE8/CD8-1</f>
        <v>0.12705798138869007</v>
      </c>
      <c r="CF74" s="638"/>
      <c r="CG74" s="628">
        <f>CG8/CE8-1</f>
        <v>-0.19138350799195514</v>
      </c>
      <c r="CH74" s="628">
        <f>CH8/CG8-1</f>
        <v>-0.31269363354714841</v>
      </c>
      <c r="CI74" s="628">
        <f>CI8/CH8-1</f>
        <v>0.26849088946733546</v>
      </c>
      <c r="CJ74" s="628">
        <f>CJ8/CI8-1</f>
        <v>-0.10355355355355356</v>
      </c>
      <c r="CK74" s="638"/>
      <c r="CL74" s="628">
        <f>CL8/CJ8-1</f>
        <v>-5.5999106694210266E-2</v>
      </c>
      <c r="CM74" s="628">
        <f>CM8/CL8-1</f>
        <v>-0.30169150697894487</v>
      </c>
      <c r="CN74" s="628">
        <f>CN8/CM8-1</f>
        <v>0.1975099517235539</v>
      </c>
      <c r="CO74" s="628">
        <f>CO8/CN8-1</f>
        <v>8.2396209067119308E-2</v>
      </c>
      <c r="CP74" s="638"/>
      <c r="CQ74" s="628">
        <f>CQ8/CO8-1</f>
        <v>-5.6847882906430058E-3</v>
      </c>
      <c r="CR74" s="628">
        <f>CR8/CQ8-1</f>
        <v>0.11704015246106336</v>
      </c>
      <c r="CS74" s="628">
        <f>CS8/CR8-1</f>
        <v>-0.10118837510295331</v>
      </c>
      <c r="CT74" s="628">
        <f>CT8/CS8-1</f>
        <v>-3.1744992800104677E-2</v>
      </c>
      <c r="CU74" s="638"/>
      <c r="CV74" s="628">
        <f>CV8/CT8-1</f>
        <v>-5.4214831339146841E-2</v>
      </c>
      <c r="CW74" s="628">
        <f>CW8/CV8-1</f>
        <v>0.19226645700807654</v>
      </c>
      <c r="CX74" s="628">
        <f>CX8/CW8-1</f>
        <v>-4.3462622144955332E-2</v>
      </c>
      <c r="CY74" s="628">
        <f>CY8/CX8-1</f>
        <v>0.25219353221358731</v>
      </c>
      <c r="CZ74" s="638"/>
      <c r="DA74" s="628">
        <f>DA8/CY8-1</f>
        <v>-0.10305305305305301</v>
      </c>
      <c r="DB74" s="628">
        <f>DB8/DA8-1</f>
        <v>0.10211483734166626</v>
      </c>
      <c r="DC74" s="628">
        <f>DC8/DB8-1</f>
        <v>-8.3388182876816375E-2</v>
      </c>
      <c r="DD74" s="628">
        <f>DD8/DC8-1</f>
        <v>0.21619531595227581</v>
      </c>
      <c r="DE74" s="638"/>
      <c r="DF74" s="628">
        <f>DF8/DD8-1</f>
        <v>-0.24747933508947229</v>
      </c>
      <c r="DG74" s="628">
        <f>DG8/DF8-1</f>
        <v>1.7925040738729026E-2</v>
      </c>
      <c r="DH74" s="628">
        <f>DH8/DG8-1</f>
        <v>5.7749318154867835E-2</v>
      </c>
      <c r="DI74" s="628">
        <f>DI8/DH8-1</f>
        <v>-0.14562780269058295</v>
      </c>
      <c r="DJ74" s="638"/>
      <c r="DK74" s="628">
        <f>DK8/DI8-1</f>
        <v>0.27909723133447062</v>
      </c>
      <c r="DL74" s="628">
        <f>DL8/DK8-1</f>
        <v>0.16685473943373008</v>
      </c>
      <c r="DM74" s="628">
        <f>DM8/DL8-1</f>
        <v>2.2902105587058852E-2</v>
      </c>
      <c r="DN74" s="628">
        <f>DN8/DM8-1</f>
        <v>2.9136226901590012E-2</v>
      </c>
      <c r="DO74" s="638"/>
      <c r="DP74" s="628">
        <f>DP8/DN8-1</f>
        <v>-7.2281610155336518E-2</v>
      </c>
      <c r="DQ74" s="628">
        <f>DQ8/DP8-1</f>
        <v>0.10545978304901649</v>
      </c>
      <c r="DR74" s="628">
        <f>DR8/DQ8-1</f>
        <v>-1.0649192876937996E-2</v>
      </c>
      <c r="DS74" s="628">
        <f>DS8/DR8-1</f>
        <v>7.3906903973782745E-2</v>
      </c>
      <c r="DT74" s="638"/>
      <c r="DU74" s="628">
        <f>DU8/DS8-1</f>
        <v>-1.4511829924737762E-2</v>
      </c>
      <c r="DV74" s="628">
        <f>DV8/DU8-1</f>
        <v>7.5953953019161746E-2</v>
      </c>
      <c r="DW74" s="628">
        <f>DW8/DV8-1</f>
        <v>5.6154893001360229E-2</v>
      </c>
      <c r="DX74" s="628">
        <f>DX8/DW8-1</f>
        <v>8.6137262719276908E-2</v>
      </c>
      <c r="DY74" s="638"/>
      <c r="DZ74" s="638"/>
      <c r="EA74" s="638"/>
      <c r="EB74" s="638"/>
    </row>
    <row r="75" spans="1:132" s="241" customFormat="1" ht="12" customHeight="1">
      <c r="B75" s="153" t="s">
        <v>218</v>
      </c>
      <c r="C75" s="296"/>
      <c r="D75" s="296"/>
      <c r="E75" s="296"/>
      <c r="F75" s="296"/>
      <c r="G75" s="296"/>
      <c r="H75" s="296"/>
      <c r="I75" s="296"/>
      <c r="J75" s="303"/>
      <c r="K75" s="303">
        <f>K55/J55-1</f>
        <v>-0.18013468013468015</v>
      </c>
      <c r="L75" s="303">
        <f>L55/K55-1</f>
        <v>-0.14065708418891165</v>
      </c>
      <c r="M75" s="303">
        <f>M55/L55-1</f>
        <v>-0.3823178016726404</v>
      </c>
      <c r="N75" s="296"/>
      <c r="O75" s="303">
        <f>O55/M55-1</f>
        <v>1.0154738878143132</v>
      </c>
      <c r="P75" s="303">
        <f>P55/O55-1</f>
        <v>0.16410748560460653</v>
      </c>
      <c r="Q75" s="303">
        <f>Q55/P55-1</f>
        <v>-6.4303380049464121E-2</v>
      </c>
      <c r="R75" s="303">
        <f>R55/Q55-1</f>
        <v>-0.18502202643171806</v>
      </c>
      <c r="S75" s="296"/>
      <c r="T75" s="303">
        <f>T55/R55-1</f>
        <v>0.43567567567567567</v>
      </c>
      <c r="U75" s="303">
        <f>U55/T55-1</f>
        <v>-0.3162650602409639</v>
      </c>
      <c r="V75" s="303">
        <f>V55/U55-1</f>
        <v>0.45374449339207046</v>
      </c>
      <c r="W75" s="303">
        <f>W55/V55-1</f>
        <v>0.19242424242424239</v>
      </c>
      <c r="X75" s="296"/>
      <c r="Y75" s="303">
        <f>Y55/W55-1</f>
        <v>5.7814485387547743E-2</v>
      </c>
      <c r="Z75" s="303">
        <f>Z55/Y55-1</f>
        <v>0.14294294294294296</v>
      </c>
      <c r="AA75" s="303">
        <f>AA55/Z55-1</f>
        <v>-3.4682080924855474E-2</v>
      </c>
      <c r="AB75" s="303">
        <f>AB55/AA55-1</f>
        <v>4.0283070223189998E-2</v>
      </c>
      <c r="AC75" s="296"/>
      <c r="AD75" s="303">
        <f>AD55/AB55-1</f>
        <v>0.13082155939298801</v>
      </c>
      <c r="AE75" s="303">
        <f>AE55/AD55-1</f>
        <v>-0.25543729754743172</v>
      </c>
      <c r="AF75" s="303">
        <f>AF55/AE55-1</f>
        <v>-6.9608452454940961E-2</v>
      </c>
      <c r="AG75" s="303">
        <f>AG55/AF55-1</f>
        <v>-0.88376753507014028</v>
      </c>
      <c r="AH75" s="296"/>
      <c r="AI75" s="303">
        <f>AI55/AG55-1</f>
        <v>7.0977011494252871</v>
      </c>
      <c r="AJ75" s="303">
        <f>AJ55/AI55-1</f>
        <v>0.35557132718239881</v>
      </c>
      <c r="AK75" s="303">
        <f>AK55/AJ55-1</f>
        <v>-1.8989528795811519</v>
      </c>
      <c r="AL75" s="303">
        <f>AL55/AK55-1</f>
        <v>-2.2580081537565522</v>
      </c>
      <c r="AM75" s="296"/>
      <c r="AN75" s="303">
        <f>AN55/AL55-1</f>
        <v>-0.26898148148148149</v>
      </c>
      <c r="AO75" s="303">
        <f>AO55/AN55-1</f>
        <v>0.11209626345788481</v>
      </c>
      <c r="AP75" s="303">
        <f>AP55/AO55-1</f>
        <v>2.6765375854214124E-2</v>
      </c>
      <c r="AQ75" s="303">
        <f>AQ55/AP55-1</f>
        <v>-0.13477537437603992</v>
      </c>
      <c r="AR75" s="296"/>
      <c r="AS75" s="303">
        <f>AS55/AQ55-1</f>
        <v>-0.11538461538461542</v>
      </c>
      <c r="AT75" s="303">
        <f>AT55/AS55-1</f>
        <v>0.422463768115942</v>
      </c>
      <c r="AU75" s="303">
        <f>AU55/AT55-1</f>
        <v>8.5583290881304119E-2</v>
      </c>
      <c r="AV75" s="303">
        <f>AV55/AU55-1</f>
        <v>-4.7395588925387089E-2</v>
      </c>
      <c r="AW75" s="296"/>
      <c r="AX75" s="303">
        <f>AX55/AV55-1</f>
        <v>-1.6748768472906406E-2</v>
      </c>
      <c r="AY75" s="303">
        <f>AY55/AX55-1</f>
        <v>-1.3026052104208374E-2</v>
      </c>
      <c r="AZ75" s="303">
        <f>AZ55/AY55-1</f>
        <v>2.9543147208121789E-2</v>
      </c>
      <c r="BA75" s="303">
        <f>BA55/AZ55-1</f>
        <v>4.8713144660289975E-2</v>
      </c>
      <c r="BB75" s="296"/>
      <c r="BC75" s="303">
        <f>BC55/BA55-1</f>
        <v>-7.9924776680771026E-2</v>
      </c>
      <c r="BD75" s="303">
        <f>BD55/BC55-1</f>
        <v>9.9642309657639316E-2</v>
      </c>
      <c r="BE75" s="303">
        <f>BE55/BD55-1</f>
        <v>5.0650557620817827E-2</v>
      </c>
      <c r="BF75" s="303">
        <f>BF55/BE55-1</f>
        <v>-9.9336576735956861E-2</v>
      </c>
      <c r="BG75" s="296"/>
      <c r="BH75" s="628">
        <f>BH55/BF55-1</f>
        <v>-2.2785307405225552E-2</v>
      </c>
      <c r="BI75" s="303">
        <f>BI55/BH55-1</f>
        <v>0.1251256281407036</v>
      </c>
      <c r="BJ75" s="628">
        <f>BJ55/BI55-1</f>
        <v>0.15989280928986149</v>
      </c>
      <c r="BK75" s="628">
        <f>BK55/BJ55-1</f>
        <v>-1.6942626107046554E-2</v>
      </c>
      <c r="BL75" s="638"/>
      <c r="BM75" s="628">
        <f>BM55/BK55-1</f>
        <v>-2.9377203290246734E-2</v>
      </c>
      <c r="BN75" s="628">
        <f>BN55/BM55-1</f>
        <v>-0.13801452784503632</v>
      </c>
      <c r="BO75" s="628">
        <f>BO55/BN55-1</f>
        <v>0.41245318352059934</v>
      </c>
      <c r="BP75" s="628">
        <f>BP55/BO55-1</f>
        <v>-0.45475638051044087</v>
      </c>
      <c r="BQ75" s="638"/>
      <c r="BR75" s="628">
        <f>BR55/BP55-1</f>
        <v>0.35623100303951372</v>
      </c>
      <c r="BS75" s="628">
        <f>BS55/BR55-1</f>
        <v>-0.9874495741819812</v>
      </c>
      <c r="BT75" s="628">
        <f>BT55/BS55-1</f>
        <v>97.428571428571431</v>
      </c>
      <c r="BU75" s="628">
        <f>BU55/BT55-1</f>
        <v>-9.7968069666183322E-3</v>
      </c>
      <c r="BV75" s="638"/>
      <c r="BW75" s="628">
        <f>BW55/BU55-1</f>
        <v>-1.9054598754122409E-2</v>
      </c>
      <c r="BX75" s="628">
        <f>BX55/BW55-1</f>
        <v>0.1296227119910347</v>
      </c>
      <c r="BY75" s="628">
        <f>BY55/BX55-1</f>
        <v>4.2328042328042326E-2</v>
      </c>
      <c r="BZ75" s="628">
        <f>BZ55/BY55-1</f>
        <v>0.12944162436548234</v>
      </c>
      <c r="CA75" s="638"/>
      <c r="CB75" s="628">
        <f>CB55/BZ55-1</f>
        <v>-5.1685393258426915E-2</v>
      </c>
      <c r="CC75" s="628">
        <f>CC55/CB55-1</f>
        <v>-4.7097156398104301E-2</v>
      </c>
      <c r="CD75" s="628">
        <f>CD55/CC55-1</f>
        <v>-0.14516630400994712</v>
      </c>
      <c r="CE75" s="628">
        <f>CE55/CD55-1</f>
        <v>0.73018181818181827</v>
      </c>
      <c r="CF75" s="638"/>
      <c r="CG75" s="628">
        <f>CG55/CE55-1</f>
        <v>-0.39659520807061788</v>
      </c>
      <c r="CH75" s="628">
        <f>CH55/CG55-1</f>
        <v>-1.9871125043538838</v>
      </c>
      <c r="CI75" s="628">
        <f>CI55/CH55-1</f>
        <v>-1.6474947071277346</v>
      </c>
      <c r="CJ75" s="628">
        <f>CJ55/CI55-1</f>
        <v>-1.8588555858310627</v>
      </c>
      <c r="CK75" s="638"/>
      <c r="CL75" s="628">
        <f>CL55/CJ55-1</f>
        <v>-0.49428934010152281</v>
      </c>
      <c r="CM75" s="628">
        <f>CM55/CL55-1</f>
        <v>2.0326223337515685</v>
      </c>
      <c r="CN75" s="628">
        <f>CN55/CM55-1</f>
        <v>-1.0678527099710384</v>
      </c>
      <c r="CO75" s="628">
        <f>CO55/CN55-1</f>
        <v>-46.554878048780488</v>
      </c>
      <c r="CP75" s="638"/>
      <c r="CQ75" s="628">
        <f>CQ55/CO55-1</f>
        <v>-1.0606344532191139</v>
      </c>
      <c r="CR75" s="628">
        <f>CR55/CQ55-1</f>
        <v>2.4746136865342163</v>
      </c>
      <c r="CS75" s="628">
        <f>CS55/CR55-1</f>
        <v>-0.4587039390088945</v>
      </c>
      <c r="CT75" s="628">
        <f>CT55/CS55-1</f>
        <v>-5.268779342723005</v>
      </c>
      <c r="CU75" s="638"/>
      <c r="CV75" s="628">
        <f>CV55/CT55-1</f>
        <v>-0.81220786362386588</v>
      </c>
      <c r="CW75" s="628">
        <f>CW55/CV55-1</f>
        <v>-2.8623718887262077</v>
      </c>
      <c r="CX75" s="628">
        <f>CX55/CW55-1</f>
        <v>-2.8128930817610063</v>
      </c>
      <c r="CY75" s="628">
        <f>CY55/CX55-1</f>
        <v>-1.0646140503035559</v>
      </c>
      <c r="CZ75" s="638"/>
      <c r="DA75" s="628">
        <f>DA55/CY55-1</f>
        <v>1.0671140939597317</v>
      </c>
      <c r="DB75" s="628">
        <f>DB55/DA55-1</f>
        <v>0.15909090909090917</v>
      </c>
      <c r="DC75" s="628">
        <f>DC55/DB55-1</f>
        <v>-1.9551820728291318</v>
      </c>
      <c r="DD75" s="628">
        <f>DD55/DC55-1</f>
        <v>-3.2404692082111435</v>
      </c>
      <c r="DE75" s="638"/>
      <c r="DF75" s="628">
        <f>DF55/DD55-1</f>
        <v>-0.53403141361256545</v>
      </c>
      <c r="DG75" s="628">
        <f>DG55/DF55-1</f>
        <v>-2.8230337078651688</v>
      </c>
      <c r="DH75" s="628">
        <f>DH55/DG55-1</f>
        <v>7.1926040061633287</v>
      </c>
      <c r="DI75" s="628">
        <f>DI55/DH55-1</f>
        <v>-0.38668422042505168</v>
      </c>
      <c r="DJ75" s="638"/>
      <c r="DK75" s="628">
        <f>DK55/DI55-1</f>
        <v>-1.2842686292548298</v>
      </c>
      <c r="DL75" s="628">
        <f>DL55/DK55-1</f>
        <v>-0.69363538295577132</v>
      </c>
      <c r="DM75" s="628">
        <f>DM55/DL55-1</f>
        <v>-16.105633802816904</v>
      </c>
      <c r="DN75" s="628">
        <f>DN55/DM55-1</f>
        <v>-3.1708624708624709</v>
      </c>
      <c r="DO75" s="638"/>
      <c r="DP75" s="628">
        <f>DP55/DN55-1</f>
        <v>-0.890368302373027</v>
      </c>
      <c r="DQ75" s="628">
        <f>DQ55/DP55-1</f>
        <v>-0.26346718903036237</v>
      </c>
      <c r="DR75" s="628">
        <f>DR55/DQ55-1</f>
        <v>0.51680908682845272</v>
      </c>
      <c r="DS75" s="628">
        <f>DS55/DR55-1</f>
        <v>0.40917261313733233</v>
      </c>
      <c r="DT75" s="638"/>
      <c r="DU75" s="628">
        <f>DU55/DS55-1</f>
        <v>-0.24824627822433276</v>
      </c>
      <c r="DV75" s="628">
        <f>DV55/DU55-1</f>
        <v>0.56884820633589639</v>
      </c>
      <c r="DW75" s="628">
        <f>DW55/DV55-1</f>
        <v>0.28626515718710777</v>
      </c>
      <c r="DX75" s="628">
        <f>DX55/DW55-1</f>
        <v>0.18730897848612638</v>
      </c>
      <c r="DY75" s="638"/>
      <c r="DZ75" s="638"/>
      <c r="EA75" s="638"/>
      <c r="EB75" s="638"/>
    </row>
    <row r="76" spans="1:132" s="241" customFormat="1" ht="12" customHeight="1">
      <c r="B76" s="153" t="s">
        <v>216</v>
      </c>
      <c r="C76" s="296"/>
      <c r="D76" s="296"/>
      <c r="E76" s="296"/>
      <c r="F76" s="296"/>
      <c r="G76" s="296"/>
      <c r="H76" s="296"/>
      <c r="I76" s="296"/>
      <c r="J76" s="303"/>
      <c r="K76" s="303">
        <f>K53/J53-1</f>
        <v>-0.23150357995226734</v>
      </c>
      <c r="L76" s="303">
        <f>L53/K53-1</f>
        <v>-0.20652173913043481</v>
      </c>
      <c r="M76" s="303">
        <f>M53/L53-1</f>
        <v>-0.9726027397260274</v>
      </c>
      <c r="N76" s="296"/>
      <c r="O76" s="303">
        <f>O53/M53-1</f>
        <v>48.071428571428569</v>
      </c>
      <c r="P76" s="303">
        <f>P53/O53-1</f>
        <v>0.17903930131004375</v>
      </c>
      <c r="Q76" s="303">
        <f>Q53/P53-1</f>
        <v>-5.8024691358024683E-2</v>
      </c>
      <c r="R76" s="303">
        <f>R53/Q53-1</f>
        <v>-0.27653997378768025</v>
      </c>
      <c r="S76" s="296"/>
      <c r="T76" s="303">
        <f>T53/R53-1</f>
        <v>0.7373188405797102</v>
      </c>
      <c r="U76" s="303">
        <f>U53/T53-1</f>
        <v>-0.45464025026068822</v>
      </c>
      <c r="V76" s="303">
        <f>V53/U53-1</f>
        <v>0.81835564053537291</v>
      </c>
      <c r="W76" s="303">
        <f>W53/V53-1</f>
        <v>0.21135646687697163</v>
      </c>
      <c r="X76" s="296"/>
      <c r="Y76" s="303">
        <f>Y53/W53-1</f>
        <v>0.13628472222222232</v>
      </c>
      <c r="Z76" s="303">
        <f>Z53/Y53-1</f>
        <v>0.15049656226126817</v>
      </c>
      <c r="AA76" s="303">
        <f>AA53/Z53-1</f>
        <v>-4.6480743691899029E-3</v>
      </c>
      <c r="AB76" s="303">
        <f>AB53/AA53-1</f>
        <v>1.1340893929286278E-2</v>
      </c>
      <c r="AC76" s="296"/>
      <c r="AD76" s="303">
        <f>AD53/AB53-1</f>
        <v>0.1866754617414248</v>
      </c>
      <c r="AE76" s="303">
        <f>AE53/AD53-1</f>
        <v>-0.3068371317398555</v>
      </c>
      <c r="AF76" s="303">
        <f>AF53/AE53-1</f>
        <v>-8.0192461908580648E-2</v>
      </c>
      <c r="AG76" s="303">
        <f>AG53/AF53-1</f>
        <v>-1.2118570183086312</v>
      </c>
      <c r="AH76" s="296"/>
      <c r="AI76" s="303">
        <f>AI53/AG53-1</f>
        <v>-5.2181069958847734</v>
      </c>
      <c r="AJ76" s="303">
        <f>AJ53/AI53-1</f>
        <v>0.49170731707317072</v>
      </c>
      <c r="AK76" s="303">
        <f>AK53/AJ53-1</f>
        <v>-2.4068018312622632</v>
      </c>
      <c r="AL76" s="303">
        <f>AL53/AK53-1</f>
        <v>-1.7870757787075777</v>
      </c>
      <c r="AM76" s="296"/>
      <c r="AN76" s="303">
        <f>AN53/AL53-1</f>
        <v>-0.30655640874187828</v>
      </c>
      <c r="AO76" s="303">
        <f>AO53/AN53-1</f>
        <v>0.11328790459965932</v>
      </c>
      <c r="AP76" s="303">
        <f>AP53/AO53-1</f>
        <v>6.1208875286916653E-2</v>
      </c>
      <c r="AQ76" s="303">
        <f>AQ53/AP53-1</f>
        <v>-0.20475847152126891</v>
      </c>
      <c r="AR76" s="296"/>
      <c r="AS76" s="303">
        <f>AS53/AQ53-1</f>
        <v>-9.3381686310063494E-2</v>
      </c>
      <c r="AT76" s="303">
        <f>AT53/AS53-1</f>
        <v>0.53400000000000003</v>
      </c>
      <c r="AU76" s="303">
        <f>AU53/AT53-1</f>
        <v>0.1173402868318123</v>
      </c>
      <c r="AV76" s="303">
        <f>AV53/AU53-1</f>
        <v>-6.8844807467911329E-2</v>
      </c>
      <c r="AW76" s="296"/>
      <c r="AX76" s="303">
        <f>AX53/AV53-1</f>
        <v>-1.6290726817042578E-2</v>
      </c>
      <c r="AY76" s="303">
        <f>AY53/AX53-1</f>
        <v>-1.4012738853503182E-2</v>
      </c>
      <c r="AZ76" s="303">
        <f>AZ53/AY53-1</f>
        <v>9.819121447028234E-3</v>
      </c>
      <c r="BA76" s="303">
        <f>BA53/AZ53-1</f>
        <v>4.209314227226213E-2</v>
      </c>
      <c r="BB76" s="296"/>
      <c r="BC76" s="303">
        <f>BC53/BA53-1</f>
        <v>-6.2001227747084053E-2</v>
      </c>
      <c r="BD76" s="303">
        <f>BD53/BC53-1</f>
        <v>0.12303664921465973</v>
      </c>
      <c r="BE76" s="303">
        <f>BE53/BD53-1</f>
        <v>5.069930069930062E-2</v>
      </c>
      <c r="BF76" s="303">
        <f>BF53/BE53-1</f>
        <v>-0.15951192457016006</v>
      </c>
      <c r="BG76" s="296"/>
      <c r="BH76" s="628">
        <f>BH53/BF53-1</f>
        <v>1.7553121288107709E-2</v>
      </c>
      <c r="BI76" s="303">
        <f>BI53/BH53-1</f>
        <v>0.15888456549935159</v>
      </c>
      <c r="BJ76" s="628">
        <f>BJ53/BI53-1</f>
        <v>0.18578623391158366</v>
      </c>
      <c r="BK76" s="628">
        <f>BK53/BJ53-1</f>
        <v>-4.4360547428032082E-2</v>
      </c>
      <c r="BL76" s="638"/>
      <c r="BM76" s="628">
        <f>BM53/BK53-1</f>
        <v>-2.962962962962945E-3</v>
      </c>
      <c r="BN76" s="628">
        <f>BN53/BM53-1</f>
        <v>-0.16641901931649328</v>
      </c>
      <c r="BO76" s="628">
        <f>BO53/BN53-1</f>
        <v>0.53297682709447414</v>
      </c>
      <c r="BP76" s="628">
        <f>BP53/BO53-1</f>
        <v>-0.55000000000000004</v>
      </c>
      <c r="BQ76" s="638"/>
      <c r="BR76" s="628">
        <f>BR53/BP53-1</f>
        <v>0.5400516795865633</v>
      </c>
      <c r="BS76" s="628">
        <f>BS53/BR53-1</f>
        <v>-1.2343400447427293</v>
      </c>
      <c r="BT76" s="628">
        <f>BT53/BS53-1</f>
        <v>-6.4463007159904535</v>
      </c>
      <c r="BU76" s="628">
        <f>BU53/BT53-1</f>
        <v>-4.3382997370727483E-2</v>
      </c>
      <c r="BV76" s="638"/>
      <c r="BW76" s="628">
        <f>BW53/BU53-1</f>
        <v>1.0535959688501961E-2</v>
      </c>
      <c r="BX76" s="628">
        <f>BX53/BW53-1</f>
        <v>0.14687216681776971</v>
      </c>
      <c r="BY76" s="628">
        <f>BY53/BX53-1</f>
        <v>3.9525691699604737E-2</v>
      </c>
      <c r="BZ76" s="628">
        <f>BZ53/BY53-1</f>
        <v>0.13231939163498097</v>
      </c>
      <c r="CA76" s="638"/>
      <c r="CB76" s="628">
        <f>CB53/BZ53-1</f>
        <v>-3.4586971121558063E-2</v>
      </c>
      <c r="CC76" s="628">
        <f>CC53/CB53-1</f>
        <v>-5.7391304347826133E-2</v>
      </c>
      <c r="CD76" s="628">
        <f>CD53/CC53-1</f>
        <v>-0.17822878228782291</v>
      </c>
      <c r="CE76" s="628">
        <f>CE53/CD53-1</f>
        <v>0.87471935339021112</v>
      </c>
      <c r="CF76" s="638"/>
      <c r="CG76" s="628">
        <f>CG53/CE53-1</f>
        <v>-0.43712574850299402</v>
      </c>
      <c r="CH76" s="628">
        <f>CH53/CG53-1</f>
        <v>-2.4382978723404256</v>
      </c>
      <c r="CI76" s="628">
        <f>CI53/CH53-1</f>
        <v>-1.3724852071005917</v>
      </c>
      <c r="CJ76" s="628">
        <f>CJ53/CI53-1</f>
        <v>-2.7505957108816519</v>
      </c>
      <c r="CK76" s="638"/>
      <c r="CL76" s="628">
        <f>CL53/CJ53-1</f>
        <v>-0.38611615245009079</v>
      </c>
      <c r="CM76" s="628">
        <f>CM53/CL53-1</f>
        <v>1.1906873614190689</v>
      </c>
      <c r="CN76" s="628">
        <f>CN53/CM53-1</f>
        <v>-0.86470985155195679</v>
      </c>
      <c r="CO76" s="628">
        <f>CO53/CN53-1</f>
        <v>19.072319201995011</v>
      </c>
      <c r="CP76" s="638"/>
      <c r="CQ76" s="628">
        <f>CQ53/CO53-1</f>
        <v>-0.98968816001987825</v>
      </c>
      <c r="CR76" s="628">
        <f>CR53/CQ53-1</f>
        <v>-13.325301204819278</v>
      </c>
      <c r="CS76" s="628">
        <f>CS53/CR53-1</f>
        <v>-0.67839687194525911</v>
      </c>
      <c r="CT76" s="628">
        <f>CT53/CS53-1</f>
        <v>-13.677811550151976</v>
      </c>
      <c r="CU76" s="638"/>
      <c r="CV76" s="628">
        <f>CV53/CT53-1</f>
        <v>-0.719731479261568</v>
      </c>
      <c r="CW76" s="628">
        <f>CW53/CV53-1</f>
        <v>-1.6621043627031651</v>
      </c>
      <c r="CX76" s="628">
        <f>CX53/CW53-1</f>
        <v>-4.6162790697674421</v>
      </c>
      <c r="CY76" s="628">
        <f>CY53/CX53-1</f>
        <v>-0.87388352983208284</v>
      </c>
      <c r="CZ76" s="638"/>
      <c r="DA76" s="628">
        <f>DA53/CY53-1</f>
        <v>-0.57790368271954673</v>
      </c>
      <c r="DB76" s="628">
        <f>DB53/DA53-1</f>
        <v>-0.33557046979865768</v>
      </c>
      <c r="DC76" s="628">
        <f>DC53/DB53-1</f>
        <v>7.1616161616161609</v>
      </c>
      <c r="DD76" s="628">
        <f>DD53/DC53-1</f>
        <v>-1.3502475247524752</v>
      </c>
      <c r="DE76" s="638"/>
      <c r="DF76" s="628">
        <f>DF53/DD53-1</f>
        <v>-1.3038869257950529</v>
      </c>
      <c r="DG76" s="628">
        <f>DG53/DF53-1</f>
        <v>11.674418604651162</v>
      </c>
      <c r="DH76" s="628">
        <f>DH53/DG53-1</f>
        <v>4.2853211009174315</v>
      </c>
      <c r="DI76" s="628">
        <f>DI53/DH53-1</f>
        <v>-0.34559972227043911</v>
      </c>
      <c r="DJ76" s="638"/>
      <c r="DK76" s="628">
        <f>DK53/DI53-1</f>
        <v>-1.1222811671087534</v>
      </c>
      <c r="DL76" s="628">
        <f>DL53/DK53-1</f>
        <v>-1.3817787418655096</v>
      </c>
      <c r="DM76" s="628">
        <f>DM53/DL53-1</f>
        <v>26.164772727272727</v>
      </c>
      <c r="DN76" s="628">
        <f>DN53/DM53-1</f>
        <v>-2.8358084082827864</v>
      </c>
      <c r="DO76" s="638"/>
      <c r="DP76" s="628">
        <f>DP53/DN53-1</f>
        <v>-0.9489575025635183</v>
      </c>
      <c r="DQ76" s="628">
        <f>DQ53/DP53-1</f>
        <v>-0.6517857142857143</v>
      </c>
      <c r="DR76" s="628">
        <f>DR53/DQ53-1</f>
        <v>2.5297463672756177</v>
      </c>
      <c r="DS76" s="628">
        <f>DS53/DR53-1</f>
        <v>0.77495004169591253</v>
      </c>
      <c r="DT76" s="638"/>
      <c r="DU76" s="628">
        <f>DU53/DS53-1</f>
        <v>-0.37756940478541035</v>
      </c>
      <c r="DV76" s="628">
        <f>DV53/DU53-1</f>
        <v>1.1298993853525983</v>
      </c>
      <c r="DW76" s="628">
        <f>DW53/DV53-1</f>
        <v>0.40339039178342895</v>
      </c>
      <c r="DX76" s="628">
        <f>DX53/DW53-1</f>
        <v>0.23467638379765177</v>
      </c>
      <c r="DY76" s="638"/>
      <c r="DZ76" s="638"/>
      <c r="EA76" s="638"/>
      <c r="EB76" s="638"/>
    </row>
    <row r="77" spans="1:132" s="241" customFormat="1" ht="12" customHeight="1">
      <c r="B77" s="153" t="s">
        <v>84</v>
      </c>
      <c r="C77" s="296"/>
      <c r="D77" s="296"/>
      <c r="E77" s="296"/>
      <c r="F77" s="296"/>
      <c r="G77" s="296"/>
      <c r="H77" s="296"/>
      <c r="I77" s="296"/>
      <c r="J77" s="303"/>
      <c r="K77" s="303">
        <f>K24/J24-1</f>
        <v>-5.93900481540931E-2</v>
      </c>
      <c r="L77" s="303">
        <f>L24/K24-1</f>
        <v>-0.25255972696245732</v>
      </c>
      <c r="M77" s="303">
        <f>M24/L24-1</f>
        <v>-0.60502283105022836</v>
      </c>
      <c r="N77" s="296"/>
      <c r="O77" s="303">
        <f>O24/M24-1</f>
        <v>1.9710982658959537</v>
      </c>
      <c r="P77" s="303">
        <f>P24/O24-1</f>
        <v>0.10116731517509736</v>
      </c>
      <c r="Q77" s="303">
        <f>Q24/P24-1</f>
        <v>0.78975265017667851</v>
      </c>
      <c r="R77" s="303">
        <f>R24/Q24-1</f>
        <v>-0.53701875616979278</v>
      </c>
      <c r="S77" s="296"/>
      <c r="T77" s="303">
        <f>T24/R24-1</f>
        <v>0.47547974413646066</v>
      </c>
      <c r="U77" s="303">
        <f>U24/T24-1</f>
        <v>-1.2312138728323698</v>
      </c>
      <c r="V77" s="303">
        <f>V24/U24-1</f>
        <v>-5.3375000000000004</v>
      </c>
      <c r="W77" s="303">
        <f>W24/V24-1</f>
        <v>0.41210374639769443</v>
      </c>
      <c r="X77" s="296"/>
      <c r="Y77" s="303">
        <f>Y24/W24-1</f>
        <v>-0.10918367346938773</v>
      </c>
      <c r="Z77" s="303">
        <f>Z24/Y24-1</f>
        <v>0.20160366552119124</v>
      </c>
      <c r="AA77" s="303">
        <f>AA24/Z24-1</f>
        <v>5.7197330791229684E-2</v>
      </c>
      <c r="AB77" s="303">
        <f>AB24/AA24-1</f>
        <v>-7.3940486925157756E-2</v>
      </c>
      <c r="AC77" s="296"/>
      <c r="AD77" s="303">
        <f>AD24/AB24-1</f>
        <v>0.17429406037000983</v>
      </c>
      <c r="AE77" s="303">
        <f>AE24/AD24-1</f>
        <v>-0.29436152570480933</v>
      </c>
      <c r="AF77" s="303">
        <f>AF24/AE24-1</f>
        <v>-0.19741480611045825</v>
      </c>
      <c r="AG77" s="303">
        <f>AG24/AF24-1</f>
        <v>-1.1259150805270863</v>
      </c>
      <c r="AH77" s="296"/>
      <c r="AI77" s="303">
        <f>AI24/AG24-1</f>
        <v>-8.1511627906976756</v>
      </c>
      <c r="AJ77" s="303">
        <f>AJ24/AI24-1</f>
        <v>0.62113821138211378</v>
      </c>
      <c r="AK77" s="303">
        <f>AK24/AJ24-1</f>
        <v>-2.5646940822467403</v>
      </c>
      <c r="AL77" s="303">
        <f>AL24/AK24-1</f>
        <v>-1.8224358974358974</v>
      </c>
      <c r="AM77" s="296"/>
      <c r="AN77" s="303">
        <f>AN24/AL24-1</f>
        <v>-0.59547934528448954</v>
      </c>
      <c r="AO77" s="303">
        <f>AO24/AN24-1</f>
        <v>0.52023121387283244</v>
      </c>
      <c r="AP77" s="303">
        <f>AP24/AO24-1</f>
        <v>6.083650190114076E-2</v>
      </c>
      <c r="AQ77" s="303">
        <f>AQ24/AP24-1</f>
        <v>0.39307048984468329</v>
      </c>
      <c r="AR77" s="296"/>
      <c r="AS77" s="303">
        <f>AS24/AQ24-1</f>
        <v>-0.49588336192109783</v>
      </c>
      <c r="AT77" s="303">
        <f>AT24/AS24-1</f>
        <v>0.60258591357604629</v>
      </c>
      <c r="AU77" s="303">
        <f>AU24/AT24-1</f>
        <v>0.16135881104033967</v>
      </c>
      <c r="AV77" s="303">
        <f>AV24/AU24-1</f>
        <v>0.2680073126142597</v>
      </c>
      <c r="AW77" s="296"/>
      <c r="AX77" s="303">
        <f>AX24/AV24-1</f>
        <v>-0.33391003460207613</v>
      </c>
      <c r="AY77" s="303">
        <f>AY24/AX24-1</f>
        <v>4.6536796536796432E-2</v>
      </c>
      <c r="AZ77" s="303">
        <f>AZ24/AY24-1</f>
        <v>6.7631851085832029E-2</v>
      </c>
      <c r="BA77" s="303">
        <f>BA24/AZ24-1</f>
        <v>-5.2692754746222037E-2</v>
      </c>
      <c r="BB77" s="296"/>
      <c r="BC77" s="303">
        <f>BC24/BA24-1</f>
        <v>0.13087934560327197</v>
      </c>
      <c r="BD77" s="303">
        <f>BD24/BC24-1</f>
        <v>-1.7179023508137381E-2</v>
      </c>
      <c r="BE77" s="303">
        <f>BE24/BD24-1</f>
        <v>6.7157313707451705E-2</v>
      </c>
      <c r="BF77" s="303">
        <f>BF24/BE24-1</f>
        <v>6.3275862068966848E-2</v>
      </c>
      <c r="BG77" s="296"/>
      <c r="BH77" s="628">
        <f>BH24/BF24-1</f>
        <v>-0.21760985892654539</v>
      </c>
      <c r="BI77" s="303">
        <f>BI24/BH24-1</f>
        <v>0.71295336787564767</v>
      </c>
      <c r="BJ77" s="628">
        <f>BJ24/BI24-1</f>
        <v>-0.17604355716878406</v>
      </c>
      <c r="BK77" s="628">
        <f>BK24/BJ24-1</f>
        <v>7.6358296622613731E-2</v>
      </c>
      <c r="BL77" s="638"/>
      <c r="BM77" s="628">
        <f>BM24/BK24-1</f>
        <v>-8.8676671214188318E-2</v>
      </c>
      <c r="BN77" s="628">
        <f>BN24/BM24-1</f>
        <v>-0.16916167664670656</v>
      </c>
      <c r="BO77" s="628">
        <f>BO24/BN24-1</f>
        <v>0.53513513513513522</v>
      </c>
      <c r="BP77" s="628">
        <f>BP24/BO24-1</f>
        <v>-0.397887323943662</v>
      </c>
      <c r="BQ77" s="638"/>
      <c r="BR77" s="628">
        <f>BR24/BP24-1</f>
        <v>0.18810916179337234</v>
      </c>
      <c r="BS77" s="628">
        <f>BS24/BR24-1</f>
        <v>-1.1919606234618541</v>
      </c>
      <c r="BT77" s="628">
        <f>BT24/BS24-1</f>
        <v>-10.739316239316238</v>
      </c>
      <c r="BU77" s="628">
        <f>BU24/BT24-1</f>
        <v>-0.28433523475208422</v>
      </c>
      <c r="BV77" s="638"/>
      <c r="BW77" s="628">
        <f>BW24/BU24-1</f>
        <v>-3.188228080931943E-2</v>
      </c>
      <c r="BX77" s="628">
        <f>BX24/BW24-1</f>
        <v>0.10766307789740348</v>
      </c>
      <c r="BY77" s="628">
        <f>BY24/BX24-1</f>
        <v>3.4877072612921722E-2</v>
      </c>
      <c r="BZ77" s="628">
        <f>BZ24/BY24-1</f>
        <v>0.83425414364640882</v>
      </c>
      <c r="CA77" s="638"/>
      <c r="CB77" s="628">
        <f>CB24/BZ24-1</f>
        <v>-0.25391566265060239</v>
      </c>
      <c r="CC77" s="628">
        <f>CC24/CB24-1</f>
        <v>-0.11344368187323373</v>
      </c>
      <c r="CD77" s="628">
        <f>CD24/CC24-1</f>
        <v>7.6047358834244072E-2</v>
      </c>
      <c r="CE77" s="628">
        <f>CE24/CD24-1</f>
        <v>0.44900550148116802</v>
      </c>
      <c r="CF77" s="638"/>
      <c r="CG77" s="628">
        <f>CG24/CE24-1</f>
        <v>-0.37237149532710279</v>
      </c>
      <c r="CH77" s="628">
        <f>CH24/CG24-1</f>
        <v>-2.3690088413215449</v>
      </c>
      <c r="CI77" s="628">
        <f>CI24/CH24-1</f>
        <v>-1.3966689326988444</v>
      </c>
      <c r="CJ77" s="628">
        <f>CJ24/CI24-1</f>
        <v>-1.8654670094258783</v>
      </c>
      <c r="CK77" s="638"/>
      <c r="CL77" s="628">
        <f>CL24/CJ24-1</f>
        <v>-0.37821782178217822</v>
      </c>
      <c r="CM77" s="628">
        <f>CM24/CL24-1</f>
        <v>2.7834394904458599</v>
      </c>
      <c r="CN77" s="628">
        <f>CN24/CM24-1</f>
        <v>-0.81102693602693599</v>
      </c>
      <c r="CO77" s="628">
        <f>CO24/CN24-1</f>
        <v>17.752783964365257</v>
      </c>
      <c r="CP77" s="638"/>
      <c r="CQ77" s="628">
        <f>CQ24/CO24-1</f>
        <v>-0.93622327790973869</v>
      </c>
      <c r="CR77" s="628">
        <f>CR24/CQ24-1</f>
        <v>-2.0931098696461827</v>
      </c>
      <c r="CS77" s="628">
        <f>CS24/CR24-1</f>
        <v>-1.1856899488926746</v>
      </c>
      <c r="CT77" s="628">
        <f>CT24/CS24-1</f>
        <v>37.009174311926607</v>
      </c>
      <c r="CU77" s="638"/>
      <c r="CV77" s="628">
        <f>CV24/CT24-1</f>
        <v>-0.70576876659425536</v>
      </c>
      <c r="CW77" s="628">
        <f>CW24/CV24-1</f>
        <v>-1.1583264971287941</v>
      </c>
      <c r="CX77" s="628">
        <f>CX24/CW24-1</f>
        <v>-17.968911917098445</v>
      </c>
      <c r="CY77" s="628">
        <f>CY24/CX24-1</f>
        <v>-0.80641221374045802</v>
      </c>
      <c r="CZ77" s="638"/>
      <c r="DA77" s="628">
        <f>DA24/CY24-1</f>
        <v>-0.34700315457413244</v>
      </c>
      <c r="DB77" s="628">
        <f>DB24/DA24-1</f>
        <v>-0.64009661835748788</v>
      </c>
      <c r="DC77" s="628">
        <f>DC24/DB24-1</f>
        <v>9.9798657718120811</v>
      </c>
      <c r="DD77" s="628">
        <f>DD24/DC24-1</f>
        <v>-0.98594132029339854</v>
      </c>
      <c r="DE77" s="638"/>
      <c r="DF77" s="628">
        <f>DF24/DD24-1</f>
        <v>13.913043478260869</v>
      </c>
      <c r="DG77" s="628">
        <f>DG24/DF24-1</f>
        <v>3.1953352769679304</v>
      </c>
      <c r="DH77" s="628">
        <f>DH24/DG24-1</f>
        <v>3.2876997915218906</v>
      </c>
      <c r="DI77" s="628">
        <f>DI24/DH24-1</f>
        <v>-0.37487844408427873</v>
      </c>
      <c r="DJ77" s="638"/>
      <c r="DK77" s="628">
        <f>DK24/DI24-1</f>
        <v>-0.99040705211304125</v>
      </c>
      <c r="DL77" s="628">
        <f>DL24/DK24-1</f>
        <v>15.513513513513512</v>
      </c>
      <c r="DM77" s="628">
        <f>DM24/DL24-1</f>
        <v>7.7348608837970545</v>
      </c>
      <c r="DN77" s="628">
        <f>DN24/DM24-1</f>
        <v>-2.5401911186059585</v>
      </c>
      <c r="DO77" s="638"/>
      <c r="DP77" s="628">
        <f>DP24/DN24-1</f>
        <v>-1.0004866180048662</v>
      </c>
      <c r="DQ77" s="628">
        <f>DQ24/DP24-1</f>
        <v>110</v>
      </c>
      <c r="DR77" s="628">
        <f>DR24/DQ24-1</f>
        <v>-1.3251105292145209</v>
      </c>
      <c r="DS77" s="628">
        <f>DS24/DR24-1</f>
        <v>3.1259287013168304</v>
      </c>
      <c r="DT77" s="638"/>
      <c r="DU77" s="628">
        <f>DU24/DS24-1</f>
        <v>-0.67367079848286404</v>
      </c>
      <c r="DV77" s="628">
        <f>DV24/DU24-1</f>
        <v>3.218219917900516</v>
      </c>
      <c r="DW77" s="628">
        <f>DW24/DV24-1</f>
        <v>0.57301507011912478</v>
      </c>
      <c r="DX77" s="628">
        <f>DX24/DW24-1</f>
        <v>0.3142220922229888</v>
      </c>
      <c r="DY77" s="638"/>
      <c r="DZ77" s="638"/>
      <c r="EA77" s="638"/>
      <c r="EB77" s="638"/>
    </row>
    <row r="78" spans="1:132" s="241" customFormat="1" ht="12" customHeight="1">
      <c r="A78" s="385"/>
      <c r="B78" s="155" t="s">
        <v>228</v>
      </c>
      <c r="C78" s="386"/>
      <c r="D78" s="386"/>
      <c r="E78" s="386"/>
      <c r="F78" s="386"/>
      <c r="G78" s="386"/>
      <c r="H78" s="386"/>
      <c r="I78" s="386"/>
      <c r="J78" s="387"/>
      <c r="K78" s="387">
        <f>K32/J32-1</f>
        <v>-6.101119050616044E-2</v>
      </c>
      <c r="L78" s="387">
        <f>L32/K32-1</f>
        <v>-0.25485305131517444</v>
      </c>
      <c r="M78" s="387">
        <f>M32/L32-1</f>
        <v>-0.60463464710040049</v>
      </c>
      <c r="N78" s="386"/>
      <c r="O78" s="387">
        <f>O32/M32-1</f>
        <v>1.9976127769451</v>
      </c>
      <c r="P78" s="387">
        <f>P32/O32-1</f>
        <v>0.10034900902064448</v>
      </c>
      <c r="Q78" s="387">
        <f>Q32/P32-1</f>
        <v>0.80000783476912107</v>
      </c>
      <c r="R78" s="387">
        <f>R32/Q32-1</f>
        <v>-0.53224094821685086</v>
      </c>
      <c r="S78" s="386"/>
      <c r="T78" s="387">
        <f>T32/R32-1</f>
        <v>0.48069740425717566</v>
      </c>
      <c r="U78" s="387">
        <f>U32/T32-1</f>
        <v>-1.2404770057909766</v>
      </c>
      <c r="V78" s="387">
        <f>V32/U32-1</f>
        <v>-5.2119116709183668</v>
      </c>
      <c r="W78" s="387">
        <f>W32/V32-1</f>
        <v>0.36123120272444598</v>
      </c>
      <c r="X78" s="386"/>
      <c r="Y78" s="387">
        <f>Y32/W32-1</f>
        <v>-6.8046155946298814E-2</v>
      </c>
      <c r="Z78" s="387">
        <f>Z32/Y32-1</f>
        <v>0.20222225170678798</v>
      </c>
      <c r="AA78" s="387">
        <f>AA32/Z32-1</f>
        <v>6.2118342416324523E-2</v>
      </c>
      <c r="AB78" s="387">
        <f>AB32/AA32-1</f>
        <v>-6.0332685106162409E-2</v>
      </c>
      <c r="AC78" s="386"/>
      <c r="AD78" s="387">
        <f>AD32/AB32-1</f>
        <v>0.19754740810010896</v>
      </c>
      <c r="AE78" s="387">
        <f>AE32/AD32-1</f>
        <v>-0.28030268055646068</v>
      </c>
      <c r="AF78" s="387">
        <f>AF32/AE32-1</f>
        <v>-0.18529653680252656</v>
      </c>
      <c r="AG78" s="387">
        <f>AG32/AF32-1</f>
        <v>-1.1273260913748475</v>
      </c>
      <c r="AH78" s="386"/>
      <c r="AI78" s="387">
        <f>AI32/AG32-1</f>
        <v>-8.2168718070102766</v>
      </c>
      <c r="AJ78" s="387">
        <f>AJ32/AI32-1</f>
        <v>0.62022205528639085</v>
      </c>
      <c r="AK78" s="387">
        <f>AK32/AJ32-1</f>
        <v>-2.5791964514676211</v>
      </c>
      <c r="AL78" s="387">
        <f>AL32/AK32-1</f>
        <v>-1.7967596282246094</v>
      </c>
      <c r="AM78" s="386"/>
      <c r="AN78" s="387">
        <f>AN32/AL32-1</f>
        <v>-0.60433387116800696</v>
      </c>
      <c r="AO78" s="387">
        <f>AO32/AN32-1</f>
        <v>0.51450144216891003</v>
      </c>
      <c r="AP78" s="387">
        <f>AP32/AO32-1</f>
        <v>5.8414500755247678E-2</v>
      </c>
      <c r="AQ78" s="387">
        <f>AQ32/AP32-1</f>
        <v>0.38859476136325477</v>
      </c>
      <c r="AR78" s="386"/>
      <c r="AS78" s="387">
        <f>AS32/AQ32-1</f>
        <v>-0.49722946776376509</v>
      </c>
      <c r="AT78" s="387">
        <f>AT32/AS32-1</f>
        <v>0.59492007609415176</v>
      </c>
      <c r="AU78" s="387">
        <f>AU32/AT32-1</f>
        <v>0.15935620266475636</v>
      </c>
      <c r="AV78" s="387">
        <f>AV32/AU32-1</f>
        <v>0.26264788400461003</v>
      </c>
      <c r="AW78" s="386"/>
      <c r="AX78" s="387">
        <f>AX32/AV32-1</f>
        <v>-0.33610227382468638</v>
      </c>
      <c r="AY78" s="387">
        <f>AY32/AX32-1</f>
        <v>4.3240617650066371E-2</v>
      </c>
      <c r="AZ78" s="387">
        <f>AZ32/AY32-1</f>
        <v>6.3167107328024219E-2</v>
      </c>
      <c r="BA78" s="387">
        <f>BA32/AZ32-1</f>
        <v>-5.4052585060431979E-2</v>
      </c>
      <c r="BB78" s="386"/>
      <c r="BC78" s="387">
        <f>BC32/BA32-1</f>
        <v>0.12734856580692999</v>
      </c>
      <c r="BD78" s="387">
        <f>BD32/BC32-1</f>
        <v>-2.1126607114155371E-2</v>
      </c>
      <c r="BE78" s="387">
        <f>BE32/BD32-1</f>
        <v>7.0903672759603742E-2</v>
      </c>
      <c r="BF78" s="387">
        <f>BF32/BE32-1</f>
        <v>6.4244489220773415E-2</v>
      </c>
      <c r="BG78" s="386"/>
      <c r="BH78" s="629">
        <f>BH32/BF32-1</f>
        <v>-0.20277339291759389</v>
      </c>
      <c r="BI78" s="387">
        <f>BI32/BH32-1</f>
        <v>0.74535621499125249</v>
      </c>
      <c r="BJ78" s="629">
        <f>BJ32/BI32-1</f>
        <v>-0.16681218289468103</v>
      </c>
      <c r="BK78" s="629">
        <f>BK32/BJ32-1</f>
        <v>8.6902093402443592E-2</v>
      </c>
      <c r="BL78" s="639"/>
      <c r="BM78" s="629">
        <f>BM32/BK32-1</f>
        <v>-7.515100993565349E-2</v>
      </c>
      <c r="BN78" s="629">
        <f>BN32/BM32-1</f>
        <v>-0.15097334305491172</v>
      </c>
      <c r="BO78" s="629">
        <f>BO32/BN32-1</f>
        <v>0.55719295492880394</v>
      </c>
      <c r="BP78" s="629">
        <f>BP32/BO32-1</f>
        <v>-0.39099290398881836</v>
      </c>
      <c r="BQ78" s="639"/>
      <c r="BR78" s="629">
        <f>BR32/BP32-1</f>
        <v>0.2155902087918975</v>
      </c>
      <c r="BS78" s="629">
        <f>BS32/BR32-1</f>
        <v>-1.2008602594702222</v>
      </c>
      <c r="BT78" s="629">
        <f>BT32/BS32-1</f>
        <v>-10.794731978942504</v>
      </c>
      <c r="BU78" s="629">
        <f>BU32/BT32-1</f>
        <v>-0.28161019042938862</v>
      </c>
      <c r="BV78" s="639"/>
      <c r="BW78" s="629">
        <f>BW32/BU32-1</f>
        <v>-1.7700260132186285E-2</v>
      </c>
      <c r="BX78" s="629">
        <f>BX32/BW32-1</f>
        <v>0.12874065615135666</v>
      </c>
      <c r="BY78" s="629">
        <f>BY32/BX32-1</f>
        <v>4.0509753364402323E-2</v>
      </c>
      <c r="BZ78" s="629">
        <f>BZ32/BY32-1</f>
        <v>0.83789173242904913</v>
      </c>
      <c r="CA78" s="639"/>
      <c r="CB78" s="629">
        <f>CB32/BZ32-1</f>
        <v>-0.24404616120207556</v>
      </c>
      <c r="CC78" s="629">
        <f>CC32/CB32-1</f>
        <v>-0.10064305557108078</v>
      </c>
      <c r="CD78" s="629">
        <f>CD32/CC32-1</f>
        <v>9.0683677936844953E-2</v>
      </c>
      <c r="CE78" s="629">
        <f>CE32/CD32-1</f>
        <v>0.45728553291820329</v>
      </c>
      <c r="CF78" s="639"/>
      <c r="CG78" s="629">
        <f>CG32/CE32-1</f>
        <v>-0.3667794174552792</v>
      </c>
      <c r="CH78" s="629">
        <f>CH32/CG32-1</f>
        <v>-2.3862031855164556</v>
      </c>
      <c r="CI78" s="629">
        <f>CI32/CH32-1</f>
        <v>-1.3939510675591298</v>
      </c>
      <c r="CJ78" s="629">
        <f>CJ32/CI32-1</f>
        <v>-1.871283731455978</v>
      </c>
      <c r="CK78" s="639"/>
      <c r="CL78" s="629">
        <f>CL32/CJ32-1</f>
        <v>-0.37876719638742462</v>
      </c>
      <c r="CM78" s="629">
        <f>CM32/CL32-1</f>
        <v>2.7800995897657343</v>
      </c>
      <c r="CN78" s="629">
        <f>CN32/CM32-1</f>
        <v>-0.81109364025001152</v>
      </c>
      <c r="CO78" s="629">
        <f>CO32/CN32-1</f>
        <v>17.4659843486433</v>
      </c>
      <c r="CP78" s="639"/>
      <c r="CQ78" s="629">
        <f>CQ32/CO32-1</f>
        <v>-0.93731273336054599</v>
      </c>
      <c r="CR78" s="629">
        <f>CR32/CQ32-1</f>
        <v>-2.0842197859892835</v>
      </c>
      <c r="CS78" s="629">
        <f>CS32/CR32-1</f>
        <v>-1.1860682645780247</v>
      </c>
      <c r="CT78" s="629">
        <f>CT32/CS32-1</f>
        <v>36.925467846391278</v>
      </c>
      <c r="CU78" s="639"/>
      <c r="CV78" s="629">
        <f>CV32/CT32-1</f>
        <v>-0.7064649364890806</v>
      </c>
      <c r="CW78" s="629">
        <f>CW32/CV32-1</f>
        <v>-1.1570787866383425</v>
      </c>
      <c r="CX78" s="629">
        <f>CX32/CW32-1</f>
        <v>-17.971757617570876</v>
      </c>
      <c r="CY78" s="629">
        <f>CY32/CX32-1</f>
        <v>-0.80725263491974475</v>
      </c>
      <c r="CZ78" s="639"/>
      <c r="DA78" s="629">
        <f>DA32/CY32-1</f>
        <v>-0.35090487846381402</v>
      </c>
      <c r="DB78" s="629">
        <f>DB32/DA32-1</f>
        <v>-0.64187978952995284</v>
      </c>
      <c r="DC78" s="629">
        <f>DC32/DB32-1</f>
        <v>9.9897626247888844</v>
      </c>
      <c r="DD78" s="629">
        <f>DD32/DC32-1</f>
        <v>-0.98596788552100556</v>
      </c>
      <c r="DE78" s="639"/>
      <c r="DF78" s="629">
        <f>DF32/DD32-1</f>
        <v>13.740371252729799</v>
      </c>
      <c r="DG78" s="629">
        <f>DG32/DF32-1</f>
        <v>3.1722017383015491</v>
      </c>
      <c r="DH78" s="629">
        <f>DH32/DG32-1</f>
        <v>3.2724558685397502</v>
      </c>
      <c r="DI78" s="629">
        <f>DI32/DH32-1</f>
        <v>-0.46132123826674798</v>
      </c>
      <c r="DJ78" s="639"/>
      <c r="DK78" s="629">
        <f>DK32/DI32-1</f>
        <v>-0.99085652259407342</v>
      </c>
      <c r="DL78" s="629">
        <f>DL32/DK32-1</f>
        <v>15.44367047459831</v>
      </c>
      <c r="DM78" s="629">
        <f>DM32/DL32-1</f>
        <v>7.6969282072389138</v>
      </c>
      <c r="DN78" s="629">
        <f>DN32/DM32-1</f>
        <v>-2.4721902277090164</v>
      </c>
      <c r="DO78" s="639"/>
      <c r="DP78" s="629">
        <f>DP32/DN32-1</f>
        <v>-1.0004909407536404</v>
      </c>
      <c r="DQ78" s="629">
        <f>DQ32/DP32-1</f>
        <v>109.63496078927396</v>
      </c>
      <c r="DR78" s="629">
        <f>DR32/DQ32-1</f>
        <v>-1.324905049168247</v>
      </c>
      <c r="DS78" s="629">
        <f>DS32/DR32-1</f>
        <v>3.1246252550852898</v>
      </c>
      <c r="DT78" s="639"/>
      <c r="DU78" s="629">
        <f>DU32/DS32-1</f>
        <v>-0.67284396830229232</v>
      </c>
      <c r="DV78" s="629">
        <f>DV32/DU32-1</f>
        <v>3.2397044530397556</v>
      </c>
      <c r="DW78" s="629">
        <f>DW32/DV32-1</f>
        <v>0.57703119335936015</v>
      </c>
      <c r="DX78" s="629">
        <f>DX32/DW32-1</f>
        <v>0.32778213186674177</v>
      </c>
      <c r="DY78" s="639"/>
      <c r="DZ78" s="639"/>
      <c r="EA78" s="639"/>
      <c r="EB78" s="639"/>
    </row>
    <row r="79" spans="1:132" s="68" customFormat="1" ht="6" customHeight="1" thickBot="1">
      <c r="A79" s="241"/>
      <c r="B79" s="153"/>
      <c r="C79" s="146"/>
      <c r="D79" s="146"/>
      <c r="E79" s="146"/>
      <c r="F79" s="146"/>
      <c r="G79" s="146"/>
      <c r="H79" s="146"/>
      <c r="I79" s="146"/>
      <c r="J79" s="121"/>
      <c r="K79" s="121"/>
      <c r="L79" s="121"/>
      <c r="M79" s="121"/>
      <c r="N79" s="146"/>
      <c r="O79" s="121"/>
      <c r="P79" s="121"/>
      <c r="Q79" s="121"/>
      <c r="R79" s="121"/>
      <c r="S79" s="146"/>
      <c r="T79" s="121"/>
      <c r="U79" s="121"/>
      <c r="V79" s="121"/>
      <c r="W79" s="121"/>
      <c r="X79" s="146"/>
      <c r="Y79" s="121"/>
      <c r="Z79" s="121"/>
      <c r="AA79" s="121"/>
      <c r="AB79" s="121"/>
      <c r="AC79" s="146"/>
      <c r="AD79" s="121"/>
      <c r="AE79" s="121"/>
      <c r="AF79" s="121"/>
      <c r="AG79" s="121"/>
      <c r="AH79" s="146"/>
      <c r="AI79" s="121"/>
      <c r="AJ79" s="121"/>
      <c r="AK79" s="121"/>
      <c r="AL79" s="121"/>
      <c r="AM79" s="146"/>
      <c r="AN79" s="121"/>
      <c r="AO79" s="121"/>
      <c r="AP79" s="121"/>
      <c r="AQ79" s="121"/>
      <c r="AR79" s="146"/>
      <c r="AS79" s="121"/>
      <c r="AT79" s="121"/>
      <c r="AU79" s="121"/>
      <c r="AV79" s="121"/>
      <c r="AW79" s="146"/>
      <c r="AX79" s="121"/>
      <c r="AY79" s="121"/>
      <c r="AZ79" s="121"/>
      <c r="BA79" s="121"/>
      <c r="BB79" s="146"/>
      <c r="BC79" s="121"/>
      <c r="BD79" s="121"/>
      <c r="BE79" s="121"/>
      <c r="BF79" s="121"/>
      <c r="BG79" s="146"/>
      <c r="BH79" s="121"/>
      <c r="BI79" s="121"/>
      <c r="BJ79" s="121"/>
      <c r="BK79" s="121"/>
      <c r="BL79" s="146"/>
      <c r="BM79" s="121"/>
      <c r="BN79" s="121"/>
      <c r="BO79" s="121"/>
      <c r="BP79" s="121"/>
      <c r="BQ79" s="146"/>
      <c r="BR79" s="121"/>
      <c r="BS79" s="121"/>
      <c r="BT79" s="121"/>
      <c r="BU79" s="121"/>
      <c r="BV79" s="146"/>
      <c r="BW79" s="121"/>
      <c r="BX79" s="121"/>
      <c r="BY79" s="121"/>
      <c r="BZ79" s="121"/>
      <c r="CA79" s="146"/>
      <c r="CB79" s="121"/>
      <c r="CC79" s="121"/>
      <c r="CD79" s="121"/>
      <c r="CE79" s="121"/>
      <c r="CF79" s="146"/>
      <c r="CG79" s="121"/>
      <c r="CH79" s="121"/>
      <c r="CI79" s="121"/>
      <c r="CJ79" s="121"/>
      <c r="CK79" s="146"/>
      <c r="CL79" s="121"/>
      <c r="CM79" s="121"/>
      <c r="CN79" s="121"/>
      <c r="CO79" s="121"/>
      <c r="CP79" s="146"/>
      <c r="CQ79" s="121"/>
      <c r="CR79" s="121"/>
      <c r="CS79" s="121"/>
      <c r="CT79" s="121"/>
      <c r="CU79" s="146"/>
      <c r="CV79" s="121"/>
      <c r="CW79" s="121"/>
      <c r="CX79" s="121"/>
      <c r="CY79" s="121"/>
      <c r="CZ79" s="146"/>
      <c r="DA79" s="121"/>
      <c r="DB79" s="121"/>
      <c r="DC79" s="121"/>
      <c r="DD79" s="121"/>
      <c r="DE79" s="146"/>
      <c r="DF79" s="121"/>
      <c r="DG79" s="121"/>
      <c r="DH79" s="121"/>
      <c r="DI79" s="121"/>
      <c r="DJ79" s="146"/>
      <c r="DK79" s="121"/>
      <c r="DL79" s="121"/>
      <c r="DM79" s="121"/>
      <c r="DN79" s="121"/>
      <c r="DO79" s="146"/>
      <c r="DP79" s="121"/>
      <c r="DQ79" s="121"/>
      <c r="DR79" s="121"/>
      <c r="DS79" s="121"/>
      <c r="DT79" s="146"/>
      <c r="DU79" s="121"/>
      <c r="DV79" s="121"/>
      <c r="DW79" s="121"/>
      <c r="DX79" s="121"/>
      <c r="DY79" s="146"/>
      <c r="DZ79" s="146"/>
      <c r="EA79" s="146"/>
      <c r="EB79" s="146"/>
    </row>
  </sheetData>
  <phoneticPr fontId="6" type="noConversion"/>
  <pageMargins left="0.8" right="0.3" top="0.7" bottom="0.5" header="0.5" footer="0.5"/>
  <pageSetup scale="23" orientation="landscape" r:id="rId1"/>
  <headerFooter alignWithMargins="0"/>
  <customProperties>
    <customPr name="Qube.Worksheet.Visibility" r:id="rId2"/>
  </customProperties>
  <ignoredErrors>
    <ignoredError sqref="AL37:AL38 C37:AK39 AM8:AM12 BB51:BB52 AM45:AN45 AM26:AO27 AM25:AP25 AM13:AO19 AT38:AV38 AM42:AN42 AR42 AM39:AN40 AR45 AM28:AR34 AM43:AR44 AM51:AW53 AM50:AR50 AW42 AX28:AY34 AW46:BA46 AT43:BA44 AY21 AZ18 AY26 AM24:AO24 AM20 AR24:AR26 AT33:AV34 AU24 AU13 AX38:BA38 AT50:BB50 AT27:AT32 AV27:AV32 AR38:AR39 AW38:AW39 AM38:AQ38 AY24 AZ22 BG24:BG26 BG42:BG44 AW26:AW34 AW24 AU26 AS25:AZ25 BB24:BB26 BG37:BG40 BB28:BB29 C24:AK34 BG28:BG34 C13:R22 S8:AK22 BB12:BB22 AW8:AW22 BG12:BG22 AU21:AU22 AR8:AR22 AM21:AO22" formula="1"/>
  </ignoredErrors>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autoPageBreaks="0" fitToPage="1"/>
  </sheetPr>
  <dimension ref="A1:EB93"/>
  <sheetViews>
    <sheetView showGridLines="0" zoomScaleNormal="100" workbookViewId="0">
      <pane xSplit="2" ySplit="4" topLeftCell="C5" activePane="bottomRight" state="frozenSplit"/>
      <selection activeCell="CV8" sqref="CV8:CV78"/>
      <selection pane="topRight" activeCell="CV8" sqref="CV8:CV78"/>
      <selection pane="bottomLeft" activeCell="CV8" sqref="CV8:CV78"/>
      <selection pane="bottomRight"/>
    </sheetView>
  </sheetViews>
  <sheetFormatPr defaultColWidth="9.7109375" defaultRowHeight="12" outlineLevelCol="1"/>
  <cols>
    <col min="1" max="1" width="1.7109375" style="68" customWidth="1"/>
    <col min="2" max="2" width="41.7109375" style="68" customWidth="1"/>
    <col min="3" max="9" width="9.7109375" style="68" hidden="1" customWidth="1"/>
    <col min="10" max="13" width="9.7109375" style="68" hidden="1" customWidth="1" outlineLevel="1"/>
    <col min="14" max="14" width="9.7109375" style="68" hidden="1" customWidth="1" collapsed="1"/>
    <col min="15" max="18" width="9.7109375" style="68" hidden="1" customWidth="1" outlineLevel="1"/>
    <col min="19" max="19" width="9.7109375" style="68" hidden="1" customWidth="1" collapsed="1"/>
    <col min="20" max="23" width="9.7109375" style="68" hidden="1" customWidth="1" outlineLevel="1"/>
    <col min="24" max="24" width="9.7109375" style="68" hidden="1" customWidth="1" collapsed="1"/>
    <col min="25" max="28" width="9.7109375" style="68" hidden="1" customWidth="1" outlineLevel="1"/>
    <col min="29" max="29" width="9.7109375" style="68" hidden="1" customWidth="1" collapsed="1"/>
    <col min="30" max="33" width="9.7109375" style="68" hidden="1" customWidth="1" outlineLevel="1"/>
    <col min="34" max="34" width="9.7109375" style="68" hidden="1" customWidth="1" collapsed="1"/>
    <col min="35" max="38" width="9.7109375" style="68" hidden="1" customWidth="1" outlineLevel="1"/>
    <col min="39" max="39" width="9.7109375" style="68" hidden="1" customWidth="1" collapsed="1"/>
    <col min="40" max="43" width="9.7109375" style="68" hidden="1" customWidth="1" outlineLevel="1"/>
    <col min="44" max="44" width="9.7109375" style="68" hidden="1" customWidth="1" collapsed="1"/>
    <col min="45" max="48" width="9.7109375" style="68" hidden="1" customWidth="1" outlineLevel="1"/>
    <col min="49" max="49" width="9.7109375" style="68" hidden="1" customWidth="1" collapsed="1"/>
    <col min="50" max="53" width="9.7109375" style="68" hidden="1" customWidth="1" outlineLevel="1"/>
    <col min="54" max="54" width="9.7109375" style="68" hidden="1" customWidth="1" collapsed="1"/>
    <col min="55" max="58" width="9.7109375" style="68" hidden="1" customWidth="1" outlineLevel="1"/>
    <col min="59" max="59" width="9.7109375" style="68" hidden="1" customWidth="1" collapsed="1"/>
    <col min="60" max="63" width="9.7109375" style="68" hidden="1" customWidth="1" outlineLevel="1"/>
    <col min="64" max="64" width="9.7109375" style="68" hidden="1" customWidth="1" collapsed="1"/>
    <col min="65" max="68" width="9.7109375" style="68" hidden="1" customWidth="1" outlineLevel="1"/>
    <col min="69" max="69" width="9.7109375" style="68" customWidth="1" collapsed="1"/>
    <col min="70" max="73" width="9.7109375" style="68" hidden="1" customWidth="1" outlineLevel="1"/>
    <col min="74" max="74" width="9.7109375" style="98" collapsed="1"/>
    <col min="75" max="78" width="9.7109375" style="68" hidden="1" customWidth="1" outlineLevel="1"/>
    <col min="79" max="79" width="9.7109375" style="98" collapsed="1"/>
    <col min="80" max="83" width="9.7109375" style="68" hidden="1" customWidth="1" outlineLevel="1"/>
    <col min="84" max="84" width="9.7109375" style="98" collapsed="1"/>
    <col min="85" max="88" width="9.7109375" style="68" hidden="1" customWidth="1" outlineLevel="1"/>
    <col min="89" max="89" width="9.7109375" style="98" collapsed="1"/>
    <col min="90" max="93" width="9.7109375" style="68" hidden="1" customWidth="1" outlineLevel="1"/>
    <col min="94" max="94" width="9.7109375" style="98" collapsed="1"/>
    <col min="95" max="98" width="9.7109375" style="68" hidden="1" customWidth="1" outlineLevel="1"/>
    <col min="99" max="99" width="9.7109375" style="98" collapsed="1"/>
    <col min="100" max="103" width="9.7109375" style="68" hidden="1" customWidth="1" outlineLevel="1"/>
    <col min="104" max="104" width="9.7109375" style="98" collapsed="1"/>
    <col min="105" max="108" width="9.7109375" style="68" hidden="1" customWidth="1" outlineLevel="1"/>
    <col min="109" max="109" width="9.7109375" style="98" collapsed="1"/>
    <col min="110" max="113" width="9.7109375" style="68" hidden="1" customWidth="1" outlineLevel="1"/>
    <col min="114" max="114" width="9.7109375" style="98" collapsed="1"/>
    <col min="115" max="118" width="9.7109375" style="68" hidden="1" customWidth="1" outlineLevel="1"/>
    <col min="119" max="119" width="9.7109375" style="98" collapsed="1"/>
    <col min="120" max="123" width="9.7109375" style="68" customWidth="1" outlineLevel="1"/>
    <col min="124" max="124" width="9.7109375" style="98"/>
    <col min="125" max="128" width="0" style="68" hidden="1" customWidth="1" outlineLevel="1"/>
    <col min="129" max="129" width="9.7109375" style="98" collapsed="1"/>
    <col min="130" max="16384" width="9.7109375" style="98"/>
  </cols>
  <sheetData>
    <row r="1" spans="1:132" s="66" customFormat="1" ht="12.75" thickBot="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W1"/>
      <c r="BX1"/>
      <c r="BY1"/>
      <c r="BZ1"/>
      <c r="CB1"/>
      <c r="CC1"/>
      <c r="CD1"/>
      <c r="CE1"/>
      <c r="CG1"/>
      <c r="CH1"/>
      <c r="CI1"/>
      <c r="CJ1"/>
      <c r="CL1"/>
      <c r="CM1"/>
      <c r="CN1"/>
      <c r="CO1"/>
      <c r="CQ1"/>
      <c r="CR1"/>
      <c r="CS1"/>
      <c r="CT1"/>
      <c r="CV1"/>
      <c r="CW1"/>
      <c r="CX1"/>
      <c r="CY1"/>
      <c r="DA1"/>
      <c r="DB1"/>
      <c r="DC1"/>
      <c r="DD1"/>
      <c r="DF1"/>
      <c r="DG1"/>
      <c r="DH1"/>
      <c r="DI1"/>
      <c r="DK1"/>
      <c r="DL1"/>
      <c r="DM1"/>
      <c r="DN1"/>
      <c r="DP1"/>
      <c r="DQ1"/>
      <c r="DR1"/>
      <c r="DS1"/>
      <c r="DU1"/>
      <c r="DV1"/>
      <c r="DW1"/>
      <c r="DX1"/>
    </row>
    <row r="2" spans="1:132" s="66" customFormat="1" ht="6" customHeight="1">
      <c r="A2"/>
      <c r="B2"/>
      <c r="C2" s="58"/>
      <c r="D2" s="58"/>
      <c r="E2" s="58"/>
      <c r="F2" s="58"/>
      <c r="G2" s="58"/>
      <c r="H2" s="58"/>
      <c r="I2" s="58"/>
      <c r="J2"/>
      <c r="K2"/>
      <c r="L2"/>
      <c r="M2"/>
      <c r="N2" s="58"/>
      <c r="O2"/>
      <c r="P2"/>
      <c r="Q2"/>
      <c r="R2"/>
      <c r="S2" s="58"/>
      <c r="T2"/>
      <c r="U2"/>
      <c r="V2"/>
      <c r="W2"/>
      <c r="X2" s="58"/>
      <c r="Y2"/>
      <c r="Z2"/>
      <c r="AA2"/>
      <c r="AB2"/>
      <c r="AC2" s="58"/>
      <c r="AD2"/>
      <c r="AE2"/>
      <c r="AF2"/>
      <c r="AG2"/>
      <c r="AH2" s="58"/>
      <c r="AI2"/>
      <c r="AJ2"/>
      <c r="AK2"/>
      <c r="AL2"/>
      <c r="AM2" s="58"/>
      <c r="AN2"/>
      <c r="AO2"/>
      <c r="AP2"/>
      <c r="AQ2"/>
      <c r="AR2" s="58"/>
      <c r="AS2"/>
      <c r="AT2"/>
      <c r="AU2"/>
      <c r="AV2"/>
      <c r="AW2" s="58"/>
      <c r="AX2"/>
      <c r="AY2"/>
      <c r="AZ2"/>
      <c r="BA2"/>
      <c r="BB2" s="58"/>
      <c r="BC2"/>
      <c r="BD2"/>
      <c r="BE2"/>
      <c r="BF2"/>
      <c r="BG2" s="58"/>
      <c r="BH2"/>
      <c r="BI2"/>
      <c r="BJ2"/>
      <c r="BK2"/>
      <c r="BL2" s="58"/>
      <c r="BM2"/>
      <c r="BN2"/>
      <c r="BO2"/>
      <c r="BP2"/>
      <c r="BQ2" s="58"/>
      <c r="BR2"/>
      <c r="BS2"/>
      <c r="BT2"/>
      <c r="BU2"/>
      <c r="BV2" s="58"/>
      <c r="BW2"/>
      <c r="BX2"/>
      <c r="BY2"/>
      <c r="BZ2"/>
      <c r="CA2" s="58"/>
      <c r="CB2"/>
      <c r="CC2"/>
      <c r="CD2"/>
      <c r="CE2"/>
      <c r="CF2" s="58"/>
      <c r="CG2"/>
      <c r="CH2"/>
      <c r="CI2"/>
      <c r="CJ2"/>
      <c r="CK2" s="58"/>
      <c r="CL2"/>
      <c r="CM2"/>
      <c r="CN2"/>
      <c r="CO2"/>
      <c r="CP2" s="58"/>
      <c r="CQ2"/>
      <c r="CR2"/>
      <c r="CS2"/>
      <c r="CT2"/>
      <c r="CU2" s="58"/>
      <c r="CV2"/>
      <c r="CW2"/>
      <c r="CX2"/>
      <c r="CY2"/>
      <c r="CZ2" s="58"/>
      <c r="DA2"/>
      <c r="DB2"/>
      <c r="DC2"/>
      <c r="DD2"/>
      <c r="DE2" s="58"/>
      <c r="DF2"/>
      <c r="DG2"/>
      <c r="DH2"/>
      <c r="DI2"/>
      <c r="DJ2" s="58"/>
      <c r="DK2"/>
      <c r="DL2"/>
      <c r="DM2"/>
      <c r="DN2"/>
      <c r="DO2" s="58"/>
      <c r="DP2"/>
      <c r="DQ2"/>
      <c r="DR2"/>
      <c r="DS2"/>
      <c r="DT2" s="58"/>
      <c r="DU2"/>
      <c r="DV2"/>
      <c r="DW2"/>
      <c r="DX2"/>
      <c r="DY2" s="58"/>
      <c r="DZ2" s="58"/>
      <c r="EA2" s="58"/>
      <c r="EB2" s="58"/>
    </row>
    <row r="3" spans="1:132" s="66" customFormat="1" ht="15.75">
      <c r="A3"/>
      <c r="B3" s="61" t="s">
        <v>350</v>
      </c>
      <c r="C3" s="603">
        <v>1997</v>
      </c>
      <c r="D3" s="603">
        <v>1998</v>
      </c>
      <c r="E3" s="603">
        <v>1999</v>
      </c>
      <c r="F3" s="603">
        <v>2000</v>
      </c>
      <c r="G3" s="603">
        <v>2001</v>
      </c>
      <c r="H3" s="603">
        <v>2002</v>
      </c>
      <c r="I3" s="603">
        <v>2003</v>
      </c>
      <c r="J3" s="62" t="s">
        <v>0</v>
      </c>
      <c r="K3" s="62" t="s">
        <v>1</v>
      </c>
      <c r="L3" s="62" t="s">
        <v>2</v>
      </c>
      <c r="M3" s="62" t="s">
        <v>3</v>
      </c>
      <c r="N3" s="603">
        <v>2004</v>
      </c>
      <c r="O3" s="62" t="s">
        <v>4</v>
      </c>
      <c r="P3" s="62" t="s">
        <v>5</v>
      </c>
      <c r="Q3" s="62" t="s">
        <v>6</v>
      </c>
      <c r="R3" s="62" t="s">
        <v>7</v>
      </c>
      <c r="S3" s="603">
        <v>2005</v>
      </c>
      <c r="T3" s="62" t="s">
        <v>8</v>
      </c>
      <c r="U3" s="62" t="s">
        <v>9</v>
      </c>
      <c r="V3" s="62" t="s">
        <v>10</v>
      </c>
      <c r="W3" s="62" t="s">
        <v>11</v>
      </c>
      <c r="X3" s="603">
        <v>2006</v>
      </c>
      <c r="Y3" s="62" t="s">
        <v>12</v>
      </c>
      <c r="Z3" s="62" t="s">
        <v>13</v>
      </c>
      <c r="AA3" s="62" t="s">
        <v>14</v>
      </c>
      <c r="AB3" s="62" t="s">
        <v>15</v>
      </c>
      <c r="AC3" s="603">
        <v>2007</v>
      </c>
      <c r="AD3" s="62" t="s">
        <v>16</v>
      </c>
      <c r="AE3" s="62" t="s">
        <v>17</v>
      </c>
      <c r="AF3" s="62" t="s">
        <v>18</v>
      </c>
      <c r="AG3" s="62" t="s">
        <v>19</v>
      </c>
      <c r="AH3" s="603">
        <v>2008</v>
      </c>
      <c r="AI3" s="62" t="s">
        <v>20</v>
      </c>
      <c r="AJ3" s="62" t="s">
        <v>21</v>
      </c>
      <c r="AK3" s="62" t="s">
        <v>22</v>
      </c>
      <c r="AL3" s="62" t="s">
        <v>23</v>
      </c>
      <c r="AM3" s="603">
        <v>2009</v>
      </c>
      <c r="AN3" s="62" t="s">
        <v>312</v>
      </c>
      <c r="AO3" s="62" t="s">
        <v>309</v>
      </c>
      <c r="AP3" s="62" t="s">
        <v>310</v>
      </c>
      <c r="AQ3" s="62" t="s">
        <v>311</v>
      </c>
      <c r="AR3" s="603">
        <v>2010</v>
      </c>
      <c r="AS3" s="62" t="s">
        <v>316</v>
      </c>
      <c r="AT3" s="62" t="s">
        <v>313</v>
      </c>
      <c r="AU3" s="62" t="s">
        <v>314</v>
      </c>
      <c r="AV3" s="62" t="s">
        <v>315</v>
      </c>
      <c r="AW3" s="603">
        <v>2011</v>
      </c>
      <c r="AX3" s="62" t="s">
        <v>395</v>
      </c>
      <c r="AY3" s="62" t="s">
        <v>396</v>
      </c>
      <c r="AZ3" s="62" t="s">
        <v>397</v>
      </c>
      <c r="BA3" s="62" t="s">
        <v>398</v>
      </c>
      <c r="BB3" s="603">
        <v>2012</v>
      </c>
      <c r="BC3" s="62" t="s">
        <v>411</v>
      </c>
      <c r="BD3" s="62" t="s">
        <v>412</v>
      </c>
      <c r="BE3" s="62" t="s">
        <v>413</v>
      </c>
      <c r="BF3" s="62" t="s">
        <v>414</v>
      </c>
      <c r="BG3" s="603">
        <v>2013</v>
      </c>
      <c r="BH3" s="62" t="s">
        <v>464</v>
      </c>
      <c r="BI3" s="62" t="s">
        <v>465</v>
      </c>
      <c r="BJ3" s="62" t="s">
        <v>466</v>
      </c>
      <c r="BK3" s="62" t="s">
        <v>467</v>
      </c>
      <c r="BL3" s="603">
        <v>2014</v>
      </c>
      <c r="BM3" s="62" t="s">
        <v>468</v>
      </c>
      <c r="BN3" s="62" t="s">
        <v>469</v>
      </c>
      <c r="BO3" s="62" t="s">
        <v>470</v>
      </c>
      <c r="BP3" s="62" t="s">
        <v>471</v>
      </c>
      <c r="BQ3" s="603">
        <v>2015</v>
      </c>
      <c r="BR3" s="55" t="s">
        <v>472</v>
      </c>
      <c r="BS3" s="55" t="s">
        <v>473</v>
      </c>
      <c r="BT3" s="55" t="s">
        <v>474</v>
      </c>
      <c r="BU3" s="55" t="s">
        <v>475</v>
      </c>
      <c r="BV3" s="603">
        <v>2016</v>
      </c>
      <c r="BW3" s="55" t="s">
        <v>476</v>
      </c>
      <c r="BX3" s="55" t="s">
        <v>477</v>
      </c>
      <c r="BY3" s="55" t="s">
        <v>478</v>
      </c>
      <c r="BZ3" s="55" t="s">
        <v>479</v>
      </c>
      <c r="CA3" s="603">
        <v>2017</v>
      </c>
      <c r="CB3" s="55" t="s">
        <v>549</v>
      </c>
      <c r="CC3" s="55" t="s">
        <v>550</v>
      </c>
      <c r="CD3" s="55" t="s">
        <v>551</v>
      </c>
      <c r="CE3" s="55" t="s">
        <v>552</v>
      </c>
      <c r="CF3" s="603">
        <v>2018</v>
      </c>
      <c r="CG3" s="55" t="s">
        <v>597</v>
      </c>
      <c r="CH3" s="55" t="s">
        <v>598</v>
      </c>
      <c r="CI3" s="55" t="s">
        <v>599</v>
      </c>
      <c r="CJ3" s="55" t="s">
        <v>600</v>
      </c>
      <c r="CK3" s="603">
        <v>2019</v>
      </c>
      <c r="CL3" s="55" t="s">
        <v>605</v>
      </c>
      <c r="CM3" s="55" t="s">
        <v>606</v>
      </c>
      <c r="CN3" s="55" t="s">
        <v>607</v>
      </c>
      <c r="CO3" s="55" t="s">
        <v>608</v>
      </c>
      <c r="CP3" s="603">
        <v>2020</v>
      </c>
      <c r="CQ3" s="55" t="s">
        <v>649</v>
      </c>
      <c r="CR3" s="55" t="s">
        <v>650</v>
      </c>
      <c r="CS3" s="55" t="s">
        <v>651</v>
      </c>
      <c r="CT3" s="55" t="s">
        <v>652</v>
      </c>
      <c r="CU3" s="603">
        <v>2021</v>
      </c>
      <c r="CV3" s="55" t="s">
        <v>667</v>
      </c>
      <c r="CW3" s="55" t="s">
        <v>668</v>
      </c>
      <c r="CX3" s="55" t="s">
        <v>669</v>
      </c>
      <c r="CY3" s="55" t="s">
        <v>670</v>
      </c>
      <c r="CZ3" s="603">
        <v>2022</v>
      </c>
      <c r="DA3" s="55" t="s">
        <v>674</v>
      </c>
      <c r="DB3" s="55" t="s">
        <v>675</v>
      </c>
      <c r="DC3" s="55" t="s">
        <v>676</v>
      </c>
      <c r="DD3" s="55" t="s">
        <v>677</v>
      </c>
      <c r="DE3" s="603">
        <v>2023</v>
      </c>
      <c r="DF3" s="55" t="s">
        <v>684</v>
      </c>
      <c r="DG3" s="55" t="s">
        <v>685</v>
      </c>
      <c r="DH3" s="55" t="s">
        <v>686</v>
      </c>
      <c r="DI3" s="55" t="s">
        <v>687</v>
      </c>
      <c r="DJ3" s="603">
        <v>2024</v>
      </c>
      <c r="DK3" s="55" t="s">
        <v>695</v>
      </c>
      <c r="DL3" s="55" t="s">
        <v>696</v>
      </c>
      <c r="DM3" s="55" t="s">
        <v>697</v>
      </c>
      <c r="DN3" s="55" t="s">
        <v>698</v>
      </c>
      <c r="DO3" s="603">
        <v>2025</v>
      </c>
      <c r="DP3" s="55" t="s">
        <v>715</v>
      </c>
      <c r="DQ3" s="55" t="s">
        <v>716</v>
      </c>
      <c r="DR3" s="55" t="s">
        <v>720</v>
      </c>
      <c r="DS3" s="55" t="s">
        <v>721</v>
      </c>
      <c r="DT3" s="603" t="s">
        <v>688</v>
      </c>
      <c r="DU3" s="55" t="s">
        <v>735</v>
      </c>
      <c r="DV3" s="55" t="s">
        <v>736</v>
      </c>
      <c r="DW3" s="55" t="s">
        <v>737</v>
      </c>
      <c r="DX3" s="55" t="s">
        <v>738</v>
      </c>
      <c r="DY3" s="603" t="s">
        <v>683</v>
      </c>
      <c r="DZ3" s="603" t="s">
        <v>691</v>
      </c>
      <c r="EA3" s="603" t="s">
        <v>692</v>
      </c>
      <c r="EB3" s="603" t="s">
        <v>693</v>
      </c>
    </row>
    <row r="4" spans="1:132" s="66" customFormat="1" ht="12.75">
      <c r="A4"/>
      <c r="B4" s="63" t="s">
        <v>148</v>
      </c>
      <c r="C4" s="56">
        <v>35795</v>
      </c>
      <c r="D4" s="56">
        <v>36160</v>
      </c>
      <c r="E4" s="56">
        <v>36525</v>
      </c>
      <c r="F4" s="56">
        <v>36891</v>
      </c>
      <c r="G4" s="56">
        <v>37256</v>
      </c>
      <c r="H4" s="56">
        <v>37621</v>
      </c>
      <c r="I4" s="56">
        <v>37986</v>
      </c>
      <c r="J4" s="64">
        <v>38077</v>
      </c>
      <c r="K4" s="64">
        <v>38168</v>
      </c>
      <c r="L4" s="64">
        <v>38260</v>
      </c>
      <c r="M4" s="64">
        <v>38352</v>
      </c>
      <c r="N4" s="56">
        <v>38352</v>
      </c>
      <c r="O4" s="64">
        <v>38442</v>
      </c>
      <c r="P4" s="64">
        <v>38533</v>
      </c>
      <c r="Q4" s="64">
        <v>38625</v>
      </c>
      <c r="R4" s="64">
        <v>38717</v>
      </c>
      <c r="S4" s="56">
        <v>38717</v>
      </c>
      <c r="T4" s="64">
        <v>38807</v>
      </c>
      <c r="U4" s="64">
        <v>38898</v>
      </c>
      <c r="V4" s="64">
        <v>38990</v>
      </c>
      <c r="W4" s="64">
        <v>39082</v>
      </c>
      <c r="X4" s="56">
        <v>39082</v>
      </c>
      <c r="Y4" s="64">
        <v>39172</v>
      </c>
      <c r="Z4" s="64">
        <v>39263</v>
      </c>
      <c r="AA4" s="64">
        <v>39355</v>
      </c>
      <c r="AB4" s="64">
        <v>39447</v>
      </c>
      <c r="AC4" s="56">
        <v>39447</v>
      </c>
      <c r="AD4" s="64">
        <v>39538</v>
      </c>
      <c r="AE4" s="64">
        <v>39629</v>
      </c>
      <c r="AF4" s="64">
        <v>39721</v>
      </c>
      <c r="AG4" s="64">
        <v>39813</v>
      </c>
      <c r="AH4" s="56">
        <v>39813</v>
      </c>
      <c r="AI4" s="64">
        <v>39903</v>
      </c>
      <c r="AJ4" s="64">
        <v>39994</v>
      </c>
      <c r="AK4" s="64">
        <v>40086</v>
      </c>
      <c r="AL4" s="64">
        <v>40178</v>
      </c>
      <c r="AM4" s="56">
        <v>40178</v>
      </c>
      <c r="AN4" s="64">
        <v>40268</v>
      </c>
      <c r="AO4" s="64">
        <v>40359</v>
      </c>
      <c r="AP4" s="64">
        <v>40451</v>
      </c>
      <c r="AQ4" s="64">
        <v>40543</v>
      </c>
      <c r="AR4" s="56">
        <v>40543</v>
      </c>
      <c r="AS4" s="64">
        <v>40633</v>
      </c>
      <c r="AT4" s="64">
        <v>40724</v>
      </c>
      <c r="AU4" s="64">
        <v>40816</v>
      </c>
      <c r="AV4" s="64">
        <v>40908</v>
      </c>
      <c r="AW4" s="56">
        <v>40908</v>
      </c>
      <c r="AX4" s="64">
        <v>40999</v>
      </c>
      <c r="AY4" s="64">
        <v>41090</v>
      </c>
      <c r="AZ4" s="64">
        <v>41182</v>
      </c>
      <c r="BA4" s="64">
        <v>41274</v>
      </c>
      <c r="BB4" s="56">
        <v>41274</v>
      </c>
      <c r="BC4" s="64">
        <v>41364</v>
      </c>
      <c r="BD4" s="64">
        <v>41455</v>
      </c>
      <c r="BE4" s="64">
        <v>41547</v>
      </c>
      <c r="BF4" s="64">
        <v>41639</v>
      </c>
      <c r="BG4" s="56">
        <v>41639</v>
      </c>
      <c r="BH4" s="64">
        <v>41729</v>
      </c>
      <c r="BI4" s="64">
        <v>41820</v>
      </c>
      <c r="BJ4" s="64">
        <v>41912</v>
      </c>
      <c r="BK4" s="64">
        <v>42004</v>
      </c>
      <c r="BL4" s="56">
        <v>42004</v>
      </c>
      <c r="BM4" s="64">
        <v>42094</v>
      </c>
      <c r="BN4" s="64">
        <v>42185</v>
      </c>
      <c r="BO4" s="64">
        <v>42277</v>
      </c>
      <c r="BP4" s="64">
        <v>42369</v>
      </c>
      <c r="BQ4" s="56">
        <v>42369</v>
      </c>
      <c r="BR4" s="57">
        <v>42460</v>
      </c>
      <c r="BS4" s="57">
        <v>42551</v>
      </c>
      <c r="BT4" s="57">
        <v>42643</v>
      </c>
      <c r="BU4" s="219">
        <v>42735</v>
      </c>
      <c r="BV4" s="56">
        <v>42735</v>
      </c>
      <c r="BW4" s="57">
        <v>42825</v>
      </c>
      <c r="BX4" s="57">
        <v>42916</v>
      </c>
      <c r="BY4" s="57">
        <v>43008</v>
      </c>
      <c r="BZ4" s="219">
        <v>43100</v>
      </c>
      <c r="CA4" s="56">
        <v>43100</v>
      </c>
      <c r="CB4" s="57">
        <v>43190</v>
      </c>
      <c r="CC4" s="57">
        <v>43281</v>
      </c>
      <c r="CD4" s="57">
        <v>43373</v>
      </c>
      <c r="CE4" s="219">
        <v>43465</v>
      </c>
      <c r="CF4" s="56">
        <v>43465</v>
      </c>
      <c r="CG4" s="57">
        <v>43555</v>
      </c>
      <c r="CH4" s="57">
        <v>43646</v>
      </c>
      <c r="CI4" s="57">
        <v>43738</v>
      </c>
      <c r="CJ4" s="219">
        <v>43830</v>
      </c>
      <c r="CK4" s="56">
        <v>43830</v>
      </c>
      <c r="CL4" s="57">
        <v>43921</v>
      </c>
      <c r="CM4" s="57">
        <v>44012</v>
      </c>
      <c r="CN4" s="57">
        <v>44104</v>
      </c>
      <c r="CO4" s="219">
        <v>44196</v>
      </c>
      <c r="CP4" s="56">
        <v>44196</v>
      </c>
      <c r="CQ4" s="57">
        <v>44286</v>
      </c>
      <c r="CR4" s="57">
        <v>44377</v>
      </c>
      <c r="CS4" s="57">
        <v>44469</v>
      </c>
      <c r="CT4" s="219">
        <v>44561</v>
      </c>
      <c r="CU4" s="56">
        <v>44561</v>
      </c>
      <c r="CV4" s="57">
        <v>44651</v>
      </c>
      <c r="CW4" s="57">
        <v>44742</v>
      </c>
      <c r="CX4" s="57">
        <v>44834</v>
      </c>
      <c r="CY4" s="219">
        <v>44926</v>
      </c>
      <c r="CZ4" s="56">
        <v>44926</v>
      </c>
      <c r="DA4" s="57">
        <v>45016</v>
      </c>
      <c r="DB4" s="57">
        <v>45107</v>
      </c>
      <c r="DC4" s="57">
        <v>45199</v>
      </c>
      <c r="DD4" s="219">
        <v>45291</v>
      </c>
      <c r="DE4" s="443">
        <v>45291</v>
      </c>
      <c r="DF4" s="57">
        <v>45382</v>
      </c>
      <c r="DG4" s="57">
        <v>45473</v>
      </c>
      <c r="DH4" s="57">
        <v>45565</v>
      </c>
      <c r="DI4" s="57">
        <v>45657</v>
      </c>
      <c r="DJ4" s="56">
        <v>45657</v>
      </c>
      <c r="DK4" s="57">
        <v>45747</v>
      </c>
      <c r="DL4" s="57">
        <v>45838</v>
      </c>
      <c r="DM4" s="57">
        <v>45930</v>
      </c>
      <c r="DN4" s="219">
        <v>46022</v>
      </c>
      <c r="DO4" s="56">
        <v>46022</v>
      </c>
      <c r="DP4" s="57">
        <v>46112</v>
      </c>
      <c r="DQ4" s="57">
        <v>46203</v>
      </c>
      <c r="DR4" s="57">
        <v>46295</v>
      </c>
      <c r="DS4" s="219">
        <v>46387</v>
      </c>
      <c r="DT4" s="56">
        <v>46387</v>
      </c>
      <c r="DU4" s="57">
        <v>46477</v>
      </c>
      <c r="DV4" s="57">
        <v>46568</v>
      </c>
      <c r="DW4" s="57">
        <v>46660</v>
      </c>
      <c r="DX4" s="219">
        <v>46752</v>
      </c>
      <c r="DY4" s="443">
        <v>46752</v>
      </c>
      <c r="DZ4" s="443">
        <v>47118</v>
      </c>
      <c r="EA4" s="443">
        <v>47483</v>
      </c>
      <c r="EB4" s="443">
        <v>47848</v>
      </c>
    </row>
    <row r="5" spans="1:132">
      <c r="C5" s="67"/>
      <c r="D5" s="67"/>
      <c r="E5" s="67"/>
      <c r="F5" s="67"/>
      <c r="G5" s="67"/>
      <c r="H5" s="67"/>
      <c r="I5" s="67"/>
      <c r="N5" s="67"/>
      <c r="S5" s="67"/>
      <c r="X5" s="67"/>
      <c r="AC5" s="67"/>
      <c r="AH5" s="67"/>
      <c r="AM5" s="67"/>
      <c r="AR5" s="67"/>
      <c r="AW5" s="67"/>
      <c r="BB5" s="67"/>
      <c r="BG5" s="67"/>
      <c r="BL5" s="67"/>
      <c r="BQ5" s="67"/>
      <c r="BV5" s="67"/>
      <c r="CA5" s="67"/>
      <c r="CF5" s="67"/>
      <c r="CK5" s="67"/>
      <c r="CP5" s="67"/>
      <c r="CU5" s="67"/>
      <c r="CZ5" s="67"/>
      <c r="DE5" s="67"/>
      <c r="DJ5" s="67"/>
      <c r="DO5" s="67"/>
      <c r="DT5" s="67"/>
      <c r="DY5" s="67"/>
      <c r="DZ5" s="67"/>
      <c r="EA5" s="67"/>
      <c r="EB5" s="67"/>
    </row>
    <row r="6" spans="1:132">
      <c r="B6" s="164" t="s">
        <v>48</v>
      </c>
      <c r="C6" s="67"/>
      <c r="D6" s="67"/>
      <c r="E6" s="67"/>
      <c r="F6" s="67"/>
      <c r="G6" s="67"/>
      <c r="H6" s="67"/>
      <c r="I6" s="67"/>
      <c r="N6" s="67"/>
      <c r="S6" s="67"/>
      <c r="X6" s="67"/>
      <c r="AC6" s="67"/>
      <c r="AH6" s="67"/>
      <c r="AM6" s="67"/>
      <c r="AR6" s="67"/>
      <c r="AW6" s="67"/>
      <c r="BB6" s="67"/>
      <c r="BG6" s="67"/>
      <c r="BL6" s="67"/>
      <c r="BQ6" s="67"/>
      <c r="BV6" s="67"/>
      <c r="CA6" s="67"/>
      <c r="CF6" s="67"/>
      <c r="CK6" s="67"/>
      <c r="CP6" s="67"/>
      <c r="CU6" s="67"/>
      <c r="CZ6" s="67"/>
      <c r="DE6" s="67"/>
      <c r="DJ6" s="67"/>
      <c r="DO6" s="67"/>
      <c r="DT6" s="67"/>
      <c r="DY6" s="67"/>
      <c r="DZ6" s="67"/>
      <c r="EA6" s="67"/>
      <c r="EB6" s="67"/>
    </row>
    <row r="7" spans="1:132">
      <c r="B7" s="159" t="s">
        <v>49</v>
      </c>
      <c r="C7" s="189">
        <f>Data!C47</f>
        <v>4420</v>
      </c>
      <c r="D7" s="189">
        <f>Data!D47</f>
        <v>2183</v>
      </c>
      <c r="E7" s="189">
        <f>Data!E47</f>
        <v>3354</v>
      </c>
      <c r="F7" s="189">
        <f>Data!F47</f>
        <v>1010</v>
      </c>
      <c r="G7" s="189">
        <f>Data!G47</f>
        <v>633</v>
      </c>
      <c r="H7" s="189">
        <f>Data!H47</f>
        <v>2333</v>
      </c>
      <c r="I7" s="189">
        <f>Data!I47</f>
        <v>4633</v>
      </c>
      <c r="J7" s="190">
        <f>Data!J47</f>
        <v>3950</v>
      </c>
      <c r="K7" s="190">
        <f>Data!K47</f>
        <v>6184</v>
      </c>
      <c r="L7" s="190">
        <f>Data!L47</f>
        <v>4312</v>
      </c>
      <c r="M7" s="190">
        <f>Data!M47</f>
        <v>3204</v>
      </c>
      <c r="N7" s="189">
        <f>M7</f>
        <v>3204</v>
      </c>
      <c r="O7" s="190">
        <f>Data!O47</f>
        <v>3330</v>
      </c>
      <c r="P7" s="190">
        <f>Data!P47</f>
        <v>4961</v>
      </c>
      <c r="Q7" s="190">
        <f>Data!Q47</f>
        <v>4547</v>
      </c>
      <c r="R7" s="190">
        <f>Data!R47</f>
        <v>5412</v>
      </c>
      <c r="S7" s="189">
        <f>R7</f>
        <v>5412</v>
      </c>
      <c r="T7" s="190">
        <f>Data!T47</f>
        <v>6781</v>
      </c>
      <c r="U7" s="190">
        <f>Data!U47</f>
        <v>7567</v>
      </c>
      <c r="V7" s="190">
        <f>Data!V47</f>
        <v>5198</v>
      </c>
      <c r="W7" s="190">
        <f>Data!W47</f>
        <v>6118</v>
      </c>
      <c r="X7" s="189">
        <f>W7</f>
        <v>6118</v>
      </c>
      <c r="Y7" s="190">
        <f>Data!Y47</f>
        <v>4836</v>
      </c>
      <c r="Z7" s="190">
        <f>Data!Z47</f>
        <v>7156</v>
      </c>
      <c r="AA7" s="190">
        <f>Data!AA47</f>
        <v>8948</v>
      </c>
      <c r="AB7" s="190">
        <f>Data!AB47</f>
        <v>7042</v>
      </c>
      <c r="AC7" s="189">
        <f>AB7</f>
        <v>7042</v>
      </c>
      <c r="AD7" s="190">
        <f>Data!AD47</f>
        <v>7707</v>
      </c>
      <c r="AE7" s="190">
        <f>Data!AE47</f>
        <v>5619</v>
      </c>
      <c r="AF7" s="190">
        <f>Data!AF47</f>
        <v>4186</v>
      </c>
      <c r="AG7" s="190">
        <f>Data!AG47</f>
        <v>3268</v>
      </c>
      <c r="AH7" s="189">
        <f>AG7</f>
        <v>3268</v>
      </c>
      <c r="AI7" s="190">
        <f>Data!AI47</f>
        <v>4237</v>
      </c>
      <c r="AJ7" s="190">
        <f>Data!AJ47</f>
        <v>4599</v>
      </c>
      <c r="AK7" s="190">
        <f>Data!AK47</f>
        <v>6095</v>
      </c>
      <c r="AL7" s="190">
        <f>Data!AL47</f>
        <v>9215</v>
      </c>
      <c r="AM7" s="189">
        <f t="shared" ref="AM7:AM14" si="0">AL7</f>
        <v>9215</v>
      </c>
      <c r="AN7" s="190">
        <f>Data!AN47</f>
        <v>4517</v>
      </c>
      <c r="AO7" s="190">
        <f>Data!AO47</f>
        <v>4468</v>
      </c>
      <c r="AP7" s="190">
        <f>Data!AP47</f>
        <v>2864</v>
      </c>
      <c r="AQ7" s="190">
        <f>Data!AQ47</f>
        <v>5359</v>
      </c>
      <c r="AR7" s="189">
        <f t="shared" ref="AR7:AR14" si="1">AQ7</f>
        <v>5359</v>
      </c>
      <c r="AS7" s="190">
        <f>Data!AS47</f>
        <v>5670</v>
      </c>
      <c r="AT7" s="190">
        <f>Data!AT47</f>
        <v>5050</v>
      </c>
      <c r="AU7" s="537">
        <f>Data!AU47</f>
        <v>5954</v>
      </c>
      <c r="AV7" s="537">
        <f>Data!AV47</f>
        <v>10049</v>
      </c>
      <c r="AW7" s="189">
        <f>AV7</f>
        <v>10049</v>
      </c>
      <c r="AX7" s="537">
        <f>Data!AX47</f>
        <v>6718</v>
      </c>
      <c r="AY7" s="537">
        <f>Data!AY47</f>
        <v>6305</v>
      </c>
      <c r="AZ7" s="537">
        <f>Data!AZ47</f>
        <v>6582</v>
      </c>
      <c r="BA7" s="537">
        <f>Data!BA47</f>
        <v>10341</v>
      </c>
      <c r="BB7" s="189">
        <f>BA7</f>
        <v>10341</v>
      </c>
      <c r="BC7" s="537">
        <f>Data!BC47</f>
        <v>8335</v>
      </c>
      <c r="BD7" s="537">
        <f>Data!BD47</f>
        <v>8694</v>
      </c>
      <c r="BE7" s="537">
        <f>Data!BE47</f>
        <v>10041</v>
      </c>
      <c r="BF7" s="537">
        <f>Data!BF47</f>
        <v>9088</v>
      </c>
      <c r="BG7" s="189">
        <f>BF7</f>
        <v>9088</v>
      </c>
      <c r="BH7" s="537">
        <f>Data!BH47</f>
        <v>6942</v>
      </c>
      <c r="BI7" s="537">
        <f>Data!BI47</f>
        <v>7533</v>
      </c>
      <c r="BJ7" s="537">
        <f>Data!BJ47</f>
        <v>6655</v>
      </c>
      <c r="BK7" s="537">
        <f>Data!BK47</f>
        <v>11733</v>
      </c>
      <c r="BL7" s="189">
        <f>BK7</f>
        <v>11733</v>
      </c>
      <c r="BM7" s="537">
        <f>Data!BM47</f>
        <v>8655</v>
      </c>
      <c r="BN7" s="537">
        <f>Data!BN47</f>
        <v>9157</v>
      </c>
      <c r="BO7" s="537">
        <f>Data!BO47</f>
        <v>9383</v>
      </c>
      <c r="BP7" s="537">
        <f>Data!BP47</f>
        <v>11302</v>
      </c>
      <c r="BQ7" s="189">
        <f>BP7</f>
        <v>11302</v>
      </c>
      <c r="BR7" s="537">
        <f>Data!BR47</f>
        <v>7886</v>
      </c>
      <c r="BS7" s="537">
        <f>Data!BS47</f>
        <v>8605</v>
      </c>
      <c r="BT7" s="537">
        <f>Data!BT47</f>
        <v>8986</v>
      </c>
      <c r="BU7" s="537">
        <f>Data!BU47</f>
        <v>8801</v>
      </c>
      <c r="BV7" s="189">
        <f>BU7</f>
        <v>8801</v>
      </c>
      <c r="BW7" s="537">
        <f>Data!BW47</f>
        <v>8190</v>
      </c>
      <c r="BX7" s="537">
        <f>Data!BX47</f>
        <v>8737</v>
      </c>
      <c r="BY7" s="537">
        <f>Data!BY47</f>
        <v>8569</v>
      </c>
      <c r="BZ7" s="537">
        <f>Data!BZ47</f>
        <v>8813</v>
      </c>
      <c r="CA7" s="189">
        <f>BZ7</f>
        <v>8813</v>
      </c>
      <c r="CB7" s="537">
        <f>Data!CB47</f>
        <v>9235</v>
      </c>
      <c r="CC7" s="537">
        <f>Data!CC47</f>
        <v>8121</v>
      </c>
      <c r="CD7" s="537">
        <f>Data!CD47</f>
        <v>8034</v>
      </c>
      <c r="CE7" s="537">
        <f>Data!CE47</f>
        <v>7637</v>
      </c>
      <c r="CF7" s="189">
        <f>CE7</f>
        <v>7637</v>
      </c>
      <c r="CG7" s="537">
        <f>Data!CG47</f>
        <v>6836</v>
      </c>
      <c r="CH7" s="537">
        <f>Data!CH47</f>
        <v>9167</v>
      </c>
      <c r="CI7" s="537">
        <f>Data!CI47</f>
        <v>9763</v>
      </c>
      <c r="CJ7" s="537">
        <f>Data!CJ47</f>
        <v>9485</v>
      </c>
      <c r="CK7" s="189">
        <f>CJ7</f>
        <v>9485</v>
      </c>
      <c r="CL7" s="537">
        <f>Data!CL47</f>
        <v>15039</v>
      </c>
      <c r="CM7" s="537">
        <f>Data!CM47</f>
        <v>19992</v>
      </c>
      <c r="CN7" s="537">
        <f>Data!CN47</f>
        <v>10564</v>
      </c>
      <c r="CO7" s="537">
        <f>Data!CO47</f>
        <v>7752</v>
      </c>
      <c r="CP7" s="566">
        <f>CO7</f>
        <v>7752</v>
      </c>
      <c r="CQ7" s="537">
        <f>Data!CQ47</f>
        <v>7059</v>
      </c>
      <c r="CR7" s="537">
        <f>Data!CR47</f>
        <v>8271</v>
      </c>
      <c r="CS7" s="537">
        <f>Data!CS47</f>
        <v>9764</v>
      </c>
      <c r="CT7" s="537">
        <f>Data!CT47</f>
        <v>8052</v>
      </c>
      <c r="CU7" s="566">
        <f>CT7</f>
        <v>8052</v>
      </c>
      <c r="CV7" s="537">
        <f>Data!CV47</f>
        <v>7409</v>
      </c>
      <c r="CW7" s="537">
        <f>Data!CW47</f>
        <v>10090</v>
      </c>
      <c r="CX7" s="537">
        <f>Data!CX47</f>
        <v>13494</v>
      </c>
      <c r="CY7" s="537">
        <f>Data!CY47</f>
        <v>14614</v>
      </c>
      <c r="CZ7" s="566">
        <f>CY7</f>
        <v>14614</v>
      </c>
      <c r="DA7" s="537">
        <f>Data!DA47</f>
        <v>10812</v>
      </c>
      <c r="DB7" s="537">
        <f>Data!DB47</f>
        <v>7254</v>
      </c>
      <c r="DC7" s="537">
        <f>Data!DC47</f>
        <v>6811</v>
      </c>
      <c r="DD7" s="537">
        <f>Data!DD47</f>
        <v>12691</v>
      </c>
      <c r="DE7" s="566">
        <f>DD7</f>
        <v>12691</v>
      </c>
      <c r="DF7" s="537">
        <f>Data!DF47</f>
        <v>6914</v>
      </c>
      <c r="DG7" s="537">
        <f>Data!DG47</f>
        <v>10894</v>
      </c>
      <c r="DH7" s="537">
        <f>Data!DH47</f>
        <v>9961</v>
      </c>
      <c r="DI7" s="537">
        <f>Data!DI47</f>
        <v>13801</v>
      </c>
      <c r="DJ7" s="566">
        <f>DI7</f>
        <v>13801</v>
      </c>
      <c r="DK7" s="537">
        <f>Data!DK47</f>
        <v>10142</v>
      </c>
      <c r="DL7" s="537">
        <f>Data!DL47</f>
        <v>7087</v>
      </c>
      <c r="DM7" s="537">
        <f>Data!DM47</f>
        <v>6173</v>
      </c>
      <c r="DN7" s="537">
        <f>Data!DN47</f>
        <v>10921</v>
      </c>
      <c r="DO7" s="566">
        <f>DN7</f>
        <v>10921</v>
      </c>
      <c r="DP7" s="537">
        <f>Data!DP47</f>
        <v>9441</v>
      </c>
      <c r="DQ7" s="537">
        <f>Data!DQ47</f>
        <v>7239</v>
      </c>
      <c r="DR7" s="191">
        <f>CFLO!DR50+DQ7</f>
        <v>7584</v>
      </c>
      <c r="DS7" s="191">
        <f>CFLO!DS50+DR7</f>
        <v>10565</v>
      </c>
      <c r="DT7" s="566">
        <f>DS7</f>
        <v>10565</v>
      </c>
      <c r="DU7" s="191">
        <f>CFLO!DU50+DT7</f>
        <v>10360</v>
      </c>
      <c r="DV7" s="191">
        <f>CFLO!DV50+DU7</f>
        <v>10555</v>
      </c>
      <c r="DW7" s="191">
        <f>CFLO!DW50+DV7</f>
        <v>11945</v>
      </c>
      <c r="DX7" s="191">
        <f>CFLO!DX50+DW7</f>
        <v>14643</v>
      </c>
      <c r="DY7" s="566">
        <f>DX7</f>
        <v>14643</v>
      </c>
      <c r="DZ7" s="192">
        <f>CFLO!DZ50+DY7</f>
        <v>13140</v>
      </c>
      <c r="EA7" s="192">
        <f>CFLO!EA50+DZ7</f>
        <v>13735</v>
      </c>
      <c r="EB7" s="192">
        <f>CFLO!EB50+EA7</f>
        <v>15349</v>
      </c>
    </row>
    <row r="8" spans="1:132">
      <c r="B8" s="159" t="s">
        <v>50</v>
      </c>
      <c r="C8" s="67">
        <f>Data!C48</f>
        <v>729</v>
      </c>
      <c r="D8" s="67">
        <f>Data!D48</f>
        <v>279</v>
      </c>
      <c r="E8" s="67">
        <f>Data!E48</f>
        <v>100</v>
      </c>
      <c r="F8" s="67">
        <f>Data!F48</f>
        <v>0</v>
      </c>
      <c r="G8" s="67">
        <f>Data!G48</f>
        <v>0</v>
      </c>
      <c r="H8" s="67">
        <f>Data!H48</f>
        <v>0</v>
      </c>
      <c r="I8" s="67">
        <f>Data!I48</f>
        <v>0</v>
      </c>
      <c r="J8" s="68">
        <f>Data!J48</f>
        <v>0</v>
      </c>
      <c r="K8" s="68">
        <f>Data!K48</f>
        <v>0</v>
      </c>
      <c r="L8" s="68">
        <f>Data!L48</f>
        <v>96</v>
      </c>
      <c r="M8" s="68">
        <f>Data!M48</f>
        <v>319</v>
      </c>
      <c r="N8" s="67">
        <f t="shared" ref="N8:N23" si="2">M8</f>
        <v>319</v>
      </c>
      <c r="O8" s="68">
        <f>Data!O48</f>
        <v>167</v>
      </c>
      <c r="P8" s="68">
        <f>Data!P48</f>
        <v>207</v>
      </c>
      <c r="Q8" s="68">
        <f>Data!Q48</f>
        <v>527</v>
      </c>
      <c r="R8" s="68">
        <f>Data!R48</f>
        <v>554</v>
      </c>
      <c r="S8" s="67">
        <f t="shared" ref="S8:S23" si="3">R8</f>
        <v>554</v>
      </c>
      <c r="T8" s="68">
        <f>Data!T48</f>
        <v>576</v>
      </c>
      <c r="U8" s="68">
        <f>Data!U48</f>
        <v>567</v>
      </c>
      <c r="V8" s="68">
        <f>Data!V48</f>
        <v>423</v>
      </c>
      <c r="W8" s="68">
        <f>Data!W48</f>
        <v>268</v>
      </c>
      <c r="X8" s="67">
        <f t="shared" ref="X8:X23" si="4">W8</f>
        <v>268</v>
      </c>
      <c r="Y8" s="68">
        <f>Data!Y48</f>
        <v>441</v>
      </c>
      <c r="Z8" s="68">
        <f>Data!Z48</f>
        <v>475</v>
      </c>
      <c r="AA8" s="68">
        <f>Data!AA48</f>
        <v>516</v>
      </c>
      <c r="AB8" s="68">
        <f>Data!AB48</f>
        <v>2266</v>
      </c>
      <c r="AC8" s="67">
        <f t="shared" ref="AC8:AC23" si="5">AB8</f>
        <v>2266</v>
      </c>
      <c r="AD8" s="68">
        <f>Data!AD48</f>
        <v>1881</v>
      </c>
      <c r="AE8" s="68">
        <f>Data!AE48</f>
        <v>1752</v>
      </c>
      <c r="AF8" s="68">
        <f>Data!AF48</f>
        <v>591</v>
      </c>
      <c r="AG8" s="68">
        <f>Data!AG48</f>
        <v>11</v>
      </c>
      <c r="AH8" s="67">
        <f t="shared" ref="AH8:AH23" si="6">AG8</f>
        <v>11</v>
      </c>
      <c r="AI8" s="68">
        <f>Data!AI48</f>
        <v>213</v>
      </c>
      <c r="AJ8" s="68">
        <f>Data!AJ48</f>
        <v>171</v>
      </c>
      <c r="AK8" s="68">
        <f>Data!AK48</f>
        <v>351</v>
      </c>
      <c r="AL8" s="68">
        <f>Data!AL48</f>
        <v>2008</v>
      </c>
      <c r="AM8" s="67">
        <f t="shared" si="0"/>
        <v>2008</v>
      </c>
      <c r="AN8" s="68">
        <f>Data!AN48</f>
        <v>5845</v>
      </c>
      <c r="AO8" s="68">
        <f>Data!AO48</f>
        <v>5558</v>
      </c>
      <c r="AP8" s="68">
        <f>Data!AP48</f>
        <v>7102</v>
      </c>
      <c r="AQ8" s="68">
        <f>Data!AQ48</f>
        <v>5158</v>
      </c>
      <c r="AR8" s="67">
        <f t="shared" si="1"/>
        <v>5158</v>
      </c>
      <c r="AS8" s="68">
        <f>Data!AS48</f>
        <v>2102</v>
      </c>
      <c r="AT8" s="68">
        <f>Data!AT48</f>
        <v>3752</v>
      </c>
      <c r="AU8" s="121">
        <f>Data!AU48</f>
        <v>3279</v>
      </c>
      <c r="AV8" s="121">
        <f>Data!AV48</f>
        <v>1223</v>
      </c>
      <c r="AW8" s="67">
        <f t="shared" ref="AW8:AW23" si="7">AV8</f>
        <v>1223</v>
      </c>
      <c r="AX8" s="121">
        <f>Data!AX48</f>
        <v>3798</v>
      </c>
      <c r="AY8" s="121">
        <f>Data!AY48</f>
        <v>4002</v>
      </c>
      <c r="AZ8" s="121">
        <f>Data!AZ48</f>
        <v>4590</v>
      </c>
      <c r="BA8" s="121">
        <f>Data!BA48</f>
        <v>3217</v>
      </c>
      <c r="BB8" s="67">
        <f t="shared" ref="BB8:BB23" si="8">BA8</f>
        <v>3217</v>
      </c>
      <c r="BC8" s="121">
        <f>Data!BC48</f>
        <v>3518</v>
      </c>
      <c r="BD8" s="121">
        <f>Data!BD48</f>
        <v>5631</v>
      </c>
      <c r="BE8" s="121">
        <f>Data!BE48</f>
        <v>5870</v>
      </c>
      <c r="BF8" s="121">
        <f>Data!BF48</f>
        <v>6170</v>
      </c>
      <c r="BG8" s="67">
        <f t="shared" ref="BG8:BG23" si="9">BF8</f>
        <v>6170</v>
      </c>
      <c r="BH8" s="121">
        <f>Data!BH48</f>
        <v>5282</v>
      </c>
      <c r="BI8" s="121">
        <f>Data!BI48</f>
        <v>3797</v>
      </c>
      <c r="BJ8" s="121">
        <f>Data!BJ48</f>
        <v>3422</v>
      </c>
      <c r="BK8" s="121">
        <f>Data!BK48</f>
        <v>1359</v>
      </c>
      <c r="BL8" s="67">
        <f t="shared" ref="BL8:BL23" si="10">BK8</f>
        <v>1359</v>
      </c>
      <c r="BM8" s="121">
        <f>Data!BM48</f>
        <v>976</v>
      </c>
      <c r="BN8" s="121">
        <f>Data!BN48</f>
        <v>468</v>
      </c>
      <c r="BO8" s="121">
        <f>Data!BO48</f>
        <v>474</v>
      </c>
      <c r="BP8" s="121">
        <f>Data!BP48</f>
        <v>750</v>
      </c>
      <c r="BQ8" s="67">
        <f t="shared" ref="BQ8:BQ23" si="11">BP8</f>
        <v>750</v>
      </c>
      <c r="BR8" s="121">
        <f>Data!BR48</f>
        <v>466</v>
      </c>
      <c r="BS8" s="121">
        <f>Data!BS48</f>
        <v>660</v>
      </c>
      <c r="BT8" s="121">
        <f>Data!BT48</f>
        <v>682</v>
      </c>
      <c r="BU8" s="121">
        <f>Data!BU48</f>
        <v>1228</v>
      </c>
      <c r="BV8" s="67">
        <f t="shared" ref="BV8:BV23" si="12">BU8</f>
        <v>1228</v>
      </c>
      <c r="BW8" s="121">
        <f>Data!BW48</f>
        <v>1015</v>
      </c>
      <c r="BX8" s="121">
        <f>Data!BX48</f>
        <v>1589</v>
      </c>
      <c r="BY8" s="121">
        <f>Data!BY48</f>
        <v>1463</v>
      </c>
      <c r="BZ8" s="121">
        <f>Data!BZ48</f>
        <v>1179</v>
      </c>
      <c r="CA8" s="67">
        <f>BZ8</f>
        <v>1179</v>
      </c>
      <c r="CB8" s="121">
        <f>Data!CB48</f>
        <v>656</v>
      </c>
      <c r="CC8" s="121">
        <f>Data!CC48</f>
        <v>1649</v>
      </c>
      <c r="CD8" s="121">
        <f>Data!CD48</f>
        <v>1956</v>
      </c>
      <c r="CE8" s="121">
        <f>Data!CE48</f>
        <v>927</v>
      </c>
      <c r="CF8" s="67">
        <f>CE8</f>
        <v>927</v>
      </c>
      <c r="CG8" s="121">
        <f>Data!CG48</f>
        <v>893</v>
      </c>
      <c r="CH8" s="121">
        <f>Data!CH48</f>
        <v>439</v>
      </c>
      <c r="CI8" s="121">
        <f>Data!CI48</f>
        <v>1150</v>
      </c>
      <c r="CJ8" s="121">
        <f>Data!CJ48</f>
        <v>545</v>
      </c>
      <c r="CK8" s="67">
        <f>CJ8</f>
        <v>545</v>
      </c>
      <c r="CL8" s="121">
        <f>Data!CL48</f>
        <v>488</v>
      </c>
      <c r="CM8" s="121">
        <f>Data!CM48</f>
        <v>12438</v>
      </c>
      <c r="CN8" s="121">
        <f>Data!CN48</f>
        <v>16552</v>
      </c>
      <c r="CO8" s="121">
        <f>Data!CO48</f>
        <v>17838</v>
      </c>
      <c r="CP8" s="120">
        <f>CO8</f>
        <v>17838</v>
      </c>
      <c r="CQ8" s="121">
        <f>Data!CQ48</f>
        <v>14861</v>
      </c>
      <c r="CR8" s="121">
        <f>Data!CR48</f>
        <v>13071</v>
      </c>
      <c r="CS8" s="121">
        <f>Data!CS48</f>
        <v>10231</v>
      </c>
      <c r="CT8" s="121">
        <f>Data!CT48</f>
        <v>8192</v>
      </c>
      <c r="CU8" s="120">
        <f>CT8</f>
        <v>8192</v>
      </c>
      <c r="CV8" s="121">
        <f>Data!CV48</f>
        <v>4873</v>
      </c>
      <c r="CW8" s="121">
        <f>Data!CW48</f>
        <v>1358</v>
      </c>
      <c r="CX8" s="121">
        <f>Data!CX48</f>
        <v>763</v>
      </c>
      <c r="CY8" s="121">
        <f>Data!CY48</f>
        <v>2606</v>
      </c>
      <c r="CZ8" s="120">
        <f>CY8</f>
        <v>2606</v>
      </c>
      <c r="DA8" s="121">
        <f>Data!DA48</f>
        <v>3955</v>
      </c>
      <c r="DB8" s="121">
        <f>Data!DB48</f>
        <v>6508</v>
      </c>
      <c r="DC8" s="121">
        <f>Data!DC48</f>
        <v>6561</v>
      </c>
      <c r="DD8" s="121">
        <f>Data!DD48</f>
        <v>3274</v>
      </c>
      <c r="DE8" s="120">
        <f>DD8</f>
        <v>3274</v>
      </c>
      <c r="DF8" s="121">
        <f>Data!DF48</f>
        <v>615</v>
      </c>
      <c r="DG8" s="121">
        <f>Data!DG48</f>
        <v>1727</v>
      </c>
      <c r="DH8" s="121">
        <f>Data!DH48</f>
        <v>509</v>
      </c>
      <c r="DI8" s="121">
        <f>Data!DI48</f>
        <v>12481</v>
      </c>
      <c r="DJ8" s="120">
        <f>DI8</f>
        <v>12481</v>
      </c>
      <c r="DK8" s="121">
        <f>Data!DK48</f>
        <v>13532</v>
      </c>
      <c r="DL8" s="121">
        <f>Data!DL48</f>
        <v>15880</v>
      </c>
      <c r="DM8" s="121">
        <f>Data!DM48</f>
        <v>16811</v>
      </c>
      <c r="DN8" s="121">
        <f>Data!DN48</f>
        <v>18479</v>
      </c>
      <c r="DO8" s="120">
        <f>DN8</f>
        <v>18479</v>
      </c>
      <c r="DP8" s="121">
        <f>Data!DP48</f>
        <v>11464</v>
      </c>
      <c r="DQ8" s="121">
        <f>Data!DQ48</f>
        <v>12783</v>
      </c>
      <c r="DR8" s="184">
        <f>DQ8-CFLO!DR36-CFLO!DR37</f>
        <v>12783</v>
      </c>
      <c r="DS8" s="184">
        <f>DR8-CFLO!DS36-CFLO!DS37</f>
        <v>12783</v>
      </c>
      <c r="DT8" s="120">
        <f>DS8</f>
        <v>12783</v>
      </c>
      <c r="DU8" s="184">
        <f>DT8-CFLO!DU36-CFLO!DU37</f>
        <v>5883</v>
      </c>
      <c r="DV8" s="184">
        <f>DU8-CFLO!DV36-CFLO!DV37</f>
        <v>5883</v>
      </c>
      <c r="DW8" s="184">
        <f>DV8-CFLO!DW36-CFLO!DW37</f>
        <v>5883</v>
      </c>
      <c r="DX8" s="184">
        <f>DW8-CFLO!DX36-CFLO!DX37</f>
        <v>5883</v>
      </c>
      <c r="DY8" s="120">
        <f>DX8</f>
        <v>5883</v>
      </c>
      <c r="DZ8" s="185">
        <f>DY8-CFLO!DZ36-CFLO!DZ37</f>
        <v>5883</v>
      </c>
      <c r="EA8" s="185">
        <f>DZ8-CFLO!EA36-CFLO!EA37</f>
        <v>5883</v>
      </c>
      <c r="EB8" s="185">
        <f>EA8-CFLO!EB36-CFLO!EB37</f>
        <v>5883</v>
      </c>
    </row>
    <row r="9" spans="1:132">
      <c r="B9" s="159" t="s">
        <v>136</v>
      </c>
      <c r="C9" s="67">
        <f>Data!C49</f>
        <v>3121</v>
      </c>
      <c r="D9" s="67">
        <f>Data!D49</f>
        <v>3288</v>
      </c>
      <c r="E9" s="67">
        <f>Data!E49</f>
        <v>3453</v>
      </c>
      <c r="F9" s="67">
        <f>Data!F49</f>
        <v>4928</v>
      </c>
      <c r="G9" s="67">
        <f>Data!G49</f>
        <v>5156</v>
      </c>
      <c r="H9" s="67">
        <f>Data!H49</f>
        <v>5007</v>
      </c>
      <c r="I9" s="67">
        <f>Data!I49</f>
        <v>4515</v>
      </c>
      <c r="J9" s="68">
        <f>Data!J49</f>
        <v>4844</v>
      </c>
      <c r="K9" s="68">
        <f>Data!K49</f>
        <v>4598</v>
      </c>
      <c r="L9" s="68">
        <f>Data!L49</f>
        <v>5204</v>
      </c>
      <c r="M9" s="68">
        <f>Data!M49</f>
        <v>4653</v>
      </c>
      <c r="N9" s="67">
        <f t="shared" si="2"/>
        <v>4653</v>
      </c>
      <c r="O9" s="68">
        <f>Data!O49</f>
        <v>5316</v>
      </c>
      <c r="P9" s="68">
        <f>Data!P49</f>
        <v>5066</v>
      </c>
      <c r="Q9" s="68">
        <f>Data!Q49</f>
        <v>4997</v>
      </c>
      <c r="R9" s="68">
        <f>Data!R49</f>
        <v>5246</v>
      </c>
      <c r="S9" s="67">
        <f t="shared" si="3"/>
        <v>5246</v>
      </c>
      <c r="T9" s="68">
        <f>Data!T49</f>
        <v>5019</v>
      </c>
      <c r="U9" s="68">
        <f>Data!U49</f>
        <v>4577</v>
      </c>
      <c r="V9" s="68">
        <f>Data!V49</f>
        <v>5256</v>
      </c>
      <c r="W9" s="68">
        <f>Data!W49</f>
        <v>5285</v>
      </c>
      <c r="X9" s="67">
        <f t="shared" si="4"/>
        <v>5285</v>
      </c>
      <c r="Y9" s="68">
        <f>Data!Y49</f>
        <v>5505</v>
      </c>
      <c r="Z9" s="68">
        <f>Data!Z49</f>
        <v>6038</v>
      </c>
      <c r="AA9" s="68">
        <f>Data!AA49</f>
        <v>5634</v>
      </c>
      <c r="AB9" s="68">
        <f>Data!AB49</f>
        <v>5740</v>
      </c>
      <c r="AC9" s="67">
        <f t="shared" si="5"/>
        <v>5740</v>
      </c>
      <c r="AD9" s="68">
        <f>Data!AD49</f>
        <v>5784</v>
      </c>
      <c r="AE9" s="68">
        <f>Data!AE49</f>
        <v>5809</v>
      </c>
      <c r="AF9" s="68">
        <f>Data!AF49</f>
        <v>5814</v>
      </c>
      <c r="AG9" s="68">
        <f>Data!AG49</f>
        <v>5602</v>
      </c>
      <c r="AH9" s="67">
        <f t="shared" si="6"/>
        <v>5602</v>
      </c>
      <c r="AI9" s="68">
        <f>Data!AI49</f>
        <v>6238</v>
      </c>
      <c r="AJ9" s="68">
        <f>Data!AJ49</f>
        <v>6588</v>
      </c>
      <c r="AK9" s="68">
        <f>Data!AK49</f>
        <v>6718</v>
      </c>
      <c r="AL9" s="68">
        <f>Data!AL49</f>
        <v>5785</v>
      </c>
      <c r="AM9" s="67">
        <f t="shared" si="0"/>
        <v>5785</v>
      </c>
      <c r="AN9" s="68">
        <f>Data!AN49</f>
        <v>6359</v>
      </c>
      <c r="AO9" s="68">
        <f>Data!AO49</f>
        <v>6565</v>
      </c>
      <c r="AP9" s="68">
        <f>Data!AP49</f>
        <v>6445</v>
      </c>
      <c r="AQ9" s="68">
        <f>Data!AQ49</f>
        <v>5422</v>
      </c>
      <c r="AR9" s="67">
        <f t="shared" si="1"/>
        <v>5422</v>
      </c>
      <c r="AS9" s="68">
        <f>Data!AS49</f>
        <v>6036</v>
      </c>
      <c r="AT9" s="68">
        <f>Data!AT49</f>
        <v>6162</v>
      </c>
      <c r="AU9" s="121">
        <f>Data!AU49</f>
        <v>6296</v>
      </c>
      <c r="AV9" s="121">
        <f>Data!AV49</f>
        <v>5793</v>
      </c>
      <c r="AW9" s="67">
        <f t="shared" si="7"/>
        <v>5793</v>
      </c>
      <c r="AX9" s="121">
        <f>Data!AX49</f>
        <v>6475</v>
      </c>
      <c r="AY9" s="121">
        <f>Data!AY49</f>
        <v>5894</v>
      </c>
      <c r="AZ9" s="121">
        <f>Data!AZ49</f>
        <v>5437</v>
      </c>
      <c r="BA9" s="121">
        <f>Data!BA49</f>
        <v>5608</v>
      </c>
      <c r="BB9" s="67">
        <f t="shared" si="8"/>
        <v>5608</v>
      </c>
      <c r="BC9" s="121">
        <f>Data!BC49</f>
        <v>6351</v>
      </c>
      <c r="BD9" s="121">
        <f>Data!BD49</f>
        <v>6406</v>
      </c>
      <c r="BE9" s="121">
        <f>Data!BE49</f>
        <v>6652</v>
      </c>
      <c r="BF9" s="121">
        <f>Data!BF49</f>
        <v>6546</v>
      </c>
      <c r="BG9" s="67">
        <f t="shared" si="9"/>
        <v>6546</v>
      </c>
      <c r="BH9" s="121">
        <f>Data!BH49</f>
        <v>7341</v>
      </c>
      <c r="BI9" s="121">
        <f>Data!BI49</f>
        <v>7694</v>
      </c>
      <c r="BJ9" s="121">
        <f>Data!BJ49</f>
        <v>7799</v>
      </c>
      <c r="BK9" s="121">
        <f>Data!BK49</f>
        <v>7729</v>
      </c>
      <c r="BL9" s="67">
        <f t="shared" si="10"/>
        <v>7729</v>
      </c>
      <c r="BM9" s="121">
        <f>Data!BM49</f>
        <v>8087</v>
      </c>
      <c r="BN9" s="121">
        <f>Data!BN49</f>
        <v>7927</v>
      </c>
      <c r="BO9" s="121">
        <f>Data!BO49</f>
        <v>8854</v>
      </c>
      <c r="BP9" s="121">
        <f>Data!BP49</f>
        <v>8713</v>
      </c>
      <c r="BQ9" s="67">
        <f t="shared" si="11"/>
        <v>8713</v>
      </c>
      <c r="BR9" s="121">
        <f>Data!BR49</f>
        <v>9711</v>
      </c>
      <c r="BS9" s="121">
        <f>Data!BS49</f>
        <v>9809</v>
      </c>
      <c r="BT9" s="121">
        <f>Data!BT49</f>
        <v>9524</v>
      </c>
      <c r="BU9" s="121">
        <f>Data!BU49</f>
        <v>8832</v>
      </c>
      <c r="BV9" s="67">
        <f t="shared" si="12"/>
        <v>8832</v>
      </c>
      <c r="BW9" s="121">
        <f>Data!BW49</f>
        <v>9335</v>
      </c>
      <c r="BX9" s="121">
        <f>Data!BX49</f>
        <v>9503</v>
      </c>
      <c r="BY9" s="121">
        <f>Data!BY49</f>
        <v>10644</v>
      </c>
      <c r="BZ9" s="121">
        <f>Data!BZ49</f>
        <v>10516</v>
      </c>
      <c r="CA9" s="67">
        <f t="shared" ref="CA9:CA14" si="13">BZ9</f>
        <v>10516</v>
      </c>
      <c r="CB9" s="121">
        <f>Data!CB49</f>
        <v>2802</v>
      </c>
      <c r="CC9" s="121">
        <f>Data!CC49</f>
        <v>2823</v>
      </c>
      <c r="CD9" s="121">
        <f>Data!CD49</f>
        <v>2893</v>
      </c>
      <c r="CE9" s="121">
        <f>Data!CE49</f>
        <v>3879</v>
      </c>
      <c r="CF9" s="67">
        <f t="shared" ref="CF9:CF14" si="14">CE9</f>
        <v>3879</v>
      </c>
      <c r="CG9" s="121">
        <f>Data!CG49</f>
        <v>3669</v>
      </c>
      <c r="CH9" s="121">
        <f>Data!CH49</f>
        <v>3291</v>
      </c>
      <c r="CI9" s="121">
        <f>Data!CI49</f>
        <v>3564</v>
      </c>
      <c r="CJ9" s="121">
        <f>Data!CJ49</f>
        <v>3266</v>
      </c>
      <c r="CK9" s="67">
        <f t="shared" ref="CK9:CK14" si="15">CJ9</f>
        <v>3266</v>
      </c>
      <c r="CL9" s="121">
        <f>Data!CL49</f>
        <v>3211</v>
      </c>
      <c r="CM9" s="121">
        <f>Data!CM49</f>
        <v>2793</v>
      </c>
      <c r="CN9" s="121">
        <f>Data!CN49</f>
        <v>2762</v>
      </c>
      <c r="CO9" s="121">
        <f>Data!CO49</f>
        <v>1955</v>
      </c>
      <c r="CP9" s="120">
        <f t="shared" ref="CP9:CP14" si="16">CO9</f>
        <v>1955</v>
      </c>
      <c r="CQ9" s="121">
        <f>Data!CQ49</f>
        <v>2356</v>
      </c>
      <c r="CR9" s="121">
        <f>Data!CR49</f>
        <v>2490</v>
      </c>
      <c r="CS9" s="121">
        <f>Data!CS49</f>
        <v>2247</v>
      </c>
      <c r="CT9" s="121">
        <f>Data!CT49</f>
        <v>2641</v>
      </c>
      <c r="CU9" s="120">
        <f t="shared" ref="CU9:CU14" si="17">CT9</f>
        <v>2641</v>
      </c>
      <c r="CV9" s="121">
        <f>Data!CV49</f>
        <v>2407</v>
      </c>
      <c r="CW9" s="121">
        <f>Data!CW49</f>
        <v>2996</v>
      </c>
      <c r="CX9" s="121">
        <f>Data!CX49</f>
        <v>2673</v>
      </c>
      <c r="CY9" s="121">
        <f>Data!CY49</f>
        <v>2517</v>
      </c>
      <c r="CZ9" s="120">
        <f t="shared" ref="CZ9:CZ14" si="18">CY9</f>
        <v>2517</v>
      </c>
      <c r="DA9" s="121">
        <f>Data!DA49</f>
        <v>2862</v>
      </c>
      <c r="DB9" s="121">
        <f>Data!DB49</f>
        <v>2945</v>
      </c>
      <c r="DC9" s="121">
        <f>Data!DC49</f>
        <v>3032</v>
      </c>
      <c r="DD9" s="121">
        <f>Data!DD49</f>
        <v>2649</v>
      </c>
      <c r="DE9" s="120">
        <f t="shared" ref="DE9:DE14" si="19">DD9</f>
        <v>2649</v>
      </c>
      <c r="DF9" s="121">
        <f>Data!DF49</f>
        <v>2959</v>
      </c>
      <c r="DG9" s="121">
        <f>Data!DG49</f>
        <v>3155</v>
      </c>
      <c r="DH9" s="121">
        <f>Data!DH49</f>
        <v>2894</v>
      </c>
      <c r="DI9" s="121">
        <f>Data!DI49</f>
        <v>2631</v>
      </c>
      <c r="DJ9" s="120">
        <f t="shared" ref="DJ9:DJ14" si="20">DI9</f>
        <v>2631</v>
      </c>
      <c r="DK9" s="121">
        <f>Data!DK49</f>
        <v>3204</v>
      </c>
      <c r="DL9" s="121">
        <f>Data!DL49</f>
        <v>3190</v>
      </c>
      <c r="DM9" s="121">
        <f>Data!DM49</f>
        <v>3314</v>
      </c>
      <c r="DN9" s="121">
        <f>Data!DN49</f>
        <v>2921</v>
      </c>
      <c r="DO9" s="120">
        <f t="shared" ref="DO9:DO14" si="21">DN9</f>
        <v>2921</v>
      </c>
      <c r="DP9" s="121">
        <f>Data!DP49</f>
        <v>3485</v>
      </c>
      <c r="DQ9" s="121">
        <f>Data!DQ49</f>
        <v>3515</v>
      </c>
      <c r="DR9" s="184">
        <f>DR76/90*IS!DR8</f>
        <v>2363.2709010586823</v>
      </c>
      <c r="DS9" s="184">
        <f>DS76/90*IS!DS8</f>
        <v>2537.9329366072616</v>
      </c>
      <c r="DT9" s="120">
        <f t="shared" ref="DT9:DT14" si="22">DS9</f>
        <v>2537.9329366072616</v>
      </c>
      <c r="DU9" s="184">
        <f>DU76/90*IS!DU8</f>
        <v>2501.102885470827</v>
      </c>
      <c r="DV9" s="184">
        <f>DV76/90*IS!DV8</f>
        <v>2691.0715365299679</v>
      </c>
      <c r="DW9" s="184">
        <f>DW76/90*IS!DW8</f>
        <v>2842.1883707228149</v>
      </c>
      <c r="DX9" s="184">
        <f>DX76/90*IS!DX8</f>
        <v>3087.0066971094393</v>
      </c>
      <c r="DY9" s="120">
        <f t="shared" ref="DY9:DY14" si="23">DX9</f>
        <v>3087.0066971094393</v>
      </c>
      <c r="DZ9" s="185">
        <f>DZ76/365*IS!DZ8</f>
        <v>3020.4265628266894</v>
      </c>
      <c r="EA9" s="185">
        <f>EA76/365*IS!EA8</f>
        <v>3330.8618324906915</v>
      </c>
      <c r="EB9" s="185">
        <f>EB76/365*IS!EB8</f>
        <v>3531.8023286263528</v>
      </c>
    </row>
    <row r="10" spans="1:132">
      <c r="B10" s="804" t="s">
        <v>593</v>
      </c>
      <c r="C10" s="67"/>
      <c r="D10" s="67"/>
      <c r="E10" s="67"/>
      <c r="F10" s="67"/>
      <c r="G10" s="67"/>
      <c r="H10" s="67"/>
      <c r="I10" s="67"/>
      <c r="N10" s="67"/>
      <c r="S10" s="67"/>
      <c r="X10" s="67"/>
      <c r="AC10" s="67"/>
      <c r="AH10" s="67"/>
      <c r="AM10" s="67"/>
      <c r="AR10" s="67"/>
      <c r="AU10" s="121"/>
      <c r="AV10" s="121"/>
      <c r="AW10" s="67"/>
      <c r="AX10" s="121"/>
      <c r="AY10" s="121"/>
      <c r="AZ10" s="121"/>
      <c r="BA10" s="121"/>
      <c r="BB10" s="67"/>
      <c r="BC10" s="121"/>
      <c r="BD10" s="121"/>
      <c r="BE10" s="121"/>
      <c r="BF10" s="121"/>
      <c r="BG10" s="67"/>
      <c r="BH10" s="121"/>
      <c r="BI10" s="121"/>
      <c r="BJ10" s="121"/>
      <c r="BK10" s="121"/>
      <c r="BL10" s="67"/>
      <c r="BM10" s="121"/>
      <c r="BN10" s="121"/>
      <c r="BO10" s="121"/>
      <c r="BP10" s="121"/>
      <c r="BQ10" s="67"/>
      <c r="BR10" s="121"/>
      <c r="BS10" s="121"/>
      <c r="BT10" s="121"/>
      <c r="BU10" s="121"/>
      <c r="BV10" s="67"/>
      <c r="BW10" s="121"/>
      <c r="BX10" s="121"/>
      <c r="BY10" s="121"/>
      <c r="BZ10" s="121"/>
      <c r="CA10" s="67"/>
      <c r="CB10" s="121">
        <f>Data!CB50</f>
        <v>9822</v>
      </c>
      <c r="CC10" s="121">
        <f>Data!CC50</f>
        <v>9868</v>
      </c>
      <c r="CD10" s="121">
        <f>Data!CD50</f>
        <v>9936</v>
      </c>
      <c r="CE10" s="121">
        <f>Data!CE50</f>
        <v>10025</v>
      </c>
      <c r="CF10" s="67">
        <f t="shared" ref="CF10" si="24">CE10</f>
        <v>10025</v>
      </c>
      <c r="CG10" s="121">
        <f>Data!CG50</f>
        <v>10208</v>
      </c>
      <c r="CH10" s="121">
        <f>Data!CH50</f>
        <v>10247</v>
      </c>
      <c r="CI10" s="121">
        <f>Data!CI50</f>
        <v>11078</v>
      </c>
      <c r="CJ10" s="121">
        <f>Data!CJ50</f>
        <v>9043</v>
      </c>
      <c r="CK10" s="67">
        <f t="shared" si="15"/>
        <v>9043</v>
      </c>
      <c r="CL10" s="121">
        <f>Data!CL50</f>
        <v>9365</v>
      </c>
      <c r="CM10" s="121">
        <f>Data!CM50</f>
        <v>8570</v>
      </c>
      <c r="CN10" s="121">
        <f>Data!CN50</f>
        <v>8860</v>
      </c>
      <c r="CO10" s="121">
        <f>Data!CO50</f>
        <v>7995</v>
      </c>
      <c r="CP10" s="120">
        <f t="shared" si="16"/>
        <v>7995</v>
      </c>
      <c r="CQ10" s="121">
        <f>Data!CQ50</f>
        <v>8785</v>
      </c>
      <c r="CR10" s="121">
        <f>Data!CR50</f>
        <v>9203</v>
      </c>
      <c r="CS10" s="121">
        <f>Data!CS50</f>
        <v>10009</v>
      </c>
      <c r="CT10" s="121">
        <f>Data!CT50</f>
        <v>8620</v>
      </c>
      <c r="CU10" s="120">
        <f t="shared" si="17"/>
        <v>8620</v>
      </c>
      <c r="CV10" s="121">
        <f>Data!CV50</f>
        <v>8991</v>
      </c>
      <c r="CW10" s="121">
        <f>Data!CW50</f>
        <v>9394</v>
      </c>
      <c r="CX10" s="121">
        <f>Data!CX50</f>
        <v>9316</v>
      </c>
      <c r="CY10" s="121">
        <f>Data!CY50</f>
        <v>8634</v>
      </c>
      <c r="CZ10" s="120">
        <f t="shared" si="18"/>
        <v>8634</v>
      </c>
      <c r="DA10" s="121">
        <f>Data!DA50</f>
        <v>9689</v>
      </c>
      <c r="DB10" s="121">
        <f>Data!DB50</f>
        <v>9357</v>
      </c>
      <c r="DC10" s="121">
        <f>Data!DC50</f>
        <v>9184</v>
      </c>
      <c r="DD10" s="121">
        <f>Data!DD50</f>
        <v>8317</v>
      </c>
      <c r="DE10" s="120">
        <f t="shared" si="19"/>
        <v>8317</v>
      </c>
      <c r="DF10" s="121">
        <f>Data!DF50</f>
        <v>9673</v>
      </c>
      <c r="DG10" s="121">
        <f>Data!DG50</f>
        <v>9660</v>
      </c>
      <c r="DH10" s="121">
        <f>Data!DH50</f>
        <v>9356</v>
      </c>
      <c r="DI10" s="121">
        <f>Data!DI50</f>
        <v>8363</v>
      </c>
      <c r="DJ10" s="120">
        <f t="shared" si="20"/>
        <v>8363</v>
      </c>
      <c r="DK10" s="121">
        <f>Data!DK50</f>
        <v>9031</v>
      </c>
      <c r="DL10" s="121">
        <f>Data!DL50</f>
        <v>9261</v>
      </c>
      <c r="DM10" s="121">
        <f>Data!DM50</f>
        <v>9032</v>
      </c>
      <c r="DN10" s="121">
        <f>Data!DN50</f>
        <v>9158</v>
      </c>
      <c r="DO10" s="120">
        <f t="shared" si="21"/>
        <v>9158</v>
      </c>
      <c r="DP10" s="121">
        <f>Data!DP50</f>
        <v>9793</v>
      </c>
      <c r="DQ10" s="121">
        <f>Data!DQ50</f>
        <v>9660</v>
      </c>
      <c r="DR10" s="179">
        <f t="shared" ref="DR10:DR12" si="25">DQ10</f>
        <v>9660</v>
      </c>
      <c r="DS10" s="179">
        <f t="shared" ref="DS10:DS12" si="26">DR10</f>
        <v>9660</v>
      </c>
      <c r="DT10" s="120">
        <f t="shared" si="22"/>
        <v>9660</v>
      </c>
      <c r="DU10" s="179">
        <f t="shared" ref="DU10:DU12" si="27">DT10</f>
        <v>9660</v>
      </c>
      <c r="DV10" s="179">
        <f t="shared" ref="DV10:DV12" si="28">DU10</f>
        <v>9660</v>
      </c>
      <c r="DW10" s="179">
        <f t="shared" ref="DW10:DW12" si="29">DV10</f>
        <v>9660</v>
      </c>
      <c r="DX10" s="179">
        <f t="shared" ref="DX10:DX12" si="30">DW10</f>
        <v>9660</v>
      </c>
      <c r="DY10" s="120">
        <f t="shared" si="23"/>
        <v>9660</v>
      </c>
      <c r="DZ10" s="180">
        <f t="shared" ref="DZ10:DZ12" si="31">DY10</f>
        <v>9660</v>
      </c>
      <c r="EA10" s="180">
        <f t="shared" ref="EA10:EA12" si="32">DZ10</f>
        <v>9660</v>
      </c>
      <c r="EB10" s="180">
        <f t="shared" ref="EB10:EB12" si="33">EA10</f>
        <v>9660</v>
      </c>
    </row>
    <row r="11" spans="1:132">
      <c r="B11" s="159" t="s">
        <v>51</v>
      </c>
      <c r="C11" s="67">
        <f>Data!C51</f>
        <v>261</v>
      </c>
      <c r="D11" s="67">
        <f>Data!D51</f>
        <v>781</v>
      </c>
      <c r="E11" s="67">
        <f>Data!E51</f>
        <v>799</v>
      </c>
      <c r="F11" s="67">
        <f>Data!F51</f>
        <v>995</v>
      </c>
      <c r="G11" s="67">
        <f>Data!G51</f>
        <v>1053</v>
      </c>
      <c r="H11" s="67">
        <f>Data!H51</f>
        <v>1289</v>
      </c>
      <c r="I11" s="67">
        <f>Data!I51</f>
        <v>857</v>
      </c>
      <c r="J11" s="68">
        <f>Data!J51</f>
        <v>847</v>
      </c>
      <c r="K11" s="68">
        <f>Data!K51</f>
        <v>732</v>
      </c>
      <c r="L11" s="68">
        <f>Data!L51</f>
        <v>688</v>
      </c>
      <c r="M11" s="68">
        <f>Data!M51</f>
        <v>616</v>
      </c>
      <c r="N11" s="67">
        <f t="shared" si="2"/>
        <v>616</v>
      </c>
      <c r="O11" s="68">
        <f>Data!O51</f>
        <v>496</v>
      </c>
      <c r="P11" s="68">
        <f>Data!P51</f>
        <v>464</v>
      </c>
      <c r="Q11" s="68">
        <f>Data!Q51</f>
        <v>454</v>
      </c>
      <c r="R11" s="68">
        <f>Data!R51</f>
        <v>367</v>
      </c>
      <c r="S11" s="67">
        <f t="shared" si="3"/>
        <v>367</v>
      </c>
      <c r="T11" s="68">
        <f>Data!T51</f>
        <v>354</v>
      </c>
      <c r="U11" s="68">
        <f>Data!U51</f>
        <v>353</v>
      </c>
      <c r="V11" s="68">
        <f>Data!V51</f>
        <v>364</v>
      </c>
      <c r="W11" s="68">
        <f>Data!W51</f>
        <v>370</v>
      </c>
      <c r="X11" s="67">
        <f t="shared" si="4"/>
        <v>370</v>
      </c>
      <c r="Y11" s="68">
        <f>Data!Y51</f>
        <v>460</v>
      </c>
      <c r="Z11" s="68">
        <f>Data!Z51</f>
        <v>450</v>
      </c>
      <c r="AA11" s="68">
        <f>Data!AA51</f>
        <v>396</v>
      </c>
      <c r="AB11" s="68">
        <f>Data!AB51</f>
        <v>328</v>
      </c>
      <c r="AC11" s="67">
        <f t="shared" si="5"/>
        <v>328</v>
      </c>
      <c r="AD11" s="68">
        <f>Data!AD51</f>
        <v>226</v>
      </c>
      <c r="AE11" s="68">
        <f>Data!AE51</f>
        <v>198</v>
      </c>
      <c r="AF11" s="68">
        <f>Data!AF51</f>
        <v>193</v>
      </c>
      <c r="AG11" s="68">
        <f>Data!AG51</f>
        <v>425</v>
      </c>
      <c r="AH11" s="67">
        <f t="shared" si="6"/>
        <v>425</v>
      </c>
      <c r="AI11" s="68">
        <f>Data!AI51</f>
        <v>353</v>
      </c>
      <c r="AJ11" s="68">
        <f>Data!AJ51</f>
        <v>463</v>
      </c>
      <c r="AK11" s="68">
        <f>Data!AK51</f>
        <v>341</v>
      </c>
      <c r="AL11" s="68">
        <f>Data!AL51</f>
        <v>368</v>
      </c>
      <c r="AM11" s="67">
        <f t="shared" si="0"/>
        <v>368</v>
      </c>
      <c r="AN11" s="68">
        <f>Data!AN51</f>
        <v>274</v>
      </c>
      <c r="AO11" s="68">
        <f>Data!AO51</f>
        <v>316</v>
      </c>
      <c r="AP11" s="68">
        <f>Data!AP51</f>
        <v>285</v>
      </c>
      <c r="AQ11" s="68">
        <f>Data!AQ51</f>
        <v>285</v>
      </c>
      <c r="AR11" s="67">
        <f t="shared" si="1"/>
        <v>285</v>
      </c>
      <c r="AS11" s="68">
        <f>Data!AS51</f>
        <v>252</v>
      </c>
      <c r="AT11" s="68">
        <f>Data!AT51</f>
        <v>260</v>
      </c>
      <c r="AU11" s="121">
        <f>Data!AU51</f>
        <v>294</v>
      </c>
      <c r="AV11" s="121">
        <f>Data!AV51</f>
        <v>476</v>
      </c>
      <c r="AW11" s="67">
        <f t="shared" si="7"/>
        <v>476</v>
      </c>
      <c r="AX11" s="121">
        <f>Data!AX51</f>
        <v>372</v>
      </c>
      <c r="AY11" s="121">
        <f>Data!AY51</f>
        <v>344</v>
      </c>
      <c r="AZ11" s="121">
        <f>Data!AZ51</f>
        <v>318</v>
      </c>
      <c r="BA11" s="121">
        <f>Data!BA51</f>
        <v>364</v>
      </c>
      <c r="BB11" s="67">
        <f t="shared" si="8"/>
        <v>364</v>
      </c>
      <c r="BC11" s="121">
        <f>Data!BC51</f>
        <v>460</v>
      </c>
      <c r="BD11" s="121">
        <f>Data!BD51</f>
        <v>320</v>
      </c>
      <c r="BE11" s="121">
        <f>Data!BE51</f>
        <v>316</v>
      </c>
      <c r="BF11" s="121">
        <f>Data!BF51</f>
        <v>344</v>
      </c>
      <c r="BG11" s="67">
        <f>BF11</f>
        <v>344</v>
      </c>
      <c r="BH11" s="121">
        <f>Data!BH51</f>
        <v>256</v>
      </c>
      <c r="BI11" s="121">
        <f>Data!BI51</f>
        <v>237</v>
      </c>
      <c r="BJ11" s="121">
        <f>Data!BJ51</f>
        <v>257</v>
      </c>
      <c r="BK11" s="121">
        <f>Data!BK51</f>
        <v>190</v>
      </c>
      <c r="BL11" s="67">
        <f t="shared" si="10"/>
        <v>190</v>
      </c>
      <c r="BM11" s="121">
        <f>Data!BM51</f>
        <v>184</v>
      </c>
      <c r="BN11" s="121">
        <f>Data!BN51</f>
        <v>209</v>
      </c>
      <c r="BO11" s="121">
        <f>Data!BO51</f>
        <v>227</v>
      </c>
      <c r="BP11" s="121">
        <f>Data!BP51</f>
        <v>212</v>
      </c>
      <c r="BQ11" s="67">
        <f t="shared" si="11"/>
        <v>212</v>
      </c>
      <c r="BR11" s="121">
        <f>Data!BR51</f>
        <v>258</v>
      </c>
      <c r="BS11" s="121">
        <f>Data!BS51</f>
        <v>251</v>
      </c>
      <c r="BT11" s="121">
        <f>Data!BT51</f>
        <v>365</v>
      </c>
      <c r="BU11" s="121">
        <f>Data!BU51</f>
        <v>428</v>
      </c>
      <c r="BV11" s="67">
        <f t="shared" si="12"/>
        <v>428</v>
      </c>
      <c r="BW11" s="121">
        <f>Data!BW51</f>
        <v>580</v>
      </c>
      <c r="BX11" s="121">
        <f>Data!BX51</f>
        <v>549</v>
      </c>
      <c r="BY11" s="121">
        <f>Data!BY51</f>
        <v>435</v>
      </c>
      <c r="BZ11" s="121">
        <f>Data!BZ51</f>
        <v>309</v>
      </c>
      <c r="CA11" s="67">
        <f t="shared" si="13"/>
        <v>309</v>
      </c>
      <c r="CB11" s="121">
        <f>Data!CB51</f>
        <v>244</v>
      </c>
      <c r="CC11" s="121">
        <f>Data!CC51</f>
        <v>294</v>
      </c>
      <c r="CD11" s="121">
        <f>Data!CD51</f>
        <v>431</v>
      </c>
      <c r="CE11" s="121">
        <f>Data!CE51</f>
        <v>460</v>
      </c>
      <c r="CF11" s="67">
        <f t="shared" si="14"/>
        <v>460</v>
      </c>
      <c r="CG11" s="121">
        <f>Data!CG51</f>
        <v>340</v>
      </c>
      <c r="CH11" s="121">
        <f>Data!CH51</f>
        <v>171</v>
      </c>
      <c r="CI11" s="121">
        <f>Data!CI51</f>
        <v>166</v>
      </c>
      <c r="CJ11" s="121">
        <f>Data!CJ51</f>
        <v>162</v>
      </c>
      <c r="CK11" s="67">
        <f t="shared" si="15"/>
        <v>162</v>
      </c>
      <c r="CL11" s="121">
        <f>Data!CL51</f>
        <v>149</v>
      </c>
      <c r="CM11" s="121">
        <f>Data!CM51</f>
        <v>115</v>
      </c>
      <c r="CN11" s="121">
        <f>Data!CN51</f>
        <v>100</v>
      </c>
      <c r="CO11" s="121">
        <f>Data!CO51</f>
        <v>101</v>
      </c>
      <c r="CP11" s="120">
        <f t="shared" si="16"/>
        <v>101</v>
      </c>
      <c r="CQ11" s="121">
        <f>Data!CQ51</f>
        <v>93</v>
      </c>
      <c r="CR11" s="121">
        <f>Data!CR51</f>
        <v>74</v>
      </c>
      <c r="CS11" s="121">
        <f>Data!CS51</f>
        <v>76</v>
      </c>
      <c r="CT11" s="121">
        <f>Data!CT51</f>
        <v>117</v>
      </c>
      <c r="CU11" s="120">
        <f t="shared" si="17"/>
        <v>117</v>
      </c>
      <c r="CV11" s="121">
        <f>Data!CV51</f>
        <v>157</v>
      </c>
      <c r="CW11" s="121">
        <f>Data!CW51</f>
        <v>159</v>
      </c>
      <c r="CX11" s="121">
        <f>Data!CX51</f>
        <v>155</v>
      </c>
      <c r="CY11" s="121">
        <f>Data!CY51</f>
        <v>154</v>
      </c>
      <c r="CZ11" s="120">
        <f t="shared" si="18"/>
        <v>154</v>
      </c>
      <c r="DA11" s="121">
        <f>Data!DA51</f>
        <v>133</v>
      </c>
      <c r="DB11" s="121">
        <f>Data!DB51</f>
        <v>85</v>
      </c>
      <c r="DC11" s="121">
        <f>Data!DC51</f>
        <v>88</v>
      </c>
      <c r="DD11" s="121">
        <f>Data!DD51</f>
        <v>99</v>
      </c>
      <c r="DE11" s="120">
        <f t="shared" si="19"/>
        <v>99</v>
      </c>
      <c r="DF11" s="121">
        <f>Data!DF51</f>
        <v>57</v>
      </c>
      <c r="DG11" s="121">
        <f>Data!DG51</f>
        <v>60</v>
      </c>
      <c r="DH11" s="121">
        <f>Data!DH51</f>
        <v>457</v>
      </c>
      <c r="DI11" s="121">
        <f>Data!DI51</f>
        <v>207</v>
      </c>
      <c r="DJ11" s="120">
        <f t="shared" si="20"/>
        <v>207</v>
      </c>
      <c r="DK11" s="121">
        <f>Data!DK51</f>
        <v>202</v>
      </c>
      <c r="DL11" s="121">
        <f>Data!DL51</f>
        <v>16</v>
      </c>
      <c r="DM11" s="121">
        <f>Data!DM51</f>
        <v>0</v>
      </c>
      <c r="DN11" s="121">
        <f>Data!DN51</f>
        <v>0</v>
      </c>
      <c r="DO11" s="120">
        <f t="shared" si="21"/>
        <v>0</v>
      </c>
      <c r="DP11" s="121">
        <f>Data!DP51</f>
        <v>0</v>
      </c>
      <c r="DQ11" s="121">
        <f>Data!DQ51</f>
        <v>0</v>
      </c>
      <c r="DR11" s="179">
        <f t="shared" si="25"/>
        <v>0</v>
      </c>
      <c r="DS11" s="179">
        <f t="shared" si="26"/>
        <v>0</v>
      </c>
      <c r="DT11" s="120">
        <f t="shared" si="22"/>
        <v>0</v>
      </c>
      <c r="DU11" s="179">
        <f t="shared" si="27"/>
        <v>0</v>
      </c>
      <c r="DV11" s="179">
        <f t="shared" si="28"/>
        <v>0</v>
      </c>
      <c r="DW11" s="179">
        <f t="shared" si="29"/>
        <v>0</v>
      </c>
      <c r="DX11" s="179">
        <f t="shared" si="30"/>
        <v>0</v>
      </c>
      <c r="DY11" s="120">
        <f t="shared" si="23"/>
        <v>0</v>
      </c>
      <c r="DZ11" s="180">
        <f t="shared" si="31"/>
        <v>0</v>
      </c>
      <c r="EA11" s="180">
        <f t="shared" si="32"/>
        <v>0</v>
      </c>
      <c r="EB11" s="180">
        <f t="shared" si="33"/>
        <v>0</v>
      </c>
    </row>
    <row r="12" spans="1:132">
      <c r="B12" s="159" t="s">
        <v>52</v>
      </c>
      <c r="C12" s="67">
        <f>Data!C52</f>
        <v>1765</v>
      </c>
      <c r="D12" s="67">
        <f>Data!D52</f>
        <v>1495</v>
      </c>
      <c r="E12" s="67">
        <f>Data!E52</f>
        <v>1467</v>
      </c>
      <c r="F12" s="67">
        <f>Data!F52</f>
        <v>2137</v>
      </c>
      <c r="G12" s="67">
        <f>Data!G52</f>
        <v>2444</v>
      </c>
      <c r="H12" s="67">
        <f>Data!H52</f>
        <v>2042</v>
      </c>
      <c r="I12" s="67">
        <f>Data!I52</f>
        <v>1716</v>
      </c>
      <c r="J12" s="68">
        <f>Data!J52</f>
        <v>1716</v>
      </c>
      <c r="K12" s="68">
        <f>Data!K52</f>
        <v>1729</v>
      </c>
      <c r="L12" s="68">
        <f>Data!L52</f>
        <v>1670</v>
      </c>
      <c r="M12" s="68">
        <f>Data!M52</f>
        <v>1991</v>
      </c>
      <c r="N12" s="67">
        <f t="shared" si="2"/>
        <v>1991</v>
      </c>
      <c r="O12" s="68">
        <f>Data!O52</f>
        <v>1988</v>
      </c>
      <c r="P12" s="68">
        <f>Data!P52</f>
        <v>2037</v>
      </c>
      <c r="Q12" s="68">
        <f>Data!Q52</f>
        <v>1757</v>
      </c>
      <c r="R12" s="68">
        <f>Data!R52</f>
        <v>2449</v>
      </c>
      <c r="S12" s="67">
        <f t="shared" si="3"/>
        <v>2449</v>
      </c>
      <c r="T12" s="68">
        <f>Data!T52</f>
        <v>2406</v>
      </c>
      <c r="U12" s="68">
        <f>Data!U52</f>
        <v>2545</v>
      </c>
      <c r="V12" s="68">
        <f>Data!V52</f>
        <v>2962</v>
      </c>
      <c r="W12" s="68">
        <f>Data!W52</f>
        <v>2837</v>
      </c>
      <c r="X12" s="67">
        <f t="shared" si="4"/>
        <v>2837</v>
      </c>
      <c r="Y12" s="68">
        <f>Data!Y52</f>
        <v>2868</v>
      </c>
      <c r="Z12" s="68">
        <f>Data!Z52</f>
        <v>2924</v>
      </c>
      <c r="AA12" s="68">
        <f>Data!AA52</f>
        <v>2940</v>
      </c>
      <c r="AB12" s="68">
        <f>Data!AB52</f>
        <v>2341</v>
      </c>
      <c r="AC12" s="67">
        <f t="shared" si="5"/>
        <v>2341</v>
      </c>
      <c r="AD12" s="68">
        <f>Data!AD52</f>
        <v>2447</v>
      </c>
      <c r="AE12" s="68">
        <f>Data!AE52</f>
        <v>2414</v>
      </c>
      <c r="AF12" s="68">
        <f>Data!AF52</f>
        <v>2408</v>
      </c>
      <c r="AG12" s="68">
        <f>Data!AG52</f>
        <v>1046</v>
      </c>
      <c r="AH12" s="67">
        <f t="shared" si="6"/>
        <v>1046</v>
      </c>
      <c r="AI12" s="68">
        <f>Data!AI52</f>
        <v>1114</v>
      </c>
      <c r="AJ12" s="68">
        <f>Data!AJ52</f>
        <v>1099</v>
      </c>
      <c r="AK12" s="68">
        <f>Data!AK52</f>
        <v>741</v>
      </c>
      <c r="AL12" s="68">
        <f>Data!AL52</f>
        <v>966</v>
      </c>
      <c r="AM12" s="67">
        <f t="shared" si="0"/>
        <v>966</v>
      </c>
      <c r="AN12" s="68">
        <f>Data!AN52</f>
        <v>1030</v>
      </c>
      <c r="AO12" s="68">
        <f>Data!AO52</f>
        <v>1052</v>
      </c>
      <c r="AP12" s="68">
        <f>Data!AP52</f>
        <v>1066</v>
      </c>
      <c r="AQ12" s="68">
        <f>Data!AQ52</f>
        <v>31</v>
      </c>
      <c r="AR12" s="67">
        <f t="shared" si="1"/>
        <v>31</v>
      </c>
      <c r="AS12" s="68">
        <f>Data!AS52</f>
        <v>37</v>
      </c>
      <c r="AT12" s="68">
        <f>Data!AT52</f>
        <v>35</v>
      </c>
      <c r="AU12" s="121">
        <f>Data!AU52</f>
        <v>31</v>
      </c>
      <c r="AV12" s="121">
        <f>Data!AV52</f>
        <v>29</v>
      </c>
      <c r="AW12" s="67">
        <f t="shared" si="7"/>
        <v>29</v>
      </c>
      <c r="AX12" s="121">
        <f>Data!AX52</f>
        <v>30</v>
      </c>
      <c r="AY12" s="121">
        <f>Data!AY52</f>
        <v>30</v>
      </c>
      <c r="AZ12" s="121">
        <f>Data!AZ52</f>
        <v>34</v>
      </c>
      <c r="BA12" s="121">
        <f>Data!BA52</f>
        <v>28</v>
      </c>
      <c r="BB12" s="67">
        <f t="shared" si="8"/>
        <v>28</v>
      </c>
      <c r="BC12" s="121">
        <f>Data!BC52</f>
        <v>29</v>
      </c>
      <c r="BD12" s="121">
        <f>Data!BD52</f>
        <v>25</v>
      </c>
      <c r="BE12" s="121">
        <f>Data!BE52</f>
        <v>43</v>
      </c>
      <c r="BF12" s="121">
        <f>Data!BF52</f>
        <v>14</v>
      </c>
      <c r="BG12" s="67">
        <f>BF12</f>
        <v>14</v>
      </c>
      <c r="BH12" s="121">
        <f>Data!BH52</f>
        <v>15</v>
      </c>
      <c r="BI12" s="121">
        <f>Data!BI52</f>
        <v>15</v>
      </c>
      <c r="BJ12" s="121">
        <f>Data!BJ52</f>
        <v>27</v>
      </c>
      <c r="BK12" s="121">
        <f>Data!BK52</f>
        <v>18</v>
      </c>
      <c r="BL12" s="67">
        <f t="shared" si="10"/>
        <v>18</v>
      </c>
      <c r="BM12" s="121">
        <f>Data!BM52</f>
        <v>17</v>
      </c>
      <c r="BN12" s="121">
        <f>Data!BN52</f>
        <v>17</v>
      </c>
      <c r="BO12" s="121">
        <f>Data!BO52</f>
        <v>14</v>
      </c>
      <c r="BP12" s="121">
        <f>Data!BP52</f>
        <v>0</v>
      </c>
      <c r="BQ12" s="67">
        <f t="shared" si="11"/>
        <v>0</v>
      </c>
      <c r="BR12" s="121">
        <f>Data!BR52</f>
        <v>0</v>
      </c>
      <c r="BS12" s="121">
        <f>Data!BS52</f>
        <v>0</v>
      </c>
      <c r="BT12" s="121">
        <f>Data!BT52</f>
        <v>0</v>
      </c>
      <c r="BU12" s="121">
        <f>Data!BU52</f>
        <v>0</v>
      </c>
      <c r="BV12" s="67">
        <f t="shared" si="12"/>
        <v>0</v>
      </c>
      <c r="BW12" s="121">
        <f>Data!BW52</f>
        <v>0</v>
      </c>
      <c r="BX12" s="121">
        <f>Data!BX52</f>
        <v>0</v>
      </c>
      <c r="BY12" s="121">
        <f>Data!BY52</f>
        <v>0</v>
      </c>
      <c r="BZ12" s="121">
        <f>Data!BZ52</f>
        <v>0</v>
      </c>
      <c r="CA12" s="67">
        <f t="shared" si="13"/>
        <v>0</v>
      </c>
      <c r="CB12" s="121">
        <f>Data!CB52</f>
        <v>0</v>
      </c>
      <c r="CC12" s="121">
        <f>Data!CC52</f>
        <v>0</v>
      </c>
      <c r="CD12" s="121">
        <f>Data!CD52</f>
        <v>0</v>
      </c>
      <c r="CE12" s="121">
        <f>Data!CE52</f>
        <v>0</v>
      </c>
      <c r="CF12" s="67">
        <f t="shared" si="14"/>
        <v>0</v>
      </c>
      <c r="CG12" s="121">
        <f>Data!CG52</f>
        <v>0</v>
      </c>
      <c r="CH12" s="121">
        <f>Data!CH52</f>
        <v>0</v>
      </c>
      <c r="CI12" s="121">
        <f>Data!CI52</f>
        <v>0</v>
      </c>
      <c r="CJ12" s="121">
        <f>Data!CJ52</f>
        <v>0</v>
      </c>
      <c r="CK12" s="67">
        <f t="shared" si="15"/>
        <v>0</v>
      </c>
      <c r="CL12" s="121">
        <f>Data!CL52</f>
        <v>0</v>
      </c>
      <c r="CM12" s="121">
        <f>Data!CM52</f>
        <v>0</v>
      </c>
      <c r="CN12" s="121">
        <f>Data!CN52</f>
        <v>0</v>
      </c>
      <c r="CO12" s="121">
        <f>Data!CO52</f>
        <v>0</v>
      </c>
      <c r="CP12" s="120">
        <f t="shared" si="16"/>
        <v>0</v>
      </c>
      <c r="CQ12" s="121">
        <f>Data!CQ52</f>
        <v>0</v>
      </c>
      <c r="CR12" s="121">
        <f>Data!CR52</f>
        <v>0</v>
      </c>
      <c r="CS12" s="121">
        <f>Data!CS52</f>
        <v>0</v>
      </c>
      <c r="CT12" s="121">
        <f>Data!CT52</f>
        <v>0</v>
      </c>
      <c r="CU12" s="120">
        <f t="shared" si="17"/>
        <v>0</v>
      </c>
      <c r="CV12" s="121">
        <f>Data!CV52</f>
        <v>0</v>
      </c>
      <c r="CW12" s="121">
        <f>Data!CW52</f>
        <v>0</v>
      </c>
      <c r="CX12" s="121">
        <f>Data!CX52</f>
        <v>0</v>
      </c>
      <c r="CY12" s="121">
        <f>Data!CY52</f>
        <v>0</v>
      </c>
      <c r="CZ12" s="120">
        <f t="shared" si="18"/>
        <v>0</v>
      </c>
      <c r="DA12" s="121">
        <f>Data!DA52</f>
        <v>0</v>
      </c>
      <c r="DB12" s="121">
        <f>Data!DB52</f>
        <v>0</v>
      </c>
      <c r="DC12" s="121">
        <f>Data!DC52</f>
        <v>0</v>
      </c>
      <c r="DD12" s="121">
        <f>Data!DD52</f>
        <v>0</v>
      </c>
      <c r="DE12" s="120">
        <f t="shared" si="19"/>
        <v>0</v>
      </c>
      <c r="DF12" s="121">
        <f>Data!DF52</f>
        <v>0</v>
      </c>
      <c r="DG12" s="121">
        <f>Data!DG52</f>
        <v>0</v>
      </c>
      <c r="DH12" s="121">
        <f>Data!DH52</f>
        <v>0</v>
      </c>
      <c r="DI12" s="121">
        <f>Data!DI52</f>
        <v>0</v>
      </c>
      <c r="DJ12" s="120">
        <f t="shared" si="20"/>
        <v>0</v>
      </c>
      <c r="DK12" s="121">
        <f>Data!DK52</f>
        <v>0</v>
      </c>
      <c r="DL12" s="121">
        <f>Data!DL52</f>
        <v>0</v>
      </c>
      <c r="DM12" s="121">
        <f>Data!DM52</f>
        <v>0</v>
      </c>
      <c r="DN12" s="121">
        <f>Data!DN52</f>
        <v>0</v>
      </c>
      <c r="DO12" s="120">
        <f t="shared" si="21"/>
        <v>0</v>
      </c>
      <c r="DP12" s="121">
        <f>Data!DP52</f>
        <v>0</v>
      </c>
      <c r="DQ12" s="121">
        <f>Data!DQ52</f>
        <v>0</v>
      </c>
      <c r="DR12" s="179">
        <f t="shared" si="25"/>
        <v>0</v>
      </c>
      <c r="DS12" s="179">
        <f t="shared" si="26"/>
        <v>0</v>
      </c>
      <c r="DT12" s="120">
        <f t="shared" si="22"/>
        <v>0</v>
      </c>
      <c r="DU12" s="179">
        <f t="shared" si="27"/>
        <v>0</v>
      </c>
      <c r="DV12" s="179">
        <f t="shared" si="28"/>
        <v>0</v>
      </c>
      <c r="DW12" s="179">
        <f t="shared" si="29"/>
        <v>0</v>
      </c>
      <c r="DX12" s="179">
        <f t="shared" si="30"/>
        <v>0</v>
      </c>
      <c r="DY12" s="120">
        <f t="shared" si="23"/>
        <v>0</v>
      </c>
      <c r="DZ12" s="180">
        <f t="shared" si="31"/>
        <v>0</v>
      </c>
      <c r="EA12" s="180">
        <f t="shared" si="32"/>
        <v>0</v>
      </c>
      <c r="EB12" s="180">
        <f t="shared" si="33"/>
        <v>0</v>
      </c>
    </row>
    <row r="13" spans="1:132">
      <c r="B13" s="159" t="s">
        <v>53</v>
      </c>
      <c r="C13" s="67">
        <f>Data!C53</f>
        <v>8967</v>
      </c>
      <c r="D13" s="67">
        <f>Data!D53</f>
        <v>8349</v>
      </c>
      <c r="E13" s="67">
        <f>Data!E53</f>
        <v>6539</v>
      </c>
      <c r="F13" s="67">
        <f>Data!F53</f>
        <v>6794</v>
      </c>
      <c r="G13" s="67">
        <f>Data!G53</f>
        <v>6920</v>
      </c>
      <c r="H13" s="67">
        <f>Data!H53</f>
        <v>6184</v>
      </c>
      <c r="I13" s="67">
        <f>Data!I53</f>
        <v>5338</v>
      </c>
      <c r="J13" s="68">
        <f>Data!J53</f>
        <v>5324</v>
      </c>
      <c r="K13" s="68">
        <f>Data!K53</f>
        <v>4255</v>
      </c>
      <c r="L13" s="68">
        <f>Data!L53</f>
        <v>4280</v>
      </c>
      <c r="M13" s="68">
        <f>Data!M53</f>
        <v>4247</v>
      </c>
      <c r="N13" s="67">
        <f t="shared" si="2"/>
        <v>4247</v>
      </c>
      <c r="O13" s="68">
        <f>Data!O53</f>
        <v>6079</v>
      </c>
      <c r="P13" s="68">
        <f>Data!P53</f>
        <v>5508</v>
      </c>
      <c r="Q13" s="68">
        <f>Data!Q53</f>
        <v>6877</v>
      </c>
      <c r="R13" s="68">
        <f>Data!R53</f>
        <v>7940</v>
      </c>
      <c r="S13" s="67">
        <f t="shared" si="3"/>
        <v>7940</v>
      </c>
      <c r="T13" s="68">
        <f>Data!T53</f>
        <v>7627</v>
      </c>
      <c r="U13" s="68">
        <f>Data!U53</f>
        <v>7562</v>
      </c>
      <c r="V13" s="68">
        <f>Data!V53</f>
        <v>8173</v>
      </c>
      <c r="W13" s="68">
        <f>Data!W53</f>
        <v>8105</v>
      </c>
      <c r="X13" s="67">
        <f t="shared" si="4"/>
        <v>8105</v>
      </c>
      <c r="Y13" s="68">
        <f>Data!Y53</f>
        <v>8400</v>
      </c>
      <c r="Z13" s="68">
        <f>Data!Z53</f>
        <v>8480</v>
      </c>
      <c r="AA13" s="68">
        <f>Data!AA53</f>
        <v>8194</v>
      </c>
      <c r="AB13" s="68">
        <f>Data!AB53</f>
        <v>9563</v>
      </c>
      <c r="AC13" s="67">
        <f t="shared" si="5"/>
        <v>9563</v>
      </c>
      <c r="AD13" s="68">
        <f>Data!AD53</f>
        <v>10156</v>
      </c>
      <c r="AE13" s="68">
        <f>Data!AE53</f>
        <v>10145</v>
      </c>
      <c r="AF13" s="68">
        <f>Data!AF53</f>
        <v>11149</v>
      </c>
      <c r="AG13" s="68">
        <f>Data!AG53</f>
        <v>15612</v>
      </c>
      <c r="AH13" s="67">
        <f t="shared" si="6"/>
        <v>15612</v>
      </c>
      <c r="AI13" s="68">
        <f>Data!AI53</f>
        <v>15649</v>
      </c>
      <c r="AJ13" s="68">
        <f>Data!AJ53</f>
        <v>17200</v>
      </c>
      <c r="AK13" s="68">
        <f>Data!AK53</f>
        <v>15981</v>
      </c>
      <c r="AL13" s="68">
        <f>Data!AL53</f>
        <v>16933</v>
      </c>
      <c r="AM13" s="67">
        <f t="shared" si="0"/>
        <v>16933</v>
      </c>
      <c r="AN13" s="68">
        <f>Data!AN53</f>
        <v>18773</v>
      </c>
      <c r="AO13" s="68">
        <f>Data!AO53</f>
        <v>20368</v>
      </c>
      <c r="AP13" s="68">
        <f>Data!AP53</f>
        <v>21692</v>
      </c>
      <c r="AQ13" s="68">
        <f>Data!AQ53</f>
        <v>24317</v>
      </c>
      <c r="AR13" s="67">
        <f t="shared" si="1"/>
        <v>24317</v>
      </c>
      <c r="AS13" s="68">
        <f>Data!AS53</f>
        <v>26912</v>
      </c>
      <c r="AT13" s="68">
        <f>Data!AT53</f>
        <v>29094</v>
      </c>
      <c r="AU13" s="121">
        <f>Data!AU53</f>
        <v>30493</v>
      </c>
      <c r="AV13" s="121">
        <f>Data!AV53</f>
        <v>32240</v>
      </c>
      <c r="AW13" s="67">
        <f t="shared" si="7"/>
        <v>32240</v>
      </c>
      <c r="AX13" s="121">
        <f>Data!AX53</f>
        <v>32738</v>
      </c>
      <c r="AY13" s="121">
        <f>Data!AY53</f>
        <v>35033</v>
      </c>
      <c r="AZ13" s="121">
        <f>Data!AZ53</f>
        <v>36817</v>
      </c>
      <c r="BA13" s="121">
        <f>Data!BA53</f>
        <v>37751</v>
      </c>
      <c r="BB13" s="67">
        <f t="shared" si="8"/>
        <v>37751</v>
      </c>
      <c r="BC13" s="121">
        <f>Data!BC53</f>
        <v>40797</v>
      </c>
      <c r="BD13" s="121">
        <f>Data!BD53</f>
        <v>40234</v>
      </c>
      <c r="BE13" s="121">
        <f>Data!BE53</f>
        <v>41240</v>
      </c>
      <c r="BF13" s="121">
        <f>Data!BF53</f>
        <v>42912</v>
      </c>
      <c r="BG13" s="67">
        <f t="shared" si="9"/>
        <v>42912</v>
      </c>
      <c r="BH13" s="121">
        <f>Data!BH53</f>
        <v>44941</v>
      </c>
      <c r="BI13" s="121">
        <f>Data!BI53</f>
        <v>46251</v>
      </c>
      <c r="BJ13" s="121">
        <f>Data!BJ53</f>
        <v>47058</v>
      </c>
      <c r="BK13" s="121">
        <f>Data!BK53</f>
        <v>46756</v>
      </c>
      <c r="BL13" s="67">
        <f t="shared" si="10"/>
        <v>46756</v>
      </c>
      <c r="BM13" s="121">
        <f>Data!BM53</f>
        <v>48502</v>
      </c>
      <c r="BN13" s="121">
        <f>Data!BN53</f>
        <v>49028</v>
      </c>
      <c r="BO13" s="121">
        <f>Data!BO53</f>
        <v>48624</v>
      </c>
      <c r="BP13" s="121">
        <f>Data!BP53</f>
        <v>47257</v>
      </c>
      <c r="BQ13" s="67">
        <f t="shared" si="11"/>
        <v>47257</v>
      </c>
      <c r="BR13" s="121">
        <f>Data!BR53</f>
        <v>47266</v>
      </c>
      <c r="BS13" s="121">
        <f>Data!BS53</f>
        <v>44182</v>
      </c>
      <c r="BT13" s="121">
        <f>Data!BT53</f>
        <v>42680</v>
      </c>
      <c r="BU13" s="121">
        <f>Data!BU53</f>
        <v>43199</v>
      </c>
      <c r="BV13" s="67">
        <f t="shared" si="12"/>
        <v>43199</v>
      </c>
      <c r="BW13" s="121">
        <f>Data!BW53</f>
        <v>43247</v>
      </c>
      <c r="BX13" s="121">
        <f>Data!BX53</f>
        <v>42453</v>
      </c>
      <c r="BY13" s="121">
        <f>Data!BY53</f>
        <v>43031</v>
      </c>
      <c r="BZ13" s="121">
        <f>Data!BZ53</f>
        <v>44344</v>
      </c>
      <c r="CA13" s="67">
        <f t="shared" si="13"/>
        <v>44344</v>
      </c>
      <c r="CB13" s="121">
        <f>Data!CB53</f>
        <v>61303</v>
      </c>
      <c r="CC13" s="121">
        <f>Data!CC53</f>
        <v>61250</v>
      </c>
      <c r="CD13" s="121">
        <f>Data!CD53</f>
        <v>62038</v>
      </c>
      <c r="CE13" s="121">
        <f>Data!CE53</f>
        <v>62567</v>
      </c>
      <c r="CF13" s="67">
        <f t="shared" si="14"/>
        <v>62567</v>
      </c>
      <c r="CG13" s="121">
        <f>Data!CG53</f>
        <v>65369</v>
      </c>
      <c r="CH13" s="121">
        <f>Data!CH53</f>
        <v>68492</v>
      </c>
      <c r="CI13" s="121">
        <f>Data!CI53</f>
        <v>73279</v>
      </c>
      <c r="CJ13" s="121">
        <f>Data!CJ53</f>
        <v>76622</v>
      </c>
      <c r="CK13" s="67">
        <f t="shared" si="15"/>
        <v>76622</v>
      </c>
      <c r="CL13" s="121">
        <f>Data!CL53</f>
        <v>80020</v>
      </c>
      <c r="CM13" s="121">
        <f>Data!CM53</f>
        <v>83745</v>
      </c>
      <c r="CN13" s="121">
        <f>Data!CN53</f>
        <v>86961</v>
      </c>
      <c r="CO13" s="121">
        <f>Data!CO53</f>
        <v>81715</v>
      </c>
      <c r="CP13" s="120">
        <f t="shared" si="16"/>
        <v>81715</v>
      </c>
      <c r="CQ13" s="121">
        <f>Data!CQ53</f>
        <v>82668</v>
      </c>
      <c r="CR13" s="121">
        <f>Data!CR53</f>
        <v>81799</v>
      </c>
      <c r="CS13" s="121">
        <f>Data!CS53</f>
        <v>81897</v>
      </c>
      <c r="CT13" s="121">
        <f>Data!CT53</f>
        <v>78823</v>
      </c>
      <c r="CU13" s="120">
        <f t="shared" si="17"/>
        <v>78823</v>
      </c>
      <c r="CV13" s="121">
        <f>Data!CV53</f>
        <v>79819</v>
      </c>
      <c r="CW13" s="121">
        <f>Data!CW53</f>
        <v>79917</v>
      </c>
      <c r="CX13" s="121">
        <f>Data!CX53</f>
        <v>79777</v>
      </c>
      <c r="CY13" s="121">
        <f>Data!CY53</f>
        <v>78151</v>
      </c>
      <c r="CZ13" s="120">
        <f t="shared" si="18"/>
        <v>78151</v>
      </c>
      <c r="DA13" s="121">
        <f>Data!DA53</f>
        <v>78503</v>
      </c>
      <c r="DB13" s="121">
        <f>Data!DB53</f>
        <v>78322</v>
      </c>
      <c r="DC13" s="121">
        <f>Data!DC53</f>
        <v>78972</v>
      </c>
      <c r="DD13" s="121">
        <f>Data!DD53</f>
        <v>79741</v>
      </c>
      <c r="DE13" s="120">
        <f t="shared" si="19"/>
        <v>79741</v>
      </c>
      <c r="DF13" s="121">
        <f>Data!DF53</f>
        <v>83471</v>
      </c>
      <c r="DG13" s="121">
        <f>Data!DG53</f>
        <v>85661</v>
      </c>
      <c r="DH13" s="121">
        <f>Data!DH53</f>
        <v>83341</v>
      </c>
      <c r="DI13" s="121">
        <f>Data!DI53</f>
        <v>87550</v>
      </c>
      <c r="DJ13" s="120">
        <f t="shared" si="20"/>
        <v>87550</v>
      </c>
      <c r="DK13" s="121">
        <f>Data!DK53</f>
        <v>89077</v>
      </c>
      <c r="DL13" s="121">
        <f>Data!DL53</f>
        <v>87853</v>
      </c>
      <c r="DM13" s="121">
        <f>Data!DM53</f>
        <v>82425</v>
      </c>
      <c r="DN13" s="121">
        <f>Data!DN53</f>
        <v>84679</v>
      </c>
      <c r="DO13" s="120">
        <f t="shared" si="21"/>
        <v>84679</v>
      </c>
      <c r="DP13" s="121">
        <f>Data!DP53</f>
        <v>87225</v>
      </c>
      <c r="DQ13" s="121">
        <f>Data!DQ53</f>
        <v>88388</v>
      </c>
      <c r="DR13" s="184">
        <f>-DR79/90*IS!DR12</f>
        <v>79204.445334726144</v>
      </c>
      <c r="DS13" s="184">
        <f>-DS79/90*IS!DS12</f>
        <v>74443.78014341247</v>
      </c>
      <c r="DT13" s="120">
        <f t="shared" si="22"/>
        <v>74443.78014341247</v>
      </c>
      <c r="DU13" s="184">
        <f>-DU79/90*IS!DU12</f>
        <v>103493.96871097936</v>
      </c>
      <c r="DV13" s="184">
        <f>-DV79/90*IS!DV12</f>
        <v>94769.77505346731</v>
      </c>
      <c r="DW13" s="184">
        <f>-DW79/90*IS!DW12</f>
        <v>91229.826351642536</v>
      </c>
      <c r="DX13" s="184">
        <f>-DX79/90*IS!DX12</f>
        <v>87108.333306568951</v>
      </c>
      <c r="DY13" s="120">
        <f t="shared" si="23"/>
        <v>87108.333306568951</v>
      </c>
      <c r="DZ13" s="185">
        <f>-DZ79/365*IS!DZ12</f>
        <v>70417.939933084432</v>
      </c>
      <c r="EA13" s="185">
        <f>-EA79/365*IS!EA12</f>
        <v>75533.778733496292</v>
      </c>
      <c r="EB13" s="185">
        <f>-EB79/365*IS!EB12</f>
        <v>77773.919829673105</v>
      </c>
    </row>
    <row r="14" spans="1:132">
      <c r="B14" s="159" t="s">
        <v>55</v>
      </c>
      <c r="C14" s="69">
        <f>Data!C54</f>
        <v>0</v>
      </c>
      <c r="D14" s="69">
        <f>Data!D54</f>
        <v>0</v>
      </c>
      <c r="E14" s="69">
        <f>Data!E54</f>
        <v>0</v>
      </c>
      <c r="F14" s="69">
        <f>Data!F54</f>
        <v>0</v>
      </c>
      <c r="G14" s="69">
        <f>Data!G54</f>
        <v>0</v>
      </c>
      <c r="H14" s="69">
        <f>Data!H54</f>
        <v>0</v>
      </c>
      <c r="I14" s="69">
        <f>Data!I54</f>
        <v>199</v>
      </c>
      <c r="J14" s="70">
        <f>Data!J54</f>
        <v>0</v>
      </c>
      <c r="K14" s="70">
        <f>Data!K54</f>
        <v>571</v>
      </c>
      <c r="L14" s="70">
        <f>Data!L54</f>
        <v>234</v>
      </c>
      <c r="M14" s="70">
        <f>Data!M54</f>
        <v>70</v>
      </c>
      <c r="N14" s="69">
        <f t="shared" si="2"/>
        <v>70</v>
      </c>
      <c r="O14" s="70">
        <f>Data!O54</f>
        <v>69</v>
      </c>
      <c r="P14" s="70">
        <f>Data!P54</f>
        <v>0</v>
      </c>
      <c r="Q14" s="70">
        <f>Data!Q54</f>
        <v>0</v>
      </c>
      <c r="R14" s="70">
        <f>Data!R54</f>
        <v>0</v>
      </c>
      <c r="S14" s="69">
        <f t="shared" si="3"/>
        <v>0</v>
      </c>
      <c r="T14" s="70">
        <f>Data!T54</f>
        <v>0</v>
      </c>
      <c r="U14" s="70">
        <f>Data!U54</f>
        <v>0</v>
      </c>
      <c r="V14" s="70">
        <f>Data!V54</f>
        <v>0</v>
      </c>
      <c r="W14" s="70">
        <f>Data!W54</f>
        <v>0</v>
      </c>
      <c r="X14" s="69">
        <f t="shared" si="4"/>
        <v>0</v>
      </c>
      <c r="Y14" s="70">
        <f>Data!Y54</f>
        <v>0</v>
      </c>
      <c r="Z14" s="70">
        <f>Data!Z54</f>
        <v>0</v>
      </c>
      <c r="AA14" s="70">
        <f>Data!AA54</f>
        <v>0</v>
      </c>
      <c r="AB14" s="70">
        <f>Data!AB54</f>
        <v>0</v>
      </c>
      <c r="AC14" s="69">
        <f t="shared" si="5"/>
        <v>0</v>
      </c>
      <c r="AD14" s="70">
        <f>Data!AD54</f>
        <v>0</v>
      </c>
      <c r="AE14" s="70">
        <f>Data!AE54</f>
        <v>0</v>
      </c>
      <c r="AF14" s="70">
        <f>Data!AF54</f>
        <v>0</v>
      </c>
      <c r="AG14" s="70">
        <f>Data!AG54</f>
        <v>0</v>
      </c>
      <c r="AH14" s="69">
        <f t="shared" si="6"/>
        <v>0</v>
      </c>
      <c r="AI14" s="70">
        <f>Data!AI54</f>
        <v>0</v>
      </c>
      <c r="AJ14" s="70">
        <f>Data!AJ54</f>
        <v>0</v>
      </c>
      <c r="AK14" s="70">
        <f>Data!AK54</f>
        <v>0</v>
      </c>
      <c r="AL14" s="70">
        <f>Data!AL54</f>
        <v>0</v>
      </c>
      <c r="AM14" s="69">
        <f t="shared" si="0"/>
        <v>0</v>
      </c>
      <c r="AN14" s="70">
        <f>Data!AN54</f>
        <v>0</v>
      </c>
      <c r="AO14" s="70">
        <f>Data!AO54</f>
        <v>0</v>
      </c>
      <c r="AP14" s="70">
        <f>Data!AP54</f>
        <v>0</v>
      </c>
      <c r="AQ14" s="70">
        <f>Data!AQ54</f>
        <v>0</v>
      </c>
      <c r="AR14" s="69">
        <f t="shared" si="1"/>
        <v>0</v>
      </c>
      <c r="AS14" s="70">
        <f>Data!AS54</f>
        <v>0</v>
      </c>
      <c r="AT14" s="70">
        <f>Data!AT54</f>
        <v>0</v>
      </c>
      <c r="AU14" s="70">
        <f>Data!AU54</f>
        <v>0</v>
      </c>
      <c r="AV14" s="70">
        <f>Data!AV54</f>
        <v>0</v>
      </c>
      <c r="AW14" s="69">
        <f t="shared" si="7"/>
        <v>0</v>
      </c>
      <c r="AX14" s="70">
        <f>Data!AX54</f>
        <v>0</v>
      </c>
      <c r="AY14" s="70">
        <f>Data!AY54</f>
        <v>0</v>
      </c>
      <c r="AZ14" s="70">
        <f>Data!AZ54</f>
        <v>0</v>
      </c>
      <c r="BA14" s="70">
        <f>Data!BA54</f>
        <v>0</v>
      </c>
      <c r="BB14" s="69">
        <f t="shared" si="8"/>
        <v>0</v>
      </c>
      <c r="BC14" s="70">
        <f>Data!BC54</f>
        <v>0</v>
      </c>
      <c r="BD14" s="70">
        <f>Data!BD54</f>
        <v>0</v>
      </c>
      <c r="BE14" s="70">
        <f>Data!BE54</f>
        <v>0</v>
      </c>
      <c r="BF14" s="70">
        <f>Data!BF54</f>
        <v>0</v>
      </c>
      <c r="BG14" s="69">
        <f t="shared" si="9"/>
        <v>0</v>
      </c>
      <c r="BH14" s="70">
        <f>Data!BH54</f>
        <v>0</v>
      </c>
      <c r="BI14" s="70">
        <f>Data!BI54</f>
        <v>0</v>
      </c>
      <c r="BJ14" s="70">
        <f>Data!BJ54</f>
        <v>0</v>
      </c>
      <c r="BK14" s="70">
        <f>Data!BK54</f>
        <v>0</v>
      </c>
      <c r="BL14" s="69">
        <f t="shared" si="10"/>
        <v>0</v>
      </c>
      <c r="BM14" s="70">
        <f>Data!BM54</f>
        <v>0</v>
      </c>
      <c r="BN14" s="70">
        <f>Data!BN54</f>
        <v>0</v>
      </c>
      <c r="BO14" s="70">
        <f>Data!BO54</f>
        <v>0</v>
      </c>
      <c r="BP14" s="70">
        <f>Data!BP54</f>
        <v>0</v>
      </c>
      <c r="BQ14" s="69">
        <f t="shared" si="11"/>
        <v>0</v>
      </c>
      <c r="BR14" s="70">
        <f>Data!BR54</f>
        <v>0</v>
      </c>
      <c r="BS14" s="70">
        <f>Data!BS54</f>
        <v>0</v>
      </c>
      <c r="BT14" s="70">
        <f>Data!BT54</f>
        <v>0</v>
      </c>
      <c r="BU14" s="70">
        <f>Data!BU54</f>
        <v>0</v>
      </c>
      <c r="BV14" s="69">
        <f t="shared" si="12"/>
        <v>0</v>
      </c>
      <c r="BW14" s="70">
        <f>Data!BW54</f>
        <v>0</v>
      </c>
      <c r="BX14" s="70">
        <f>Data!BX54</f>
        <v>0</v>
      </c>
      <c r="BY14" s="70">
        <f>Data!BY54</f>
        <v>0</v>
      </c>
      <c r="BZ14" s="70">
        <f>Data!BZ54</f>
        <v>0</v>
      </c>
      <c r="CA14" s="69">
        <f t="shared" si="13"/>
        <v>0</v>
      </c>
      <c r="CB14" s="70">
        <f>Data!CB54</f>
        <v>2481</v>
      </c>
      <c r="CC14" s="70">
        <f>Data!CC54</f>
        <v>2396</v>
      </c>
      <c r="CD14" s="70">
        <f>Data!CD54</f>
        <v>2398</v>
      </c>
      <c r="CE14" s="70">
        <f>Data!CE54</f>
        <v>2335</v>
      </c>
      <c r="CF14" s="69">
        <f t="shared" si="14"/>
        <v>2335</v>
      </c>
      <c r="CG14" s="70">
        <f>Data!CG54</f>
        <v>2194</v>
      </c>
      <c r="CH14" s="70">
        <f>Data!CH54</f>
        <v>3304</v>
      </c>
      <c r="CI14" s="70">
        <f>Data!CI54</f>
        <v>2656</v>
      </c>
      <c r="CJ14" s="70">
        <f>Data!CJ54</f>
        <v>3106</v>
      </c>
      <c r="CK14" s="69">
        <f t="shared" si="15"/>
        <v>3106</v>
      </c>
      <c r="CL14" s="70">
        <f>Data!CL54</f>
        <v>2739</v>
      </c>
      <c r="CM14" s="70">
        <f>Data!CM54</f>
        <v>2624</v>
      </c>
      <c r="CN14" s="70">
        <f>Data!CN54</f>
        <v>5213</v>
      </c>
      <c r="CO14" s="70">
        <f>Data!CO54</f>
        <v>4286</v>
      </c>
      <c r="CP14" s="69">
        <f t="shared" si="16"/>
        <v>4286</v>
      </c>
      <c r="CQ14" s="70">
        <f>Data!CQ54</f>
        <v>4123</v>
      </c>
      <c r="CR14" s="70">
        <f>Data!CR54</f>
        <v>4187</v>
      </c>
      <c r="CS14" s="70">
        <f>Data!CS54</f>
        <v>2664</v>
      </c>
      <c r="CT14" s="70">
        <f>Data!CT54</f>
        <v>2221</v>
      </c>
      <c r="CU14" s="69">
        <f t="shared" si="17"/>
        <v>2221</v>
      </c>
      <c r="CV14" s="70">
        <f>Data!CV54</f>
        <v>2356</v>
      </c>
      <c r="CW14" s="70">
        <f>Data!CW54</f>
        <v>2086</v>
      </c>
      <c r="CX14" s="70">
        <f>Data!CX54</f>
        <v>3073</v>
      </c>
      <c r="CY14" s="70">
        <f>Data!CY54</f>
        <v>2847</v>
      </c>
      <c r="CZ14" s="69">
        <f t="shared" si="18"/>
        <v>2847</v>
      </c>
      <c r="DA14" s="70">
        <f>Data!DA54</f>
        <v>2857</v>
      </c>
      <c r="DB14" s="70">
        <f>Data!DB54</f>
        <v>2941</v>
      </c>
      <c r="DC14" s="70">
        <f>Data!DC54</f>
        <v>2287</v>
      </c>
      <c r="DD14" s="70">
        <f>Data!DD54</f>
        <v>2504</v>
      </c>
      <c r="DE14" s="69">
        <f t="shared" si="19"/>
        <v>2504</v>
      </c>
      <c r="DF14" s="70">
        <f>Data!DF54</f>
        <v>2843</v>
      </c>
      <c r="DG14" s="70">
        <f>Data!DG54</f>
        <v>3282</v>
      </c>
      <c r="DH14" s="70">
        <f>Data!DH54</f>
        <v>2918</v>
      </c>
      <c r="DI14" s="70">
        <f>Data!DI54</f>
        <v>2965</v>
      </c>
      <c r="DJ14" s="69">
        <f t="shared" si="20"/>
        <v>2965</v>
      </c>
      <c r="DK14" s="70">
        <f>Data!DK54</f>
        <v>2474</v>
      </c>
      <c r="DL14" s="70">
        <f>Data!DL54</f>
        <v>4014</v>
      </c>
      <c r="DM14" s="70">
        <f>Data!DM54</f>
        <v>4377</v>
      </c>
      <c r="DN14" s="70">
        <f>Data!DN54</f>
        <v>2301</v>
      </c>
      <c r="DO14" s="69">
        <f t="shared" si="21"/>
        <v>2301</v>
      </c>
      <c r="DP14" s="70">
        <f>Data!DP54</f>
        <v>2733</v>
      </c>
      <c r="DQ14" s="70">
        <f>Data!DQ54</f>
        <v>3045</v>
      </c>
      <c r="DR14" s="70">
        <f t="shared" ref="DR14" si="34">DQ14</f>
        <v>3045</v>
      </c>
      <c r="DS14" s="70">
        <f t="shared" ref="DS14" si="35">DR14</f>
        <v>3045</v>
      </c>
      <c r="DT14" s="69">
        <f t="shared" si="22"/>
        <v>3045</v>
      </c>
      <c r="DU14" s="70">
        <f t="shared" ref="DU14" si="36">DT14</f>
        <v>3045</v>
      </c>
      <c r="DV14" s="70">
        <f t="shared" ref="DV14" si="37">DU14</f>
        <v>3045</v>
      </c>
      <c r="DW14" s="70">
        <f t="shared" ref="DW14" si="38">DV14</f>
        <v>3045</v>
      </c>
      <c r="DX14" s="70">
        <f t="shared" ref="DX14" si="39">DW14</f>
        <v>3045</v>
      </c>
      <c r="DY14" s="69">
        <f t="shared" si="23"/>
        <v>3045</v>
      </c>
      <c r="DZ14" s="69">
        <f t="shared" ref="DZ14" si="40">DY14</f>
        <v>3045</v>
      </c>
      <c r="EA14" s="69">
        <f t="shared" ref="EA14" si="41">DZ14</f>
        <v>3045</v>
      </c>
      <c r="EB14" s="69">
        <f t="shared" ref="EB14" si="42">EA14</f>
        <v>3045</v>
      </c>
    </row>
    <row r="15" spans="1:132">
      <c r="B15" s="74" t="s">
        <v>54</v>
      </c>
      <c r="C15" s="193">
        <f>SUM(C7:C14)</f>
        <v>19263</v>
      </c>
      <c r="D15" s="193">
        <f t="shared" ref="D15:AW15" si="43">SUM(D7:D14)</f>
        <v>16375</v>
      </c>
      <c r="E15" s="193">
        <f t="shared" si="43"/>
        <v>15712</v>
      </c>
      <c r="F15" s="193">
        <f t="shared" si="43"/>
        <v>15864</v>
      </c>
      <c r="G15" s="193">
        <f t="shared" si="43"/>
        <v>16206</v>
      </c>
      <c r="H15" s="193">
        <f t="shared" si="43"/>
        <v>16855</v>
      </c>
      <c r="I15" s="193">
        <f t="shared" si="43"/>
        <v>17258</v>
      </c>
      <c r="J15" s="74">
        <f t="shared" si="43"/>
        <v>16681</v>
      </c>
      <c r="K15" s="74">
        <f t="shared" si="43"/>
        <v>18069</v>
      </c>
      <c r="L15" s="74">
        <f t="shared" si="43"/>
        <v>16484</v>
      </c>
      <c r="M15" s="74">
        <f t="shared" si="43"/>
        <v>15100</v>
      </c>
      <c r="N15" s="193">
        <f t="shared" si="43"/>
        <v>15100</v>
      </c>
      <c r="O15" s="74">
        <f t="shared" si="43"/>
        <v>17445</v>
      </c>
      <c r="P15" s="74">
        <f t="shared" si="43"/>
        <v>18243</v>
      </c>
      <c r="Q15" s="74">
        <f t="shared" si="43"/>
        <v>19159</v>
      </c>
      <c r="R15" s="74">
        <f t="shared" si="43"/>
        <v>21968</v>
      </c>
      <c r="S15" s="193">
        <f t="shared" si="43"/>
        <v>21968</v>
      </c>
      <c r="T15" s="74">
        <f t="shared" si="43"/>
        <v>22763</v>
      </c>
      <c r="U15" s="74">
        <f t="shared" si="43"/>
        <v>23171</v>
      </c>
      <c r="V15" s="74">
        <f t="shared" si="43"/>
        <v>22376</v>
      </c>
      <c r="W15" s="74">
        <f t="shared" si="43"/>
        <v>22983</v>
      </c>
      <c r="X15" s="193">
        <f t="shared" si="43"/>
        <v>22983</v>
      </c>
      <c r="Y15" s="74">
        <f t="shared" si="43"/>
        <v>22510</v>
      </c>
      <c r="Z15" s="74">
        <f t="shared" si="43"/>
        <v>25523</v>
      </c>
      <c r="AA15" s="74">
        <f t="shared" si="43"/>
        <v>26628</v>
      </c>
      <c r="AB15" s="74">
        <f t="shared" si="43"/>
        <v>27280</v>
      </c>
      <c r="AC15" s="193">
        <f t="shared" si="43"/>
        <v>27280</v>
      </c>
      <c r="AD15" s="74">
        <f t="shared" si="43"/>
        <v>28201</v>
      </c>
      <c r="AE15" s="74">
        <f t="shared" si="43"/>
        <v>25937</v>
      </c>
      <c r="AF15" s="74">
        <f t="shared" si="43"/>
        <v>24341</v>
      </c>
      <c r="AG15" s="74">
        <f t="shared" si="43"/>
        <v>25964</v>
      </c>
      <c r="AH15" s="193">
        <f t="shared" si="43"/>
        <v>25964</v>
      </c>
      <c r="AI15" s="74">
        <f t="shared" si="43"/>
        <v>27804</v>
      </c>
      <c r="AJ15" s="74">
        <f t="shared" si="43"/>
        <v>30120</v>
      </c>
      <c r="AK15" s="74">
        <f t="shared" si="43"/>
        <v>30227</v>
      </c>
      <c r="AL15" s="74">
        <f t="shared" si="43"/>
        <v>35275</v>
      </c>
      <c r="AM15" s="193">
        <f t="shared" si="43"/>
        <v>35275</v>
      </c>
      <c r="AN15" s="74">
        <f t="shared" si="43"/>
        <v>36798</v>
      </c>
      <c r="AO15" s="74">
        <f>SUM(AO7:AO14)</f>
        <v>38327</v>
      </c>
      <c r="AP15" s="74">
        <f>SUM(AP7:AP14)</f>
        <v>39454</v>
      </c>
      <c r="AQ15" s="74">
        <f>SUM(AQ7:AQ14)</f>
        <v>40572</v>
      </c>
      <c r="AR15" s="193">
        <f t="shared" si="43"/>
        <v>40572</v>
      </c>
      <c r="AS15" s="74">
        <f>SUM(AS7:AS14)</f>
        <v>41009</v>
      </c>
      <c r="AT15" s="74">
        <f>SUM(AT7:AT14)</f>
        <v>44353</v>
      </c>
      <c r="AU15" s="74">
        <f>SUM(AU7:AU14)</f>
        <v>46347</v>
      </c>
      <c r="AV15" s="74">
        <f>SUM(AV7:AV14)</f>
        <v>49810</v>
      </c>
      <c r="AW15" s="193">
        <f t="shared" si="43"/>
        <v>49810</v>
      </c>
      <c r="AX15" s="74">
        <f t="shared" ref="AX15:BG15" si="44">SUM(AX7:AX14)</f>
        <v>50131</v>
      </c>
      <c r="AY15" s="74">
        <f t="shared" si="44"/>
        <v>51608</v>
      </c>
      <c r="AZ15" s="74">
        <f t="shared" si="44"/>
        <v>53778</v>
      </c>
      <c r="BA15" s="74">
        <f>SUM(BA7:BA14)</f>
        <v>57309</v>
      </c>
      <c r="BB15" s="193">
        <f t="shared" si="44"/>
        <v>57309</v>
      </c>
      <c r="BC15" s="74">
        <f>SUM(BC7:BC14)</f>
        <v>59490</v>
      </c>
      <c r="BD15" s="74">
        <f>SUM(BD7:BD14)</f>
        <v>61310</v>
      </c>
      <c r="BE15" s="74">
        <f>SUM(BE7:BE14)</f>
        <v>64162</v>
      </c>
      <c r="BF15" s="74">
        <f>SUM(BF7:BF14)</f>
        <v>65074</v>
      </c>
      <c r="BG15" s="193">
        <f t="shared" si="44"/>
        <v>65074</v>
      </c>
      <c r="BH15" s="74">
        <f>SUM(BH7:BH14)</f>
        <v>64777</v>
      </c>
      <c r="BI15" s="74">
        <f>SUM(BI7:BI14)</f>
        <v>65527</v>
      </c>
      <c r="BJ15" s="74">
        <f>SUM(BJ7:BJ14)</f>
        <v>65218</v>
      </c>
      <c r="BK15" s="74">
        <f>SUM(BK7:BK14)</f>
        <v>67785</v>
      </c>
      <c r="BL15" s="193">
        <f t="shared" ref="BL15" si="45">SUM(BL7:BL14)</f>
        <v>67785</v>
      </c>
      <c r="BM15" s="74">
        <f>SUM(BM7:BM14)</f>
        <v>66421</v>
      </c>
      <c r="BN15" s="74">
        <f>SUM(BN7:BN14)</f>
        <v>66806</v>
      </c>
      <c r="BO15" s="74">
        <f>SUM(BO7:BO14)</f>
        <v>67576</v>
      </c>
      <c r="BP15" s="74">
        <f>SUM(BP7:BP14)</f>
        <v>68234</v>
      </c>
      <c r="BQ15" s="193">
        <f t="shared" ref="BQ15" si="46">SUM(BQ7:BQ14)</f>
        <v>68234</v>
      </c>
      <c r="BR15" s="74">
        <f>SUM(BR7:BR14)</f>
        <v>65587</v>
      </c>
      <c r="BS15" s="74">
        <f>SUM(BS7:BS14)</f>
        <v>63507</v>
      </c>
      <c r="BT15" s="74">
        <f>SUM(BT7:BT14)</f>
        <v>62237</v>
      </c>
      <c r="BU15" s="74">
        <f>SUM(BU7:BU14)</f>
        <v>62488</v>
      </c>
      <c r="BV15" s="193">
        <f t="shared" ref="BV15:CF15" si="47">SUM(BV7:BV14)</f>
        <v>62488</v>
      </c>
      <c r="BW15" s="74">
        <f>SUM(BW7:BW14)</f>
        <v>62367</v>
      </c>
      <c r="BX15" s="74">
        <f>SUM(BX7:BX14)</f>
        <v>62831</v>
      </c>
      <c r="BY15" s="74">
        <f>SUM(BY7:BY14)</f>
        <v>64142</v>
      </c>
      <c r="BZ15" s="74">
        <f>SUM(BZ7:BZ14)</f>
        <v>65161</v>
      </c>
      <c r="CA15" s="193">
        <f t="shared" si="47"/>
        <v>65161</v>
      </c>
      <c r="CB15" s="74">
        <f>SUM(CB7:CB14)</f>
        <v>86543</v>
      </c>
      <c r="CC15" s="74">
        <f>SUM(CC7:CC14)</f>
        <v>86401</v>
      </c>
      <c r="CD15" s="74">
        <f>SUM(CD7:CD14)</f>
        <v>87686</v>
      </c>
      <c r="CE15" s="74">
        <f>SUM(CE7:CE14)</f>
        <v>87830</v>
      </c>
      <c r="CF15" s="193">
        <f t="shared" si="47"/>
        <v>87830</v>
      </c>
      <c r="CG15" s="74">
        <f>SUM(CG7:CG14)</f>
        <v>89509</v>
      </c>
      <c r="CH15" s="74">
        <f>SUM(CH7:CH14)</f>
        <v>95111</v>
      </c>
      <c r="CI15" s="74">
        <f>SUM(CI7:CI14)</f>
        <v>101656</v>
      </c>
      <c r="CJ15" s="74">
        <f>SUM(CJ7:CJ14)</f>
        <v>102229</v>
      </c>
      <c r="CK15" s="193">
        <f t="shared" ref="CK15" si="48">SUM(CK7:CK14)</f>
        <v>102229</v>
      </c>
      <c r="CL15" s="74">
        <f>SUM(CL7:CL14)</f>
        <v>111011</v>
      </c>
      <c r="CM15" s="74">
        <f>SUM(CM7:CM14)</f>
        <v>130277</v>
      </c>
      <c r="CN15" s="74">
        <f>SUM(CN7:CN14)</f>
        <v>131012</v>
      </c>
      <c r="CO15" s="74">
        <f>SUM(CO7:CO14)</f>
        <v>121642</v>
      </c>
      <c r="CP15" s="193">
        <f t="shared" ref="CP15" si="49">SUM(CP7:CP14)</f>
        <v>121642</v>
      </c>
      <c r="CQ15" s="74">
        <f>SUM(CQ7:CQ14)</f>
        <v>119945</v>
      </c>
      <c r="CR15" s="74">
        <f>SUM(CR7:CR14)</f>
        <v>119095</v>
      </c>
      <c r="CS15" s="74">
        <f>SUM(CS7:CS14)</f>
        <v>116888</v>
      </c>
      <c r="CT15" s="74">
        <f>SUM(CT7:CT14)</f>
        <v>108666</v>
      </c>
      <c r="CU15" s="193">
        <f t="shared" ref="CU15" si="50">SUM(CU7:CU14)</f>
        <v>108666</v>
      </c>
      <c r="CV15" s="74">
        <f>SUM(CV7:CV14)</f>
        <v>106012</v>
      </c>
      <c r="CW15" s="74">
        <f>SUM(CW7:CW14)</f>
        <v>106000</v>
      </c>
      <c r="CX15" s="74">
        <f>SUM(CX7:CX14)</f>
        <v>109251</v>
      </c>
      <c r="CY15" s="74">
        <f>SUM(CY7:CY14)</f>
        <v>109523</v>
      </c>
      <c r="CZ15" s="193">
        <f t="shared" ref="CZ15" si="51">SUM(CZ7:CZ14)</f>
        <v>109523</v>
      </c>
      <c r="DA15" s="74">
        <f t="shared" ref="DA15:DE15" si="52">SUM(DA7:DA14)</f>
        <v>108811</v>
      </c>
      <c r="DB15" s="74">
        <f>SUM(DB7:DB14)</f>
        <v>107412</v>
      </c>
      <c r="DC15" s="74">
        <f>SUM(DC7:DC14)</f>
        <v>106935</v>
      </c>
      <c r="DD15" s="74">
        <f>SUM(DD7:DD14)</f>
        <v>109275</v>
      </c>
      <c r="DE15" s="193">
        <f t="shared" si="52"/>
        <v>109275</v>
      </c>
      <c r="DF15" s="74">
        <f t="shared" ref="DF15" si="53">SUM(DF7:DF14)</f>
        <v>106532</v>
      </c>
      <c r="DG15" s="74">
        <f>SUM(DG7:DG14)</f>
        <v>114439</v>
      </c>
      <c r="DH15" s="74">
        <f>SUM(DH7:DH14)</f>
        <v>109436</v>
      </c>
      <c r="DI15" s="74">
        <f>SUM(DI7:DI14)</f>
        <v>127998</v>
      </c>
      <c r="DJ15" s="193">
        <f t="shared" ref="DJ15:DK15" si="54">SUM(DJ7:DJ14)</f>
        <v>127998</v>
      </c>
      <c r="DK15" s="74">
        <f t="shared" si="54"/>
        <v>127662</v>
      </c>
      <c r="DL15" s="74">
        <f>SUM(DL7:DL14)</f>
        <v>127301</v>
      </c>
      <c r="DM15" s="74">
        <f>SUM(DM7:DM14)</f>
        <v>122132</v>
      </c>
      <c r="DN15" s="74">
        <f>SUM(DN7:DN14)</f>
        <v>128459</v>
      </c>
      <c r="DO15" s="193">
        <f t="shared" ref="DO15:DP15" si="55">SUM(DO7:DO14)</f>
        <v>128459</v>
      </c>
      <c r="DP15" s="74">
        <f t="shared" si="55"/>
        <v>124141</v>
      </c>
      <c r="DQ15" s="74">
        <f>SUM(DQ7:DQ14)</f>
        <v>124630</v>
      </c>
      <c r="DR15" s="74">
        <f t="shared" ref="DR15:DU15" si="56">SUM(DR7:DR14)</f>
        <v>114639.71623578483</v>
      </c>
      <c r="DS15" s="74">
        <f t="shared" si="56"/>
        <v>113034.71308001973</v>
      </c>
      <c r="DT15" s="193">
        <f t="shared" si="56"/>
        <v>113034.71308001973</v>
      </c>
      <c r="DU15" s="74">
        <f t="shared" si="56"/>
        <v>134943.07159645017</v>
      </c>
      <c r="DV15" s="74">
        <f t="shared" ref="DV15:DY15" si="57">SUM(DV7:DV14)</f>
        <v>126603.84658999728</v>
      </c>
      <c r="DW15" s="74">
        <f t="shared" si="57"/>
        <v>124605.01472236535</v>
      </c>
      <c r="DX15" s="74">
        <f t="shared" si="57"/>
        <v>123426.34000367839</v>
      </c>
      <c r="DY15" s="193">
        <f t="shared" si="57"/>
        <v>123426.34000367839</v>
      </c>
      <c r="DZ15" s="193">
        <f t="shared" ref="DZ15:EB15" si="58">SUM(DZ7:DZ14)</f>
        <v>105166.36649591112</v>
      </c>
      <c r="EA15" s="193">
        <f t="shared" si="58"/>
        <v>111187.64056598698</v>
      </c>
      <c r="EB15" s="193">
        <f t="shared" si="58"/>
        <v>115242.72215829945</v>
      </c>
    </row>
    <row r="16" spans="1:132">
      <c r="B16" s="68" t="s">
        <v>56</v>
      </c>
      <c r="C16" s="67">
        <f>Data!C56</f>
        <v>4339</v>
      </c>
      <c r="D16" s="67">
        <f>Data!D56</f>
        <v>4930</v>
      </c>
      <c r="E16" s="67">
        <f>Data!E56</f>
        <v>5205</v>
      </c>
      <c r="F16" s="67">
        <f>Data!F56</f>
        <v>5964</v>
      </c>
      <c r="G16" s="67">
        <f>Data!G56</f>
        <v>9345</v>
      </c>
      <c r="H16" s="67">
        <f>Data!H56</f>
        <v>10922</v>
      </c>
      <c r="I16" s="67">
        <f>Data!I56</f>
        <v>12094</v>
      </c>
      <c r="J16" s="68">
        <f>Data!J56</f>
        <v>12588</v>
      </c>
      <c r="K16" s="68">
        <f>Data!K56</f>
        <v>10823</v>
      </c>
      <c r="L16" s="68">
        <f>Data!L56</f>
        <v>10710</v>
      </c>
      <c r="M16" s="68">
        <f>Data!M56</f>
        <v>10385</v>
      </c>
      <c r="N16" s="67">
        <f t="shared" si="2"/>
        <v>10385</v>
      </c>
      <c r="O16" s="68">
        <f>Data!O56</f>
        <v>10338</v>
      </c>
      <c r="P16" s="68">
        <f>Data!P56</f>
        <v>9894</v>
      </c>
      <c r="Q16" s="68">
        <f>Data!Q56</f>
        <v>9757</v>
      </c>
      <c r="R16" s="68">
        <f>Data!R56</f>
        <v>9639</v>
      </c>
      <c r="S16" s="67">
        <f t="shared" si="3"/>
        <v>9639</v>
      </c>
      <c r="T16" s="68">
        <f>Data!T56</f>
        <v>9607</v>
      </c>
      <c r="U16" s="68">
        <f>Data!U56</f>
        <v>9055</v>
      </c>
      <c r="V16" s="68">
        <f>Data!V56</f>
        <v>8791</v>
      </c>
      <c r="W16" s="68">
        <f>Data!W56</f>
        <v>8520</v>
      </c>
      <c r="X16" s="67">
        <f t="shared" si="4"/>
        <v>8520</v>
      </c>
      <c r="Y16" s="68">
        <f>Data!Y56</f>
        <v>8255</v>
      </c>
      <c r="Z16" s="68">
        <f>Data!Z56</f>
        <v>7227</v>
      </c>
      <c r="AA16" s="68">
        <f>Data!AA56</f>
        <v>6925</v>
      </c>
      <c r="AB16" s="68">
        <f>Data!AB56</f>
        <v>6777</v>
      </c>
      <c r="AC16" s="67">
        <f t="shared" si="5"/>
        <v>6777</v>
      </c>
      <c r="AD16" s="68">
        <f>Data!AD56</f>
        <v>6699</v>
      </c>
      <c r="AE16" s="68">
        <f>Data!AE56</f>
        <v>6370</v>
      </c>
      <c r="AF16" s="68">
        <f>Data!AF56</f>
        <v>5989</v>
      </c>
      <c r="AG16" s="68">
        <f>Data!AG56</f>
        <v>5857</v>
      </c>
      <c r="AH16" s="67">
        <f t="shared" si="6"/>
        <v>5857</v>
      </c>
      <c r="AI16" s="68">
        <f>Data!AI56</f>
        <v>5854</v>
      </c>
      <c r="AJ16" s="68">
        <f>Data!AJ56</f>
        <v>5969</v>
      </c>
      <c r="AK16" s="68">
        <f>Data!AK56</f>
        <v>5923</v>
      </c>
      <c r="AL16" s="68">
        <f>Data!AL56</f>
        <v>5466</v>
      </c>
      <c r="AM16" s="67">
        <f t="shared" ref="AM16:AM23" si="59">AL16</f>
        <v>5466</v>
      </c>
      <c r="AN16" s="241">
        <f>Data!AN56</f>
        <v>5273</v>
      </c>
      <c r="AO16" s="241">
        <f>Data!AO56</f>
        <v>5084</v>
      </c>
      <c r="AP16" s="241">
        <f>Data!AP56</f>
        <v>4688</v>
      </c>
      <c r="AQ16" s="241">
        <f>Data!AQ56</f>
        <v>4395</v>
      </c>
      <c r="AR16" s="67">
        <f t="shared" ref="AR16:AR23" si="60">AQ16</f>
        <v>4395</v>
      </c>
      <c r="AS16" s="241">
        <f>Data!AS56</f>
        <v>4320</v>
      </c>
      <c r="AT16" s="241">
        <f>Data!AT56</f>
        <v>4217</v>
      </c>
      <c r="AU16" s="121">
        <f>Data!AU56</f>
        <v>4313</v>
      </c>
      <c r="AV16" s="121">
        <f>Data!AV56</f>
        <v>4296</v>
      </c>
      <c r="AW16" s="67">
        <f t="shared" si="7"/>
        <v>4296</v>
      </c>
      <c r="AX16" s="121">
        <f>Data!AX56</f>
        <v>4139</v>
      </c>
      <c r="AY16" s="121">
        <f>Data!AY56</f>
        <v>4068</v>
      </c>
      <c r="AZ16" s="121">
        <f>Data!AZ56</f>
        <v>4028</v>
      </c>
      <c r="BA16" s="121">
        <f>Data!BA56</f>
        <v>4056</v>
      </c>
      <c r="BB16" s="67">
        <f t="shared" si="8"/>
        <v>4056</v>
      </c>
      <c r="BC16" s="121">
        <f>Data!BC56</f>
        <v>3910</v>
      </c>
      <c r="BD16" s="121">
        <f>Data!BD56</f>
        <v>3991</v>
      </c>
      <c r="BE16" s="121">
        <f>Data!BE56</f>
        <v>3903</v>
      </c>
      <c r="BF16" s="121">
        <f>Data!BF56</f>
        <v>3627</v>
      </c>
      <c r="BG16" s="67">
        <f t="shared" si="9"/>
        <v>3627</v>
      </c>
      <c r="BH16" s="121">
        <f>Data!BH56</f>
        <v>3280</v>
      </c>
      <c r="BI16" s="121">
        <f>Data!BI56</f>
        <v>3180</v>
      </c>
      <c r="BJ16" s="121">
        <f>Data!BJ56</f>
        <v>3347</v>
      </c>
      <c r="BK16" s="121">
        <f>Data!BK56</f>
        <v>3371</v>
      </c>
      <c r="BL16" s="67">
        <f t="shared" si="10"/>
        <v>3371</v>
      </c>
      <c r="BM16" s="121">
        <f>Data!BM56</f>
        <v>3301</v>
      </c>
      <c r="BN16" s="121">
        <f>Data!BN56</f>
        <v>3175</v>
      </c>
      <c r="BO16" s="121">
        <f>Data!BO56</f>
        <v>3231</v>
      </c>
      <c r="BP16" s="121">
        <f>Data!BP56</f>
        <v>3358</v>
      </c>
      <c r="BQ16" s="67">
        <f t="shared" si="11"/>
        <v>3358</v>
      </c>
      <c r="BR16" s="121">
        <f>Data!BR56</f>
        <v>2980</v>
      </c>
      <c r="BS16" s="121">
        <f>Data!BS56</f>
        <v>2909</v>
      </c>
      <c r="BT16" s="121">
        <f>Data!BT56</f>
        <v>3401</v>
      </c>
      <c r="BU16" s="121">
        <f>Data!BU56</f>
        <v>3773</v>
      </c>
      <c r="BV16" s="67">
        <f t="shared" si="12"/>
        <v>3773</v>
      </c>
      <c r="BW16" s="121">
        <f>Data!BW56</f>
        <v>3527</v>
      </c>
      <c r="BX16" s="121">
        <f>Data!BX56</f>
        <v>3398</v>
      </c>
      <c r="BY16" s="121">
        <f>Data!BY56</f>
        <v>3039</v>
      </c>
      <c r="BZ16" s="121">
        <f>Data!BZ56</f>
        <v>2740</v>
      </c>
      <c r="CA16" s="67">
        <f t="shared" ref="CA16:CA23" si="61">BZ16</f>
        <v>2740</v>
      </c>
      <c r="CB16" s="121">
        <f>Data!CB56</f>
        <v>2753</v>
      </c>
      <c r="CC16" s="121">
        <f>Data!CC56</f>
        <v>2817</v>
      </c>
      <c r="CD16" s="121">
        <f>Data!CD56</f>
        <v>2785</v>
      </c>
      <c r="CE16" s="121">
        <f>Data!CE56</f>
        <v>2418</v>
      </c>
      <c r="CF16" s="67">
        <f t="shared" ref="CF16:CF23" si="62">CE16</f>
        <v>2418</v>
      </c>
      <c r="CG16" s="121">
        <f>Data!CG56</f>
        <v>2236</v>
      </c>
      <c r="CH16" s="121">
        <f>Data!CH56</f>
        <v>2139</v>
      </c>
      <c r="CI16" s="121">
        <f>Data!CI56</f>
        <v>2077</v>
      </c>
      <c r="CJ16" s="121">
        <f>Data!CJ56</f>
        <v>2136</v>
      </c>
      <c r="CK16" s="67">
        <f t="shared" ref="CK16:CK23" si="63">CJ16</f>
        <v>2136</v>
      </c>
      <c r="CL16" s="121">
        <f>Data!CL56</f>
        <v>2116</v>
      </c>
      <c r="CM16" s="121">
        <f>Data!CM56</f>
        <v>2054</v>
      </c>
      <c r="CN16" s="121">
        <f>Data!CN56</f>
        <v>2010</v>
      </c>
      <c r="CO16" s="121">
        <f>Data!CO56</f>
        <v>1936</v>
      </c>
      <c r="CP16" s="120">
        <f t="shared" ref="CP16:CP23" si="64">CO16</f>
        <v>1936</v>
      </c>
      <c r="CQ16" s="121">
        <f>Data!CQ56</f>
        <v>1895</v>
      </c>
      <c r="CR16" s="121">
        <f>Data!CR56</f>
        <v>1865</v>
      </c>
      <c r="CS16" s="121">
        <f>Data!CS56</f>
        <v>1795</v>
      </c>
      <c r="CT16" s="121">
        <f>Data!CT56</f>
        <v>1695</v>
      </c>
      <c r="CU16" s="120">
        <f t="shared" ref="CU16:CU23" si="65">CT16</f>
        <v>1695</v>
      </c>
      <c r="CV16" s="121">
        <f>Data!CV56</f>
        <v>1580</v>
      </c>
      <c r="CW16" s="121">
        <f>Data!CW56</f>
        <v>1542</v>
      </c>
      <c r="CX16" s="121">
        <f>Data!CX56</f>
        <v>1513</v>
      </c>
      <c r="CY16" s="121">
        <f>Data!CY56</f>
        <v>1450</v>
      </c>
      <c r="CZ16" s="120">
        <f t="shared" ref="CZ16:CZ23" si="66">CY16</f>
        <v>1450</v>
      </c>
      <c r="DA16" s="121">
        <f>Data!DA56</f>
        <v>1372</v>
      </c>
      <c r="DB16" s="121">
        <f>Data!DB56</f>
        <v>1105</v>
      </c>
      <c r="DC16" s="121">
        <f>Data!DC56</f>
        <v>963</v>
      </c>
      <c r="DD16" s="121">
        <f>Data!DD56</f>
        <v>860</v>
      </c>
      <c r="DE16" s="120">
        <f t="shared" ref="DE16:DO23" si="67">DD16</f>
        <v>860</v>
      </c>
      <c r="DF16" s="121">
        <f>Data!DF56</f>
        <v>833</v>
      </c>
      <c r="DG16" s="121">
        <f>Data!DG56</f>
        <v>785</v>
      </c>
      <c r="DH16" s="121">
        <f>Data!DH56</f>
        <v>321</v>
      </c>
      <c r="DI16" s="121">
        <f>Data!DI56</f>
        <v>314</v>
      </c>
      <c r="DJ16" s="120">
        <f t="shared" si="67"/>
        <v>314</v>
      </c>
      <c r="DK16" s="121">
        <f>Data!DK56</f>
        <v>308</v>
      </c>
      <c r="DL16" s="121">
        <f>Data!DL56</f>
        <v>318</v>
      </c>
      <c r="DM16" s="121">
        <f>Data!DM56</f>
        <v>245</v>
      </c>
      <c r="DN16" s="121">
        <f>Data!DN56</f>
        <v>241</v>
      </c>
      <c r="DO16" s="120">
        <f t="shared" si="67"/>
        <v>241</v>
      </c>
      <c r="DP16" s="121">
        <f>Data!DP56</f>
        <v>389</v>
      </c>
      <c r="DQ16" s="121">
        <f>Data!DQ56</f>
        <v>365</v>
      </c>
      <c r="DR16" s="179">
        <f t="shared" ref="DR16" si="68">DQ16</f>
        <v>365</v>
      </c>
      <c r="DS16" s="179">
        <f t="shared" ref="DS16" si="69">DR16</f>
        <v>365</v>
      </c>
      <c r="DT16" s="120">
        <f t="shared" ref="DT16:DT23" si="70">DS16</f>
        <v>365</v>
      </c>
      <c r="DU16" s="179">
        <f t="shared" ref="DU16" si="71">DT16</f>
        <v>365</v>
      </c>
      <c r="DV16" s="179">
        <f t="shared" ref="DV16" si="72">DU16</f>
        <v>365</v>
      </c>
      <c r="DW16" s="179">
        <f t="shared" ref="DW16" si="73">DV16</f>
        <v>365</v>
      </c>
      <c r="DX16" s="179">
        <f t="shared" ref="DX16" si="74">DW16</f>
        <v>365</v>
      </c>
      <c r="DY16" s="120">
        <f t="shared" ref="DY16:DY23" si="75">DX16</f>
        <v>365</v>
      </c>
      <c r="DZ16" s="180">
        <f t="shared" ref="DZ16" si="76">DY16</f>
        <v>365</v>
      </c>
      <c r="EA16" s="180">
        <f t="shared" ref="EA16" si="77">DZ16</f>
        <v>365</v>
      </c>
      <c r="EB16" s="180">
        <f t="shared" ref="EB16" si="78">EA16</f>
        <v>365</v>
      </c>
    </row>
    <row r="17" spans="2:132">
      <c r="B17" s="68" t="s">
        <v>57</v>
      </c>
      <c r="C17" s="67">
        <f>Data!C57</f>
        <v>8391</v>
      </c>
      <c r="D17" s="67">
        <f>Data!D57</f>
        <v>8589</v>
      </c>
      <c r="E17" s="67">
        <f>Data!E57</f>
        <v>8245</v>
      </c>
      <c r="F17" s="67">
        <f>Data!F57</f>
        <v>8814</v>
      </c>
      <c r="G17" s="67">
        <f>Data!G57</f>
        <v>8459</v>
      </c>
      <c r="H17" s="67">
        <f>Data!H57</f>
        <v>8765</v>
      </c>
      <c r="I17" s="67">
        <f>Data!I57</f>
        <v>8432</v>
      </c>
      <c r="J17" s="68">
        <f>Data!J57</f>
        <v>8383</v>
      </c>
      <c r="K17" s="68">
        <f>Data!K57</f>
        <v>8252</v>
      </c>
      <c r="L17" s="68">
        <f>Data!L57</f>
        <v>8333</v>
      </c>
      <c r="M17" s="68">
        <f>Data!M57</f>
        <v>8443</v>
      </c>
      <c r="N17" s="67">
        <f t="shared" si="2"/>
        <v>8443</v>
      </c>
      <c r="O17" s="68">
        <f>Data!O57</f>
        <v>8467</v>
      </c>
      <c r="P17" s="68">
        <f>Data!P57</f>
        <v>8121</v>
      </c>
      <c r="Q17" s="68">
        <f>Data!Q57</f>
        <v>8268</v>
      </c>
      <c r="R17" s="68">
        <f>Data!R57</f>
        <v>8420</v>
      </c>
      <c r="S17" s="67">
        <f t="shared" si="3"/>
        <v>8420</v>
      </c>
      <c r="T17" s="68">
        <f>Data!T57</f>
        <v>8891</v>
      </c>
      <c r="U17" s="68">
        <f>Data!U57</f>
        <v>9042</v>
      </c>
      <c r="V17" s="68">
        <f>Data!V57</f>
        <v>8670</v>
      </c>
      <c r="W17" s="68">
        <f>Data!W57</f>
        <v>7675</v>
      </c>
      <c r="X17" s="67">
        <f t="shared" si="4"/>
        <v>7675</v>
      </c>
      <c r="Y17" s="68">
        <f>Data!Y57</f>
        <v>7837</v>
      </c>
      <c r="Z17" s="68">
        <f>Data!Z57</f>
        <v>7985</v>
      </c>
      <c r="AA17" s="68">
        <f>Data!AA57</f>
        <v>8182</v>
      </c>
      <c r="AB17" s="68">
        <f>Data!AB57</f>
        <v>8265</v>
      </c>
      <c r="AC17" s="67">
        <f t="shared" si="5"/>
        <v>8265</v>
      </c>
      <c r="AD17" s="68">
        <f>Data!AD57</f>
        <v>8376</v>
      </c>
      <c r="AE17" s="68">
        <f>Data!AE57</f>
        <v>8585</v>
      </c>
      <c r="AF17" s="68">
        <f>Data!AF57</f>
        <v>8686</v>
      </c>
      <c r="AG17" s="68">
        <f>Data!AG57</f>
        <v>8762</v>
      </c>
      <c r="AH17" s="67">
        <f t="shared" si="6"/>
        <v>8762</v>
      </c>
      <c r="AI17" s="68">
        <f>Data!AI57</f>
        <v>8798</v>
      </c>
      <c r="AJ17" s="68">
        <f>Data!AJ57</f>
        <v>8808</v>
      </c>
      <c r="AK17" s="68">
        <f>Data!AK57</f>
        <v>8912</v>
      </c>
      <c r="AL17" s="68">
        <f>Data!AL57</f>
        <v>8784</v>
      </c>
      <c r="AM17" s="67">
        <f t="shared" si="59"/>
        <v>8784</v>
      </c>
      <c r="AN17" s="241">
        <f>Data!AN57</f>
        <v>8693</v>
      </c>
      <c r="AO17" s="241">
        <f>Data!AO57</f>
        <v>8584</v>
      </c>
      <c r="AP17" s="241">
        <f>Data!AP57</f>
        <v>8671</v>
      </c>
      <c r="AQ17" s="241">
        <f>Data!AQ57</f>
        <v>8931</v>
      </c>
      <c r="AR17" s="67">
        <f t="shared" si="60"/>
        <v>8931</v>
      </c>
      <c r="AS17" s="241">
        <f>Data!AS57</f>
        <v>8973</v>
      </c>
      <c r="AT17" s="241">
        <f>Data!AT57</f>
        <v>9044</v>
      </c>
      <c r="AU17" s="121">
        <f>Data!AU57</f>
        <v>9190</v>
      </c>
      <c r="AV17" s="121">
        <f>Data!AV57</f>
        <v>9313</v>
      </c>
      <c r="AW17" s="67">
        <f t="shared" si="7"/>
        <v>9313</v>
      </c>
      <c r="AX17" s="121">
        <f>Data!AX57</f>
        <v>9399</v>
      </c>
      <c r="AY17" s="121">
        <f>Data!AY57</f>
        <v>9453</v>
      </c>
      <c r="AZ17" s="121">
        <f>Data!AZ57</f>
        <v>9496</v>
      </c>
      <c r="BA17" s="121">
        <f>Data!BA57</f>
        <v>9660</v>
      </c>
      <c r="BB17" s="67">
        <f t="shared" si="8"/>
        <v>9660</v>
      </c>
      <c r="BC17" s="121">
        <f>Data!BC57</f>
        <v>9736</v>
      </c>
      <c r="BD17" s="121">
        <f>Data!BD57</f>
        <v>9814</v>
      </c>
      <c r="BE17" s="121">
        <f>Data!BE57</f>
        <v>9987</v>
      </c>
      <c r="BF17" s="121">
        <f>Data!BF57</f>
        <v>10224</v>
      </c>
      <c r="BG17" s="67">
        <f t="shared" si="9"/>
        <v>10224</v>
      </c>
      <c r="BH17" s="121">
        <f>Data!BH57</f>
        <v>10263</v>
      </c>
      <c r="BI17" s="121">
        <f>Data!BI57</f>
        <v>10449</v>
      </c>
      <c r="BJ17" s="121">
        <f>Data!BJ57</f>
        <v>10707</v>
      </c>
      <c r="BK17" s="121">
        <f>Data!BK57</f>
        <v>11007</v>
      </c>
      <c r="BL17" s="67">
        <f t="shared" si="10"/>
        <v>11007</v>
      </c>
      <c r="BM17" s="121">
        <f>Data!BM57</f>
        <v>11172</v>
      </c>
      <c r="BN17" s="121">
        <f>Data!BN57</f>
        <v>11338</v>
      </c>
      <c r="BO17" s="121">
        <f>Data!BO57</f>
        <v>11614</v>
      </c>
      <c r="BP17" s="121">
        <f>Data!BP57</f>
        <v>12076</v>
      </c>
      <c r="BQ17" s="67">
        <f t="shared" si="11"/>
        <v>12076</v>
      </c>
      <c r="BR17" s="121">
        <f>Data!BR57</f>
        <v>12269</v>
      </c>
      <c r="BS17" s="121">
        <f>Data!BS57</f>
        <v>12533</v>
      </c>
      <c r="BT17" s="121">
        <f>Data!BT57</f>
        <v>12713</v>
      </c>
      <c r="BU17" s="121">
        <f>Data!BU57</f>
        <v>12807</v>
      </c>
      <c r="BV17" s="67">
        <f t="shared" si="12"/>
        <v>12807</v>
      </c>
      <c r="BW17" s="121">
        <f>Data!BW57</f>
        <v>12842</v>
      </c>
      <c r="BX17" s="121">
        <f>Data!BX57</f>
        <v>12820</v>
      </c>
      <c r="BY17" s="121">
        <f>Data!BY57</f>
        <v>12712</v>
      </c>
      <c r="BZ17" s="121">
        <f>Data!BZ57</f>
        <v>12672</v>
      </c>
      <c r="CA17" s="67">
        <f t="shared" si="61"/>
        <v>12672</v>
      </c>
      <c r="CB17" s="121">
        <f>Data!CB57</f>
        <v>12628</v>
      </c>
      <c r="CC17" s="121">
        <f>Data!CC57</f>
        <v>12605</v>
      </c>
      <c r="CD17" s="121">
        <f>Data!CD57</f>
        <v>12571</v>
      </c>
      <c r="CE17" s="121">
        <f>Data!CE57</f>
        <v>12645</v>
      </c>
      <c r="CF17" s="67">
        <f t="shared" si="62"/>
        <v>12645</v>
      </c>
      <c r="CG17" s="121">
        <f>Data!CG57</f>
        <v>12594</v>
      </c>
      <c r="CH17" s="121">
        <f>Data!CH57</f>
        <v>12601</v>
      </c>
      <c r="CI17" s="121">
        <f>Data!CI57</f>
        <v>12527</v>
      </c>
      <c r="CJ17" s="121">
        <f>Data!CJ57</f>
        <v>12502</v>
      </c>
      <c r="CK17" s="67">
        <f t="shared" si="63"/>
        <v>12502</v>
      </c>
      <c r="CL17" s="121">
        <f>Data!CL57</f>
        <v>12405</v>
      </c>
      <c r="CM17" s="121">
        <f>Data!CM57</f>
        <v>12182</v>
      </c>
      <c r="CN17" s="121">
        <f>Data!CN57</f>
        <v>11969</v>
      </c>
      <c r="CO17" s="121">
        <f>Data!CO57</f>
        <v>11820</v>
      </c>
      <c r="CP17" s="120">
        <f t="shared" si="64"/>
        <v>11820</v>
      </c>
      <c r="CQ17" s="121">
        <f>Data!CQ57</f>
        <v>11643</v>
      </c>
      <c r="CR17" s="121">
        <f>Data!CR57</f>
        <v>11341</v>
      </c>
      <c r="CS17" s="121">
        <f>Data!CS57</f>
        <v>11113</v>
      </c>
      <c r="CT17" s="121">
        <f>Data!CT57</f>
        <v>10918</v>
      </c>
      <c r="CU17" s="120">
        <f t="shared" si="65"/>
        <v>10918</v>
      </c>
      <c r="CV17" s="121">
        <f>Data!CV57</f>
        <v>10755</v>
      </c>
      <c r="CW17" s="121">
        <f>Data!CW57</f>
        <v>10617</v>
      </c>
      <c r="CX17" s="121">
        <f>Data!CX57</f>
        <v>10508</v>
      </c>
      <c r="CY17" s="121">
        <f>Data!CY57</f>
        <v>10550</v>
      </c>
      <c r="CZ17" s="120">
        <f t="shared" si="66"/>
        <v>10550</v>
      </c>
      <c r="DA17" s="121">
        <f>Data!DA57</f>
        <v>10493</v>
      </c>
      <c r="DB17" s="121">
        <f>Data!DB57</f>
        <v>10455</v>
      </c>
      <c r="DC17" s="121">
        <f>Data!DC57</f>
        <v>10484</v>
      </c>
      <c r="DD17" s="121">
        <f>Data!DD57</f>
        <v>10661</v>
      </c>
      <c r="DE17" s="120">
        <f t="shared" si="67"/>
        <v>10661</v>
      </c>
      <c r="DF17" s="121">
        <f>Data!DF57</f>
        <v>10696</v>
      </c>
      <c r="DG17" s="121">
        <f>Data!DG57</f>
        <v>10976</v>
      </c>
      <c r="DH17" s="121">
        <f>Data!DH57</f>
        <v>11236</v>
      </c>
      <c r="DI17" s="121">
        <f>Data!DI57</f>
        <v>11412</v>
      </c>
      <c r="DJ17" s="120">
        <f t="shared" si="67"/>
        <v>11412</v>
      </c>
      <c r="DK17" s="121">
        <f>Data!DK57</f>
        <v>11459</v>
      </c>
      <c r="DL17" s="121">
        <f>Data!DL57</f>
        <v>11658</v>
      </c>
      <c r="DM17" s="121">
        <f>Data!DM57</f>
        <v>12078</v>
      </c>
      <c r="DN17" s="121">
        <f>Data!DN57</f>
        <v>15361</v>
      </c>
      <c r="DO17" s="120">
        <f t="shared" si="67"/>
        <v>15361</v>
      </c>
      <c r="DP17" s="121">
        <f>Data!DP57</f>
        <v>15763</v>
      </c>
      <c r="DQ17" s="121">
        <f>Data!DQ57</f>
        <v>16321</v>
      </c>
      <c r="DR17" s="184">
        <f>DQ17-CFLO!DR33-CFLO!DR34-CFLO!DR9-CFLO!DR35*0.4</f>
        <v>16676</v>
      </c>
      <c r="DS17" s="184">
        <f>DR17-CFLO!DS33-CFLO!DS34-CFLO!DS9-CFLO!DS35*0.4</f>
        <v>17041</v>
      </c>
      <c r="DT17" s="120">
        <f t="shared" si="70"/>
        <v>17041</v>
      </c>
      <c r="DU17" s="184">
        <f>DT17-CFLO!DU33-CFLO!DU34-CFLO!DU9-CFLO!DU35*0.4</f>
        <v>17336</v>
      </c>
      <c r="DV17" s="184">
        <f>DU17-CFLO!DV33-CFLO!DV34-CFLO!DV9-CFLO!DV35*0.4</f>
        <v>17531</v>
      </c>
      <c r="DW17" s="184">
        <f>DV17-CFLO!DW33-CFLO!DW34-CFLO!DW9-CFLO!DW35*0.4</f>
        <v>17656</v>
      </c>
      <c r="DX17" s="184">
        <f>DW17-CFLO!DX33-CFLO!DX34-CFLO!DX9-CFLO!DX35*0.4</f>
        <v>17751</v>
      </c>
      <c r="DY17" s="120">
        <f t="shared" si="75"/>
        <v>17751</v>
      </c>
      <c r="DZ17" s="185">
        <f>DY17-CFLO!DZ33-CFLO!DZ34-CFLO!DZ9-CFLO!DZ35*0.4</f>
        <v>17931</v>
      </c>
      <c r="EA17" s="185">
        <f>DZ17-CFLO!EA33-CFLO!EA34-CFLO!EA9-CFLO!EA35*0.4</f>
        <v>18161</v>
      </c>
      <c r="EB17" s="185">
        <f>EA17-CFLO!EB33-CFLO!EB34-CFLO!EB9-CFLO!EB35*0.4</f>
        <v>18541</v>
      </c>
    </row>
    <row r="18" spans="2:132">
      <c r="B18" s="68" t="s">
        <v>58</v>
      </c>
      <c r="C18" s="67">
        <f>Data!C58</f>
        <v>2395</v>
      </c>
      <c r="D18" s="67">
        <f>Data!D58</f>
        <v>2312</v>
      </c>
      <c r="E18" s="67">
        <f>Data!E58</f>
        <v>2233</v>
      </c>
      <c r="F18" s="67">
        <f>Data!F58</f>
        <v>5214</v>
      </c>
      <c r="G18" s="67">
        <f>Data!G58</f>
        <v>6443</v>
      </c>
      <c r="H18" s="67">
        <f>Data!H58</f>
        <v>2760</v>
      </c>
      <c r="I18" s="67">
        <f>Data!I58</f>
        <v>1913</v>
      </c>
      <c r="J18" s="68">
        <f>Data!J58</f>
        <v>1915</v>
      </c>
      <c r="K18" s="68">
        <f>Data!K58</f>
        <v>1923</v>
      </c>
      <c r="L18" s="68">
        <f>Data!L58</f>
        <v>1947</v>
      </c>
      <c r="M18" s="68">
        <f>Data!M58</f>
        <v>1948</v>
      </c>
      <c r="N18" s="67">
        <f t="shared" si="2"/>
        <v>1948</v>
      </c>
      <c r="O18" s="68">
        <f>Data!O58</f>
        <v>1928</v>
      </c>
      <c r="P18" s="68">
        <f>Data!P58</f>
        <v>1906</v>
      </c>
      <c r="Q18" s="68">
        <f>Data!Q58</f>
        <v>1903</v>
      </c>
      <c r="R18" s="68">
        <f>Data!R58</f>
        <v>1924</v>
      </c>
      <c r="S18" s="67">
        <f t="shared" si="3"/>
        <v>1924</v>
      </c>
      <c r="T18" s="68">
        <f>Data!T58</f>
        <v>1922</v>
      </c>
      <c r="U18" s="68">
        <f>Data!U58</f>
        <v>2037</v>
      </c>
      <c r="V18" s="68">
        <f>Data!V58</f>
        <v>3208</v>
      </c>
      <c r="W18" s="68">
        <f>Data!W58</f>
        <v>3047</v>
      </c>
      <c r="X18" s="67">
        <f t="shared" si="4"/>
        <v>3047</v>
      </c>
      <c r="Y18" s="68">
        <f>Data!Y58</f>
        <v>3091</v>
      </c>
      <c r="Z18" s="68">
        <f>Data!Z58</f>
        <v>3092</v>
      </c>
      <c r="AA18" s="68">
        <f>Data!AA58</f>
        <v>3096</v>
      </c>
      <c r="AB18" s="68">
        <f>Data!AB58</f>
        <v>3081</v>
      </c>
      <c r="AC18" s="67">
        <f t="shared" si="5"/>
        <v>3081</v>
      </c>
      <c r="AD18" s="68">
        <f>Data!AD58</f>
        <v>3135</v>
      </c>
      <c r="AE18" s="68">
        <f>Data!AE58</f>
        <v>3232</v>
      </c>
      <c r="AF18" s="68">
        <f>Data!AF58</f>
        <v>3530</v>
      </c>
      <c r="AG18" s="68">
        <f>Data!AG58</f>
        <v>3647</v>
      </c>
      <c r="AH18" s="67">
        <f t="shared" si="6"/>
        <v>3647</v>
      </c>
      <c r="AI18" s="68">
        <f>Data!AI58</f>
        <v>3654</v>
      </c>
      <c r="AJ18" s="68">
        <f>Data!AJ58</f>
        <v>3688</v>
      </c>
      <c r="AK18" s="68">
        <f>Data!AK58</f>
        <v>4293</v>
      </c>
      <c r="AL18" s="68">
        <f>Data!AL58</f>
        <v>4319</v>
      </c>
      <c r="AM18" s="67">
        <f t="shared" si="59"/>
        <v>4319</v>
      </c>
      <c r="AN18" s="241">
        <f>Data!AN58</f>
        <v>4317</v>
      </c>
      <c r="AO18" s="241">
        <f>Data!AO58</f>
        <v>4302</v>
      </c>
      <c r="AP18" s="241">
        <f>Data!AP58</f>
        <v>4871</v>
      </c>
      <c r="AQ18" s="241">
        <f>Data!AQ58</f>
        <v>4937</v>
      </c>
      <c r="AR18" s="67">
        <f t="shared" si="60"/>
        <v>4937</v>
      </c>
      <c r="AS18" s="241">
        <f>Data!AS58</f>
        <v>4944</v>
      </c>
      <c r="AT18" s="241">
        <f>Data!AT58</f>
        <v>4949</v>
      </c>
      <c r="AU18" s="121">
        <f>Data!AU58</f>
        <v>4939</v>
      </c>
      <c r="AV18" s="121">
        <f>Data!AV58</f>
        <v>4945</v>
      </c>
      <c r="AW18" s="67">
        <f t="shared" si="7"/>
        <v>4945</v>
      </c>
      <c r="AX18" s="121">
        <f>Data!AX58</f>
        <v>4950</v>
      </c>
      <c r="AY18" s="121">
        <f>Data!AY58</f>
        <v>4955</v>
      </c>
      <c r="AZ18" s="121">
        <f>Data!AZ58</f>
        <v>4961</v>
      </c>
      <c r="BA18" s="121">
        <f>Data!BA58</f>
        <v>5035</v>
      </c>
      <c r="BB18" s="67">
        <f t="shared" si="8"/>
        <v>5035</v>
      </c>
      <c r="BC18" s="121">
        <f>Data!BC58</f>
        <v>5049</v>
      </c>
      <c r="BD18" s="121">
        <f>Data!BD58</f>
        <v>5043</v>
      </c>
      <c r="BE18" s="121">
        <f>Data!BE58</f>
        <v>5047</v>
      </c>
      <c r="BF18" s="121">
        <f>Data!BF58</f>
        <v>5043</v>
      </c>
      <c r="BG18" s="67">
        <f t="shared" si="9"/>
        <v>5043</v>
      </c>
      <c r="BH18" s="121">
        <f>Data!BH58</f>
        <v>5046</v>
      </c>
      <c r="BI18" s="121">
        <f>Data!BI58</f>
        <v>5139</v>
      </c>
      <c r="BJ18" s="121">
        <f>Data!BJ58</f>
        <v>5131</v>
      </c>
      <c r="BK18" s="121">
        <f>Data!BK58</f>
        <v>5119</v>
      </c>
      <c r="BL18" s="67">
        <f t="shared" si="10"/>
        <v>5119</v>
      </c>
      <c r="BM18" s="121">
        <f>Data!BM58</f>
        <v>5105</v>
      </c>
      <c r="BN18" s="121">
        <f>Data!BN58</f>
        <v>5126</v>
      </c>
      <c r="BO18" s="121">
        <f>Data!BO58</f>
        <v>5122</v>
      </c>
      <c r="BP18" s="121">
        <f>Data!BP58</f>
        <v>5126</v>
      </c>
      <c r="BQ18" s="67">
        <f t="shared" si="11"/>
        <v>5126</v>
      </c>
      <c r="BR18" s="121">
        <f>Data!BR58</f>
        <v>5132</v>
      </c>
      <c r="BS18" s="121">
        <f>Data!BS58</f>
        <v>5128</v>
      </c>
      <c r="BT18" s="121">
        <f>Data!BT58</f>
        <v>5128</v>
      </c>
      <c r="BU18" s="121">
        <f>Data!BU58</f>
        <v>5324</v>
      </c>
      <c r="BV18" s="67">
        <f t="shared" si="12"/>
        <v>5324</v>
      </c>
      <c r="BW18" s="121">
        <f>Data!BW58</f>
        <v>5342</v>
      </c>
      <c r="BX18" s="121">
        <f>Data!BX58</f>
        <v>5347</v>
      </c>
      <c r="BY18" s="121">
        <f>Data!BY58</f>
        <v>5344</v>
      </c>
      <c r="BZ18" s="121">
        <f>Data!BZ58</f>
        <v>5559</v>
      </c>
      <c r="CA18" s="67">
        <f t="shared" si="61"/>
        <v>5559</v>
      </c>
      <c r="CB18" s="121">
        <f>Data!CB58</f>
        <v>5558</v>
      </c>
      <c r="CC18" s="121">
        <f>Data!CC58</f>
        <v>5550</v>
      </c>
      <c r="CD18" s="121">
        <f>Data!CD58</f>
        <v>5722</v>
      </c>
      <c r="CE18" s="121">
        <f>Data!CE58</f>
        <v>7840</v>
      </c>
      <c r="CF18" s="67">
        <f t="shared" si="62"/>
        <v>7840</v>
      </c>
      <c r="CG18" s="121">
        <f>Data!CG58</f>
        <v>7967</v>
      </c>
      <c r="CH18" s="121">
        <f>Data!CH58</f>
        <v>8051</v>
      </c>
      <c r="CI18" s="121">
        <f>Data!CI58</f>
        <v>8063</v>
      </c>
      <c r="CJ18" s="121">
        <f>Data!CJ58</f>
        <v>8060</v>
      </c>
      <c r="CK18" s="67">
        <f t="shared" si="63"/>
        <v>8060</v>
      </c>
      <c r="CL18" s="121">
        <f>Data!CL58</f>
        <v>8057</v>
      </c>
      <c r="CM18" s="121">
        <f>Data!CM58</f>
        <v>8064</v>
      </c>
      <c r="CN18" s="121">
        <f>Data!CN58</f>
        <v>8071</v>
      </c>
      <c r="CO18" s="121">
        <f>Data!CO58</f>
        <v>8081</v>
      </c>
      <c r="CP18" s="120">
        <f t="shared" si="64"/>
        <v>8081</v>
      </c>
      <c r="CQ18" s="121">
        <f>Data!CQ58</f>
        <v>8074</v>
      </c>
      <c r="CR18" s="121">
        <f>Data!CR58</f>
        <v>8076</v>
      </c>
      <c r="CS18" s="121">
        <f>Data!CS58</f>
        <v>8070</v>
      </c>
      <c r="CT18" s="121">
        <f>Data!CT58</f>
        <v>8068</v>
      </c>
      <c r="CU18" s="120">
        <f t="shared" si="65"/>
        <v>8068</v>
      </c>
      <c r="CV18" s="121">
        <f>Data!CV58</f>
        <v>8065</v>
      </c>
      <c r="CW18" s="121">
        <f>Data!CW58</f>
        <v>8055</v>
      </c>
      <c r="CX18" s="121">
        <f>Data!CX58</f>
        <v>8045</v>
      </c>
      <c r="CY18" s="121">
        <f>Data!CY58</f>
        <v>8057</v>
      </c>
      <c r="CZ18" s="120">
        <f t="shared" si="66"/>
        <v>8057</v>
      </c>
      <c r="DA18" s="121">
        <f>Data!DA58</f>
        <v>8063</v>
      </c>
      <c r="DB18" s="121">
        <f>Data!DB58</f>
        <v>8061</v>
      </c>
      <c r="DC18" s="121">
        <f>Data!DC58</f>
        <v>8069</v>
      </c>
      <c r="DD18" s="121">
        <f>Data!DD58</f>
        <v>8093</v>
      </c>
      <c r="DE18" s="120">
        <f t="shared" si="67"/>
        <v>8093</v>
      </c>
      <c r="DF18" s="121">
        <f>Data!DF58</f>
        <v>8089</v>
      </c>
      <c r="DG18" s="121">
        <f>Data!DG58</f>
        <v>8108</v>
      </c>
      <c r="DH18" s="121">
        <f>Data!DH58</f>
        <v>8112</v>
      </c>
      <c r="DI18" s="121">
        <f>Data!DI58</f>
        <v>8084</v>
      </c>
      <c r="DJ18" s="120">
        <f t="shared" si="67"/>
        <v>8084</v>
      </c>
      <c r="DK18" s="121">
        <f>Data!DK58</f>
        <v>8091</v>
      </c>
      <c r="DL18" s="121">
        <f>Data!DL58</f>
        <v>7280</v>
      </c>
      <c r="DM18" s="121">
        <f>Data!DM58</f>
        <v>7281</v>
      </c>
      <c r="DN18" s="121">
        <f>Data!DN58</f>
        <v>17275</v>
      </c>
      <c r="DO18" s="120">
        <f t="shared" si="67"/>
        <v>17275</v>
      </c>
      <c r="DP18" s="121">
        <f>Data!DP58</f>
        <v>17633</v>
      </c>
      <c r="DQ18" s="121">
        <f>Data!DQ58</f>
        <v>17554</v>
      </c>
      <c r="DR18" s="184">
        <f>DQ18-CFLO!DR35*0.2</f>
        <v>17554</v>
      </c>
      <c r="DS18" s="184">
        <f>DR18-CFLO!DS35*0.2</f>
        <v>17554</v>
      </c>
      <c r="DT18" s="120">
        <f t="shared" si="70"/>
        <v>17554</v>
      </c>
      <c r="DU18" s="184">
        <f>DT18-CFLO!DU35*0.2</f>
        <v>17554</v>
      </c>
      <c r="DV18" s="184">
        <f>DU18-CFLO!DV35*0.2</f>
        <v>17554</v>
      </c>
      <c r="DW18" s="184">
        <f>DV18-CFLO!DW35*0.2</f>
        <v>17554</v>
      </c>
      <c r="DX18" s="184">
        <f>DW18-CFLO!DX35*0.2</f>
        <v>17554</v>
      </c>
      <c r="DY18" s="120">
        <f t="shared" si="75"/>
        <v>17554</v>
      </c>
      <c r="DZ18" s="185">
        <f>DY18-CFLO!DZ35*0.2</f>
        <v>17554</v>
      </c>
      <c r="EA18" s="185">
        <f>DZ18-CFLO!EA35*0.2</f>
        <v>17554</v>
      </c>
      <c r="EB18" s="185">
        <f>EA18-CFLO!EB35*0.2</f>
        <v>17554</v>
      </c>
    </row>
    <row r="19" spans="2:132">
      <c r="B19" s="68" t="s">
        <v>59</v>
      </c>
      <c r="C19" s="67">
        <f>Data!C59</f>
        <v>0</v>
      </c>
      <c r="D19" s="67">
        <f>Data!D59</f>
        <v>0</v>
      </c>
      <c r="E19" s="67">
        <f>Data!E59</f>
        <v>0</v>
      </c>
      <c r="F19" s="67">
        <f>Data!F59</f>
        <v>0</v>
      </c>
      <c r="G19" s="67">
        <f>Data!G59</f>
        <v>0</v>
      </c>
      <c r="H19" s="67">
        <f>Data!H59</f>
        <v>1128</v>
      </c>
      <c r="I19" s="67">
        <f>Data!I59</f>
        <v>1035</v>
      </c>
      <c r="J19" s="68">
        <f>Data!J59</f>
        <v>1012</v>
      </c>
      <c r="K19" s="68">
        <f>Data!K59</f>
        <v>1006</v>
      </c>
      <c r="L19" s="68">
        <f>Data!L59</f>
        <v>981</v>
      </c>
      <c r="M19" s="68">
        <f>Data!M59</f>
        <v>955</v>
      </c>
      <c r="N19" s="67">
        <f t="shared" si="2"/>
        <v>955</v>
      </c>
      <c r="O19" s="68">
        <f>Data!O59</f>
        <v>932</v>
      </c>
      <c r="P19" s="68">
        <f>Data!P59</f>
        <v>919</v>
      </c>
      <c r="Q19" s="68">
        <f>Data!Q59</f>
        <v>908</v>
      </c>
      <c r="R19" s="68">
        <f>Data!R59</f>
        <v>875</v>
      </c>
      <c r="S19" s="67">
        <f t="shared" si="3"/>
        <v>875</v>
      </c>
      <c r="T19" s="68">
        <f>Data!T59</f>
        <v>850</v>
      </c>
      <c r="U19" s="68">
        <f>Data!U59</f>
        <v>841</v>
      </c>
      <c r="V19" s="68">
        <f>Data!V59</f>
        <v>1471</v>
      </c>
      <c r="W19" s="68">
        <f>Data!W59</f>
        <v>1698</v>
      </c>
      <c r="X19" s="67">
        <f t="shared" si="4"/>
        <v>1698</v>
      </c>
      <c r="Y19" s="68">
        <f>Data!Y59</f>
        <v>1720</v>
      </c>
      <c r="Z19" s="68">
        <f>Data!Z59</f>
        <v>1754</v>
      </c>
      <c r="AA19" s="68">
        <f>Data!AA59</f>
        <v>1750</v>
      </c>
      <c r="AB19" s="68">
        <f>Data!AB59</f>
        <v>2093</v>
      </c>
      <c r="AC19" s="67">
        <f t="shared" si="5"/>
        <v>2093</v>
      </c>
      <c r="AD19" s="68">
        <f>Data!AD59</f>
        <v>2236</v>
      </c>
      <c r="AE19" s="68">
        <f>Data!AE59</f>
        <v>2223</v>
      </c>
      <c r="AF19" s="68">
        <f>Data!AF59</f>
        <v>2208</v>
      </c>
      <c r="AG19" s="68">
        <f>Data!AG59</f>
        <v>2685</v>
      </c>
      <c r="AH19" s="67">
        <f t="shared" si="6"/>
        <v>2685</v>
      </c>
      <c r="AI19" s="68">
        <f>Data!AI59</f>
        <v>2627</v>
      </c>
      <c r="AJ19" s="68">
        <f>Data!AJ59</f>
        <v>2727</v>
      </c>
      <c r="AK19" s="68">
        <f>Data!AK59</f>
        <v>2920</v>
      </c>
      <c r="AL19" s="68">
        <f>Data!AL59</f>
        <v>2877</v>
      </c>
      <c r="AM19" s="67">
        <f t="shared" si="59"/>
        <v>2877</v>
      </c>
      <c r="AN19" s="241">
        <f>Data!AN59</f>
        <v>2878</v>
      </c>
      <c r="AO19" s="241">
        <f>Data!AO59</f>
        <v>2821</v>
      </c>
      <c r="AP19" s="241">
        <f>Data!AP59</f>
        <v>3027</v>
      </c>
      <c r="AQ19" s="241">
        <f>Data!AQ59</f>
        <v>2979</v>
      </c>
      <c r="AR19" s="67">
        <f t="shared" si="60"/>
        <v>2979</v>
      </c>
      <c r="AS19" s="241">
        <f>Data!AS59</f>
        <v>2933</v>
      </c>
      <c r="AT19" s="241">
        <f>Data!AT59</f>
        <v>3141</v>
      </c>
      <c r="AU19" s="121">
        <f>Data!AU59</f>
        <v>3095</v>
      </c>
      <c r="AV19" s="121">
        <f>Data!AV59</f>
        <v>3044</v>
      </c>
      <c r="AW19" s="67">
        <f t="shared" si="7"/>
        <v>3044</v>
      </c>
      <c r="AX19" s="121">
        <f>Data!AX59</f>
        <v>2993</v>
      </c>
      <c r="AY19" s="121">
        <f>Data!AY59</f>
        <v>2980</v>
      </c>
      <c r="AZ19" s="121">
        <f>Data!AZ59</f>
        <v>2930</v>
      </c>
      <c r="BA19" s="121">
        <f>Data!BA59</f>
        <v>3111</v>
      </c>
      <c r="BB19" s="67">
        <f t="shared" si="8"/>
        <v>3111</v>
      </c>
      <c r="BC19" s="121">
        <f>Data!BC59</f>
        <v>3075</v>
      </c>
      <c r="BD19" s="121">
        <f>Data!BD59</f>
        <v>3011</v>
      </c>
      <c r="BE19" s="121">
        <f>Data!BE59</f>
        <v>2962</v>
      </c>
      <c r="BF19" s="121">
        <f>Data!BF59</f>
        <v>3052</v>
      </c>
      <c r="BG19" s="67">
        <f t="shared" si="9"/>
        <v>3052</v>
      </c>
      <c r="BH19" s="121">
        <f>Data!BH59</f>
        <v>2996</v>
      </c>
      <c r="BI19" s="121">
        <f>Data!BI59</f>
        <v>3004</v>
      </c>
      <c r="BJ19" s="121">
        <f>Data!BJ59</f>
        <v>2954</v>
      </c>
      <c r="BK19" s="121">
        <f>Data!BK59</f>
        <v>2869</v>
      </c>
      <c r="BL19" s="67">
        <f t="shared" si="10"/>
        <v>2869</v>
      </c>
      <c r="BM19" s="121">
        <f>Data!BM59</f>
        <v>2809</v>
      </c>
      <c r="BN19" s="121">
        <f>Data!BN59</f>
        <v>2763</v>
      </c>
      <c r="BO19" s="121">
        <f>Data!BO59</f>
        <v>2706</v>
      </c>
      <c r="BP19" s="121">
        <f>Data!BP59</f>
        <v>2657</v>
      </c>
      <c r="BQ19" s="67">
        <f t="shared" si="11"/>
        <v>2657</v>
      </c>
      <c r="BR19" s="121">
        <f>Data!BR59</f>
        <v>2594</v>
      </c>
      <c r="BS19" s="121">
        <f>Data!BS59</f>
        <v>2544</v>
      </c>
      <c r="BT19" s="121">
        <f>Data!BT59</f>
        <v>2488</v>
      </c>
      <c r="BU19" s="121">
        <f>Data!BU59</f>
        <v>2540</v>
      </c>
      <c r="BV19" s="67">
        <f t="shared" si="12"/>
        <v>2540</v>
      </c>
      <c r="BW19" s="121">
        <f>Data!BW59</f>
        <v>2496</v>
      </c>
      <c r="BX19" s="121">
        <f>Data!BX59</f>
        <v>2567</v>
      </c>
      <c r="BY19" s="121">
        <f>Data!BY59</f>
        <v>2523</v>
      </c>
      <c r="BZ19" s="121">
        <f>Data!BZ59</f>
        <v>2573</v>
      </c>
      <c r="CA19" s="67">
        <f t="shared" si="61"/>
        <v>2573</v>
      </c>
      <c r="CB19" s="121">
        <f>Data!CB59</f>
        <v>2525</v>
      </c>
      <c r="CC19" s="121">
        <f>Data!CC59</f>
        <v>2494</v>
      </c>
      <c r="CD19" s="121">
        <f>Data!CD59</f>
        <v>2530</v>
      </c>
      <c r="CE19" s="121">
        <f>Data!CE59</f>
        <v>3429</v>
      </c>
      <c r="CF19" s="67">
        <f t="shared" si="62"/>
        <v>3429</v>
      </c>
      <c r="CG19" s="121">
        <f>Data!CG59</f>
        <v>3498</v>
      </c>
      <c r="CH19" s="121">
        <f>Data!CH59</f>
        <v>3761</v>
      </c>
      <c r="CI19" s="121">
        <f>Data!CI59</f>
        <v>3587</v>
      </c>
      <c r="CJ19" s="121">
        <f>Data!CJ59</f>
        <v>3338</v>
      </c>
      <c r="CK19" s="67">
        <f t="shared" si="63"/>
        <v>3338</v>
      </c>
      <c r="CL19" s="121">
        <f>Data!CL59</f>
        <v>3256</v>
      </c>
      <c r="CM19" s="121">
        <f>Data!CM59</f>
        <v>3019</v>
      </c>
      <c r="CN19" s="121">
        <f>Data!CN59</f>
        <v>2941</v>
      </c>
      <c r="CO19" s="121">
        <f>Data!CO59</f>
        <v>2843</v>
      </c>
      <c r="CP19" s="120">
        <f t="shared" si="64"/>
        <v>2843</v>
      </c>
      <c r="CQ19" s="121">
        <f>Data!CQ59</f>
        <v>2773</v>
      </c>
      <c r="CR19" s="121">
        <f>Data!CR59</f>
        <v>2702</v>
      </c>
      <c r="CS19" s="121">
        <f>Data!CS59</f>
        <v>2631</v>
      </c>
      <c r="CT19" s="121">
        <f>Data!CT59</f>
        <v>2562</v>
      </c>
      <c r="CU19" s="120">
        <f t="shared" si="65"/>
        <v>2562</v>
      </c>
      <c r="CV19" s="121">
        <f>Data!CV59</f>
        <v>2492</v>
      </c>
      <c r="CW19" s="121">
        <f>Data!CW59</f>
        <v>2431</v>
      </c>
      <c r="CX19" s="121">
        <f>Data!CX59</f>
        <v>2371</v>
      </c>
      <c r="CY19" s="121">
        <f>Data!CY59</f>
        <v>2311</v>
      </c>
      <c r="CZ19" s="120">
        <f t="shared" si="66"/>
        <v>2311</v>
      </c>
      <c r="DA19" s="121">
        <f>Data!DA59</f>
        <v>2254</v>
      </c>
      <c r="DB19" s="121">
        <f>Data!DB59</f>
        <v>2194</v>
      </c>
      <c r="DC19" s="121">
        <f>Data!DC59</f>
        <v>2143</v>
      </c>
      <c r="DD19" s="121">
        <f>Data!DD59</f>
        <v>2094</v>
      </c>
      <c r="DE19" s="120">
        <f t="shared" si="67"/>
        <v>2094</v>
      </c>
      <c r="DF19" s="121">
        <f>Data!DF59</f>
        <v>2034</v>
      </c>
      <c r="DG19" s="121">
        <f>Data!DG59</f>
        <v>2067</v>
      </c>
      <c r="DH19" s="121">
        <f>Data!DH59</f>
        <v>2011</v>
      </c>
      <c r="DI19" s="121">
        <f>Data!DI59</f>
        <v>1957</v>
      </c>
      <c r="DJ19" s="120">
        <f t="shared" si="67"/>
        <v>1957</v>
      </c>
      <c r="DK19" s="121">
        <f>Data!DK59</f>
        <v>1904</v>
      </c>
      <c r="DL19" s="121">
        <f>Data!DL59</f>
        <v>1542</v>
      </c>
      <c r="DM19" s="121">
        <f>Data!DM59</f>
        <v>1495</v>
      </c>
      <c r="DN19" s="121">
        <f>Data!DN59</f>
        <v>1567</v>
      </c>
      <c r="DO19" s="120">
        <f t="shared" si="67"/>
        <v>1567</v>
      </c>
      <c r="DP19" s="121">
        <f>Data!DP59</f>
        <v>1517</v>
      </c>
      <c r="DQ19" s="121">
        <f>Data!DQ59</f>
        <v>1531</v>
      </c>
      <c r="DR19" s="184">
        <f>DQ19-CFLO!DR10-CFLO!DR35*0.4</f>
        <v>1531</v>
      </c>
      <c r="DS19" s="184">
        <f>DR19-CFLO!DS10-CFLO!DS35*0.4</f>
        <v>1531</v>
      </c>
      <c r="DT19" s="120">
        <f t="shared" si="70"/>
        <v>1531</v>
      </c>
      <c r="DU19" s="184">
        <f>DT19-CFLO!DU10-CFLO!DU35*0.4</f>
        <v>1531</v>
      </c>
      <c r="DV19" s="184">
        <f>DU19-CFLO!DV10-CFLO!DV35*0.4</f>
        <v>1531</v>
      </c>
      <c r="DW19" s="184">
        <f>DV19-CFLO!DW10-CFLO!DW35*0.4</f>
        <v>1531</v>
      </c>
      <c r="DX19" s="184">
        <f>DW19-CFLO!DX10-CFLO!DX35*0.4</f>
        <v>1531</v>
      </c>
      <c r="DY19" s="120">
        <f t="shared" si="75"/>
        <v>1531</v>
      </c>
      <c r="DZ19" s="185">
        <f>DY19-CFLO!DZ10-CFLO!DZ35*0.4</f>
        <v>1531</v>
      </c>
      <c r="EA19" s="185">
        <f>DZ19-CFLO!EA10-CFLO!EA35*0.4</f>
        <v>1531</v>
      </c>
      <c r="EB19" s="185">
        <f>EA19-CFLO!EB10-CFLO!EB35*0.4</f>
        <v>1531</v>
      </c>
    </row>
    <row r="20" spans="2:132">
      <c r="B20" s="68" t="s">
        <v>52</v>
      </c>
      <c r="C20" s="67">
        <f>Data!C60</f>
        <v>15</v>
      </c>
      <c r="D20" s="67">
        <f>Data!D60</f>
        <v>411</v>
      </c>
      <c r="E20" s="67">
        <f>Data!E60</f>
        <v>0</v>
      </c>
      <c r="F20" s="67">
        <f>Data!F60</f>
        <v>0</v>
      </c>
      <c r="G20" s="67">
        <f>Data!G60</f>
        <v>0</v>
      </c>
      <c r="H20" s="67">
        <f>Data!H60</f>
        <v>2272</v>
      </c>
      <c r="I20" s="67">
        <f>Data!I60</f>
        <v>1242</v>
      </c>
      <c r="J20" s="68">
        <f>Data!J60</f>
        <v>1182</v>
      </c>
      <c r="K20" s="68">
        <f>Data!K60</f>
        <v>1352</v>
      </c>
      <c r="L20" s="68">
        <f>Data!L60</f>
        <v>1334</v>
      </c>
      <c r="M20" s="68">
        <f>Data!M60</f>
        <v>154</v>
      </c>
      <c r="N20" s="67">
        <f t="shared" si="2"/>
        <v>154</v>
      </c>
      <c r="O20" s="68">
        <f>Data!O60</f>
        <v>308</v>
      </c>
      <c r="P20" s="68">
        <f>Data!P60</f>
        <v>247</v>
      </c>
      <c r="Q20" s="68">
        <f>Data!Q60</f>
        <v>335</v>
      </c>
      <c r="R20" s="68">
        <f>Data!R60</f>
        <v>140</v>
      </c>
      <c r="S20" s="67">
        <f t="shared" si="3"/>
        <v>140</v>
      </c>
      <c r="T20" s="68">
        <f>Data!T60</f>
        <v>161</v>
      </c>
      <c r="U20" s="68">
        <f>Data!U60</f>
        <v>161</v>
      </c>
      <c r="V20" s="68">
        <f>Data!V60</f>
        <v>148</v>
      </c>
      <c r="W20" s="68">
        <f>Data!W60</f>
        <v>1051</v>
      </c>
      <c r="X20" s="67">
        <f t="shared" si="4"/>
        <v>1051</v>
      </c>
      <c r="Y20" s="68">
        <f>Data!Y60</f>
        <v>980</v>
      </c>
      <c r="Z20" s="68">
        <f>Data!Z60</f>
        <v>918</v>
      </c>
      <c r="AA20" s="68">
        <f>Data!AA60</f>
        <v>823</v>
      </c>
      <c r="AB20" s="68">
        <f>Data!AB60</f>
        <v>197</v>
      </c>
      <c r="AC20" s="67">
        <f t="shared" si="5"/>
        <v>197</v>
      </c>
      <c r="AD20" s="68">
        <f>Data!AD60</f>
        <v>247</v>
      </c>
      <c r="AE20" s="68">
        <f>Data!AE60</f>
        <v>276</v>
      </c>
      <c r="AF20" s="68">
        <f>Data!AF60</f>
        <v>183</v>
      </c>
      <c r="AG20" s="68">
        <f>Data!AG60</f>
        <v>4114</v>
      </c>
      <c r="AH20" s="67">
        <f t="shared" si="6"/>
        <v>4114</v>
      </c>
      <c r="AI20" s="68">
        <f>Data!AI60</f>
        <v>3880</v>
      </c>
      <c r="AJ20" s="68">
        <f>Data!AJ60</f>
        <v>3858</v>
      </c>
      <c r="AK20" s="68">
        <f>Data!AK60</f>
        <v>3835</v>
      </c>
      <c r="AL20" s="68">
        <f>Data!AL60</f>
        <v>3062</v>
      </c>
      <c r="AM20" s="67">
        <f t="shared" si="59"/>
        <v>3062</v>
      </c>
      <c r="AN20" s="241">
        <f>Data!AN60</f>
        <v>2754</v>
      </c>
      <c r="AO20" s="241">
        <f>Data!AO60</f>
        <v>2379</v>
      </c>
      <c r="AP20" s="241">
        <f>Data!AP60</f>
        <v>2223</v>
      </c>
      <c r="AQ20" s="241">
        <f>Data!AQ60</f>
        <v>4031</v>
      </c>
      <c r="AR20" s="67">
        <f t="shared" si="60"/>
        <v>4031</v>
      </c>
      <c r="AS20" s="241">
        <f>Data!AS60</f>
        <v>3862</v>
      </c>
      <c r="AT20" s="241">
        <f>Data!AT60</f>
        <v>3697</v>
      </c>
      <c r="AU20" s="121">
        <f>Data!AU60</f>
        <v>3709</v>
      </c>
      <c r="AV20" s="121">
        <f>Data!AV60</f>
        <v>5892</v>
      </c>
      <c r="AW20" s="67">
        <f t="shared" si="7"/>
        <v>5892</v>
      </c>
      <c r="AX20" s="121">
        <f>Data!AX60</f>
        <v>5791</v>
      </c>
      <c r="AY20" s="121">
        <f>Data!AY60</f>
        <v>5781</v>
      </c>
      <c r="AZ20" s="121">
        <f>Data!AZ60</f>
        <v>5520</v>
      </c>
      <c r="BA20" s="121">
        <f>Data!BA60</f>
        <v>6753</v>
      </c>
      <c r="BB20" s="67">
        <f t="shared" si="8"/>
        <v>6753</v>
      </c>
      <c r="BC20" s="121">
        <f>Data!BC60</f>
        <v>6522</v>
      </c>
      <c r="BD20" s="121">
        <f>Data!BD60</f>
        <v>6307</v>
      </c>
      <c r="BE20" s="121">
        <f>Data!BE60</f>
        <v>5957</v>
      </c>
      <c r="BF20" s="121">
        <f>Data!BF60</f>
        <v>2939</v>
      </c>
      <c r="BG20" s="67">
        <f t="shared" si="9"/>
        <v>2939</v>
      </c>
      <c r="BH20" s="121">
        <f>Data!BH60</f>
        <v>2463</v>
      </c>
      <c r="BI20" s="121">
        <f>Data!BI60</f>
        <v>2664</v>
      </c>
      <c r="BJ20" s="121">
        <f>Data!BJ60</f>
        <v>2546</v>
      </c>
      <c r="BK20" s="121">
        <f>Data!BK60</f>
        <v>6576</v>
      </c>
      <c r="BL20" s="67">
        <f t="shared" si="10"/>
        <v>6576</v>
      </c>
      <c r="BM20" s="121">
        <f>Data!BM60</f>
        <v>6485</v>
      </c>
      <c r="BN20" s="121">
        <f>Data!BN60</f>
        <v>6264</v>
      </c>
      <c r="BO20" s="121">
        <f>Data!BO60</f>
        <v>6146</v>
      </c>
      <c r="BP20" s="121">
        <f>Data!BP60</f>
        <v>265</v>
      </c>
      <c r="BQ20" s="67">
        <f t="shared" si="11"/>
        <v>265</v>
      </c>
      <c r="BR20" s="121">
        <f>Data!BR60</f>
        <v>267</v>
      </c>
      <c r="BS20" s="121">
        <f>Data!BS60</f>
        <v>267</v>
      </c>
      <c r="BT20" s="121">
        <f>Data!BT60</f>
        <v>265</v>
      </c>
      <c r="BU20" s="121">
        <f>Data!BU60</f>
        <v>332</v>
      </c>
      <c r="BV20" s="67">
        <f t="shared" si="12"/>
        <v>332</v>
      </c>
      <c r="BW20" s="121">
        <f>Data!BW60</f>
        <v>336</v>
      </c>
      <c r="BX20" s="121">
        <f>Data!BX60</f>
        <v>325</v>
      </c>
      <c r="BY20" s="121">
        <f>Data!BY60</f>
        <v>298</v>
      </c>
      <c r="BZ20" s="121">
        <f>Data!BZ60</f>
        <v>341</v>
      </c>
      <c r="CA20" s="67">
        <f t="shared" si="61"/>
        <v>341</v>
      </c>
      <c r="CB20" s="121">
        <f>Data!CB60</f>
        <v>325</v>
      </c>
      <c r="CC20" s="121">
        <f>Data!CC60</f>
        <v>325</v>
      </c>
      <c r="CD20" s="121">
        <f>Data!CD60</f>
        <v>323</v>
      </c>
      <c r="CE20" s="121">
        <f>Data!CE60</f>
        <v>284</v>
      </c>
      <c r="CF20" s="67">
        <f t="shared" si="62"/>
        <v>284</v>
      </c>
      <c r="CG20" s="121">
        <f>Data!CG60</f>
        <v>281</v>
      </c>
      <c r="CH20" s="121">
        <f>Data!CH60</f>
        <v>357</v>
      </c>
      <c r="CI20" s="121">
        <f>Data!CI60</f>
        <v>296</v>
      </c>
      <c r="CJ20" s="121">
        <f>Data!CJ60</f>
        <v>683</v>
      </c>
      <c r="CK20" s="67">
        <f t="shared" si="63"/>
        <v>683</v>
      </c>
      <c r="CL20" s="121">
        <f>Data!CL60</f>
        <v>678</v>
      </c>
      <c r="CM20" s="121">
        <f>Data!CM60</f>
        <v>729</v>
      </c>
      <c r="CN20" s="121">
        <f>Data!CN60</f>
        <v>704</v>
      </c>
      <c r="CO20" s="121">
        <f>Data!CO60</f>
        <v>86</v>
      </c>
      <c r="CP20" s="120">
        <f t="shared" si="64"/>
        <v>86</v>
      </c>
      <c r="CQ20" s="121">
        <f>Data!CQ60</f>
        <v>79</v>
      </c>
      <c r="CR20" s="121">
        <f>Data!CR60</f>
        <v>84</v>
      </c>
      <c r="CS20" s="121">
        <f>Data!CS60</f>
        <v>74</v>
      </c>
      <c r="CT20" s="121">
        <f>Data!CT60</f>
        <v>77</v>
      </c>
      <c r="CU20" s="120">
        <f t="shared" si="65"/>
        <v>77</v>
      </c>
      <c r="CV20" s="121">
        <f>Data!CV60</f>
        <v>91</v>
      </c>
      <c r="CW20" s="121">
        <f>Data!CW60</f>
        <v>106</v>
      </c>
      <c r="CX20" s="121">
        <f>Data!CX60</f>
        <v>77</v>
      </c>
      <c r="CY20" s="121">
        <f>Data!CY60</f>
        <v>63</v>
      </c>
      <c r="CZ20" s="120">
        <f t="shared" si="66"/>
        <v>63</v>
      </c>
      <c r="DA20" s="121">
        <f>Data!DA60</f>
        <v>65</v>
      </c>
      <c r="DB20" s="121">
        <f>Data!DB60</f>
        <v>66</v>
      </c>
      <c r="DC20" s="121">
        <f>Data!DC60</f>
        <v>64</v>
      </c>
      <c r="DD20" s="121">
        <f>Data!DD60</f>
        <v>59</v>
      </c>
      <c r="DE20" s="120">
        <f t="shared" si="67"/>
        <v>59</v>
      </c>
      <c r="DF20" s="121">
        <f>Data!DF60</f>
        <v>68</v>
      </c>
      <c r="DG20" s="121">
        <f>Data!DG60</f>
        <v>0</v>
      </c>
      <c r="DH20" s="121">
        <f>Data!DH60</f>
        <v>44</v>
      </c>
      <c r="DI20" s="121">
        <f>Data!DI60</f>
        <v>185</v>
      </c>
      <c r="DJ20" s="120">
        <f t="shared" si="67"/>
        <v>185</v>
      </c>
      <c r="DK20" s="121">
        <f>Data!DK60</f>
        <v>137</v>
      </c>
      <c r="DL20" s="121">
        <f>Data!DL60</f>
        <v>136</v>
      </c>
      <c r="DM20" s="121">
        <f>Data!DM60</f>
        <v>44</v>
      </c>
      <c r="DN20" s="121">
        <f>Data!DN60</f>
        <v>107</v>
      </c>
      <c r="DO20" s="120">
        <f t="shared" si="67"/>
        <v>107</v>
      </c>
      <c r="DP20" s="121">
        <f>Data!DP60</f>
        <v>136</v>
      </c>
      <c r="DQ20" s="121">
        <f>Data!DQ60</f>
        <v>152</v>
      </c>
      <c r="DR20" s="179">
        <f t="shared" ref="DR20:DR23" si="79">DQ20</f>
        <v>152</v>
      </c>
      <c r="DS20" s="179">
        <f t="shared" ref="DS20:DS23" si="80">DR20</f>
        <v>152</v>
      </c>
      <c r="DT20" s="120">
        <f t="shared" si="70"/>
        <v>152</v>
      </c>
      <c r="DU20" s="179">
        <f t="shared" ref="DU20:DU23" si="81">DT20</f>
        <v>152</v>
      </c>
      <c r="DV20" s="179">
        <f t="shared" ref="DV20:DV23" si="82">DU20</f>
        <v>152</v>
      </c>
      <c r="DW20" s="179">
        <f t="shared" ref="DW20:DW23" si="83">DV20</f>
        <v>152</v>
      </c>
      <c r="DX20" s="179">
        <f t="shared" ref="DX20:DX23" si="84">DW20</f>
        <v>152</v>
      </c>
      <c r="DY20" s="120">
        <f t="shared" si="75"/>
        <v>152</v>
      </c>
      <c r="DZ20" s="180">
        <f t="shared" ref="DZ20:DZ23" si="85">DY20</f>
        <v>152</v>
      </c>
      <c r="EA20" s="180">
        <f t="shared" ref="EA20:EA23" si="86">DZ20</f>
        <v>152</v>
      </c>
      <c r="EB20" s="180">
        <f t="shared" ref="EB20:EB23" si="87">EA20</f>
        <v>152</v>
      </c>
    </row>
    <row r="21" spans="2:132">
      <c r="B21" s="68" t="s">
        <v>60</v>
      </c>
      <c r="C21" s="67">
        <f>Data!C61</f>
        <v>0</v>
      </c>
      <c r="D21" s="67">
        <f>Data!D61</f>
        <v>0</v>
      </c>
      <c r="E21" s="67">
        <f>Data!E61</f>
        <v>0</v>
      </c>
      <c r="F21" s="67">
        <f>Data!F61</f>
        <v>0</v>
      </c>
      <c r="G21" s="67">
        <f>Data!G61</f>
        <v>0</v>
      </c>
      <c r="H21" s="67">
        <f>Data!H61</f>
        <v>0</v>
      </c>
      <c r="I21" s="67">
        <f>Data!I61</f>
        <v>0</v>
      </c>
      <c r="J21" s="68">
        <f>Data!J61</f>
        <v>0</v>
      </c>
      <c r="K21" s="68">
        <f>Data!K61</f>
        <v>0</v>
      </c>
      <c r="L21" s="68">
        <f>Data!L61</f>
        <v>1790</v>
      </c>
      <c r="M21" s="68">
        <f>Data!M61</f>
        <v>3050</v>
      </c>
      <c r="N21" s="67">
        <f t="shared" si="2"/>
        <v>3050</v>
      </c>
      <c r="O21" s="68">
        <f>Data!O61</f>
        <v>3198</v>
      </c>
      <c r="P21" s="68">
        <f>Data!P61</f>
        <v>3158</v>
      </c>
      <c r="Q21" s="68">
        <f>Data!Q61</f>
        <v>2856</v>
      </c>
      <c r="R21" s="68">
        <f>Data!R61</f>
        <v>2852</v>
      </c>
      <c r="S21" s="67">
        <f t="shared" si="3"/>
        <v>2852</v>
      </c>
      <c r="T21" s="68">
        <f>Data!T61</f>
        <v>2754</v>
      </c>
      <c r="U21" s="68">
        <f>Data!U61</f>
        <v>2743</v>
      </c>
      <c r="V21" s="68">
        <f>Data!V61</f>
        <v>2864</v>
      </c>
      <c r="W21" s="68">
        <f>Data!W61</f>
        <v>4085</v>
      </c>
      <c r="X21" s="67">
        <f t="shared" si="4"/>
        <v>4085</v>
      </c>
      <c r="Y21" s="68">
        <f>Data!Y61</f>
        <v>4021</v>
      </c>
      <c r="Z21" s="68">
        <f>Data!Z61</f>
        <v>4104</v>
      </c>
      <c r="AA21" s="68">
        <f>Data!AA61</f>
        <v>4053</v>
      </c>
      <c r="AB21" s="68">
        <f>Data!AB61</f>
        <v>4111</v>
      </c>
      <c r="AC21" s="67">
        <f t="shared" si="5"/>
        <v>4111</v>
      </c>
      <c r="AD21" s="68">
        <f>Data!AD61</f>
        <v>3722</v>
      </c>
      <c r="AE21" s="68">
        <f>Data!AE61</f>
        <v>4017</v>
      </c>
      <c r="AF21" s="68">
        <f>Data!AF61</f>
        <v>3717</v>
      </c>
      <c r="AG21" s="68">
        <f>Data!AG61</f>
        <v>1328</v>
      </c>
      <c r="AH21" s="67">
        <f t="shared" si="6"/>
        <v>1328</v>
      </c>
      <c r="AI21" s="68">
        <f>Data!AI61</f>
        <v>1261</v>
      </c>
      <c r="AJ21" s="68">
        <f>Data!AJ61</f>
        <v>1188</v>
      </c>
      <c r="AK21" s="68">
        <f>Data!AK61</f>
        <v>1120</v>
      </c>
      <c r="AL21" s="68">
        <f>Data!AL61</f>
        <v>1030</v>
      </c>
      <c r="AM21" s="67">
        <f t="shared" si="59"/>
        <v>1030</v>
      </c>
      <c r="AN21" s="241">
        <f>Data!AN61</f>
        <v>1030</v>
      </c>
      <c r="AO21" s="241">
        <f>Data!AO61</f>
        <v>1008</v>
      </c>
      <c r="AP21" s="241">
        <f>Data!AP61</f>
        <v>1035</v>
      </c>
      <c r="AQ21" s="241">
        <f>Data!AQ61</f>
        <v>1111</v>
      </c>
      <c r="AR21" s="67">
        <f t="shared" si="60"/>
        <v>1111</v>
      </c>
      <c r="AS21" s="241">
        <f>Data!AS61</f>
        <v>1091</v>
      </c>
      <c r="AT21" s="241">
        <f>Data!AT61</f>
        <v>1117</v>
      </c>
      <c r="AU21" s="121">
        <f>Data!AU61</f>
        <v>1109</v>
      </c>
      <c r="AV21" s="121">
        <f>Data!AV61</f>
        <v>1043</v>
      </c>
      <c r="AW21" s="67">
        <f t="shared" si="7"/>
        <v>1043</v>
      </c>
      <c r="AX21" s="121">
        <f>Data!AX61</f>
        <v>1037</v>
      </c>
      <c r="AY21" s="121">
        <f>Data!AY61</f>
        <v>1004</v>
      </c>
      <c r="AZ21" s="121">
        <f>Data!AZ61</f>
        <v>1195</v>
      </c>
      <c r="BA21" s="121">
        <f>Data!BA61</f>
        <v>1180</v>
      </c>
      <c r="BB21" s="67">
        <f t="shared" si="8"/>
        <v>1180</v>
      </c>
      <c r="BC21" s="121">
        <f>Data!BC61</f>
        <v>1177</v>
      </c>
      <c r="BD21" s="121">
        <f>Data!BD61</f>
        <v>1166</v>
      </c>
      <c r="BE21" s="121">
        <f>Data!BE61</f>
        <v>1168</v>
      </c>
      <c r="BF21" s="121">
        <f>Data!BF61</f>
        <v>1204</v>
      </c>
      <c r="BG21" s="67">
        <f t="shared" si="9"/>
        <v>1204</v>
      </c>
      <c r="BH21" s="121">
        <f>Data!BH61</f>
        <v>1208</v>
      </c>
      <c r="BI21" s="121">
        <f>Data!BI61</f>
        <v>1196</v>
      </c>
      <c r="BJ21" s="121">
        <f>Data!BJ61</f>
        <v>1203</v>
      </c>
      <c r="BK21" s="121">
        <f>Data!BK61</f>
        <v>1154</v>
      </c>
      <c r="BL21" s="67">
        <f t="shared" si="10"/>
        <v>1154</v>
      </c>
      <c r="BM21" s="121">
        <f>Data!BM61</f>
        <v>1154</v>
      </c>
      <c r="BN21" s="121">
        <f>Data!BN61</f>
        <v>1256</v>
      </c>
      <c r="BO21" s="121">
        <f>Data!BO61</f>
        <v>1277</v>
      </c>
      <c r="BP21" s="121">
        <f>Data!BP61</f>
        <v>1284</v>
      </c>
      <c r="BQ21" s="67">
        <f t="shared" si="11"/>
        <v>1284</v>
      </c>
      <c r="BR21" s="121">
        <f>Data!BR61</f>
        <v>1297</v>
      </c>
      <c r="BS21" s="121">
        <f>Data!BS61</f>
        <v>1312</v>
      </c>
      <c r="BT21" s="121">
        <f>Data!BT61</f>
        <v>1303</v>
      </c>
      <c r="BU21" s="121">
        <f>Data!BU61</f>
        <v>1317</v>
      </c>
      <c r="BV21" s="67">
        <f t="shared" si="12"/>
        <v>1317</v>
      </c>
      <c r="BW21" s="121">
        <f>Data!BW61</f>
        <v>1319</v>
      </c>
      <c r="BX21" s="121">
        <f>Data!BX61</f>
        <v>1278</v>
      </c>
      <c r="BY21" s="121">
        <f>Data!BY61</f>
        <v>1270</v>
      </c>
      <c r="BZ21" s="121">
        <f>Data!BZ61</f>
        <v>1260</v>
      </c>
      <c r="CA21" s="67">
        <f t="shared" si="61"/>
        <v>1260</v>
      </c>
      <c r="CB21" s="121">
        <f>Data!CB61</f>
        <v>1248</v>
      </c>
      <c r="CC21" s="121">
        <f>Data!CC61</f>
        <v>1203</v>
      </c>
      <c r="CD21" s="121">
        <f>Data!CD61</f>
        <v>1190</v>
      </c>
      <c r="CE21" s="121">
        <f>Data!CE61</f>
        <v>1087</v>
      </c>
      <c r="CF21" s="67">
        <f t="shared" si="62"/>
        <v>1087</v>
      </c>
      <c r="CG21" s="121">
        <f>Data!CG61</f>
        <v>1183</v>
      </c>
      <c r="CH21" s="121">
        <f>Data!CH61</f>
        <v>1142</v>
      </c>
      <c r="CI21" s="121">
        <f>Data!CI61</f>
        <v>1117</v>
      </c>
      <c r="CJ21" s="121">
        <f>Data!CJ61</f>
        <v>1092</v>
      </c>
      <c r="CK21" s="67">
        <f t="shared" si="63"/>
        <v>1092</v>
      </c>
      <c r="CL21" s="121">
        <f>Data!CL61</f>
        <v>1124</v>
      </c>
      <c r="CM21" s="121">
        <f>Data!CM61</f>
        <v>1066</v>
      </c>
      <c r="CN21" s="121">
        <f>Data!CN61</f>
        <v>1052</v>
      </c>
      <c r="CO21" s="121">
        <f>Data!CO61</f>
        <v>1016</v>
      </c>
      <c r="CP21" s="120">
        <f t="shared" si="64"/>
        <v>1016</v>
      </c>
      <c r="CQ21" s="121">
        <f>Data!CQ61</f>
        <v>980</v>
      </c>
      <c r="CR21" s="121">
        <f>Data!CR61</f>
        <v>883</v>
      </c>
      <c r="CS21" s="121">
        <f>Data!CS61</f>
        <v>963</v>
      </c>
      <c r="CT21" s="121">
        <f>Data!CT61</f>
        <v>975</v>
      </c>
      <c r="CU21" s="120">
        <f t="shared" si="65"/>
        <v>975</v>
      </c>
      <c r="CV21" s="121">
        <f>Data!CV61</f>
        <v>992</v>
      </c>
      <c r="CW21" s="121">
        <f>Data!CW61</f>
        <v>981</v>
      </c>
      <c r="CX21" s="121">
        <f>Data!CX61</f>
        <v>979</v>
      </c>
      <c r="CY21" s="121">
        <f>Data!CY61</f>
        <v>983</v>
      </c>
      <c r="CZ21" s="120">
        <f t="shared" si="66"/>
        <v>983</v>
      </c>
      <c r="DA21" s="121">
        <f>Data!DA61</f>
        <v>969</v>
      </c>
      <c r="DB21" s="121">
        <f>Data!DB61</f>
        <v>1025</v>
      </c>
      <c r="DC21" s="121">
        <f>Data!DC61</f>
        <v>1061</v>
      </c>
      <c r="DD21" s="121">
        <f>Data!DD61</f>
        <v>1035</v>
      </c>
      <c r="DE21" s="120">
        <f t="shared" si="67"/>
        <v>1035</v>
      </c>
      <c r="DF21" s="121">
        <f>Data!DF61</f>
        <v>1042</v>
      </c>
      <c r="DG21" s="121">
        <f>Data!DG61</f>
        <v>1026</v>
      </c>
      <c r="DH21" s="121">
        <f>Data!DH61</f>
        <v>1030</v>
      </c>
      <c r="DI21" s="121">
        <f>Data!DI61</f>
        <v>999</v>
      </c>
      <c r="DJ21" s="120">
        <f t="shared" si="67"/>
        <v>999</v>
      </c>
      <c r="DK21" s="121">
        <f>Data!DK61</f>
        <v>1001</v>
      </c>
      <c r="DL21" s="121">
        <f>Data!DL61</f>
        <v>1036</v>
      </c>
      <c r="DM21" s="121">
        <f>Data!DM61</f>
        <v>1050</v>
      </c>
      <c r="DN21" s="121">
        <f>Data!DN61</f>
        <v>1048</v>
      </c>
      <c r="DO21" s="120">
        <f t="shared" si="67"/>
        <v>1048</v>
      </c>
      <c r="DP21" s="121">
        <f>Data!DP61</f>
        <v>1048</v>
      </c>
      <c r="DQ21" s="121">
        <f>Data!DQ61</f>
        <v>1117</v>
      </c>
      <c r="DR21" s="179">
        <f t="shared" si="79"/>
        <v>1117</v>
      </c>
      <c r="DS21" s="179">
        <f t="shared" si="80"/>
        <v>1117</v>
      </c>
      <c r="DT21" s="120">
        <f t="shared" si="70"/>
        <v>1117</v>
      </c>
      <c r="DU21" s="179">
        <f t="shared" si="81"/>
        <v>1117</v>
      </c>
      <c r="DV21" s="179">
        <f t="shared" si="82"/>
        <v>1117</v>
      </c>
      <c r="DW21" s="179">
        <f t="shared" si="83"/>
        <v>1117</v>
      </c>
      <c r="DX21" s="179">
        <f t="shared" si="84"/>
        <v>1117</v>
      </c>
      <c r="DY21" s="120">
        <f t="shared" si="75"/>
        <v>1117</v>
      </c>
      <c r="DZ21" s="180">
        <f t="shared" si="85"/>
        <v>1117</v>
      </c>
      <c r="EA21" s="180">
        <f t="shared" si="86"/>
        <v>1117</v>
      </c>
      <c r="EB21" s="180">
        <f t="shared" si="87"/>
        <v>1117</v>
      </c>
    </row>
    <row r="22" spans="2:132">
      <c r="B22" s="68" t="s">
        <v>61</v>
      </c>
      <c r="C22" s="67">
        <f>Data!C62</f>
        <v>3271</v>
      </c>
      <c r="D22" s="67">
        <f>Data!D62</f>
        <v>3513</v>
      </c>
      <c r="E22" s="67">
        <f>Data!E62</f>
        <v>3845</v>
      </c>
      <c r="F22" s="67">
        <f>Data!F62</f>
        <v>4845</v>
      </c>
      <c r="G22" s="67">
        <f>Data!G62</f>
        <v>5838</v>
      </c>
      <c r="H22" s="67">
        <f>Data!H62</f>
        <v>6671</v>
      </c>
      <c r="I22" s="67">
        <f>Data!I62</f>
        <v>8542</v>
      </c>
      <c r="J22" s="68">
        <f>Data!J62</f>
        <v>9483</v>
      </c>
      <c r="K22" s="68">
        <f>Data!K62</f>
        <v>10416</v>
      </c>
      <c r="L22" s="68">
        <f>Data!L62</f>
        <v>11959</v>
      </c>
      <c r="M22" s="68">
        <f>Data!M62</f>
        <v>12588</v>
      </c>
      <c r="N22" s="67">
        <f t="shared" si="2"/>
        <v>12588</v>
      </c>
      <c r="O22" s="68">
        <f>Data!O62</f>
        <v>12837</v>
      </c>
      <c r="P22" s="68">
        <f>Data!P62</f>
        <v>12705</v>
      </c>
      <c r="Q22" s="68">
        <f>Data!Q62</f>
        <v>13687</v>
      </c>
      <c r="R22" s="68">
        <f>Data!R62</f>
        <v>13251</v>
      </c>
      <c r="S22" s="67">
        <f t="shared" si="3"/>
        <v>13251</v>
      </c>
      <c r="T22" s="68">
        <f>Data!T62</f>
        <v>13525</v>
      </c>
      <c r="U22" s="68">
        <f>Data!U62</f>
        <v>13253</v>
      </c>
      <c r="V22" s="68">
        <f>Data!V62</f>
        <v>13031</v>
      </c>
      <c r="W22" s="68">
        <f>Data!W62</f>
        <v>0</v>
      </c>
      <c r="X22" s="67">
        <f t="shared" si="4"/>
        <v>0</v>
      </c>
      <c r="Y22" s="68">
        <f>Data!Y62</f>
        <v>0</v>
      </c>
      <c r="Z22" s="68">
        <f>Data!Z62</f>
        <v>0</v>
      </c>
      <c r="AA22" s="68">
        <f>Data!AA62</f>
        <v>0</v>
      </c>
      <c r="AB22" s="68">
        <f>Data!AB62</f>
        <v>5924</v>
      </c>
      <c r="AC22" s="67">
        <f t="shared" si="5"/>
        <v>5924</v>
      </c>
      <c r="AD22" s="68">
        <f>Data!AD62</f>
        <v>6391</v>
      </c>
      <c r="AE22" s="68">
        <f>Data!AE62</f>
        <v>6445</v>
      </c>
      <c r="AF22" s="68">
        <f>Data!AF62</f>
        <v>6497</v>
      </c>
      <c r="AG22" s="68">
        <f>Data!AG62</f>
        <v>16</v>
      </c>
      <c r="AH22" s="67">
        <f t="shared" si="6"/>
        <v>16</v>
      </c>
      <c r="AI22" s="68">
        <f>Data!AI62</f>
        <v>12</v>
      </c>
      <c r="AJ22" s="68">
        <f>Data!AJ62</f>
        <v>21</v>
      </c>
      <c r="AK22" s="68">
        <f>Data!AK62</f>
        <v>20</v>
      </c>
      <c r="AL22" s="68">
        <f>Data!AL62</f>
        <v>16</v>
      </c>
      <c r="AM22" s="67">
        <f t="shared" si="59"/>
        <v>16</v>
      </c>
      <c r="AN22" s="241">
        <f>Data!AN62</f>
        <v>21</v>
      </c>
      <c r="AO22" s="241">
        <f>Data!AO62</f>
        <v>27</v>
      </c>
      <c r="AP22" s="241">
        <f>Data!AP62</f>
        <v>33</v>
      </c>
      <c r="AQ22" s="241">
        <f>Data!AQ62</f>
        <v>6</v>
      </c>
      <c r="AR22" s="67">
        <f t="shared" si="60"/>
        <v>6</v>
      </c>
      <c r="AS22" s="241">
        <f>Data!AS62</f>
        <v>4</v>
      </c>
      <c r="AT22" s="241">
        <f>Data!AT62</f>
        <v>5</v>
      </c>
      <c r="AU22" s="121">
        <f>Data!AU62</f>
        <v>6</v>
      </c>
      <c r="AV22" s="121">
        <f>Data!AV62</f>
        <v>0</v>
      </c>
      <c r="AW22" s="67">
        <f t="shared" si="7"/>
        <v>0</v>
      </c>
      <c r="AX22" s="121">
        <f>Data!AX62</f>
        <v>0</v>
      </c>
      <c r="AY22" s="121">
        <f>Data!AY62</f>
        <v>0</v>
      </c>
      <c r="AZ22" s="121">
        <f>Data!AZ62</f>
        <v>0</v>
      </c>
      <c r="BA22" s="121">
        <f>Data!BA62</f>
        <v>0</v>
      </c>
      <c r="BB22" s="67">
        <f t="shared" si="8"/>
        <v>0</v>
      </c>
      <c r="BC22" s="121">
        <f>Data!BC62</f>
        <v>0</v>
      </c>
      <c r="BD22" s="121">
        <f>Data!BD62</f>
        <v>0</v>
      </c>
      <c r="BE22" s="121">
        <f>Data!BE62</f>
        <v>0</v>
      </c>
      <c r="BF22" s="121">
        <f>Data!BF62</f>
        <v>0</v>
      </c>
      <c r="BG22" s="67">
        <f t="shared" si="9"/>
        <v>0</v>
      </c>
      <c r="BH22" s="121">
        <f>Data!BH62</f>
        <v>0</v>
      </c>
      <c r="BI22" s="121">
        <f>Data!BI62</f>
        <v>0</v>
      </c>
      <c r="BJ22" s="121">
        <f>Data!BJ62</f>
        <v>0</v>
      </c>
      <c r="BK22" s="121">
        <f>Data!BK62</f>
        <v>0</v>
      </c>
      <c r="BL22" s="67">
        <f t="shared" si="10"/>
        <v>0</v>
      </c>
      <c r="BM22" s="121">
        <f>Data!BM62</f>
        <v>0</v>
      </c>
      <c r="BN22" s="121">
        <f>Data!BN62</f>
        <v>0</v>
      </c>
      <c r="BO22" s="121">
        <f>Data!BO62</f>
        <v>0</v>
      </c>
      <c r="BP22" s="121">
        <f>Data!BP62</f>
        <v>0</v>
      </c>
      <c r="BQ22" s="67">
        <f t="shared" si="11"/>
        <v>0</v>
      </c>
      <c r="BR22" s="121">
        <f>Data!BR62</f>
        <v>0</v>
      </c>
      <c r="BS22" s="121">
        <f>Data!BS62</f>
        <v>0</v>
      </c>
      <c r="BT22" s="121">
        <f>Data!BT62</f>
        <v>0</v>
      </c>
      <c r="BU22" s="121">
        <f>Data!BU62</f>
        <v>0</v>
      </c>
      <c r="BV22" s="67">
        <f t="shared" si="12"/>
        <v>0</v>
      </c>
      <c r="BW22" s="121">
        <f>Data!BW62</f>
        <v>0</v>
      </c>
      <c r="BX22" s="121">
        <f>Data!BX62</f>
        <v>0</v>
      </c>
      <c r="BY22" s="121">
        <f>Data!BY62</f>
        <v>0</v>
      </c>
      <c r="BZ22" s="121">
        <f>Data!BZ62</f>
        <v>0</v>
      </c>
      <c r="CA22" s="67">
        <f t="shared" si="61"/>
        <v>0</v>
      </c>
      <c r="CB22" s="121">
        <f>Data!CB62</f>
        <v>0</v>
      </c>
      <c r="CC22" s="121">
        <f>Data!CC62</f>
        <v>0</v>
      </c>
      <c r="CD22" s="121">
        <f>Data!CD62</f>
        <v>0</v>
      </c>
      <c r="CE22" s="121">
        <f>Data!CE62</f>
        <v>0</v>
      </c>
      <c r="CF22" s="67">
        <f t="shared" si="62"/>
        <v>0</v>
      </c>
      <c r="CG22" s="121">
        <f>Data!CG62</f>
        <v>0</v>
      </c>
      <c r="CH22" s="121">
        <f>Data!CH62</f>
        <v>0</v>
      </c>
      <c r="CI22" s="121">
        <f>Data!CI62</f>
        <v>0</v>
      </c>
      <c r="CJ22" s="121">
        <f>Data!CJ62</f>
        <v>0</v>
      </c>
      <c r="CK22" s="67">
        <f t="shared" si="63"/>
        <v>0</v>
      </c>
      <c r="CL22" s="121">
        <f>Data!CL62</f>
        <v>0</v>
      </c>
      <c r="CM22" s="121">
        <f>Data!CM62</f>
        <v>0</v>
      </c>
      <c r="CN22" s="121">
        <f>Data!CN62</f>
        <v>0</v>
      </c>
      <c r="CO22" s="121">
        <f>Data!CO62</f>
        <v>0</v>
      </c>
      <c r="CP22" s="120">
        <f t="shared" si="64"/>
        <v>0</v>
      </c>
      <c r="CQ22" s="121">
        <f>Data!CQ62</f>
        <v>0</v>
      </c>
      <c r="CR22" s="121">
        <f>Data!CR62</f>
        <v>0</v>
      </c>
      <c r="CS22" s="121">
        <f>Data!CS62</f>
        <v>0</v>
      </c>
      <c r="CT22" s="121">
        <f>Data!CT62</f>
        <v>0</v>
      </c>
      <c r="CU22" s="120">
        <f t="shared" si="65"/>
        <v>0</v>
      </c>
      <c r="CV22" s="121">
        <f>Data!CV62</f>
        <v>0</v>
      </c>
      <c r="CW22" s="121">
        <f>Data!CW62</f>
        <v>0</v>
      </c>
      <c r="CX22" s="121">
        <f>Data!CX62</f>
        <v>0</v>
      </c>
      <c r="CY22" s="121">
        <f>Data!CY62</f>
        <v>0</v>
      </c>
      <c r="CZ22" s="120">
        <f t="shared" si="66"/>
        <v>0</v>
      </c>
      <c r="DA22" s="121">
        <f>Data!DA62</f>
        <v>0</v>
      </c>
      <c r="DB22" s="121">
        <f>Data!DB62</f>
        <v>0</v>
      </c>
      <c r="DC22" s="121">
        <f>Data!DC62</f>
        <v>0</v>
      </c>
      <c r="DD22" s="121">
        <f>Data!DD62</f>
        <v>0</v>
      </c>
      <c r="DE22" s="120">
        <f t="shared" si="67"/>
        <v>0</v>
      </c>
      <c r="DF22" s="121">
        <f>Data!DF62</f>
        <v>0</v>
      </c>
      <c r="DG22" s="121">
        <f>Data!DG62</f>
        <v>0</v>
      </c>
      <c r="DH22" s="121">
        <f>Data!DH62</f>
        <v>0</v>
      </c>
      <c r="DI22" s="121">
        <f>Data!DI62</f>
        <v>0</v>
      </c>
      <c r="DJ22" s="120">
        <f t="shared" si="67"/>
        <v>0</v>
      </c>
      <c r="DK22" s="121">
        <f>Data!DK62</f>
        <v>0</v>
      </c>
      <c r="DL22" s="121">
        <f>Data!DL62</f>
        <v>0</v>
      </c>
      <c r="DM22" s="121">
        <f>Data!DM62</f>
        <v>0</v>
      </c>
      <c r="DN22" s="121">
        <f>Data!DN62</f>
        <v>0</v>
      </c>
      <c r="DO22" s="120">
        <f t="shared" si="67"/>
        <v>0</v>
      </c>
      <c r="DP22" s="121">
        <f>Data!DP62</f>
        <v>0</v>
      </c>
      <c r="DQ22" s="121">
        <f>Data!DQ62</f>
        <v>0</v>
      </c>
      <c r="DR22" s="179">
        <f t="shared" si="79"/>
        <v>0</v>
      </c>
      <c r="DS22" s="179">
        <f t="shared" si="80"/>
        <v>0</v>
      </c>
      <c r="DT22" s="120">
        <f t="shared" si="70"/>
        <v>0</v>
      </c>
      <c r="DU22" s="179">
        <f t="shared" si="81"/>
        <v>0</v>
      </c>
      <c r="DV22" s="179">
        <f t="shared" si="82"/>
        <v>0</v>
      </c>
      <c r="DW22" s="179">
        <f t="shared" si="83"/>
        <v>0</v>
      </c>
      <c r="DX22" s="179">
        <f t="shared" si="84"/>
        <v>0</v>
      </c>
      <c r="DY22" s="120">
        <f t="shared" si="75"/>
        <v>0</v>
      </c>
      <c r="DZ22" s="180">
        <f t="shared" si="85"/>
        <v>0</v>
      </c>
      <c r="EA22" s="180">
        <f t="shared" si="86"/>
        <v>0</v>
      </c>
      <c r="EB22" s="180">
        <f t="shared" si="87"/>
        <v>0</v>
      </c>
    </row>
    <row r="23" spans="2:132">
      <c r="B23" s="68" t="s">
        <v>62</v>
      </c>
      <c r="C23" s="67">
        <f>Data!C63</f>
        <v>350</v>
      </c>
      <c r="D23" s="67">
        <f>Data!D63</f>
        <v>542</v>
      </c>
      <c r="E23" s="67">
        <f>Data!E63</f>
        <v>907</v>
      </c>
      <c r="F23" s="67">
        <f>Data!F63</f>
        <v>1327</v>
      </c>
      <c r="G23" s="67">
        <f>Data!G63</f>
        <v>2052</v>
      </c>
      <c r="H23" s="67">
        <f>Data!H63</f>
        <v>2969</v>
      </c>
      <c r="I23" s="67">
        <f>Data!I63</f>
        <v>2519</v>
      </c>
      <c r="J23" s="68">
        <f>Data!J63</f>
        <v>2556</v>
      </c>
      <c r="K23" s="68">
        <f>Data!K63</f>
        <v>2442</v>
      </c>
      <c r="L23" s="68">
        <f>Data!L63</f>
        <v>1850</v>
      </c>
      <c r="M23" s="68">
        <f>Data!M63</f>
        <v>1340</v>
      </c>
      <c r="N23" s="67">
        <f t="shared" si="2"/>
        <v>1340</v>
      </c>
      <c r="O23" s="68">
        <f>Data!O63</f>
        <v>1261</v>
      </c>
      <c r="P23" s="68">
        <f>Data!P63</f>
        <v>1301</v>
      </c>
      <c r="Q23" s="68">
        <f>Data!Q63</f>
        <v>1445</v>
      </c>
      <c r="R23" s="68">
        <f>Data!R63</f>
        <v>989</v>
      </c>
      <c r="S23" s="67">
        <f t="shared" si="3"/>
        <v>989</v>
      </c>
      <c r="T23" s="68">
        <f>Data!T63</f>
        <v>935</v>
      </c>
      <c r="U23" s="68">
        <f>Data!U63</f>
        <v>966</v>
      </c>
      <c r="V23" s="68">
        <f>Data!V63</f>
        <v>899</v>
      </c>
      <c r="W23" s="68">
        <f>Data!W63</f>
        <v>2735</v>
      </c>
      <c r="X23" s="67">
        <f t="shared" si="4"/>
        <v>2735</v>
      </c>
      <c r="Y23" s="68">
        <f>Data!Y63</f>
        <v>3142</v>
      </c>
      <c r="Z23" s="68">
        <f>Data!Z63</f>
        <v>3283</v>
      </c>
      <c r="AA23" s="68">
        <f>Data!AA63</f>
        <v>3330</v>
      </c>
      <c r="AB23" s="68">
        <f>Data!AB63</f>
        <v>1258</v>
      </c>
      <c r="AC23" s="67">
        <f t="shared" si="5"/>
        <v>1258</v>
      </c>
      <c r="AD23" s="68">
        <f>Data!AD63</f>
        <v>1353</v>
      </c>
      <c r="AE23" s="68">
        <f>Data!AE63</f>
        <v>1425</v>
      </c>
      <c r="AF23" s="68">
        <f>Data!AF63</f>
        <v>1368</v>
      </c>
      <c r="AG23" s="68">
        <f>Data!AG63</f>
        <v>1406</v>
      </c>
      <c r="AH23" s="67">
        <f t="shared" si="6"/>
        <v>1406</v>
      </c>
      <c r="AI23" s="68">
        <f>Data!AI63</f>
        <v>1450</v>
      </c>
      <c r="AJ23" s="68">
        <f>Data!AJ63</f>
        <v>1333</v>
      </c>
      <c r="AK23" s="68">
        <f>Data!AK63</f>
        <v>1417</v>
      </c>
      <c r="AL23" s="68">
        <f>Data!AL63</f>
        <v>1224</v>
      </c>
      <c r="AM23" s="285">
        <f t="shared" si="59"/>
        <v>1224</v>
      </c>
      <c r="AN23" s="241">
        <f>Data!AN63</f>
        <v>1206</v>
      </c>
      <c r="AO23" s="241">
        <f>Data!AO63</f>
        <v>1223</v>
      </c>
      <c r="AP23" s="241">
        <f>Data!AP63</f>
        <v>1220</v>
      </c>
      <c r="AQ23" s="241">
        <f>Data!AQ63</f>
        <v>1603</v>
      </c>
      <c r="AR23" s="285">
        <f t="shared" si="60"/>
        <v>1603</v>
      </c>
      <c r="AS23" s="241">
        <f>Data!AS63</f>
        <v>1624</v>
      </c>
      <c r="AT23" s="241">
        <f>Data!AT63</f>
        <v>1596</v>
      </c>
      <c r="AU23" s="121">
        <f>Data!AU63</f>
        <v>1455</v>
      </c>
      <c r="AV23" s="121">
        <f>Data!AV63</f>
        <v>1643</v>
      </c>
      <c r="AW23" s="285">
        <f t="shared" si="7"/>
        <v>1643</v>
      </c>
      <c r="AX23" s="121">
        <f>Data!AX63</f>
        <v>1765</v>
      </c>
      <c r="AY23" s="121">
        <f>Data!AY63</f>
        <v>1746</v>
      </c>
      <c r="AZ23" s="121">
        <f>Data!AZ63</f>
        <v>1746</v>
      </c>
      <c r="BA23" s="121">
        <f>Data!BA63</f>
        <v>1792</v>
      </c>
      <c r="BB23" s="285">
        <f t="shared" si="8"/>
        <v>1792</v>
      </c>
      <c r="BC23" s="121">
        <f>Data!BC63</f>
        <v>1488</v>
      </c>
      <c r="BD23" s="121">
        <f>Data!BD63</f>
        <v>1449</v>
      </c>
      <c r="BE23" s="121">
        <f>Data!BE63</f>
        <v>1447</v>
      </c>
      <c r="BF23" s="121">
        <f>Data!BF63</f>
        <v>1500</v>
      </c>
      <c r="BG23" s="285">
        <f t="shared" si="9"/>
        <v>1500</v>
      </c>
      <c r="BH23" s="121">
        <f>Data!BH63</f>
        <v>1542</v>
      </c>
      <c r="BI23" s="121">
        <f>Data!BI63</f>
        <v>1578</v>
      </c>
      <c r="BJ23" s="121">
        <f>Data!BJ63</f>
        <v>1547</v>
      </c>
      <c r="BK23" s="121">
        <f>Data!BK63</f>
        <v>1317</v>
      </c>
      <c r="BL23" s="285">
        <f t="shared" si="10"/>
        <v>1317</v>
      </c>
      <c r="BM23" s="121">
        <f>Data!BM63</f>
        <v>1328</v>
      </c>
      <c r="BN23" s="121">
        <f>Data!BN63</f>
        <v>1374</v>
      </c>
      <c r="BO23" s="121">
        <f>Data!BO63</f>
        <v>1326</v>
      </c>
      <c r="BP23" s="121">
        <f>Data!BP63</f>
        <v>1408</v>
      </c>
      <c r="BQ23" s="285">
        <f t="shared" si="11"/>
        <v>1408</v>
      </c>
      <c r="BR23" s="121">
        <f>Data!BR63</f>
        <v>1421</v>
      </c>
      <c r="BS23" s="121">
        <f>Data!BS63</f>
        <v>1409</v>
      </c>
      <c r="BT23" s="121">
        <f>Data!BT63</f>
        <v>1415</v>
      </c>
      <c r="BU23" s="121">
        <f>Data!BU63</f>
        <v>1416</v>
      </c>
      <c r="BV23" s="285">
        <f t="shared" si="12"/>
        <v>1416</v>
      </c>
      <c r="BW23" s="121">
        <f>Data!BW63</f>
        <v>1444</v>
      </c>
      <c r="BX23" s="121">
        <f>Data!BX63</f>
        <v>1470</v>
      </c>
      <c r="BY23" s="121">
        <f>Data!BY63</f>
        <v>1679</v>
      </c>
      <c r="BZ23" s="121">
        <f>Data!BZ63</f>
        <v>2027</v>
      </c>
      <c r="CA23" s="285">
        <f t="shared" si="61"/>
        <v>2027</v>
      </c>
      <c r="CB23" s="121">
        <f>Data!CB63</f>
        <v>1969</v>
      </c>
      <c r="CC23" s="121">
        <f>Data!CC63</f>
        <v>1800</v>
      </c>
      <c r="CD23" s="121">
        <f>Data!CD63</f>
        <v>1852</v>
      </c>
      <c r="CE23" s="121">
        <f>Data!CE63</f>
        <v>1826</v>
      </c>
      <c r="CF23" s="285">
        <f t="shared" si="62"/>
        <v>1826</v>
      </c>
      <c r="CG23" s="121">
        <f>Data!CG63</f>
        <v>2941</v>
      </c>
      <c r="CH23" s="121">
        <f>Data!CH63</f>
        <v>3099</v>
      </c>
      <c r="CI23" s="121">
        <f>Data!CI63</f>
        <v>3275</v>
      </c>
      <c r="CJ23" s="121">
        <f>Data!CJ63</f>
        <v>3585</v>
      </c>
      <c r="CK23" s="285">
        <f t="shared" si="63"/>
        <v>3585</v>
      </c>
      <c r="CL23" s="121">
        <f>Data!CL63</f>
        <v>4428</v>
      </c>
      <c r="CM23" s="121">
        <f>Data!CM63</f>
        <v>5481</v>
      </c>
      <c r="CN23" s="121">
        <f>Data!CN63</f>
        <v>3502</v>
      </c>
      <c r="CO23" s="121">
        <f>Data!CO63</f>
        <v>4712</v>
      </c>
      <c r="CP23" s="120">
        <f t="shared" si="64"/>
        <v>4712</v>
      </c>
      <c r="CQ23" s="121">
        <f>Data!CQ63</f>
        <v>4646</v>
      </c>
      <c r="CR23" s="121">
        <f>Data!CR63</f>
        <v>4889</v>
      </c>
      <c r="CS23" s="121">
        <f>Data!CS63</f>
        <v>5312</v>
      </c>
      <c r="CT23" s="121">
        <f>Data!CT63</f>
        <v>5591</v>
      </c>
      <c r="CU23" s="120">
        <f t="shared" si="65"/>
        <v>5591</v>
      </c>
      <c r="CV23" s="121">
        <f>Data!CV63</f>
        <v>5814</v>
      </c>
      <c r="CW23" s="121">
        <f>Data!CW63</f>
        <v>5747</v>
      </c>
      <c r="CX23" s="121">
        <f>Data!CX63</f>
        <v>4814</v>
      </c>
      <c r="CY23" s="121">
        <f>Data!CY63</f>
        <v>4163</v>
      </c>
      <c r="CZ23" s="120">
        <f t="shared" si="66"/>
        <v>4163</v>
      </c>
      <c r="DA23" s="121">
        <f>Data!DA63</f>
        <v>4320</v>
      </c>
      <c r="DB23" s="121">
        <f>Data!DB63</f>
        <v>4456</v>
      </c>
      <c r="DC23" s="121">
        <f>Data!DC63</f>
        <v>4562</v>
      </c>
      <c r="DD23" s="121">
        <f>Data!DD63</f>
        <v>4935</v>
      </c>
      <c r="DE23" s="120">
        <f t="shared" si="67"/>
        <v>4935</v>
      </c>
      <c r="DF23" s="121">
        <f>Data!DF63</f>
        <v>5190</v>
      </c>
      <c r="DG23" s="121">
        <f>Data!DG63</f>
        <v>5319</v>
      </c>
      <c r="DH23" s="121">
        <f>Data!DH63</f>
        <v>5505</v>
      </c>
      <c r="DI23" s="121">
        <f>Data!DI63</f>
        <v>5414</v>
      </c>
      <c r="DJ23" s="120">
        <f t="shared" si="67"/>
        <v>5414</v>
      </c>
      <c r="DK23" s="121">
        <f>Data!DK63</f>
        <v>5932</v>
      </c>
      <c r="DL23" s="121">
        <f>Data!DL63</f>
        <v>5849</v>
      </c>
      <c r="DM23" s="121">
        <f>Data!DM63</f>
        <v>5698</v>
      </c>
      <c r="DN23" s="121">
        <f>Data!DN63</f>
        <v>4177</v>
      </c>
      <c r="DO23" s="120">
        <f t="shared" si="67"/>
        <v>4177</v>
      </c>
      <c r="DP23" s="121">
        <f>Data!DP63</f>
        <v>4160</v>
      </c>
      <c r="DQ23" s="121">
        <f>Data!DQ63</f>
        <v>4200</v>
      </c>
      <c r="DR23" s="179">
        <f t="shared" si="79"/>
        <v>4200</v>
      </c>
      <c r="DS23" s="179">
        <f t="shared" si="80"/>
        <v>4200</v>
      </c>
      <c r="DT23" s="120">
        <f t="shared" si="70"/>
        <v>4200</v>
      </c>
      <c r="DU23" s="179">
        <f t="shared" si="81"/>
        <v>4200</v>
      </c>
      <c r="DV23" s="179">
        <f t="shared" si="82"/>
        <v>4200</v>
      </c>
      <c r="DW23" s="179">
        <f t="shared" si="83"/>
        <v>4200</v>
      </c>
      <c r="DX23" s="179">
        <f t="shared" si="84"/>
        <v>4200</v>
      </c>
      <c r="DY23" s="120">
        <f t="shared" si="75"/>
        <v>4200</v>
      </c>
      <c r="DZ23" s="180">
        <f t="shared" si="85"/>
        <v>4200</v>
      </c>
      <c r="EA23" s="180">
        <f t="shared" si="86"/>
        <v>4200</v>
      </c>
      <c r="EB23" s="180">
        <f t="shared" si="87"/>
        <v>4200</v>
      </c>
    </row>
    <row r="24" spans="2:132">
      <c r="B24" s="165" t="s">
        <v>63</v>
      </c>
      <c r="C24" s="186">
        <f>SUM(C15:C23)</f>
        <v>38024</v>
      </c>
      <c r="D24" s="186">
        <f t="shared" ref="D24:AW24" si="88">SUM(D15:D23)</f>
        <v>36672</v>
      </c>
      <c r="E24" s="186">
        <f t="shared" si="88"/>
        <v>36147</v>
      </c>
      <c r="F24" s="186">
        <f t="shared" si="88"/>
        <v>42028</v>
      </c>
      <c r="G24" s="186">
        <f t="shared" si="88"/>
        <v>48343</v>
      </c>
      <c r="H24" s="186">
        <f t="shared" si="88"/>
        <v>52342</v>
      </c>
      <c r="I24" s="186">
        <f t="shared" si="88"/>
        <v>53035</v>
      </c>
      <c r="J24" s="165">
        <f t="shared" si="88"/>
        <v>53800</v>
      </c>
      <c r="K24" s="165">
        <f t="shared" si="88"/>
        <v>54283</v>
      </c>
      <c r="L24" s="165">
        <f t="shared" si="88"/>
        <v>55388</v>
      </c>
      <c r="M24" s="165">
        <f t="shared" si="88"/>
        <v>53963</v>
      </c>
      <c r="N24" s="186">
        <f t="shared" si="88"/>
        <v>53963</v>
      </c>
      <c r="O24" s="165">
        <f t="shared" si="88"/>
        <v>56714</v>
      </c>
      <c r="P24" s="165">
        <f t="shared" si="88"/>
        <v>56494</v>
      </c>
      <c r="Q24" s="165">
        <f t="shared" si="88"/>
        <v>58318</v>
      </c>
      <c r="R24" s="165">
        <f t="shared" si="88"/>
        <v>60058</v>
      </c>
      <c r="S24" s="186">
        <f t="shared" si="88"/>
        <v>60058</v>
      </c>
      <c r="T24" s="165">
        <f t="shared" si="88"/>
        <v>61408</v>
      </c>
      <c r="U24" s="165">
        <f t="shared" si="88"/>
        <v>61269</v>
      </c>
      <c r="V24" s="165">
        <f t="shared" si="88"/>
        <v>61458</v>
      </c>
      <c r="W24" s="165">
        <f t="shared" si="88"/>
        <v>51794</v>
      </c>
      <c r="X24" s="186">
        <f t="shared" si="88"/>
        <v>51794</v>
      </c>
      <c r="Y24" s="165">
        <f t="shared" si="88"/>
        <v>51556</v>
      </c>
      <c r="Z24" s="165">
        <f t="shared" si="88"/>
        <v>53886</v>
      </c>
      <c r="AA24" s="165">
        <f t="shared" si="88"/>
        <v>54787</v>
      </c>
      <c r="AB24" s="165">
        <f t="shared" si="88"/>
        <v>58986</v>
      </c>
      <c r="AC24" s="186">
        <f t="shared" si="88"/>
        <v>58986</v>
      </c>
      <c r="AD24" s="165">
        <f t="shared" si="88"/>
        <v>60360</v>
      </c>
      <c r="AE24" s="165">
        <f t="shared" si="88"/>
        <v>58510</v>
      </c>
      <c r="AF24" s="165">
        <f t="shared" si="88"/>
        <v>56519</v>
      </c>
      <c r="AG24" s="165">
        <f t="shared" si="88"/>
        <v>53779</v>
      </c>
      <c r="AH24" s="186">
        <f t="shared" si="88"/>
        <v>53779</v>
      </c>
      <c r="AI24" s="165">
        <f t="shared" si="88"/>
        <v>55340</v>
      </c>
      <c r="AJ24" s="165">
        <f t="shared" si="88"/>
        <v>57712</v>
      </c>
      <c r="AK24" s="165">
        <f t="shared" si="88"/>
        <v>58667</v>
      </c>
      <c r="AL24" s="165">
        <f t="shared" si="88"/>
        <v>62053</v>
      </c>
      <c r="AM24" s="186">
        <f t="shared" si="88"/>
        <v>62053</v>
      </c>
      <c r="AN24" s="165">
        <f t="shared" si="88"/>
        <v>62970</v>
      </c>
      <c r="AO24" s="165">
        <f>SUM(AO15:AO23)</f>
        <v>63755</v>
      </c>
      <c r="AP24" s="165">
        <f>SUM(AP15:AP23)</f>
        <v>65222</v>
      </c>
      <c r="AQ24" s="165">
        <f>SUM(AQ15:AQ23)</f>
        <v>68565</v>
      </c>
      <c r="AR24" s="186">
        <f t="shared" si="88"/>
        <v>68565</v>
      </c>
      <c r="AS24" s="165">
        <f>SUM(AS15:AS23)</f>
        <v>68760</v>
      </c>
      <c r="AT24" s="165">
        <f>SUM(AT15:AT23)</f>
        <v>72119</v>
      </c>
      <c r="AU24" s="165">
        <f>SUM(AU15:AU23)</f>
        <v>74163</v>
      </c>
      <c r="AV24" s="165">
        <f>SUM(AV15:AV23)</f>
        <v>79986</v>
      </c>
      <c r="AW24" s="186">
        <f t="shared" si="88"/>
        <v>79986</v>
      </c>
      <c r="AX24" s="165">
        <f t="shared" ref="AX24:BG24" si="89">SUM(AX15:AX23)</f>
        <v>80205</v>
      </c>
      <c r="AY24" s="165">
        <f t="shared" si="89"/>
        <v>81595</v>
      </c>
      <c r="AZ24" s="165">
        <f t="shared" si="89"/>
        <v>83654</v>
      </c>
      <c r="BA24" s="165">
        <f>SUM(BA15:BA23)</f>
        <v>88896</v>
      </c>
      <c r="BB24" s="186">
        <f t="shared" si="89"/>
        <v>88896</v>
      </c>
      <c r="BC24" s="165">
        <f>SUM(BC15:BC23)</f>
        <v>90447</v>
      </c>
      <c r="BD24" s="165">
        <f>SUM(BD15:BD23)</f>
        <v>92091</v>
      </c>
      <c r="BE24" s="165">
        <f>SUM(BE15:BE23)</f>
        <v>94633</v>
      </c>
      <c r="BF24" s="165">
        <f>SUM(BF15:BF23)</f>
        <v>92663</v>
      </c>
      <c r="BG24" s="186">
        <f t="shared" si="89"/>
        <v>92663</v>
      </c>
      <c r="BH24" s="165">
        <f>SUM(BH15:BH23)</f>
        <v>91575</v>
      </c>
      <c r="BI24" s="165">
        <f>SUM(BI15:BI23)</f>
        <v>92737</v>
      </c>
      <c r="BJ24" s="165">
        <f>SUM(BJ15:BJ23)</f>
        <v>92653</v>
      </c>
      <c r="BK24" s="165">
        <f>SUM(BK15:BK23)</f>
        <v>99198</v>
      </c>
      <c r="BL24" s="186">
        <f t="shared" ref="BL24" si="90">SUM(BL15:BL23)</f>
        <v>99198</v>
      </c>
      <c r="BM24" s="165">
        <f>SUM(BM15:BM23)</f>
        <v>97775</v>
      </c>
      <c r="BN24" s="165">
        <f>SUM(BN15:BN23)</f>
        <v>98102</v>
      </c>
      <c r="BO24" s="165">
        <f>SUM(BO15:BO23)</f>
        <v>98998</v>
      </c>
      <c r="BP24" s="165">
        <f>SUM(BP15:BP23)</f>
        <v>94408</v>
      </c>
      <c r="BQ24" s="186">
        <f t="shared" ref="BQ24" si="91">SUM(BQ15:BQ23)</f>
        <v>94408</v>
      </c>
      <c r="BR24" s="165">
        <f>SUM(BR15:BR23)</f>
        <v>91547</v>
      </c>
      <c r="BS24" s="165">
        <f>SUM(BS15:BS23)</f>
        <v>89609</v>
      </c>
      <c r="BT24" s="165">
        <f>SUM(BT15:BT23)</f>
        <v>88950</v>
      </c>
      <c r="BU24" s="165">
        <f>SUM(BU15:BU23)</f>
        <v>89997</v>
      </c>
      <c r="BV24" s="186">
        <f t="shared" ref="BV24:CA24" si="92">SUM(BV15:BV23)</f>
        <v>89997</v>
      </c>
      <c r="BW24" s="165">
        <f>SUM(BW15:BW23)</f>
        <v>89673</v>
      </c>
      <c r="BX24" s="165">
        <f>SUM(BX15:BX23)</f>
        <v>90036</v>
      </c>
      <c r="BY24" s="165">
        <f>SUM(BY15:BY23)</f>
        <v>91007</v>
      </c>
      <c r="BZ24" s="165">
        <f>SUM(BZ15:BZ23)</f>
        <v>92333</v>
      </c>
      <c r="CA24" s="186">
        <f t="shared" si="92"/>
        <v>92333</v>
      </c>
      <c r="CB24" s="165">
        <f>SUM(CB15:CB23)</f>
        <v>113549</v>
      </c>
      <c r="CC24" s="165">
        <f>SUM(CC15:CC23)</f>
        <v>113195</v>
      </c>
      <c r="CD24" s="165">
        <f>SUM(CD15:CD23)</f>
        <v>114659</v>
      </c>
      <c r="CE24" s="165">
        <f>SUM(CE15:CE23)</f>
        <v>117359</v>
      </c>
      <c r="CF24" s="186">
        <f t="shared" ref="CF24" si="93">SUM(CF15:CF23)</f>
        <v>117359</v>
      </c>
      <c r="CG24" s="165">
        <f>SUM(CG15:CG23)</f>
        <v>120209</v>
      </c>
      <c r="CH24" s="165">
        <f>SUM(CH15:CH23)</f>
        <v>126261</v>
      </c>
      <c r="CI24" s="165">
        <f>SUM(CI15:CI23)</f>
        <v>132598</v>
      </c>
      <c r="CJ24" s="165">
        <f>SUM(CJ15:CJ23)</f>
        <v>133625</v>
      </c>
      <c r="CK24" s="186">
        <f t="shared" ref="CK24" si="94">SUM(CK15:CK23)</f>
        <v>133625</v>
      </c>
      <c r="CL24" s="165">
        <f>SUM(CL15:CL23)</f>
        <v>143075</v>
      </c>
      <c r="CM24" s="165">
        <f>SUM(CM15:CM23)</f>
        <v>162872</v>
      </c>
      <c r="CN24" s="165">
        <f>SUM(CN15:CN23)</f>
        <v>161261</v>
      </c>
      <c r="CO24" s="165">
        <f>SUM(CO15:CO23)</f>
        <v>152136</v>
      </c>
      <c r="CP24" s="186">
        <f t="shared" ref="CP24" si="95">SUM(CP15:CP23)</f>
        <v>152136</v>
      </c>
      <c r="CQ24" s="165">
        <f>SUM(CQ15:CQ23)</f>
        <v>150035</v>
      </c>
      <c r="CR24" s="165">
        <f>SUM(CR15:CR23)</f>
        <v>148935</v>
      </c>
      <c r="CS24" s="165">
        <f>SUM(CS15:CS23)</f>
        <v>146846</v>
      </c>
      <c r="CT24" s="165">
        <f>SUM(CT15:CT23)</f>
        <v>138552</v>
      </c>
      <c r="CU24" s="186">
        <f t="shared" ref="CU24" si="96">SUM(CU15:CU23)</f>
        <v>138552</v>
      </c>
      <c r="CV24" s="165">
        <f>SUM(CV15:CV23)</f>
        <v>135801</v>
      </c>
      <c r="CW24" s="165">
        <f>SUM(CW15:CW23)</f>
        <v>135479</v>
      </c>
      <c r="CX24" s="165">
        <f>SUM(CX15:CX23)</f>
        <v>137558</v>
      </c>
      <c r="CY24" s="165">
        <f>SUM(CY15:CY23)</f>
        <v>137100</v>
      </c>
      <c r="CZ24" s="186">
        <f t="shared" ref="CZ24" si="97">SUM(CZ15:CZ23)</f>
        <v>137100</v>
      </c>
      <c r="DA24" s="165">
        <f t="shared" ref="DA24:DE24" si="98">SUM(DA15:DA23)</f>
        <v>136347</v>
      </c>
      <c r="DB24" s="165">
        <f>SUM(DB15:DB23)</f>
        <v>134774</v>
      </c>
      <c r="DC24" s="165">
        <f>SUM(DC15:DC23)</f>
        <v>134281</v>
      </c>
      <c r="DD24" s="165">
        <f>SUM(DD15:DD23)</f>
        <v>137012</v>
      </c>
      <c r="DE24" s="186">
        <f t="shared" si="98"/>
        <v>137012</v>
      </c>
      <c r="DF24" s="165">
        <f t="shared" ref="DF24" si="99">SUM(DF15:DF23)</f>
        <v>134484</v>
      </c>
      <c r="DG24" s="165">
        <f>SUM(DG15:DG23)</f>
        <v>142720</v>
      </c>
      <c r="DH24" s="165">
        <f>SUM(DH15:DH23)</f>
        <v>137695</v>
      </c>
      <c r="DI24" s="165">
        <f>SUM(DI15:DI23)</f>
        <v>156363</v>
      </c>
      <c r="DJ24" s="186">
        <f t="shared" ref="DJ24:DK24" si="100">SUM(DJ15:DJ23)</f>
        <v>156363</v>
      </c>
      <c r="DK24" s="165">
        <f t="shared" si="100"/>
        <v>156494</v>
      </c>
      <c r="DL24" s="165">
        <f>SUM(DL15:DL23)</f>
        <v>155120</v>
      </c>
      <c r="DM24" s="165">
        <f>SUM(DM15:DM23)</f>
        <v>150023</v>
      </c>
      <c r="DN24" s="165">
        <f>SUM(DN15:DN23)</f>
        <v>168235</v>
      </c>
      <c r="DO24" s="186">
        <f t="shared" ref="DO24:DP24" si="101">SUM(DO15:DO23)</f>
        <v>168235</v>
      </c>
      <c r="DP24" s="165">
        <f t="shared" si="101"/>
        <v>164787</v>
      </c>
      <c r="DQ24" s="165">
        <f>SUM(DQ15:DQ23)</f>
        <v>165870</v>
      </c>
      <c r="DR24" s="165">
        <f t="shared" ref="DR24:DU24" si="102">SUM(DR15:DR23)</f>
        <v>156234.71623578481</v>
      </c>
      <c r="DS24" s="165">
        <f t="shared" si="102"/>
        <v>154994.71308001975</v>
      </c>
      <c r="DT24" s="186">
        <f t="shared" si="102"/>
        <v>154994.71308001975</v>
      </c>
      <c r="DU24" s="165">
        <f t="shared" si="102"/>
        <v>177198.07159645017</v>
      </c>
      <c r="DV24" s="165">
        <f t="shared" ref="DV24:DY24" si="103">SUM(DV15:DV23)</f>
        <v>169053.84658999729</v>
      </c>
      <c r="DW24" s="165">
        <f t="shared" si="103"/>
        <v>167180.01472236536</v>
      </c>
      <c r="DX24" s="165">
        <f t="shared" si="103"/>
        <v>166096.3400036784</v>
      </c>
      <c r="DY24" s="186">
        <f t="shared" si="103"/>
        <v>166096.3400036784</v>
      </c>
      <c r="DZ24" s="186">
        <f t="shared" ref="DZ24:EB24" si="104">SUM(DZ15:DZ23)</f>
        <v>148016.36649591112</v>
      </c>
      <c r="EA24" s="186">
        <f t="shared" si="104"/>
        <v>154267.64056598698</v>
      </c>
      <c r="EB24" s="186">
        <f t="shared" si="104"/>
        <v>158702.72215829947</v>
      </c>
    </row>
    <row r="25" spans="2:132">
      <c r="C25" s="112"/>
      <c r="D25" s="112"/>
      <c r="E25" s="112"/>
      <c r="F25" s="112"/>
      <c r="G25" s="112"/>
      <c r="H25" s="112"/>
      <c r="I25" s="112"/>
      <c r="J25" s="169"/>
      <c r="K25" s="169"/>
      <c r="L25" s="169"/>
      <c r="M25" s="169"/>
      <c r="N25" s="112"/>
      <c r="O25" s="169"/>
      <c r="P25" s="169"/>
      <c r="Q25" s="169"/>
      <c r="R25" s="169"/>
      <c r="S25" s="112"/>
      <c r="T25" s="169"/>
      <c r="U25" s="169"/>
      <c r="V25" s="169"/>
      <c r="W25" s="169"/>
      <c r="X25" s="112"/>
      <c r="Y25" s="169"/>
      <c r="Z25" s="169"/>
      <c r="AA25" s="169"/>
      <c r="AB25" s="169"/>
      <c r="AC25" s="112"/>
      <c r="AD25" s="169"/>
      <c r="AE25" s="169"/>
      <c r="AF25" s="169"/>
      <c r="AG25" s="169"/>
      <c r="AH25" s="112"/>
      <c r="AI25" s="169"/>
      <c r="AJ25" s="169"/>
      <c r="AK25" s="169"/>
      <c r="AL25" s="169"/>
      <c r="AM25" s="112"/>
      <c r="AN25" s="403"/>
      <c r="AO25" s="403"/>
      <c r="AP25" s="403"/>
      <c r="AQ25" s="403"/>
      <c r="AR25" s="112"/>
      <c r="AS25" s="403"/>
      <c r="AT25" s="403"/>
      <c r="AU25" s="169"/>
      <c r="AV25" s="169"/>
      <c r="AW25" s="112"/>
      <c r="AX25" s="567"/>
      <c r="AY25" s="567"/>
      <c r="AZ25" s="567"/>
      <c r="BA25" s="567"/>
      <c r="BB25" s="112"/>
      <c r="BC25" s="567"/>
      <c r="BD25" s="567"/>
      <c r="BE25" s="567"/>
      <c r="BF25" s="567"/>
      <c r="BG25" s="112"/>
      <c r="BH25" s="169"/>
      <c r="BI25" s="567"/>
      <c r="BJ25" s="567"/>
      <c r="BK25" s="567"/>
      <c r="BL25" s="112"/>
      <c r="BM25" s="169"/>
      <c r="BN25" s="169"/>
      <c r="BO25" s="169"/>
      <c r="BP25" s="169"/>
      <c r="BQ25" s="112"/>
      <c r="BR25" s="169"/>
      <c r="BS25" s="169"/>
      <c r="BT25" s="169"/>
      <c r="BU25" s="169"/>
      <c r="BV25" s="112"/>
      <c r="BW25" s="169"/>
      <c r="BX25" s="169"/>
      <c r="BY25" s="169"/>
      <c r="BZ25" s="169"/>
      <c r="CA25" s="112"/>
      <c r="CB25" s="169"/>
      <c r="CC25" s="169"/>
      <c r="CD25" s="169"/>
      <c r="CE25" s="169"/>
      <c r="CF25" s="112"/>
      <c r="CG25" s="169"/>
      <c r="CH25" s="169"/>
      <c r="CI25" s="169"/>
      <c r="CJ25" s="169"/>
      <c r="CK25" s="112"/>
      <c r="CL25" s="567"/>
      <c r="CM25" s="567"/>
      <c r="CN25" s="567"/>
      <c r="CO25" s="567"/>
      <c r="CP25" s="921"/>
      <c r="CQ25" s="567"/>
      <c r="CR25" s="567"/>
      <c r="CS25" s="567"/>
      <c r="CT25" s="567"/>
      <c r="CU25" s="921"/>
      <c r="CV25" s="567"/>
      <c r="CW25" s="567"/>
      <c r="CX25" s="567"/>
      <c r="CY25" s="567"/>
      <c r="CZ25" s="921"/>
      <c r="DA25" s="169"/>
      <c r="DB25" s="567"/>
      <c r="DC25" s="567"/>
      <c r="DD25" s="567"/>
      <c r="DE25" s="921"/>
      <c r="DF25" s="169"/>
      <c r="DG25" s="567"/>
      <c r="DH25" s="169"/>
      <c r="DI25" s="567"/>
      <c r="DJ25" s="921"/>
      <c r="DK25" s="169"/>
      <c r="DL25" s="567"/>
      <c r="DM25" s="169"/>
      <c r="DN25" s="567"/>
      <c r="DO25" s="921"/>
      <c r="DP25" s="169"/>
      <c r="DQ25" s="567"/>
      <c r="DR25" s="169"/>
      <c r="DS25" s="169"/>
      <c r="DT25" s="921"/>
      <c r="DU25" s="169"/>
      <c r="DV25" s="169"/>
      <c r="DW25" s="169"/>
      <c r="DX25" s="169"/>
      <c r="DY25" s="921"/>
      <c r="DZ25" s="112"/>
      <c r="EA25" s="112"/>
      <c r="EB25" s="112"/>
    </row>
    <row r="26" spans="2:132">
      <c r="B26" s="164" t="s">
        <v>261</v>
      </c>
      <c r="C26" s="112"/>
      <c r="D26" s="112"/>
      <c r="E26" s="112"/>
      <c r="F26" s="112"/>
      <c r="G26" s="112"/>
      <c r="H26" s="112"/>
      <c r="I26" s="112"/>
      <c r="J26" s="169"/>
      <c r="K26" s="169"/>
      <c r="L26" s="169"/>
      <c r="M26" s="169"/>
      <c r="N26" s="112"/>
      <c r="O26" s="169"/>
      <c r="P26" s="169"/>
      <c r="Q26" s="169"/>
      <c r="R26" s="169"/>
      <c r="S26" s="112"/>
      <c r="T26" s="169"/>
      <c r="U26" s="169"/>
      <c r="V26" s="169"/>
      <c r="W26" s="169"/>
      <c r="X26" s="112"/>
      <c r="Y26" s="169"/>
      <c r="Z26" s="169"/>
      <c r="AA26" s="169"/>
      <c r="AB26" s="169"/>
      <c r="AC26" s="112"/>
      <c r="AD26" s="169"/>
      <c r="AE26" s="169"/>
      <c r="AF26" s="169"/>
      <c r="AG26" s="169"/>
      <c r="AH26" s="112"/>
      <c r="AI26" s="169"/>
      <c r="AJ26" s="169"/>
      <c r="AK26" s="169"/>
      <c r="AL26" s="169"/>
      <c r="AM26" s="112"/>
      <c r="AN26" s="403"/>
      <c r="AO26" s="403"/>
      <c r="AP26" s="403"/>
      <c r="AQ26" s="403"/>
      <c r="AR26" s="112"/>
      <c r="AS26" s="403"/>
      <c r="AT26" s="403"/>
      <c r="AU26" s="169"/>
      <c r="AV26" s="169"/>
      <c r="AW26" s="112"/>
      <c r="AX26" s="567"/>
      <c r="AY26" s="567"/>
      <c r="AZ26" s="567"/>
      <c r="BA26" s="567"/>
      <c r="BB26" s="112"/>
      <c r="BC26" s="567"/>
      <c r="BD26" s="567"/>
      <c r="BE26" s="567"/>
      <c r="BF26" s="567"/>
      <c r="BG26" s="112"/>
      <c r="BH26" s="169"/>
      <c r="BI26" s="567"/>
      <c r="BJ26" s="567"/>
      <c r="BK26" s="567"/>
      <c r="BL26" s="112"/>
      <c r="BM26" s="169"/>
      <c r="BN26" s="169"/>
      <c r="BO26" s="169"/>
      <c r="BP26" s="169"/>
      <c r="BQ26" s="112"/>
      <c r="BR26" s="169"/>
      <c r="BS26" s="169"/>
      <c r="BT26" s="169"/>
      <c r="BU26" s="169"/>
      <c r="BV26" s="112"/>
      <c r="BW26" s="169"/>
      <c r="BX26" s="169"/>
      <c r="BY26" s="169"/>
      <c r="BZ26" s="169"/>
      <c r="CA26" s="112"/>
      <c r="CB26" s="169"/>
      <c r="CC26" s="169"/>
      <c r="CD26" s="169"/>
      <c r="CE26" s="169"/>
      <c r="CF26" s="112"/>
      <c r="CG26" s="169"/>
      <c r="CH26" s="169"/>
      <c r="CI26" s="169"/>
      <c r="CJ26" s="169"/>
      <c r="CK26" s="112"/>
      <c r="CL26" s="567"/>
      <c r="CM26" s="567"/>
      <c r="CN26" s="567"/>
      <c r="CO26" s="567"/>
      <c r="CP26" s="921"/>
      <c r="CQ26" s="567"/>
      <c r="CR26" s="567"/>
      <c r="CS26" s="567"/>
      <c r="CT26" s="567"/>
      <c r="CU26" s="921"/>
      <c r="CV26" s="567"/>
      <c r="CW26" s="567"/>
      <c r="CX26" s="567"/>
      <c r="CY26" s="567"/>
      <c r="CZ26" s="921"/>
      <c r="DA26" s="169"/>
      <c r="DB26" s="567"/>
      <c r="DC26" s="567"/>
      <c r="DD26" s="567"/>
      <c r="DE26" s="921"/>
      <c r="DF26" s="169"/>
      <c r="DG26" s="567"/>
      <c r="DH26" s="169"/>
      <c r="DI26" s="567"/>
      <c r="DJ26" s="921"/>
      <c r="DK26" s="169"/>
      <c r="DL26" s="567"/>
      <c r="DM26" s="169"/>
      <c r="DN26" s="567"/>
      <c r="DO26" s="921"/>
      <c r="DP26" s="169"/>
      <c r="DQ26" s="567"/>
      <c r="DR26" s="169"/>
      <c r="DS26" s="169"/>
      <c r="DT26" s="921"/>
      <c r="DU26" s="169"/>
      <c r="DV26" s="169"/>
      <c r="DW26" s="169"/>
      <c r="DX26" s="169"/>
      <c r="DY26" s="921"/>
      <c r="DZ26" s="112"/>
      <c r="EA26" s="112"/>
      <c r="EB26" s="112"/>
    </row>
    <row r="27" spans="2:132">
      <c r="B27" s="804" t="s">
        <v>263</v>
      </c>
      <c r="C27" s="67">
        <f>Data!C67</f>
        <v>11548</v>
      </c>
      <c r="D27" s="67">
        <f>Data!D67</f>
        <v>10733</v>
      </c>
      <c r="E27" s="67">
        <f>Data!E67</f>
        <v>11269</v>
      </c>
      <c r="F27" s="67">
        <f>Data!F67</f>
        <v>11979</v>
      </c>
      <c r="G27" s="67">
        <f>Data!G67</f>
        <v>13872</v>
      </c>
      <c r="H27" s="67">
        <f>Data!H67</f>
        <v>13739</v>
      </c>
      <c r="I27" s="67">
        <f>Data!I67</f>
        <v>13563</v>
      </c>
      <c r="J27" s="68">
        <f>Data!J67</f>
        <v>13514</v>
      </c>
      <c r="K27" s="68">
        <f>Data!K67</f>
        <v>14198</v>
      </c>
      <c r="L27" s="68">
        <f>Data!L67</f>
        <v>14971</v>
      </c>
      <c r="M27" s="68">
        <f>Data!M67</f>
        <v>14869</v>
      </c>
      <c r="N27" s="67">
        <f>M27</f>
        <v>14869</v>
      </c>
      <c r="O27" s="68">
        <f>Data!O67</f>
        <v>15338</v>
      </c>
      <c r="P27" s="68">
        <f>Data!P67</f>
        <v>15939</v>
      </c>
      <c r="Q27" s="68">
        <f>Data!Q67</f>
        <v>16912</v>
      </c>
      <c r="R27" s="68">
        <f>Data!R67</f>
        <v>16513</v>
      </c>
      <c r="S27" s="67">
        <f t="shared" ref="S27:S47" si="105">R27</f>
        <v>16513</v>
      </c>
      <c r="T27" s="68">
        <f>Data!T67</f>
        <v>16719</v>
      </c>
      <c r="U27" s="68">
        <f>Data!U67</f>
        <v>17847</v>
      </c>
      <c r="V27" s="68">
        <f>Data!V67</f>
        <v>16741</v>
      </c>
      <c r="W27" s="68">
        <f>Data!W67</f>
        <v>16201</v>
      </c>
      <c r="X27" s="67">
        <f t="shared" ref="X27:X47" si="106">W27</f>
        <v>16201</v>
      </c>
      <c r="Y27" s="68">
        <f>Data!Y67</f>
        <v>15921</v>
      </c>
      <c r="Z27" s="68">
        <f>Data!Z67</f>
        <v>17174</v>
      </c>
      <c r="AA27" s="68">
        <f>Data!AA67</f>
        <v>16536</v>
      </c>
      <c r="AB27" s="68">
        <f>Data!AB67</f>
        <v>16676</v>
      </c>
      <c r="AC27" s="67">
        <f t="shared" ref="AC27:AC47" si="107">AB27</f>
        <v>16676</v>
      </c>
      <c r="AD27" s="68">
        <f>Data!AD67</f>
        <v>17336</v>
      </c>
      <c r="AE27" s="68">
        <f>Data!AE67</f>
        <v>17431</v>
      </c>
      <c r="AF27" s="68">
        <f>Data!AF67</f>
        <v>16427</v>
      </c>
      <c r="AG27" s="68">
        <f>Data!AG67</f>
        <v>17587</v>
      </c>
      <c r="AH27" s="67">
        <f t="shared" ref="AH27:AH47" si="108">AG27</f>
        <v>17587</v>
      </c>
      <c r="AI27" s="68">
        <f>Data!AI67</f>
        <v>17553</v>
      </c>
      <c r="AJ27" s="68">
        <f>Data!AJ67</f>
        <v>6664</v>
      </c>
      <c r="AK27" s="68">
        <f>Data!AK67</f>
        <v>7053</v>
      </c>
      <c r="AL27" s="68">
        <f>Data!AL67</f>
        <v>7096</v>
      </c>
      <c r="AM27" s="67">
        <f t="shared" ref="AM27:AM32" si="109">AL27</f>
        <v>7096</v>
      </c>
      <c r="AN27" s="241">
        <f>Data!AN67</f>
        <v>7469</v>
      </c>
      <c r="AO27" s="241">
        <f>Data!AO67</f>
        <v>6960</v>
      </c>
      <c r="AP27" s="241">
        <f>Data!AP67</f>
        <v>7563</v>
      </c>
      <c r="AQ27" s="241">
        <f>Data!AQ67</f>
        <v>7715</v>
      </c>
      <c r="AR27" s="67">
        <f t="shared" ref="AR27:AR32" si="110">AQ27</f>
        <v>7715</v>
      </c>
      <c r="AS27" s="241">
        <f>Data!AS67</f>
        <v>8304</v>
      </c>
      <c r="AT27" s="241">
        <f>Data!AT67</f>
        <v>8262</v>
      </c>
      <c r="AU27" s="121">
        <f>Data!AU67</f>
        <v>8502</v>
      </c>
      <c r="AV27" s="121">
        <f>Data!AV67</f>
        <v>8406</v>
      </c>
      <c r="AW27" s="67">
        <f t="shared" ref="AW27:AW47" si="111">AV27</f>
        <v>8406</v>
      </c>
      <c r="AX27" s="121">
        <f>Data!AX67</f>
        <v>9041</v>
      </c>
      <c r="AY27" s="121">
        <f>Data!AY67</f>
        <v>9273</v>
      </c>
      <c r="AZ27" s="121">
        <f>Data!AZ67</f>
        <v>9152</v>
      </c>
      <c r="BA27" s="121">
        <f>Data!BA67</f>
        <v>9394</v>
      </c>
      <c r="BB27" s="67">
        <f t="shared" ref="BB27:BB47" si="112">BA27</f>
        <v>9394</v>
      </c>
      <c r="BC27" s="121">
        <f>Data!BC67</f>
        <v>9876</v>
      </c>
      <c r="BD27" s="121">
        <f>Data!BD67</f>
        <v>10437</v>
      </c>
      <c r="BE27" s="121">
        <f>Data!BE67</f>
        <v>10657</v>
      </c>
      <c r="BF27" s="121">
        <f>Data!BF67</f>
        <v>9498</v>
      </c>
      <c r="BG27" s="67">
        <f t="shared" ref="BG27:BG47" si="113">BF27</f>
        <v>9498</v>
      </c>
      <c r="BH27" s="121">
        <f>Data!BH67</f>
        <v>10779</v>
      </c>
      <c r="BI27" s="121">
        <f>Data!BI67</f>
        <v>11060</v>
      </c>
      <c r="BJ27" s="121">
        <f>Data!BJ67</f>
        <v>11136</v>
      </c>
      <c r="BK27" s="121">
        <f>Data!BK67</f>
        <v>10667</v>
      </c>
      <c r="BL27" s="67">
        <f t="shared" ref="BL27:BL47" si="114">BK27</f>
        <v>10667</v>
      </c>
      <c r="BM27" s="121">
        <f>Data!BM67</f>
        <v>11497</v>
      </c>
      <c r="BN27" s="121">
        <f>Data!BN67</f>
        <v>11531</v>
      </c>
      <c r="BO27" s="121">
        <f>Data!BO67</f>
        <v>11777</v>
      </c>
      <c r="BP27" s="121">
        <f>Data!BP67</f>
        <v>10800</v>
      </c>
      <c r="BQ27" s="67">
        <f t="shared" ref="BQ27:BQ47" si="115">BP27</f>
        <v>10800</v>
      </c>
      <c r="BR27" s="121">
        <f>Data!BR67</f>
        <v>11558</v>
      </c>
      <c r="BS27" s="121">
        <f>Data!BS67</f>
        <v>11748</v>
      </c>
      <c r="BT27" s="121">
        <f>Data!BT67</f>
        <v>11968</v>
      </c>
      <c r="BU27" s="121">
        <f>Data!BU67</f>
        <v>11190</v>
      </c>
      <c r="BV27" s="67">
        <f t="shared" ref="BV27:BV47" si="116">BU27</f>
        <v>11190</v>
      </c>
      <c r="BW27" s="121">
        <f>Data!BW67</f>
        <v>11964</v>
      </c>
      <c r="BX27" s="121">
        <f>Data!BX67</f>
        <v>12093</v>
      </c>
      <c r="BY27" s="121">
        <f>Data!BY67</f>
        <v>12718</v>
      </c>
      <c r="BZ27" s="121">
        <f>Data!BZ67</f>
        <v>12202</v>
      </c>
      <c r="CA27" s="67">
        <f t="shared" ref="CA27:CA32" si="117">BZ27</f>
        <v>12202</v>
      </c>
      <c r="CB27" s="121">
        <f>Data!CB67</f>
        <v>12613</v>
      </c>
      <c r="CC27" s="121">
        <f>Data!CC67</f>
        <v>12904</v>
      </c>
      <c r="CD27" s="121">
        <f>Data!CD67</f>
        <v>13663</v>
      </c>
      <c r="CE27" s="121">
        <f>Data!CE67</f>
        <v>12916</v>
      </c>
      <c r="CF27" s="67">
        <f t="shared" ref="CF27:CF32" si="118">CE27</f>
        <v>12916</v>
      </c>
      <c r="CG27" s="121">
        <f>Data!CG67</f>
        <v>14693</v>
      </c>
      <c r="CH27" s="121">
        <f>Data!CH67</f>
        <v>15267</v>
      </c>
      <c r="CI27" s="121">
        <f>Data!CI67</f>
        <v>15101</v>
      </c>
      <c r="CJ27" s="121">
        <f>Data!CJ67</f>
        <v>15553</v>
      </c>
      <c r="CK27" s="67">
        <f t="shared" ref="CK27:CK32" si="119">CJ27</f>
        <v>15553</v>
      </c>
      <c r="CL27" s="121">
        <f>Data!CL67</f>
        <v>14963</v>
      </c>
      <c r="CM27" s="121">
        <f>Data!CM67</f>
        <v>13700</v>
      </c>
      <c r="CN27" s="121">
        <f>Data!CN67</f>
        <v>14479</v>
      </c>
      <c r="CO27" s="121">
        <f>Data!CO67</f>
        <v>12928</v>
      </c>
      <c r="CP27" s="120">
        <f t="shared" ref="CP27:CP32" si="120">CO27</f>
        <v>12928</v>
      </c>
      <c r="CQ27" s="121">
        <f>Data!CQ67</f>
        <v>12410</v>
      </c>
      <c r="CR27" s="121">
        <f>Data!CR67</f>
        <v>11450</v>
      </c>
      <c r="CS27" s="121">
        <f>Data!CS67</f>
        <v>10151</v>
      </c>
      <c r="CT27" s="121">
        <f>Data!CT67</f>
        <v>9261</v>
      </c>
      <c r="CU27" s="120">
        <f t="shared" ref="CU27:CU32" si="121">CT27</f>
        <v>9261</v>
      </c>
      <c r="CV27" s="121">
        <f>Data!CV67</f>
        <v>8779</v>
      </c>
      <c r="CW27" s="121">
        <f>Data!CW67</f>
        <v>9575</v>
      </c>
      <c r="CX27" s="121">
        <f>Data!CX67</f>
        <v>9793</v>
      </c>
      <c r="CY27" s="121">
        <f>Data!CY67</f>
        <v>10200</v>
      </c>
      <c r="CZ27" s="120">
        <f t="shared" ref="CZ27:CZ32" si="122">CY27</f>
        <v>10200</v>
      </c>
      <c r="DA27" s="121">
        <f>Data!DA67</f>
        <v>10274</v>
      </c>
      <c r="DB27" s="121">
        <f>Data!DB67</f>
        <v>10936</v>
      </c>
      <c r="DC27" s="121">
        <f>Data!DC67</f>
        <v>11143</v>
      </c>
      <c r="DD27" s="121">
        <f>Data!DD67</f>
        <v>11964</v>
      </c>
      <c r="DE27" s="120">
        <f t="shared" ref="DE27:DE32" si="123">DD27</f>
        <v>11964</v>
      </c>
      <c r="DF27" s="121">
        <f>Data!DF67</f>
        <v>11616</v>
      </c>
      <c r="DG27" s="121">
        <f>Data!DG67</f>
        <v>11864</v>
      </c>
      <c r="DH27" s="121">
        <f>Data!DH67</f>
        <v>12267</v>
      </c>
      <c r="DI27" s="121">
        <f>Data!DI67</f>
        <v>11364</v>
      </c>
      <c r="DJ27" s="120">
        <f t="shared" ref="DJ27:DJ32" si="124">DI27</f>
        <v>11364</v>
      </c>
      <c r="DK27" s="121">
        <f>Data!DK67</f>
        <v>11034</v>
      </c>
      <c r="DL27" s="121">
        <f>Data!DL67</f>
        <v>11238</v>
      </c>
      <c r="DM27" s="121">
        <f>Data!DM67</f>
        <v>11732</v>
      </c>
      <c r="DN27" s="121">
        <f>Data!DN67</f>
        <v>13109</v>
      </c>
      <c r="DO27" s="120">
        <f t="shared" ref="DO27:DO32" si="125">DN27</f>
        <v>13109</v>
      </c>
      <c r="DP27" s="121">
        <f>Data!DP67</f>
        <v>13713</v>
      </c>
      <c r="DQ27" s="121">
        <f>Data!DQ67</f>
        <v>14346</v>
      </c>
      <c r="DR27" s="184">
        <f>-DR77/90*IS!DR12</f>
        <v>11395.555542444337</v>
      </c>
      <c r="DS27" s="184">
        <f>-DS77/90*IS!DS12</f>
        <v>12061.502115040619</v>
      </c>
      <c r="DT27" s="120">
        <f t="shared" ref="DT27:DT32" si="126">DS27</f>
        <v>12061.502115040619</v>
      </c>
      <c r="DU27" s="184">
        <f>-DU77/90*IS!DU12</f>
        <v>12073.147796492687</v>
      </c>
      <c r="DV27" s="184">
        <f>-DV77/90*IS!DV12</f>
        <v>12652.31631439107</v>
      </c>
      <c r="DW27" s="184">
        <f>-DW77/90*IS!DW12</f>
        <v>13125.709660918352</v>
      </c>
      <c r="DX27" s="184">
        <f>-DX77/90*IS!DX12</f>
        <v>14113.433578880631</v>
      </c>
      <c r="DY27" s="120">
        <f t="shared" ref="DY27:DY32" si="127">DX27</f>
        <v>14113.433578880631</v>
      </c>
      <c r="DZ27" s="185">
        <f>-DZ77/365*IS!DZ12</f>
        <v>13691.074738066369</v>
      </c>
      <c r="EA27" s="185">
        <f>-EA77/365*IS!EA12</f>
        <v>14685.726547404958</v>
      </c>
      <c r="EB27" s="185">
        <f>-EB77/365*IS!EB12</f>
        <v>15121.268104012765</v>
      </c>
    </row>
    <row r="28" spans="2:132">
      <c r="B28" s="804" t="s">
        <v>498</v>
      </c>
      <c r="C28" s="805"/>
      <c r="D28" s="805"/>
      <c r="E28" s="805"/>
      <c r="F28" s="805"/>
      <c r="G28" s="805"/>
      <c r="H28" s="805"/>
      <c r="I28" s="805"/>
      <c r="N28" s="805"/>
      <c r="S28" s="805"/>
      <c r="X28" s="805"/>
      <c r="AC28" s="805"/>
      <c r="AH28" s="805"/>
      <c r="AI28" s="68">
        <f>Data!AI68</f>
        <v>0</v>
      </c>
      <c r="AJ28" s="68">
        <f>Data!AJ68</f>
        <v>11821</v>
      </c>
      <c r="AK28" s="68">
        <f>Data!AK68</f>
        <v>12217</v>
      </c>
      <c r="AL28" s="68">
        <f>Data!AL68</f>
        <v>12822</v>
      </c>
      <c r="AM28" s="67">
        <f t="shared" si="109"/>
        <v>12822</v>
      </c>
      <c r="AN28" s="241">
        <f>Data!AN68</f>
        <v>12267</v>
      </c>
      <c r="AO28" s="241">
        <f>Data!AO68</f>
        <v>12899</v>
      </c>
      <c r="AP28" s="241">
        <f>Data!AP68</f>
        <v>12760</v>
      </c>
      <c r="AQ28" s="241">
        <f>Data!AQ68</f>
        <v>13802</v>
      </c>
      <c r="AR28" s="67">
        <f t="shared" si="110"/>
        <v>13802</v>
      </c>
      <c r="AS28" s="241">
        <f>Data!AS68</f>
        <v>12835</v>
      </c>
      <c r="AT28" s="241">
        <f>Data!AT68</f>
        <v>13570</v>
      </c>
      <c r="AU28" s="121">
        <f>Data!AU68</f>
        <v>11213</v>
      </c>
      <c r="AV28" s="121">
        <f>Data!AV68</f>
        <v>12239</v>
      </c>
      <c r="AW28" s="67">
        <f t="shared" ref="AW28" si="128">AV28</f>
        <v>12239</v>
      </c>
      <c r="AX28" s="121">
        <f>Data!AX68</f>
        <v>10943</v>
      </c>
      <c r="AY28" s="121">
        <f>Data!AY68</f>
        <v>11699</v>
      </c>
      <c r="AZ28" s="121">
        <f>Data!AZ68</f>
        <v>11773</v>
      </c>
      <c r="BA28" s="121">
        <f>Data!BA68</f>
        <v>12995</v>
      </c>
      <c r="BB28" s="67">
        <f t="shared" ref="BB28" si="129">BA28</f>
        <v>12995</v>
      </c>
      <c r="BC28" s="121">
        <f>Data!BC68</f>
        <v>11530</v>
      </c>
      <c r="BD28" s="121">
        <f>Data!BD68</f>
        <v>12412</v>
      </c>
      <c r="BE28" s="121">
        <f>Data!BE68</f>
        <v>12384</v>
      </c>
      <c r="BF28" s="121">
        <f>Data!BF68</f>
        <v>14131</v>
      </c>
      <c r="BG28" s="67">
        <f t="shared" ref="BG28" si="130">BF28</f>
        <v>14131</v>
      </c>
      <c r="BH28" s="121">
        <f>Data!BH68</f>
        <v>12219</v>
      </c>
      <c r="BI28" s="121">
        <f>Data!BI68</f>
        <v>13222</v>
      </c>
      <c r="BJ28" s="121">
        <f>Data!BJ68</f>
        <v>12677</v>
      </c>
      <c r="BK28" s="121">
        <f>Data!BK68</f>
        <v>13343</v>
      </c>
      <c r="BL28" s="67">
        <f t="shared" ref="BL28" si="131">BK28</f>
        <v>13343</v>
      </c>
      <c r="BM28" s="121">
        <f>Data!BM68</f>
        <v>11958</v>
      </c>
      <c r="BN28" s="121">
        <f>Data!BN68</f>
        <v>13226</v>
      </c>
      <c r="BO28" s="121">
        <f>Data!BO68</f>
        <v>12770</v>
      </c>
      <c r="BP28" s="121">
        <f>Data!BP68</f>
        <v>14014</v>
      </c>
      <c r="BQ28" s="67">
        <f t="shared" ref="BQ28" si="132">BP28</f>
        <v>14014</v>
      </c>
      <c r="BR28" s="121">
        <f>Data!BR68</f>
        <v>12790</v>
      </c>
      <c r="BS28" s="121">
        <f>Data!BS68</f>
        <v>13534</v>
      </c>
      <c r="BT28" s="121">
        <f>Data!BT68</f>
        <v>13243</v>
      </c>
      <c r="BU28" s="121">
        <f>Data!BU68</f>
        <v>14691</v>
      </c>
      <c r="BV28" s="67">
        <f t="shared" ref="BV28" si="133">BU28</f>
        <v>14691</v>
      </c>
      <c r="BW28" s="121">
        <f>Data!BW68</f>
        <v>13332</v>
      </c>
      <c r="BX28" s="121">
        <f>Data!BX68</f>
        <v>14294</v>
      </c>
      <c r="BY28" s="121">
        <f>Data!BY68</f>
        <v>14008</v>
      </c>
      <c r="BZ28" s="121">
        <f>Data!BZ68</f>
        <v>15292</v>
      </c>
      <c r="CA28" s="67">
        <f t="shared" ref="CA28" si="134">BZ28</f>
        <v>15292</v>
      </c>
      <c r="CB28" s="121">
        <f>Data!CB68</f>
        <v>10983</v>
      </c>
      <c r="CC28" s="121">
        <f>Data!CC68</f>
        <v>12240</v>
      </c>
      <c r="CD28" s="121">
        <f>Data!CD68</f>
        <v>12869</v>
      </c>
      <c r="CE28" s="121">
        <f>Data!CE68</f>
        <v>14808</v>
      </c>
      <c r="CF28" s="67">
        <f t="shared" si="118"/>
        <v>14808</v>
      </c>
      <c r="CG28" s="121">
        <f>Data!CG68</f>
        <v>13007</v>
      </c>
      <c r="CH28" s="121">
        <f>Data!CH68</f>
        <v>20042</v>
      </c>
      <c r="CI28" s="121">
        <f>Data!CI68</f>
        <v>19224</v>
      </c>
      <c r="CJ28" s="121">
        <f>Data!CJ68</f>
        <v>22868</v>
      </c>
      <c r="CK28" s="67">
        <f t="shared" si="119"/>
        <v>22868</v>
      </c>
      <c r="CL28" s="121">
        <f>Data!CL68</f>
        <v>21483</v>
      </c>
      <c r="CM28" s="121">
        <f>Data!CM68</f>
        <v>22493</v>
      </c>
      <c r="CN28" s="121">
        <f>Data!CN68</f>
        <v>22220</v>
      </c>
      <c r="CO28" s="121">
        <f>Data!CO68</f>
        <v>22171</v>
      </c>
      <c r="CP28" s="120">
        <f t="shared" si="120"/>
        <v>22171</v>
      </c>
      <c r="CQ28" s="121">
        <f>Data!CQ68</f>
        <v>20553</v>
      </c>
      <c r="CR28" s="121">
        <f>Data!CR68</f>
        <v>19502</v>
      </c>
      <c r="CS28" s="121">
        <f>Data!CS68</f>
        <v>18974</v>
      </c>
      <c r="CT28" s="121">
        <f>Data!CT68</f>
        <v>18455</v>
      </c>
      <c r="CU28" s="120">
        <f t="shared" si="121"/>
        <v>18455</v>
      </c>
      <c r="CV28" s="121">
        <f>Data!CV68</f>
        <v>17864</v>
      </c>
      <c r="CW28" s="121">
        <f>Data!CW68</f>
        <v>17752</v>
      </c>
      <c r="CX28" s="121">
        <f>Data!CX68</f>
        <v>21217</v>
      </c>
      <c r="CY28" s="121">
        <f>Data!CY68</f>
        <v>21581</v>
      </c>
      <c r="CZ28" s="120">
        <f t="shared" si="122"/>
        <v>21581</v>
      </c>
      <c r="DA28" s="121">
        <f>Data!DA68</f>
        <v>20812</v>
      </c>
      <c r="DB28" s="121">
        <f>Data!DB68</f>
        <v>21221</v>
      </c>
      <c r="DC28" s="121">
        <f>Data!DC68</f>
        <v>21104</v>
      </c>
      <c r="DD28" s="121">
        <f>Data!DD68</f>
        <v>22331</v>
      </c>
      <c r="DE28" s="120">
        <f t="shared" si="123"/>
        <v>22331</v>
      </c>
      <c r="DF28" s="121">
        <f>Data!DF68</f>
        <v>21607</v>
      </c>
      <c r="DG28" s="121">
        <f>Data!DG68</f>
        <v>21850</v>
      </c>
      <c r="DH28" s="121">
        <f>Data!DH68</f>
        <v>22628</v>
      </c>
      <c r="DI28" s="121">
        <f>Data!DI68</f>
        <v>24103</v>
      </c>
      <c r="DJ28" s="120">
        <f t="shared" si="124"/>
        <v>24103</v>
      </c>
      <c r="DK28" s="121">
        <f>Data!DK68</f>
        <v>23576</v>
      </c>
      <c r="DL28" s="121">
        <f>Data!DL68</f>
        <v>23508</v>
      </c>
      <c r="DM28" s="121">
        <f>Data!DM68</f>
        <v>24364</v>
      </c>
      <c r="DN28" s="121">
        <f>Data!DN68</f>
        <v>27141</v>
      </c>
      <c r="DO28" s="120">
        <f t="shared" si="125"/>
        <v>27141</v>
      </c>
      <c r="DP28" s="121">
        <f>Data!DP68</f>
        <v>26388</v>
      </c>
      <c r="DQ28" s="121">
        <f>Data!DQ68</f>
        <v>26593</v>
      </c>
      <c r="DR28" s="184">
        <f>DQ28+CFLO!DR23</f>
        <v>26593</v>
      </c>
      <c r="DS28" s="184">
        <f>DR28+CFLO!DS23</f>
        <v>26593</v>
      </c>
      <c r="DT28" s="120">
        <f t="shared" si="126"/>
        <v>26593</v>
      </c>
      <c r="DU28" s="184">
        <f>DT28+CFLO!DU23</f>
        <v>26593</v>
      </c>
      <c r="DV28" s="184">
        <f>DU28+CFLO!DV23</f>
        <v>26593</v>
      </c>
      <c r="DW28" s="184">
        <f>DV28+CFLO!DW23</f>
        <v>26593</v>
      </c>
      <c r="DX28" s="184">
        <f>DW28+CFLO!DX23</f>
        <v>26593</v>
      </c>
      <c r="DY28" s="120">
        <f t="shared" si="127"/>
        <v>26593</v>
      </c>
      <c r="DZ28" s="185">
        <f>DY28+CFLO!DZ23</f>
        <v>26593</v>
      </c>
      <c r="EA28" s="185">
        <f>DZ28+CFLO!EA23</f>
        <v>26593</v>
      </c>
      <c r="EB28" s="185">
        <f>EA28+CFLO!EB23</f>
        <v>26593</v>
      </c>
    </row>
    <row r="29" spans="2:132">
      <c r="B29" s="159" t="s">
        <v>65</v>
      </c>
      <c r="C29" s="67">
        <f>Data!C69</f>
        <v>1575</v>
      </c>
      <c r="D29" s="67">
        <f>Data!D69</f>
        <v>1251</v>
      </c>
      <c r="E29" s="67">
        <f>Data!E69</f>
        <v>1215</v>
      </c>
      <c r="F29" s="67">
        <f>Data!F69</f>
        <v>3517</v>
      </c>
      <c r="G29" s="67">
        <f>Data!G69</f>
        <v>4306</v>
      </c>
      <c r="H29" s="67">
        <f>Data!H69</f>
        <v>3123</v>
      </c>
      <c r="I29" s="67">
        <f>Data!I69</f>
        <v>3464</v>
      </c>
      <c r="J29" s="68">
        <f>Data!J69</f>
        <v>3705</v>
      </c>
      <c r="K29" s="68">
        <f>Data!K69</f>
        <v>3473</v>
      </c>
      <c r="L29" s="68">
        <f>Data!L69</f>
        <v>3904</v>
      </c>
      <c r="M29" s="68">
        <f>Data!M69</f>
        <v>4123</v>
      </c>
      <c r="N29" s="67">
        <f>M29</f>
        <v>4123</v>
      </c>
      <c r="O29" s="68">
        <f>Data!O69</f>
        <v>6471</v>
      </c>
      <c r="P29" s="68">
        <f>Data!P69</f>
        <v>6875</v>
      </c>
      <c r="Q29" s="68">
        <f>Data!Q69</f>
        <v>7869</v>
      </c>
      <c r="R29" s="68">
        <f>Data!R69</f>
        <v>9930</v>
      </c>
      <c r="S29" s="67">
        <f t="shared" si="105"/>
        <v>9930</v>
      </c>
      <c r="T29" s="68">
        <f>Data!T69</f>
        <v>10018</v>
      </c>
      <c r="U29" s="68">
        <f>Data!U69</f>
        <v>10268</v>
      </c>
      <c r="V29" s="68">
        <f>Data!V69</f>
        <v>10524</v>
      </c>
      <c r="W29" s="68">
        <f>Data!W69</f>
        <v>11449</v>
      </c>
      <c r="X29" s="67">
        <f t="shared" si="106"/>
        <v>11449</v>
      </c>
      <c r="Y29" s="68">
        <f>Data!Y69</f>
        <v>11134</v>
      </c>
      <c r="Z29" s="68">
        <f>Data!Z69</f>
        <v>11546</v>
      </c>
      <c r="AA29" s="68">
        <f>Data!AA69</f>
        <v>12226</v>
      </c>
      <c r="AB29" s="68">
        <f>Data!AB69</f>
        <v>13847</v>
      </c>
      <c r="AC29" s="67">
        <f t="shared" si="107"/>
        <v>13847</v>
      </c>
      <c r="AD29" s="68">
        <f>Data!AD69</f>
        <v>13961</v>
      </c>
      <c r="AE29" s="68">
        <f>Data!AE69</f>
        <v>12682</v>
      </c>
      <c r="AF29" s="68">
        <f>Data!AF69</f>
        <v>11793</v>
      </c>
      <c r="AG29" s="68">
        <f>Data!AG69</f>
        <v>12737</v>
      </c>
      <c r="AH29" s="67">
        <f t="shared" si="108"/>
        <v>12737</v>
      </c>
      <c r="AI29" s="68">
        <f>Data!AI69</f>
        <v>11527</v>
      </c>
      <c r="AJ29" s="68">
        <f>Data!AJ69</f>
        <v>11717</v>
      </c>
      <c r="AK29" s="68">
        <f>Data!AK69</f>
        <v>11792</v>
      </c>
      <c r="AL29" s="68">
        <f>Data!AL69</f>
        <v>12076</v>
      </c>
      <c r="AM29" s="67">
        <f t="shared" si="109"/>
        <v>12076</v>
      </c>
      <c r="AN29" s="241">
        <f>Data!AN69</f>
        <v>11857</v>
      </c>
      <c r="AO29" s="241">
        <f>Data!AO69</f>
        <v>12009</v>
      </c>
      <c r="AP29" s="241">
        <f>Data!AP69</f>
        <v>11844</v>
      </c>
      <c r="AQ29" s="241">
        <f>Data!AQ69</f>
        <v>12323</v>
      </c>
      <c r="AR29" s="67">
        <f t="shared" si="110"/>
        <v>12323</v>
      </c>
      <c r="AS29" s="241">
        <f>Data!AS69</f>
        <v>12363</v>
      </c>
      <c r="AT29" s="241">
        <f>Data!AT69</f>
        <v>12948</v>
      </c>
      <c r="AU29" s="121">
        <f>Data!AU69</f>
        <v>14320</v>
      </c>
      <c r="AV29" s="121">
        <f>Data!AV69</f>
        <v>15496</v>
      </c>
      <c r="AW29" s="67">
        <f t="shared" si="111"/>
        <v>15496</v>
      </c>
      <c r="AX29" s="121">
        <f>Data!AX69</f>
        <v>15336</v>
      </c>
      <c r="AY29" s="121">
        <f>Data!AY69</f>
        <v>15344</v>
      </c>
      <c r="AZ29" s="121">
        <f>Data!AZ69</f>
        <v>15619</v>
      </c>
      <c r="BA29" s="121">
        <f>Data!BA69</f>
        <v>16672</v>
      </c>
      <c r="BB29" s="67">
        <f t="shared" si="112"/>
        <v>16672</v>
      </c>
      <c r="BC29" s="121">
        <f>Data!BC69</f>
        <v>18505</v>
      </c>
      <c r="BD29" s="121">
        <f>Data!BD69</f>
        <v>18145</v>
      </c>
      <c r="BE29" s="121">
        <f>Data!BE69</f>
        <v>20216</v>
      </c>
      <c r="BF29" s="121">
        <f>Data!BF69</f>
        <v>20027</v>
      </c>
      <c r="BG29" s="67">
        <f t="shared" si="113"/>
        <v>20027</v>
      </c>
      <c r="BH29" s="121">
        <f>Data!BH69</f>
        <v>21112</v>
      </c>
      <c r="BI29" s="121">
        <f>Data!BI69</f>
        <v>21244</v>
      </c>
      <c r="BJ29" s="121">
        <f>Data!BJ69</f>
        <v>21127</v>
      </c>
      <c r="BK29" s="121">
        <f>Data!BK69</f>
        <v>23175</v>
      </c>
      <c r="BL29" s="67">
        <f t="shared" si="114"/>
        <v>23175</v>
      </c>
      <c r="BM29" s="121">
        <f>Data!BM69</f>
        <v>22752</v>
      </c>
      <c r="BN29" s="121">
        <f>Data!BN69</f>
        <v>23373</v>
      </c>
      <c r="BO29" s="121">
        <f>Data!BO69</f>
        <v>23442</v>
      </c>
      <c r="BP29" s="121">
        <f>Data!BP69</f>
        <v>24364</v>
      </c>
      <c r="BQ29" s="67">
        <f t="shared" si="115"/>
        <v>24364</v>
      </c>
      <c r="BR29" s="121">
        <f>Data!BR69</f>
        <v>23926</v>
      </c>
      <c r="BS29" s="121">
        <f>Data!BS69</f>
        <v>23409</v>
      </c>
      <c r="BT29" s="121">
        <f>Data!BT69</f>
        <v>22646</v>
      </c>
      <c r="BU29" s="121">
        <f>Data!BU69</f>
        <v>23869</v>
      </c>
      <c r="BV29" s="67">
        <f t="shared" si="116"/>
        <v>23869</v>
      </c>
      <c r="BW29" s="121">
        <f>Data!BW69</f>
        <v>24118</v>
      </c>
      <c r="BX29" s="121">
        <f>Data!BX69</f>
        <v>25802</v>
      </c>
      <c r="BY29" s="121">
        <f>Data!BY69</f>
        <v>26695</v>
      </c>
      <c r="BZ29" s="121">
        <f>Data!BZ69</f>
        <v>27440</v>
      </c>
      <c r="CA29" s="67">
        <f t="shared" si="117"/>
        <v>27440</v>
      </c>
      <c r="CB29" s="121">
        <f>Data!CB69</f>
        <v>49955</v>
      </c>
      <c r="CC29" s="121">
        <f>Data!CC69</f>
        <v>50970</v>
      </c>
      <c r="CD29" s="121">
        <f>Data!CD69</f>
        <v>51496</v>
      </c>
      <c r="CE29" s="121">
        <f>Data!CE69</f>
        <v>50676</v>
      </c>
      <c r="CF29" s="67">
        <f t="shared" si="118"/>
        <v>50676</v>
      </c>
      <c r="CG29" s="121">
        <f>Data!CG69</f>
        <v>52534</v>
      </c>
      <c r="CH29" s="121">
        <f>Data!CH69</f>
        <v>52523</v>
      </c>
      <c r="CI29" s="121">
        <f>Data!CI69</f>
        <v>53167</v>
      </c>
      <c r="CJ29" s="121">
        <f>Data!CJ69</f>
        <v>51551</v>
      </c>
      <c r="CK29" s="67">
        <f t="shared" si="119"/>
        <v>51551</v>
      </c>
      <c r="CL29" s="121">
        <f>Data!CL69</f>
        <v>52883</v>
      </c>
      <c r="CM29" s="121">
        <f>Data!CM69</f>
        <v>53367</v>
      </c>
      <c r="CN29" s="121">
        <f>Data!CN69</f>
        <v>51974</v>
      </c>
      <c r="CO29" s="121">
        <f>Data!CO69</f>
        <v>50488</v>
      </c>
      <c r="CP29" s="120">
        <f t="shared" si="120"/>
        <v>50488</v>
      </c>
      <c r="CQ29" s="121">
        <f>Data!CQ69</f>
        <v>50908</v>
      </c>
      <c r="CR29" s="121">
        <f>Data!CR69</f>
        <v>50738</v>
      </c>
      <c r="CS29" s="121">
        <f>Data!CS69</f>
        <v>51269</v>
      </c>
      <c r="CT29" s="121">
        <f>Data!CT69</f>
        <v>52980</v>
      </c>
      <c r="CU29" s="120">
        <f t="shared" si="121"/>
        <v>52980</v>
      </c>
      <c r="CV29" s="121">
        <f>Data!CV69</f>
        <v>52458</v>
      </c>
      <c r="CW29" s="121">
        <f>Data!CW69</f>
        <v>52066</v>
      </c>
      <c r="CX29" s="121">
        <f>Data!CX69</f>
        <v>53177</v>
      </c>
      <c r="CY29" s="121">
        <f>Data!CY69</f>
        <v>53081</v>
      </c>
      <c r="CZ29" s="120">
        <f t="shared" si="122"/>
        <v>53081</v>
      </c>
      <c r="DA29" s="121">
        <f>Data!DA69</f>
        <v>54498</v>
      </c>
      <c r="DB29" s="121">
        <f>Data!DB69</f>
        <v>55310</v>
      </c>
      <c r="DC29" s="121">
        <f>Data!DC69</f>
        <v>55924</v>
      </c>
      <c r="DD29" s="121">
        <f>Data!DD69</f>
        <v>56328</v>
      </c>
      <c r="DE29" s="120">
        <f t="shared" si="123"/>
        <v>56328</v>
      </c>
      <c r="DF29" s="121">
        <f>Data!DF69</f>
        <v>58972</v>
      </c>
      <c r="DG29" s="121">
        <f>Data!DG69</f>
        <v>58151</v>
      </c>
      <c r="DH29" s="121">
        <f>Data!DH69</f>
        <v>57931</v>
      </c>
      <c r="DI29" s="121">
        <f>Data!DI69</f>
        <v>60333</v>
      </c>
      <c r="DJ29" s="120">
        <f t="shared" si="124"/>
        <v>60333</v>
      </c>
      <c r="DK29" s="121">
        <f>Data!DK69</f>
        <v>61114</v>
      </c>
      <c r="DL29" s="121">
        <f>Data!DL69</f>
        <v>59407</v>
      </c>
      <c r="DM29" s="121">
        <f>Data!DM69</f>
        <v>57962</v>
      </c>
      <c r="DN29" s="121">
        <f>Data!DN69</f>
        <v>59404</v>
      </c>
      <c r="DO29" s="120">
        <f t="shared" si="125"/>
        <v>59404</v>
      </c>
      <c r="DP29" s="121">
        <f>Data!DP69</f>
        <v>62591</v>
      </c>
      <c r="DQ29" s="121">
        <f>Data!DQ69</f>
        <v>64059</v>
      </c>
      <c r="DR29" s="184">
        <f>DQ29+CFLO!DR24</f>
        <v>63471.5</v>
      </c>
      <c r="DS29" s="184">
        <f>DR29+CFLO!DS24</f>
        <v>62884</v>
      </c>
      <c r="DT29" s="120">
        <f t="shared" si="126"/>
        <v>62884</v>
      </c>
      <c r="DU29" s="184">
        <f>DT29+CFLO!DU24</f>
        <v>62296.5</v>
      </c>
      <c r="DV29" s="184">
        <f>DU29+CFLO!DV24</f>
        <v>61709</v>
      </c>
      <c r="DW29" s="184">
        <f>DV29+CFLO!DW24</f>
        <v>61121.5</v>
      </c>
      <c r="DX29" s="184">
        <f>DW29+CFLO!DX24</f>
        <v>60534</v>
      </c>
      <c r="DY29" s="120">
        <f t="shared" si="127"/>
        <v>60534</v>
      </c>
      <c r="DZ29" s="185">
        <f>DY29+CFLO!DZ24</f>
        <v>58184</v>
      </c>
      <c r="EA29" s="185">
        <f>DZ29+CFLO!EA24</f>
        <v>55834</v>
      </c>
      <c r="EB29" s="185">
        <f>EA29+CFLO!EB24</f>
        <v>53484</v>
      </c>
    </row>
    <row r="30" spans="2:132">
      <c r="B30" s="159" t="s">
        <v>66</v>
      </c>
      <c r="C30" s="67">
        <f>Data!C70</f>
        <v>298</v>
      </c>
      <c r="D30" s="67">
        <f>Data!D70</f>
        <v>569</v>
      </c>
      <c r="E30" s="67">
        <f>Data!E70</f>
        <v>420</v>
      </c>
      <c r="F30" s="67">
        <f>Data!F70</f>
        <v>1561</v>
      </c>
      <c r="G30" s="67">
        <f>Data!G70</f>
        <v>909</v>
      </c>
      <c r="H30" s="67">
        <f>Data!H70</f>
        <v>1134</v>
      </c>
      <c r="I30" s="67">
        <f>Data!I70</f>
        <v>277</v>
      </c>
      <c r="J30" s="68">
        <f>Data!J70</f>
        <v>437</v>
      </c>
      <c r="K30" s="68">
        <f>Data!K70</f>
        <v>725</v>
      </c>
      <c r="L30" s="68">
        <f>Data!L70</f>
        <v>1287</v>
      </c>
      <c r="M30" s="68">
        <f>Data!M70</f>
        <v>522</v>
      </c>
      <c r="N30" s="67">
        <f>M30</f>
        <v>522</v>
      </c>
      <c r="O30" s="68">
        <f>Data!O70</f>
        <v>594</v>
      </c>
      <c r="P30" s="68">
        <f>Data!P70</f>
        <v>801</v>
      </c>
      <c r="Q30" s="68">
        <f>Data!Q70</f>
        <v>609</v>
      </c>
      <c r="R30" s="68">
        <f>Data!R70</f>
        <v>556</v>
      </c>
      <c r="S30" s="67">
        <f t="shared" si="105"/>
        <v>556</v>
      </c>
      <c r="T30" s="68">
        <f>Data!T70</f>
        <v>684</v>
      </c>
      <c r="U30" s="68">
        <f>Data!U70</f>
        <v>743</v>
      </c>
      <c r="V30" s="68">
        <f>Data!V70</f>
        <v>813</v>
      </c>
      <c r="W30" s="68">
        <f>Data!W70</f>
        <v>670</v>
      </c>
      <c r="X30" s="67">
        <f t="shared" si="106"/>
        <v>670</v>
      </c>
      <c r="Y30" s="68">
        <f>Data!Y70</f>
        <v>776</v>
      </c>
      <c r="Z30" s="68">
        <f>Data!Z70</f>
        <v>846</v>
      </c>
      <c r="AA30" s="68">
        <f>Data!AA70</f>
        <v>1080</v>
      </c>
      <c r="AB30" s="68">
        <f>Data!AB70</f>
        <v>253</v>
      </c>
      <c r="AC30" s="67">
        <f t="shared" si="107"/>
        <v>253</v>
      </c>
      <c r="AD30" s="68">
        <f>Data!AD70</f>
        <v>587</v>
      </c>
      <c r="AE30" s="68">
        <f>Data!AE70</f>
        <v>416</v>
      </c>
      <c r="AF30" s="68">
        <f>Data!AF70</f>
        <v>752</v>
      </c>
      <c r="AG30" s="68">
        <f>Data!AG70</f>
        <v>41</v>
      </c>
      <c r="AH30" s="67">
        <f t="shared" si="108"/>
        <v>41</v>
      </c>
      <c r="AI30" s="68">
        <f>Data!AI70</f>
        <v>355</v>
      </c>
      <c r="AJ30" s="68">
        <f>Data!AJ70</f>
        <v>654</v>
      </c>
      <c r="AK30" s="68">
        <f>Data!AK70</f>
        <v>14</v>
      </c>
      <c r="AL30" s="68">
        <f>Data!AL70</f>
        <v>182</v>
      </c>
      <c r="AM30" s="67">
        <f t="shared" si="109"/>
        <v>182</v>
      </c>
      <c r="AN30" s="241">
        <f>Data!AN70</f>
        <v>412</v>
      </c>
      <c r="AO30" s="241">
        <f>Data!AO70</f>
        <v>713</v>
      </c>
      <c r="AP30" s="241">
        <f>Data!AP70</f>
        <v>1118</v>
      </c>
      <c r="AQ30" s="241">
        <f>Data!AQ70</f>
        <v>607</v>
      </c>
      <c r="AR30" s="67">
        <f t="shared" si="110"/>
        <v>607</v>
      </c>
      <c r="AS30" s="241">
        <f>Data!AS70</f>
        <v>789</v>
      </c>
      <c r="AT30" s="241">
        <f>Data!AT70</f>
        <v>1286</v>
      </c>
      <c r="AU30" s="121">
        <f>Data!AU70</f>
        <v>1955</v>
      </c>
      <c r="AV30" s="121">
        <f>Data!AV70</f>
        <v>2780</v>
      </c>
      <c r="AW30" s="67">
        <f t="shared" si="111"/>
        <v>2780</v>
      </c>
      <c r="AX30" s="121">
        <f>Data!AX70</f>
        <v>3178</v>
      </c>
      <c r="AY30" s="121">
        <f>Data!AY70</f>
        <v>3668</v>
      </c>
      <c r="AZ30" s="121">
        <f>Data!AZ70</f>
        <v>4136</v>
      </c>
      <c r="BA30" s="121">
        <f>Data!BA70</f>
        <v>4485</v>
      </c>
      <c r="BB30" s="67">
        <f t="shared" si="112"/>
        <v>4485</v>
      </c>
      <c r="BC30" s="121">
        <f>Data!BC70</f>
        <v>4838</v>
      </c>
      <c r="BD30" s="121">
        <f>Data!BD70</f>
        <v>5072</v>
      </c>
      <c r="BE30" s="121">
        <f>Data!BE70</f>
        <v>5504</v>
      </c>
      <c r="BF30" s="121">
        <f>Data!BF70</f>
        <v>6267</v>
      </c>
      <c r="BG30" s="67">
        <f t="shared" si="113"/>
        <v>6267</v>
      </c>
      <c r="BH30" s="121">
        <f>Data!BH70</f>
        <v>6732</v>
      </c>
      <c r="BI30" s="121">
        <f>Data!BI70</f>
        <v>6222</v>
      </c>
      <c r="BJ30" s="121">
        <f>Data!BJ70</f>
        <v>6685</v>
      </c>
      <c r="BK30" s="121">
        <f>Data!BK70</f>
        <v>8603</v>
      </c>
      <c r="BL30" s="67">
        <f t="shared" si="114"/>
        <v>8603</v>
      </c>
      <c r="BM30" s="121">
        <f>Data!BM70</f>
        <v>8916</v>
      </c>
      <c r="BN30" s="121">
        <f>Data!BN70</f>
        <v>8894</v>
      </c>
      <c r="BO30" s="121">
        <f>Data!BO70</f>
        <v>9205</v>
      </c>
      <c r="BP30" s="121">
        <f>Data!BP70</f>
        <v>0</v>
      </c>
      <c r="BQ30" s="67">
        <f t="shared" si="115"/>
        <v>0</v>
      </c>
      <c r="BR30" s="121">
        <f>Data!BR70</f>
        <v>0</v>
      </c>
      <c r="BS30" s="121">
        <f>Data!BS70</f>
        <v>0</v>
      </c>
      <c r="BT30" s="121">
        <f>Data!BT70</f>
        <v>0</v>
      </c>
      <c r="BU30" s="121">
        <f>Data!BU70</f>
        <v>0</v>
      </c>
      <c r="BV30" s="67">
        <f t="shared" si="116"/>
        <v>0</v>
      </c>
      <c r="BW30" s="121">
        <f>Data!BW70</f>
        <v>0</v>
      </c>
      <c r="BX30" s="121">
        <f>Data!BX70</f>
        <v>0</v>
      </c>
      <c r="BY30" s="121">
        <f>Data!BY70</f>
        <v>0</v>
      </c>
      <c r="BZ30" s="121">
        <f>Data!BZ70</f>
        <v>0</v>
      </c>
      <c r="CA30" s="67">
        <f t="shared" si="117"/>
        <v>0</v>
      </c>
      <c r="CB30" s="121">
        <f>Data!CB70</f>
        <v>0</v>
      </c>
      <c r="CC30" s="121">
        <f>Data!CC70</f>
        <v>0</v>
      </c>
      <c r="CD30" s="121">
        <f>Data!CD70</f>
        <v>0</v>
      </c>
      <c r="CE30" s="121">
        <f>Data!CE70</f>
        <v>0</v>
      </c>
      <c r="CF30" s="67">
        <f t="shared" si="118"/>
        <v>0</v>
      </c>
      <c r="CG30" s="121">
        <f>Data!CG70</f>
        <v>0</v>
      </c>
      <c r="CH30" s="121">
        <f>Data!CH70</f>
        <v>0</v>
      </c>
      <c r="CI30" s="121">
        <f>Data!CI70</f>
        <v>0</v>
      </c>
      <c r="CJ30" s="121">
        <f>Data!CJ70</f>
        <v>0</v>
      </c>
      <c r="CK30" s="67">
        <f t="shared" si="119"/>
        <v>0</v>
      </c>
      <c r="CL30" s="121">
        <f>Data!CL70</f>
        <v>0</v>
      </c>
      <c r="CM30" s="121">
        <f>Data!CM70</f>
        <v>0</v>
      </c>
      <c r="CN30" s="121">
        <f>Data!CN70</f>
        <v>0</v>
      </c>
      <c r="CO30" s="121">
        <f>Data!CO70</f>
        <v>0</v>
      </c>
      <c r="CP30" s="120">
        <f t="shared" si="120"/>
        <v>0</v>
      </c>
      <c r="CQ30" s="121">
        <f>Data!CQ70</f>
        <v>0</v>
      </c>
      <c r="CR30" s="121">
        <f>Data!CR70</f>
        <v>0</v>
      </c>
      <c r="CS30" s="121">
        <f>Data!CS70</f>
        <v>0</v>
      </c>
      <c r="CT30" s="121">
        <f>Data!CT70</f>
        <v>0</v>
      </c>
      <c r="CU30" s="120">
        <f t="shared" si="121"/>
        <v>0</v>
      </c>
      <c r="CV30" s="121">
        <f>Data!CV70</f>
        <v>0</v>
      </c>
      <c r="CW30" s="121">
        <f>Data!CW70</f>
        <v>0</v>
      </c>
      <c r="CX30" s="121">
        <f>Data!CX70</f>
        <v>0</v>
      </c>
      <c r="CY30" s="121">
        <f>Data!CY70</f>
        <v>0</v>
      </c>
      <c r="CZ30" s="120">
        <f t="shared" si="122"/>
        <v>0</v>
      </c>
      <c r="DA30" s="121">
        <f>Data!DA70</f>
        <v>0</v>
      </c>
      <c r="DB30" s="121">
        <f>Data!DB70</f>
        <v>0</v>
      </c>
      <c r="DC30" s="121">
        <f>Data!DC70</f>
        <v>0</v>
      </c>
      <c r="DD30" s="121">
        <f>Data!DD70</f>
        <v>0</v>
      </c>
      <c r="DE30" s="120">
        <f t="shared" si="123"/>
        <v>0</v>
      </c>
      <c r="DF30" s="121">
        <f>Data!DF70</f>
        <v>0</v>
      </c>
      <c r="DG30" s="121">
        <f>Data!DG70</f>
        <v>0</v>
      </c>
      <c r="DH30" s="121">
        <f>Data!DH70</f>
        <v>0</v>
      </c>
      <c r="DI30" s="121">
        <f>Data!DI70</f>
        <v>0</v>
      </c>
      <c r="DJ30" s="120">
        <f t="shared" si="124"/>
        <v>0</v>
      </c>
      <c r="DK30" s="121">
        <f>Data!DK70</f>
        <v>0</v>
      </c>
      <c r="DL30" s="121">
        <f>Data!DL70</f>
        <v>0</v>
      </c>
      <c r="DM30" s="121">
        <f>Data!DM70</f>
        <v>0</v>
      </c>
      <c r="DN30" s="121">
        <f>Data!DN70</f>
        <v>0</v>
      </c>
      <c r="DO30" s="120">
        <f t="shared" si="125"/>
        <v>0</v>
      </c>
      <c r="DP30" s="121">
        <f>Data!DP70</f>
        <v>0</v>
      </c>
      <c r="DQ30" s="121">
        <f>Data!DQ70</f>
        <v>0</v>
      </c>
      <c r="DR30" s="179">
        <f t="shared" ref="DR30:DR32" si="135">DQ30</f>
        <v>0</v>
      </c>
      <c r="DS30" s="179">
        <f t="shared" ref="DS30:DS32" si="136">DR30</f>
        <v>0</v>
      </c>
      <c r="DT30" s="120">
        <f t="shared" si="126"/>
        <v>0</v>
      </c>
      <c r="DU30" s="179">
        <f t="shared" ref="DU30:DU32" si="137">DT30</f>
        <v>0</v>
      </c>
      <c r="DV30" s="179">
        <f t="shared" ref="DV30:DV32" si="138">DU30</f>
        <v>0</v>
      </c>
      <c r="DW30" s="179">
        <f t="shared" ref="DW30:DW32" si="139">DV30</f>
        <v>0</v>
      </c>
      <c r="DX30" s="179">
        <f t="shared" ref="DX30:DX32" si="140">DW30</f>
        <v>0</v>
      </c>
      <c r="DY30" s="120">
        <f t="shared" si="127"/>
        <v>0</v>
      </c>
      <c r="DZ30" s="180">
        <f t="shared" ref="DZ30:DZ32" si="141">DY30</f>
        <v>0</v>
      </c>
      <c r="EA30" s="180">
        <f t="shared" ref="EA30:EA32" si="142">DZ30</f>
        <v>0</v>
      </c>
      <c r="EB30" s="180">
        <f t="shared" ref="EB30:EB32" si="143">EA30</f>
        <v>0</v>
      </c>
    </row>
    <row r="31" spans="2:132">
      <c r="B31" s="159" t="s">
        <v>67</v>
      </c>
      <c r="C31" s="67">
        <f>Data!C71</f>
        <v>731</v>
      </c>
      <c r="D31" s="67">
        <f>Data!D71</f>
        <v>869</v>
      </c>
      <c r="E31" s="67">
        <f>Data!E71</f>
        <v>752</v>
      </c>
      <c r="F31" s="67">
        <f>Data!F71</f>
        <v>1232</v>
      </c>
      <c r="G31" s="67">
        <f>Data!G71</f>
        <v>1399</v>
      </c>
      <c r="H31" s="67">
        <f>Data!H71</f>
        <v>1814</v>
      </c>
      <c r="I31" s="67">
        <f>Data!I71</f>
        <v>1144</v>
      </c>
      <c r="J31" s="68">
        <f>Data!J71</f>
        <v>916</v>
      </c>
      <c r="K31" s="68">
        <f>Data!K71</f>
        <v>2575</v>
      </c>
      <c r="L31" s="68">
        <f>Data!L71</f>
        <v>1320</v>
      </c>
      <c r="M31" s="68">
        <f>Data!M71</f>
        <v>1321</v>
      </c>
      <c r="N31" s="67">
        <f>M31</f>
        <v>1321</v>
      </c>
      <c r="O31" s="68">
        <f>Data!O71</f>
        <v>998</v>
      </c>
      <c r="P31" s="68">
        <f>Data!P71</f>
        <v>809</v>
      </c>
      <c r="Q31" s="68">
        <f>Data!Q71</f>
        <v>726</v>
      </c>
      <c r="R31" s="68">
        <f>Data!R71</f>
        <v>1189</v>
      </c>
      <c r="S31" s="67">
        <f t="shared" si="105"/>
        <v>1189</v>
      </c>
      <c r="T31" s="68">
        <f>Data!T71</f>
        <v>1967</v>
      </c>
      <c r="U31" s="68">
        <f>Data!U71</f>
        <v>1499</v>
      </c>
      <c r="V31" s="68">
        <f>Data!V71</f>
        <v>1582</v>
      </c>
      <c r="W31" s="68">
        <f>Data!W71</f>
        <v>1381</v>
      </c>
      <c r="X31" s="67">
        <f t="shared" si="106"/>
        <v>1381</v>
      </c>
      <c r="Y31" s="68">
        <f>Data!Y71</f>
        <v>598</v>
      </c>
      <c r="Z31" s="68">
        <f>Data!Z71</f>
        <v>561</v>
      </c>
      <c r="AA31" s="68">
        <f>Data!AA71</f>
        <v>1025</v>
      </c>
      <c r="AB31" s="68">
        <f>Data!AB71</f>
        <v>762</v>
      </c>
      <c r="AC31" s="67">
        <f t="shared" si="107"/>
        <v>762</v>
      </c>
      <c r="AD31" s="68">
        <f>Data!AD71</f>
        <v>802</v>
      </c>
      <c r="AE31" s="68">
        <f>Data!AE71</f>
        <v>916</v>
      </c>
      <c r="AF31" s="68">
        <f>Data!AF71</f>
        <v>390</v>
      </c>
      <c r="AG31" s="68">
        <f>Data!AG71</f>
        <v>560</v>
      </c>
      <c r="AH31" s="67">
        <f t="shared" si="108"/>
        <v>560</v>
      </c>
      <c r="AI31" s="68">
        <f>Data!AI71</f>
        <v>530</v>
      </c>
      <c r="AJ31" s="68">
        <f>Data!AJ71</f>
        <v>416</v>
      </c>
      <c r="AK31" s="68">
        <f>Data!AK71</f>
        <v>973</v>
      </c>
      <c r="AL31" s="68">
        <f>Data!AL71</f>
        <v>707</v>
      </c>
      <c r="AM31" s="67">
        <f t="shared" si="109"/>
        <v>707</v>
      </c>
      <c r="AN31" s="241">
        <f>Data!AN71</f>
        <v>1479</v>
      </c>
      <c r="AO31" s="241">
        <f>Data!AO71</f>
        <v>1507</v>
      </c>
      <c r="AP31" s="241">
        <f>Data!AP71</f>
        <v>953</v>
      </c>
      <c r="AQ31" s="241">
        <f>Data!AQ71</f>
        <v>948</v>
      </c>
      <c r="AR31" s="67">
        <f t="shared" si="110"/>
        <v>948</v>
      </c>
      <c r="AS31" s="241">
        <f>Data!AS71</f>
        <v>966</v>
      </c>
      <c r="AT31" s="241">
        <f>Data!AT71</f>
        <v>1304</v>
      </c>
      <c r="AU31" s="121">
        <f>Data!AU71</f>
        <v>1603</v>
      </c>
      <c r="AV31" s="121">
        <f>Data!AV71</f>
        <v>2353</v>
      </c>
      <c r="AW31" s="67">
        <f t="shared" si="111"/>
        <v>2353</v>
      </c>
      <c r="AX31" s="121">
        <f>Data!AX71</f>
        <v>2807</v>
      </c>
      <c r="AY31" s="121">
        <f>Data!AY71</f>
        <v>2466</v>
      </c>
      <c r="AZ31" s="121">
        <f>Data!AZ71</f>
        <v>2172</v>
      </c>
      <c r="BA31" s="121">
        <f>Data!BA71</f>
        <v>1436</v>
      </c>
      <c r="BB31" s="67">
        <f t="shared" si="112"/>
        <v>1436</v>
      </c>
      <c r="BC31" s="121">
        <f>Data!BC71</f>
        <v>917</v>
      </c>
      <c r="BD31" s="121">
        <f>Data!BD71</f>
        <v>883</v>
      </c>
      <c r="BE31" s="121">
        <f>Data!BE71</f>
        <v>919</v>
      </c>
      <c r="BF31" s="121">
        <f>Data!BF71</f>
        <v>1563</v>
      </c>
      <c r="BG31" s="67">
        <f t="shared" si="113"/>
        <v>1563</v>
      </c>
      <c r="BH31" s="121">
        <f>Data!BH71</f>
        <v>1660</v>
      </c>
      <c r="BI31" s="121">
        <f>Data!BI71</f>
        <v>1591</v>
      </c>
      <c r="BJ31" s="121">
        <f>Data!BJ71</f>
        <v>1579</v>
      </c>
      <c r="BK31" s="121">
        <f>Data!BK71</f>
        <v>929</v>
      </c>
      <c r="BL31" s="67">
        <f t="shared" si="114"/>
        <v>929</v>
      </c>
      <c r="BM31" s="121">
        <f>Data!BM71</f>
        <v>133</v>
      </c>
      <c r="BN31" s="121">
        <f>Data!BN71</f>
        <v>112</v>
      </c>
      <c r="BO31" s="121">
        <f>Data!BO71</f>
        <v>614</v>
      </c>
      <c r="BP31" s="121">
        <f>Data!BP71</f>
        <v>1234</v>
      </c>
      <c r="BQ31" s="67">
        <f t="shared" si="115"/>
        <v>1234</v>
      </c>
      <c r="BR31" s="121">
        <f>Data!BR71</f>
        <v>1243</v>
      </c>
      <c r="BS31" s="121">
        <f>Data!BS71</f>
        <v>1168</v>
      </c>
      <c r="BT31" s="121">
        <f>Data!BT71</f>
        <v>632</v>
      </c>
      <c r="BU31" s="121">
        <f>Data!BU71</f>
        <v>384</v>
      </c>
      <c r="BV31" s="67">
        <f t="shared" si="116"/>
        <v>384</v>
      </c>
      <c r="BW31" s="121">
        <f>Data!BW71</f>
        <v>367</v>
      </c>
      <c r="BX31" s="121">
        <f>Data!BX71</f>
        <v>720</v>
      </c>
      <c r="BY31" s="121">
        <f>Data!BY71</f>
        <v>988</v>
      </c>
      <c r="BZ31" s="121">
        <f>Data!BZ71</f>
        <v>1335</v>
      </c>
      <c r="CA31" s="67">
        <f t="shared" si="117"/>
        <v>1335</v>
      </c>
      <c r="CB31" s="121">
        <f>Data!CB71</f>
        <v>1981</v>
      </c>
      <c r="CC31" s="121">
        <f>Data!CC71</f>
        <v>1611</v>
      </c>
      <c r="CD31" s="121">
        <f>Data!CD71</f>
        <v>1389</v>
      </c>
      <c r="CE31" s="121">
        <f>Data!CE71</f>
        <v>3190</v>
      </c>
      <c r="CF31" s="67">
        <f t="shared" si="118"/>
        <v>3190</v>
      </c>
      <c r="CG31" s="121">
        <f>Data!CG71</f>
        <v>3381</v>
      </c>
      <c r="CH31" s="121">
        <f>Data!CH71</f>
        <v>4357</v>
      </c>
      <c r="CI31" s="121">
        <f>Data!CI71</f>
        <v>4354</v>
      </c>
      <c r="CJ31" s="121">
        <f>Data!CJ71</f>
        <v>7340</v>
      </c>
      <c r="CK31" s="67">
        <f t="shared" si="119"/>
        <v>7340</v>
      </c>
      <c r="CL31" s="121">
        <f>Data!CL71</f>
        <v>5173</v>
      </c>
      <c r="CM31" s="121">
        <f>Data!CM71</f>
        <v>2922</v>
      </c>
      <c r="CN31" s="121">
        <f>Data!CN71</f>
        <v>3634</v>
      </c>
      <c r="CO31" s="121">
        <f>Data!CO71</f>
        <v>1693</v>
      </c>
      <c r="CP31" s="120">
        <f t="shared" si="120"/>
        <v>1693</v>
      </c>
      <c r="CQ31" s="121">
        <f>Data!CQ71</f>
        <v>6021</v>
      </c>
      <c r="CR31" s="121">
        <f>Data!CR71</f>
        <v>6534</v>
      </c>
      <c r="CS31" s="121">
        <f>Data!CS71</f>
        <v>5377</v>
      </c>
      <c r="CT31" s="121">
        <f>Data!CT71</f>
        <v>1296</v>
      </c>
      <c r="CU31" s="120">
        <f t="shared" si="121"/>
        <v>1296</v>
      </c>
      <c r="CV31" s="121">
        <f>Data!CV71</f>
        <v>2591</v>
      </c>
      <c r="CW31" s="121">
        <f>Data!CW71</f>
        <v>5406</v>
      </c>
      <c r="CX31" s="121">
        <f>Data!CX71</f>
        <v>5431</v>
      </c>
      <c r="CY31" s="121">
        <f>Data!CY71</f>
        <v>5190</v>
      </c>
      <c r="CZ31" s="120">
        <f t="shared" si="122"/>
        <v>5190</v>
      </c>
      <c r="DA31" s="121">
        <f>Data!DA71</f>
        <v>7926</v>
      </c>
      <c r="DB31" s="121">
        <f>Data!DB71</f>
        <v>4609</v>
      </c>
      <c r="DC31" s="121">
        <f>Data!DC71</f>
        <v>4891</v>
      </c>
      <c r="DD31" s="121">
        <f>Data!DD71</f>
        <v>5204</v>
      </c>
      <c r="DE31" s="120">
        <f t="shared" si="123"/>
        <v>5204</v>
      </c>
      <c r="DF31" s="121">
        <f>Data!DF71</f>
        <v>1063</v>
      </c>
      <c r="DG31" s="121">
        <f>Data!DG71</f>
        <v>4765</v>
      </c>
      <c r="DH31" s="121">
        <f>Data!DH71</f>
        <v>4474</v>
      </c>
      <c r="DI31" s="121">
        <f>Data!DI71</f>
        <v>1278</v>
      </c>
      <c r="DJ31" s="120">
        <f t="shared" si="124"/>
        <v>1278</v>
      </c>
      <c r="DK31" s="121">
        <f>Data!DK71</f>
        <v>7930</v>
      </c>
      <c r="DL31" s="121">
        <f>Data!DL71</f>
        <v>8719</v>
      </c>
      <c r="DM31" s="121">
        <f>Data!DM71</f>
        <v>8742</v>
      </c>
      <c r="DN31" s="121">
        <f>Data!DN71</f>
        <v>8461</v>
      </c>
      <c r="DO31" s="120">
        <f t="shared" si="125"/>
        <v>8461</v>
      </c>
      <c r="DP31" s="121">
        <f>Data!DP71</f>
        <v>2855</v>
      </c>
      <c r="DQ31" s="121">
        <f>Data!DQ71</f>
        <v>4565</v>
      </c>
      <c r="DR31" s="179">
        <f t="shared" si="135"/>
        <v>4565</v>
      </c>
      <c r="DS31" s="179">
        <f t="shared" si="136"/>
        <v>4565</v>
      </c>
      <c r="DT31" s="120">
        <f t="shared" si="126"/>
        <v>4565</v>
      </c>
      <c r="DU31" s="179">
        <f t="shared" si="137"/>
        <v>4565</v>
      </c>
      <c r="DV31" s="179">
        <f t="shared" si="138"/>
        <v>4565</v>
      </c>
      <c r="DW31" s="179">
        <f t="shared" si="139"/>
        <v>4565</v>
      </c>
      <c r="DX31" s="179">
        <f t="shared" si="140"/>
        <v>4565</v>
      </c>
      <c r="DY31" s="120">
        <f t="shared" si="127"/>
        <v>4565</v>
      </c>
      <c r="DZ31" s="180">
        <f t="shared" si="141"/>
        <v>4565</v>
      </c>
      <c r="EA31" s="180">
        <f t="shared" si="142"/>
        <v>4565</v>
      </c>
      <c r="EB31" s="180">
        <f t="shared" si="143"/>
        <v>4565</v>
      </c>
    </row>
    <row r="32" spans="2:132">
      <c r="B32" s="159" t="s">
        <v>137</v>
      </c>
      <c r="C32" s="69">
        <f>Data!C72</f>
        <v>0</v>
      </c>
      <c r="D32" s="69">
        <f>Data!D72</f>
        <v>0</v>
      </c>
      <c r="E32" s="69">
        <f>Data!E72</f>
        <v>0</v>
      </c>
      <c r="F32" s="69">
        <f>Data!F72</f>
        <v>0</v>
      </c>
      <c r="G32" s="69">
        <f>Data!G72</f>
        <v>0</v>
      </c>
      <c r="H32" s="69">
        <f>Data!H72</f>
        <v>0</v>
      </c>
      <c r="I32" s="69">
        <f>Data!I72</f>
        <v>0</v>
      </c>
      <c r="J32" s="70">
        <f>Data!J72</f>
        <v>0</v>
      </c>
      <c r="K32" s="70">
        <f>Data!K72</f>
        <v>0</v>
      </c>
      <c r="L32" s="70">
        <f>Data!L72</f>
        <v>0</v>
      </c>
      <c r="M32" s="70">
        <f>Data!M72</f>
        <v>0</v>
      </c>
      <c r="N32" s="69">
        <f>M32</f>
        <v>0</v>
      </c>
      <c r="O32" s="70">
        <f>Data!O72</f>
        <v>0</v>
      </c>
      <c r="P32" s="70">
        <f>Data!P72</f>
        <v>0</v>
      </c>
      <c r="Q32" s="70">
        <f>Data!Q72</f>
        <v>0</v>
      </c>
      <c r="R32" s="70">
        <f>Data!R72</f>
        <v>0</v>
      </c>
      <c r="S32" s="69">
        <f t="shared" si="105"/>
        <v>0</v>
      </c>
      <c r="T32" s="70">
        <f>Data!T72</f>
        <v>0</v>
      </c>
      <c r="U32" s="70">
        <f>Data!U72</f>
        <v>0</v>
      </c>
      <c r="V32" s="70">
        <f>Data!V72</f>
        <v>0</v>
      </c>
      <c r="W32" s="70">
        <f>Data!W72</f>
        <v>0</v>
      </c>
      <c r="X32" s="69">
        <f t="shared" si="106"/>
        <v>0</v>
      </c>
      <c r="Y32" s="70">
        <f>Data!Y72</f>
        <v>0</v>
      </c>
      <c r="Z32" s="70">
        <f>Data!Z72</f>
        <v>0</v>
      </c>
      <c r="AA32" s="70">
        <f>Data!AA72</f>
        <v>0</v>
      </c>
      <c r="AB32" s="70">
        <f>Data!AB72</f>
        <v>0</v>
      </c>
      <c r="AC32" s="69">
        <f t="shared" si="107"/>
        <v>0</v>
      </c>
      <c r="AD32" s="70">
        <f>Data!AD72</f>
        <v>0</v>
      </c>
      <c r="AE32" s="70">
        <f>Data!AE72</f>
        <v>0</v>
      </c>
      <c r="AF32" s="70">
        <f>Data!AF72</f>
        <v>0</v>
      </c>
      <c r="AG32" s="70">
        <f>Data!AG72</f>
        <v>0</v>
      </c>
      <c r="AH32" s="69">
        <f t="shared" si="108"/>
        <v>0</v>
      </c>
      <c r="AI32" s="70">
        <f>Data!AI72</f>
        <v>0</v>
      </c>
      <c r="AJ32" s="70">
        <f>Data!AJ72</f>
        <v>0</v>
      </c>
      <c r="AK32" s="70">
        <f>Data!AK72</f>
        <v>0</v>
      </c>
      <c r="AL32" s="70">
        <f>Data!AL72</f>
        <v>0</v>
      </c>
      <c r="AM32" s="69">
        <f t="shared" si="109"/>
        <v>0</v>
      </c>
      <c r="AN32" s="70">
        <f>Data!AN72</f>
        <v>0</v>
      </c>
      <c r="AO32" s="70">
        <f>Data!AO72</f>
        <v>0</v>
      </c>
      <c r="AP32" s="70">
        <f>Data!AP72</f>
        <v>0</v>
      </c>
      <c r="AQ32" s="70">
        <f>Data!AQ72</f>
        <v>0</v>
      </c>
      <c r="AR32" s="69">
        <f t="shared" si="110"/>
        <v>0</v>
      </c>
      <c r="AS32" s="70">
        <f>Data!AS72</f>
        <v>0</v>
      </c>
      <c r="AT32" s="70">
        <f>Data!AT72</f>
        <v>0</v>
      </c>
      <c r="AU32" s="70">
        <f>Data!AU72</f>
        <v>0</v>
      </c>
      <c r="AV32" s="70">
        <f>Data!AV72</f>
        <v>0</v>
      </c>
      <c r="AW32" s="69">
        <f t="shared" si="111"/>
        <v>0</v>
      </c>
      <c r="AX32" s="70">
        <f>Data!AX72</f>
        <v>0</v>
      </c>
      <c r="AY32" s="70">
        <f>Data!AY72</f>
        <v>0</v>
      </c>
      <c r="AZ32" s="70">
        <f>Data!AZ72</f>
        <v>0</v>
      </c>
      <c r="BA32" s="70">
        <f>Data!BA72</f>
        <v>0</v>
      </c>
      <c r="BB32" s="69">
        <f t="shared" si="112"/>
        <v>0</v>
      </c>
      <c r="BC32" s="70">
        <f>Data!BC72</f>
        <v>0</v>
      </c>
      <c r="BD32" s="70">
        <f>Data!BD72</f>
        <v>0</v>
      </c>
      <c r="BE32" s="70">
        <f>Data!BE72</f>
        <v>0</v>
      </c>
      <c r="BF32" s="70">
        <f>Data!BF72</f>
        <v>0</v>
      </c>
      <c r="BG32" s="69">
        <f t="shared" si="113"/>
        <v>0</v>
      </c>
      <c r="BH32" s="70">
        <f>Data!BH72</f>
        <v>0</v>
      </c>
      <c r="BI32" s="70">
        <f>Data!BI72</f>
        <v>0</v>
      </c>
      <c r="BJ32" s="70">
        <f>Data!BJ72</f>
        <v>0</v>
      </c>
      <c r="BK32" s="70">
        <f>Data!BK72</f>
        <v>0</v>
      </c>
      <c r="BL32" s="69">
        <f t="shared" si="114"/>
        <v>0</v>
      </c>
      <c r="BM32" s="70">
        <f>Data!BM72</f>
        <v>0</v>
      </c>
      <c r="BN32" s="70">
        <f>Data!BN72</f>
        <v>0</v>
      </c>
      <c r="BO32" s="70">
        <f>Data!BO72</f>
        <v>0</v>
      </c>
      <c r="BP32" s="70">
        <f>Data!BP72</f>
        <v>0</v>
      </c>
      <c r="BQ32" s="69">
        <f t="shared" si="115"/>
        <v>0</v>
      </c>
      <c r="BR32" s="70">
        <f>Data!BR72</f>
        <v>0</v>
      </c>
      <c r="BS32" s="70">
        <f>Data!BS72</f>
        <v>0</v>
      </c>
      <c r="BT32" s="70">
        <f>Data!BT72</f>
        <v>0</v>
      </c>
      <c r="BU32" s="70">
        <f>Data!BU72</f>
        <v>0</v>
      </c>
      <c r="BV32" s="69">
        <f t="shared" si="116"/>
        <v>0</v>
      </c>
      <c r="BW32" s="70">
        <f>Data!BW72</f>
        <v>0</v>
      </c>
      <c r="BX32" s="70">
        <f>Data!BX72</f>
        <v>0</v>
      </c>
      <c r="BY32" s="70">
        <f>Data!BY72</f>
        <v>0</v>
      </c>
      <c r="BZ32" s="70">
        <f>Data!BZ72</f>
        <v>0</v>
      </c>
      <c r="CA32" s="69">
        <f t="shared" si="117"/>
        <v>0</v>
      </c>
      <c r="CB32" s="70">
        <f>Data!CB72</f>
        <v>0</v>
      </c>
      <c r="CC32" s="70">
        <f>Data!CC72</f>
        <v>0</v>
      </c>
      <c r="CD32" s="70">
        <f>Data!CD72</f>
        <v>0</v>
      </c>
      <c r="CE32" s="70">
        <f>Data!CE72</f>
        <v>0</v>
      </c>
      <c r="CF32" s="69">
        <f t="shared" si="118"/>
        <v>0</v>
      </c>
      <c r="CG32" s="70">
        <f>Data!CG72</f>
        <v>0</v>
      </c>
      <c r="CH32" s="70">
        <f>Data!CH72</f>
        <v>0</v>
      </c>
      <c r="CI32" s="70">
        <f>Data!CI72</f>
        <v>0</v>
      </c>
      <c r="CJ32" s="70">
        <f>Data!CJ72</f>
        <v>0</v>
      </c>
      <c r="CK32" s="69">
        <f t="shared" si="119"/>
        <v>0</v>
      </c>
      <c r="CL32" s="70">
        <f>Data!CL72</f>
        <v>0</v>
      </c>
      <c r="CM32" s="70">
        <f>Data!CM72</f>
        <v>0</v>
      </c>
      <c r="CN32" s="70">
        <f>Data!CN72</f>
        <v>0</v>
      </c>
      <c r="CO32" s="70">
        <f>Data!CO72</f>
        <v>0</v>
      </c>
      <c r="CP32" s="69">
        <f t="shared" si="120"/>
        <v>0</v>
      </c>
      <c r="CQ32" s="70">
        <f>Data!CQ72</f>
        <v>0</v>
      </c>
      <c r="CR32" s="70">
        <f>Data!CR72</f>
        <v>0</v>
      </c>
      <c r="CS32" s="70">
        <f>Data!CS72</f>
        <v>0</v>
      </c>
      <c r="CT32" s="70">
        <f>Data!CT72</f>
        <v>0</v>
      </c>
      <c r="CU32" s="69">
        <f t="shared" si="121"/>
        <v>0</v>
      </c>
      <c r="CV32" s="70">
        <f>Data!CV72</f>
        <v>0</v>
      </c>
      <c r="CW32" s="70">
        <f>Data!CW72</f>
        <v>0</v>
      </c>
      <c r="CX32" s="70">
        <f>Data!CX72</f>
        <v>0</v>
      </c>
      <c r="CY32" s="70">
        <f>Data!CY72</f>
        <v>0</v>
      </c>
      <c r="CZ32" s="69">
        <f t="shared" si="122"/>
        <v>0</v>
      </c>
      <c r="DA32" s="70">
        <f>Data!DA72</f>
        <v>0</v>
      </c>
      <c r="DB32" s="70">
        <f>Data!DB72</f>
        <v>0</v>
      </c>
      <c r="DC32" s="70">
        <f>Data!DC72</f>
        <v>0</v>
      </c>
      <c r="DD32" s="70">
        <f>Data!DD72</f>
        <v>0</v>
      </c>
      <c r="DE32" s="69">
        <f t="shared" si="123"/>
        <v>0</v>
      </c>
      <c r="DF32" s="70">
        <f>Data!DF72</f>
        <v>0</v>
      </c>
      <c r="DG32" s="70">
        <f>Data!DG72</f>
        <v>0</v>
      </c>
      <c r="DH32" s="70">
        <f>Data!DH72</f>
        <v>0</v>
      </c>
      <c r="DI32" s="70">
        <f>Data!DI72</f>
        <v>0</v>
      </c>
      <c r="DJ32" s="69">
        <f t="shared" si="124"/>
        <v>0</v>
      </c>
      <c r="DK32" s="70">
        <f>Data!DK72</f>
        <v>0</v>
      </c>
      <c r="DL32" s="70">
        <f>Data!DL72</f>
        <v>504</v>
      </c>
      <c r="DM32" s="70">
        <f>Data!DM72</f>
        <v>524</v>
      </c>
      <c r="DN32" s="70">
        <f>Data!DN72</f>
        <v>0</v>
      </c>
      <c r="DO32" s="69">
        <f t="shared" si="125"/>
        <v>0</v>
      </c>
      <c r="DP32" s="70">
        <f>Data!DP72</f>
        <v>0</v>
      </c>
      <c r="DQ32" s="70">
        <f>Data!DQ72</f>
        <v>0</v>
      </c>
      <c r="DR32" s="194">
        <f t="shared" si="135"/>
        <v>0</v>
      </c>
      <c r="DS32" s="194">
        <f t="shared" si="136"/>
        <v>0</v>
      </c>
      <c r="DT32" s="69">
        <f t="shared" si="126"/>
        <v>0</v>
      </c>
      <c r="DU32" s="194">
        <f t="shared" si="137"/>
        <v>0</v>
      </c>
      <c r="DV32" s="194">
        <f t="shared" si="138"/>
        <v>0</v>
      </c>
      <c r="DW32" s="194">
        <f t="shared" si="139"/>
        <v>0</v>
      </c>
      <c r="DX32" s="194">
        <f t="shared" si="140"/>
        <v>0</v>
      </c>
      <c r="DY32" s="69">
        <f t="shared" si="127"/>
        <v>0</v>
      </c>
      <c r="DZ32" s="195">
        <f t="shared" si="141"/>
        <v>0</v>
      </c>
      <c r="EA32" s="195">
        <f t="shared" si="142"/>
        <v>0</v>
      </c>
      <c r="EB32" s="195">
        <f t="shared" si="143"/>
        <v>0</v>
      </c>
    </row>
    <row r="33" spans="2:132">
      <c r="B33" s="74" t="s">
        <v>68</v>
      </c>
      <c r="C33" s="193">
        <f>SUM(C27:C32)</f>
        <v>14152</v>
      </c>
      <c r="D33" s="193">
        <f t="shared" ref="D33:AW33" si="144">SUM(D27:D32)</f>
        <v>13422</v>
      </c>
      <c r="E33" s="193">
        <f t="shared" si="144"/>
        <v>13656</v>
      </c>
      <c r="F33" s="193">
        <f t="shared" si="144"/>
        <v>18289</v>
      </c>
      <c r="G33" s="193">
        <f t="shared" si="144"/>
        <v>20486</v>
      </c>
      <c r="H33" s="193">
        <f t="shared" si="144"/>
        <v>19810</v>
      </c>
      <c r="I33" s="193">
        <f t="shared" si="144"/>
        <v>18448</v>
      </c>
      <c r="J33" s="74">
        <f t="shared" si="144"/>
        <v>18572</v>
      </c>
      <c r="K33" s="74">
        <f t="shared" si="144"/>
        <v>20971</v>
      </c>
      <c r="L33" s="74">
        <f t="shared" si="144"/>
        <v>21482</v>
      </c>
      <c r="M33" s="74">
        <f t="shared" si="144"/>
        <v>20835</v>
      </c>
      <c r="N33" s="193">
        <f>SUM(N27:N32)</f>
        <v>20835</v>
      </c>
      <c r="O33" s="74">
        <f t="shared" si="144"/>
        <v>23401</v>
      </c>
      <c r="P33" s="74">
        <f t="shared" si="144"/>
        <v>24424</v>
      </c>
      <c r="Q33" s="74">
        <f t="shared" si="144"/>
        <v>26116</v>
      </c>
      <c r="R33" s="74">
        <f t="shared" si="144"/>
        <v>28188</v>
      </c>
      <c r="S33" s="193">
        <f t="shared" si="144"/>
        <v>28188</v>
      </c>
      <c r="T33" s="74">
        <f t="shared" si="144"/>
        <v>29388</v>
      </c>
      <c r="U33" s="74">
        <f t="shared" si="144"/>
        <v>30357</v>
      </c>
      <c r="V33" s="74">
        <f t="shared" si="144"/>
        <v>29660</v>
      </c>
      <c r="W33" s="74">
        <f t="shared" si="144"/>
        <v>29701</v>
      </c>
      <c r="X33" s="193">
        <f t="shared" si="144"/>
        <v>29701</v>
      </c>
      <c r="Y33" s="74">
        <f t="shared" si="144"/>
        <v>28429</v>
      </c>
      <c r="Z33" s="74">
        <f t="shared" si="144"/>
        <v>30127</v>
      </c>
      <c r="AA33" s="74">
        <f t="shared" si="144"/>
        <v>30867</v>
      </c>
      <c r="AB33" s="74">
        <f t="shared" si="144"/>
        <v>31538</v>
      </c>
      <c r="AC33" s="193">
        <f t="shared" si="144"/>
        <v>31538</v>
      </c>
      <c r="AD33" s="74">
        <f t="shared" si="144"/>
        <v>32686</v>
      </c>
      <c r="AE33" s="74">
        <f t="shared" si="144"/>
        <v>31445</v>
      </c>
      <c r="AF33" s="74">
        <f t="shared" si="144"/>
        <v>29362</v>
      </c>
      <c r="AG33" s="74">
        <f t="shared" si="144"/>
        <v>30925</v>
      </c>
      <c r="AH33" s="193">
        <f t="shared" si="144"/>
        <v>30925</v>
      </c>
      <c r="AI33" s="74">
        <f t="shared" si="144"/>
        <v>29965</v>
      </c>
      <c r="AJ33" s="74">
        <f t="shared" si="144"/>
        <v>31272</v>
      </c>
      <c r="AK33" s="74">
        <f t="shared" si="144"/>
        <v>32049</v>
      </c>
      <c r="AL33" s="74">
        <f t="shared" si="144"/>
        <v>32883</v>
      </c>
      <c r="AM33" s="193">
        <f t="shared" si="144"/>
        <v>32883</v>
      </c>
      <c r="AN33" s="74">
        <f t="shared" si="144"/>
        <v>33484</v>
      </c>
      <c r="AO33" s="74">
        <f>SUM(AO27:AO32)</f>
        <v>34088</v>
      </c>
      <c r="AP33" s="74">
        <f>SUM(AP27:AP32)</f>
        <v>34238</v>
      </c>
      <c r="AQ33" s="74">
        <f>SUM(AQ27:AQ32)</f>
        <v>35395</v>
      </c>
      <c r="AR33" s="193">
        <f t="shared" si="144"/>
        <v>35395</v>
      </c>
      <c r="AS33" s="74">
        <f>SUM(AS27:AS32)</f>
        <v>35257</v>
      </c>
      <c r="AT33" s="74">
        <f>SUM(AT27:AT32)</f>
        <v>37370</v>
      </c>
      <c r="AU33" s="74">
        <f>SUM(AU27:AU32)</f>
        <v>37593</v>
      </c>
      <c r="AV33" s="74">
        <f>SUM(AV27:AV32)</f>
        <v>41274</v>
      </c>
      <c r="AW33" s="193">
        <f t="shared" si="144"/>
        <v>41274</v>
      </c>
      <c r="AX33" s="74">
        <f t="shared" ref="AX33:BG33" si="145">SUM(AX27:AX32)</f>
        <v>41305</v>
      </c>
      <c r="AY33" s="74">
        <f t="shared" si="145"/>
        <v>42450</v>
      </c>
      <c r="AZ33" s="74">
        <f t="shared" si="145"/>
        <v>42852</v>
      </c>
      <c r="BA33" s="74">
        <f>SUM(BA27:BA32)</f>
        <v>44982</v>
      </c>
      <c r="BB33" s="193">
        <f t="shared" si="145"/>
        <v>44982</v>
      </c>
      <c r="BC33" s="74">
        <f>SUM(BC27:BC32)</f>
        <v>45666</v>
      </c>
      <c r="BD33" s="74">
        <f>SUM(BD27:BD32)</f>
        <v>46949</v>
      </c>
      <c r="BE33" s="74">
        <f>SUM(BE27:BE32)</f>
        <v>49680</v>
      </c>
      <c r="BF33" s="74">
        <f>SUM(BF27:BF32)</f>
        <v>51486</v>
      </c>
      <c r="BG33" s="193">
        <f t="shared" si="145"/>
        <v>51486</v>
      </c>
      <c r="BH33" s="74">
        <f>SUM(BH27:BH32)</f>
        <v>52502</v>
      </c>
      <c r="BI33" s="74">
        <f>SUM(BI27:BI32)</f>
        <v>53339</v>
      </c>
      <c r="BJ33" s="74">
        <f>SUM(BJ27:BJ32)</f>
        <v>53204</v>
      </c>
      <c r="BK33" s="74">
        <f>SUM(BK27:BK32)</f>
        <v>56717</v>
      </c>
      <c r="BL33" s="193">
        <f t="shared" ref="BL33" si="146">SUM(BL27:BL32)</f>
        <v>56717</v>
      </c>
      <c r="BM33" s="74">
        <f>SUM(BM27:BM32)</f>
        <v>55256</v>
      </c>
      <c r="BN33" s="74">
        <f>SUM(BN27:BN32)</f>
        <v>57136</v>
      </c>
      <c r="BO33" s="74">
        <f>SUM(BO27:BO32)</f>
        <v>57808</v>
      </c>
      <c r="BP33" s="74">
        <f>SUM(BP27:BP32)</f>
        <v>50412</v>
      </c>
      <c r="BQ33" s="193">
        <f t="shared" ref="BQ33" si="147">SUM(BQ27:BQ32)</f>
        <v>50412</v>
      </c>
      <c r="BR33" s="74">
        <f>SUM(BR27:BR32)</f>
        <v>49517</v>
      </c>
      <c r="BS33" s="74">
        <f>SUM(BS27:BS32)</f>
        <v>49859</v>
      </c>
      <c r="BT33" s="74">
        <f>SUM(BT27:BT32)</f>
        <v>48489</v>
      </c>
      <c r="BU33" s="74">
        <f>SUM(BU27:BU32)</f>
        <v>50134</v>
      </c>
      <c r="BV33" s="193">
        <f t="shared" ref="BV33:CF33" si="148">SUM(BV27:BV32)</f>
        <v>50134</v>
      </c>
      <c r="BW33" s="74">
        <f>SUM(BW27:BW32)</f>
        <v>49781</v>
      </c>
      <c r="BX33" s="74">
        <f>SUM(BX27:BX32)</f>
        <v>52909</v>
      </c>
      <c r="BY33" s="74">
        <f>SUM(BY27:BY32)</f>
        <v>54409</v>
      </c>
      <c r="BZ33" s="74">
        <f>SUM(BZ27:BZ32)</f>
        <v>56269</v>
      </c>
      <c r="CA33" s="193">
        <f t="shared" si="148"/>
        <v>56269</v>
      </c>
      <c r="CB33" s="74">
        <f>SUM(CB27:CB32)</f>
        <v>75532</v>
      </c>
      <c r="CC33" s="74">
        <f>SUM(CC27:CC32)</f>
        <v>77725</v>
      </c>
      <c r="CD33" s="74">
        <f>SUM(CD27:CD32)</f>
        <v>79417</v>
      </c>
      <c r="CE33" s="74">
        <f>SUM(CE27:CE32)</f>
        <v>81590</v>
      </c>
      <c r="CF33" s="193">
        <f t="shared" si="148"/>
        <v>81590</v>
      </c>
      <c r="CG33" s="74">
        <f>SUM(CG27:CG32)</f>
        <v>83615</v>
      </c>
      <c r="CH33" s="74">
        <f>SUM(CH27:CH32)</f>
        <v>92189</v>
      </c>
      <c r="CI33" s="74">
        <f>SUM(CI27:CI32)</f>
        <v>91846</v>
      </c>
      <c r="CJ33" s="74">
        <f>SUM(CJ27:CJ32)</f>
        <v>97312</v>
      </c>
      <c r="CK33" s="193">
        <f t="shared" ref="CK33" si="149">SUM(CK27:CK32)</f>
        <v>97312</v>
      </c>
      <c r="CL33" s="74">
        <f>SUM(CL27:CL32)</f>
        <v>94502</v>
      </c>
      <c r="CM33" s="74">
        <f>SUM(CM27:CM32)</f>
        <v>92482</v>
      </c>
      <c r="CN33" s="74">
        <f>SUM(CN27:CN32)</f>
        <v>92307</v>
      </c>
      <c r="CO33" s="74">
        <f>SUM(CO27:CO32)</f>
        <v>87280</v>
      </c>
      <c r="CP33" s="193">
        <f t="shared" ref="CP33" si="150">SUM(CP27:CP32)</f>
        <v>87280</v>
      </c>
      <c r="CQ33" s="74">
        <f>SUM(CQ27:CQ32)</f>
        <v>89892</v>
      </c>
      <c r="CR33" s="74">
        <f>SUM(CR27:CR32)</f>
        <v>88224</v>
      </c>
      <c r="CS33" s="74">
        <f>SUM(CS27:CS32)</f>
        <v>85771</v>
      </c>
      <c r="CT33" s="74">
        <f>SUM(CT27:CT32)</f>
        <v>81992</v>
      </c>
      <c r="CU33" s="193">
        <f t="shared" ref="CU33" si="151">SUM(CU27:CU32)</f>
        <v>81992</v>
      </c>
      <c r="CV33" s="74">
        <f>SUM(CV27:CV32)</f>
        <v>81692</v>
      </c>
      <c r="CW33" s="74">
        <f>SUM(CW27:CW32)</f>
        <v>84799</v>
      </c>
      <c r="CX33" s="74">
        <f>SUM(CX27:CX32)</f>
        <v>89618</v>
      </c>
      <c r="CY33" s="74">
        <f>SUM(CY27:CY32)</f>
        <v>90052</v>
      </c>
      <c r="CZ33" s="193">
        <f t="shared" ref="CZ33" si="152">SUM(CZ27:CZ32)</f>
        <v>90052</v>
      </c>
      <c r="DA33" s="74">
        <f t="shared" ref="DA33:DE33" si="153">SUM(DA27:DA32)</f>
        <v>93510</v>
      </c>
      <c r="DB33" s="74">
        <f>SUM(DB27:DB32)</f>
        <v>92076</v>
      </c>
      <c r="DC33" s="74">
        <f>SUM(DC27:DC32)</f>
        <v>93062</v>
      </c>
      <c r="DD33" s="74">
        <f>SUM(DD27:DD32)</f>
        <v>95827</v>
      </c>
      <c r="DE33" s="193">
        <f t="shared" si="153"/>
        <v>95827</v>
      </c>
      <c r="DF33" s="74">
        <f t="shared" ref="DF33" si="154">SUM(DF27:DF32)</f>
        <v>93258</v>
      </c>
      <c r="DG33" s="74">
        <f>SUM(DG27:DG32)</f>
        <v>96630</v>
      </c>
      <c r="DH33" s="74">
        <f>SUM(DH27:DH32)</f>
        <v>97300</v>
      </c>
      <c r="DI33" s="74">
        <f>SUM(DI27:DI32)</f>
        <v>97078</v>
      </c>
      <c r="DJ33" s="193">
        <f t="shared" ref="DJ33:DK33" si="155">SUM(DJ27:DJ32)</f>
        <v>97078</v>
      </c>
      <c r="DK33" s="74">
        <f t="shared" si="155"/>
        <v>103654</v>
      </c>
      <c r="DL33" s="74">
        <f>SUM(DL27:DL32)</f>
        <v>103376</v>
      </c>
      <c r="DM33" s="74">
        <f>SUM(DM27:DM32)</f>
        <v>103324</v>
      </c>
      <c r="DN33" s="74">
        <f>SUM(DN27:DN32)</f>
        <v>108115</v>
      </c>
      <c r="DO33" s="193">
        <f t="shared" ref="DO33:DP33" si="156">SUM(DO27:DO32)</f>
        <v>108115</v>
      </c>
      <c r="DP33" s="74">
        <f t="shared" si="156"/>
        <v>105547</v>
      </c>
      <c r="DQ33" s="74">
        <f>SUM(DQ27:DQ32)</f>
        <v>109563</v>
      </c>
      <c r="DR33" s="74">
        <f t="shared" ref="DR33:DU33" si="157">SUM(DR27:DR32)</f>
        <v>106025.05554244434</v>
      </c>
      <c r="DS33" s="74">
        <f t="shared" si="157"/>
        <v>106103.50211504061</v>
      </c>
      <c r="DT33" s="193">
        <f t="shared" si="157"/>
        <v>106103.50211504061</v>
      </c>
      <c r="DU33" s="74">
        <f t="shared" si="157"/>
        <v>105527.64779649269</v>
      </c>
      <c r="DV33" s="74">
        <f t="shared" ref="DV33:DY33" si="158">SUM(DV27:DV32)</f>
        <v>105519.31631439106</v>
      </c>
      <c r="DW33" s="74">
        <f t="shared" si="158"/>
        <v>105405.20966091835</v>
      </c>
      <c r="DX33" s="74">
        <f t="shared" si="158"/>
        <v>105805.43357888063</v>
      </c>
      <c r="DY33" s="193">
        <f t="shared" si="158"/>
        <v>105805.43357888063</v>
      </c>
      <c r="DZ33" s="193">
        <f t="shared" ref="DZ33:EB33" si="159">SUM(DZ27:DZ32)</f>
        <v>103033.07473806637</v>
      </c>
      <c r="EA33" s="193">
        <f t="shared" si="159"/>
        <v>101677.72654740495</v>
      </c>
      <c r="EB33" s="193">
        <f t="shared" si="159"/>
        <v>99763.268104012765</v>
      </c>
    </row>
    <row r="34" spans="2:132">
      <c r="B34" s="68" t="s">
        <v>69</v>
      </c>
      <c r="C34" s="67">
        <f>Data!C74</f>
        <v>4796</v>
      </c>
      <c r="D34" s="67">
        <f>Data!D74</f>
        <v>4831</v>
      </c>
      <c r="E34" s="67">
        <f>Data!E74</f>
        <v>4877</v>
      </c>
      <c r="F34" s="67">
        <f>Data!F74</f>
        <v>5152</v>
      </c>
      <c r="G34" s="67">
        <f>Data!G74</f>
        <v>5367</v>
      </c>
      <c r="H34" s="67">
        <f>Data!H74</f>
        <v>5434</v>
      </c>
      <c r="I34" s="67">
        <f>Data!I74</f>
        <v>5745</v>
      </c>
      <c r="J34" s="68">
        <f>Data!J74</f>
        <v>5802</v>
      </c>
      <c r="K34" s="68">
        <f>Data!K74</f>
        <v>5847</v>
      </c>
      <c r="L34" s="68">
        <f>Data!L74</f>
        <v>5911</v>
      </c>
      <c r="M34" s="68">
        <f>Data!M74</f>
        <v>5959</v>
      </c>
      <c r="N34" s="67">
        <f>M34</f>
        <v>5959</v>
      </c>
      <c r="O34" s="68">
        <f>Data!O74</f>
        <v>5983</v>
      </c>
      <c r="P34" s="68">
        <f>Data!P74</f>
        <v>6005</v>
      </c>
      <c r="Q34" s="68">
        <f>Data!Q74</f>
        <v>5970</v>
      </c>
      <c r="R34" s="68">
        <f>Data!R74</f>
        <v>5989</v>
      </c>
      <c r="S34" s="67">
        <f t="shared" si="105"/>
        <v>5989</v>
      </c>
      <c r="T34" s="68">
        <f>Data!T74</f>
        <v>6022</v>
      </c>
      <c r="U34" s="68">
        <f>Data!U74</f>
        <v>6058</v>
      </c>
      <c r="V34" s="68">
        <f>Data!V74</f>
        <v>6063</v>
      </c>
      <c r="W34" s="68">
        <f>Data!W74</f>
        <v>7671</v>
      </c>
      <c r="X34" s="67">
        <f t="shared" si="106"/>
        <v>7671</v>
      </c>
      <c r="Y34" s="68">
        <f>Data!Y74</f>
        <v>7674</v>
      </c>
      <c r="Z34" s="68">
        <f>Data!Z74</f>
        <v>7684</v>
      </c>
      <c r="AA34" s="68">
        <f>Data!AA74</f>
        <v>7694</v>
      </c>
      <c r="AB34" s="68">
        <f>Data!AB74</f>
        <v>7007</v>
      </c>
      <c r="AC34" s="67">
        <f t="shared" si="107"/>
        <v>7007</v>
      </c>
      <c r="AD34" s="68">
        <f>Data!AD74</f>
        <v>7123</v>
      </c>
      <c r="AE34" s="68">
        <f>Data!AE74</f>
        <v>7159</v>
      </c>
      <c r="AF34" s="68">
        <f>Data!AF74</f>
        <v>7165</v>
      </c>
      <c r="AG34" s="68">
        <f>Data!AG74</f>
        <v>7322</v>
      </c>
      <c r="AH34" s="67">
        <f t="shared" si="108"/>
        <v>7322</v>
      </c>
      <c r="AI34" s="68">
        <f>Data!AI74</f>
        <v>7336</v>
      </c>
      <c r="AJ34" s="68">
        <f>Data!AJ74</f>
        <v>7336</v>
      </c>
      <c r="AK34" s="68">
        <f>Data!AK74</f>
        <v>7344</v>
      </c>
      <c r="AL34" s="68">
        <f>Data!AL74</f>
        <v>7049</v>
      </c>
      <c r="AM34" s="67">
        <f>AL34</f>
        <v>7049</v>
      </c>
      <c r="AN34" s="241">
        <f>Data!AN74</f>
        <v>7043</v>
      </c>
      <c r="AO34" s="241">
        <f>Data!AO74</f>
        <v>7068</v>
      </c>
      <c r="AP34" s="241">
        <f>Data!AP74</f>
        <v>7062</v>
      </c>
      <c r="AQ34" s="241">
        <f>Data!AQ74</f>
        <v>8025</v>
      </c>
      <c r="AR34" s="67">
        <f>AQ34</f>
        <v>8025</v>
      </c>
      <c r="AS34" s="241">
        <f>Data!AS74</f>
        <v>8034</v>
      </c>
      <c r="AT34" s="241">
        <f>Data!AT74</f>
        <v>8036</v>
      </c>
      <c r="AU34" s="121">
        <f>Data!AU74</f>
        <v>8335</v>
      </c>
      <c r="AV34" s="121">
        <f>Data!AV74</f>
        <v>7520</v>
      </c>
      <c r="AW34" s="67">
        <f t="shared" si="111"/>
        <v>7520</v>
      </c>
      <c r="AX34" s="121">
        <f>Data!AX74</f>
        <v>7498</v>
      </c>
      <c r="AY34" s="121">
        <f>Data!AY74</f>
        <v>7478</v>
      </c>
      <c r="AZ34" s="121">
        <f>Data!AZ74</f>
        <v>7454</v>
      </c>
      <c r="BA34" s="121">
        <f>Data!BA74</f>
        <v>7528</v>
      </c>
      <c r="BB34" s="67">
        <f t="shared" si="112"/>
        <v>7528</v>
      </c>
      <c r="BC34" s="121">
        <f>Data!BC74</f>
        <v>7447</v>
      </c>
      <c r="BD34" s="121">
        <f>Data!BD74</f>
        <v>7431</v>
      </c>
      <c r="BE34" s="121">
        <f>Data!BE74</f>
        <v>7415</v>
      </c>
      <c r="BF34" s="121">
        <f>Data!BF74</f>
        <v>6528</v>
      </c>
      <c r="BG34" s="67">
        <f t="shared" ref="BG34" si="160">BF34</f>
        <v>6528</v>
      </c>
      <c r="BH34" s="121">
        <f>Data!BH74</f>
        <v>6515</v>
      </c>
      <c r="BI34" s="121">
        <f>Data!BI74</f>
        <v>6506</v>
      </c>
      <c r="BJ34" s="121">
        <f>Data!BJ74</f>
        <v>6494</v>
      </c>
      <c r="BK34" s="121">
        <f>Data!BK74</f>
        <v>6802</v>
      </c>
      <c r="BL34" s="67">
        <f t="shared" si="114"/>
        <v>6802</v>
      </c>
      <c r="BM34" s="121">
        <f>Data!BM74</f>
        <v>6789</v>
      </c>
      <c r="BN34" s="121">
        <f>Data!BN74</f>
        <v>6777</v>
      </c>
      <c r="BO34" s="121">
        <f>Data!BO74</f>
        <v>6746</v>
      </c>
      <c r="BP34" s="121">
        <f>Data!BP74</f>
        <v>6616</v>
      </c>
      <c r="BQ34" s="67">
        <f t="shared" si="115"/>
        <v>6616</v>
      </c>
      <c r="BR34" s="121">
        <f>Data!BR74</f>
        <v>6614</v>
      </c>
      <c r="BS34" s="121">
        <f>Data!BS74</f>
        <v>6586</v>
      </c>
      <c r="BT34" s="121">
        <f>Data!BT74</f>
        <v>6544</v>
      </c>
      <c r="BU34" s="121">
        <f>Data!BU74</f>
        <v>5916</v>
      </c>
      <c r="BV34" s="67">
        <f t="shared" si="116"/>
        <v>5916</v>
      </c>
      <c r="BW34" s="121">
        <f>Data!BW74</f>
        <v>5885</v>
      </c>
      <c r="BX34" s="121">
        <f>Data!BX74</f>
        <v>5856</v>
      </c>
      <c r="BY34" s="121">
        <f>Data!BY74</f>
        <v>5826</v>
      </c>
      <c r="BZ34" s="121">
        <f>Data!BZ74</f>
        <v>5545</v>
      </c>
      <c r="CA34" s="67">
        <f t="shared" ref="CA34:CA37" si="161">BZ34</f>
        <v>5545</v>
      </c>
      <c r="CB34" s="121">
        <f>Data!CB74</f>
        <v>5494</v>
      </c>
      <c r="CC34" s="121">
        <f>Data!CC74</f>
        <v>5444</v>
      </c>
      <c r="CD34" s="121">
        <f>Data!CD74</f>
        <v>5394</v>
      </c>
      <c r="CE34" s="121">
        <f>Data!CE74</f>
        <v>4584</v>
      </c>
      <c r="CF34" s="67">
        <f t="shared" ref="CF34:CF37" si="162">CE34</f>
        <v>4584</v>
      </c>
      <c r="CG34" s="121">
        <f>Data!CG74</f>
        <v>4535</v>
      </c>
      <c r="CH34" s="121">
        <f>Data!CH74</f>
        <v>4486</v>
      </c>
      <c r="CI34" s="121">
        <f>Data!CI74</f>
        <v>4437</v>
      </c>
      <c r="CJ34" s="121">
        <f>Data!CJ74</f>
        <v>4540</v>
      </c>
      <c r="CK34" s="67">
        <f t="shared" ref="CK34:CK37" si="163">CJ34</f>
        <v>4540</v>
      </c>
      <c r="CL34" s="121">
        <f>Data!CL74</f>
        <v>4483</v>
      </c>
      <c r="CM34" s="121">
        <f>Data!CM74</f>
        <v>4427</v>
      </c>
      <c r="CN34" s="121">
        <f>Data!CN74</f>
        <v>4429</v>
      </c>
      <c r="CO34" s="121">
        <f>Data!CO74</f>
        <v>4137</v>
      </c>
      <c r="CP34" s="120">
        <f t="shared" ref="CP34:CP37" si="164">CO34</f>
        <v>4137</v>
      </c>
      <c r="CQ34" s="121">
        <f>Data!CQ74</f>
        <v>4077</v>
      </c>
      <c r="CR34" s="121">
        <f>Data!CR74</f>
        <v>4017</v>
      </c>
      <c r="CS34" s="121">
        <f>Data!CS74</f>
        <v>3957</v>
      </c>
      <c r="CT34" s="121">
        <f>Data!CT74</f>
        <v>3528</v>
      </c>
      <c r="CU34" s="120">
        <f t="shared" ref="CU34:CU37" si="165">CT34</f>
        <v>3528</v>
      </c>
      <c r="CV34" s="121">
        <f>Data!CV74</f>
        <v>3471</v>
      </c>
      <c r="CW34" s="121">
        <f>Data!CW74</f>
        <v>3413</v>
      </c>
      <c r="CX34" s="121">
        <f>Data!CX74</f>
        <v>3356</v>
      </c>
      <c r="CY34" s="121">
        <f>Data!CY74</f>
        <v>2503</v>
      </c>
      <c r="CZ34" s="120">
        <f t="shared" ref="CZ34:CZ37" si="166">CY34</f>
        <v>2503</v>
      </c>
      <c r="DA34" s="121">
        <f>Data!DA74</f>
        <v>2466</v>
      </c>
      <c r="DB34" s="121">
        <f>Data!DB74</f>
        <v>2424</v>
      </c>
      <c r="DC34" s="121">
        <f>Data!DC74</f>
        <v>2385</v>
      </c>
      <c r="DD34" s="121">
        <f>Data!DD74</f>
        <v>2233</v>
      </c>
      <c r="DE34" s="120">
        <f t="shared" ref="DE34:DO37" si="167">DD34</f>
        <v>2233</v>
      </c>
      <c r="DF34" s="121">
        <f>Data!DF74</f>
        <v>2196</v>
      </c>
      <c r="DG34" s="121">
        <f>Data!DG74</f>
        <v>2159</v>
      </c>
      <c r="DH34" s="121">
        <f>Data!DH74</f>
        <v>2121</v>
      </c>
      <c r="DI34" s="121">
        <f>Data!DI74</f>
        <v>2176</v>
      </c>
      <c r="DJ34" s="120">
        <f t="shared" si="167"/>
        <v>2176</v>
      </c>
      <c r="DK34" s="121">
        <f>Data!DK74</f>
        <v>2146</v>
      </c>
      <c r="DL34" s="121">
        <f>Data!DL74</f>
        <v>2116</v>
      </c>
      <c r="DM34" s="121">
        <f>Data!DM74</f>
        <v>2086</v>
      </c>
      <c r="DN34" s="121">
        <f>Data!DN74</f>
        <v>2091</v>
      </c>
      <c r="DO34" s="120">
        <f t="shared" si="167"/>
        <v>2091</v>
      </c>
      <c r="DP34" s="121">
        <f>Data!DP74</f>
        <v>2059</v>
      </c>
      <c r="DQ34" s="121">
        <f>Data!DQ74</f>
        <v>2027</v>
      </c>
      <c r="DR34" s="179">
        <f t="shared" ref="DR34" si="168">DQ34</f>
        <v>2027</v>
      </c>
      <c r="DS34" s="179">
        <f t="shared" ref="DS34" si="169">DR34</f>
        <v>2027</v>
      </c>
      <c r="DT34" s="120">
        <f t="shared" ref="DT34:DT37" si="170">DS34</f>
        <v>2027</v>
      </c>
      <c r="DU34" s="179">
        <f t="shared" ref="DU34" si="171">DT34</f>
        <v>2027</v>
      </c>
      <c r="DV34" s="179">
        <f t="shared" ref="DV34" si="172">DU34</f>
        <v>2027</v>
      </c>
      <c r="DW34" s="179">
        <f t="shared" ref="DW34" si="173">DV34</f>
        <v>2027</v>
      </c>
      <c r="DX34" s="179">
        <f t="shared" ref="DX34" si="174">DW34</f>
        <v>2027</v>
      </c>
      <c r="DY34" s="120">
        <f t="shared" ref="DY34:DY37" si="175">DX34</f>
        <v>2027</v>
      </c>
      <c r="DZ34" s="180">
        <f t="shared" ref="DZ34" si="176">DY34</f>
        <v>2027</v>
      </c>
      <c r="EA34" s="180">
        <f t="shared" ref="EA34" si="177">DZ34</f>
        <v>2027</v>
      </c>
      <c r="EB34" s="180">
        <f t="shared" ref="EB34" si="178">EA34</f>
        <v>2027</v>
      </c>
    </row>
    <row r="35" spans="2:132">
      <c r="B35" s="68" t="s">
        <v>70</v>
      </c>
      <c r="C35" s="67">
        <f>Data!C75</f>
        <v>0</v>
      </c>
      <c r="D35" s="67">
        <f>Data!D75</f>
        <v>0</v>
      </c>
      <c r="E35" s="67">
        <f>Data!E75</f>
        <v>0</v>
      </c>
      <c r="F35" s="67">
        <f>Data!F75</f>
        <v>0</v>
      </c>
      <c r="G35" s="67">
        <f>Data!G75</f>
        <v>0</v>
      </c>
      <c r="H35" s="67">
        <f>Data!H75</f>
        <v>6271</v>
      </c>
      <c r="I35" s="67">
        <f>Data!I75</f>
        <v>6629</v>
      </c>
      <c r="J35" s="68">
        <f>Data!J75</f>
        <v>6629</v>
      </c>
      <c r="K35" s="68">
        <f>Data!K75</f>
        <v>6629</v>
      </c>
      <c r="L35" s="68">
        <f>Data!L75</f>
        <v>6629</v>
      </c>
      <c r="M35" s="68">
        <f>Data!M75</f>
        <v>3169</v>
      </c>
      <c r="N35" s="67">
        <f>M35</f>
        <v>3169</v>
      </c>
      <c r="O35" s="68">
        <f>Data!O75</f>
        <v>3169</v>
      </c>
      <c r="P35" s="68">
        <f>Data!P75</f>
        <v>3169</v>
      </c>
      <c r="Q35" s="68">
        <f>Data!Q75</f>
        <v>6012</v>
      </c>
      <c r="R35" s="68">
        <f>Data!R75</f>
        <v>2948</v>
      </c>
      <c r="S35" s="67">
        <f t="shared" si="105"/>
        <v>2948</v>
      </c>
      <c r="T35" s="68">
        <f>Data!T75</f>
        <v>2953</v>
      </c>
      <c r="U35" s="68">
        <f>Data!U75</f>
        <v>2954</v>
      </c>
      <c r="V35" s="68">
        <f>Data!V75</f>
        <v>2954</v>
      </c>
      <c r="W35" s="68">
        <f>Data!W75</f>
        <v>1135</v>
      </c>
      <c r="X35" s="67">
        <f t="shared" si="106"/>
        <v>1135</v>
      </c>
      <c r="Y35" s="68">
        <f>Data!Y75</f>
        <v>985</v>
      </c>
      <c r="Z35" s="68">
        <f>Data!Z75</f>
        <v>992</v>
      </c>
      <c r="AA35" s="68">
        <f>Data!AA75</f>
        <v>980</v>
      </c>
      <c r="AB35" s="68">
        <f>Data!AB75</f>
        <v>1155</v>
      </c>
      <c r="AC35" s="67">
        <f t="shared" si="107"/>
        <v>1155</v>
      </c>
      <c r="AD35" s="68">
        <f>Data!AD75</f>
        <v>1073</v>
      </c>
      <c r="AE35" s="68">
        <f>Data!AE75</f>
        <v>1083</v>
      </c>
      <c r="AF35" s="68">
        <f>Data!AF75</f>
        <v>1102</v>
      </c>
      <c r="AG35" s="68">
        <f>Data!AG75</f>
        <v>8383</v>
      </c>
      <c r="AH35" s="67">
        <f t="shared" si="108"/>
        <v>8383</v>
      </c>
      <c r="AI35" s="68">
        <f>Data!AI75</f>
        <v>8484</v>
      </c>
      <c r="AJ35" s="68">
        <f>Data!AJ75</f>
        <v>8553</v>
      </c>
      <c r="AK35" s="68">
        <f>Data!AK75</f>
        <v>8553</v>
      </c>
      <c r="AL35" s="68">
        <f>Data!AL75</f>
        <v>6315</v>
      </c>
      <c r="AM35" s="67">
        <f>AL35</f>
        <v>6315</v>
      </c>
      <c r="AN35" s="241">
        <f>Data!AN75</f>
        <v>6392</v>
      </c>
      <c r="AO35" s="241">
        <f>Data!AO75</f>
        <v>6466</v>
      </c>
      <c r="AP35" s="241">
        <f>Data!AP75</f>
        <v>6522</v>
      </c>
      <c r="AQ35" s="241">
        <f>Data!AQ75</f>
        <v>9800</v>
      </c>
      <c r="AR35" s="67">
        <f>AQ35</f>
        <v>9800</v>
      </c>
      <c r="AS35" s="241">
        <f>Data!AS75</f>
        <v>9979</v>
      </c>
      <c r="AT35" s="241">
        <f>Data!AT75</f>
        <v>10155</v>
      </c>
      <c r="AU35" s="121">
        <f>Data!AU75</f>
        <v>9848</v>
      </c>
      <c r="AV35" s="121">
        <f>Data!AV75</f>
        <v>16537</v>
      </c>
      <c r="AW35" s="67">
        <f t="shared" si="111"/>
        <v>16537</v>
      </c>
      <c r="AX35" s="121">
        <f>Data!AX75</f>
        <v>16730</v>
      </c>
      <c r="AY35" s="121">
        <f>Data!AY75</f>
        <v>16164</v>
      </c>
      <c r="AZ35" s="121">
        <f>Data!AZ75</f>
        <v>15586</v>
      </c>
      <c r="BA35" s="121">
        <f>Data!BA75</f>
        <v>19651</v>
      </c>
      <c r="BB35" s="67">
        <f t="shared" si="112"/>
        <v>19651</v>
      </c>
      <c r="BC35" s="121">
        <f>Data!BC75</f>
        <v>19878</v>
      </c>
      <c r="BD35" s="121">
        <f>Data!BD75</f>
        <v>20070</v>
      </c>
      <c r="BE35" s="121">
        <f>Data!BE75</f>
        <v>18559</v>
      </c>
      <c r="BF35" s="121">
        <f>Data!BF75</f>
        <v>10474</v>
      </c>
      <c r="BG35" s="67">
        <f t="shared" si="113"/>
        <v>10474</v>
      </c>
      <c r="BH35" s="121">
        <f>Data!BH75</f>
        <v>9676</v>
      </c>
      <c r="BI35" s="121">
        <f>Data!BI75</f>
        <v>9812</v>
      </c>
      <c r="BJ35" s="121">
        <f>Data!BJ75</f>
        <v>9262</v>
      </c>
      <c r="BK35" s="121">
        <f>Data!BK75</f>
        <v>17182</v>
      </c>
      <c r="BL35" s="67">
        <f t="shared" si="114"/>
        <v>17182</v>
      </c>
      <c r="BM35" s="121">
        <f>Data!BM75</f>
        <v>17362</v>
      </c>
      <c r="BN35" s="121">
        <f>Data!BN75</f>
        <v>17537</v>
      </c>
      <c r="BO35" s="121">
        <f>Data!BO75</f>
        <v>17795</v>
      </c>
      <c r="BP35" s="121">
        <f>Data!BP75</f>
        <v>17783</v>
      </c>
      <c r="BQ35" s="67">
        <f t="shared" si="115"/>
        <v>17783</v>
      </c>
      <c r="BR35" s="121">
        <f>Data!BR75</f>
        <v>18196</v>
      </c>
      <c r="BS35" s="121">
        <f>Data!BS75</f>
        <v>18200</v>
      </c>
      <c r="BT35" s="121">
        <f>Data!BT75</f>
        <v>18003</v>
      </c>
      <c r="BU35" s="121">
        <f>Data!BU75</f>
        <v>19943</v>
      </c>
      <c r="BV35" s="67">
        <f t="shared" si="116"/>
        <v>19943</v>
      </c>
      <c r="BW35" s="121">
        <f>Data!BW75</f>
        <v>19796</v>
      </c>
      <c r="BX35" s="121">
        <f>Data!BX75</f>
        <v>19651</v>
      </c>
      <c r="BY35" s="121">
        <f>Data!BY75</f>
        <v>15514</v>
      </c>
      <c r="BZ35" s="121">
        <f>Data!BZ75</f>
        <v>16471</v>
      </c>
      <c r="CA35" s="67">
        <f t="shared" si="161"/>
        <v>16471</v>
      </c>
      <c r="CB35" s="121">
        <f>Data!CB75</f>
        <v>16279</v>
      </c>
      <c r="CC35" s="121">
        <f>Data!CC75</f>
        <v>16118</v>
      </c>
      <c r="CD35" s="121">
        <f>Data!CD75</f>
        <v>15927</v>
      </c>
      <c r="CE35" s="121">
        <f>Data!CE75</f>
        <v>15323</v>
      </c>
      <c r="CF35" s="67">
        <f t="shared" si="162"/>
        <v>15323</v>
      </c>
      <c r="CG35" s="121">
        <f>Data!CG75</f>
        <v>15077</v>
      </c>
      <c r="CH35" s="121">
        <f>Data!CH75</f>
        <v>14831</v>
      </c>
      <c r="CI35" s="121">
        <f>Data!CI75</f>
        <v>14590</v>
      </c>
      <c r="CJ35" s="121">
        <f>Data!CJ75</f>
        <v>16276</v>
      </c>
      <c r="CK35" s="67">
        <f t="shared" si="163"/>
        <v>16276</v>
      </c>
      <c r="CL35" s="121">
        <f>Data!CL75</f>
        <v>15962</v>
      </c>
      <c r="CM35" s="121">
        <f>Data!CM75</f>
        <v>15663</v>
      </c>
      <c r="CN35" s="121">
        <f>Data!CN75</f>
        <v>15343</v>
      </c>
      <c r="CO35" s="121">
        <f>Data!CO75</f>
        <v>14408</v>
      </c>
      <c r="CP35" s="120">
        <f t="shared" si="164"/>
        <v>14408</v>
      </c>
      <c r="CQ35" s="121">
        <f>Data!CQ75</f>
        <v>13968</v>
      </c>
      <c r="CR35" s="121">
        <f>Data!CR75</f>
        <v>13519</v>
      </c>
      <c r="CS35" s="121">
        <f>Data!CS75</f>
        <v>11435</v>
      </c>
      <c r="CT35" s="121">
        <f>Data!CT75</f>
        <v>9104</v>
      </c>
      <c r="CU35" s="120">
        <f t="shared" si="165"/>
        <v>9104</v>
      </c>
      <c r="CV35" s="121">
        <f>Data!CV75</f>
        <v>8719</v>
      </c>
      <c r="CW35" s="121">
        <f>Data!CW75</f>
        <v>8335</v>
      </c>
      <c r="CX35" s="121">
        <f>Data!CX75</f>
        <v>7951</v>
      </c>
      <c r="CY35" s="121">
        <f>Data!CY75</f>
        <v>6141</v>
      </c>
      <c r="CZ35" s="120">
        <f t="shared" si="166"/>
        <v>6141</v>
      </c>
      <c r="DA35" s="121">
        <f>Data!DA75</f>
        <v>5998</v>
      </c>
      <c r="DB35" s="121">
        <f>Data!DB75</f>
        <v>5855</v>
      </c>
      <c r="DC35" s="121">
        <f>Data!DC75</f>
        <v>5713</v>
      </c>
      <c r="DD35" s="121">
        <f>Data!DD75</f>
        <v>6516</v>
      </c>
      <c r="DE35" s="120">
        <f t="shared" si="167"/>
        <v>6516</v>
      </c>
      <c r="DF35" s="121">
        <f>Data!DF75</f>
        <v>6400</v>
      </c>
      <c r="DG35" s="121">
        <f>Data!DG75</f>
        <v>6248</v>
      </c>
      <c r="DH35" s="121">
        <f>Data!DH75</f>
        <v>6097</v>
      </c>
      <c r="DI35" s="121">
        <f>Data!DI75</f>
        <v>5997</v>
      </c>
      <c r="DJ35" s="120">
        <f t="shared" si="167"/>
        <v>5997</v>
      </c>
      <c r="DK35" s="121">
        <f>Data!DK75</f>
        <v>5909</v>
      </c>
      <c r="DL35" s="121">
        <f>Data!DL75</f>
        <v>5803</v>
      </c>
      <c r="DM35" s="121">
        <f>Data!DM75</f>
        <v>5714</v>
      </c>
      <c r="DN35" s="121">
        <f>Data!DN75</f>
        <v>4287</v>
      </c>
      <c r="DO35" s="120">
        <f t="shared" si="167"/>
        <v>4287</v>
      </c>
      <c r="DP35" s="121">
        <f>Data!DP75</f>
        <v>4198</v>
      </c>
      <c r="DQ35" s="121">
        <f>Data!DQ75</f>
        <v>4108</v>
      </c>
      <c r="DR35" s="179">
        <f t="shared" ref="DR35" si="179">DQ35+1.25</f>
        <v>4109.25</v>
      </c>
      <c r="DS35" s="179">
        <f t="shared" ref="DS35" si="180">DR35+1.25</f>
        <v>4110.5</v>
      </c>
      <c r="DT35" s="120">
        <f t="shared" si="170"/>
        <v>4110.5</v>
      </c>
      <c r="DU35" s="179">
        <f t="shared" ref="DU35" si="181">DT35+1.25</f>
        <v>4111.75</v>
      </c>
      <c r="DV35" s="179">
        <f t="shared" ref="DV35" si="182">DU35+1.25</f>
        <v>4113</v>
      </c>
      <c r="DW35" s="179">
        <f t="shared" ref="DW35" si="183">DV35+1.25</f>
        <v>4114.25</v>
      </c>
      <c r="DX35" s="179">
        <f t="shared" ref="DX35" si="184">DW35+1.25</f>
        <v>4115.5</v>
      </c>
      <c r="DY35" s="120">
        <f t="shared" si="175"/>
        <v>4115.5</v>
      </c>
      <c r="DZ35" s="180">
        <f t="shared" ref="DZ35" si="185">DY35+5</f>
        <v>4120.5</v>
      </c>
      <c r="EA35" s="180">
        <f t="shared" ref="EA35" si="186">DZ35+5</f>
        <v>4125.5</v>
      </c>
      <c r="EB35" s="180">
        <f t="shared" ref="EB35" si="187">EA35+5</f>
        <v>4130.5</v>
      </c>
    </row>
    <row r="36" spans="2:132">
      <c r="B36" s="68" t="s">
        <v>71</v>
      </c>
      <c r="C36" s="67">
        <f>Data!C76</f>
        <v>0</v>
      </c>
      <c r="D36" s="67">
        <f>Data!D76</f>
        <v>0</v>
      </c>
      <c r="E36" s="67">
        <f>Data!E76</f>
        <v>0</v>
      </c>
      <c r="F36" s="67">
        <f>Data!F76</f>
        <v>0</v>
      </c>
      <c r="G36" s="67">
        <f>Data!G76</f>
        <v>0</v>
      </c>
      <c r="H36" s="67">
        <f>Data!H76</f>
        <v>0</v>
      </c>
      <c r="I36" s="67">
        <f>Data!I76</f>
        <v>0</v>
      </c>
      <c r="J36" s="68">
        <f>Data!J76</f>
        <v>0</v>
      </c>
      <c r="K36" s="68">
        <f>Data!K76</f>
        <v>0</v>
      </c>
      <c r="L36" s="68">
        <f>Data!L76</f>
        <v>0</v>
      </c>
      <c r="M36" s="68">
        <f>Data!M76</f>
        <v>0</v>
      </c>
      <c r="N36" s="67">
        <f>M36</f>
        <v>0</v>
      </c>
      <c r="O36" s="68">
        <f>Data!O76</f>
        <v>0</v>
      </c>
      <c r="P36" s="68">
        <f>Data!P76</f>
        <v>0</v>
      </c>
      <c r="Q36" s="68">
        <f>Data!Q76</f>
        <v>0</v>
      </c>
      <c r="R36" s="68">
        <f>Data!R76</f>
        <v>0</v>
      </c>
      <c r="S36" s="67">
        <f t="shared" si="105"/>
        <v>0</v>
      </c>
      <c r="T36" s="68">
        <f>Data!T76</f>
        <v>0</v>
      </c>
      <c r="U36" s="68">
        <f>Data!U76</f>
        <v>0</v>
      </c>
      <c r="V36" s="68">
        <f>Data!V76</f>
        <v>0</v>
      </c>
      <c r="W36" s="68">
        <f>Data!W76</f>
        <v>0</v>
      </c>
      <c r="X36" s="67">
        <f t="shared" si="106"/>
        <v>0</v>
      </c>
      <c r="Y36" s="68">
        <f>Data!Y76</f>
        <v>308</v>
      </c>
      <c r="Z36" s="68">
        <f>Data!Z76</f>
        <v>732</v>
      </c>
      <c r="AA36" s="68">
        <f>Data!AA76</f>
        <v>879</v>
      </c>
      <c r="AB36" s="68">
        <f>Data!AB76</f>
        <v>1121</v>
      </c>
      <c r="AC36" s="67">
        <f t="shared" si="107"/>
        <v>1121</v>
      </c>
      <c r="AD36" s="68">
        <f>Data!AD76</f>
        <v>1123</v>
      </c>
      <c r="AE36" s="68">
        <f>Data!AE76</f>
        <v>1148</v>
      </c>
      <c r="AF36" s="68">
        <f>Data!AF76</f>
        <v>1132</v>
      </c>
      <c r="AG36" s="68">
        <f>Data!AG76</f>
        <v>1154</v>
      </c>
      <c r="AH36" s="67">
        <f t="shared" si="108"/>
        <v>1154</v>
      </c>
      <c r="AI36" s="68">
        <f>Data!AI76</f>
        <v>1035</v>
      </c>
      <c r="AJ36" s="68">
        <f>Data!AJ76</f>
        <v>1182</v>
      </c>
      <c r="AK36" s="68">
        <f>Data!AK76</f>
        <v>998</v>
      </c>
      <c r="AL36" s="68">
        <f>Data!AL76</f>
        <v>827</v>
      </c>
      <c r="AM36" s="67">
        <f>AL36</f>
        <v>827</v>
      </c>
      <c r="AN36" s="241">
        <f>Data!AN76</f>
        <v>896</v>
      </c>
      <c r="AO36" s="241">
        <f>Data!AO76</f>
        <v>860</v>
      </c>
      <c r="AP36" s="241">
        <f>Data!AP76</f>
        <v>838</v>
      </c>
      <c r="AQ36" s="241">
        <f>Data!AQ76</f>
        <v>418</v>
      </c>
      <c r="AR36" s="67">
        <f>AQ36</f>
        <v>418</v>
      </c>
      <c r="AS36" s="241">
        <f>Data!AS76</f>
        <v>427</v>
      </c>
      <c r="AT36" s="241">
        <f>Data!AT76</f>
        <v>383</v>
      </c>
      <c r="AU36" s="121">
        <f>Data!AU76</f>
        <v>390</v>
      </c>
      <c r="AV36" s="121">
        <f>Data!AV76</f>
        <v>122</v>
      </c>
      <c r="AW36" s="67">
        <f t="shared" si="111"/>
        <v>122</v>
      </c>
      <c r="AX36" s="121">
        <f>Data!AX76</f>
        <v>192</v>
      </c>
      <c r="AY36" s="121">
        <f>Data!AY76</f>
        <v>226</v>
      </c>
      <c r="AZ36" s="121">
        <f>Data!AZ76</f>
        <v>166</v>
      </c>
      <c r="BA36" s="121">
        <f>Data!BA76</f>
        <v>366</v>
      </c>
      <c r="BB36" s="67">
        <f t="shared" si="112"/>
        <v>366</v>
      </c>
      <c r="BC36" s="121">
        <f>Data!BC76</f>
        <v>241</v>
      </c>
      <c r="BD36" s="121">
        <f>Data!BD76</f>
        <v>275</v>
      </c>
      <c r="BE36" s="121">
        <f>Data!BE76</f>
        <v>299</v>
      </c>
      <c r="BF36" s="121">
        <f>Data!BF76</f>
        <v>156</v>
      </c>
      <c r="BG36" s="67">
        <f t="shared" si="113"/>
        <v>156</v>
      </c>
      <c r="BH36" s="121">
        <f>Data!BH76</f>
        <v>166</v>
      </c>
      <c r="BI36" s="121">
        <f>Data!BI76</f>
        <v>740</v>
      </c>
      <c r="BJ36" s="121">
        <f>Data!BJ76</f>
        <v>709</v>
      </c>
      <c r="BK36" s="121">
        <f>Data!BK76</f>
        <v>358</v>
      </c>
      <c r="BL36" s="67">
        <f t="shared" si="114"/>
        <v>358</v>
      </c>
      <c r="BM36" s="121">
        <f>Data!BM76</f>
        <v>352</v>
      </c>
      <c r="BN36" s="121">
        <f>Data!BN76</f>
        <v>389</v>
      </c>
      <c r="BO36" s="121">
        <f>Data!BO76</f>
        <v>378</v>
      </c>
      <c r="BP36" s="121">
        <f>Data!BP76</f>
        <v>2392</v>
      </c>
      <c r="BQ36" s="67">
        <f t="shared" si="115"/>
        <v>2392</v>
      </c>
      <c r="BR36" s="121">
        <f>Data!BR76</f>
        <v>2297</v>
      </c>
      <c r="BS36" s="121">
        <f>Data!BS76</f>
        <v>2422</v>
      </c>
      <c r="BT36" s="121">
        <f>Data!BT76</f>
        <v>2211</v>
      </c>
      <c r="BU36" s="121">
        <f>Data!BU76</f>
        <v>1338</v>
      </c>
      <c r="BV36" s="67">
        <f t="shared" si="116"/>
        <v>1338</v>
      </c>
      <c r="BW36" s="121">
        <f>Data!BW76</f>
        <v>1339</v>
      </c>
      <c r="BX36" s="121">
        <f>Data!BX76</f>
        <v>1415</v>
      </c>
      <c r="BY36" s="121">
        <f>Data!BY76</f>
        <v>2884</v>
      </c>
      <c r="BZ36" s="121">
        <f>Data!BZ76</f>
        <v>1839</v>
      </c>
      <c r="CA36" s="67">
        <f t="shared" si="161"/>
        <v>1839</v>
      </c>
      <c r="CB36" s="121">
        <f>Data!CB76</f>
        <v>2001</v>
      </c>
      <c r="CC36" s="121">
        <f>Data!CC76</f>
        <v>1900</v>
      </c>
      <c r="CD36" s="121">
        <f>Data!CD76</f>
        <v>1738</v>
      </c>
      <c r="CE36" s="121">
        <f>Data!CE76</f>
        <v>1736</v>
      </c>
      <c r="CF36" s="67">
        <f t="shared" si="162"/>
        <v>1736</v>
      </c>
      <c r="CG36" s="121">
        <f>Data!CG76</f>
        <v>1656</v>
      </c>
      <c r="CH36" s="121">
        <f>Data!CH76</f>
        <v>0</v>
      </c>
      <c r="CI36" s="121">
        <f>Data!CI76</f>
        <v>1615</v>
      </c>
      <c r="CJ36" s="121">
        <f>Data!CJ76</f>
        <v>413</v>
      </c>
      <c r="CK36" s="67">
        <f t="shared" si="163"/>
        <v>413</v>
      </c>
      <c r="CL36" s="121">
        <f>Data!CL76</f>
        <v>336</v>
      </c>
      <c r="CM36" s="121">
        <f>Data!CM76</f>
        <v>404</v>
      </c>
      <c r="CN36" s="121">
        <f>Data!CN76</f>
        <v>503</v>
      </c>
      <c r="CO36" s="121">
        <f>Data!CO76</f>
        <v>1010</v>
      </c>
      <c r="CP36" s="120">
        <f t="shared" si="164"/>
        <v>1010</v>
      </c>
      <c r="CQ36" s="121">
        <f>Data!CQ76</f>
        <v>908</v>
      </c>
      <c r="CR36" s="121">
        <f>Data!CR76</f>
        <v>1064</v>
      </c>
      <c r="CS36" s="121">
        <f>Data!CS76</f>
        <v>1185</v>
      </c>
      <c r="CT36" s="121">
        <f>Data!CT76</f>
        <v>218</v>
      </c>
      <c r="CU36" s="120">
        <f t="shared" si="165"/>
        <v>218</v>
      </c>
      <c r="CV36" s="121">
        <f>Data!CV76</f>
        <v>158</v>
      </c>
      <c r="CW36" s="121">
        <f>Data!CW76</f>
        <v>38</v>
      </c>
      <c r="CX36" s="121">
        <f>Data!CX76</f>
        <v>230</v>
      </c>
      <c r="CY36" s="121">
        <f>Data!CY76</f>
        <v>230</v>
      </c>
      <c r="CZ36" s="120">
        <f t="shared" si="166"/>
        <v>230</v>
      </c>
      <c r="DA36" s="121">
        <f>Data!DA76</f>
        <v>194</v>
      </c>
      <c r="DB36" s="121">
        <f>Data!DB76</f>
        <v>95</v>
      </c>
      <c r="DC36" s="121">
        <f>Data!DC76</f>
        <v>218</v>
      </c>
      <c r="DD36" s="121">
        <f>Data!DD76</f>
        <v>229</v>
      </c>
      <c r="DE36" s="120">
        <f t="shared" si="167"/>
        <v>229</v>
      </c>
      <c r="DF36" s="121">
        <f>Data!DF76</f>
        <v>223</v>
      </c>
      <c r="DG36" s="121">
        <f>Data!DG76</f>
        <v>291</v>
      </c>
      <c r="DH36" s="121">
        <f>Data!DH76</f>
        <v>249</v>
      </c>
      <c r="DI36" s="121">
        <f>Data!DI76</f>
        <v>122</v>
      </c>
      <c r="DJ36" s="120">
        <f t="shared" si="167"/>
        <v>122</v>
      </c>
      <c r="DK36" s="121">
        <f>Data!DK76</f>
        <v>162</v>
      </c>
      <c r="DL36" s="121">
        <f>Data!DL76</f>
        <v>193</v>
      </c>
      <c r="DM36" s="121">
        <f>Data!DM76</f>
        <v>191</v>
      </c>
      <c r="DN36" s="121">
        <f>Data!DN76</f>
        <v>216</v>
      </c>
      <c r="DO36" s="120">
        <f t="shared" si="167"/>
        <v>216</v>
      </c>
      <c r="DP36" s="121">
        <f>Data!DP76</f>
        <v>237</v>
      </c>
      <c r="DQ36" s="121">
        <f>Data!DQ76</f>
        <v>260</v>
      </c>
      <c r="DR36" s="179">
        <f t="shared" ref="DR36" si="188">DQ36+175</f>
        <v>435</v>
      </c>
      <c r="DS36" s="179">
        <f t="shared" ref="DS36" si="189">DR36+175</f>
        <v>610</v>
      </c>
      <c r="DT36" s="120">
        <f t="shared" si="170"/>
        <v>610</v>
      </c>
      <c r="DU36" s="179">
        <f t="shared" ref="DU36" si="190">DT36+175</f>
        <v>785</v>
      </c>
      <c r="DV36" s="179">
        <f t="shared" ref="DV36" si="191">DU36+175</f>
        <v>960</v>
      </c>
      <c r="DW36" s="179">
        <f t="shared" ref="DW36" si="192">DV36+175</f>
        <v>1135</v>
      </c>
      <c r="DX36" s="179">
        <f t="shared" ref="DX36" si="193">DW36+175</f>
        <v>1310</v>
      </c>
      <c r="DY36" s="120">
        <f t="shared" si="175"/>
        <v>1310</v>
      </c>
      <c r="DZ36" s="123">
        <f t="shared" ref="DZ36" si="194">DY36+700</f>
        <v>2010</v>
      </c>
      <c r="EA36" s="123">
        <f t="shared" ref="EA36" si="195">DZ36+700</f>
        <v>2710</v>
      </c>
      <c r="EB36" s="123">
        <f t="shared" ref="EB36" si="196">EA36+700</f>
        <v>3410</v>
      </c>
    </row>
    <row r="37" spans="2:132">
      <c r="B37" s="68" t="s">
        <v>72</v>
      </c>
      <c r="C37" s="67">
        <f>Data!C77</f>
        <v>0</v>
      </c>
      <c r="D37" s="67">
        <f>Data!D77</f>
        <v>0</v>
      </c>
      <c r="E37" s="67">
        <f>Data!E77</f>
        <v>172</v>
      </c>
      <c r="F37" s="67">
        <f>Data!F77</f>
        <v>0</v>
      </c>
      <c r="G37" s="67">
        <f>Data!G77</f>
        <v>799</v>
      </c>
      <c r="H37" s="67">
        <f>Data!H77</f>
        <v>542</v>
      </c>
      <c r="I37" s="67">
        <f>Data!I77</f>
        <v>775</v>
      </c>
      <c r="J37" s="68">
        <f>Data!J77</f>
        <v>831</v>
      </c>
      <c r="K37" s="68">
        <f>Data!K77</f>
        <v>803</v>
      </c>
      <c r="L37" s="68">
        <f>Data!L77</f>
        <v>774</v>
      </c>
      <c r="M37" s="68">
        <f>Data!M77</f>
        <v>1835</v>
      </c>
      <c r="N37" s="67">
        <f>M37</f>
        <v>1835</v>
      </c>
      <c r="O37" s="68">
        <f>Data!O77</f>
        <v>1901</v>
      </c>
      <c r="P37" s="68">
        <f>Data!P77</f>
        <v>1541</v>
      </c>
      <c r="Q37" s="68">
        <f>Data!Q77</f>
        <v>661</v>
      </c>
      <c r="R37" s="68">
        <f>Data!R77</f>
        <v>2336</v>
      </c>
      <c r="S37" s="67">
        <f t="shared" si="105"/>
        <v>2336</v>
      </c>
      <c r="T37" s="68">
        <f>Data!T77</f>
        <v>2471</v>
      </c>
      <c r="U37" s="68">
        <f>Data!U77</f>
        <v>2569</v>
      </c>
      <c r="V37" s="68">
        <f>Data!V77</f>
        <v>3206</v>
      </c>
      <c r="W37" s="68">
        <f>Data!W77</f>
        <v>391</v>
      </c>
      <c r="X37" s="67">
        <f t="shared" si="106"/>
        <v>391</v>
      </c>
      <c r="Y37" s="68">
        <f>Data!Y77</f>
        <v>400</v>
      </c>
      <c r="Z37" s="68">
        <f>Data!Z77</f>
        <v>400</v>
      </c>
      <c r="AA37" s="68">
        <f>Data!AA77</f>
        <v>406</v>
      </c>
      <c r="AB37" s="68">
        <f>Data!AB77</f>
        <v>1706</v>
      </c>
      <c r="AC37" s="67">
        <f t="shared" si="107"/>
        <v>1706</v>
      </c>
      <c r="AD37" s="68">
        <f>Data!AD77</f>
        <v>1861</v>
      </c>
      <c r="AE37" s="68">
        <f>Data!AE77</f>
        <v>1841</v>
      </c>
      <c r="AF37" s="68">
        <f>Data!AF77</f>
        <v>1827</v>
      </c>
      <c r="AG37" s="68">
        <f>Data!AG77</f>
        <v>337</v>
      </c>
      <c r="AH37" s="67">
        <f t="shared" si="108"/>
        <v>337</v>
      </c>
      <c r="AI37" s="68">
        <f>Data!AI77</f>
        <v>287</v>
      </c>
      <c r="AJ37" s="68">
        <f>Data!AJ77</f>
        <v>335</v>
      </c>
      <c r="AK37" s="68">
        <f>Data!AK77</f>
        <v>535</v>
      </c>
      <c r="AL37" s="68">
        <f>Data!AL77</f>
        <v>537</v>
      </c>
      <c r="AM37" s="67">
        <f>AL37</f>
        <v>537</v>
      </c>
      <c r="AN37" s="241">
        <f>Data!AN77</f>
        <v>652</v>
      </c>
      <c r="AO37" s="241">
        <f>Data!AO77</f>
        <v>661</v>
      </c>
      <c r="AP37" s="241">
        <f>Data!AP77</f>
        <v>544</v>
      </c>
      <c r="AQ37" s="241">
        <f>Data!AQ77</f>
        <v>592</v>
      </c>
      <c r="AR37" s="67">
        <f>AQ37</f>
        <v>592</v>
      </c>
      <c r="AS37" s="241">
        <f>Data!AS77</f>
        <v>333</v>
      </c>
      <c r="AT37" s="241">
        <f>Data!AT77</f>
        <v>1027</v>
      </c>
      <c r="AU37" s="121">
        <f>Data!AU77</f>
        <v>1159</v>
      </c>
      <c r="AV37" s="121">
        <f>Data!AV77</f>
        <v>907</v>
      </c>
      <c r="AW37" s="67">
        <f t="shared" si="111"/>
        <v>907</v>
      </c>
      <c r="AX37" s="121">
        <f>Data!AX77</f>
        <v>543</v>
      </c>
      <c r="AY37" s="121">
        <f>Data!AY77</f>
        <v>650</v>
      </c>
      <c r="AZ37" s="121">
        <f>Data!AZ77</f>
        <v>900</v>
      </c>
      <c r="BA37" s="121">
        <f>Data!BA77</f>
        <v>1429</v>
      </c>
      <c r="BB37" s="67">
        <f t="shared" si="112"/>
        <v>1429</v>
      </c>
      <c r="BC37" s="121">
        <f>Data!BC77</f>
        <v>1401</v>
      </c>
      <c r="BD37" s="121">
        <f>Data!BD77</f>
        <v>1039</v>
      </c>
      <c r="BE37" s="121">
        <f>Data!BE77</f>
        <v>936</v>
      </c>
      <c r="BF37" s="121">
        <f>Data!BF77</f>
        <v>950</v>
      </c>
      <c r="BG37" s="67">
        <f t="shared" si="113"/>
        <v>950</v>
      </c>
      <c r="BH37" s="121">
        <f>Data!BH77</f>
        <v>808</v>
      </c>
      <c r="BI37" s="121">
        <f>Data!BI77</f>
        <v>864</v>
      </c>
      <c r="BJ37" s="121">
        <f>Data!BJ77</f>
        <v>1046</v>
      </c>
      <c r="BK37" s="121">
        <f>Data!BK77</f>
        <v>1208</v>
      </c>
      <c r="BL37" s="67">
        <f t="shared" si="114"/>
        <v>1208</v>
      </c>
      <c r="BM37" s="121">
        <f>Data!BM77</f>
        <v>1081</v>
      </c>
      <c r="BN37" s="121">
        <f>Data!BN77</f>
        <v>1052</v>
      </c>
      <c r="BO37" s="121">
        <f>Data!BO77</f>
        <v>1083</v>
      </c>
      <c r="BP37" s="121">
        <f>Data!BP77</f>
        <v>2078</v>
      </c>
      <c r="BQ37" s="67">
        <f t="shared" si="115"/>
        <v>2078</v>
      </c>
      <c r="BR37" s="121">
        <f>Data!BR77</f>
        <v>2096</v>
      </c>
      <c r="BS37" s="121">
        <f>Data!BS77</f>
        <v>2048</v>
      </c>
      <c r="BT37" s="121">
        <f>Data!BT77</f>
        <v>1729</v>
      </c>
      <c r="BU37" s="121">
        <f>Data!BU77</f>
        <v>2221</v>
      </c>
      <c r="BV37" s="67">
        <f t="shared" si="116"/>
        <v>2221</v>
      </c>
      <c r="BW37" s="121">
        <f>Data!BW77</f>
        <v>2285</v>
      </c>
      <c r="BX37" s="121">
        <f>Data!BX77</f>
        <v>2128</v>
      </c>
      <c r="BY37" s="121">
        <f>Data!BY77</f>
        <v>1449</v>
      </c>
      <c r="BZ37" s="121">
        <f>Data!BZ77</f>
        <v>2015</v>
      </c>
      <c r="CA37" s="67">
        <f t="shared" si="161"/>
        <v>2015</v>
      </c>
      <c r="CB37" s="121">
        <f>Data!CB77</f>
        <v>2474</v>
      </c>
      <c r="CC37" s="121">
        <f>Data!CC77</f>
        <v>2875</v>
      </c>
      <c r="CD37" s="121">
        <f>Data!CD77</f>
        <v>2905</v>
      </c>
      <c r="CE37" s="121">
        <f>Data!CE77</f>
        <v>3059</v>
      </c>
      <c r="CF37" s="67">
        <f t="shared" si="162"/>
        <v>3059</v>
      </c>
      <c r="CG37" s="121">
        <f>Data!CG77</f>
        <v>3731</v>
      </c>
      <c r="CH37" s="121">
        <f>Data!CH77</f>
        <v>4839</v>
      </c>
      <c r="CI37" s="121">
        <f>Data!CI77</f>
        <v>3621</v>
      </c>
      <c r="CJ37" s="121">
        <f>Data!CJ77</f>
        <v>3422</v>
      </c>
      <c r="CK37" s="67">
        <f t="shared" si="163"/>
        <v>3422</v>
      </c>
      <c r="CL37" s="121">
        <f>Data!CL77</f>
        <v>3398</v>
      </c>
      <c r="CM37" s="121">
        <f>Data!CM77</f>
        <v>2821</v>
      </c>
      <c r="CN37" s="121">
        <f>Data!CN77</f>
        <v>2907</v>
      </c>
      <c r="CO37" s="121">
        <f>Data!CO77</f>
        <v>1486</v>
      </c>
      <c r="CP37" s="120">
        <f t="shared" si="164"/>
        <v>1486</v>
      </c>
      <c r="CQ37" s="121">
        <f>Data!CQ77</f>
        <v>1477</v>
      </c>
      <c r="CR37" s="121">
        <f>Data!CR77</f>
        <v>1571</v>
      </c>
      <c r="CS37" s="121">
        <f>Data!CS77</f>
        <v>1722</v>
      </c>
      <c r="CT37" s="121">
        <f>Data!CT77</f>
        <v>1750</v>
      </c>
      <c r="CU37" s="120">
        <f t="shared" si="165"/>
        <v>1750</v>
      </c>
      <c r="CV37" s="121">
        <f>Data!CV77</f>
        <v>1879</v>
      </c>
      <c r="CW37" s="121">
        <f>Data!CW77</f>
        <v>1891</v>
      </c>
      <c r="CX37" s="121">
        <f>Data!CX77</f>
        <v>2250</v>
      </c>
      <c r="CY37" s="121">
        <f>Data!CY77</f>
        <v>2211</v>
      </c>
      <c r="CZ37" s="120">
        <f t="shared" si="166"/>
        <v>2211</v>
      </c>
      <c r="DA37" s="121">
        <f>Data!DA77</f>
        <v>2198</v>
      </c>
      <c r="DB37" s="121">
        <f>Data!DB77</f>
        <v>2158</v>
      </c>
      <c r="DC37" s="121">
        <f>Data!DC77</f>
        <v>2239</v>
      </c>
      <c r="DD37" s="121">
        <f>Data!DD77</f>
        <v>2332</v>
      </c>
      <c r="DE37" s="120">
        <f t="shared" si="167"/>
        <v>2332</v>
      </c>
      <c r="DF37" s="121">
        <f>Data!DF77</f>
        <v>2546</v>
      </c>
      <c r="DG37" s="121">
        <f>Data!DG77</f>
        <v>2212</v>
      </c>
      <c r="DH37" s="121">
        <f>Data!DH77</f>
        <v>2314</v>
      </c>
      <c r="DI37" s="121">
        <f>Data!DI77</f>
        <v>2318</v>
      </c>
      <c r="DJ37" s="120">
        <f t="shared" si="167"/>
        <v>2318</v>
      </c>
      <c r="DK37" s="121">
        <f>Data!DK77</f>
        <v>2260</v>
      </c>
      <c r="DL37" s="121">
        <f>Data!DL77</f>
        <v>2324</v>
      </c>
      <c r="DM37" s="121">
        <f>Data!DM77</f>
        <v>2350</v>
      </c>
      <c r="DN37" s="121">
        <f>Data!DN77</f>
        <v>2432</v>
      </c>
      <c r="DO37" s="120">
        <f t="shared" si="167"/>
        <v>2432</v>
      </c>
      <c r="DP37" s="121">
        <f>Data!DP77</f>
        <v>2405</v>
      </c>
      <c r="DQ37" s="121">
        <f>Data!DQ77</f>
        <v>2462</v>
      </c>
      <c r="DR37" s="179">
        <f t="shared" ref="DR37" si="197">DQ37+38</f>
        <v>2500</v>
      </c>
      <c r="DS37" s="179">
        <f t="shared" ref="DS37" si="198">DR37+38</f>
        <v>2538</v>
      </c>
      <c r="DT37" s="120">
        <f t="shared" si="170"/>
        <v>2538</v>
      </c>
      <c r="DU37" s="179">
        <f t="shared" ref="DU37" si="199">DT37+38</f>
        <v>2576</v>
      </c>
      <c r="DV37" s="179">
        <f t="shared" ref="DV37" si="200">DU37+38</f>
        <v>2614</v>
      </c>
      <c r="DW37" s="179">
        <f t="shared" ref="DW37" si="201">DV37+38</f>
        <v>2652</v>
      </c>
      <c r="DX37" s="179">
        <f t="shared" ref="DX37" si="202">DW37+38</f>
        <v>2690</v>
      </c>
      <c r="DY37" s="120">
        <f t="shared" si="175"/>
        <v>2690</v>
      </c>
      <c r="DZ37" s="180">
        <f t="shared" ref="DZ37" si="203">DY37+150</f>
        <v>2840</v>
      </c>
      <c r="EA37" s="180">
        <f t="shared" ref="EA37" si="204">DZ37+150</f>
        <v>2990</v>
      </c>
      <c r="EB37" s="180">
        <f t="shared" ref="EB37" si="205">EA37+150</f>
        <v>3140</v>
      </c>
    </row>
    <row r="38" spans="2:132">
      <c r="B38" s="68" t="s">
        <v>73</v>
      </c>
      <c r="C38" s="69">
        <f>Data!C78</f>
        <v>6123</v>
      </c>
      <c r="D38" s="69">
        <f>Data!D78</f>
        <v>6103</v>
      </c>
      <c r="E38" s="69">
        <f>Data!E78</f>
        <v>5980</v>
      </c>
      <c r="F38" s="69">
        <f>Data!F78</f>
        <v>7567</v>
      </c>
      <c r="G38" s="69">
        <f>Data!G78</f>
        <v>10866</v>
      </c>
      <c r="H38" s="69">
        <f>Data!H78</f>
        <v>12589</v>
      </c>
      <c r="I38" s="69">
        <f>Data!I78</f>
        <v>13299</v>
      </c>
      <c r="J38" s="70">
        <f>Data!J78</f>
        <v>13107</v>
      </c>
      <c r="K38" s="70">
        <f>Data!K78</f>
        <v>11084</v>
      </c>
      <c r="L38" s="70">
        <f>Data!L78</f>
        <v>11050</v>
      </c>
      <c r="M38" s="70">
        <f>Data!M78</f>
        <v>10879</v>
      </c>
      <c r="N38" s="69">
        <f>M38</f>
        <v>10879</v>
      </c>
      <c r="O38" s="70">
        <f>Data!O78</f>
        <v>10782</v>
      </c>
      <c r="P38" s="70">
        <f>Data!P78</f>
        <v>10223</v>
      </c>
      <c r="Q38" s="70">
        <f>Data!Q78</f>
        <v>10136</v>
      </c>
      <c r="R38" s="70">
        <f>Data!R78</f>
        <v>9538</v>
      </c>
      <c r="S38" s="69">
        <f t="shared" si="105"/>
        <v>9538</v>
      </c>
      <c r="T38" s="70">
        <f>Data!T78</f>
        <v>9057</v>
      </c>
      <c r="U38" s="70">
        <f>Data!U78</f>
        <v>8962</v>
      </c>
      <c r="V38" s="70">
        <f>Data!V78</f>
        <v>8549</v>
      </c>
      <c r="W38" s="70">
        <f>Data!W78</f>
        <v>8157</v>
      </c>
      <c r="X38" s="69">
        <f t="shared" si="106"/>
        <v>8157</v>
      </c>
      <c r="Y38" s="70">
        <f>Data!Y78</f>
        <v>8149</v>
      </c>
      <c r="Z38" s="70">
        <f>Data!Z78</f>
        <v>8094</v>
      </c>
      <c r="AA38" s="70">
        <f>Data!AA78</f>
        <v>7555</v>
      </c>
      <c r="AB38" s="70">
        <f>Data!AB78</f>
        <v>7455</v>
      </c>
      <c r="AC38" s="69">
        <f t="shared" si="107"/>
        <v>7455</v>
      </c>
      <c r="AD38" s="70">
        <f>Data!AD78</f>
        <v>7428</v>
      </c>
      <c r="AE38" s="70">
        <f>Data!AE78</f>
        <v>7240</v>
      </c>
      <c r="AF38" s="70">
        <f>Data!AF78</f>
        <v>7217</v>
      </c>
      <c r="AG38" s="70">
        <f>Data!AG78</f>
        <v>6952</v>
      </c>
      <c r="AH38" s="69">
        <f t="shared" si="108"/>
        <v>6952</v>
      </c>
      <c r="AI38" s="70">
        <f>Data!AI78</f>
        <v>8742</v>
      </c>
      <c r="AJ38" s="70">
        <f>Data!AJ78</f>
        <v>8700</v>
      </c>
      <c r="AK38" s="70">
        <f>Data!AK78</f>
        <v>10065</v>
      </c>
      <c r="AL38" s="70">
        <f>Data!AL78</f>
        <v>12217</v>
      </c>
      <c r="AM38" s="69">
        <f>AL38</f>
        <v>12217</v>
      </c>
      <c r="AN38" s="70">
        <f>Data!AN78</f>
        <v>11464</v>
      </c>
      <c r="AO38" s="70">
        <f>Data!AO78</f>
        <v>11439</v>
      </c>
      <c r="AP38" s="70">
        <f>Data!AP78</f>
        <v>11466</v>
      </c>
      <c r="AQ38" s="70">
        <f>Data!AQ78</f>
        <v>11473</v>
      </c>
      <c r="AR38" s="69">
        <f>AQ38</f>
        <v>11473</v>
      </c>
      <c r="AS38" s="70">
        <f>Data!AS78</f>
        <v>10723</v>
      </c>
      <c r="AT38" s="70">
        <f>Data!AT78</f>
        <v>10324</v>
      </c>
      <c r="AU38" s="70">
        <f>Data!AU78</f>
        <v>10777</v>
      </c>
      <c r="AV38" s="70">
        <f>Data!AV78</f>
        <v>10018</v>
      </c>
      <c r="AW38" s="69">
        <f t="shared" si="111"/>
        <v>10018</v>
      </c>
      <c r="AX38" s="70">
        <f>Data!AX78</f>
        <v>8817</v>
      </c>
      <c r="AY38" s="70">
        <f>Data!AY78</f>
        <v>8735</v>
      </c>
      <c r="AZ38" s="70">
        <f>Data!AZ78</f>
        <v>9014</v>
      </c>
      <c r="BA38" s="70">
        <f>Data!BA78</f>
        <v>8973</v>
      </c>
      <c r="BB38" s="69">
        <f t="shared" si="112"/>
        <v>8973</v>
      </c>
      <c r="BC38" s="70">
        <f>Data!BC78</f>
        <v>8254</v>
      </c>
      <c r="BD38" s="70">
        <f>Data!BD78</f>
        <v>8695</v>
      </c>
      <c r="BE38" s="70">
        <f>Data!BE78</f>
        <v>8677</v>
      </c>
      <c r="BF38" s="70">
        <f>Data!BF78</f>
        <v>8072</v>
      </c>
      <c r="BG38" s="69">
        <f t="shared" si="113"/>
        <v>8072</v>
      </c>
      <c r="BH38" s="70">
        <f>Data!BH78</f>
        <v>7275</v>
      </c>
      <c r="BI38" s="70">
        <f>Data!BI78</f>
        <v>7292</v>
      </c>
      <c r="BJ38" s="70">
        <f>Data!BJ78</f>
        <v>7301</v>
      </c>
      <c r="BK38" s="70">
        <f>Data!BK78</f>
        <v>8141</v>
      </c>
      <c r="BL38" s="69">
        <f t="shared" si="114"/>
        <v>8141</v>
      </c>
      <c r="BM38" s="70">
        <f>Data!BM78</f>
        <v>8905</v>
      </c>
      <c r="BN38" s="70">
        <f>Data!BN78</f>
        <v>8904</v>
      </c>
      <c r="BO38" s="70">
        <f>Data!BO78</f>
        <v>8402</v>
      </c>
      <c r="BP38" s="70">
        <f>Data!BP78</f>
        <v>8730</v>
      </c>
      <c r="BQ38" s="69">
        <f t="shared" si="115"/>
        <v>8730</v>
      </c>
      <c r="BR38" s="70">
        <f>Data!BR78</f>
        <v>8721</v>
      </c>
      <c r="BS38" s="70">
        <f>Data!BS78</f>
        <v>9847</v>
      </c>
      <c r="BT38" s="70">
        <f>Data!BT78</f>
        <v>9824</v>
      </c>
      <c r="BU38" s="70">
        <f>Data!BU78</f>
        <v>9568</v>
      </c>
      <c r="BV38" s="69">
        <f t="shared" si="116"/>
        <v>9568</v>
      </c>
      <c r="BW38" s="70">
        <f>Data!BW78</f>
        <v>10432</v>
      </c>
      <c r="BX38" s="70">
        <f>Data!BX78</f>
        <v>10055</v>
      </c>
      <c r="BY38" s="70">
        <f>Data!BY78</f>
        <v>9780</v>
      </c>
      <c r="BZ38" s="70">
        <f>Data!BZ78</f>
        <v>9782</v>
      </c>
      <c r="CA38" s="69">
        <f>BZ38</f>
        <v>9782</v>
      </c>
      <c r="CB38" s="70">
        <f>Data!CB78</f>
        <v>10471</v>
      </c>
      <c r="CC38" s="70">
        <f>Data!CC78</f>
        <v>10507</v>
      </c>
      <c r="CD38" s="70">
        <f>Data!CD78</f>
        <v>10487</v>
      </c>
      <c r="CE38" s="70">
        <f>Data!CE78</f>
        <v>10657</v>
      </c>
      <c r="CF38" s="69">
        <f>CE38</f>
        <v>10657</v>
      </c>
      <c r="CG38" s="70">
        <f>Data!CG78</f>
        <v>11363</v>
      </c>
      <c r="CH38" s="70">
        <f>Data!CH78</f>
        <v>14859</v>
      </c>
      <c r="CI38" s="70">
        <f>Data!CI78</f>
        <v>20298</v>
      </c>
      <c r="CJ38" s="70">
        <f>Data!CJ78</f>
        <v>19962</v>
      </c>
      <c r="CK38" s="69">
        <f>CJ38</f>
        <v>19962</v>
      </c>
      <c r="CL38" s="70">
        <f>Data!CL78</f>
        <v>33754</v>
      </c>
      <c r="CM38" s="70">
        <f>Data!CM78</f>
        <v>58457</v>
      </c>
      <c r="CN38" s="70">
        <f>Data!CN78</f>
        <v>57325</v>
      </c>
      <c r="CO38" s="70">
        <f>Data!CO78</f>
        <v>61890</v>
      </c>
      <c r="CP38" s="69">
        <f>CO38</f>
        <v>61890</v>
      </c>
      <c r="CQ38" s="70">
        <f>Data!CQ78</f>
        <v>57554</v>
      </c>
      <c r="CR38" s="70">
        <f>Data!CR78</f>
        <v>57025</v>
      </c>
      <c r="CS38" s="70">
        <f>Data!CS78</f>
        <v>57042</v>
      </c>
      <c r="CT38" s="70">
        <f>Data!CT78</f>
        <v>56806</v>
      </c>
      <c r="CU38" s="69">
        <f>CT38</f>
        <v>56806</v>
      </c>
      <c r="CV38" s="70">
        <f>Data!CV78</f>
        <v>55150</v>
      </c>
      <c r="CW38" s="70">
        <f>Data!CW78</f>
        <v>51794</v>
      </c>
      <c r="CX38" s="70">
        <f>Data!CX78</f>
        <v>51788</v>
      </c>
      <c r="CY38" s="70">
        <f>Data!CY78</f>
        <v>51811</v>
      </c>
      <c r="CZ38" s="69">
        <f>CY38</f>
        <v>51811</v>
      </c>
      <c r="DA38" s="70">
        <f>Data!DA78</f>
        <v>47465</v>
      </c>
      <c r="DB38" s="70">
        <f>Data!DB78</f>
        <v>47659</v>
      </c>
      <c r="DC38" s="70">
        <f>Data!DC78</f>
        <v>47381</v>
      </c>
      <c r="DD38" s="70">
        <f>Data!DD78</f>
        <v>47103</v>
      </c>
      <c r="DE38" s="69">
        <f>DD38</f>
        <v>47103</v>
      </c>
      <c r="DF38" s="70">
        <f>Data!DF78</f>
        <v>46877</v>
      </c>
      <c r="DG38" s="70">
        <f>Data!DG78</f>
        <v>53162</v>
      </c>
      <c r="DH38" s="70">
        <f>Data!DH78</f>
        <v>53176</v>
      </c>
      <c r="DI38" s="70">
        <f>Data!DI78</f>
        <v>52586</v>
      </c>
      <c r="DJ38" s="69">
        <f>DI38</f>
        <v>52586</v>
      </c>
      <c r="DK38" s="70">
        <f>Data!DK78</f>
        <v>45688</v>
      </c>
      <c r="DL38" s="70">
        <f>Data!DL78</f>
        <v>44604</v>
      </c>
      <c r="DM38" s="70">
        <f>Data!DM78</f>
        <v>44611</v>
      </c>
      <c r="DN38" s="70">
        <f>Data!DN78</f>
        <v>45637</v>
      </c>
      <c r="DO38" s="69">
        <f>DN38</f>
        <v>45637</v>
      </c>
      <c r="DP38" s="70">
        <f>Data!DP78</f>
        <v>44354</v>
      </c>
      <c r="DQ38" s="70">
        <f>Data!DQ78</f>
        <v>41335</v>
      </c>
      <c r="DR38" s="196">
        <f>DQ38+CFLO!DR40+CFLO!DR41</f>
        <v>41335</v>
      </c>
      <c r="DS38" s="196">
        <f>DR38+CFLO!DS40+CFLO!DS41</f>
        <v>41335</v>
      </c>
      <c r="DT38" s="69">
        <f>DS38</f>
        <v>41335</v>
      </c>
      <c r="DU38" s="196">
        <f>DT38+CFLO!DU40+CFLO!DU41</f>
        <v>37035</v>
      </c>
      <c r="DV38" s="196">
        <f>DU38+CFLO!DV40+CFLO!DV41</f>
        <v>37035</v>
      </c>
      <c r="DW38" s="196">
        <f>DV38+CFLO!DW40+CFLO!DW41</f>
        <v>37035</v>
      </c>
      <c r="DX38" s="196">
        <f>DW38+CFLO!DX40+CFLO!DX41</f>
        <v>37035</v>
      </c>
      <c r="DY38" s="69">
        <f>DX38</f>
        <v>37035</v>
      </c>
      <c r="DZ38" s="197">
        <f>DY38+CFLO!DZ40+CFLO!DZ41</f>
        <v>35035</v>
      </c>
      <c r="EA38" s="197">
        <f>DZ38+CFLO!EA40+CFLO!EA41</f>
        <v>34035</v>
      </c>
      <c r="EB38" s="197">
        <f>EA38+CFLO!EB40+CFLO!EB41</f>
        <v>34035</v>
      </c>
    </row>
    <row r="39" spans="2:132">
      <c r="B39" s="74" t="s">
        <v>138</v>
      </c>
      <c r="C39" s="193">
        <f>SUM(C33:C38)</f>
        <v>25071</v>
      </c>
      <c r="D39" s="193">
        <f t="shared" ref="D39:AW39" si="206">SUM(D33:D38)</f>
        <v>24356</v>
      </c>
      <c r="E39" s="193">
        <f t="shared" si="206"/>
        <v>24685</v>
      </c>
      <c r="F39" s="193">
        <f t="shared" si="206"/>
        <v>31008</v>
      </c>
      <c r="G39" s="193">
        <f t="shared" si="206"/>
        <v>37518</v>
      </c>
      <c r="H39" s="193">
        <f t="shared" si="206"/>
        <v>44646</v>
      </c>
      <c r="I39" s="193">
        <f t="shared" si="206"/>
        <v>44896</v>
      </c>
      <c r="J39" s="74">
        <f t="shared" si="206"/>
        <v>44941</v>
      </c>
      <c r="K39" s="74">
        <f t="shared" si="206"/>
        <v>45334</v>
      </c>
      <c r="L39" s="74">
        <f t="shared" si="206"/>
        <v>45846</v>
      </c>
      <c r="M39" s="74">
        <f t="shared" si="206"/>
        <v>42677</v>
      </c>
      <c r="N39" s="193">
        <f>SUM(N33:N38)</f>
        <v>42677</v>
      </c>
      <c r="O39" s="74">
        <f t="shared" si="206"/>
        <v>45236</v>
      </c>
      <c r="P39" s="74">
        <f t="shared" si="206"/>
        <v>45362</v>
      </c>
      <c r="Q39" s="74">
        <f t="shared" si="206"/>
        <v>48895</v>
      </c>
      <c r="R39" s="74">
        <f t="shared" si="206"/>
        <v>48999</v>
      </c>
      <c r="S39" s="193">
        <f t="shared" si="206"/>
        <v>48999</v>
      </c>
      <c r="T39" s="74">
        <f t="shared" si="206"/>
        <v>49891</v>
      </c>
      <c r="U39" s="74">
        <f t="shared" si="206"/>
        <v>50900</v>
      </c>
      <c r="V39" s="74">
        <f t="shared" si="206"/>
        <v>50432</v>
      </c>
      <c r="W39" s="74">
        <f t="shared" si="206"/>
        <v>47055</v>
      </c>
      <c r="X39" s="193">
        <f t="shared" si="206"/>
        <v>47055</v>
      </c>
      <c r="Y39" s="74">
        <f t="shared" si="206"/>
        <v>45945</v>
      </c>
      <c r="Z39" s="74">
        <f t="shared" si="206"/>
        <v>48029</v>
      </c>
      <c r="AA39" s="74">
        <f t="shared" si="206"/>
        <v>48381</v>
      </c>
      <c r="AB39" s="74">
        <f t="shared" si="206"/>
        <v>49982</v>
      </c>
      <c r="AC39" s="193">
        <f t="shared" si="206"/>
        <v>49982</v>
      </c>
      <c r="AD39" s="74">
        <f t="shared" si="206"/>
        <v>51294</v>
      </c>
      <c r="AE39" s="74">
        <f t="shared" si="206"/>
        <v>49916</v>
      </c>
      <c r="AF39" s="74">
        <f t="shared" si="206"/>
        <v>47805</v>
      </c>
      <c r="AG39" s="74">
        <f t="shared" si="206"/>
        <v>55073</v>
      </c>
      <c r="AH39" s="193">
        <f t="shared" si="206"/>
        <v>55073</v>
      </c>
      <c r="AI39" s="74">
        <f t="shared" si="206"/>
        <v>55849</v>
      </c>
      <c r="AJ39" s="74">
        <f t="shared" si="206"/>
        <v>57378</v>
      </c>
      <c r="AK39" s="74">
        <f t="shared" si="206"/>
        <v>59544</v>
      </c>
      <c r="AL39" s="74">
        <f t="shared" si="206"/>
        <v>59828</v>
      </c>
      <c r="AM39" s="193">
        <f t="shared" si="206"/>
        <v>59828</v>
      </c>
      <c r="AN39" s="74">
        <f t="shared" si="206"/>
        <v>59931</v>
      </c>
      <c r="AO39" s="74">
        <f>SUM(AO33:AO38)</f>
        <v>60582</v>
      </c>
      <c r="AP39" s="74">
        <f>SUM(AP33:AP38)</f>
        <v>60670</v>
      </c>
      <c r="AQ39" s="74">
        <f>SUM(AQ33:AQ38)</f>
        <v>65703</v>
      </c>
      <c r="AR39" s="193">
        <f t="shared" si="206"/>
        <v>65703</v>
      </c>
      <c r="AS39" s="74">
        <f>SUM(AS33:AS38)</f>
        <v>64753</v>
      </c>
      <c r="AT39" s="74">
        <f>SUM(AT33:AT38)</f>
        <v>67295</v>
      </c>
      <c r="AU39" s="74">
        <f>SUM(AU33:AU38)</f>
        <v>68102</v>
      </c>
      <c r="AV39" s="74">
        <f>SUM(AV33:AV38)</f>
        <v>76378</v>
      </c>
      <c r="AW39" s="193">
        <f t="shared" si="206"/>
        <v>76378</v>
      </c>
      <c r="AX39" s="74">
        <f t="shared" ref="AX39:BG39" si="207">SUM(AX33:AX38)</f>
        <v>75085</v>
      </c>
      <c r="AY39" s="74">
        <f t="shared" si="207"/>
        <v>75703</v>
      </c>
      <c r="AZ39" s="74">
        <f t="shared" si="207"/>
        <v>75972</v>
      </c>
      <c r="BA39" s="74">
        <f>SUM(BA33:BA38)</f>
        <v>82929</v>
      </c>
      <c r="BB39" s="193">
        <f t="shared" si="207"/>
        <v>82929</v>
      </c>
      <c r="BC39" s="74">
        <f>SUM(BC33:BC38)</f>
        <v>82887</v>
      </c>
      <c r="BD39" s="74">
        <f>SUM(BD33:BD38)</f>
        <v>84459</v>
      </c>
      <c r="BE39" s="74">
        <f>SUM(BE33:BE38)</f>
        <v>85566</v>
      </c>
      <c r="BF39" s="74">
        <f>SUM(BF33:BF38)</f>
        <v>77666</v>
      </c>
      <c r="BG39" s="193">
        <f t="shared" si="207"/>
        <v>77666</v>
      </c>
      <c r="BH39" s="74">
        <f>SUM(BH33:BH38)</f>
        <v>76942</v>
      </c>
      <c r="BI39" s="74">
        <f>SUM(BI33:BI38)</f>
        <v>78553</v>
      </c>
      <c r="BJ39" s="74">
        <f>SUM(BJ33:BJ38)</f>
        <v>78016</v>
      </c>
      <c r="BK39" s="74">
        <f>SUM(BK33:BK38)</f>
        <v>90408</v>
      </c>
      <c r="BL39" s="193">
        <f t="shared" ref="BL39" si="208">SUM(BL33:BL38)</f>
        <v>90408</v>
      </c>
      <c r="BM39" s="74">
        <f>SUM(BM33:BM38)</f>
        <v>89745</v>
      </c>
      <c r="BN39" s="74">
        <f>SUM(BN33:BN38)</f>
        <v>91795</v>
      </c>
      <c r="BO39" s="74">
        <f>SUM(BO33:BO38)</f>
        <v>92212</v>
      </c>
      <c r="BP39" s="74">
        <f>SUM(BP33:BP38)</f>
        <v>88011</v>
      </c>
      <c r="BQ39" s="193">
        <f t="shared" ref="BQ39" si="209">SUM(BQ33:BQ38)</f>
        <v>88011</v>
      </c>
      <c r="BR39" s="74">
        <f>SUM(BR33:BR38)</f>
        <v>87441</v>
      </c>
      <c r="BS39" s="74">
        <f>SUM(BS33:BS38)</f>
        <v>88962</v>
      </c>
      <c r="BT39" s="74">
        <f>SUM(BT33:BT38)</f>
        <v>86800</v>
      </c>
      <c r="BU39" s="74">
        <f>SUM(BU33:BU38)</f>
        <v>89120</v>
      </c>
      <c r="BV39" s="193">
        <f t="shared" ref="BV39" si="210">SUM(BV33:BV38)</f>
        <v>89120</v>
      </c>
      <c r="BW39" s="74">
        <f>SUM(BW33:BW38)</f>
        <v>89518</v>
      </c>
      <c r="BX39" s="74">
        <f>SUM(BX33:BX38)</f>
        <v>92014</v>
      </c>
      <c r="BY39" s="74">
        <f>SUM(BY33:BY38)</f>
        <v>89862</v>
      </c>
      <c r="BZ39" s="74">
        <f>SUM(BZ33:BZ38)</f>
        <v>91921</v>
      </c>
      <c r="CA39" s="193">
        <f t="shared" ref="CA39:CF39" si="211">SUM(CA33:CA38)</f>
        <v>91921</v>
      </c>
      <c r="CB39" s="74">
        <f>SUM(CB33:CB38)</f>
        <v>112251</v>
      </c>
      <c r="CC39" s="74">
        <f>SUM(CC33:CC38)</f>
        <v>114569</v>
      </c>
      <c r="CD39" s="74">
        <f>SUM(CD33:CD38)</f>
        <v>115868</v>
      </c>
      <c r="CE39" s="74">
        <f>SUM(CE33:CE38)</f>
        <v>116949</v>
      </c>
      <c r="CF39" s="193">
        <f t="shared" si="211"/>
        <v>116949</v>
      </c>
      <c r="CG39" s="74">
        <f>SUM(CG33:CG38)</f>
        <v>119977</v>
      </c>
      <c r="CH39" s="74">
        <f>SUM(CH33:CH38)</f>
        <v>131204</v>
      </c>
      <c r="CI39" s="74">
        <f>SUM(CI33:CI38)</f>
        <v>136407</v>
      </c>
      <c r="CJ39" s="74">
        <f>SUM(CJ33:CJ38)</f>
        <v>141925</v>
      </c>
      <c r="CK39" s="193">
        <f t="shared" ref="CK39" si="212">SUM(CK33:CK38)</f>
        <v>141925</v>
      </c>
      <c r="CL39" s="74">
        <f>SUM(CL33:CL38)</f>
        <v>152435</v>
      </c>
      <c r="CM39" s="74">
        <f>SUM(CM33:CM38)</f>
        <v>174254</v>
      </c>
      <c r="CN39" s="74">
        <f>SUM(CN33:CN38)</f>
        <v>172814</v>
      </c>
      <c r="CO39" s="74">
        <f>SUM(CO33:CO38)</f>
        <v>170211</v>
      </c>
      <c r="CP39" s="193">
        <f t="shared" ref="CP39" si="213">SUM(CP33:CP38)</f>
        <v>170211</v>
      </c>
      <c r="CQ39" s="74">
        <f>SUM(CQ33:CQ38)</f>
        <v>167876</v>
      </c>
      <c r="CR39" s="74">
        <f>SUM(CR33:CR38)</f>
        <v>165420</v>
      </c>
      <c r="CS39" s="74">
        <f>SUM(CS33:CS38)</f>
        <v>161112</v>
      </c>
      <c r="CT39" s="74">
        <f>SUM(CT33:CT38)</f>
        <v>153398</v>
      </c>
      <c r="CU39" s="193">
        <f t="shared" ref="CU39" si="214">SUM(CU33:CU38)</f>
        <v>153398</v>
      </c>
      <c r="CV39" s="74">
        <f>SUM(CV33:CV38)</f>
        <v>151069</v>
      </c>
      <c r="CW39" s="74">
        <f>SUM(CW33:CW38)</f>
        <v>150270</v>
      </c>
      <c r="CX39" s="74">
        <f>SUM(CX33:CX38)</f>
        <v>155193</v>
      </c>
      <c r="CY39" s="74">
        <f>SUM(CY33:CY38)</f>
        <v>152948</v>
      </c>
      <c r="CZ39" s="193">
        <f t="shared" ref="CZ39" si="215">SUM(CZ33:CZ38)</f>
        <v>152948</v>
      </c>
      <c r="DA39" s="74">
        <f t="shared" ref="DA39:DE39" si="216">SUM(DA33:DA38)</f>
        <v>151831</v>
      </c>
      <c r="DB39" s="74">
        <f>SUM(DB33:DB38)</f>
        <v>150267</v>
      </c>
      <c r="DC39" s="74">
        <f>SUM(DC33:DC38)</f>
        <v>150998</v>
      </c>
      <c r="DD39" s="74">
        <f>SUM(DD33:DD38)</f>
        <v>154240</v>
      </c>
      <c r="DE39" s="193">
        <f t="shared" si="216"/>
        <v>154240</v>
      </c>
      <c r="DF39" s="74">
        <f t="shared" ref="DF39" si="217">SUM(DF33:DF38)</f>
        <v>151500</v>
      </c>
      <c r="DG39" s="74">
        <f>SUM(DG33:DG38)</f>
        <v>160702</v>
      </c>
      <c r="DH39" s="74">
        <f>SUM(DH33:DH38)</f>
        <v>161257</v>
      </c>
      <c r="DI39" s="74">
        <f>SUM(DI33:DI38)</f>
        <v>160277</v>
      </c>
      <c r="DJ39" s="193">
        <f t="shared" ref="DJ39:DK39" si="218">SUM(DJ33:DJ38)</f>
        <v>160277</v>
      </c>
      <c r="DK39" s="74">
        <f t="shared" si="218"/>
        <v>159819</v>
      </c>
      <c r="DL39" s="74">
        <f>SUM(DL33:DL38)</f>
        <v>158416</v>
      </c>
      <c r="DM39" s="74">
        <f>SUM(DM33:DM38)</f>
        <v>158276</v>
      </c>
      <c r="DN39" s="74">
        <f>SUM(DN33:DN38)</f>
        <v>162778</v>
      </c>
      <c r="DO39" s="193">
        <f t="shared" ref="DO39:DP39" si="219">SUM(DO33:DO38)</f>
        <v>162778</v>
      </c>
      <c r="DP39" s="74">
        <f t="shared" si="219"/>
        <v>158800</v>
      </c>
      <c r="DQ39" s="74">
        <f>SUM(DQ33:DQ38)</f>
        <v>159755</v>
      </c>
      <c r="DR39" s="74">
        <f t="shared" ref="DR39:DU39" si="220">SUM(DR33:DR38)</f>
        <v>156431.30554244434</v>
      </c>
      <c r="DS39" s="74">
        <f t="shared" si="220"/>
        <v>156724.00211504061</v>
      </c>
      <c r="DT39" s="193">
        <f t="shared" si="220"/>
        <v>156724.00211504061</v>
      </c>
      <c r="DU39" s="74">
        <f t="shared" si="220"/>
        <v>152062.39779649267</v>
      </c>
      <c r="DV39" s="74">
        <f t="shared" ref="DV39:DY39" si="221">SUM(DV33:DV38)</f>
        <v>152268.31631439106</v>
      </c>
      <c r="DW39" s="74">
        <f t="shared" si="221"/>
        <v>152368.45966091834</v>
      </c>
      <c r="DX39" s="74">
        <f t="shared" si="221"/>
        <v>152982.93357888062</v>
      </c>
      <c r="DY39" s="193">
        <f t="shared" si="221"/>
        <v>152982.93357888062</v>
      </c>
      <c r="DZ39" s="193">
        <f t="shared" ref="DZ39:EB39" si="222">SUM(DZ33:DZ38)</f>
        <v>149065.57473806635</v>
      </c>
      <c r="EA39" s="193">
        <f t="shared" si="222"/>
        <v>147565.22654740495</v>
      </c>
      <c r="EB39" s="193">
        <f t="shared" si="222"/>
        <v>146505.76810401276</v>
      </c>
    </row>
    <row r="40" spans="2:132">
      <c r="B40" s="68" t="s">
        <v>74</v>
      </c>
      <c r="C40" s="67">
        <f>Data!C80</f>
        <v>5000</v>
      </c>
      <c r="D40" s="67">
        <f>Data!D80</f>
        <v>5059</v>
      </c>
      <c r="E40" s="67">
        <f>Data!E80</f>
        <v>5059</v>
      </c>
      <c r="F40" s="67">
        <f>Data!F80</f>
        <v>5059</v>
      </c>
      <c r="G40" s="67">
        <f>Data!G80</f>
        <v>5059</v>
      </c>
      <c r="H40" s="67">
        <f>Data!H80</f>
        <v>5059</v>
      </c>
      <c r="I40" s="67">
        <f>Data!I80</f>
        <v>5059</v>
      </c>
      <c r="J40" s="68">
        <f>Data!J80</f>
        <v>5059</v>
      </c>
      <c r="K40" s="68">
        <f>Data!K80</f>
        <v>5059</v>
      </c>
      <c r="L40" s="68">
        <f>Data!L80</f>
        <v>5059</v>
      </c>
      <c r="M40" s="68">
        <f>Data!M80</f>
        <v>5059</v>
      </c>
      <c r="N40" s="67">
        <f t="shared" ref="N40:N45" si="223">M40</f>
        <v>5059</v>
      </c>
      <c r="O40" s="68">
        <f>Data!O80</f>
        <v>5059</v>
      </c>
      <c r="P40" s="68">
        <f>Data!P80</f>
        <v>5059</v>
      </c>
      <c r="Q40" s="68">
        <f>Data!Q80</f>
        <v>5061</v>
      </c>
      <c r="R40" s="68">
        <f>Data!R80</f>
        <v>5061</v>
      </c>
      <c r="S40" s="67">
        <f t="shared" si="105"/>
        <v>5061</v>
      </c>
      <c r="T40" s="68">
        <f>Data!T80</f>
        <v>5061</v>
      </c>
      <c r="U40" s="68">
        <f>Data!U80</f>
        <v>5061</v>
      </c>
      <c r="V40" s="68">
        <f>Data!V80</f>
        <v>5061</v>
      </c>
      <c r="W40" s="68">
        <f>Data!W80</f>
        <v>5061</v>
      </c>
      <c r="X40" s="67">
        <f t="shared" si="106"/>
        <v>5061</v>
      </c>
      <c r="Y40" s="68">
        <f>Data!Y80</f>
        <v>5061</v>
      </c>
      <c r="Z40" s="68">
        <f>Data!Z80</f>
        <v>5061</v>
      </c>
      <c r="AA40" s="68">
        <f>Data!AA80</f>
        <v>5061</v>
      </c>
      <c r="AB40" s="68">
        <f>Data!AB80</f>
        <v>5061</v>
      </c>
      <c r="AC40" s="67">
        <f t="shared" si="107"/>
        <v>5061</v>
      </c>
      <c r="AD40" s="68">
        <f>Data!AD80</f>
        <v>5061</v>
      </c>
      <c r="AE40" s="68">
        <f>Data!AE80</f>
        <v>5061</v>
      </c>
      <c r="AF40" s="68">
        <f>Data!AF80</f>
        <v>5061</v>
      </c>
      <c r="AG40" s="68">
        <f>Data!AG80</f>
        <v>5061</v>
      </c>
      <c r="AH40" s="67">
        <f t="shared" si="108"/>
        <v>5061</v>
      </c>
      <c r="AI40" s="68">
        <f>Data!AI80</f>
        <v>5061</v>
      </c>
      <c r="AJ40" s="68">
        <f>Data!AJ80</f>
        <v>5061</v>
      </c>
      <c r="AK40" s="68">
        <f>Data!AK80</f>
        <v>5061</v>
      </c>
      <c r="AL40" s="68">
        <f>Data!AL80</f>
        <v>5061</v>
      </c>
      <c r="AM40" s="67">
        <f t="shared" ref="AM40:AM45" si="224">AL40</f>
        <v>5061</v>
      </c>
      <c r="AN40" s="241">
        <f>Data!AN80</f>
        <v>5061</v>
      </c>
      <c r="AO40" s="241">
        <f>Data!AO80</f>
        <v>5061</v>
      </c>
      <c r="AP40" s="241">
        <f>Data!AP80</f>
        <v>5061</v>
      </c>
      <c r="AQ40" s="241">
        <f>Data!AQ80</f>
        <v>5061</v>
      </c>
      <c r="AR40" s="67">
        <f t="shared" ref="AR40:AR45" si="225">AQ40</f>
        <v>5061</v>
      </c>
      <c r="AS40" s="241">
        <f>Data!AS80</f>
        <v>5061</v>
      </c>
      <c r="AT40" s="241">
        <f>Data!AT80</f>
        <v>5061</v>
      </c>
      <c r="AU40" s="121">
        <f>Data!AU80</f>
        <v>5061</v>
      </c>
      <c r="AV40" s="121">
        <f>Data!AV80</f>
        <v>5061</v>
      </c>
      <c r="AW40" s="67">
        <f t="shared" si="111"/>
        <v>5061</v>
      </c>
      <c r="AX40" s="121">
        <f>Data!AX80</f>
        <v>5061</v>
      </c>
      <c r="AY40" s="121">
        <f>Data!AY80</f>
        <v>5061</v>
      </c>
      <c r="AZ40" s="121">
        <f>Data!AZ80</f>
        <v>5061</v>
      </c>
      <c r="BA40" s="121">
        <f>Data!BA80</f>
        <v>5061</v>
      </c>
      <c r="BB40" s="67">
        <f t="shared" si="112"/>
        <v>5061</v>
      </c>
      <c r="BC40" s="121">
        <f>Data!BC80</f>
        <v>5061</v>
      </c>
      <c r="BD40" s="121">
        <f>Data!BD80</f>
        <v>5061</v>
      </c>
      <c r="BE40" s="121">
        <f>Data!BE80</f>
        <v>5061</v>
      </c>
      <c r="BF40" s="121">
        <f>Data!BF80</f>
        <v>5061</v>
      </c>
      <c r="BG40" s="67">
        <f t="shared" si="113"/>
        <v>5061</v>
      </c>
      <c r="BH40" s="121">
        <f>Data!BH80</f>
        <v>5061</v>
      </c>
      <c r="BI40" s="121">
        <f>Data!BI80</f>
        <v>5061</v>
      </c>
      <c r="BJ40" s="121">
        <f>Data!BJ80</f>
        <v>5061</v>
      </c>
      <c r="BK40" s="121">
        <f>Data!BK80</f>
        <v>5061</v>
      </c>
      <c r="BL40" s="67">
        <f t="shared" si="114"/>
        <v>5061</v>
      </c>
      <c r="BM40" s="121">
        <f>Data!BM80</f>
        <v>5061</v>
      </c>
      <c r="BN40" s="121">
        <f>Data!BN80</f>
        <v>5061</v>
      </c>
      <c r="BO40" s="121">
        <f>Data!BO80</f>
        <v>5061</v>
      </c>
      <c r="BP40" s="121">
        <f>Data!BP80</f>
        <v>5061</v>
      </c>
      <c r="BQ40" s="67">
        <f t="shared" si="115"/>
        <v>5061</v>
      </c>
      <c r="BR40" s="121">
        <f>Data!BR80</f>
        <v>5061</v>
      </c>
      <c r="BS40" s="121">
        <f>Data!BS80</f>
        <v>5061</v>
      </c>
      <c r="BT40" s="121">
        <f>Data!BT80</f>
        <v>5061</v>
      </c>
      <c r="BU40" s="121">
        <f>Data!BU80</f>
        <v>5061</v>
      </c>
      <c r="BV40" s="67">
        <f t="shared" si="116"/>
        <v>5061</v>
      </c>
      <c r="BW40" s="121">
        <f>Data!BW80</f>
        <v>5061</v>
      </c>
      <c r="BX40" s="121">
        <f>Data!BX80</f>
        <v>5061</v>
      </c>
      <c r="BY40" s="121">
        <f>Data!BY80</f>
        <v>5061</v>
      </c>
      <c r="BZ40" s="121">
        <f>Data!BZ80</f>
        <v>5061</v>
      </c>
      <c r="CA40" s="67">
        <f t="shared" ref="CA40:CA45" si="226">BZ40</f>
        <v>5061</v>
      </c>
      <c r="CB40" s="121">
        <f>Data!CB80</f>
        <v>5061</v>
      </c>
      <c r="CC40" s="121">
        <f>Data!CC80</f>
        <v>5061</v>
      </c>
      <c r="CD40" s="121">
        <f>Data!CD80</f>
        <v>5061</v>
      </c>
      <c r="CE40" s="121">
        <f>Data!CE80</f>
        <v>5061</v>
      </c>
      <c r="CF40" s="67">
        <f t="shared" ref="CF40:CF45" si="227">CE40</f>
        <v>5061</v>
      </c>
      <c r="CG40" s="121">
        <f>Data!CG80</f>
        <v>5061</v>
      </c>
      <c r="CH40" s="121">
        <f>Data!CH80</f>
        <v>5061</v>
      </c>
      <c r="CI40" s="121">
        <f>Data!CI80</f>
        <v>5061</v>
      </c>
      <c r="CJ40" s="121">
        <f>Data!CJ80</f>
        <v>5061</v>
      </c>
      <c r="CK40" s="67">
        <f t="shared" ref="CK40:CK45" si="228">CJ40</f>
        <v>5061</v>
      </c>
      <c r="CL40" s="121">
        <f>Data!CL80</f>
        <v>5061</v>
      </c>
      <c r="CM40" s="121">
        <f>Data!CM80</f>
        <v>5061</v>
      </c>
      <c r="CN40" s="121">
        <f>Data!CN80</f>
        <v>5061</v>
      </c>
      <c r="CO40" s="121">
        <f>Data!CO80</f>
        <v>5061</v>
      </c>
      <c r="CP40" s="120">
        <f t="shared" ref="CP40:CP45" si="229">CO40</f>
        <v>5061</v>
      </c>
      <c r="CQ40" s="121">
        <f>Data!CQ80</f>
        <v>5061</v>
      </c>
      <c r="CR40" s="121">
        <f>Data!CR80</f>
        <v>5061</v>
      </c>
      <c r="CS40" s="121">
        <f>Data!CS80</f>
        <v>5061</v>
      </c>
      <c r="CT40" s="121">
        <f>Data!CT80</f>
        <v>5061</v>
      </c>
      <c r="CU40" s="120">
        <f t="shared" ref="CU40:CU45" si="230">CT40</f>
        <v>5061</v>
      </c>
      <c r="CV40" s="121">
        <f>Data!CV80</f>
        <v>5061</v>
      </c>
      <c r="CW40" s="121">
        <f>Data!CW80</f>
        <v>5061</v>
      </c>
      <c r="CX40" s="121">
        <f>Data!CX80</f>
        <v>5061</v>
      </c>
      <c r="CY40" s="121">
        <f>Data!CY80</f>
        <v>5061</v>
      </c>
      <c r="CZ40" s="120">
        <f t="shared" ref="CZ40:CZ45" si="231">CY40</f>
        <v>5061</v>
      </c>
      <c r="DA40" s="121">
        <f>Data!DA80</f>
        <v>5061</v>
      </c>
      <c r="DB40" s="121">
        <f>Data!DB80</f>
        <v>5061</v>
      </c>
      <c r="DC40" s="121">
        <f>Data!DC80</f>
        <v>5061</v>
      </c>
      <c r="DD40" s="121">
        <f>Data!DD80</f>
        <v>5061</v>
      </c>
      <c r="DE40" s="120">
        <f t="shared" ref="DE40:DO45" si="232">DD40</f>
        <v>5061</v>
      </c>
      <c r="DF40" s="121">
        <f>Data!DF80</f>
        <v>5061</v>
      </c>
      <c r="DG40" s="121">
        <f>Data!DG80</f>
        <v>5061</v>
      </c>
      <c r="DH40" s="121">
        <f>Data!DH80</f>
        <v>5061</v>
      </c>
      <c r="DI40" s="121">
        <f>Data!DI80</f>
        <v>5061</v>
      </c>
      <c r="DJ40" s="120">
        <f t="shared" si="232"/>
        <v>5061</v>
      </c>
      <c r="DK40" s="121">
        <f>Data!DK80</f>
        <v>5061</v>
      </c>
      <c r="DL40" s="121">
        <f>Data!DL80</f>
        <v>5061</v>
      </c>
      <c r="DM40" s="121">
        <f>Data!DM80</f>
        <v>5061</v>
      </c>
      <c r="DN40" s="121">
        <f>Data!DN80</f>
        <v>5061</v>
      </c>
      <c r="DO40" s="120">
        <f t="shared" si="232"/>
        <v>5061</v>
      </c>
      <c r="DP40" s="121">
        <f>Data!DP80</f>
        <v>5061</v>
      </c>
      <c r="DQ40" s="121">
        <f>Data!DQ80</f>
        <v>5061</v>
      </c>
      <c r="DR40" s="179">
        <f t="shared" ref="DR40:DR41" si="233">DQ40</f>
        <v>5061</v>
      </c>
      <c r="DS40" s="179">
        <f t="shared" ref="DS40:DS41" si="234">DR40</f>
        <v>5061</v>
      </c>
      <c r="DT40" s="120">
        <f t="shared" ref="DT40:DT45" si="235">DS40</f>
        <v>5061</v>
      </c>
      <c r="DU40" s="179">
        <f t="shared" ref="DU40:DU41" si="236">DT40</f>
        <v>5061</v>
      </c>
      <c r="DV40" s="179">
        <f t="shared" ref="DV40:DV41" si="237">DU40</f>
        <v>5061</v>
      </c>
      <c r="DW40" s="179">
        <f t="shared" ref="DW40:DW41" si="238">DV40</f>
        <v>5061</v>
      </c>
      <c r="DX40" s="179">
        <f t="shared" ref="DX40:DX41" si="239">DW40</f>
        <v>5061</v>
      </c>
      <c r="DY40" s="120">
        <f t="shared" ref="DY40:DY45" si="240">DX40</f>
        <v>5061</v>
      </c>
      <c r="DZ40" s="180">
        <f t="shared" ref="DZ40:DZ41" si="241">DY40</f>
        <v>5061</v>
      </c>
      <c r="EA40" s="180">
        <f t="shared" ref="EA40:EA41" si="242">DZ40</f>
        <v>5061</v>
      </c>
      <c r="EB40" s="180">
        <f t="shared" ref="EB40:EB41" si="243">EA40</f>
        <v>5061</v>
      </c>
    </row>
    <row r="41" spans="2:132">
      <c r="B41" s="68" t="s">
        <v>75</v>
      </c>
      <c r="C41" s="67">
        <f>Data!C81</f>
        <v>1090</v>
      </c>
      <c r="D41" s="67">
        <f>Data!D81</f>
        <v>1147</v>
      </c>
      <c r="E41" s="67">
        <f>Data!E81</f>
        <v>1684</v>
      </c>
      <c r="F41" s="67">
        <f>Data!F81</f>
        <v>2693</v>
      </c>
      <c r="G41" s="67">
        <f>Data!G81</f>
        <v>1975</v>
      </c>
      <c r="H41" s="67">
        <f>Data!H81</f>
        <v>2141</v>
      </c>
      <c r="I41" s="67">
        <f>Data!I81</f>
        <v>2880</v>
      </c>
      <c r="J41" s="68">
        <f>Data!J81</f>
        <v>2846</v>
      </c>
      <c r="K41" s="68">
        <f>Data!K81</f>
        <v>3212</v>
      </c>
      <c r="L41" s="68">
        <f>Data!L81</f>
        <v>3272</v>
      </c>
      <c r="M41" s="68">
        <f>Data!M81</f>
        <v>3420</v>
      </c>
      <c r="N41" s="67">
        <f t="shared" si="223"/>
        <v>3420</v>
      </c>
      <c r="O41" s="68">
        <f>Data!O81</f>
        <v>3696</v>
      </c>
      <c r="P41" s="68">
        <f>Data!P81</f>
        <v>4009</v>
      </c>
      <c r="Q41" s="68">
        <f>Data!Q81</f>
        <v>3840</v>
      </c>
      <c r="R41" s="68">
        <f>Data!R81</f>
        <v>4371</v>
      </c>
      <c r="S41" s="67">
        <f t="shared" si="105"/>
        <v>4371</v>
      </c>
      <c r="T41" s="68">
        <f>Data!T81</f>
        <v>4643</v>
      </c>
      <c r="U41" s="68">
        <f>Data!U81</f>
        <v>4564</v>
      </c>
      <c r="V41" s="68">
        <f>Data!V81</f>
        <v>4313</v>
      </c>
      <c r="W41" s="68">
        <f>Data!W81</f>
        <v>4655</v>
      </c>
      <c r="X41" s="67">
        <f t="shared" si="106"/>
        <v>4655</v>
      </c>
      <c r="Y41" s="68">
        <f>Data!Y81</f>
        <v>4691</v>
      </c>
      <c r="Z41" s="68">
        <f>Data!Z81</f>
        <v>4899</v>
      </c>
      <c r="AA41" s="68">
        <f>Data!AA81</f>
        <v>5242</v>
      </c>
      <c r="AB41" s="68">
        <f>Data!AB81</f>
        <v>4757</v>
      </c>
      <c r="AC41" s="67">
        <f t="shared" si="107"/>
        <v>4757</v>
      </c>
      <c r="AD41" s="68">
        <f>Data!AD81</f>
        <v>4357</v>
      </c>
      <c r="AE41" s="68">
        <f>Data!AE81</f>
        <v>4093</v>
      </c>
      <c r="AF41" s="68">
        <f>Data!AF81</f>
        <v>3792</v>
      </c>
      <c r="AG41" s="68">
        <f>Data!AG81</f>
        <v>3456</v>
      </c>
      <c r="AH41" s="67">
        <f t="shared" si="108"/>
        <v>3456</v>
      </c>
      <c r="AI41" s="68">
        <f>Data!AI81</f>
        <v>3289</v>
      </c>
      <c r="AJ41" s="68">
        <f>Data!AJ81</f>
        <v>3561</v>
      </c>
      <c r="AK41" s="68">
        <f>Data!AK81</f>
        <v>3956</v>
      </c>
      <c r="AL41" s="68">
        <f>Data!AL81</f>
        <v>3724</v>
      </c>
      <c r="AM41" s="67">
        <f t="shared" si="224"/>
        <v>3724</v>
      </c>
      <c r="AN41" s="241">
        <f>Data!AN81</f>
        <v>4264</v>
      </c>
      <c r="AO41" s="241">
        <f>Data!AO81</f>
        <v>3832</v>
      </c>
      <c r="AP41" s="241">
        <f>Data!AP81</f>
        <v>3826</v>
      </c>
      <c r="AQ41" s="241">
        <f>Data!AQ81</f>
        <v>3866</v>
      </c>
      <c r="AR41" s="67">
        <f t="shared" si="225"/>
        <v>3866</v>
      </c>
      <c r="AS41" s="241">
        <f>Data!AS81</f>
        <v>3903</v>
      </c>
      <c r="AT41" s="241">
        <f>Data!AT81</f>
        <v>3945</v>
      </c>
      <c r="AU41" s="121">
        <f>Data!AU81</f>
        <v>3988</v>
      </c>
      <c r="AV41" s="121">
        <f>Data!AV81</f>
        <v>4033</v>
      </c>
      <c r="AW41" s="67">
        <f t="shared" si="111"/>
        <v>4033</v>
      </c>
      <c r="AX41" s="121">
        <f>Data!AX81</f>
        <v>3977</v>
      </c>
      <c r="AY41" s="121">
        <f>Data!AY81</f>
        <v>4018</v>
      </c>
      <c r="AZ41" s="121">
        <f>Data!AZ81</f>
        <v>4068</v>
      </c>
      <c r="BA41" s="121">
        <f>Data!BA81</f>
        <v>4122</v>
      </c>
      <c r="BB41" s="67">
        <f t="shared" si="112"/>
        <v>4122</v>
      </c>
      <c r="BC41" s="121">
        <f>Data!BC81</f>
        <v>4079</v>
      </c>
      <c r="BD41" s="121">
        <f>Data!BD81</f>
        <v>4181</v>
      </c>
      <c r="BE41" s="121">
        <f>Data!BE81</f>
        <v>4295</v>
      </c>
      <c r="BF41" s="121">
        <f>Data!BF81</f>
        <v>4415</v>
      </c>
      <c r="BG41" s="67">
        <f t="shared" si="113"/>
        <v>4415</v>
      </c>
      <c r="BH41" s="121">
        <f>Data!BH81</f>
        <v>4441</v>
      </c>
      <c r="BI41" s="121">
        <f>Data!BI81</f>
        <v>4524</v>
      </c>
      <c r="BJ41" s="121">
        <f>Data!BJ81</f>
        <v>4572</v>
      </c>
      <c r="BK41" s="121">
        <f>Data!BK81</f>
        <v>4625</v>
      </c>
      <c r="BL41" s="67">
        <f t="shared" si="114"/>
        <v>4625</v>
      </c>
      <c r="BM41" s="121">
        <f>Data!BM81</f>
        <v>4657</v>
      </c>
      <c r="BN41" s="121">
        <f>Data!BN81</f>
        <v>4721</v>
      </c>
      <c r="BO41" s="121">
        <f>Data!BO81</f>
        <v>4771</v>
      </c>
      <c r="BP41" s="121">
        <f>Data!BP81</f>
        <v>4834</v>
      </c>
      <c r="BQ41" s="67">
        <f t="shared" si="115"/>
        <v>4834</v>
      </c>
      <c r="BR41" s="121">
        <f>Data!BR81</f>
        <v>4784</v>
      </c>
      <c r="BS41" s="121">
        <f>Data!BS81</f>
        <v>4778</v>
      </c>
      <c r="BT41" s="121">
        <f>Data!BT81</f>
        <v>4808</v>
      </c>
      <c r="BU41" s="121">
        <f>Data!BU81</f>
        <v>4762</v>
      </c>
      <c r="BV41" s="67">
        <f t="shared" si="116"/>
        <v>4762</v>
      </c>
      <c r="BW41" s="121">
        <f>Data!BW81</f>
        <v>4604</v>
      </c>
      <c r="BX41" s="121">
        <f>Data!BX81</f>
        <v>4644</v>
      </c>
      <c r="BY41" s="121">
        <f>Data!BY81</f>
        <v>6754</v>
      </c>
      <c r="BZ41" s="121">
        <f>Data!BZ81</f>
        <v>6804</v>
      </c>
      <c r="CA41" s="67">
        <f t="shared" si="226"/>
        <v>6804</v>
      </c>
      <c r="CB41" s="121">
        <f>Data!CB81</f>
        <v>6624</v>
      </c>
      <c r="CC41" s="121">
        <f>Data!CC81</f>
        <v>6676</v>
      </c>
      <c r="CD41" s="121">
        <f>Data!CD81</f>
        <v>6714</v>
      </c>
      <c r="CE41" s="121">
        <f>Data!CE81</f>
        <v>6768</v>
      </c>
      <c r="CF41" s="67">
        <f t="shared" si="227"/>
        <v>6768</v>
      </c>
      <c r="CG41" s="121">
        <f>Data!CG81</f>
        <v>6573</v>
      </c>
      <c r="CH41" s="121">
        <f>Data!CH81</f>
        <v>6638</v>
      </c>
      <c r="CI41" s="121">
        <f>Data!CI81</f>
        <v>6688</v>
      </c>
      <c r="CJ41" s="121">
        <f>Data!CJ81</f>
        <v>6745</v>
      </c>
      <c r="CK41" s="67">
        <f t="shared" si="228"/>
        <v>6745</v>
      </c>
      <c r="CL41" s="121">
        <f>Data!CL81</f>
        <v>6595</v>
      </c>
      <c r="CM41" s="121">
        <f>Data!CM81</f>
        <v>6648</v>
      </c>
      <c r="CN41" s="121">
        <f>Data!CN81</f>
        <v>6687</v>
      </c>
      <c r="CO41" s="121">
        <f>Data!CO81</f>
        <v>7787</v>
      </c>
      <c r="CP41" s="120">
        <f t="shared" si="229"/>
        <v>7787</v>
      </c>
      <c r="CQ41" s="121">
        <f>Data!CQ81</f>
        <v>8155</v>
      </c>
      <c r="CR41" s="121">
        <f>Data!CR81</f>
        <v>8481</v>
      </c>
      <c r="CS41" s="121">
        <f>Data!CS81</f>
        <v>8796</v>
      </c>
      <c r="CT41" s="121">
        <f>Data!CT81</f>
        <v>9052</v>
      </c>
      <c r="CU41" s="120">
        <f t="shared" si="230"/>
        <v>9052</v>
      </c>
      <c r="CV41" s="121">
        <f>Data!CV81</f>
        <v>9295</v>
      </c>
      <c r="CW41" s="121">
        <f>Data!CW81</f>
        <v>9475</v>
      </c>
      <c r="CX41" s="121">
        <f>Data!CX81</f>
        <v>9705</v>
      </c>
      <c r="CY41" s="121">
        <f>Data!CY81</f>
        <v>9947</v>
      </c>
      <c r="CZ41" s="120">
        <f t="shared" si="231"/>
        <v>9947</v>
      </c>
      <c r="DA41" s="121">
        <f>Data!DA81</f>
        <v>10298</v>
      </c>
      <c r="DB41" s="121">
        <f>Data!DB81</f>
        <v>10310</v>
      </c>
      <c r="DC41" s="121">
        <f>Data!DC81</f>
        <v>10616</v>
      </c>
      <c r="DD41" s="121">
        <f>Data!DD81</f>
        <v>10309</v>
      </c>
      <c r="DE41" s="120">
        <f t="shared" si="232"/>
        <v>10309</v>
      </c>
      <c r="DF41" s="121">
        <f>Data!DF81</f>
        <v>10539</v>
      </c>
      <c r="DG41" s="121">
        <f>Data!DG81</f>
        <v>10727</v>
      </c>
      <c r="DH41" s="121">
        <f>Data!DH81</f>
        <v>10925</v>
      </c>
      <c r="DI41" s="121">
        <f>Data!DI81</f>
        <v>18964</v>
      </c>
      <c r="DJ41" s="120">
        <f t="shared" si="232"/>
        <v>18964</v>
      </c>
      <c r="DK41" s="121">
        <f>Data!DK81</f>
        <v>19008</v>
      </c>
      <c r="DL41" s="121">
        <f>Data!DL81</f>
        <v>19238</v>
      </c>
      <c r="DM41" s="121">
        <f>Data!DM81</f>
        <v>19218</v>
      </c>
      <c r="DN41" s="121">
        <f>Data!DN81</f>
        <v>21441</v>
      </c>
      <c r="DO41" s="120">
        <f t="shared" si="232"/>
        <v>21441</v>
      </c>
      <c r="DP41" s="121">
        <f>Data!DP81</f>
        <v>21671</v>
      </c>
      <c r="DQ41" s="121">
        <f>Data!DQ81</f>
        <v>21949</v>
      </c>
      <c r="DR41" s="179">
        <f t="shared" si="233"/>
        <v>21949</v>
      </c>
      <c r="DS41" s="179">
        <f t="shared" si="234"/>
        <v>21949</v>
      </c>
      <c r="DT41" s="120">
        <f t="shared" si="235"/>
        <v>21949</v>
      </c>
      <c r="DU41" s="179">
        <f t="shared" si="236"/>
        <v>21949</v>
      </c>
      <c r="DV41" s="179">
        <f t="shared" si="237"/>
        <v>21949</v>
      </c>
      <c r="DW41" s="179">
        <f t="shared" si="238"/>
        <v>21949</v>
      </c>
      <c r="DX41" s="179">
        <f t="shared" si="239"/>
        <v>21949</v>
      </c>
      <c r="DY41" s="120">
        <f t="shared" si="240"/>
        <v>21949</v>
      </c>
      <c r="DZ41" s="180">
        <f t="shared" si="241"/>
        <v>21949</v>
      </c>
      <c r="EA41" s="180">
        <f t="shared" si="242"/>
        <v>21949</v>
      </c>
      <c r="EB41" s="180">
        <f t="shared" si="243"/>
        <v>21949</v>
      </c>
    </row>
    <row r="42" spans="2:132">
      <c r="B42" s="68" t="s">
        <v>76</v>
      </c>
      <c r="C42" s="67">
        <f>Data!C82</f>
        <v>8147</v>
      </c>
      <c r="D42" s="67">
        <f>Data!D82</f>
        <v>8706</v>
      </c>
      <c r="E42" s="67">
        <f>Data!E82</f>
        <v>10487</v>
      </c>
      <c r="F42" s="67">
        <f>Data!F82</f>
        <v>12090</v>
      </c>
      <c r="G42" s="67">
        <f>Data!G82</f>
        <v>14340</v>
      </c>
      <c r="H42" s="67">
        <f>Data!H82</f>
        <v>14262</v>
      </c>
      <c r="I42" s="67">
        <f>Data!I82</f>
        <v>14407</v>
      </c>
      <c r="J42" s="68">
        <f>Data!J82</f>
        <v>15030</v>
      </c>
      <c r="K42" s="68">
        <f>Data!K82</f>
        <v>15300</v>
      </c>
      <c r="L42" s="68">
        <f>Data!L82</f>
        <v>15756</v>
      </c>
      <c r="M42" s="68">
        <f>Data!M82</f>
        <v>15565</v>
      </c>
      <c r="N42" s="67">
        <f t="shared" si="223"/>
        <v>15565</v>
      </c>
      <c r="O42" s="68">
        <f>Data!O82</f>
        <v>16101</v>
      </c>
      <c r="P42" s="68">
        <f>Data!P82</f>
        <v>16251</v>
      </c>
      <c r="Q42" s="68">
        <f>Data!Q82</f>
        <v>17264</v>
      </c>
      <c r="R42" s="68">
        <f>Data!R82</f>
        <v>17276</v>
      </c>
      <c r="S42" s="67">
        <f t="shared" si="105"/>
        <v>17276</v>
      </c>
      <c r="T42" s="68">
        <f>Data!T82</f>
        <v>17953</v>
      </c>
      <c r="U42" s="68">
        <f>Data!U82</f>
        <v>17293</v>
      </c>
      <c r="V42" s="68">
        <f>Data!V82</f>
        <v>17989</v>
      </c>
      <c r="W42" s="68">
        <f>Data!W82</f>
        <v>18453</v>
      </c>
      <c r="X42" s="67">
        <f t="shared" si="106"/>
        <v>18453</v>
      </c>
      <c r="Y42" s="68">
        <f>Data!Y82</f>
        <v>19319</v>
      </c>
      <c r="Z42" s="68">
        <f>Data!Z82</f>
        <v>19810</v>
      </c>
      <c r="AA42" s="68">
        <f>Data!AA82</f>
        <v>20920</v>
      </c>
      <c r="AB42" s="68">
        <f>Data!AB82</f>
        <v>21376</v>
      </c>
      <c r="AC42" s="67">
        <f t="shared" si="107"/>
        <v>21376</v>
      </c>
      <c r="AD42" s="68">
        <f>Data!AD82</f>
        <v>22409</v>
      </c>
      <c r="AE42" s="68">
        <f>Data!AE82</f>
        <v>22669</v>
      </c>
      <c r="AF42" s="68">
        <f>Data!AF82</f>
        <v>23360</v>
      </c>
      <c r="AG42" s="68">
        <f>Data!AG82</f>
        <v>22675</v>
      </c>
      <c r="AH42" s="67">
        <f t="shared" si="108"/>
        <v>22675</v>
      </c>
      <c r="AI42" s="68">
        <f>Data!AI82</f>
        <v>23284</v>
      </c>
      <c r="AJ42" s="68">
        <f>Data!AJ82</f>
        <v>23668</v>
      </c>
      <c r="AK42" s="68">
        <f>Data!AK82</f>
        <v>22104</v>
      </c>
      <c r="AL42" s="68">
        <f>Data!AL82</f>
        <v>22746</v>
      </c>
      <c r="AM42" s="67">
        <f t="shared" si="224"/>
        <v>22746</v>
      </c>
      <c r="AN42" s="241">
        <f>Data!AN82</f>
        <v>23265</v>
      </c>
      <c r="AO42" s="241">
        <f>Data!AO82</f>
        <v>23409</v>
      </c>
      <c r="AP42" s="241">
        <f>Data!AP82</f>
        <v>24244</v>
      </c>
      <c r="AQ42" s="241">
        <f>Data!AQ82</f>
        <v>24784</v>
      </c>
      <c r="AR42" s="67">
        <f t="shared" si="225"/>
        <v>24784</v>
      </c>
      <c r="AS42" s="241">
        <f>Data!AS82</f>
        <v>25370</v>
      </c>
      <c r="AT42" s="241">
        <f>Data!AT82</f>
        <v>25681</v>
      </c>
      <c r="AU42" s="121">
        <f>Data!AU82</f>
        <v>26779</v>
      </c>
      <c r="AV42" s="121">
        <f>Data!AV82</f>
        <v>27524</v>
      </c>
      <c r="AW42" s="67">
        <f t="shared" si="111"/>
        <v>27524</v>
      </c>
      <c r="AX42" s="121">
        <f>Data!AX82</f>
        <v>28447</v>
      </c>
      <c r="AY42" s="121">
        <f>Data!AY82</f>
        <v>28743</v>
      </c>
      <c r="AZ42" s="121">
        <f>Data!AZ82</f>
        <v>29775</v>
      </c>
      <c r="BA42" s="121">
        <f>Data!BA82</f>
        <v>30037</v>
      </c>
      <c r="BB42" s="67">
        <f t="shared" si="112"/>
        <v>30037</v>
      </c>
      <c r="BC42" s="121">
        <f>Data!BC82</f>
        <v>31143</v>
      </c>
      <c r="BD42" s="121">
        <f>Data!BD82</f>
        <v>31490</v>
      </c>
      <c r="BE42" s="121">
        <f>Data!BE82</f>
        <v>32647</v>
      </c>
      <c r="BF42" s="121">
        <f>Data!BF82</f>
        <v>32964</v>
      </c>
      <c r="BG42" s="67">
        <f t="shared" si="113"/>
        <v>32964</v>
      </c>
      <c r="BH42" s="121">
        <f>Data!BH82</f>
        <v>33929</v>
      </c>
      <c r="BI42" s="121">
        <f>Data!BI82</f>
        <v>34516</v>
      </c>
      <c r="BJ42" s="121">
        <f>Data!BJ82</f>
        <v>35880</v>
      </c>
      <c r="BK42" s="121">
        <f>Data!BK82</f>
        <v>36180</v>
      </c>
      <c r="BL42" s="67">
        <f t="shared" si="114"/>
        <v>36180</v>
      </c>
      <c r="BM42" s="121">
        <f>Data!BM82</f>
        <v>37516</v>
      </c>
      <c r="BN42" s="121">
        <f>Data!BN82</f>
        <v>37365</v>
      </c>
      <c r="BO42" s="121">
        <f>Data!BO82</f>
        <v>39069</v>
      </c>
      <c r="BP42" s="121">
        <f>Data!BP82</f>
        <v>38756</v>
      </c>
      <c r="BQ42" s="67">
        <f t="shared" si="115"/>
        <v>38756</v>
      </c>
      <c r="BR42" s="121">
        <f>Data!BR82</f>
        <v>39975</v>
      </c>
      <c r="BS42" s="121">
        <f>Data!BS82</f>
        <v>38362</v>
      </c>
      <c r="BT42" s="121">
        <f>Data!BT82</f>
        <v>40641</v>
      </c>
      <c r="BU42" s="121">
        <f>Data!BU82</f>
        <v>40714</v>
      </c>
      <c r="BV42" s="67">
        <f t="shared" si="116"/>
        <v>40714</v>
      </c>
      <c r="BW42" s="121">
        <f>Data!BW82</f>
        <v>42165</v>
      </c>
      <c r="BX42" s="121">
        <f>Data!BX82</f>
        <v>42222</v>
      </c>
      <c r="BY42" s="121">
        <f>Data!BY82</f>
        <v>44052</v>
      </c>
      <c r="BZ42" s="121">
        <f>Data!BZ82</f>
        <v>45320</v>
      </c>
      <c r="CA42" s="67">
        <f t="shared" si="226"/>
        <v>45320</v>
      </c>
      <c r="CB42" s="121">
        <f>Data!CB82</f>
        <v>52095</v>
      </c>
      <c r="CC42" s="121">
        <f>Data!CC82</f>
        <v>52303</v>
      </c>
      <c r="CD42" s="121">
        <f>Data!CD82</f>
        <v>54666</v>
      </c>
      <c r="CE42" s="121">
        <f>Data!CE82</f>
        <v>55941</v>
      </c>
      <c r="CF42" s="67">
        <f t="shared" si="227"/>
        <v>55941</v>
      </c>
      <c r="CG42" s="121">
        <f>Data!CG82</f>
        <v>58090</v>
      </c>
      <c r="CH42" s="121">
        <f>Data!CH82</f>
        <v>52819</v>
      </c>
      <c r="CI42" s="121">
        <f>Data!CI82</f>
        <v>53986</v>
      </c>
      <c r="CJ42" s="121">
        <f>Data!CJ82</f>
        <v>50644</v>
      </c>
      <c r="CK42" s="67">
        <f t="shared" si="228"/>
        <v>50644</v>
      </c>
      <c r="CL42" s="121">
        <f>Data!CL82</f>
        <v>49854</v>
      </c>
      <c r="CM42" s="121">
        <f>Data!CM82</f>
        <v>47478</v>
      </c>
      <c r="CN42" s="121">
        <f>Data!CN82</f>
        <v>47029</v>
      </c>
      <c r="CO42" s="121">
        <f>Data!CO82</f>
        <v>38610</v>
      </c>
      <c r="CP42" s="120">
        <f t="shared" si="229"/>
        <v>38610</v>
      </c>
      <c r="CQ42" s="121">
        <f>Data!CQ82</f>
        <v>38073</v>
      </c>
      <c r="CR42" s="121">
        <f>Data!CR82</f>
        <v>38660</v>
      </c>
      <c r="CS42" s="121">
        <f>Data!CS82</f>
        <v>38551</v>
      </c>
      <c r="CT42" s="121">
        <f>Data!CT82</f>
        <v>34408</v>
      </c>
      <c r="CU42" s="120">
        <f t="shared" si="230"/>
        <v>34408</v>
      </c>
      <c r="CV42" s="121">
        <f>Data!CV82</f>
        <v>33189</v>
      </c>
      <c r="CW42" s="121">
        <f>Data!CW82</f>
        <v>33382</v>
      </c>
      <c r="CX42" s="121">
        <f>Data!CX82</f>
        <v>30107</v>
      </c>
      <c r="CY42" s="121">
        <f>Data!CY82</f>
        <v>29473</v>
      </c>
      <c r="CZ42" s="120">
        <f t="shared" si="231"/>
        <v>29473</v>
      </c>
      <c r="DA42" s="121">
        <f>Data!DA82</f>
        <v>29059</v>
      </c>
      <c r="DB42" s="121">
        <f>Data!DB82</f>
        <v>28910</v>
      </c>
      <c r="DC42" s="121">
        <f>Data!DC82</f>
        <v>27274</v>
      </c>
      <c r="DD42" s="121">
        <f>Data!DD82</f>
        <v>27251</v>
      </c>
      <c r="DE42" s="120">
        <f t="shared" si="232"/>
        <v>27251</v>
      </c>
      <c r="DF42" s="121">
        <f>Data!DF82</f>
        <v>26908</v>
      </c>
      <c r="DG42" s="121">
        <f>Data!DG82</f>
        <v>25469</v>
      </c>
      <c r="DH42" s="121">
        <f>Data!DH82</f>
        <v>19299</v>
      </c>
      <c r="DI42" s="121">
        <f>Data!DI82</f>
        <v>15362</v>
      </c>
      <c r="DJ42" s="120">
        <f t="shared" si="232"/>
        <v>15362</v>
      </c>
      <c r="DK42" s="121">
        <f>Data!DK82</f>
        <v>15239</v>
      </c>
      <c r="DL42" s="121">
        <f>Data!DL82</f>
        <v>14542</v>
      </c>
      <c r="DM42" s="121">
        <f>Data!DM82</f>
        <v>9118</v>
      </c>
      <c r="DN42" s="121">
        <f>Data!DN82</f>
        <v>17252</v>
      </c>
      <c r="DO42" s="120">
        <f t="shared" si="232"/>
        <v>17252</v>
      </c>
      <c r="DP42" s="121">
        <f>Data!DP82</f>
        <v>17162</v>
      </c>
      <c r="DQ42" s="121">
        <f>Data!DQ82</f>
        <v>16632</v>
      </c>
      <c r="DR42" s="184">
        <f>CFLO!DR46+CFLO!DR7+DQ42</f>
        <v>16776.349074971247</v>
      </c>
      <c r="DS42" s="184">
        <f>CFLO!DS46+CFLO!DS7+DR42</f>
        <v>17371.923066403651</v>
      </c>
      <c r="DT42" s="120">
        <f t="shared" si="235"/>
        <v>17371.923066403651</v>
      </c>
      <c r="DU42" s="184">
        <f>CFLO!DU46+CFLO!DU7+DT42</f>
        <v>17566.276251472162</v>
      </c>
      <c r="DV42" s="184">
        <f>CFLO!DV46+CFLO!DV7+DU42</f>
        <v>18386.100727835557</v>
      </c>
      <c r="DW42" s="184">
        <f>CFLO!DW46+CFLO!DW7+DV42</f>
        <v>19675.696984007696</v>
      </c>
      <c r="DX42" s="184">
        <f>CFLO!DX46+CFLO!DX7+DW42</f>
        <v>21370.512873917178</v>
      </c>
      <c r="DY42" s="120">
        <f t="shared" si="240"/>
        <v>21370.512873917178</v>
      </c>
      <c r="DZ42" s="185">
        <f>CFLO!DZ46+CFLO!DZ7+DY42</f>
        <v>28906.969030423614</v>
      </c>
      <c r="EA42" s="185">
        <f>CFLO!EA46+CFLO!EA7+DZ42</f>
        <v>40097.476435296674</v>
      </c>
      <c r="EB42" s="185">
        <f>CFLO!EB46+CFLO!EB7+EA42</f>
        <v>55104.855990234166</v>
      </c>
    </row>
    <row r="43" spans="2:132">
      <c r="B43" s="68" t="s">
        <v>77</v>
      </c>
      <c r="C43" s="67">
        <f>Data!C83</f>
        <v>-20</v>
      </c>
      <c r="D43" s="67">
        <f>Data!D83</f>
        <v>-40</v>
      </c>
      <c r="E43" s="67">
        <f>Data!E83</f>
        <v>-6</v>
      </c>
      <c r="F43" s="67">
        <f>Data!F83</f>
        <v>-9</v>
      </c>
      <c r="G43" s="67">
        <f>Data!G83</f>
        <v>-488</v>
      </c>
      <c r="H43" s="67">
        <f>Data!H83</f>
        <v>-4045</v>
      </c>
      <c r="I43" s="67">
        <f>Data!I83</f>
        <v>-4145</v>
      </c>
      <c r="J43" s="68">
        <f>Data!J83</f>
        <v>-4143</v>
      </c>
      <c r="K43" s="68">
        <f>Data!K83</f>
        <v>-4152</v>
      </c>
      <c r="L43" s="68">
        <f>Data!L83</f>
        <v>-4141</v>
      </c>
      <c r="M43" s="68">
        <f>Data!M83</f>
        <v>-1925</v>
      </c>
      <c r="N43" s="67">
        <f t="shared" si="223"/>
        <v>-1925</v>
      </c>
      <c r="O43" s="68">
        <f>Data!O83</f>
        <v>-1939</v>
      </c>
      <c r="P43" s="68">
        <f>Data!P83</f>
        <v>-1973</v>
      </c>
      <c r="Q43" s="68">
        <f>Data!Q83</f>
        <v>-3713</v>
      </c>
      <c r="R43" s="68">
        <f>Data!R83</f>
        <v>-1778</v>
      </c>
      <c r="S43" s="67">
        <f t="shared" si="105"/>
        <v>-1778</v>
      </c>
      <c r="T43" s="68">
        <f>Data!T83</f>
        <v>-1808</v>
      </c>
      <c r="U43" s="68">
        <f>Data!U83</f>
        <v>-1729</v>
      </c>
      <c r="V43" s="68">
        <f>Data!V83</f>
        <v>-1761</v>
      </c>
      <c r="W43" s="68">
        <f>Data!W83</f>
        <v>-8217</v>
      </c>
      <c r="X43" s="67">
        <f t="shared" si="106"/>
        <v>-8217</v>
      </c>
      <c r="Y43" s="68">
        <f>Data!Y83</f>
        <v>-8021</v>
      </c>
      <c r="Z43" s="68">
        <f>Data!Z83</f>
        <v>-7800</v>
      </c>
      <c r="AA43" s="68">
        <f>Data!AA83</f>
        <v>-7569</v>
      </c>
      <c r="AB43" s="68">
        <f>Data!AB83</f>
        <v>-4596</v>
      </c>
      <c r="AC43" s="67">
        <f t="shared" si="107"/>
        <v>-4596</v>
      </c>
      <c r="AD43" s="68">
        <f>Data!AD83</f>
        <v>-4423</v>
      </c>
      <c r="AE43" s="68">
        <f>Data!AE83</f>
        <v>-4299</v>
      </c>
      <c r="AF43" s="68">
        <f>Data!AF83</f>
        <v>-4466</v>
      </c>
      <c r="AG43" s="68">
        <f>Data!AG83</f>
        <v>-13525</v>
      </c>
      <c r="AH43" s="67">
        <f t="shared" si="108"/>
        <v>-13525</v>
      </c>
      <c r="AI43" s="68">
        <f>Data!AI83</f>
        <v>-13511</v>
      </c>
      <c r="AJ43" s="68">
        <f>Data!AJ83</f>
        <v>-13120</v>
      </c>
      <c r="AK43" s="68">
        <f>Data!AK83</f>
        <v>-12821</v>
      </c>
      <c r="AL43" s="68">
        <f>Data!AL83</f>
        <v>-11877</v>
      </c>
      <c r="AM43" s="67">
        <f t="shared" si="224"/>
        <v>-11877</v>
      </c>
      <c r="AN43" s="241">
        <f>Data!AN83</f>
        <v>-11747</v>
      </c>
      <c r="AO43" s="241">
        <f>Data!AO83</f>
        <v>-11744</v>
      </c>
      <c r="AP43" s="241">
        <f>Data!AP83</f>
        <v>-11375</v>
      </c>
      <c r="AQ43" s="241">
        <f>Data!AQ83</f>
        <v>-13758</v>
      </c>
      <c r="AR43" s="67">
        <f t="shared" si="225"/>
        <v>-13758</v>
      </c>
      <c r="AS43" s="241">
        <f>Data!AS83</f>
        <v>-13401</v>
      </c>
      <c r="AT43" s="241">
        <f>Data!AT83</f>
        <v>-13095</v>
      </c>
      <c r="AU43" s="121">
        <f>Data!AU83</f>
        <v>-13146</v>
      </c>
      <c r="AV43" s="121">
        <f>Data!AV83</f>
        <v>-16500</v>
      </c>
      <c r="AW43" s="67">
        <f t="shared" si="111"/>
        <v>-16500</v>
      </c>
      <c r="AX43" s="121">
        <f>Data!AX83</f>
        <v>-16364</v>
      </c>
      <c r="AY43" s="121">
        <f>Data!AY83</f>
        <v>-15816</v>
      </c>
      <c r="AZ43" s="121">
        <f>Data!AZ83</f>
        <v>-15261</v>
      </c>
      <c r="BA43" s="121">
        <f>Data!BA83</f>
        <v>-17416</v>
      </c>
      <c r="BB43" s="67">
        <f t="shared" si="112"/>
        <v>-17416</v>
      </c>
      <c r="BC43" s="121">
        <f>Data!BC83</f>
        <v>-17041</v>
      </c>
      <c r="BD43" s="121">
        <f>Data!BD83</f>
        <v>-16412</v>
      </c>
      <c r="BE43" s="121">
        <f>Data!BE83</f>
        <v>-16187</v>
      </c>
      <c r="BF43" s="121">
        <f>Data!BF83</f>
        <v>-9894</v>
      </c>
      <c r="BG43" s="67">
        <f t="shared" si="113"/>
        <v>-9894</v>
      </c>
      <c r="BH43" s="121">
        <f>Data!BH83</f>
        <v>-8883</v>
      </c>
      <c r="BI43" s="121">
        <f>Data!BI83</f>
        <v>-8659</v>
      </c>
      <c r="BJ43" s="121">
        <f>Data!BJ83</f>
        <v>-8653</v>
      </c>
      <c r="BK43" s="121">
        <f>Data!BK83</f>
        <v>-13903</v>
      </c>
      <c r="BL43" s="67">
        <f t="shared" si="114"/>
        <v>-13903</v>
      </c>
      <c r="BM43" s="121">
        <f>Data!BM83</f>
        <v>-13815</v>
      </c>
      <c r="BN43" s="121">
        <f>Data!BN83</f>
        <v>-13420</v>
      </c>
      <c r="BO43" s="121">
        <f>Data!BO83</f>
        <v>-13263</v>
      </c>
      <c r="BP43" s="121">
        <f>Data!BP83</f>
        <v>-12748</v>
      </c>
      <c r="BQ43" s="67">
        <f t="shared" si="115"/>
        <v>-12748</v>
      </c>
      <c r="BR43" s="121">
        <f>Data!BR83</f>
        <v>-12838</v>
      </c>
      <c r="BS43" s="121">
        <f>Data!BS83</f>
        <v>-12795</v>
      </c>
      <c r="BT43" s="121">
        <f>Data!BT83</f>
        <v>-12658</v>
      </c>
      <c r="BU43" s="121">
        <f>Data!BU83</f>
        <v>-13623</v>
      </c>
      <c r="BV43" s="67">
        <f t="shared" si="116"/>
        <v>-13623</v>
      </c>
      <c r="BW43" s="121">
        <f>Data!BW83</f>
        <v>-13415</v>
      </c>
      <c r="BX43" s="121">
        <f>Data!BX83</f>
        <v>-13234</v>
      </c>
      <c r="BY43" s="121">
        <f>Data!BY83</f>
        <v>-13036</v>
      </c>
      <c r="BZ43" s="121">
        <f>Data!BZ83</f>
        <v>-13376</v>
      </c>
      <c r="CA43" s="67">
        <f t="shared" si="226"/>
        <v>-13376</v>
      </c>
      <c r="CB43" s="121">
        <f>Data!CB83</f>
        <v>-16162</v>
      </c>
      <c r="CC43" s="121">
        <f>Data!CC83</f>
        <v>-16139</v>
      </c>
      <c r="CD43" s="121">
        <f>Data!CD83</f>
        <v>-15949</v>
      </c>
      <c r="CE43" s="121">
        <f>Data!CE83</f>
        <v>-15083</v>
      </c>
      <c r="CF43" s="67">
        <f t="shared" si="227"/>
        <v>-15083</v>
      </c>
      <c r="CG43" s="121">
        <f>Data!CG83</f>
        <v>-14969</v>
      </c>
      <c r="CH43" s="121">
        <f>Data!CH83</f>
        <v>-14908</v>
      </c>
      <c r="CI43" s="121">
        <f>Data!CI83</f>
        <v>-14927</v>
      </c>
      <c r="CJ43" s="121">
        <f>Data!CJ83</f>
        <v>-16153</v>
      </c>
      <c r="CK43" s="67">
        <f t="shared" si="228"/>
        <v>-16153</v>
      </c>
      <c r="CL43" s="121">
        <f>Data!CL83</f>
        <v>-16333</v>
      </c>
      <c r="CM43" s="121">
        <f>Data!CM83</f>
        <v>-16025</v>
      </c>
      <c r="CN43" s="121">
        <f>Data!CN83</f>
        <v>-15779</v>
      </c>
      <c r="CO43" s="121">
        <f>Data!CO83</f>
        <v>-17133</v>
      </c>
      <c r="CP43" s="120">
        <f t="shared" si="229"/>
        <v>-17133</v>
      </c>
      <c r="CQ43" s="121">
        <f>Data!CQ83</f>
        <v>-16952</v>
      </c>
      <c r="CR43" s="121">
        <f>Data!CR83</f>
        <v>-16661</v>
      </c>
      <c r="CS43" s="121">
        <f>Data!CS83</f>
        <v>-14818</v>
      </c>
      <c r="CT43" s="121">
        <f>Data!CT83</f>
        <v>-11659</v>
      </c>
      <c r="CU43" s="120">
        <f t="shared" si="230"/>
        <v>-11659</v>
      </c>
      <c r="CV43" s="121">
        <f>Data!CV83</f>
        <v>-11370</v>
      </c>
      <c r="CW43" s="121">
        <f>Data!CW83</f>
        <v>-11487</v>
      </c>
      <c r="CX43" s="121">
        <f>Data!CX83</f>
        <v>-11518</v>
      </c>
      <c r="CY43" s="121">
        <f>Data!CY83</f>
        <v>-9550</v>
      </c>
      <c r="CZ43" s="120">
        <f t="shared" si="231"/>
        <v>-9550</v>
      </c>
      <c r="DA43" s="121">
        <f>Data!DA83</f>
        <v>-9550</v>
      </c>
      <c r="DB43" s="121">
        <f>Data!DB83</f>
        <v>-9617</v>
      </c>
      <c r="DC43" s="121">
        <f>Data!DC83</f>
        <v>-9708</v>
      </c>
      <c r="DD43" s="121">
        <f>Data!DD83</f>
        <v>-10305</v>
      </c>
      <c r="DE43" s="120">
        <f t="shared" si="232"/>
        <v>-10305</v>
      </c>
      <c r="DF43" s="121">
        <f>Data!DF83</f>
        <v>-10412</v>
      </c>
      <c r="DG43" s="121">
        <f>Data!DG83</f>
        <v>-10392</v>
      </c>
      <c r="DH43" s="121">
        <f>Data!DH83</f>
        <v>-10273</v>
      </c>
      <c r="DI43" s="121">
        <f>Data!DI83</f>
        <v>-10915</v>
      </c>
      <c r="DJ43" s="120">
        <f t="shared" si="232"/>
        <v>-10915</v>
      </c>
      <c r="DK43" s="121">
        <f>Data!DK83</f>
        <v>-10760</v>
      </c>
      <c r="DL43" s="121">
        <f>Data!DL83</f>
        <v>-10539</v>
      </c>
      <c r="DM43" s="121">
        <f>Data!DM83</f>
        <v>-10544</v>
      </c>
      <c r="DN43" s="121">
        <f>Data!DN83</f>
        <v>-10277</v>
      </c>
      <c r="DO43" s="120">
        <f t="shared" si="232"/>
        <v>-10277</v>
      </c>
      <c r="DP43" s="121">
        <f>Data!DP83</f>
        <v>-10266</v>
      </c>
      <c r="DQ43" s="121">
        <f>Data!DQ83</f>
        <v>-10132</v>
      </c>
      <c r="DR43" s="68">
        <f t="shared" ref="DR43:DS43" si="244">DR24-SUM(DR39:DR42)-DR44-DR45-DR47</f>
        <v>-16587.938381630782</v>
      </c>
      <c r="DS43" s="68">
        <f t="shared" si="244"/>
        <v>-18716.21210142452</v>
      </c>
      <c r="DT43" s="120">
        <f t="shared" si="235"/>
        <v>-18716.21210142452</v>
      </c>
      <c r="DU43" s="68">
        <f t="shared" ref="DU43" si="245">DU24-SUM(DU39:DU42)-DU44-DU45-DU47</f>
        <v>8954.3975484853436</v>
      </c>
      <c r="DV43" s="68">
        <f t="shared" ref="DV43:DX43" si="246">DV24-SUM(DV39:DV42)-DV44-DV45-DV47</f>
        <v>784.42954777067644</v>
      </c>
      <c r="DW43" s="68">
        <f t="shared" si="246"/>
        <v>-979.14192256066599</v>
      </c>
      <c r="DX43" s="68">
        <f t="shared" si="246"/>
        <v>-2872.1064491193974</v>
      </c>
      <c r="DY43" s="120">
        <f t="shared" si="240"/>
        <v>-2872.1064491193974</v>
      </c>
      <c r="DZ43" s="67">
        <f t="shared" ref="DZ43:EB43" si="247">DZ24-SUM(DZ39:DZ42)-DZ44-DZ45-DZ47</f>
        <v>-14571.177272578847</v>
      </c>
      <c r="EA43" s="67">
        <f t="shared" si="247"/>
        <v>-6010.0624167146452</v>
      </c>
      <c r="EB43" s="67">
        <f t="shared" si="247"/>
        <v>-522.90193594747689</v>
      </c>
    </row>
    <row r="44" spans="2:132">
      <c r="B44" s="68" t="s">
        <v>78</v>
      </c>
      <c r="C44" s="67">
        <f>Data!C84</f>
        <v>-9</v>
      </c>
      <c r="D44" s="67">
        <f>Data!D84</f>
        <v>-1321</v>
      </c>
      <c r="E44" s="67">
        <f>Data!E84</f>
        <v>-4161</v>
      </c>
      <c r="F44" s="67">
        <f>Data!F84</f>
        <v>-6221</v>
      </c>
      <c r="G44" s="67">
        <f>Data!G84</f>
        <v>-8509</v>
      </c>
      <c r="H44" s="67">
        <f>Data!H84</f>
        <v>-8397</v>
      </c>
      <c r="I44" s="67">
        <f>Data!I84</f>
        <v>-8322</v>
      </c>
      <c r="J44" s="68">
        <f>Data!J84</f>
        <v>-8244</v>
      </c>
      <c r="K44" s="68">
        <f>Data!K84</f>
        <v>-8359</v>
      </c>
      <c r="L44" s="68">
        <f>Data!L84</f>
        <v>-8411</v>
      </c>
      <c r="M44" s="68">
        <f>Data!M84</f>
        <v>-8810</v>
      </c>
      <c r="N44" s="67">
        <f t="shared" si="223"/>
        <v>-8810</v>
      </c>
      <c r="O44" s="68">
        <f>Data!O84</f>
        <v>-9154</v>
      </c>
      <c r="P44" s="68">
        <f>Data!P84</f>
        <v>-9637</v>
      </c>
      <c r="Q44" s="68">
        <f>Data!Q84</f>
        <v>-10365</v>
      </c>
      <c r="R44" s="68">
        <f>Data!R84</f>
        <v>-11075</v>
      </c>
      <c r="S44" s="67">
        <f t="shared" si="105"/>
        <v>-11075</v>
      </c>
      <c r="T44" s="68">
        <f>Data!T84</f>
        <v>-11217</v>
      </c>
      <c r="U44" s="68">
        <f>Data!U84</f>
        <v>-11537</v>
      </c>
      <c r="V44" s="68">
        <f>Data!V84</f>
        <v>-12134</v>
      </c>
      <c r="W44" s="68">
        <f>Data!W84</f>
        <v>-12459</v>
      </c>
      <c r="X44" s="67">
        <f t="shared" si="106"/>
        <v>-12459</v>
      </c>
      <c r="Y44" s="68">
        <f>Data!Y84</f>
        <v>-12667</v>
      </c>
      <c r="Z44" s="68">
        <f>Data!Z84</f>
        <v>-13131</v>
      </c>
      <c r="AA44" s="68">
        <f>Data!AA84</f>
        <v>-13964</v>
      </c>
      <c r="AB44" s="68">
        <f>Data!AB84</f>
        <v>-14842</v>
      </c>
      <c r="AC44" s="67">
        <f t="shared" si="107"/>
        <v>-14842</v>
      </c>
      <c r="AD44" s="68">
        <f>Data!AD84</f>
        <v>-16006</v>
      </c>
      <c r="AE44" s="68">
        <f>Data!AE84</f>
        <v>-16834</v>
      </c>
      <c r="AF44" s="68">
        <f>Data!AF84</f>
        <v>-17425</v>
      </c>
      <c r="AG44" s="68">
        <f>Data!AG84</f>
        <v>-17758</v>
      </c>
      <c r="AH44" s="67">
        <f t="shared" si="108"/>
        <v>-17758</v>
      </c>
      <c r="AI44" s="68">
        <f>Data!AI84</f>
        <v>-17756</v>
      </c>
      <c r="AJ44" s="68">
        <f>Data!AJ84</f>
        <v>-17741</v>
      </c>
      <c r="AK44" s="68">
        <f>Data!AK84</f>
        <v>-17733</v>
      </c>
      <c r="AL44" s="68">
        <f>Data!AL84</f>
        <v>-15911</v>
      </c>
      <c r="AM44" s="67">
        <f t="shared" si="224"/>
        <v>-15911</v>
      </c>
      <c r="AN44" s="241">
        <f>Data!AN84</f>
        <v>-15744</v>
      </c>
      <c r="AO44" s="241">
        <f>Data!AO84</f>
        <v>-15582</v>
      </c>
      <c r="AP44" s="241">
        <f>Data!AP84</f>
        <v>-17302</v>
      </c>
      <c r="AQ44" s="241">
        <f>Data!AQ84</f>
        <v>-17187</v>
      </c>
      <c r="AR44" s="67">
        <f t="shared" si="225"/>
        <v>-17187</v>
      </c>
      <c r="AS44" s="241">
        <f>Data!AS84</f>
        <v>-17021</v>
      </c>
      <c r="AT44" s="241">
        <f>Data!AT84</f>
        <v>-16859</v>
      </c>
      <c r="AU44" s="121">
        <f>Data!AU84</f>
        <v>-16715</v>
      </c>
      <c r="AV44" s="121">
        <f>Data!AV84</f>
        <v>-16603</v>
      </c>
      <c r="AW44" s="67">
        <f t="shared" si="111"/>
        <v>-16603</v>
      </c>
      <c r="AX44" s="121">
        <f>Data!AX84</f>
        <v>-16094</v>
      </c>
      <c r="AY44" s="121">
        <f>Data!AY84</f>
        <v>-16202</v>
      </c>
      <c r="AZ44" s="121">
        <f>Data!AZ84</f>
        <v>-16055</v>
      </c>
      <c r="BA44" s="121">
        <f>Data!BA84</f>
        <v>-15937</v>
      </c>
      <c r="BB44" s="67">
        <f t="shared" si="112"/>
        <v>-15937</v>
      </c>
      <c r="BC44" s="121">
        <f>Data!BC84</f>
        <v>-15780</v>
      </c>
      <c r="BD44" s="121">
        <f>Data!BD84</f>
        <v>-16794</v>
      </c>
      <c r="BE44" s="121">
        <f>Data!BE84</f>
        <v>-16865</v>
      </c>
      <c r="BF44" s="121">
        <f>Data!BF84</f>
        <v>-17671</v>
      </c>
      <c r="BG44" s="67">
        <f t="shared" si="113"/>
        <v>-17671</v>
      </c>
      <c r="BH44" s="121">
        <f>Data!BH84</f>
        <v>-20028</v>
      </c>
      <c r="BI44" s="121">
        <f>Data!BI84</f>
        <v>-21381</v>
      </c>
      <c r="BJ44" s="121">
        <f>Data!BJ84</f>
        <v>-22349</v>
      </c>
      <c r="BK44" s="121">
        <f>Data!BK84</f>
        <v>-23298</v>
      </c>
      <c r="BL44" s="67">
        <f t="shared" si="114"/>
        <v>-23298</v>
      </c>
      <c r="BM44" s="121">
        <f>Data!BM84</f>
        <v>-25513</v>
      </c>
      <c r="BN44" s="121">
        <f>Data!BN84</f>
        <v>-27463</v>
      </c>
      <c r="BO44" s="121">
        <f>Data!BO84</f>
        <v>-28898</v>
      </c>
      <c r="BP44" s="121">
        <f>Data!BP84</f>
        <v>-29568</v>
      </c>
      <c r="BQ44" s="67">
        <f t="shared" si="115"/>
        <v>-29568</v>
      </c>
      <c r="BR44" s="121">
        <f>Data!BR84</f>
        <v>-32939</v>
      </c>
      <c r="BS44" s="121">
        <f>Data!BS84</f>
        <v>-34821</v>
      </c>
      <c r="BT44" s="121">
        <f>Data!BT84</f>
        <v>-35763</v>
      </c>
      <c r="BU44" s="121">
        <f>Data!BU84</f>
        <v>-36097</v>
      </c>
      <c r="BV44" s="67">
        <f t="shared" si="116"/>
        <v>-36097</v>
      </c>
      <c r="BW44" s="121">
        <f>Data!BW84</f>
        <v>-38320</v>
      </c>
      <c r="BX44" s="121">
        <f>Data!BX84</f>
        <v>-40730</v>
      </c>
      <c r="BY44" s="121">
        <f>Data!BY84</f>
        <v>-41745</v>
      </c>
      <c r="BZ44" s="121">
        <f>Data!BZ84</f>
        <v>-43454</v>
      </c>
      <c r="CA44" s="67">
        <f t="shared" si="226"/>
        <v>-43454</v>
      </c>
      <c r="CB44" s="121">
        <f>Data!CB84</f>
        <v>-46396</v>
      </c>
      <c r="CC44" s="121">
        <f>Data!CC84</f>
        <v>-49342</v>
      </c>
      <c r="CD44" s="121">
        <f>Data!CD84</f>
        <v>-51781</v>
      </c>
      <c r="CE44" s="121">
        <f>Data!CE84</f>
        <v>-52348</v>
      </c>
      <c r="CF44" s="67">
        <f t="shared" si="227"/>
        <v>-52348</v>
      </c>
      <c r="CG44" s="121">
        <f>Data!CG84</f>
        <v>-54630</v>
      </c>
      <c r="CH44" s="121">
        <f>Data!CH84</f>
        <v>-54932</v>
      </c>
      <c r="CI44" s="121">
        <f>Data!CI84</f>
        <v>-54924</v>
      </c>
      <c r="CJ44" s="121">
        <f>Data!CJ84</f>
        <v>-54914</v>
      </c>
      <c r="CK44" s="67">
        <f t="shared" si="228"/>
        <v>-54914</v>
      </c>
      <c r="CL44" s="121">
        <f>Data!CL84</f>
        <v>-54842</v>
      </c>
      <c r="CM44" s="121">
        <f>Data!CM84</f>
        <v>-54829</v>
      </c>
      <c r="CN44" s="121">
        <f>Data!CN84</f>
        <v>-54819</v>
      </c>
      <c r="CO44" s="121">
        <f>Data!CO84</f>
        <v>-52641</v>
      </c>
      <c r="CP44" s="120">
        <f t="shared" si="229"/>
        <v>-52641</v>
      </c>
      <c r="CQ44" s="121">
        <f>Data!CQ84</f>
        <v>-52395</v>
      </c>
      <c r="CR44" s="121">
        <f>Data!CR84</f>
        <v>-52223</v>
      </c>
      <c r="CS44" s="121">
        <f>Data!CS84</f>
        <v>-52030</v>
      </c>
      <c r="CT44" s="121">
        <f>Data!CT84</f>
        <v>-51861</v>
      </c>
      <c r="CU44" s="120">
        <f t="shared" si="230"/>
        <v>-51861</v>
      </c>
      <c r="CV44" s="121">
        <f>Data!CV84</f>
        <v>-51573</v>
      </c>
      <c r="CW44" s="121">
        <f>Data!CW84</f>
        <v>-51319</v>
      </c>
      <c r="CX44" s="121">
        <f>Data!CX84</f>
        <v>-51054</v>
      </c>
      <c r="CY44" s="121">
        <f>Data!CY84</f>
        <v>-50814</v>
      </c>
      <c r="CZ44" s="120">
        <f t="shared" si="231"/>
        <v>-50814</v>
      </c>
      <c r="DA44" s="121">
        <f>Data!DA84</f>
        <v>-50376</v>
      </c>
      <c r="DB44" s="121">
        <f>Data!DB84</f>
        <v>-50181</v>
      </c>
      <c r="DC44" s="121">
        <f>Data!DC84</f>
        <v>-49972</v>
      </c>
      <c r="DD44" s="121">
        <f>Data!DD84</f>
        <v>-49549</v>
      </c>
      <c r="DE44" s="120">
        <f t="shared" si="232"/>
        <v>-49549</v>
      </c>
      <c r="DF44" s="121">
        <f>Data!DF84</f>
        <v>-49105</v>
      </c>
      <c r="DG44" s="121">
        <f>Data!DG84</f>
        <v>-48841</v>
      </c>
      <c r="DH44" s="121">
        <f>Data!DH84</f>
        <v>-48564</v>
      </c>
      <c r="DI44" s="121">
        <f>Data!DI84</f>
        <v>-32386</v>
      </c>
      <c r="DJ44" s="120">
        <f t="shared" si="232"/>
        <v>-32386</v>
      </c>
      <c r="DK44" s="121">
        <f>Data!DK84</f>
        <v>-31879</v>
      </c>
      <c r="DL44" s="121">
        <f>Data!DL84</f>
        <v>-31603</v>
      </c>
      <c r="DM44" s="121">
        <f>Data!DM84</f>
        <v>-31109</v>
      </c>
      <c r="DN44" s="121">
        <f>Data!DN84</f>
        <v>-28029</v>
      </c>
      <c r="DO44" s="120">
        <f t="shared" si="232"/>
        <v>-28029</v>
      </c>
      <c r="DP44" s="121">
        <f>Data!DP84</f>
        <v>-27647</v>
      </c>
      <c r="DQ44" s="121">
        <f>Data!DQ84</f>
        <v>-27416</v>
      </c>
      <c r="DR44" s="184">
        <f>DQ44+CFLO!DR45</f>
        <v>-27416</v>
      </c>
      <c r="DS44" s="184">
        <f>DR44+CFLO!DS45</f>
        <v>-27416</v>
      </c>
      <c r="DT44" s="120">
        <f t="shared" si="235"/>
        <v>-27416</v>
      </c>
      <c r="DU44" s="184">
        <f>DT44+CFLO!DU45</f>
        <v>-28416</v>
      </c>
      <c r="DV44" s="184">
        <f>DU44+CFLO!DV45</f>
        <v>-29416</v>
      </c>
      <c r="DW44" s="184">
        <f>DV44+CFLO!DW45</f>
        <v>-30916</v>
      </c>
      <c r="DX44" s="184">
        <f>DW44+CFLO!DX45</f>
        <v>-32416</v>
      </c>
      <c r="DY44" s="120">
        <f t="shared" si="240"/>
        <v>-32416</v>
      </c>
      <c r="DZ44" s="185">
        <f>DY44+CFLO!DZ45</f>
        <v>-42416</v>
      </c>
      <c r="EA44" s="185">
        <f>DZ44+CFLO!EA45</f>
        <v>-54416</v>
      </c>
      <c r="EB44" s="185">
        <f>EA44+CFLO!EB45</f>
        <v>-69416</v>
      </c>
    </row>
    <row r="45" spans="2:132">
      <c r="B45" s="68" t="s">
        <v>79</v>
      </c>
      <c r="C45" s="69">
        <f>Data!C85</f>
        <v>-1255</v>
      </c>
      <c r="D45" s="69">
        <f>Data!D85</f>
        <v>-1235</v>
      </c>
      <c r="E45" s="69">
        <f>Data!E85</f>
        <v>-1601</v>
      </c>
      <c r="F45" s="69">
        <f>Data!F85</f>
        <v>-2592</v>
      </c>
      <c r="G45" s="69">
        <f>Data!G85</f>
        <v>-1552</v>
      </c>
      <c r="H45" s="69">
        <f>Data!H85</f>
        <v>-1324</v>
      </c>
      <c r="I45" s="69">
        <f>Data!I85</f>
        <v>-1740</v>
      </c>
      <c r="J45" s="70">
        <f>Data!J85</f>
        <v>-1689</v>
      </c>
      <c r="K45" s="70">
        <f>Data!K85</f>
        <v>-2111</v>
      </c>
      <c r="L45" s="70">
        <f>Data!L85</f>
        <v>-1993</v>
      </c>
      <c r="M45" s="70">
        <f>Data!M85</f>
        <v>-2023</v>
      </c>
      <c r="N45" s="69">
        <f t="shared" si="223"/>
        <v>-2023</v>
      </c>
      <c r="O45" s="70">
        <f>Data!O85</f>
        <v>-2285</v>
      </c>
      <c r="P45" s="70">
        <f>Data!P85</f>
        <v>-2577</v>
      </c>
      <c r="Q45" s="70">
        <f>Data!Q85</f>
        <v>-2664</v>
      </c>
      <c r="R45" s="70">
        <f>Data!R85</f>
        <v>-2796</v>
      </c>
      <c r="S45" s="69">
        <f t="shared" si="105"/>
        <v>-2796</v>
      </c>
      <c r="T45" s="70">
        <f>Data!T85</f>
        <v>-3115</v>
      </c>
      <c r="U45" s="70">
        <f>Data!U85</f>
        <v>-3283</v>
      </c>
      <c r="V45" s="70">
        <f>Data!V85</f>
        <v>-2442</v>
      </c>
      <c r="W45" s="70">
        <f>Data!W85</f>
        <v>-2754</v>
      </c>
      <c r="X45" s="69">
        <f t="shared" si="106"/>
        <v>-2754</v>
      </c>
      <c r="Y45" s="70">
        <f>Data!Y85</f>
        <v>-2772</v>
      </c>
      <c r="Z45" s="70">
        <f>Data!Z85</f>
        <v>-2982</v>
      </c>
      <c r="AA45" s="70">
        <f>Data!AA85</f>
        <v>-3284</v>
      </c>
      <c r="AB45" s="70">
        <f>Data!AB85</f>
        <v>-2752</v>
      </c>
      <c r="AC45" s="69">
        <f t="shared" si="107"/>
        <v>-2752</v>
      </c>
      <c r="AD45" s="70">
        <f>Data!AD85</f>
        <v>-2332</v>
      </c>
      <c r="AE45" s="70">
        <f>Data!AE85</f>
        <v>-2096</v>
      </c>
      <c r="AF45" s="70">
        <f>Data!AF85</f>
        <v>-1608</v>
      </c>
      <c r="AG45" s="70">
        <f>Data!AG85</f>
        <v>-1203</v>
      </c>
      <c r="AH45" s="69">
        <f t="shared" si="108"/>
        <v>-1203</v>
      </c>
      <c r="AI45" s="70">
        <f>Data!AI85</f>
        <v>-1029</v>
      </c>
      <c r="AJ45" s="70">
        <f>Data!AJ85</f>
        <v>-1249</v>
      </c>
      <c r="AK45" s="70">
        <f>Data!AK85</f>
        <v>-1595</v>
      </c>
      <c r="AL45" s="70">
        <f>Data!AL85</f>
        <v>-1615</v>
      </c>
      <c r="AM45" s="69">
        <f t="shared" si="224"/>
        <v>-1615</v>
      </c>
      <c r="AN45" s="70">
        <f>Data!AN85</f>
        <v>-2157</v>
      </c>
      <c r="AO45" s="70">
        <f>Data!AO85</f>
        <v>-1899</v>
      </c>
      <c r="AP45" s="70">
        <f>Data!AP85</f>
        <v>0</v>
      </c>
      <c r="AQ45" s="70">
        <f>Data!AQ85</f>
        <v>0</v>
      </c>
      <c r="AR45" s="69">
        <f t="shared" si="225"/>
        <v>0</v>
      </c>
      <c r="AS45" s="70">
        <f>Data!AS85</f>
        <v>0</v>
      </c>
      <c r="AT45" s="70">
        <f>Data!AT85</f>
        <v>0</v>
      </c>
      <c r="AU45" s="70">
        <f>Data!AU85</f>
        <v>0</v>
      </c>
      <c r="AV45" s="70">
        <f>Data!AV85</f>
        <v>0</v>
      </c>
      <c r="AW45" s="69">
        <f t="shared" si="111"/>
        <v>0</v>
      </c>
      <c r="AX45" s="70">
        <f>Data!AX85</f>
        <v>0</v>
      </c>
      <c r="AY45" s="70">
        <f>Data!AY85</f>
        <v>0</v>
      </c>
      <c r="AZ45" s="70">
        <f>Data!AZ85</f>
        <v>0</v>
      </c>
      <c r="BA45" s="70">
        <f>Data!BA85</f>
        <v>0</v>
      </c>
      <c r="BB45" s="69">
        <f t="shared" si="112"/>
        <v>0</v>
      </c>
      <c r="BC45" s="70">
        <f>Data!BC85</f>
        <v>0</v>
      </c>
      <c r="BD45" s="70">
        <f>Data!BD85</f>
        <v>0</v>
      </c>
      <c r="BE45" s="70">
        <f>Data!BE85</f>
        <v>0</v>
      </c>
      <c r="BF45" s="70">
        <f>Data!BF85</f>
        <v>0</v>
      </c>
      <c r="BG45" s="69">
        <f t="shared" si="113"/>
        <v>0</v>
      </c>
      <c r="BH45" s="70">
        <f>Data!BH85</f>
        <v>0</v>
      </c>
      <c r="BI45" s="70">
        <f>Data!BI85</f>
        <v>0</v>
      </c>
      <c r="BJ45" s="70">
        <f>Data!BJ85</f>
        <v>0</v>
      </c>
      <c r="BK45" s="70">
        <f>Data!BK85</f>
        <v>0</v>
      </c>
      <c r="BL45" s="69">
        <f t="shared" si="114"/>
        <v>0</v>
      </c>
      <c r="BM45" s="70">
        <f>Data!BM85</f>
        <v>0</v>
      </c>
      <c r="BN45" s="70">
        <f>Data!BN85</f>
        <v>0</v>
      </c>
      <c r="BO45" s="70">
        <f>Data!BO85</f>
        <v>0</v>
      </c>
      <c r="BP45" s="70">
        <f>Data!BP85</f>
        <v>0</v>
      </c>
      <c r="BQ45" s="69">
        <f t="shared" si="115"/>
        <v>0</v>
      </c>
      <c r="BR45" s="70">
        <f>Data!BR85</f>
        <v>0</v>
      </c>
      <c r="BS45" s="70">
        <f>Data!BS85</f>
        <v>0</v>
      </c>
      <c r="BT45" s="70">
        <f>Data!BT85</f>
        <v>0</v>
      </c>
      <c r="BU45" s="70">
        <f>Data!BU85</f>
        <v>0</v>
      </c>
      <c r="BV45" s="69">
        <f t="shared" si="116"/>
        <v>0</v>
      </c>
      <c r="BW45" s="70">
        <f>Data!BW85</f>
        <v>0</v>
      </c>
      <c r="BX45" s="70">
        <f>Data!BX85</f>
        <v>0</v>
      </c>
      <c r="BY45" s="70">
        <f>Data!BY85</f>
        <v>0</v>
      </c>
      <c r="BZ45" s="70">
        <f>Data!BZ85</f>
        <v>0</v>
      </c>
      <c r="CA45" s="69">
        <f t="shared" si="226"/>
        <v>0</v>
      </c>
      <c r="CB45" s="70">
        <f>Data!CB85</f>
        <v>0</v>
      </c>
      <c r="CC45" s="70">
        <f>Data!CC85</f>
        <v>0</v>
      </c>
      <c r="CD45" s="70">
        <f>Data!CD85</f>
        <v>0</v>
      </c>
      <c r="CE45" s="70">
        <f>Data!CE85</f>
        <v>0</v>
      </c>
      <c r="CF45" s="69">
        <f t="shared" si="227"/>
        <v>0</v>
      </c>
      <c r="CG45" s="70">
        <f>Data!CG85</f>
        <v>0</v>
      </c>
      <c r="CH45" s="70">
        <f>Data!CH85</f>
        <v>0</v>
      </c>
      <c r="CI45" s="70">
        <f>Data!CI85</f>
        <v>0</v>
      </c>
      <c r="CJ45" s="70">
        <f>Data!CJ85</f>
        <v>0</v>
      </c>
      <c r="CK45" s="69">
        <f t="shared" si="228"/>
        <v>0</v>
      </c>
      <c r="CL45" s="70">
        <f>Data!CL85</f>
        <v>0</v>
      </c>
      <c r="CM45" s="70">
        <f>Data!CM85</f>
        <v>0</v>
      </c>
      <c r="CN45" s="70">
        <f>Data!CN85</f>
        <v>0</v>
      </c>
      <c r="CO45" s="70">
        <f>Data!CO85</f>
        <v>0</v>
      </c>
      <c r="CP45" s="69">
        <f t="shared" si="229"/>
        <v>0</v>
      </c>
      <c r="CQ45" s="70">
        <f>Data!CQ85</f>
        <v>0</v>
      </c>
      <c r="CR45" s="70">
        <f>Data!CR85</f>
        <v>0</v>
      </c>
      <c r="CS45" s="70">
        <f>Data!CS85</f>
        <v>0</v>
      </c>
      <c r="CT45" s="70">
        <f>Data!CT85</f>
        <v>0</v>
      </c>
      <c r="CU45" s="69">
        <f t="shared" si="230"/>
        <v>0</v>
      </c>
      <c r="CV45" s="70">
        <f>Data!CV85</f>
        <v>0</v>
      </c>
      <c r="CW45" s="70">
        <f>Data!CW85</f>
        <v>0</v>
      </c>
      <c r="CX45" s="70">
        <f>Data!CX85</f>
        <v>0</v>
      </c>
      <c r="CY45" s="70">
        <f>Data!CY85</f>
        <v>0</v>
      </c>
      <c r="CZ45" s="69">
        <f t="shared" si="231"/>
        <v>0</v>
      </c>
      <c r="DA45" s="70">
        <f>Data!DA85</f>
        <v>0</v>
      </c>
      <c r="DB45" s="70">
        <f>Data!DB85</f>
        <v>0</v>
      </c>
      <c r="DC45" s="70">
        <f>Data!DC85</f>
        <v>0</v>
      </c>
      <c r="DD45" s="70">
        <f>Data!DD85</f>
        <v>0</v>
      </c>
      <c r="DE45" s="69">
        <f t="shared" si="232"/>
        <v>0</v>
      </c>
      <c r="DF45" s="70">
        <f>Data!DF85</f>
        <v>0</v>
      </c>
      <c r="DG45" s="70">
        <f>Data!DG85</f>
        <v>0</v>
      </c>
      <c r="DH45" s="70">
        <f>Data!DH85</f>
        <v>0</v>
      </c>
      <c r="DI45" s="70">
        <f>Data!DI85</f>
        <v>6</v>
      </c>
      <c r="DJ45" s="69">
        <f t="shared" si="232"/>
        <v>6</v>
      </c>
      <c r="DK45" s="70">
        <f>Data!DK85</f>
        <v>6</v>
      </c>
      <c r="DL45" s="70">
        <f>Data!DL85</f>
        <v>6</v>
      </c>
      <c r="DM45" s="70">
        <f>Data!DM85</f>
        <v>6</v>
      </c>
      <c r="DN45" s="70">
        <f>Data!DN85</f>
        <v>6</v>
      </c>
      <c r="DO45" s="69">
        <f t="shared" si="232"/>
        <v>6</v>
      </c>
      <c r="DP45" s="70">
        <f>Data!DP85</f>
        <v>6</v>
      </c>
      <c r="DQ45" s="70">
        <f>Data!DQ85</f>
        <v>6</v>
      </c>
      <c r="DR45" s="194">
        <f t="shared" ref="DR45" si="248">DQ45</f>
        <v>6</v>
      </c>
      <c r="DS45" s="194">
        <f t="shared" ref="DS45" si="249">DR45</f>
        <v>6</v>
      </c>
      <c r="DT45" s="69">
        <f t="shared" si="235"/>
        <v>6</v>
      </c>
      <c r="DU45" s="194">
        <f t="shared" ref="DU45" si="250">DT45</f>
        <v>6</v>
      </c>
      <c r="DV45" s="194">
        <f t="shared" ref="DV45" si="251">DU45</f>
        <v>6</v>
      </c>
      <c r="DW45" s="194">
        <f t="shared" ref="DW45" si="252">DV45</f>
        <v>6</v>
      </c>
      <c r="DX45" s="194">
        <f t="shared" ref="DX45" si="253">DW45</f>
        <v>6</v>
      </c>
      <c r="DY45" s="69">
        <f t="shared" si="240"/>
        <v>6</v>
      </c>
      <c r="DZ45" s="195">
        <f t="shared" ref="DZ45" si="254">DY45</f>
        <v>6</v>
      </c>
      <c r="EA45" s="195">
        <f t="shared" ref="EA45" si="255">DZ45</f>
        <v>6</v>
      </c>
      <c r="EB45" s="195">
        <f t="shared" ref="EB45" si="256">EA45</f>
        <v>6</v>
      </c>
    </row>
    <row r="46" spans="2:132">
      <c r="B46" s="121" t="s">
        <v>80</v>
      </c>
      <c r="C46" s="120">
        <f>SUM(C40:C45)</f>
        <v>12953</v>
      </c>
      <c r="D46" s="120">
        <f t="shared" ref="D46:AW46" si="257">SUM(D40:D45)</f>
        <v>12316</v>
      </c>
      <c r="E46" s="120">
        <f t="shared" si="257"/>
        <v>11462</v>
      </c>
      <c r="F46" s="120">
        <f t="shared" si="257"/>
        <v>11020</v>
      </c>
      <c r="G46" s="120">
        <f t="shared" si="257"/>
        <v>10825</v>
      </c>
      <c r="H46" s="120">
        <f t="shared" si="257"/>
        <v>7696</v>
      </c>
      <c r="I46" s="120">
        <f t="shared" si="257"/>
        <v>8139</v>
      </c>
      <c r="J46" s="121">
        <f t="shared" si="257"/>
        <v>8859</v>
      </c>
      <c r="K46" s="121">
        <f t="shared" si="257"/>
        <v>8949</v>
      </c>
      <c r="L46" s="121">
        <f t="shared" si="257"/>
        <v>9542</v>
      </c>
      <c r="M46" s="121">
        <f t="shared" si="257"/>
        <v>11286</v>
      </c>
      <c r="N46" s="120">
        <f>SUM(N40:N45)</f>
        <v>11286</v>
      </c>
      <c r="O46" s="121">
        <f t="shared" si="257"/>
        <v>11478</v>
      </c>
      <c r="P46" s="121">
        <f t="shared" si="257"/>
        <v>11132</v>
      </c>
      <c r="Q46" s="121">
        <f t="shared" si="257"/>
        <v>9423</v>
      </c>
      <c r="R46" s="121">
        <f t="shared" si="257"/>
        <v>11059</v>
      </c>
      <c r="S46" s="120">
        <f t="shared" si="257"/>
        <v>11059</v>
      </c>
      <c r="T46" s="121">
        <f t="shared" si="257"/>
        <v>11517</v>
      </c>
      <c r="U46" s="121">
        <f t="shared" si="257"/>
        <v>10369</v>
      </c>
      <c r="V46" s="121">
        <f t="shared" si="257"/>
        <v>11026</v>
      </c>
      <c r="W46" s="121">
        <f t="shared" si="257"/>
        <v>4739</v>
      </c>
      <c r="X46" s="120">
        <f t="shared" si="257"/>
        <v>4739</v>
      </c>
      <c r="Y46" s="121">
        <f t="shared" si="257"/>
        <v>5611</v>
      </c>
      <c r="Z46" s="121">
        <f t="shared" si="257"/>
        <v>5857</v>
      </c>
      <c r="AA46" s="121">
        <f t="shared" si="257"/>
        <v>6406</v>
      </c>
      <c r="AB46" s="121">
        <f t="shared" si="257"/>
        <v>9004</v>
      </c>
      <c r="AC46" s="120">
        <f t="shared" si="257"/>
        <v>9004</v>
      </c>
      <c r="AD46" s="121">
        <f t="shared" si="257"/>
        <v>9066</v>
      </c>
      <c r="AE46" s="121">
        <f t="shared" si="257"/>
        <v>8594</v>
      </c>
      <c r="AF46" s="121">
        <f t="shared" si="257"/>
        <v>8714</v>
      </c>
      <c r="AG46" s="121">
        <f t="shared" si="257"/>
        <v>-1294</v>
      </c>
      <c r="AH46" s="120">
        <f t="shared" si="257"/>
        <v>-1294</v>
      </c>
      <c r="AI46" s="121">
        <f t="shared" si="257"/>
        <v>-662</v>
      </c>
      <c r="AJ46" s="121">
        <f t="shared" si="257"/>
        <v>180</v>
      </c>
      <c r="AK46" s="121">
        <f t="shared" si="257"/>
        <v>-1028</v>
      </c>
      <c r="AL46" s="121">
        <f t="shared" si="257"/>
        <v>2128</v>
      </c>
      <c r="AM46" s="120">
        <f t="shared" si="257"/>
        <v>2128</v>
      </c>
      <c r="AN46" s="241">
        <f t="shared" si="257"/>
        <v>2942</v>
      </c>
      <c r="AO46" s="241">
        <f>SUM(AO40:AO45)</f>
        <v>3077</v>
      </c>
      <c r="AP46" s="241">
        <f>SUM(AP40:AP45)</f>
        <v>4454</v>
      </c>
      <c r="AQ46" s="241">
        <f>SUM(AQ40:AQ45)</f>
        <v>2766</v>
      </c>
      <c r="AR46" s="120">
        <f t="shared" si="257"/>
        <v>2766</v>
      </c>
      <c r="AS46" s="241">
        <f>SUM(AS40:AS45)</f>
        <v>3912</v>
      </c>
      <c r="AT46" s="241">
        <f>SUM(AT40:AT45)</f>
        <v>4733</v>
      </c>
      <c r="AU46" s="121">
        <f>SUM(AU40:AU45)</f>
        <v>5967</v>
      </c>
      <c r="AV46" s="121">
        <f>SUM(AV40:AV45)</f>
        <v>3515</v>
      </c>
      <c r="AW46" s="120">
        <f t="shared" si="257"/>
        <v>3515</v>
      </c>
      <c r="AX46" s="121">
        <f t="shared" ref="AX46:BG46" si="258">SUM(AX40:AX45)</f>
        <v>5027</v>
      </c>
      <c r="AY46" s="121">
        <f t="shared" si="258"/>
        <v>5804</v>
      </c>
      <c r="AZ46" s="121">
        <f t="shared" si="258"/>
        <v>7588</v>
      </c>
      <c r="BA46" s="121">
        <f>SUM(BA40:BA45)</f>
        <v>5867</v>
      </c>
      <c r="BB46" s="120">
        <f t="shared" si="258"/>
        <v>5867</v>
      </c>
      <c r="BC46" s="121">
        <f>SUM(BC40:BC45)</f>
        <v>7462</v>
      </c>
      <c r="BD46" s="121">
        <f>SUM(BD40:BD45)</f>
        <v>7526</v>
      </c>
      <c r="BE46" s="121">
        <f>SUM(BE40:BE45)</f>
        <v>8951</v>
      </c>
      <c r="BF46" s="121">
        <f>SUM(BF40:BF45)</f>
        <v>14875</v>
      </c>
      <c r="BG46" s="120">
        <f t="shared" si="258"/>
        <v>14875</v>
      </c>
      <c r="BH46" s="121">
        <f>SUM(BH40:BH45)</f>
        <v>14520</v>
      </c>
      <c r="BI46" s="121">
        <f>SUM(BI40:BI45)</f>
        <v>14061</v>
      </c>
      <c r="BJ46" s="121">
        <f>SUM(BJ40:BJ45)</f>
        <v>14511</v>
      </c>
      <c r="BK46" s="121">
        <f>SUM(BK40:BK45)</f>
        <v>8665</v>
      </c>
      <c r="BL46" s="120">
        <f t="shared" ref="BL46" si="259">SUM(BL40:BL45)</f>
        <v>8665</v>
      </c>
      <c r="BM46" s="121">
        <f>SUM(BM40:BM45)</f>
        <v>7906</v>
      </c>
      <c r="BN46" s="121">
        <f>SUM(BN40:BN45)</f>
        <v>6264</v>
      </c>
      <c r="BO46" s="121">
        <f>SUM(BO40:BO45)</f>
        <v>6740</v>
      </c>
      <c r="BP46" s="121">
        <f>SUM(BP40:BP45)</f>
        <v>6335</v>
      </c>
      <c r="BQ46" s="120">
        <f t="shared" ref="BQ46" si="260">SUM(BQ40:BQ45)</f>
        <v>6335</v>
      </c>
      <c r="BR46" s="121">
        <f>SUM(BR40:BR45)</f>
        <v>4043</v>
      </c>
      <c r="BS46" s="121">
        <f>SUM(BS40:BS45)</f>
        <v>585</v>
      </c>
      <c r="BT46" s="121">
        <f>SUM(BT40:BT45)</f>
        <v>2089</v>
      </c>
      <c r="BU46" s="121">
        <f>SUM(BU40:BU45)</f>
        <v>817</v>
      </c>
      <c r="BV46" s="120">
        <f t="shared" ref="BV46:CA46" si="261">SUM(BV40:BV45)</f>
        <v>817</v>
      </c>
      <c r="BW46" s="121">
        <f>SUM(BW40:BW45)</f>
        <v>95</v>
      </c>
      <c r="BX46" s="121">
        <f>SUM(BX40:BX45)</f>
        <v>-2037</v>
      </c>
      <c r="BY46" s="121">
        <f>SUM(BY40:BY45)</f>
        <v>1086</v>
      </c>
      <c r="BZ46" s="121">
        <f>SUM(BZ40:BZ45)</f>
        <v>355</v>
      </c>
      <c r="CA46" s="120">
        <f t="shared" si="261"/>
        <v>355</v>
      </c>
      <c r="CB46" s="121">
        <f>SUM(CB40:CB45)</f>
        <v>1222</v>
      </c>
      <c r="CC46" s="121">
        <f>SUM(CC40:CC45)</f>
        <v>-1441</v>
      </c>
      <c r="CD46" s="121">
        <f>SUM(CD40:CD45)</f>
        <v>-1289</v>
      </c>
      <c r="CE46" s="121">
        <f>SUM(CE40:CE45)</f>
        <v>339</v>
      </c>
      <c r="CF46" s="120">
        <f t="shared" ref="CF46" si="262">SUM(CF40:CF45)</f>
        <v>339</v>
      </c>
      <c r="CG46" s="121">
        <f>SUM(CG40:CG45)</f>
        <v>125</v>
      </c>
      <c r="CH46" s="121">
        <f>SUM(CH40:CH45)</f>
        <v>-5322</v>
      </c>
      <c r="CI46" s="121">
        <f>SUM(CI40:CI45)</f>
        <v>-4116</v>
      </c>
      <c r="CJ46" s="121">
        <f>SUM(CJ40:CJ45)</f>
        <v>-8617</v>
      </c>
      <c r="CK46" s="120">
        <f t="shared" ref="CK46" si="263">SUM(CK40:CK45)</f>
        <v>-8617</v>
      </c>
      <c r="CL46" s="121">
        <f>SUM(CL40:CL45)</f>
        <v>-9665</v>
      </c>
      <c r="CM46" s="121">
        <f>SUM(CM40:CM45)</f>
        <v>-11667</v>
      </c>
      <c r="CN46" s="121">
        <f>SUM(CN40:CN45)</f>
        <v>-11821</v>
      </c>
      <c r="CO46" s="121">
        <f>SUM(CO40:CO45)</f>
        <v>-18316</v>
      </c>
      <c r="CP46" s="120">
        <f t="shared" ref="CP46" si="264">SUM(CP40:CP45)</f>
        <v>-18316</v>
      </c>
      <c r="CQ46" s="121">
        <f>SUM(CQ40:CQ45)</f>
        <v>-18058</v>
      </c>
      <c r="CR46" s="121">
        <f>SUM(CR40:CR45)</f>
        <v>-16682</v>
      </c>
      <c r="CS46" s="121">
        <f>SUM(CS40:CS45)</f>
        <v>-14440</v>
      </c>
      <c r="CT46" s="121">
        <f>SUM(CT40:CT45)</f>
        <v>-14999</v>
      </c>
      <c r="CU46" s="120">
        <f t="shared" ref="CU46" si="265">SUM(CU40:CU45)</f>
        <v>-14999</v>
      </c>
      <c r="CV46" s="121">
        <f>SUM(CV40:CV45)</f>
        <v>-15398</v>
      </c>
      <c r="CW46" s="121">
        <f>SUM(CW40:CW45)</f>
        <v>-14888</v>
      </c>
      <c r="CX46" s="121">
        <f>SUM(CX40:CX45)</f>
        <v>-17699</v>
      </c>
      <c r="CY46" s="121">
        <f>SUM(CY40:CY45)</f>
        <v>-15883</v>
      </c>
      <c r="CZ46" s="120">
        <f t="shared" ref="CZ46" si="266">SUM(CZ40:CZ45)</f>
        <v>-15883</v>
      </c>
      <c r="DA46" s="121">
        <f>SUM(DA40:DA45)</f>
        <v>-15508</v>
      </c>
      <c r="DB46" s="121">
        <f>SUM(DB40:DB45)</f>
        <v>-15517</v>
      </c>
      <c r="DC46" s="121">
        <f>SUM(DC40:DC45)</f>
        <v>-16729</v>
      </c>
      <c r="DD46" s="121">
        <f>SUM(DD40:DD45)</f>
        <v>-17233</v>
      </c>
      <c r="DE46" s="120">
        <f t="shared" ref="DE46" si="267">SUM(DE40:DE45)</f>
        <v>-17233</v>
      </c>
      <c r="DF46" s="121">
        <f>SUM(DF40:DF45)</f>
        <v>-17009</v>
      </c>
      <c r="DG46" s="121">
        <f>SUM(DG40:DG45)</f>
        <v>-17976</v>
      </c>
      <c r="DH46" s="121">
        <f>SUM(DH40:DH45)</f>
        <v>-23552</v>
      </c>
      <c r="DI46" s="121">
        <f>SUM(DI40:DI45)</f>
        <v>-3908</v>
      </c>
      <c r="DJ46" s="120">
        <f t="shared" ref="DJ46" si="268">SUM(DJ40:DJ45)</f>
        <v>-3908</v>
      </c>
      <c r="DK46" s="121">
        <f>SUM(DK40:DK45)</f>
        <v>-3325</v>
      </c>
      <c r="DL46" s="121">
        <f>SUM(DL40:DL45)</f>
        <v>-3295</v>
      </c>
      <c r="DM46" s="121">
        <f>SUM(DM40:DM45)</f>
        <v>-8250</v>
      </c>
      <c r="DN46" s="121">
        <f>SUM(DN40:DN45)</f>
        <v>5454</v>
      </c>
      <c r="DO46" s="120">
        <f t="shared" ref="DO46" si="269">SUM(DO40:DO45)</f>
        <v>5454</v>
      </c>
      <c r="DP46" s="121">
        <f>SUM(DP40:DP45)</f>
        <v>5987</v>
      </c>
      <c r="DQ46" s="121">
        <f>SUM(DQ40:DQ45)</f>
        <v>6100</v>
      </c>
      <c r="DR46" s="121">
        <f t="shared" ref="DR46:DU46" si="270">SUM(DR40:DR45)</f>
        <v>-211.58930665953085</v>
      </c>
      <c r="DS46" s="121">
        <f t="shared" si="270"/>
        <v>-1744.2890350208691</v>
      </c>
      <c r="DT46" s="120">
        <f t="shared" si="270"/>
        <v>-1744.2890350208691</v>
      </c>
      <c r="DU46" s="121">
        <f t="shared" si="270"/>
        <v>25120.673799957505</v>
      </c>
      <c r="DV46" s="121">
        <f t="shared" ref="DV46:DY46" si="271">SUM(DV40:DV45)</f>
        <v>16770.53027560623</v>
      </c>
      <c r="DW46" s="121">
        <f t="shared" si="271"/>
        <v>14796.555061447027</v>
      </c>
      <c r="DX46" s="121">
        <f t="shared" si="271"/>
        <v>13098.40642479778</v>
      </c>
      <c r="DY46" s="120">
        <f t="shared" si="271"/>
        <v>13098.40642479778</v>
      </c>
      <c r="DZ46" s="120">
        <f t="shared" ref="DZ46:EB46" si="272">SUM(DZ40:DZ45)</f>
        <v>-1064.2082421552332</v>
      </c>
      <c r="EA46" s="120">
        <f t="shared" si="272"/>
        <v>6687.4140185820288</v>
      </c>
      <c r="EB46" s="120">
        <f t="shared" si="272"/>
        <v>12181.954054286689</v>
      </c>
    </row>
    <row r="47" spans="2:132">
      <c r="B47" s="68" t="s">
        <v>81</v>
      </c>
      <c r="C47" s="69">
        <f>Data!C87</f>
        <v>0</v>
      </c>
      <c r="D47" s="69">
        <f>Data!D87</f>
        <v>0</v>
      </c>
      <c r="E47" s="69">
        <f>Data!E87</f>
        <v>0</v>
      </c>
      <c r="F47" s="69">
        <f>Data!F87</f>
        <v>0</v>
      </c>
      <c r="G47" s="69">
        <f>Data!G87</f>
        <v>0</v>
      </c>
      <c r="H47" s="69">
        <f>Data!H87</f>
        <v>0</v>
      </c>
      <c r="I47" s="69">
        <f>Data!I87</f>
        <v>0</v>
      </c>
      <c r="J47" s="70">
        <f>Data!J87</f>
        <v>0</v>
      </c>
      <c r="K47" s="70">
        <f>Data!K87</f>
        <v>0</v>
      </c>
      <c r="L47" s="70">
        <f>Data!L87</f>
        <v>0</v>
      </c>
      <c r="M47" s="70">
        <f>Data!M87</f>
        <v>0</v>
      </c>
      <c r="N47" s="69">
        <f>M47</f>
        <v>0</v>
      </c>
      <c r="O47" s="70">
        <f>Data!O87</f>
        <v>0</v>
      </c>
      <c r="P47" s="70">
        <f>Data!P87</f>
        <v>0</v>
      </c>
      <c r="Q47" s="70">
        <f>Data!Q87</f>
        <v>0</v>
      </c>
      <c r="R47" s="70">
        <f>Data!R87</f>
        <v>0</v>
      </c>
      <c r="S47" s="69">
        <f t="shared" si="105"/>
        <v>0</v>
      </c>
      <c r="T47" s="70">
        <f>Data!T87</f>
        <v>0</v>
      </c>
      <c r="U47" s="70">
        <f>Data!U87</f>
        <v>0</v>
      </c>
      <c r="V47" s="70">
        <f>Data!V87</f>
        <v>0</v>
      </c>
      <c r="W47" s="70">
        <f>Data!W87</f>
        <v>0</v>
      </c>
      <c r="X47" s="69">
        <f t="shared" si="106"/>
        <v>0</v>
      </c>
      <c r="Y47" s="70">
        <f>Data!Y87</f>
        <v>0</v>
      </c>
      <c r="Z47" s="70">
        <f>Data!Z87</f>
        <v>0</v>
      </c>
      <c r="AA47" s="70">
        <f>Data!AA87</f>
        <v>0</v>
      </c>
      <c r="AB47" s="70">
        <f>Data!AB87</f>
        <v>0</v>
      </c>
      <c r="AC47" s="69">
        <f t="shared" si="107"/>
        <v>0</v>
      </c>
      <c r="AD47" s="70">
        <f>Data!AD87</f>
        <v>0</v>
      </c>
      <c r="AE47" s="70">
        <f>Data!AE87</f>
        <v>0</v>
      </c>
      <c r="AF47" s="70">
        <f>Data!AF87</f>
        <v>0</v>
      </c>
      <c r="AG47" s="70">
        <f>Data!AG87</f>
        <v>0</v>
      </c>
      <c r="AH47" s="69">
        <f t="shared" si="108"/>
        <v>0</v>
      </c>
      <c r="AI47" s="70">
        <f>Data!AI87</f>
        <v>153</v>
      </c>
      <c r="AJ47" s="70">
        <f>Data!AJ87</f>
        <v>154</v>
      </c>
      <c r="AK47" s="70">
        <f>Data!AK87</f>
        <v>151</v>
      </c>
      <c r="AL47" s="70">
        <f>Data!AL87</f>
        <v>97</v>
      </c>
      <c r="AM47" s="69">
        <f>AL47</f>
        <v>97</v>
      </c>
      <c r="AN47" s="70">
        <f>Data!AN87</f>
        <v>97</v>
      </c>
      <c r="AO47" s="70">
        <f>Data!AO87</f>
        <v>96</v>
      </c>
      <c r="AP47" s="70">
        <f>Data!AP87</f>
        <v>98</v>
      </c>
      <c r="AQ47" s="70">
        <f>Data!AQ87</f>
        <v>96</v>
      </c>
      <c r="AR47" s="69">
        <f>AQ47</f>
        <v>96</v>
      </c>
      <c r="AS47" s="70">
        <f>Data!AS87</f>
        <v>95</v>
      </c>
      <c r="AT47" s="70">
        <f>Data!AT87</f>
        <v>91</v>
      </c>
      <c r="AU47" s="70">
        <f>Data!AU87</f>
        <v>94</v>
      </c>
      <c r="AV47" s="70">
        <f>Data!AV87</f>
        <v>93</v>
      </c>
      <c r="AW47" s="69">
        <f t="shared" si="111"/>
        <v>93</v>
      </c>
      <c r="AX47" s="70">
        <f>Data!AX87</f>
        <v>93</v>
      </c>
      <c r="AY47" s="70">
        <f>Data!AY87</f>
        <v>88</v>
      </c>
      <c r="AZ47" s="70">
        <f>Data!AZ87</f>
        <v>94</v>
      </c>
      <c r="BA47" s="70">
        <f>Data!BA87</f>
        <v>100</v>
      </c>
      <c r="BB47" s="69">
        <f t="shared" si="112"/>
        <v>100</v>
      </c>
      <c r="BC47" s="70">
        <f>Data!BC87</f>
        <v>98</v>
      </c>
      <c r="BD47" s="70">
        <f>Data!BD87</f>
        <v>106</v>
      </c>
      <c r="BE47" s="70">
        <f>Data!BE87</f>
        <v>116</v>
      </c>
      <c r="BF47" s="70">
        <f>Data!BF87</f>
        <v>122</v>
      </c>
      <c r="BG47" s="69">
        <f t="shared" si="113"/>
        <v>122</v>
      </c>
      <c r="BH47" s="70">
        <f>Data!BH87</f>
        <v>113</v>
      </c>
      <c r="BI47" s="70">
        <f>Data!BI87</f>
        <v>123</v>
      </c>
      <c r="BJ47" s="70">
        <f>Data!BJ87</f>
        <v>126</v>
      </c>
      <c r="BK47" s="70">
        <f>Data!BK87</f>
        <v>125</v>
      </c>
      <c r="BL47" s="69">
        <f t="shared" si="114"/>
        <v>125</v>
      </c>
      <c r="BM47" s="70">
        <f>Data!BM87</f>
        <v>124</v>
      </c>
      <c r="BN47" s="70">
        <f>Data!BN87</f>
        <v>43</v>
      </c>
      <c r="BO47" s="70">
        <f>Data!BO87</f>
        <v>46</v>
      </c>
      <c r="BP47" s="70">
        <f>Data!BP87</f>
        <v>62</v>
      </c>
      <c r="BQ47" s="69">
        <f t="shared" si="115"/>
        <v>62</v>
      </c>
      <c r="BR47" s="70">
        <f>Data!BR87</f>
        <v>63</v>
      </c>
      <c r="BS47" s="70">
        <f>Data!BS87</f>
        <v>62</v>
      </c>
      <c r="BT47" s="70">
        <f>Data!BT87</f>
        <v>61</v>
      </c>
      <c r="BU47" s="70">
        <f>Data!BU87</f>
        <v>60</v>
      </c>
      <c r="BV47" s="69">
        <f t="shared" si="116"/>
        <v>60</v>
      </c>
      <c r="BW47" s="70">
        <f>Data!BW87</f>
        <v>60</v>
      </c>
      <c r="BX47" s="70">
        <f>Data!BX87</f>
        <v>59</v>
      </c>
      <c r="BY47" s="70">
        <f>Data!BY87</f>
        <v>59</v>
      </c>
      <c r="BZ47" s="70">
        <f>Data!BZ87</f>
        <v>57</v>
      </c>
      <c r="CA47" s="69">
        <f t="shared" ref="CA47" si="273">BZ47</f>
        <v>57</v>
      </c>
      <c r="CB47" s="70">
        <f>Data!CB87</f>
        <v>76</v>
      </c>
      <c r="CC47" s="70">
        <f>Data!CC87</f>
        <v>67</v>
      </c>
      <c r="CD47" s="70">
        <f>Data!CD87</f>
        <v>80</v>
      </c>
      <c r="CE47" s="70">
        <f>Data!CE87</f>
        <v>71</v>
      </c>
      <c r="CF47" s="69">
        <f t="shared" ref="CF47" si="274">CE47</f>
        <v>71</v>
      </c>
      <c r="CG47" s="70">
        <f>Data!CG87</f>
        <v>107</v>
      </c>
      <c r="CH47" s="70">
        <f>Data!CH87</f>
        <v>379</v>
      </c>
      <c r="CI47" s="70">
        <f>Data!CI87</f>
        <v>307</v>
      </c>
      <c r="CJ47" s="70">
        <f>Data!CJ87</f>
        <v>317</v>
      </c>
      <c r="CK47" s="69">
        <f t="shared" ref="CK47" si="275">CJ47</f>
        <v>317</v>
      </c>
      <c r="CL47" s="70">
        <f>Data!CL87</f>
        <v>305</v>
      </c>
      <c r="CM47" s="70">
        <f>Data!CM87</f>
        <v>285</v>
      </c>
      <c r="CN47" s="70">
        <f>Data!CN87</f>
        <v>268</v>
      </c>
      <c r="CO47" s="70">
        <f>Data!CO87</f>
        <v>241</v>
      </c>
      <c r="CP47" s="69">
        <f t="shared" ref="CP47" si="276">CO47</f>
        <v>241</v>
      </c>
      <c r="CQ47" s="70">
        <f>Data!CQ87</f>
        <v>217</v>
      </c>
      <c r="CR47" s="70">
        <f>Data!CR87</f>
        <v>197</v>
      </c>
      <c r="CS47" s="70">
        <f>Data!CS87</f>
        <v>174</v>
      </c>
      <c r="CT47" s="70">
        <f>Data!CT87</f>
        <v>153</v>
      </c>
      <c r="CU47" s="69">
        <f t="shared" ref="CU47" si="277">CT47</f>
        <v>153</v>
      </c>
      <c r="CV47" s="70">
        <f>Data!CV87</f>
        <v>130</v>
      </c>
      <c r="CW47" s="70">
        <f>Data!CW87</f>
        <v>97</v>
      </c>
      <c r="CX47" s="70">
        <f>Data!CX87</f>
        <v>64</v>
      </c>
      <c r="CY47" s="70">
        <f>Data!CY87</f>
        <v>35</v>
      </c>
      <c r="CZ47" s="69">
        <f t="shared" ref="CZ47" si="278">CY47</f>
        <v>35</v>
      </c>
      <c r="DA47" s="70">
        <f>Data!DA87</f>
        <v>24</v>
      </c>
      <c r="DB47" s="70">
        <f>Data!DB87</f>
        <v>24</v>
      </c>
      <c r="DC47" s="70">
        <f>Data!DC87</f>
        <v>12</v>
      </c>
      <c r="DD47" s="70">
        <f>Data!DD87</f>
        <v>5</v>
      </c>
      <c r="DE47" s="69">
        <f t="shared" ref="DE47:DO47" si="279">DD47</f>
        <v>5</v>
      </c>
      <c r="DF47" s="70">
        <f>Data!DF87</f>
        <v>-7</v>
      </c>
      <c r="DG47" s="70">
        <f>Data!DG87</f>
        <v>-6</v>
      </c>
      <c r="DH47" s="70">
        <f>Data!DH87</f>
        <v>-10</v>
      </c>
      <c r="DI47" s="70">
        <f>Data!DI87</f>
        <v>-6</v>
      </c>
      <c r="DJ47" s="69">
        <f t="shared" si="279"/>
        <v>-6</v>
      </c>
      <c r="DK47" s="70">
        <f>Data!DK87</f>
        <v>0</v>
      </c>
      <c r="DL47" s="70">
        <f>Data!DL87</f>
        <v>-1</v>
      </c>
      <c r="DM47" s="70">
        <f>Data!DM87</f>
        <v>-3</v>
      </c>
      <c r="DN47" s="70">
        <f>Data!DN87</f>
        <v>3</v>
      </c>
      <c r="DO47" s="69">
        <f t="shared" si="279"/>
        <v>3</v>
      </c>
      <c r="DP47" s="70">
        <f>Data!DP87</f>
        <v>0</v>
      </c>
      <c r="DQ47" s="70">
        <f>Data!DQ87</f>
        <v>15</v>
      </c>
      <c r="DR47" s="194">
        <f t="shared" ref="DR47" si="280">DQ47</f>
        <v>15</v>
      </c>
      <c r="DS47" s="194">
        <f t="shared" ref="DS47" si="281">DR47</f>
        <v>15</v>
      </c>
      <c r="DT47" s="69">
        <f t="shared" ref="DT47" si="282">DS47</f>
        <v>15</v>
      </c>
      <c r="DU47" s="194">
        <f t="shared" ref="DU47" si="283">DT47</f>
        <v>15</v>
      </c>
      <c r="DV47" s="194">
        <f t="shared" ref="DV47" si="284">DU47</f>
        <v>15</v>
      </c>
      <c r="DW47" s="194">
        <f t="shared" ref="DW47" si="285">DV47</f>
        <v>15</v>
      </c>
      <c r="DX47" s="194">
        <f t="shared" ref="DX47" si="286">DW47</f>
        <v>15</v>
      </c>
      <c r="DY47" s="69">
        <f t="shared" ref="DY47" si="287">DX47</f>
        <v>15</v>
      </c>
      <c r="DZ47" s="195">
        <f t="shared" ref="DZ47" si="288">DY47</f>
        <v>15</v>
      </c>
      <c r="EA47" s="195">
        <f t="shared" ref="EA47" si="289">DZ47</f>
        <v>15</v>
      </c>
      <c r="EB47" s="195">
        <f t="shared" ref="EB47" si="290">EA47</f>
        <v>15</v>
      </c>
    </row>
    <row r="48" spans="2:132">
      <c r="B48" s="74" t="s">
        <v>82</v>
      </c>
      <c r="C48" s="193">
        <f>C46+C47</f>
        <v>12953</v>
      </c>
      <c r="D48" s="193">
        <f t="shared" ref="D48:AW48" si="291">D46+D47</f>
        <v>12316</v>
      </c>
      <c r="E48" s="193">
        <f t="shared" si="291"/>
        <v>11462</v>
      </c>
      <c r="F48" s="193">
        <f t="shared" si="291"/>
        <v>11020</v>
      </c>
      <c r="G48" s="193">
        <f t="shared" si="291"/>
        <v>10825</v>
      </c>
      <c r="H48" s="193">
        <f t="shared" si="291"/>
        <v>7696</v>
      </c>
      <c r="I48" s="193">
        <f t="shared" si="291"/>
        <v>8139</v>
      </c>
      <c r="J48" s="74">
        <f t="shared" si="291"/>
        <v>8859</v>
      </c>
      <c r="K48" s="74">
        <f t="shared" si="291"/>
        <v>8949</v>
      </c>
      <c r="L48" s="74">
        <f t="shared" si="291"/>
        <v>9542</v>
      </c>
      <c r="M48" s="74">
        <f t="shared" si="291"/>
        <v>11286</v>
      </c>
      <c r="N48" s="193">
        <f>N46+N47</f>
        <v>11286</v>
      </c>
      <c r="O48" s="74">
        <f t="shared" si="291"/>
        <v>11478</v>
      </c>
      <c r="P48" s="74">
        <f t="shared" si="291"/>
        <v>11132</v>
      </c>
      <c r="Q48" s="74">
        <f t="shared" si="291"/>
        <v>9423</v>
      </c>
      <c r="R48" s="74">
        <f t="shared" si="291"/>
        <v>11059</v>
      </c>
      <c r="S48" s="193">
        <f t="shared" si="291"/>
        <v>11059</v>
      </c>
      <c r="T48" s="74">
        <f t="shared" si="291"/>
        <v>11517</v>
      </c>
      <c r="U48" s="74">
        <f t="shared" si="291"/>
        <v>10369</v>
      </c>
      <c r="V48" s="74">
        <f t="shared" si="291"/>
        <v>11026</v>
      </c>
      <c r="W48" s="74">
        <f t="shared" si="291"/>
        <v>4739</v>
      </c>
      <c r="X48" s="193">
        <f t="shared" si="291"/>
        <v>4739</v>
      </c>
      <c r="Y48" s="74">
        <f t="shared" si="291"/>
        <v>5611</v>
      </c>
      <c r="Z48" s="74">
        <f t="shared" si="291"/>
        <v>5857</v>
      </c>
      <c r="AA48" s="74">
        <f t="shared" si="291"/>
        <v>6406</v>
      </c>
      <c r="AB48" s="74">
        <f t="shared" si="291"/>
        <v>9004</v>
      </c>
      <c r="AC48" s="193">
        <f t="shared" si="291"/>
        <v>9004</v>
      </c>
      <c r="AD48" s="74">
        <f t="shared" si="291"/>
        <v>9066</v>
      </c>
      <c r="AE48" s="74">
        <f t="shared" si="291"/>
        <v>8594</v>
      </c>
      <c r="AF48" s="74">
        <f t="shared" si="291"/>
        <v>8714</v>
      </c>
      <c r="AG48" s="74">
        <f t="shared" si="291"/>
        <v>-1294</v>
      </c>
      <c r="AH48" s="193">
        <f t="shared" si="291"/>
        <v>-1294</v>
      </c>
      <c r="AI48" s="74">
        <f t="shared" si="291"/>
        <v>-509</v>
      </c>
      <c r="AJ48" s="74">
        <f t="shared" si="291"/>
        <v>334</v>
      </c>
      <c r="AK48" s="74">
        <f t="shared" si="291"/>
        <v>-877</v>
      </c>
      <c r="AL48" s="74">
        <f t="shared" si="291"/>
        <v>2225</v>
      </c>
      <c r="AM48" s="193">
        <f t="shared" si="291"/>
        <v>2225</v>
      </c>
      <c r="AN48" s="74">
        <f t="shared" si="291"/>
        <v>3039</v>
      </c>
      <c r="AO48" s="74">
        <f>AO46+AO47</f>
        <v>3173</v>
      </c>
      <c r="AP48" s="74">
        <f>AP46+AP47</f>
        <v>4552</v>
      </c>
      <c r="AQ48" s="74">
        <f>AQ46+AQ47</f>
        <v>2862</v>
      </c>
      <c r="AR48" s="193">
        <f t="shared" si="291"/>
        <v>2862</v>
      </c>
      <c r="AS48" s="74">
        <f>AS46+AS47</f>
        <v>4007</v>
      </c>
      <c r="AT48" s="74">
        <f>AT46+AT47</f>
        <v>4824</v>
      </c>
      <c r="AU48" s="74">
        <f>AU46+AU47</f>
        <v>6061</v>
      </c>
      <c r="AV48" s="74">
        <f>AV46+AV47</f>
        <v>3608</v>
      </c>
      <c r="AW48" s="193">
        <f t="shared" si="291"/>
        <v>3608</v>
      </c>
      <c r="AX48" s="74">
        <f t="shared" ref="AX48:BG48" si="292">AX46+AX47</f>
        <v>5120</v>
      </c>
      <c r="AY48" s="74">
        <f t="shared" si="292"/>
        <v>5892</v>
      </c>
      <c r="AZ48" s="74">
        <f t="shared" si="292"/>
        <v>7682</v>
      </c>
      <c r="BA48" s="74">
        <f>BA46+BA47</f>
        <v>5967</v>
      </c>
      <c r="BB48" s="193">
        <f t="shared" si="292"/>
        <v>5967</v>
      </c>
      <c r="BC48" s="74">
        <f>BC46+BC47</f>
        <v>7560</v>
      </c>
      <c r="BD48" s="74">
        <f>BD46+BD47</f>
        <v>7632</v>
      </c>
      <c r="BE48" s="74">
        <f>BE46+BE47</f>
        <v>9067</v>
      </c>
      <c r="BF48" s="74">
        <f>BF46+BF47</f>
        <v>14997</v>
      </c>
      <c r="BG48" s="193">
        <f t="shared" si="292"/>
        <v>14997</v>
      </c>
      <c r="BH48" s="74">
        <f>BH46+BH47</f>
        <v>14633</v>
      </c>
      <c r="BI48" s="74">
        <f>BI46+BI47</f>
        <v>14184</v>
      </c>
      <c r="BJ48" s="74">
        <f>BJ46+BJ47</f>
        <v>14637</v>
      </c>
      <c r="BK48" s="74">
        <f>BK46+BK47</f>
        <v>8790</v>
      </c>
      <c r="BL48" s="193">
        <f t="shared" ref="BL48" si="293">BL46+BL47</f>
        <v>8790</v>
      </c>
      <c r="BM48" s="74">
        <f>BM46+BM47</f>
        <v>8030</v>
      </c>
      <c r="BN48" s="74">
        <f>BN46+BN47</f>
        <v>6307</v>
      </c>
      <c r="BO48" s="74">
        <f>BO46+BO47</f>
        <v>6786</v>
      </c>
      <c r="BP48" s="74">
        <f>BP46+BP47</f>
        <v>6397</v>
      </c>
      <c r="BQ48" s="193">
        <f t="shared" ref="BQ48" si="294">BQ46+BQ47</f>
        <v>6397</v>
      </c>
      <c r="BR48" s="74">
        <f>BR46+BR47</f>
        <v>4106</v>
      </c>
      <c r="BS48" s="74">
        <f>BS46+BS47</f>
        <v>647</v>
      </c>
      <c r="BT48" s="74">
        <f>BT46+BT47</f>
        <v>2150</v>
      </c>
      <c r="BU48" s="74">
        <f>BU46+BU47</f>
        <v>877</v>
      </c>
      <c r="BV48" s="193">
        <f t="shared" ref="BV48" si="295">BV46+BV47</f>
        <v>877</v>
      </c>
      <c r="BW48" s="74">
        <f>BW46+BW47</f>
        <v>155</v>
      </c>
      <c r="BX48" s="74">
        <f>BX46+BX47</f>
        <v>-1978</v>
      </c>
      <c r="BY48" s="74">
        <f>BY46+BY47</f>
        <v>1145</v>
      </c>
      <c r="BZ48" s="74">
        <f>BZ46+BZ47</f>
        <v>412</v>
      </c>
      <c r="CA48" s="193">
        <f t="shared" ref="CA48" si="296">CA46+CA47</f>
        <v>412</v>
      </c>
      <c r="CB48" s="74">
        <f>CB46+CB47</f>
        <v>1298</v>
      </c>
      <c r="CC48" s="74">
        <f>CC46+CC47</f>
        <v>-1374</v>
      </c>
      <c r="CD48" s="74">
        <f>CD46+CD47</f>
        <v>-1209</v>
      </c>
      <c r="CE48" s="74">
        <f>CE46+CE47</f>
        <v>410</v>
      </c>
      <c r="CF48" s="193">
        <f t="shared" ref="CF48" si="297">CF46+CF47</f>
        <v>410</v>
      </c>
      <c r="CG48" s="74">
        <f>CG46+CG47</f>
        <v>232</v>
      </c>
      <c r="CH48" s="74">
        <f>CH46+CH47</f>
        <v>-4943</v>
      </c>
      <c r="CI48" s="74">
        <f>CI46+CI47</f>
        <v>-3809</v>
      </c>
      <c r="CJ48" s="74">
        <f>CJ46+CJ47</f>
        <v>-8300</v>
      </c>
      <c r="CK48" s="193">
        <f t="shared" ref="CK48" si="298">CK46+CK47</f>
        <v>-8300</v>
      </c>
      <c r="CL48" s="74">
        <f>CL46+CL47</f>
        <v>-9360</v>
      </c>
      <c r="CM48" s="74">
        <f>CM46+CM47</f>
        <v>-11382</v>
      </c>
      <c r="CN48" s="74">
        <f>CN46+CN47</f>
        <v>-11553</v>
      </c>
      <c r="CO48" s="74">
        <f>CO46+CO47</f>
        <v>-18075</v>
      </c>
      <c r="CP48" s="193">
        <f t="shared" ref="CP48" si="299">CP46+CP47</f>
        <v>-18075</v>
      </c>
      <c r="CQ48" s="74">
        <f>CQ46+CQ47</f>
        <v>-17841</v>
      </c>
      <c r="CR48" s="74">
        <f>CR46+CR47</f>
        <v>-16485</v>
      </c>
      <c r="CS48" s="74">
        <f>CS46+CS47</f>
        <v>-14266</v>
      </c>
      <c r="CT48" s="74">
        <f>CT46+CT47</f>
        <v>-14846</v>
      </c>
      <c r="CU48" s="193">
        <f t="shared" ref="CU48" si="300">CU46+CU47</f>
        <v>-14846</v>
      </c>
      <c r="CV48" s="74">
        <f>CV46+CV47</f>
        <v>-15268</v>
      </c>
      <c r="CW48" s="74">
        <f>CW46+CW47</f>
        <v>-14791</v>
      </c>
      <c r="CX48" s="74">
        <f>CX46+CX47</f>
        <v>-17635</v>
      </c>
      <c r="CY48" s="74">
        <f>CY46+CY47</f>
        <v>-15848</v>
      </c>
      <c r="CZ48" s="193">
        <f t="shared" ref="CZ48:DA48" si="301">CZ46+CZ47</f>
        <v>-15848</v>
      </c>
      <c r="DA48" s="74">
        <f t="shared" si="301"/>
        <v>-15484</v>
      </c>
      <c r="DB48" s="74">
        <f>DB46+DB47</f>
        <v>-15493</v>
      </c>
      <c r="DC48" s="74">
        <f>DC46+DC47</f>
        <v>-16717</v>
      </c>
      <c r="DD48" s="74">
        <f>DD46+DD47</f>
        <v>-17228</v>
      </c>
      <c r="DE48" s="193">
        <f t="shared" ref="DE48:DF48" si="302">DE46+DE47</f>
        <v>-17228</v>
      </c>
      <c r="DF48" s="74">
        <f t="shared" si="302"/>
        <v>-17016</v>
      </c>
      <c r="DG48" s="74">
        <f>DG46+DG47</f>
        <v>-17982</v>
      </c>
      <c r="DH48" s="74">
        <f>DH46+DH47</f>
        <v>-23562</v>
      </c>
      <c r="DI48" s="74">
        <f>DI46+DI47</f>
        <v>-3914</v>
      </c>
      <c r="DJ48" s="193">
        <f t="shared" ref="DJ48:DK48" si="303">DJ46+DJ47</f>
        <v>-3914</v>
      </c>
      <c r="DK48" s="74">
        <f t="shared" si="303"/>
        <v>-3325</v>
      </c>
      <c r="DL48" s="74">
        <f>DL46+DL47</f>
        <v>-3296</v>
      </c>
      <c r="DM48" s="74">
        <f>DM46+DM47</f>
        <v>-8253</v>
      </c>
      <c r="DN48" s="74">
        <f>DN46+DN47</f>
        <v>5457</v>
      </c>
      <c r="DO48" s="193">
        <f t="shared" ref="DO48:DS48" si="304">DO46+DO47</f>
        <v>5457</v>
      </c>
      <c r="DP48" s="74">
        <f t="shared" si="304"/>
        <v>5987</v>
      </c>
      <c r="DQ48" s="74">
        <f>DQ46+DQ47</f>
        <v>6115</v>
      </c>
      <c r="DR48" s="74">
        <f t="shared" si="304"/>
        <v>-196.58930665953085</v>
      </c>
      <c r="DS48" s="74">
        <f t="shared" si="304"/>
        <v>-1729.2890350208691</v>
      </c>
      <c r="DT48" s="193">
        <f t="shared" ref="DT48:DX48" si="305">DT46+DT47</f>
        <v>-1729.2890350208691</v>
      </c>
      <c r="DU48" s="74">
        <f t="shared" si="305"/>
        <v>25135.673799957505</v>
      </c>
      <c r="DV48" s="74">
        <f t="shared" si="305"/>
        <v>16785.53027560623</v>
      </c>
      <c r="DW48" s="74">
        <f t="shared" si="305"/>
        <v>14811.555061447027</v>
      </c>
      <c r="DX48" s="74">
        <f t="shared" si="305"/>
        <v>13113.40642479778</v>
      </c>
      <c r="DY48" s="193">
        <f t="shared" ref="DY48" si="306">DY46+DY47</f>
        <v>13113.40642479778</v>
      </c>
      <c r="DZ48" s="193">
        <f t="shared" ref="DZ48:EB48" si="307">DZ46+DZ47</f>
        <v>-1049.2082421552332</v>
      </c>
      <c r="EA48" s="193">
        <f t="shared" si="307"/>
        <v>6702.4140185820288</v>
      </c>
      <c r="EB48" s="193">
        <f t="shared" si="307"/>
        <v>12196.954054286689</v>
      </c>
    </row>
    <row r="49" spans="1:132">
      <c r="B49" s="165" t="s">
        <v>83</v>
      </c>
      <c r="C49" s="165">
        <f t="shared" ref="C49:AW49" si="308">C48+C39</f>
        <v>38024</v>
      </c>
      <c r="D49" s="186">
        <f t="shared" si="308"/>
        <v>36672</v>
      </c>
      <c r="E49" s="186">
        <f t="shared" si="308"/>
        <v>36147</v>
      </c>
      <c r="F49" s="186">
        <f t="shared" si="308"/>
        <v>42028</v>
      </c>
      <c r="G49" s="186">
        <f t="shared" si="308"/>
        <v>48343</v>
      </c>
      <c r="H49" s="186">
        <f t="shared" si="308"/>
        <v>52342</v>
      </c>
      <c r="I49" s="186">
        <f t="shared" si="308"/>
        <v>53035</v>
      </c>
      <c r="J49" s="165">
        <f t="shared" si="308"/>
        <v>53800</v>
      </c>
      <c r="K49" s="165">
        <f t="shared" si="308"/>
        <v>54283</v>
      </c>
      <c r="L49" s="165">
        <f t="shared" si="308"/>
        <v>55388</v>
      </c>
      <c r="M49" s="165">
        <f t="shared" si="308"/>
        <v>53963</v>
      </c>
      <c r="N49" s="186">
        <f t="shared" si="308"/>
        <v>53963</v>
      </c>
      <c r="O49" s="165">
        <f t="shared" si="308"/>
        <v>56714</v>
      </c>
      <c r="P49" s="165">
        <f t="shared" si="308"/>
        <v>56494</v>
      </c>
      <c r="Q49" s="165">
        <f t="shared" si="308"/>
        <v>58318</v>
      </c>
      <c r="R49" s="165">
        <f t="shared" si="308"/>
        <v>60058</v>
      </c>
      <c r="S49" s="186">
        <f t="shared" si="308"/>
        <v>60058</v>
      </c>
      <c r="T49" s="165">
        <f t="shared" si="308"/>
        <v>61408</v>
      </c>
      <c r="U49" s="165">
        <f t="shared" si="308"/>
        <v>61269</v>
      </c>
      <c r="V49" s="165">
        <f t="shared" si="308"/>
        <v>61458</v>
      </c>
      <c r="W49" s="165">
        <f t="shared" si="308"/>
        <v>51794</v>
      </c>
      <c r="X49" s="186">
        <f t="shared" si="308"/>
        <v>51794</v>
      </c>
      <c r="Y49" s="165">
        <f t="shared" si="308"/>
        <v>51556</v>
      </c>
      <c r="Z49" s="165">
        <f t="shared" si="308"/>
        <v>53886</v>
      </c>
      <c r="AA49" s="165">
        <f t="shared" si="308"/>
        <v>54787</v>
      </c>
      <c r="AB49" s="165">
        <f t="shared" si="308"/>
        <v>58986</v>
      </c>
      <c r="AC49" s="186">
        <f t="shared" si="308"/>
        <v>58986</v>
      </c>
      <c r="AD49" s="165">
        <f t="shared" si="308"/>
        <v>60360</v>
      </c>
      <c r="AE49" s="165">
        <f t="shared" si="308"/>
        <v>58510</v>
      </c>
      <c r="AF49" s="165">
        <f t="shared" si="308"/>
        <v>56519</v>
      </c>
      <c r="AG49" s="165">
        <f t="shared" si="308"/>
        <v>53779</v>
      </c>
      <c r="AH49" s="186">
        <f t="shared" si="308"/>
        <v>53779</v>
      </c>
      <c r="AI49" s="165">
        <f t="shared" si="308"/>
        <v>55340</v>
      </c>
      <c r="AJ49" s="165">
        <f t="shared" si="308"/>
        <v>57712</v>
      </c>
      <c r="AK49" s="165">
        <f t="shared" si="308"/>
        <v>58667</v>
      </c>
      <c r="AL49" s="165">
        <f t="shared" si="308"/>
        <v>62053</v>
      </c>
      <c r="AM49" s="186">
        <f t="shared" si="308"/>
        <v>62053</v>
      </c>
      <c r="AN49" s="165">
        <f t="shared" si="308"/>
        <v>62970</v>
      </c>
      <c r="AO49" s="165">
        <f>AO48+AO39</f>
        <v>63755</v>
      </c>
      <c r="AP49" s="165">
        <f>AP48+AP39</f>
        <v>65222</v>
      </c>
      <c r="AQ49" s="165">
        <f>AQ48+AQ39</f>
        <v>68565</v>
      </c>
      <c r="AR49" s="186">
        <f t="shared" si="308"/>
        <v>68565</v>
      </c>
      <c r="AS49" s="165">
        <f>AS48+AS39</f>
        <v>68760</v>
      </c>
      <c r="AT49" s="165">
        <f>AT48+AT39</f>
        <v>72119</v>
      </c>
      <c r="AU49" s="165">
        <f>AU48+AU39</f>
        <v>74163</v>
      </c>
      <c r="AV49" s="165">
        <f>AV48+AV39</f>
        <v>79986</v>
      </c>
      <c r="AW49" s="186">
        <f t="shared" si="308"/>
        <v>79986</v>
      </c>
      <c r="AX49" s="165">
        <f t="shared" ref="AX49:BG49" si="309">AX48+AX39</f>
        <v>80205</v>
      </c>
      <c r="AY49" s="165">
        <f t="shared" si="309"/>
        <v>81595</v>
      </c>
      <c r="AZ49" s="165">
        <f t="shared" si="309"/>
        <v>83654</v>
      </c>
      <c r="BA49" s="165">
        <f>BA48+BA39</f>
        <v>88896</v>
      </c>
      <c r="BB49" s="186">
        <f t="shared" si="309"/>
        <v>88896</v>
      </c>
      <c r="BC49" s="165">
        <f>BC48+BC39</f>
        <v>90447</v>
      </c>
      <c r="BD49" s="165">
        <f>BD48+BD39</f>
        <v>92091</v>
      </c>
      <c r="BE49" s="165">
        <f>BE48+BE39</f>
        <v>94633</v>
      </c>
      <c r="BF49" s="165">
        <f>BF48+BF39</f>
        <v>92663</v>
      </c>
      <c r="BG49" s="186">
        <f t="shared" si="309"/>
        <v>92663</v>
      </c>
      <c r="BH49" s="165">
        <f>BH48+BH39</f>
        <v>91575</v>
      </c>
      <c r="BI49" s="165">
        <f>BI48+BI39</f>
        <v>92737</v>
      </c>
      <c r="BJ49" s="165">
        <f>BJ48+BJ39</f>
        <v>92653</v>
      </c>
      <c r="BK49" s="165">
        <f>BK48+BK39</f>
        <v>99198</v>
      </c>
      <c r="BL49" s="186">
        <f t="shared" ref="BL49" si="310">BL48+BL39</f>
        <v>99198</v>
      </c>
      <c r="BM49" s="165">
        <f>BM48+BM39</f>
        <v>97775</v>
      </c>
      <c r="BN49" s="165">
        <f>BN48+BN39</f>
        <v>98102</v>
      </c>
      <c r="BO49" s="165">
        <f>BO48+BO39</f>
        <v>98998</v>
      </c>
      <c r="BP49" s="165">
        <f>BP48+BP39</f>
        <v>94408</v>
      </c>
      <c r="BQ49" s="186">
        <f t="shared" ref="BQ49" si="311">BQ48+BQ39</f>
        <v>94408</v>
      </c>
      <c r="BR49" s="165">
        <f>BR48+BR39</f>
        <v>91547</v>
      </c>
      <c r="BS49" s="165">
        <f>BS48+BS39</f>
        <v>89609</v>
      </c>
      <c r="BT49" s="165">
        <f>BT48+BT39</f>
        <v>88950</v>
      </c>
      <c r="BU49" s="165">
        <f>BU48+BU39</f>
        <v>89997</v>
      </c>
      <c r="BV49" s="186">
        <f t="shared" ref="BV49" si="312">BV48+BV39</f>
        <v>89997</v>
      </c>
      <c r="BW49" s="165">
        <f>BW48+BW39</f>
        <v>89673</v>
      </c>
      <c r="BX49" s="165">
        <f>BX48+BX39</f>
        <v>90036</v>
      </c>
      <c r="BY49" s="165">
        <f>BY48+BY39</f>
        <v>91007</v>
      </c>
      <c r="BZ49" s="165">
        <f>BZ48+BZ39</f>
        <v>92333</v>
      </c>
      <c r="CA49" s="186">
        <f t="shared" ref="CA49:CF49" si="313">CA48+CA39</f>
        <v>92333</v>
      </c>
      <c r="CB49" s="165">
        <f>CB48+CB39</f>
        <v>113549</v>
      </c>
      <c r="CC49" s="165">
        <f>CC48+CC39</f>
        <v>113195</v>
      </c>
      <c r="CD49" s="165">
        <f>CD48+CD39</f>
        <v>114659</v>
      </c>
      <c r="CE49" s="165">
        <f>CE48+CE39</f>
        <v>117359</v>
      </c>
      <c r="CF49" s="186">
        <f t="shared" si="313"/>
        <v>117359</v>
      </c>
      <c r="CG49" s="165">
        <f>CG48+CG39</f>
        <v>120209</v>
      </c>
      <c r="CH49" s="165">
        <f>CH48+CH39</f>
        <v>126261</v>
      </c>
      <c r="CI49" s="165">
        <f>CI48+CI39</f>
        <v>132598</v>
      </c>
      <c r="CJ49" s="165">
        <f>CJ48+CJ39</f>
        <v>133625</v>
      </c>
      <c r="CK49" s="186">
        <f t="shared" ref="CK49" si="314">CK48+CK39</f>
        <v>133625</v>
      </c>
      <c r="CL49" s="165">
        <f>CL48+CL39</f>
        <v>143075</v>
      </c>
      <c r="CM49" s="165">
        <f>CM48+CM39</f>
        <v>162872</v>
      </c>
      <c r="CN49" s="165">
        <f>CN48+CN39</f>
        <v>161261</v>
      </c>
      <c r="CO49" s="165">
        <f>CO48+CO39</f>
        <v>152136</v>
      </c>
      <c r="CP49" s="186">
        <f t="shared" ref="CP49" si="315">CP48+CP39</f>
        <v>152136</v>
      </c>
      <c r="CQ49" s="165">
        <f>CQ48+CQ39</f>
        <v>150035</v>
      </c>
      <c r="CR49" s="165">
        <f>CR48+CR39</f>
        <v>148935</v>
      </c>
      <c r="CS49" s="165">
        <f>CS48+CS39</f>
        <v>146846</v>
      </c>
      <c r="CT49" s="165">
        <f>CT48+CT39</f>
        <v>138552</v>
      </c>
      <c r="CU49" s="186">
        <f t="shared" ref="CU49" si="316">CU48+CU39</f>
        <v>138552</v>
      </c>
      <c r="CV49" s="165">
        <f>CV48+CV39</f>
        <v>135801</v>
      </c>
      <c r="CW49" s="165">
        <f>CW48+CW39</f>
        <v>135479</v>
      </c>
      <c r="CX49" s="165">
        <f>CX48+CX39</f>
        <v>137558</v>
      </c>
      <c r="CY49" s="165">
        <f>CY48+CY39</f>
        <v>137100</v>
      </c>
      <c r="CZ49" s="186">
        <f t="shared" ref="CZ49" si="317">CZ48+CZ39</f>
        <v>137100</v>
      </c>
      <c r="DA49" s="165">
        <f t="shared" ref="DA49:DE49" si="318">DA48+DA39</f>
        <v>136347</v>
      </c>
      <c r="DB49" s="165">
        <f>DB48+DB39</f>
        <v>134774</v>
      </c>
      <c r="DC49" s="165">
        <f>DC48+DC39</f>
        <v>134281</v>
      </c>
      <c r="DD49" s="165">
        <f t="shared" si="318"/>
        <v>137012</v>
      </c>
      <c r="DE49" s="186">
        <f t="shared" si="318"/>
        <v>137012</v>
      </c>
      <c r="DF49" s="165">
        <f t="shared" ref="DF49" si="319">DF48+DF39</f>
        <v>134484</v>
      </c>
      <c r="DG49" s="165">
        <f>DG48+DG39</f>
        <v>142720</v>
      </c>
      <c r="DH49" s="165">
        <f>DH48+DH39</f>
        <v>137695</v>
      </c>
      <c r="DI49" s="165">
        <f t="shared" ref="DI49" si="320">DI48+DI39</f>
        <v>156363</v>
      </c>
      <c r="DJ49" s="186">
        <f t="shared" ref="DJ49:DK49" si="321">DJ48+DJ39</f>
        <v>156363</v>
      </c>
      <c r="DK49" s="165">
        <f t="shared" si="321"/>
        <v>156494</v>
      </c>
      <c r="DL49" s="165">
        <f>DL48+DL39</f>
        <v>155120</v>
      </c>
      <c r="DM49" s="165">
        <f>DM48+DM39</f>
        <v>150023</v>
      </c>
      <c r="DN49" s="165">
        <f t="shared" ref="DN49" si="322">DN48+DN39</f>
        <v>168235</v>
      </c>
      <c r="DO49" s="186">
        <f t="shared" ref="DO49:DP49" si="323">DO48+DO39</f>
        <v>168235</v>
      </c>
      <c r="DP49" s="165">
        <f t="shared" si="323"/>
        <v>164787</v>
      </c>
      <c r="DQ49" s="165">
        <f>DQ48+DQ39</f>
        <v>165870</v>
      </c>
      <c r="DR49" s="165">
        <f t="shared" ref="DR49:DU49" si="324">DR48+DR39</f>
        <v>156234.71623578481</v>
      </c>
      <c r="DS49" s="165">
        <f t="shared" si="324"/>
        <v>154994.71308001975</v>
      </c>
      <c r="DT49" s="186">
        <f t="shared" si="324"/>
        <v>154994.71308001975</v>
      </c>
      <c r="DU49" s="165">
        <f t="shared" si="324"/>
        <v>177198.07159645017</v>
      </c>
      <c r="DV49" s="165">
        <f t="shared" ref="DV49:DY49" si="325">DV48+DV39</f>
        <v>169053.84658999729</v>
      </c>
      <c r="DW49" s="165">
        <f t="shared" si="325"/>
        <v>167180.01472236536</v>
      </c>
      <c r="DX49" s="165">
        <f t="shared" si="325"/>
        <v>166096.3400036784</v>
      </c>
      <c r="DY49" s="186">
        <f t="shared" si="325"/>
        <v>166096.3400036784</v>
      </c>
      <c r="DZ49" s="186">
        <f t="shared" ref="DZ49:EB49" si="326">DZ48+DZ39</f>
        <v>148016.36649591112</v>
      </c>
      <c r="EA49" s="186">
        <f t="shared" si="326"/>
        <v>154267.64056598698</v>
      </c>
      <c r="EB49" s="186">
        <f t="shared" si="326"/>
        <v>158702.72215829947</v>
      </c>
    </row>
    <row r="50" spans="1:132">
      <c r="C50" s="67" t="str">
        <f t="shared" ref="C50:AL50" si="327">IF(ROUND(C49,0)=ROUND(C24,0),"","check")</f>
        <v/>
      </c>
      <c r="D50" s="67" t="str">
        <f t="shared" si="327"/>
        <v/>
      </c>
      <c r="E50" s="67" t="str">
        <f t="shared" si="327"/>
        <v/>
      </c>
      <c r="F50" s="67" t="str">
        <f t="shared" si="327"/>
        <v/>
      </c>
      <c r="G50" s="67" t="str">
        <f t="shared" si="327"/>
        <v/>
      </c>
      <c r="H50" s="67" t="str">
        <f t="shared" si="327"/>
        <v/>
      </c>
      <c r="I50" s="67" t="str">
        <f t="shared" si="327"/>
        <v/>
      </c>
      <c r="J50" s="68" t="str">
        <f t="shared" si="327"/>
        <v/>
      </c>
      <c r="K50" s="68" t="str">
        <f t="shared" si="327"/>
        <v/>
      </c>
      <c r="L50" s="68" t="str">
        <f t="shared" si="327"/>
        <v/>
      </c>
      <c r="M50" s="68" t="str">
        <f t="shared" si="327"/>
        <v/>
      </c>
      <c r="N50" s="67" t="str">
        <f t="shared" si="327"/>
        <v/>
      </c>
      <c r="O50" s="68" t="str">
        <f t="shared" si="327"/>
        <v/>
      </c>
      <c r="P50" s="68" t="str">
        <f t="shared" si="327"/>
        <v/>
      </c>
      <c r="Q50" s="68" t="str">
        <f t="shared" si="327"/>
        <v/>
      </c>
      <c r="R50" s="68" t="str">
        <f t="shared" si="327"/>
        <v/>
      </c>
      <c r="S50" s="67" t="str">
        <f t="shared" si="327"/>
        <v/>
      </c>
      <c r="T50" s="68" t="str">
        <f t="shared" si="327"/>
        <v/>
      </c>
      <c r="U50" s="68" t="str">
        <f t="shared" si="327"/>
        <v/>
      </c>
      <c r="V50" s="68" t="str">
        <f t="shared" si="327"/>
        <v/>
      </c>
      <c r="W50" s="68" t="str">
        <f t="shared" si="327"/>
        <v/>
      </c>
      <c r="X50" s="67" t="str">
        <f t="shared" si="327"/>
        <v/>
      </c>
      <c r="Y50" s="68" t="str">
        <f t="shared" si="327"/>
        <v/>
      </c>
      <c r="Z50" s="68" t="str">
        <f t="shared" si="327"/>
        <v/>
      </c>
      <c r="AA50" s="68" t="str">
        <f t="shared" si="327"/>
        <v/>
      </c>
      <c r="AB50" s="68" t="str">
        <f t="shared" si="327"/>
        <v/>
      </c>
      <c r="AC50" s="67" t="str">
        <f t="shared" si="327"/>
        <v/>
      </c>
      <c r="AD50" s="68" t="str">
        <f t="shared" si="327"/>
        <v/>
      </c>
      <c r="AE50" s="68" t="str">
        <f t="shared" si="327"/>
        <v/>
      </c>
      <c r="AF50" s="68" t="str">
        <f t="shared" si="327"/>
        <v/>
      </c>
      <c r="AG50" s="68" t="str">
        <f t="shared" si="327"/>
        <v/>
      </c>
      <c r="AH50" s="67" t="str">
        <f t="shared" si="327"/>
        <v/>
      </c>
      <c r="AI50" s="68" t="str">
        <f t="shared" si="327"/>
        <v/>
      </c>
      <c r="AJ50" s="68" t="str">
        <f t="shared" si="327"/>
        <v/>
      </c>
      <c r="AK50" s="68" t="str">
        <f t="shared" si="327"/>
        <v/>
      </c>
      <c r="AL50" s="68" t="str">
        <f t="shared" si="327"/>
        <v/>
      </c>
      <c r="AM50" s="67" t="str">
        <f>IF(ROUND(AM49,0)=ROUND(AM24,0),"","check")</f>
        <v/>
      </c>
      <c r="AN50" s="68" t="str">
        <f t="shared" ref="AN50:BB50" si="328">IF(ROUND(AN49,0)=ROUND(AN24,0),"","check")</f>
        <v/>
      </c>
      <c r="AO50" s="68" t="str">
        <f t="shared" si="328"/>
        <v/>
      </c>
      <c r="AP50" s="68" t="str">
        <f t="shared" si="328"/>
        <v/>
      </c>
      <c r="AQ50" s="68" t="str">
        <f t="shared" si="328"/>
        <v/>
      </c>
      <c r="AR50" s="67" t="str">
        <f t="shared" si="328"/>
        <v/>
      </c>
      <c r="AS50" s="68" t="str">
        <f>IF(ROUND(AS49,0)=ROUND(AS24,0),"","check")</f>
        <v/>
      </c>
      <c r="AT50" s="68" t="str">
        <f>IF(ROUND(AT49,0)=ROUND(AT24,0),"","check")</f>
        <v/>
      </c>
      <c r="AU50" s="68" t="str">
        <f t="shared" si="328"/>
        <v/>
      </c>
      <c r="AV50" s="68" t="str">
        <f>IF(ROUND(AV49,0)=ROUND(AV24,0),"","check")</f>
        <v/>
      </c>
      <c r="AW50" s="67" t="str">
        <f t="shared" si="328"/>
        <v/>
      </c>
      <c r="AX50" s="68" t="str">
        <f>IF(ROUND(AX49,0)=ROUND(AX24,0),"","check")</f>
        <v/>
      </c>
      <c r="AY50" s="68" t="str">
        <f>IF(ROUND(AY49,0)=ROUND(AY24,0),"","check")</f>
        <v/>
      </c>
      <c r="AZ50" s="121" t="str">
        <f>IF(ROUND(AZ49,0)=ROUND(AZ24,0),"","check")</f>
        <v/>
      </c>
      <c r="BA50" s="68" t="str">
        <f>IF(ROUND(BA49,0)=ROUND(BA24,0),"","check")</f>
        <v/>
      </c>
      <c r="BB50" s="67" t="str">
        <f t="shared" si="328"/>
        <v/>
      </c>
      <c r="BC50" s="68" t="str">
        <f t="shared" ref="BC50:BL50" si="329">IF(ROUND(BC49,0)=ROUND(BC24,0),"","check")</f>
        <v/>
      </c>
      <c r="BD50" s="68" t="str">
        <f t="shared" ref="BD50:BE50" si="330">IF(ROUND(BD49,0)=ROUND(BD24,0),"","check")</f>
        <v/>
      </c>
      <c r="BE50" s="68" t="str">
        <f t="shared" si="330"/>
        <v/>
      </c>
      <c r="BF50" s="68" t="str">
        <f t="shared" ref="BF50" si="331">IF(ROUND(BF49,0)=ROUND(BF24,0),"","check")</f>
        <v/>
      </c>
      <c r="BG50" s="67" t="str">
        <f t="shared" si="329"/>
        <v/>
      </c>
      <c r="BH50" s="68" t="str">
        <f>IF(ROUND(BH49,0)=ROUND(BH24,0),"","check")</f>
        <v/>
      </c>
      <c r="BI50" s="68" t="str">
        <f t="shared" ref="BI50" si="332">IF(ROUND(BI49,0)=ROUND(BI24,0),"","check")</f>
        <v/>
      </c>
      <c r="BJ50" s="68" t="str">
        <f>IF(ROUND(BJ49,0)=ROUND(BJ24,0),"","check")</f>
        <v/>
      </c>
      <c r="BK50" s="68" t="str">
        <f>IF(ROUND(BK49,0)=ROUND(BK24,0),"","check")</f>
        <v/>
      </c>
      <c r="BL50" s="67" t="str">
        <f t="shared" si="329"/>
        <v/>
      </c>
      <c r="BM50" s="68" t="str">
        <f>IF(ROUND(BM49,0)=ROUND(BM24,0),"","check")</f>
        <v/>
      </c>
      <c r="BN50" s="68" t="str">
        <f>IF(ROUND(BN49,0)=ROUND(BN24,0),"","check")</f>
        <v/>
      </c>
      <c r="BO50" s="68" t="str">
        <f>IF(ROUND(BO49,0)=ROUND(BO24,0),"","check")</f>
        <v/>
      </c>
      <c r="BP50" s="68" t="str">
        <f>IF(ROUND(BP49,0)=ROUND(BP24,0),"","check")</f>
        <v/>
      </c>
      <c r="BQ50" s="67" t="str">
        <f t="shared" ref="BQ50" si="333">IF(ROUND(BQ49,0)=ROUND(BQ24,0),"","check")</f>
        <v/>
      </c>
      <c r="BR50" s="68" t="str">
        <f>IF(ROUND(BR49,0)=ROUND(BR24,0),"","check")</f>
        <v/>
      </c>
      <c r="BS50" s="68" t="str">
        <f>IF(ROUND(BS49,0)=ROUND(BS24,0),"","check")</f>
        <v/>
      </c>
      <c r="BT50" s="68" t="str">
        <f t="shared" ref="BT50:BU50" si="334">IF(ROUND(BT49,0)=ROUND(BT24,0),"","check")</f>
        <v/>
      </c>
      <c r="BU50" s="68" t="str">
        <f t="shared" si="334"/>
        <v/>
      </c>
      <c r="BV50" s="67" t="str">
        <f t="shared" ref="BV50" si="335">IF(ROUND(BV49,0)=ROUND(BV24,0),"","check")</f>
        <v/>
      </c>
      <c r="BW50" s="68" t="str">
        <f>IF(ROUND(BW49,0)=ROUND(BW24,0),"","check")</f>
        <v/>
      </c>
      <c r="BX50" s="68" t="str">
        <f>IF(ROUND(BX49,0)=ROUND(BX24,0),"","check")</f>
        <v/>
      </c>
      <c r="BY50" s="68" t="str">
        <f t="shared" ref="BY50:CA50" si="336">IF(ROUND(BY49,0)=ROUND(BY24,0),"","check")</f>
        <v/>
      </c>
      <c r="BZ50" s="68" t="str">
        <f t="shared" ref="BZ50" si="337">IF(ROUND(BZ49,0)=ROUND(BZ24,0),"","check")</f>
        <v/>
      </c>
      <c r="CA50" s="67" t="str">
        <f t="shared" si="336"/>
        <v/>
      </c>
      <c r="CF50" s="689" t="str">
        <f t="shared" ref="CF50" si="338">IF(ROUND(CF49,0)=ROUND(CF24,0),"","check")</f>
        <v/>
      </c>
      <c r="CK50" s="689" t="str">
        <f t="shared" ref="CK50" si="339">IF(ROUND(CK49,0)=ROUND(CK24,0),"","check")</f>
        <v/>
      </c>
      <c r="CP50" s="919" t="str">
        <f t="shared" ref="CP50" si="340">IF(ROUND(CP49,0)=ROUND(CP24,0),"","check")</f>
        <v/>
      </c>
      <c r="CU50" s="919" t="str">
        <f t="shared" ref="CU50" si="341">IF(ROUND(CU49,0)=ROUND(CU24,0),"","check")</f>
        <v/>
      </c>
      <c r="CZ50" s="919" t="str">
        <f t="shared" ref="CZ50" si="342">IF(ROUND(CZ49,0)=ROUND(CZ24,0),"","check")</f>
        <v/>
      </c>
      <c r="DB50" s="121"/>
      <c r="DE50" s="919" t="str">
        <f t="shared" ref="DE50" si="343">IF(ROUND(DE49,0)=ROUND(DE24,0),"","check")</f>
        <v/>
      </c>
      <c r="DJ50" s="919" t="str">
        <f t="shared" ref="DJ50" si="344">IF(ROUND(DJ49,0)=ROUND(DJ24,0),"","check")</f>
        <v/>
      </c>
      <c r="DO50" s="919" t="str">
        <f t="shared" ref="DO50" si="345">IF(ROUND(DO49,0)=ROUND(DO24,0),"","check")</f>
        <v/>
      </c>
      <c r="DT50" s="919" t="str">
        <f t="shared" ref="DT50" si="346">IF(ROUND(DT49,0)=ROUND(DT24,0),"","check")</f>
        <v/>
      </c>
      <c r="DY50" s="919" t="str">
        <f t="shared" ref="DY50" si="347">IF(ROUND(DY49,0)=ROUND(DY24,0),"","check")</f>
        <v/>
      </c>
      <c r="DZ50" s="689"/>
      <c r="EA50" s="689"/>
      <c r="EB50" s="689"/>
    </row>
    <row r="51" spans="1:132" ht="4.5" customHeight="1">
      <c r="A51" s="148"/>
      <c r="B51" s="148"/>
      <c r="C51" s="171"/>
      <c r="D51" s="171"/>
      <c r="E51" s="171"/>
      <c r="F51" s="171"/>
      <c r="G51" s="171"/>
      <c r="H51" s="171"/>
      <c r="I51" s="171"/>
      <c r="J51" s="148"/>
      <c r="K51" s="148"/>
      <c r="L51" s="148"/>
      <c r="M51" s="148"/>
      <c r="N51" s="171"/>
      <c r="O51" s="148"/>
      <c r="P51" s="148"/>
      <c r="Q51" s="148"/>
      <c r="R51" s="148"/>
      <c r="S51" s="171"/>
      <c r="T51" s="148"/>
      <c r="U51" s="148"/>
      <c r="V51" s="148"/>
      <c r="W51" s="148"/>
      <c r="X51" s="171"/>
      <c r="Y51" s="148"/>
      <c r="Z51" s="148"/>
      <c r="AA51" s="148"/>
      <c r="AB51" s="148"/>
      <c r="AC51" s="171"/>
      <c r="AD51" s="148"/>
      <c r="AE51" s="148"/>
      <c r="AF51" s="148"/>
      <c r="AG51" s="148"/>
      <c r="AH51" s="171"/>
      <c r="AI51" s="148"/>
      <c r="AJ51" s="148"/>
      <c r="AK51" s="148"/>
      <c r="AL51" s="148"/>
      <c r="AM51" s="171"/>
      <c r="AN51" s="148"/>
      <c r="AO51" s="148"/>
      <c r="AP51" s="148"/>
      <c r="AQ51" s="148"/>
      <c r="AR51" s="171"/>
      <c r="AS51" s="148"/>
      <c r="AT51" s="148"/>
      <c r="AU51" s="148"/>
      <c r="AV51" s="148"/>
      <c r="AW51" s="171"/>
      <c r="AX51" s="148"/>
      <c r="AY51" s="148"/>
      <c r="AZ51" s="148"/>
      <c r="BA51" s="148"/>
      <c r="BB51" s="171"/>
      <c r="BC51" s="148"/>
      <c r="BD51" s="148"/>
      <c r="BE51" s="148"/>
      <c r="BF51" s="148"/>
      <c r="BG51" s="171"/>
      <c r="BH51" s="148"/>
      <c r="BI51" s="148"/>
      <c r="BJ51" s="148"/>
      <c r="BK51" s="148"/>
      <c r="BL51" s="171"/>
      <c r="BM51" s="148"/>
      <c r="BN51" s="148"/>
      <c r="BO51" s="148"/>
      <c r="BP51" s="148"/>
      <c r="BQ51" s="171"/>
      <c r="BR51" s="148"/>
      <c r="BS51" s="148"/>
      <c r="BT51" s="148"/>
      <c r="BU51" s="148"/>
      <c r="BV51" s="171"/>
      <c r="BW51" s="148"/>
      <c r="BX51" s="148"/>
      <c r="BY51" s="148"/>
      <c r="BZ51" s="148"/>
      <c r="CA51" s="171"/>
      <c r="CB51" s="148"/>
      <c r="CC51" s="148"/>
      <c r="CD51" s="148"/>
      <c r="CE51" s="148"/>
      <c r="CF51" s="171"/>
      <c r="CG51" s="148"/>
      <c r="CH51" s="148"/>
      <c r="CI51" s="148"/>
      <c r="CJ51" s="148"/>
      <c r="CK51" s="171"/>
      <c r="CL51" s="148"/>
      <c r="CM51" s="148"/>
      <c r="CN51" s="148"/>
      <c r="CO51" s="148"/>
      <c r="CP51" s="142"/>
      <c r="CQ51" s="148"/>
      <c r="CR51" s="148"/>
      <c r="CS51" s="148"/>
      <c r="CT51" s="148"/>
      <c r="CU51" s="142"/>
      <c r="CV51" s="148"/>
      <c r="CW51" s="148"/>
      <c r="CX51" s="148"/>
      <c r="CY51" s="148"/>
      <c r="CZ51" s="142"/>
      <c r="DA51" s="148"/>
      <c r="DB51" s="143"/>
      <c r="DC51" s="148"/>
      <c r="DD51" s="148"/>
      <c r="DE51" s="142"/>
      <c r="DF51" s="148"/>
      <c r="DG51" s="148"/>
      <c r="DH51" s="148"/>
      <c r="DI51" s="148"/>
      <c r="DJ51" s="142"/>
      <c r="DK51" s="148"/>
      <c r="DL51" s="148"/>
      <c r="DM51" s="148"/>
      <c r="DN51" s="148"/>
      <c r="DO51" s="142"/>
      <c r="DP51" s="148"/>
      <c r="DQ51" s="148"/>
      <c r="DR51" s="148"/>
      <c r="DS51" s="148"/>
      <c r="DT51" s="142"/>
      <c r="DU51" s="148"/>
      <c r="DV51" s="148"/>
      <c r="DW51" s="148"/>
      <c r="DX51" s="148"/>
      <c r="DY51" s="142"/>
      <c r="DZ51" s="171"/>
      <c r="EA51" s="171"/>
      <c r="EB51" s="171"/>
    </row>
    <row r="52" spans="1:132">
      <c r="C52" s="67"/>
      <c r="D52" s="67"/>
      <c r="E52" s="67"/>
      <c r="F52" s="67"/>
      <c r="G52" s="67"/>
      <c r="H52" s="67"/>
      <c r="I52" s="67"/>
      <c r="N52" s="67"/>
      <c r="S52" s="67"/>
      <c r="X52" s="67"/>
      <c r="AC52" s="67"/>
      <c r="AH52" s="67"/>
      <c r="AM52" s="67"/>
      <c r="AR52" s="67"/>
      <c r="AW52" s="67"/>
      <c r="BB52" s="67"/>
      <c r="BG52" s="67"/>
      <c r="BL52" s="67"/>
      <c r="BQ52" s="67"/>
      <c r="BV52" s="67"/>
      <c r="CA52" s="67"/>
      <c r="CF52" s="67"/>
      <c r="CK52" s="67"/>
      <c r="CP52" s="120"/>
      <c r="CU52" s="120"/>
      <c r="CZ52" s="120"/>
      <c r="DB52" s="121"/>
      <c r="DE52" s="120"/>
      <c r="DJ52" s="120"/>
      <c r="DO52" s="120"/>
      <c r="DT52" s="120"/>
      <c r="DY52" s="120"/>
      <c r="DZ52" s="67"/>
      <c r="EA52" s="67"/>
      <c r="EB52" s="67"/>
    </row>
    <row r="53" spans="1:132">
      <c r="B53" s="164" t="s">
        <v>287</v>
      </c>
      <c r="C53" s="67"/>
      <c r="D53" s="67"/>
      <c r="E53" s="67"/>
      <c r="F53" s="67"/>
      <c r="G53" s="67"/>
      <c r="H53" s="67"/>
      <c r="I53" s="67"/>
      <c r="N53" s="67"/>
      <c r="S53" s="67"/>
      <c r="X53" s="67"/>
      <c r="AC53" s="67"/>
      <c r="AH53" s="67"/>
      <c r="AM53" s="67"/>
      <c r="AR53" s="67"/>
      <c r="AW53" s="67"/>
      <c r="BB53" s="67"/>
      <c r="BG53" s="67"/>
      <c r="BL53" s="67"/>
      <c r="BQ53" s="67"/>
      <c r="BV53" s="67"/>
      <c r="CA53" s="67"/>
      <c r="CF53" s="67"/>
      <c r="CK53" s="67"/>
      <c r="CP53" s="120"/>
      <c r="CU53" s="120"/>
      <c r="CZ53" s="120"/>
      <c r="DB53" s="121"/>
      <c r="DE53" s="120"/>
      <c r="DJ53" s="120"/>
      <c r="DO53" s="120"/>
      <c r="DT53" s="120"/>
      <c r="DY53" s="120"/>
      <c r="DZ53" s="67"/>
      <c r="EA53" s="67"/>
      <c r="EB53" s="67"/>
    </row>
    <row r="54" spans="1:132" s="10" customFormat="1">
      <c r="A54" s="68"/>
      <c r="B54" s="68" t="s">
        <v>288</v>
      </c>
      <c r="C54" s="11">
        <f>Data!C288</f>
        <v>0</v>
      </c>
      <c r="D54" s="11">
        <f>Data!D288</f>
        <v>28887</v>
      </c>
      <c r="E54" s="11">
        <f>Data!E288</f>
        <v>27621</v>
      </c>
      <c r="F54" s="11">
        <f>Data!F288</f>
        <v>29102</v>
      </c>
      <c r="G54" s="11">
        <f>Data!G288</f>
        <v>32693</v>
      </c>
      <c r="H54" s="11">
        <f>Data!H288</f>
        <v>25122</v>
      </c>
      <c r="I54" s="11">
        <f>Data!I288</f>
        <v>39931</v>
      </c>
      <c r="N54" s="11">
        <f>Data!N288</f>
        <v>42781</v>
      </c>
      <c r="S54" s="11">
        <f>Data!S288</f>
        <v>45183</v>
      </c>
      <c r="X54" s="11">
        <f>Data!X288</f>
        <v>45582</v>
      </c>
      <c r="AC54" s="11">
        <f>Data!AC288</f>
        <v>45734</v>
      </c>
      <c r="AH54" s="11">
        <f>Data!AH288</f>
        <v>49017</v>
      </c>
      <c r="AM54" s="11">
        <f>Data!AM288</f>
        <v>52166</v>
      </c>
      <c r="AR54" s="11">
        <f>Data!AR288</f>
        <v>59106</v>
      </c>
      <c r="AW54" s="11">
        <f>Data!AW288</f>
        <v>67651</v>
      </c>
      <c r="BB54" s="11">
        <f>Data!BB288</f>
        <v>75895</v>
      </c>
      <c r="BG54" s="11">
        <f>Data!BG288</f>
        <v>68625</v>
      </c>
      <c r="BL54" s="11">
        <f>Data!BL288</f>
        <v>78391</v>
      </c>
      <c r="BQ54" s="11">
        <f>Data!BQ288</f>
        <v>74388</v>
      </c>
      <c r="BV54" s="11">
        <f>Data!BV288</f>
        <v>76745</v>
      </c>
      <c r="CA54" s="11">
        <f>Data!CA288</f>
        <v>80393</v>
      </c>
      <c r="CF54" s="11">
        <f>Data!CF288</f>
        <v>71424</v>
      </c>
      <c r="CK54" s="11">
        <f>Data!CK288</f>
        <v>77645</v>
      </c>
      <c r="CP54" s="11">
        <f>Data!CP288</f>
        <v>82415</v>
      </c>
      <c r="CU54" s="11">
        <f>Data!CU288</f>
        <v>76635</v>
      </c>
      <c r="CZ54" s="394"/>
      <c r="DB54" s="393"/>
      <c r="DE54" s="394"/>
      <c r="DJ54" s="394"/>
      <c r="DO54" s="394"/>
      <c r="DT54" s="394"/>
      <c r="DY54" s="394"/>
      <c r="DZ54" s="11"/>
      <c r="EA54" s="11"/>
      <c r="EB54" s="11"/>
    </row>
    <row r="55" spans="1:132" s="10" customFormat="1">
      <c r="A55" s="68"/>
      <c r="B55" s="68" t="s">
        <v>289</v>
      </c>
      <c r="C55" s="244">
        <f>Data!C289</f>
        <v>0</v>
      </c>
      <c r="D55" s="244">
        <f>Data!D289</f>
        <v>32609</v>
      </c>
      <c r="E55" s="244">
        <f>Data!E289</f>
        <v>37026</v>
      </c>
      <c r="F55" s="244">
        <f>Data!F289</f>
        <v>42856</v>
      </c>
      <c r="G55" s="244">
        <f>Data!G289</f>
        <v>33810</v>
      </c>
      <c r="H55" s="244">
        <f>Data!H289</f>
        <v>19709</v>
      </c>
      <c r="I55" s="244">
        <f>Data!I289</f>
        <v>33209</v>
      </c>
      <c r="J55" s="245"/>
      <c r="K55" s="245"/>
      <c r="L55" s="245"/>
      <c r="M55" s="245"/>
      <c r="N55" s="244">
        <f>Data!N289</f>
        <v>38977</v>
      </c>
      <c r="O55" s="245"/>
      <c r="P55" s="245"/>
      <c r="Q55" s="245"/>
      <c r="R55" s="245"/>
      <c r="S55" s="244">
        <f>Data!S289</f>
        <v>43484</v>
      </c>
      <c r="T55" s="245"/>
      <c r="U55" s="245"/>
      <c r="V55" s="245"/>
      <c r="W55" s="245"/>
      <c r="X55" s="244">
        <f>Data!X289</f>
        <v>46203</v>
      </c>
      <c r="Y55" s="245"/>
      <c r="Z55" s="245"/>
      <c r="AA55" s="245"/>
      <c r="AB55" s="245"/>
      <c r="AC55" s="244">
        <f>Data!AC289</f>
        <v>50439</v>
      </c>
      <c r="AD55" s="245"/>
      <c r="AE55" s="245"/>
      <c r="AF55" s="245"/>
      <c r="AG55" s="245"/>
      <c r="AH55" s="244">
        <f>Data!AH289</f>
        <v>40597</v>
      </c>
      <c r="AI55" s="245"/>
      <c r="AJ55" s="245"/>
      <c r="AK55" s="245"/>
      <c r="AL55" s="245"/>
      <c r="AM55" s="244">
        <f>Data!AM289</f>
        <v>45810</v>
      </c>
      <c r="AN55" s="245"/>
      <c r="AO55" s="245"/>
      <c r="AP55" s="245"/>
      <c r="AQ55" s="245"/>
      <c r="AR55" s="244">
        <f>Data!AR289</f>
        <v>49252</v>
      </c>
      <c r="AS55" s="245"/>
      <c r="AT55" s="245"/>
      <c r="AU55" s="245"/>
      <c r="AV55" s="245"/>
      <c r="AW55" s="244">
        <f>Data!AW289</f>
        <v>51051</v>
      </c>
      <c r="AX55" s="245"/>
      <c r="AY55" s="245"/>
      <c r="AZ55" s="245"/>
      <c r="BA55" s="245"/>
      <c r="BB55" s="244">
        <f>Data!BB289</f>
        <v>56178</v>
      </c>
      <c r="BC55" s="245"/>
      <c r="BD55" s="245"/>
      <c r="BE55" s="245"/>
      <c r="BF55" s="245"/>
      <c r="BG55" s="244">
        <f>Data!BG289</f>
        <v>58131</v>
      </c>
      <c r="BH55" s="245"/>
      <c r="BI55" s="245"/>
      <c r="BJ55" s="245"/>
      <c r="BK55" s="245"/>
      <c r="BL55" s="244">
        <f>Data!BL289</f>
        <v>61119</v>
      </c>
      <c r="BM55" s="245"/>
      <c r="BN55" s="245"/>
      <c r="BO55" s="245"/>
      <c r="BP55" s="245"/>
      <c r="BQ55" s="244">
        <f>Data!BQ289</f>
        <v>56514</v>
      </c>
      <c r="BR55" s="245"/>
      <c r="BS55" s="245"/>
      <c r="BT55" s="245"/>
      <c r="BU55" s="245"/>
      <c r="BV55" s="244">
        <f>Data!BV289</f>
        <v>56692</v>
      </c>
      <c r="BW55" s="245"/>
      <c r="BX55" s="245"/>
      <c r="BY55" s="245"/>
      <c r="BZ55" s="245"/>
      <c r="CA55" s="244">
        <f>Data!CA289</f>
        <v>64011</v>
      </c>
      <c r="CB55" s="245"/>
      <c r="CC55" s="245"/>
      <c r="CD55" s="245"/>
      <c r="CE55" s="245"/>
      <c r="CF55" s="244">
        <f>Data!CF289</f>
        <v>56102</v>
      </c>
      <c r="CG55" s="245"/>
      <c r="CH55" s="245"/>
      <c r="CI55" s="245"/>
      <c r="CJ55" s="245"/>
      <c r="CK55" s="244">
        <f>Data!CK289</f>
        <v>61711</v>
      </c>
      <c r="CL55" s="245"/>
      <c r="CM55" s="245"/>
      <c r="CN55" s="245"/>
      <c r="CO55" s="245"/>
      <c r="CP55" s="244">
        <f>Data!CP289</f>
        <v>68696</v>
      </c>
      <c r="CQ55" s="245"/>
      <c r="CR55" s="245"/>
      <c r="CS55" s="245"/>
      <c r="CT55" s="245"/>
      <c r="CU55" s="244">
        <f>Data!CU289</f>
        <v>67813</v>
      </c>
      <c r="CV55" s="245"/>
      <c r="CW55" s="245"/>
      <c r="CX55" s="245"/>
      <c r="CY55" s="245"/>
      <c r="CZ55" s="244"/>
      <c r="DA55" s="245"/>
      <c r="DB55" s="245"/>
      <c r="DC55" s="245"/>
      <c r="DD55" s="245"/>
      <c r="DE55" s="244"/>
      <c r="DF55" s="245"/>
      <c r="DG55" s="245"/>
      <c r="DH55" s="245"/>
      <c r="DI55" s="245"/>
      <c r="DJ55" s="244"/>
      <c r="DK55" s="245"/>
      <c r="DL55" s="245"/>
      <c r="DM55" s="245"/>
      <c r="DN55" s="245"/>
      <c r="DO55" s="244"/>
      <c r="DP55" s="245"/>
      <c r="DQ55" s="245"/>
      <c r="DR55" s="245"/>
      <c r="DS55" s="245"/>
      <c r="DT55" s="244"/>
      <c r="DU55" s="245"/>
      <c r="DV55" s="245"/>
      <c r="DW55" s="245"/>
      <c r="DX55" s="245"/>
      <c r="DY55" s="244"/>
      <c r="DZ55" s="244"/>
      <c r="EA55" s="244"/>
      <c r="EB55" s="244"/>
    </row>
    <row r="56" spans="1:132" s="10" customFormat="1">
      <c r="A56" s="68"/>
      <c r="B56" s="68" t="s">
        <v>290</v>
      </c>
      <c r="C56" s="11">
        <f>Data!C290</f>
        <v>0</v>
      </c>
      <c r="D56" s="11">
        <f t="shared" ref="D56:I56" si="348">D55-D54</f>
        <v>3722</v>
      </c>
      <c r="E56" s="11">
        <f t="shared" si="348"/>
        <v>9405</v>
      </c>
      <c r="F56" s="11">
        <f t="shared" si="348"/>
        <v>13754</v>
      </c>
      <c r="G56" s="11">
        <f t="shared" si="348"/>
        <v>1117</v>
      </c>
      <c r="H56" s="11">
        <f t="shared" si="348"/>
        <v>-5413</v>
      </c>
      <c r="I56" s="11">
        <f t="shared" si="348"/>
        <v>-6722</v>
      </c>
      <c r="J56" s="10">
        <f t="shared" ref="J56:L57" si="349">I56</f>
        <v>-6722</v>
      </c>
      <c r="K56" s="10">
        <f t="shared" si="349"/>
        <v>-6722</v>
      </c>
      <c r="L56" s="10">
        <f t="shared" si="349"/>
        <v>-6722</v>
      </c>
      <c r="M56" s="10">
        <f>N56</f>
        <v>-3804</v>
      </c>
      <c r="N56" s="11">
        <f>N55-N54</f>
        <v>-3804</v>
      </c>
      <c r="O56" s="10">
        <f t="shared" ref="O56:Q57" si="350">N56</f>
        <v>-3804</v>
      </c>
      <c r="P56" s="10">
        <f t="shared" si="350"/>
        <v>-3804</v>
      </c>
      <c r="Q56" s="10">
        <f t="shared" si="350"/>
        <v>-3804</v>
      </c>
      <c r="R56" s="10">
        <f>S56</f>
        <v>-1699</v>
      </c>
      <c r="S56" s="11">
        <f>S55-S54</f>
        <v>-1699</v>
      </c>
      <c r="T56" s="10">
        <f t="shared" ref="T56:V57" si="351">S56</f>
        <v>-1699</v>
      </c>
      <c r="U56" s="10">
        <f t="shared" si="351"/>
        <v>-1699</v>
      </c>
      <c r="V56" s="10">
        <f t="shared" si="351"/>
        <v>-1699</v>
      </c>
      <c r="W56" s="10">
        <f>X56</f>
        <v>621</v>
      </c>
      <c r="X56" s="11">
        <f>X55-X54</f>
        <v>621</v>
      </c>
      <c r="Y56" s="10">
        <f t="shared" ref="Y56:AA57" si="352">X56</f>
        <v>621</v>
      </c>
      <c r="Z56" s="10">
        <f t="shared" si="352"/>
        <v>621</v>
      </c>
      <c r="AA56" s="10">
        <f t="shared" si="352"/>
        <v>621</v>
      </c>
      <c r="AB56" s="10">
        <f>AC56</f>
        <v>4705</v>
      </c>
      <c r="AC56" s="11">
        <f>AC55-AC54</f>
        <v>4705</v>
      </c>
      <c r="AD56" s="10">
        <f t="shared" ref="AD56:AF57" si="353">AC56</f>
        <v>4705</v>
      </c>
      <c r="AE56" s="10">
        <f t="shared" si="353"/>
        <v>4705</v>
      </c>
      <c r="AF56" s="10">
        <f t="shared" si="353"/>
        <v>4705</v>
      </c>
      <c r="AG56" s="10">
        <f>AH56</f>
        <v>-8420</v>
      </c>
      <c r="AH56" s="11">
        <f>AH55-AH54</f>
        <v>-8420</v>
      </c>
      <c r="AI56" s="10">
        <f t="shared" ref="AI56:AK57" si="354">AH56</f>
        <v>-8420</v>
      </c>
      <c r="AJ56" s="10">
        <f t="shared" si="354"/>
        <v>-8420</v>
      </c>
      <c r="AK56" s="10">
        <f t="shared" si="354"/>
        <v>-8420</v>
      </c>
      <c r="AL56" s="10">
        <f>AM56</f>
        <v>-6356</v>
      </c>
      <c r="AM56" s="11">
        <f>AM55-AM54</f>
        <v>-6356</v>
      </c>
      <c r="AN56" s="10">
        <f t="shared" ref="AN56:AP57" si="355">AM56</f>
        <v>-6356</v>
      </c>
      <c r="AO56" s="10">
        <f t="shared" si="355"/>
        <v>-6356</v>
      </c>
      <c r="AP56" s="10">
        <f t="shared" si="355"/>
        <v>-6356</v>
      </c>
      <c r="AQ56" s="10">
        <f>AR56</f>
        <v>-9854</v>
      </c>
      <c r="AR56" s="11">
        <f>AR55-AR54</f>
        <v>-9854</v>
      </c>
      <c r="AS56" s="10">
        <f t="shared" ref="AS56:AV57" si="356">AR56</f>
        <v>-9854</v>
      </c>
      <c r="AT56" s="10">
        <f t="shared" si="356"/>
        <v>-9854</v>
      </c>
      <c r="AU56" s="10">
        <f t="shared" si="356"/>
        <v>-9854</v>
      </c>
      <c r="AV56" s="10">
        <f>AW56</f>
        <v>-16600</v>
      </c>
      <c r="AW56" s="11">
        <f>AW55-AW54</f>
        <v>-16600</v>
      </c>
      <c r="AX56" s="10">
        <f t="shared" ref="AX56:AZ57" si="357">AW56</f>
        <v>-16600</v>
      </c>
      <c r="AY56" s="10">
        <f t="shared" si="357"/>
        <v>-16600</v>
      </c>
      <c r="AZ56" s="10">
        <f>AY56</f>
        <v>-16600</v>
      </c>
      <c r="BA56" s="10">
        <f>BB56</f>
        <v>-19717</v>
      </c>
      <c r="BB56" s="394">
        <f>BB55-BB54</f>
        <v>-19717</v>
      </c>
      <c r="BC56" s="10">
        <f t="shared" ref="BC56:BE57" si="358">BB56</f>
        <v>-19717</v>
      </c>
      <c r="BD56" s="10">
        <f t="shared" si="358"/>
        <v>-19717</v>
      </c>
      <c r="BE56" s="10">
        <f t="shared" si="358"/>
        <v>-19717</v>
      </c>
      <c r="BF56" s="10">
        <f>BG56</f>
        <v>-10494</v>
      </c>
      <c r="BG56" s="394">
        <f>BG55-BG54</f>
        <v>-10494</v>
      </c>
      <c r="BH56" s="10">
        <f t="shared" ref="BH56:BJ57" si="359">BG56</f>
        <v>-10494</v>
      </c>
      <c r="BI56" s="10">
        <f t="shared" si="359"/>
        <v>-10494</v>
      </c>
      <c r="BJ56" s="10">
        <f t="shared" si="359"/>
        <v>-10494</v>
      </c>
      <c r="BK56" s="10">
        <f>BL56</f>
        <v>-17272</v>
      </c>
      <c r="BL56" s="394">
        <f>BL55-BL54</f>
        <v>-17272</v>
      </c>
      <c r="BM56" s="10">
        <f t="shared" ref="BM56:BM57" si="360">BL56</f>
        <v>-17272</v>
      </c>
      <c r="BN56" s="10">
        <f t="shared" ref="BN56:BN57" si="361">BM56</f>
        <v>-17272</v>
      </c>
      <c r="BO56" s="10">
        <f t="shared" ref="BO56:BO57" si="362">BN56</f>
        <v>-17272</v>
      </c>
      <c r="BP56" s="10">
        <f>BQ56</f>
        <v>-17874</v>
      </c>
      <c r="BQ56" s="394">
        <f>BQ55-BQ54</f>
        <v>-17874</v>
      </c>
      <c r="BR56" s="10">
        <f t="shared" ref="BR56:BR57" si="363">BQ56</f>
        <v>-17874</v>
      </c>
      <c r="BS56" s="10">
        <f>BT56</f>
        <v>-20053</v>
      </c>
      <c r="BT56" s="10">
        <f t="shared" ref="BT56:BU56" si="364">BU56</f>
        <v>-20053</v>
      </c>
      <c r="BU56" s="10">
        <f t="shared" si="364"/>
        <v>-20053</v>
      </c>
      <c r="BV56" s="394">
        <f>BV55-BV54</f>
        <v>-20053</v>
      </c>
      <c r="BW56" s="10">
        <f t="shared" ref="BW56:BW57" si="365">BV56</f>
        <v>-20053</v>
      </c>
      <c r="BX56" s="10">
        <f>BY56</f>
        <v>-16382</v>
      </c>
      <c r="BY56" s="10">
        <f t="shared" ref="BY56:BY57" si="366">BZ56</f>
        <v>-16382</v>
      </c>
      <c r="BZ56" s="10">
        <f t="shared" ref="BZ56:BZ57" si="367">CA56</f>
        <v>-16382</v>
      </c>
      <c r="CA56" s="394">
        <f>CA55-CA54</f>
        <v>-16382</v>
      </c>
      <c r="CB56" s="10">
        <f t="shared" ref="CB56:CB57" si="368">CA56</f>
        <v>-16382</v>
      </c>
      <c r="CC56" s="10">
        <f>CD56</f>
        <v>-15322</v>
      </c>
      <c r="CD56" s="10">
        <f t="shared" ref="CD56:CD57" si="369">CE56</f>
        <v>-15322</v>
      </c>
      <c r="CE56" s="10">
        <f t="shared" ref="CE56:CE57" si="370">CF56</f>
        <v>-15322</v>
      </c>
      <c r="CF56" s="394">
        <f>CF55-CF54</f>
        <v>-15322</v>
      </c>
      <c r="CG56" s="10">
        <f t="shared" ref="CG56:CG57" si="371">CH56</f>
        <v>-15934</v>
      </c>
      <c r="CH56" s="10">
        <f t="shared" ref="CH56:CH57" si="372">CI56</f>
        <v>-15934</v>
      </c>
      <c r="CI56" s="10">
        <f t="shared" ref="CI56:CI57" si="373">CJ56</f>
        <v>-15934</v>
      </c>
      <c r="CJ56" s="10">
        <f t="shared" ref="CJ56:CJ57" si="374">CK56</f>
        <v>-15934</v>
      </c>
      <c r="CK56" s="394">
        <f>CK55-CK54</f>
        <v>-15934</v>
      </c>
      <c r="CL56" s="10">
        <f t="shared" ref="CL56:CL57" si="375">CM56</f>
        <v>-13719</v>
      </c>
      <c r="CM56" s="10">
        <f t="shared" ref="CM56:CM57" si="376">CN56</f>
        <v>-13719</v>
      </c>
      <c r="CN56" s="10">
        <f t="shared" ref="CN56:CN57" si="377">CO56</f>
        <v>-13719</v>
      </c>
      <c r="CO56" s="10">
        <f t="shared" ref="CO56:CO57" si="378">CP56</f>
        <v>-13719</v>
      </c>
      <c r="CP56" s="394">
        <f>CP55-CP54</f>
        <v>-13719</v>
      </c>
      <c r="CQ56" s="10">
        <f t="shared" ref="CQ56:CT56" si="379">-(CQ35-CQ22)</f>
        <v>-13968</v>
      </c>
      <c r="CR56" s="10">
        <f t="shared" si="379"/>
        <v>-13519</v>
      </c>
      <c r="CS56" s="10">
        <f t="shared" si="379"/>
        <v>-11435</v>
      </c>
      <c r="CT56" s="10">
        <f t="shared" si="379"/>
        <v>-9104</v>
      </c>
      <c r="CU56" s="394">
        <f>-(CU35-CU22)</f>
        <v>-9104</v>
      </c>
      <c r="CV56" s="10">
        <f t="shared" ref="CV56:CZ56" si="380">-(CV35-CV22)</f>
        <v>-8719</v>
      </c>
      <c r="CW56" s="10">
        <f t="shared" si="380"/>
        <v>-8335</v>
      </c>
      <c r="CX56" s="10">
        <f t="shared" si="380"/>
        <v>-7951</v>
      </c>
      <c r="CY56" s="10">
        <f t="shared" si="380"/>
        <v>-6141</v>
      </c>
      <c r="CZ56" s="394">
        <f t="shared" si="380"/>
        <v>-6141</v>
      </c>
      <c r="DA56" s="10">
        <f t="shared" ref="DA56:DE56" si="381">-(DA35-DA22)</f>
        <v>-5998</v>
      </c>
      <c r="DB56" s="393">
        <f t="shared" si="381"/>
        <v>-5855</v>
      </c>
      <c r="DC56" s="10">
        <f t="shared" si="381"/>
        <v>-5713</v>
      </c>
      <c r="DD56" s="10">
        <f t="shared" si="381"/>
        <v>-6516</v>
      </c>
      <c r="DE56" s="394">
        <f t="shared" si="381"/>
        <v>-6516</v>
      </c>
      <c r="DF56" s="10">
        <f t="shared" ref="DF56:DJ56" si="382">-(DF35-DF22)</f>
        <v>-6400</v>
      </c>
      <c r="DG56" s="393">
        <f t="shared" si="382"/>
        <v>-6248</v>
      </c>
      <c r="DH56" s="10">
        <f t="shared" si="382"/>
        <v>-6097</v>
      </c>
      <c r="DI56" s="10">
        <f t="shared" si="382"/>
        <v>-5997</v>
      </c>
      <c r="DJ56" s="394">
        <f t="shared" si="382"/>
        <v>-5997</v>
      </c>
      <c r="DK56" s="10">
        <f t="shared" ref="DK56:DM56" si="383">-(DK35-DK22)</f>
        <v>-5909</v>
      </c>
      <c r="DL56" s="393">
        <f t="shared" si="383"/>
        <v>-5803</v>
      </c>
      <c r="DM56" s="10">
        <f t="shared" si="383"/>
        <v>-5714</v>
      </c>
      <c r="DN56" s="10">
        <f t="shared" ref="DN56:DQ56" si="384">-(DN35-DN22)</f>
        <v>-4287</v>
      </c>
      <c r="DO56" s="394">
        <f t="shared" si="384"/>
        <v>-4287</v>
      </c>
      <c r="DP56" s="10">
        <f t="shared" si="384"/>
        <v>-4198</v>
      </c>
      <c r="DQ56" s="393">
        <f t="shared" si="384"/>
        <v>-4108</v>
      </c>
      <c r="DR56" s="10">
        <f t="shared" ref="DR56:DU56" si="385">-(DR35-DR22)</f>
        <v>-4109.25</v>
      </c>
      <c r="DS56" s="10">
        <f t="shared" si="385"/>
        <v>-4110.5</v>
      </c>
      <c r="DT56" s="394">
        <f t="shared" si="385"/>
        <v>-4110.5</v>
      </c>
      <c r="DU56" s="10">
        <f t="shared" si="385"/>
        <v>-4111.75</v>
      </c>
      <c r="DV56" s="10">
        <f t="shared" ref="DV56:DY56" si="386">-(DV35-DV22)</f>
        <v>-4113</v>
      </c>
      <c r="DW56" s="10">
        <f t="shared" si="386"/>
        <v>-4114.25</v>
      </c>
      <c r="DX56" s="10">
        <f t="shared" si="386"/>
        <v>-4115.5</v>
      </c>
      <c r="DY56" s="394">
        <f t="shared" si="386"/>
        <v>-4115.5</v>
      </c>
      <c r="DZ56" s="267">
        <f t="shared" ref="DZ56:EB56" si="387">-(DZ35-DZ22)</f>
        <v>-4120.5</v>
      </c>
      <c r="EA56" s="267">
        <f t="shared" si="387"/>
        <v>-4125.5</v>
      </c>
      <c r="EB56" s="267">
        <f t="shared" si="387"/>
        <v>-4130.5</v>
      </c>
    </row>
    <row r="57" spans="1:132" s="10" customFormat="1">
      <c r="A57" s="68"/>
      <c r="B57" s="68" t="s">
        <v>301</v>
      </c>
      <c r="C57" s="11">
        <f>Data!C291</f>
        <v>0</v>
      </c>
      <c r="D57" s="11">
        <f>Data!D291</f>
        <v>0</v>
      </c>
      <c r="E57" s="11">
        <f>Data!E291</f>
        <v>0</v>
      </c>
      <c r="F57" s="11">
        <f>Data!F291</f>
        <v>0</v>
      </c>
      <c r="G57" s="11">
        <f>Data!G291</f>
        <v>0</v>
      </c>
      <c r="H57" s="11">
        <f>Data!H291</f>
        <v>0</v>
      </c>
      <c r="I57" s="11">
        <f>Data!I291</f>
        <v>0</v>
      </c>
      <c r="J57" s="10">
        <f t="shared" si="349"/>
        <v>0</v>
      </c>
      <c r="K57" s="10">
        <f t="shared" si="349"/>
        <v>0</v>
      </c>
      <c r="L57" s="10">
        <f t="shared" si="349"/>
        <v>0</v>
      </c>
      <c r="M57" s="10">
        <f>N57</f>
        <v>0</v>
      </c>
      <c r="N57" s="11">
        <f>Data!N291</f>
        <v>0</v>
      </c>
      <c r="O57" s="10">
        <f t="shared" si="350"/>
        <v>0</v>
      </c>
      <c r="P57" s="10">
        <f t="shared" si="350"/>
        <v>0</v>
      </c>
      <c r="Q57" s="10">
        <f t="shared" si="350"/>
        <v>0</v>
      </c>
      <c r="R57" s="10">
        <f>S57</f>
        <v>0</v>
      </c>
      <c r="S57" s="11">
        <f>Data!S291</f>
        <v>0</v>
      </c>
      <c r="T57" s="10">
        <f t="shared" si="351"/>
        <v>0</v>
      </c>
      <c r="U57" s="10">
        <f t="shared" si="351"/>
        <v>0</v>
      </c>
      <c r="V57" s="10">
        <f t="shared" si="351"/>
        <v>0</v>
      </c>
      <c r="W57" s="10">
        <f>X57</f>
        <v>-8389</v>
      </c>
      <c r="X57" s="11">
        <f>Data!X291</f>
        <v>-8389</v>
      </c>
      <c r="Y57" s="10">
        <f t="shared" si="352"/>
        <v>-8389</v>
      </c>
      <c r="Z57" s="10">
        <f t="shared" si="352"/>
        <v>-8389</v>
      </c>
      <c r="AA57" s="10">
        <f t="shared" si="352"/>
        <v>-8389</v>
      </c>
      <c r="AB57" s="10">
        <f>AC57</f>
        <v>-6969</v>
      </c>
      <c r="AC57" s="11">
        <f>Data!AC291</f>
        <v>-6969</v>
      </c>
      <c r="AD57" s="10">
        <f t="shared" si="353"/>
        <v>-6969</v>
      </c>
      <c r="AE57" s="10">
        <f t="shared" si="353"/>
        <v>-6969</v>
      </c>
      <c r="AF57" s="10">
        <f t="shared" si="353"/>
        <v>-6969</v>
      </c>
      <c r="AG57" s="10">
        <f>AH57</f>
        <v>-13421</v>
      </c>
      <c r="AH57" s="11">
        <f>Data!AH291</f>
        <v>-13421</v>
      </c>
      <c r="AI57" s="10">
        <f t="shared" si="354"/>
        <v>-13421</v>
      </c>
      <c r="AJ57" s="10">
        <f t="shared" si="354"/>
        <v>-13421</v>
      </c>
      <c r="AK57" s="10">
        <f t="shared" si="354"/>
        <v>-13421</v>
      </c>
      <c r="AL57" s="10">
        <f>AM57</f>
        <v>-12154</v>
      </c>
      <c r="AM57" s="11">
        <f>Data!AM291</f>
        <v>-12154</v>
      </c>
      <c r="AN57" s="10">
        <f t="shared" si="355"/>
        <v>-12154</v>
      </c>
      <c r="AO57" s="10">
        <f t="shared" si="355"/>
        <v>-12154</v>
      </c>
      <c r="AP57" s="10">
        <f t="shared" si="355"/>
        <v>-12154</v>
      </c>
      <c r="AQ57" s="10">
        <f>AR57</f>
        <v>-14079</v>
      </c>
      <c r="AR57" s="11">
        <f>Data!AR291</f>
        <v>-14079</v>
      </c>
      <c r="AS57" s="10">
        <f t="shared" si="356"/>
        <v>-14079</v>
      </c>
      <c r="AT57" s="10">
        <f t="shared" si="356"/>
        <v>-14079</v>
      </c>
      <c r="AU57" s="10">
        <f t="shared" si="356"/>
        <v>-14079</v>
      </c>
      <c r="AV57" s="10">
        <f t="shared" si="356"/>
        <v>-14079</v>
      </c>
      <c r="AW57" s="11">
        <f>Data!AW291</f>
        <v>-16755</v>
      </c>
      <c r="AX57" s="10">
        <f t="shared" si="357"/>
        <v>-16755</v>
      </c>
      <c r="AY57" s="10">
        <f t="shared" si="357"/>
        <v>-16755</v>
      </c>
      <c r="AZ57" s="10">
        <f t="shared" si="357"/>
        <v>-16755</v>
      </c>
      <c r="BA57" s="10">
        <f>BB57</f>
        <v>-17708</v>
      </c>
      <c r="BB57" s="394">
        <f>Data!BB291</f>
        <v>-17708</v>
      </c>
      <c r="BC57" s="10">
        <f t="shared" si="358"/>
        <v>-17708</v>
      </c>
      <c r="BD57" s="10">
        <f t="shared" si="358"/>
        <v>-17708</v>
      </c>
      <c r="BE57" s="10">
        <f t="shared" si="358"/>
        <v>-17708</v>
      </c>
      <c r="BF57" s="10">
        <f>BG57</f>
        <v>-10030</v>
      </c>
      <c r="BG57" s="394">
        <f>Data!BG291</f>
        <v>-10030</v>
      </c>
      <c r="BH57" s="10">
        <f t="shared" si="359"/>
        <v>-10030</v>
      </c>
      <c r="BI57" s="10">
        <f t="shared" si="359"/>
        <v>-10030</v>
      </c>
      <c r="BJ57" s="10">
        <f t="shared" si="359"/>
        <v>-10030</v>
      </c>
      <c r="BK57" s="10">
        <f>BL57</f>
        <v>-13812</v>
      </c>
      <c r="BL57" s="394">
        <f>Data!BL291</f>
        <v>-13812</v>
      </c>
      <c r="BM57" s="10">
        <f t="shared" si="360"/>
        <v>-13812</v>
      </c>
      <c r="BN57" s="10">
        <f t="shared" si="361"/>
        <v>-13812</v>
      </c>
      <c r="BO57" s="10">
        <f t="shared" si="362"/>
        <v>-13812</v>
      </c>
      <c r="BP57" s="10">
        <f>BQ57</f>
        <v>-12512</v>
      </c>
      <c r="BQ57" s="394">
        <f>Data!BQ291</f>
        <v>-12512</v>
      </c>
      <c r="BR57" s="10">
        <f t="shared" si="363"/>
        <v>-12512</v>
      </c>
      <c r="BS57" s="10">
        <f>BT57</f>
        <v>-13351</v>
      </c>
      <c r="BT57" s="10">
        <f t="shared" ref="BT57:BU57" si="388">BU57</f>
        <v>-13351</v>
      </c>
      <c r="BU57" s="10">
        <f t="shared" si="388"/>
        <v>-13351</v>
      </c>
      <c r="BV57" s="394">
        <f>Data!BV291</f>
        <v>-13351</v>
      </c>
      <c r="BW57" s="10">
        <f t="shared" si="365"/>
        <v>-13351</v>
      </c>
      <c r="BX57" s="10">
        <f>BY57</f>
        <v>-13404</v>
      </c>
      <c r="BY57" s="10">
        <f t="shared" si="366"/>
        <v>-13404</v>
      </c>
      <c r="BZ57" s="10">
        <f t="shared" si="367"/>
        <v>-13404</v>
      </c>
      <c r="CA57" s="394">
        <f>Data!CA291</f>
        <v>-13404</v>
      </c>
      <c r="CB57" s="10">
        <f t="shared" si="368"/>
        <v>-13404</v>
      </c>
      <c r="CC57" s="10">
        <f>CD57</f>
        <v>-14920</v>
      </c>
      <c r="CD57" s="10">
        <f t="shared" si="369"/>
        <v>-14920</v>
      </c>
      <c r="CE57" s="10">
        <f t="shared" si="370"/>
        <v>-14920</v>
      </c>
      <c r="CF57" s="394">
        <f>Data!CF291</f>
        <v>-14920</v>
      </c>
      <c r="CG57" s="10">
        <f t="shared" si="371"/>
        <v>-15942</v>
      </c>
      <c r="CH57" s="10">
        <f t="shared" si="372"/>
        <v>-15942</v>
      </c>
      <c r="CI57" s="10">
        <f t="shared" si="373"/>
        <v>-15942</v>
      </c>
      <c r="CJ57" s="10">
        <f t="shared" si="374"/>
        <v>-15942</v>
      </c>
      <c r="CK57" s="394">
        <f>Data!CK291</f>
        <v>-15942</v>
      </c>
      <c r="CL57" s="10">
        <f t="shared" si="375"/>
        <v>-15942</v>
      </c>
      <c r="CM57" s="10">
        <f t="shared" si="376"/>
        <v>-15942</v>
      </c>
      <c r="CN57" s="10">
        <f t="shared" si="377"/>
        <v>-15942</v>
      </c>
      <c r="CO57" s="10">
        <f t="shared" si="378"/>
        <v>-15942</v>
      </c>
      <c r="CP57" s="394">
        <f>CP22-CK22+CK57</f>
        <v>-15942</v>
      </c>
      <c r="CQ57" s="10">
        <f t="shared" ref="CQ57" si="389">CR57</f>
        <v>-15942</v>
      </c>
      <c r="CR57" s="10">
        <f t="shared" ref="CR57" si="390">CS57</f>
        <v>-15942</v>
      </c>
      <c r="CS57" s="10">
        <f t="shared" ref="CS57" si="391">CT57</f>
        <v>-15942</v>
      </c>
      <c r="CT57" s="10">
        <f t="shared" ref="CT57" si="392">CU57</f>
        <v>-15942</v>
      </c>
      <c r="CU57" s="394">
        <f>CU22-CP22+CP57</f>
        <v>-15942</v>
      </c>
      <c r="CV57" s="10">
        <f t="shared" ref="CV57:CW57" si="393">CW57</f>
        <v>-15942</v>
      </c>
      <c r="CW57" s="10">
        <f t="shared" si="393"/>
        <v>-15942</v>
      </c>
      <c r="CX57" s="10">
        <f t="shared" ref="CX57" si="394">CY57</f>
        <v>-15942</v>
      </c>
      <c r="CY57" s="10">
        <f t="shared" ref="CY57" si="395">CZ57</f>
        <v>-15942</v>
      </c>
      <c r="CZ57" s="394">
        <f>CZ22-CU22+CU57</f>
        <v>-15942</v>
      </c>
      <c r="DA57" s="10">
        <f t="shared" ref="DA57:DB57" si="396">DB57</f>
        <v>-15942</v>
      </c>
      <c r="DB57" s="393">
        <f t="shared" si="396"/>
        <v>-15942</v>
      </c>
      <c r="DC57" s="10">
        <f t="shared" ref="DC57" si="397">DD57</f>
        <v>-15942</v>
      </c>
      <c r="DD57" s="10">
        <f t="shared" ref="DD57:DQ57" si="398">DE57</f>
        <v>-15942</v>
      </c>
      <c r="DE57" s="394">
        <f>DE22-CZ22+CZ57</f>
        <v>-15942</v>
      </c>
      <c r="DF57" s="10">
        <f t="shared" si="398"/>
        <v>-15942</v>
      </c>
      <c r="DG57" s="393">
        <f t="shared" si="398"/>
        <v>-15942</v>
      </c>
      <c r="DH57" s="10">
        <f t="shared" si="398"/>
        <v>-15942</v>
      </c>
      <c r="DI57" s="10">
        <f t="shared" si="398"/>
        <v>-15942</v>
      </c>
      <c r="DJ57" s="394">
        <f>DJ22-DE22+DE57</f>
        <v>-15942</v>
      </c>
      <c r="DK57" s="10">
        <f t="shared" si="398"/>
        <v>-15942</v>
      </c>
      <c r="DL57" s="393">
        <f t="shared" si="398"/>
        <v>-15942</v>
      </c>
      <c r="DM57" s="10">
        <f t="shared" si="398"/>
        <v>-15942</v>
      </c>
      <c r="DN57" s="10">
        <f t="shared" si="398"/>
        <v>-15942</v>
      </c>
      <c r="DO57" s="394">
        <f>DO22-DJ22+DJ57</f>
        <v>-15942</v>
      </c>
      <c r="DP57" s="10">
        <f t="shared" si="398"/>
        <v>-15942</v>
      </c>
      <c r="DQ57" s="393">
        <f t="shared" si="398"/>
        <v>-15942</v>
      </c>
      <c r="DR57" s="10">
        <f t="shared" ref="DR57" si="399">DS57</f>
        <v>-15942</v>
      </c>
      <c r="DS57" s="10">
        <f t="shared" ref="DS57" si="400">DT57</f>
        <v>-15942</v>
      </c>
      <c r="DT57" s="394">
        <f>DT22-DO22+DO57</f>
        <v>-15942</v>
      </c>
      <c r="DU57" s="10">
        <f t="shared" ref="DU57" si="401">DV57</f>
        <v>-15942</v>
      </c>
      <c r="DV57" s="10">
        <f t="shared" ref="DV57" si="402">DW57</f>
        <v>-15942</v>
      </c>
      <c r="DW57" s="10">
        <f t="shared" ref="DW57" si="403">DX57</f>
        <v>-15942</v>
      </c>
      <c r="DX57" s="10">
        <f t="shared" ref="DX57" si="404">DY57</f>
        <v>-15942</v>
      </c>
      <c r="DY57" s="394">
        <f>DY22-DT22+DT57</f>
        <v>-15942</v>
      </c>
      <c r="DZ57" s="267">
        <f t="shared" ref="DZ57" si="405">DZ22-DY22+DY57</f>
        <v>-15942</v>
      </c>
      <c r="EA57" s="267">
        <f t="shared" ref="EA57" si="406">EA22-DZ22+DZ57</f>
        <v>-15942</v>
      </c>
      <c r="EB57" s="267">
        <f t="shared" ref="EB57" si="407">EB22-EA22+EA57</f>
        <v>-15942</v>
      </c>
    </row>
    <row r="58" spans="1:132">
      <c r="C58" s="67"/>
      <c r="D58" s="67"/>
      <c r="E58" s="67"/>
      <c r="F58" s="67"/>
      <c r="G58" s="67"/>
      <c r="H58" s="67"/>
      <c r="I58" s="67"/>
      <c r="N58" s="67"/>
      <c r="S58" s="67"/>
      <c r="X58" s="67"/>
      <c r="AC58" s="67"/>
      <c r="AH58" s="67"/>
      <c r="AM58" s="67"/>
      <c r="AR58" s="67"/>
      <c r="AW58" s="67"/>
      <c r="BB58" s="67"/>
      <c r="BG58" s="67"/>
      <c r="BL58" s="67"/>
      <c r="BQ58" s="67"/>
      <c r="BV58" s="67"/>
      <c r="CA58" s="67"/>
      <c r="CF58" s="67"/>
      <c r="CK58" s="67"/>
      <c r="CP58" s="120"/>
      <c r="CU58" s="120"/>
      <c r="CZ58" s="120"/>
      <c r="DB58" s="121"/>
      <c r="DE58" s="120"/>
      <c r="DG58" s="121"/>
      <c r="DJ58" s="120"/>
      <c r="DL58" s="121"/>
      <c r="DO58" s="120"/>
      <c r="DQ58" s="121"/>
      <c r="DT58" s="120"/>
      <c r="DY58" s="120"/>
      <c r="DZ58" s="67"/>
      <c r="EA58" s="67"/>
      <c r="EB58" s="67"/>
    </row>
    <row r="59" spans="1:132">
      <c r="B59" s="164" t="s">
        <v>231</v>
      </c>
      <c r="C59" s="67"/>
      <c r="D59" s="67"/>
      <c r="E59" s="67"/>
      <c r="F59" s="67"/>
      <c r="G59" s="67"/>
      <c r="H59" s="67"/>
      <c r="I59" s="67"/>
      <c r="N59" s="67"/>
      <c r="S59" s="67"/>
      <c r="X59" s="67"/>
      <c r="AC59" s="67"/>
      <c r="AH59" s="67"/>
      <c r="AM59" s="67"/>
      <c r="AR59" s="67"/>
      <c r="AW59" s="67"/>
      <c r="BB59" s="67"/>
      <c r="BG59" s="67"/>
      <c r="BL59" s="67"/>
      <c r="BQ59" s="67"/>
      <c r="BV59" s="67"/>
      <c r="CA59" s="67"/>
      <c r="CF59" s="67"/>
      <c r="CK59" s="67"/>
      <c r="CP59" s="120"/>
      <c r="CU59" s="120"/>
      <c r="CZ59" s="120"/>
      <c r="DB59" s="121"/>
      <c r="DE59" s="120"/>
      <c r="DG59" s="121"/>
      <c r="DJ59" s="120"/>
      <c r="DL59" s="121"/>
      <c r="DO59" s="120"/>
      <c r="DQ59" s="121"/>
      <c r="DT59" s="120"/>
      <c r="DY59" s="120"/>
      <c r="DZ59" s="67"/>
      <c r="EA59" s="67"/>
      <c r="EB59" s="67"/>
    </row>
    <row r="60" spans="1:132">
      <c r="B60" s="68" t="s">
        <v>232</v>
      </c>
      <c r="C60" s="199">
        <f t="shared" ref="C60:AN60" si="408">C7+C8</f>
        <v>5149</v>
      </c>
      <c r="D60" s="199">
        <f t="shared" si="408"/>
        <v>2462</v>
      </c>
      <c r="E60" s="199">
        <f t="shared" si="408"/>
        <v>3454</v>
      </c>
      <c r="F60" s="199">
        <f t="shared" si="408"/>
        <v>1010</v>
      </c>
      <c r="G60" s="199">
        <f t="shared" si="408"/>
        <v>633</v>
      </c>
      <c r="H60" s="199">
        <f t="shared" si="408"/>
        <v>2333</v>
      </c>
      <c r="I60" s="199">
        <f t="shared" si="408"/>
        <v>4633</v>
      </c>
      <c r="J60" s="200">
        <f t="shared" si="408"/>
        <v>3950</v>
      </c>
      <c r="K60" s="200">
        <f t="shared" si="408"/>
        <v>6184</v>
      </c>
      <c r="L60" s="200">
        <f t="shared" si="408"/>
        <v>4408</v>
      </c>
      <c r="M60" s="200">
        <f t="shared" si="408"/>
        <v>3523</v>
      </c>
      <c r="N60" s="199">
        <f t="shared" si="408"/>
        <v>3523</v>
      </c>
      <c r="O60" s="200">
        <f t="shared" si="408"/>
        <v>3497</v>
      </c>
      <c r="P60" s="200">
        <f t="shared" si="408"/>
        <v>5168</v>
      </c>
      <c r="Q60" s="200">
        <f t="shared" si="408"/>
        <v>5074</v>
      </c>
      <c r="R60" s="200">
        <f t="shared" si="408"/>
        <v>5966</v>
      </c>
      <c r="S60" s="199">
        <f t="shared" si="408"/>
        <v>5966</v>
      </c>
      <c r="T60" s="200">
        <f t="shared" si="408"/>
        <v>7357</v>
      </c>
      <c r="U60" s="200">
        <f t="shared" si="408"/>
        <v>8134</v>
      </c>
      <c r="V60" s="200">
        <f t="shared" si="408"/>
        <v>5621</v>
      </c>
      <c r="W60" s="200">
        <f t="shared" si="408"/>
        <v>6386</v>
      </c>
      <c r="X60" s="199">
        <f t="shared" si="408"/>
        <v>6386</v>
      </c>
      <c r="Y60" s="200">
        <f t="shared" si="408"/>
        <v>5277</v>
      </c>
      <c r="Z60" s="200">
        <f t="shared" si="408"/>
        <v>7631</v>
      </c>
      <c r="AA60" s="200">
        <f t="shared" si="408"/>
        <v>9464</v>
      </c>
      <c r="AB60" s="200">
        <f t="shared" si="408"/>
        <v>9308</v>
      </c>
      <c r="AC60" s="199">
        <f t="shared" si="408"/>
        <v>9308</v>
      </c>
      <c r="AD60" s="200">
        <f t="shared" si="408"/>
        <v>9588</v>
      </c>
      <c r="AE60" s="200">
        <f t="shared" si="408"/>
        <v>7371</v>
      </c>
      <c r="AF60" s="200">
        <f t="shared" si="408"/>
        <v>4777</v>
      </c>
      <c r="AG60" s="200">
        <f t="shared" si="408"/>
        <v>3279</v>
      </c>
      <c r="AH60" s="199">
        <f t="shared" si="408"/>
        <v>3279</v>
      </c>
      <c r="AI60" s="201">
        <f t="shared" si="408"/>
        <v>4450</v>
      </c>
      <c r="AJ60" s="201">
        <f t="shared" si="408"/>
        <v>4770</v>
      </c>
      <c r="AK60" s="201">
        <f t="shared" si="408"/>
        <v>6446</v>
      </c>
      <c r="AL60" s="201">
        <f t="shared" si="408"/>
        <v>11223</v>
      </c>
      <c r="AM60" s="199">
        <f t="shared" si="408"/>
        <v>11223</v>
      </c>
      <c r="AN60" s="201">
        <f t="shared" si="408"/>
        <v>10362</v>
      </c>
      <c r="AO60" s="201">
        <f>AO7+AO8</f>
        <v>10026</v>
      </c>
      <c r="AP60" s="201">
        <f t="shared" ref="AP60:BB60" si="409">AP7+AP8</f>
        <v>9966</v>
      </c>
      <c r="AQ60" s="201">
        <f t="shared" si="409"/>
        <v>10517</v>
      </c>
      <c r="AR60" s="199">
        <f t="shared" si="409"/>
        <v>10517</v>
      </c>
      <c r="AS60" s="201">
        <f t="shared" si="409"/>
        <v>7772</v>
      </c>
      <c r="AT60" s="201">
        <f>AT7+AT8</f>
        <v>8802</v>
      </c>
      <c r="AU60" s="201">
        <f t="shared" si="409"/>
        <v>9233</v>
      </c>
      <c r="AV60" s="201">
        <f>AV7+AV8</f>
        <v>11272</v>
      </c>
      <c r="AW60" s="199">
        <f t="shared" si="409"/>
        <v>11272</v>
      </c>
      <c r="AX60" s="201">
        <f>AX7+AX8</f>
        <v>10516</v>
      </c>
      <c r="AY60" s="201">
        <f>AY7+AY8</f>
        <v>10307</v>
      </c>
      <c r="AZ60" s="201">
        <f>AZ7+AZ8</f>
        <v>11172</v>
      </c>
      <c r="BA60" s="201">
        <f>BA7+BA8</f>
        <v>13558</v>
      </c>
      <c r="BB60" s="199">
        <f t="shared" si="409"/>
        <v>13558</v>
      </c>
      <c r="BC60" s="201">
        <f t="shared" ref="BC60:BL60" si="410">BC7+BC8</f>
        <v>11853</v>
      </c>
      <c r="BD60" s="201">
        <f t="shared" ref="BD60:BE60" si="411">BD7+BD8</f>
        <v>14325</v>
      </c>
      <c r="BE60" s="201">
        <f t="shared" si="411"/>
        <v>15911</v>
      </c>
      <c r="BF60" s="201">
        <f t="shared" ref="BF60" si="412">BF7+BF8</f>
        <v>15258</v>
      </c>
      <c r="BG60" s="199">
        <f t="shared" si="410"/>
        <v>15258</v>
      </c>
      <c r="BH60" s="201">
        <f>BH7+BH8</f>
        <v>12224</v>
      </c>
      <c r="BI60" s="201">
        <f t="shared" ref="BI60" si="413">BI7+BI8</f>
        <v>11330</v>
      </c>
      <c r="BJ60" s="201">
        <f>BJ7+BJ8</f>
        <v>10077</v>
      </c>
      <c r="BK60" s="201">
        <f>BK7+BK8</f>
        <v>13092</v>
      </c>
      <c r="BL60" s="199">
        <f t="shared" si="410"/>
        <v>13092</v>
      </c>
      <c r="BM60" s="201">
        <f>BM7+BM8</f>
        <v>9631</v>
      </c>
      <c r="BN60" s="201">
        <f>BN7+BN8</f>
        <v>9625</v>
      </c>
      <c r="BO60" s="201">
        <f>BO7+BO8</f>
        <v>9857</v>
      </c>
      <c r="BP60" s="201">
        <f>BP7+BP8</f>
        <v>12052</v>
      </c>
      <c r="BQ60" s="199">
        <f t="shared" ref="BQ60" si="414">BQ7+BQ8</f>
        <v>12052</v>
      </c>
      <c r="BR60" s="201">
        <f>BR7+BR8</f>
        <v>8352</v>
      </c>
      <c r="BS60" s="201">
        <f>BS7+BS8</f>
        <v>9265</v>
      </c>
      <c r="BT60" s="201">
        <f t="shared" ref="BT60:BU60" si="415">BT7+BT8</f>
        <v>9668</v>
      </c>
      <c r="BU60" s="201">
        <f t="shared" si="415"/>
        <v>10029</v>
      </c>
      <c r="BV60" s="199">
        <f t="shared" ref="BV60" si="416">BV7+BV8</f>
        <v>10029</v>
      </c>
      <c r="BW60" s="201">
        <f>BW7+BW8</f>
        <v>9205</v>
      </c>
      <c r="BX60" s="201">
        <f>BX7+BX8</f>
        <v>10326</v>
      </c>
      <c r="BY60" s="201">
        <f t="shared" ref="BY60:CA60" si="417">BY7+BY8</f>
        <v>10032</v>
      </c>
      <c r="BZ60" s="201">
        <f>BZ7+BZ8</f>
        <v>9992</v>
      </c>
      <c r="CA60" s="199">
        <f t="shared" si="417"/>
        <v>9992</v>
      </c>
      <c r="CB60" s="201">
        <f>CB7+CB8</f>
        <v>9891</v>
      </c>
      <c r="CC60" s="201">
        <f>CC7+CC8</f>
        <v>9770</v>
      </c>
      <c r="CD60" s="201">
        <f t="shared" ref="CD60" si="418">CD7+CD8</f>
        <v>9990</v>
      </c>
      <c r="CE60" s="201">
        <f>CE7+CE8</f>
        <v>8564</v>
      </c>
      <c r="CF60" s="199">
        <f t="shared" ref="CF60:CJ60" si="419">CF7+CF8</f>
        <v>8564</v>
      </c>
      <c r="CG60" s="201">
        <f t="shared" si="419"/>
        <v>7729</v>
      </c>
      <c r="CH60" s="201">
        <f t="shared" si="419"/>
        <v>9606</v>
      </c>
      <c r="CI60" s="201">
        <f t="shared" si="419"/>
        <v>10913</v>
      </c>
      <c r="CJ60" s="201">
        <f t="shared" si="419"/>
        <v>10030</v>
      </c>
      <c r="CK60" s="199">
        <f t="shared" ref="CK60:CO60" si="420">CK7+CK8</f>
        <v>10030</v>
      </c>
      <c r="CL60" s="201">
        <f t="shared" si="420"/>
        <v>15527</v>
      </c>
      <c r="CM60" s="201">
        <f t="shared" si="420"/>
        <v>32430</v>
      </c>
      <c r="CN60" s="201">
        <f t="shared" si="420"/>
        <v>27116</v>
      </c>
      <c r="CO60" s="201">
        <f t="shared" si="420"/>
        <v>25590</v>
      </c>
      <c r="CP60" s="925">
        <f t="shared" ref="CP60:CT60" si="421">CP7+CP8</f>
        <v>25590</v>
      </c>
      <c r="CQ60" s="201">
        <f t="shared" si="421"/>
        <v>21920</v>
      </c>
      <c r="CR60" s="201">
        <f t="shared" si="421"/>
        <v>21342</v>
      </c>
      <c r="CS60" s="201">
        <f t="shared" si="421"/>
        <v>19995</v>
      </c>
      <c r="CT60" s="201">
        <f t="shared" si="421"/>
        <v>16244</v>
      </c>
      <c r="CU60" s="925">
        <f t="shared" ref="CU60:CY60" si="422">CU7+CU8</f>
        <v>16244</v>
      </c>
      <c r="CV60" s="201">
        <f t="shared" ref="CV60" si="423">CV7+CV8</f>
        <v>12282</v>
      </c>
      <c r="CW60" s="201">
        <f t="shared" si="422"/>
        <v>11448</v>
      </c>
      <c r="CX60" s="201">
        <f t="shared" si="422"/>
        <v>14257</v>
      </c>
      <c r="CY60" s="201">
        <f t="shared" si="422"/>
        <v>17220</v>
      </c>
      <c r="CZ60" s="925">
        <f t="shared" ref="CZ60:DD60" si="424">CZ7+CZ8</f>
        <v>17220</v>
      </c>
      <c r="DA60" s="201">
        <f t="shared" si="424"/>
        <v>14767</v>
      </c>
      <c r="DB60" s="1030">
        <f t="shared" si="424"/>
        <v>13762</v>
      </c>
      <c r="DC60" s="201">
        <f t="shared" si="424"/>
        <v>13372</v>
      </c>
      <c r="DD60" s="201">
        <f t="shared" si="424"/>
        <v>15965</v>
      </c>
      <c r="DE60" s="925">
        <f t="shared" ref="DE60:DI60" si="425">DE7+DE8</f>
        <v>15965</v>
      </c>
      <c r="DF60" s="201">
        <f t="shared" si="425"/>
        <v>7529</v>
      </c>
      <c r="DG60" s="1030">
        <f t="shared" si="425"/>
        <v>12621</v>
      </c>
      <c r="DH60" s="201">
        <f t="shared" si="425"/>
        <v>10470</v>
      </c>
      <c r="DI60" s="201">
        <f t="shared" si="425"/>
        <v>26282</v>
      </c>
      <c r="DJ60" s="925">
        <f t="shared" ref="DJ60:DN60" si="426">DJ7+DJ8</f>
        <v>26282</v>
      </c>
      <c r="DK60" s="201">
        <f t="shared" si="426"/>
        <v>23674</v>
      </c>
      <c r="DL60" s="1030">
        <f t="shared" si="426"/>
        <v>22967</v>
      </c>
      <c r="DM60" s="201">
        <f t="shared" si="426"/>
        <v>22984</v>
      </c>
      <c r="DN60" s="201">
        <f t="shared" si="426"/>
        <v>29400</v>
      </c>
      <c r="DO60" s="925">
        <f t="shared" ref="DO60:DS60" si="427">DO7+DO8</f>
        <v>29400</v>
      </c>
      <c r="DP60" s="201">
        <f t="shared" si="427"/>
        <v>20905</v>
      </c>
      <c r="DQ60" s="1030">
        <f t="shared" si="427"/>
        <v>20022</v>
      </c>
      <c r="DR60" s="201">
        <f t="shared" si="427"/>
        <v>20367</v>
      </c>
      <c r="DS60" s="201">
        <f t="shared" si="427"/>
        <v>23348</v>
      </c>
      <c r="DT60" s="925">
        <f t="shared" ref="DT60:DX60" si="428">DT7+DT8</f>
        <v>23348</v>
      </c>
      <c r="DU60" s="201">
        <f t="shared" si="428"/>
        <v>16243</v>
      </c>
      <c r="DV60" s="201">
        <f t="shared" si="428"/>
        <v>16438</v>
      </c>
      <c r="DW60" s="201">
        <f t="shared" si="428"/>
        <v>17828</v>
      </c>
      <c r="DX60" s="201">
        <f t="shared" si="428"/>
        <v>20526</v>
      </c>
      <c r="DY60" s="925">
        <f t="shared" ref="DY60" si="429">DY7+DY8</f>
        <v>20526</v>
      </c>
      <c r="DZ60" s="199">
        <f t="shared" ref="DZ60:EB60" si="430">DZ7+DZ8</f>
        <v>19023</v>
      </c>
      <c r="EA60" s="199">
        <f t="shared" si="430"/>
        <v>19618</v>
      </c>
      <c r="EB60" s="199">
        <f t="shared" si="430"/>
        <v>21232</v>
      </c>
    </row>
    <row r="61" spans="1:132">
      <c r="B61" s="68" t="s">
        <v>233</v>
      </c>
      <c r="C61" s="106">
        <f>IF(ISERROR(C60/IS!C40),"",C60/IS!C40)</f>
        <v>5.3077002370889597</v>
      </c>
      <c r="D61" s="106">
        <f>IF(ISERROR(D60/IS!D40),"",D60/IS!D40)</f>
        <v>2.546281931947461</v>
      </c>
      <c r="E61" s="106">
        <f>IF(ISERROR(E60/IS!E40),"",E60/IS!E40)</f>
        <v>3.730424451884653</v>
      </c>
      <c r="F61" s="106">
        <f>IF(ISERROR(F60/IS!F40),"",F60/IS!F40)</f>
        <v>1.1591874210949158</v>
      </c>
      <c r="G61" s="106">
        <f>IF(ISERROR(G60/IS!G40),"",G60/IS!G40)</f>
        <v>0.76329434462799961</v>
      </c>
      <c r="H61" s="106">
        <f>IF(ISERROR(H60/IS!H40),"",H60/IS!H40)</f>
        <v>2.8859475507174666</v>
      </c>
      <c r="I61" s="106">
        <f>IF(ISERROR(I60/IS!I40),"",I60/IS!I40)</f>
        <v>5.7275312152305604</v>
      </c>
      <c r="J61" s="107">
        <f>IF(ISERROR(J60/IS!J40),"",J60/IS!J40)</f>
        <v>4.8711308422740167</v>
      </c>
      <c r="K61" s="107">
        <f>IF(ISERROR(K60/IS!K40),"",K60/IS!K40)</f>
        <v>7.612950880216669</v>
      </c>
      <c r="L61" s="107">
        <f>IF(ISERROR(L60/IS!L40),"",L60/IS!L40)</f>
        <v>5.4099165439371628</v>
      </c>
      <c r="M61" s="107">
        <f>IF(ISERROR(M60/IS!M40),"",M60/IS!M40)</f>
        <v>4.3280098280098276</v>
      </c>
      <c r="N61" s="106">
        <f>IF(ISERROR(N60/IS!N40),"",N60/IS!N40)</f>
        <v>4.333333333333333</v>
      </c>
      <c r="O61" s="107">
        <f>IF(ISERROR(O60/IS!O40),"",O60/IS!O40)</f>
        <v>4.3344075359444725</v>
      </c>
      <c r="P61" s="107">
        <f>IF(ISERROR(P60/IS!P40),"",P60/IS!P40)</f>
        <v>6.4007926678226408</v>
      </c>
      <c r="Q61" s="107">
        <f>IF(ISERROR(Q60/IS!Q40),"",Q60/IS!Q40)</f>
        <v>6.3203786746387651</v>
      </c>
      <c r="R61" s="107">
        <f>IF(ISERROR(R60/IS!R40),"",R60/IS!R40)</f>
        <v>7.5081802164611116</v>
      </c>
      <c r="S61" s="106">
        <f>IF(ISERROR(S60/IS!S40),"",S60/IS!S40)</f>
        <v>7.4305642047577525</v>
      </c>
      <c r="T61" s="107">
        <f>IF(ISERROR(T60/IS!T40),"",T60/IS!T40)</f>
        <v>9.2914877494316759</v>
      </c>
      <c r="U61" s="107">
        <f>IF(ISERROR(U60/IS!U40),"",U60/IS!U40)</f>
        <v>10.684355707342704</v>
      </c>
      <c r="V61" s="107">
        <f>IF(ISERROR(V60/IS!V40),"",V60/IS!V40)</f>
        <v>7.1696428571428568</v>
      </c>
      <c r="W61" s="107">
        <f>IF(ISERROR(W60/IS!W40),"",W60/IS!W40)</f>
        <v>7.8519611459486001</v>
      </c>
      <c r="X61" s="106">
        <f>IF(ISERROR(X60/IS!X40),"",X60/IS!X40)</f>
        <v>8.1081767394616548</v>
      </c>
      <c r="Y61" s="107">
        <f>IF(ISERROR(Y60/IS!Y40),"",Y60/IS!Y40)</f>
        <v>6.7880113197838954</v>
      </c>
      <c r="Z61" s="107">
        <f>IF(ISERROR(Z60/IS!Z40),"",Z60/IS!Z40)</f>
        <v>9.821106821106822</v>
      </c>
      <c r="AA61" s="107">
        <f>IF(ISERROR(AA60/IS!AA40),"",AA60/IS!AA40)</f>
        <v>12.236876131367985</v>
      </c>
      <c r="AB61" s="107">
        <f>IF(ISERROR(AB60/IS!AB40),"",AB60/IS!AB40)</f>
        <v>12.212017843085805</v>
      </c>
      <c r="AC61" s="106">
        <f>IF(ISERROR(AC60/IS!AC40),"",AC60/IS!AC40)</f>
        <v>12.049190938511327</v>
      </c>
      <c r="AD61" s="107">
        <f>IF(ISERROR(AD60/IS!AD40),"",AD60/IS!AD40)</f>
        <v>12.82847203639283</v>
      </c>
      <c r="AE61" s="107">
        <f>IF(ISERROR(AE60/IS!AE40),"",AE60/IS!AE40)</f>
        <v>10.05867903930131</v>
      </c>
      <c r="AF61" s="107">
        <f>IF(ISERROR(AF60/IS!AF40),"",AF60/IS!AF40)</f>
        <v>6.6172600083114004</v>
      </c>
      <c r="AG61" s="107">
        <f>IF(ISERROR(AG60/IS!AG40),"",AG60/IS!AG40)</f>
        <v>4.5930802633422045</v>
      </c>
      <c r="AH61" s="106">
        <f>IF(ISERROR(AH60/IS!AH40),"",AH60/IS!AH40)</f>
        <v>4.4979423868312756</v>
      </c>
      <c r="AI61" s="202">
        <f>IF(ISERROR(AI60/IS!AI40),"",AI60/IS!AI40)</f>
        <v>6.2906417868249935</v>
      </c>
      <c r="AJ61" s="202">
        <f>IF(ISERROR(AJ60/IS!AJ40),"",AJ60/IS!AJ40)</f>
        <v>6.7391918621079405</v>
      </c>
      <c r="AK61" s="202">
        <f>IF(ISERROR(AK60/IS!AK40),"",AK60/IS!AK40)</f>
        <v>9.1915014972194502</v>
      </c>
      <c r="AL61" s="202">
        <f>IF(ISERROR(AL60/IS!AL40),"",AL60/IS!AL40)</f>
        <v>15.50352258599254</v>
      </c>
      <c r="AM61" s="106">
        <f>IF(ISERROR(AM60/IS!AM40),"",AM60/IS!AM40)</f>
        <v>15.731707317073171</v>
      </c>
      <c r="AN61" s="202">
        <f>IF(ISERROR(AN60/IS!AN40),"",AN60/IS!AN40)</f>
        <v>14.000810701256587</v>
      </c>
      <c r="AO61" s="202">
        <f>IF(ISERROR(AO60/IS!AO40),"",AO60/IS!AO40)</f>
        <v>13.495759860008077</v>
      </c>
      <c r="AP61" s="202">
        <f>IF(ISERROR(AP60/IS!AP40),"",AP60/IS!AP40)</f>
        <v>13.38436744560838</v>
      </c>
      <c r="AQ61" s="202">
        <f>IF(ISERROR(AQ60/IS!AQ40),"",AQ60/IS!AQ40)</f>
        <v>14.078982597054885</v>
      </c>
      <c r="AR61" s="106">
        <f>IF(ISERROR(AR60/IS!AR40),"",AR60/IS!AR40)</f>
        <v>14.14240570160694</v>
      </c>
      <c r="AS61" s="202">
        <f>IF(ISERROR(AS60/IS!AS40),"",AS60/IS!AS40)</f>
        <v>10.376502002670227</v>
      </c>
      <c r="AT61" s="202">
        <f>IF(ISERROR(AT60/IS!AT40),"",AT60/IS!AT40)</f>
        <v>11.695455753388254</v>
      </c>
      <c r="AU61" s="202">
        <f>IF(ISERROR(AU60/IS!AU40),"",AU60/IS!AU40)</f>
        <v>12.246982358402972</v>
      </c>
      <c r="AV61" s="202">
        <f>IF(ISERROR(AV60/IS!AV40),"",AV60/IS!AV40)</f>
        <v>14.888389908862765</v>
      </c>
      <c r="AW61" s="106">
        <f>IF(ISERROR(AW60/IS!AW40),"",AW60/IS!AW40)</f>
        <v>14.967467799760987</v>
      </c>
      <c r="AX61" s="202">
        <f>IF(ISERROR(AX60/IS!AX40),"",AX60/IS!AX40)</f>
        <v>13.844128488678251</v>
      </c>
      <c r="AY61" s="202">
        <f>IF(ISERROR(AY60/IS!AY40),"",AY60/IS!AY40)</f>
        <v>13.526246719160104</v>
      </c>
      <c r="AZ61" s="202">
        <f>IF(ISERROR(AZ60/IS!AZ40),"",AZ60/IS!AZ40)</f>
        <v>14.600104547830632</v>
      </c>
      <c r="BA61" s="202">
        <f>IF(ISERROR(BA60/IS!BA40),"",BA60/IS!BA40)</f>
        <v>17.692809604593503</v>
      </c>
      <c r="BB61" s="106">
        <f>IF(ISERROR(BB60/IS!BB40),"",BB60/IS!BB40)</f>
        <v>17.75072008379157</v>
      </c>
      <c r="BC61" s="202">
        <f>IF(ISERROR(BC60/IS!BC40),"",BC60/IS!BC40)</f>
        <v>15.419539482242747</v>
      </c>
      <c r="BD61" s="202">
        <f>IF(ISERROR(BD60/IS!BD40),"",BD60/IS!BD40)</f>
        <v>18.56050790360197</v>
      </c>
      <c r="BE61" s="202">
        <f>IF(ISERROR(BE60/IS!BE40),"",BE60/IS!BE40)</f>
        <v>20.687816928877908</v>
      </c>
      <c r="BF61" s="202">
        <f>IF(ISERROR(BF60/IS!BF40),"",BF60/IS!BF40)</f>
        <v>19.856845393024468</v>
      </c>
      <c r="BG61" s="106">
        <f>IF(ISERROR(BG60/IS!BG40),"",BG60/IS!BG40)</f>
        <v>19.828460038986353</v>
      </c>
      <c r="BH61" s="202">
        <f>IF(ISERROR(BH60/IS!BH40),"",BH60/IS!BH40)</f>
        <v>16.210051717278876</v>
      </c>
      <c r="BI61" s="202">
        <f>IF(ISERROR(BI60/IS!BI40),"",BI60/IS!BI40)</f>
        <v>15.308742061883528</v>
      </c>
      <c r="BJ61" s="202">
        <f>IF(ISERROR(BJ60/IS!BJ40),"",BJ60/IS!BJ40)</f>
        <v>13.768274354420003</v>
      </c>
      <c r="BK61" s="202">
        <f>IF(ISERROR(BK60/IS!BK40),"",BK60/IS!BK40)</f>
        <v>18.06291390728477</v>
      </c>
      <c r="BL61" s="106">
        <f>IF(ISERROR(BL60/IS!BL40),"",BL60/IS!BL40)</f>
        <v>17.746450235521369</v>
      </c>
      <c r="BM61" s="202">
        <f>IF(ISERROR(BM60/IS!BM40),"",BM60/IS!BM40)</f>
        <v>13.485018202184261</v>
      </c>
      <c r="BN61" s="202">
        <f>IF(ISERROR(BN60/IS!BN40),"",BN60/IS!BN40)</f>
        <v>13.771641150379168</v>
      </c>
      <c r="BO61" s="202">
        <f>IF(ISERROR(BO60/IS!BO40),"",BO60/IS!BO40)</f>
        <v>14.306240928882438</v>
      </c>
      <c r="BP61" s="202">
        <f>IF(ISERROR(BP60/IS!BP40),"",BP60/IS!BP40)</f>
        <v>17.69230769230769</v>
      </c>
      <c r="BQ61" s="106">
        <f>IF(ISERROR(BQ60/IS!BQ40),"",BQ60/IS!BQ40)</f>
        <v>17.320446951460497</v>
      </c>
      <c r="BR61" s="202">
        <f>IF(ISERROR(BR60/IS!BR40),"",BR60/IS!BR40)</f>
        <v>12.544307599879845</v>
      </c>
      <c r="BS61" s="202">
        <f>IF(ISERROR(BS60/IS!BS40),"",BS60/IS!BS40)</f>
        <v>14.560741788464561</v>
      </c>
      <c r="BT61" s="202">
        <f>IF(ISERROR(BT60/IS!BT40),"",BT60/IS!BT40)</f>
        <v>15.280543701596333</v>
      </c>
      <c r="BU61" s="202">
        <f>IF(ISERROR(BU60/IS!BU40),"",BU60/IS!BU40)</f>
        <v>15.911470728224655</v>
      </c>
      <c r="BV61" s="106">
        <f>IF(ISERROR(BV60/IS!BV40),"",BV60/IS!BV40)</f>
        <v>15.639156368172781</v>
      </c>
      <c r="BW61" s="202">
        <f>IF(ISERROR(BW60/IS!BW40),"",BW60/IS!BW40)</f>
        <v>14.818094011590469</v>
      </c>
      <c r="BX61" s="202">
        <f>IF(ISERROR(BX60/IS!BX40),"",BX60/IS!BX40)</f>
        <v>16.938976377952756</v>
      </c>
      <c r="BY61" s="202">
        <f>IF(ISERROR(BY60/IS!BY40),"",BY60/IS!BY40)</f>
        <v>16.546264225630878</v>
      </c>
      <c r="BZ61" s="202">
        <f>IF(ISERROR(BZ60/IS!BZ40),"",BZ60/IS!BZ40)</f>
        <v>16.51297306230375</v>
      </c>
      <c r="CA61" s="106">
        <f>IF(ISERROR(CA60/IS!CA40),"",CA60/IS!CA40)</f>
        <v>16.361552317013263</v>
      </c>
      <c r="CB61" s="202">
        <f>IF(ISERROR(CB60/IS!CB40),"",CB60/IS!CB40)</f>
        <v>16.562290689886133</v>
      </c>
      <c r="CC61" s="202">
        <f>IF(ISERROR(CC60/IS!CC40),"",CC60/IS!CC40)</f>
        <v>16.59588924749448</v>
      </c>
      <c r="CD61" s="202">
        <f>IF(ISERROR(CD60/IS!CD40),"",CD60/IS!CD40)</f>
        <v>17.200413223140497</v>
      </c>
      <c r="CE61" s="202">
        <f>IF(ISERROR(CE60/IS!CE40),"",CE60/IS!CE40)</f>
        <v>14.829437229437229</v>
      </c>
      <c r="CF61" s="106">
        <f>IF(ISERROR(CF60/IS!CF40),"",CF60/IS!CF40)</f>
        <v>14.613087620510196</v>
      </c>
      <c r="CG61" s="202">
        <f>IF(ISERROR(CG60/IS!CG40),"",CG60/IS!CG40)</f>
        <v>13.502795248078268</v>
      </c>
      <c r="CH61" s="202">
        <f>IF(ISERROR(CH60/IS!CH40),"",CH60/IS!CH40)</f>
        <v>16.992747213868743</v>
      </c>
      <c r="CI61" s="202">
        <f>IF(ISERROR(CI60/IS!CI40),"",CI60/IS!CI40)</f>
        <v>19.172522839072382</v>
      </c>
      <c r="CJ61" s="202">
        <f>IF(ISERROR(CJ60/IS!CJ40),"",CJ60/IS!CJ40)</f>
        <v>17.739653342766182</v>
      </c>
      <c r="CK61" s="106">
        <f>IF(ISERROR(CK60/IS!CK40),"",CK60/IS!CK40)</f>
        <v>17.656119350437883</v>
      </c>
      <c r="CL61" s="202">
        <f>IF(ISERROR(CL60/IS!CL40),"",CL60/IS!CL40)</f>
        <v>27.437709842728399</v>
      </c>
      <c r="CM61" s="202">
        <f>IF(ISERROR(CM60/IS!CM40),"",CM60/IS!CM40)</f>
        <v>57.256355932203391</v>
      </c>
      <c r="CN61" s="202">
        <f>IF(ISERROR(CN60/IS!CN40),"",CN60/IS!CN40)</f>
        <v>47.857394987645606</v>
      </c>
      <c r="CO61" s="202">
        <f>IF(ISERROR(CO60/IS!CO40),"",CO60/IS!CO40)</f>
        <v>44.473409801876954</v>
      </c>
      <c r="CP61" s="926">
        <f>IF(ISERROR(CP60/IS!CP40),"",CP60/IS!CP40)</f>
        <v>45.007254979554148</v>
      </c>
      <c r="CQ61" s="202">
        <f>IF(ISERROR(CQ60/IS!CQ40),"",CQ60/IS!CQ40)</f>
        <v>37.444482405193035</v>
      </c>
      <c r="CR61" s="202">
        <f>IF(ISERROR(CR60/IS!CR40),"",CR60/IS!CR40)</f>
        <v>36.160623517451711</v>
      </c>
      <c r="CS61" s="202">
        <f>IF(ISERROR(CS60/IS!CS40),"",CS60/IS!CS40)</f>
        <v>33.94736842105263</v>
      </c>
      <c r="CT61" s="202">
        <f>IF(ISERROR(CT60/IS!CT40),"",CT60/IS!CT40)</f>
        <v>27.518211079112319</v>
      </c>
      <c r="CU61" s="926">
        <f>IF(ISERROR(CU60/IS!CU40),"",CU60/IS!CU40)</f>
        <v>27.591829801690096</v>
      </c>
      <c r="CV61" s="202">
        <f>IF(ISERROR(CV60/IS!CV40),"",CV60/IS!CV40)</f>
        <v>20.757140442791954</v>
      </c>
      <c r="CW61" s="202">
        <f>IF(ISERROR(CW60/IS!CW40),"",CW60/IS!CW40)</f>
        <v>19.195171026156942</v>
      </c>
      <c r="CX61" s="202">
        <f>IF(ISERROR(CX60/IS!CX40),"",CX60/IS!CX40)</f>
        <v>23.909106154620158</v>
      </c>
      <c r="CY61" s="202">
        <f>IF(ISERROR(CY60/IS!CY40),"",CY60/IS!CY40)</f>
        <v>28.75271330773084</v>
      </c>
      <c r="CZ61" s="926">
        <f>IF(ISERROR(CZ60/IS!CZ40),"",CZ60/IS!CZ40)</f>
        <v>28.901103511937233</v>
      </c>
      <c r="DA61" s="202">
        <f>IF(ISERROR(DA60/IS!DA40),"",DA60/IS!DA40)</f>
        <v>24.509543568464732</v>
      </c>
      <c r="DB61" s="1031">
        <f>IF(ISERROR(DB60/IS!DB40),"",DB60/IS!DB40)</f>
        <v>22.728323699421967</v>
      </c>
      <c r="DC61" s="202">
        <f>IF(ISERROR(DC60/IS!DC40),"",DC60/IS!DC40)</f>
        <v>22.022397891963109</v>
      </c>
      <c r="DD61" s="202">
        <f>IF(ISERROR(DD60/IS!DD40),"",DD60/IS!DD40)</f>
        <v>26.340537865038772</v>
      </c>
      <c r="DE61" s="926">
        <f>IF(ISERROR(DE60/IS!DE40),"",DE60/IS!DE40)</f>
        <v>26.374261760211454</v>
      </c>
      <c r="DF61" s="202">
        <f>IF(ISERROR(DF60/IS!DF40),"",DF60/IS!DF40)</f>
        <v>12.278212654924983</v>
      </c>
      <c r="DG61" s="1031">
        <f>IF(ISERROR(DG60/IS!DG40),"",DG60/IS!DG40)</f>
        <v>20.468699318845278</v>
      </c>
      <c r="DH61" s="202">
        <f>IF(ISERROR(DH60/IS!DH40),"",DH60/IS!DH40)</f>
        <v>16.919844861021332</v>
      </c>
      <c r="DI61" s="202">
        <f>IF(ISERROR(DI60/IS!DI40),"",DI60/IS!DI40)</f>
        <v>36.599359420693496</v>
      </c>
      <c r="DJ61" s="926">
        <f>IF(ISERROR(DJ60/IS!DJ40),"",DJ60/IS!DJ40)</f>
        <v>40.608776266996287</v>
      </c>
      <c r="DK61" s="202">
        <f>IF(ISERROR(DK60/IS!DK40),"",DK60/IS!DK40)</f>
        <v>31.422882930714096</v>
      </c>
      <c r="DL61" s="1031">
        <f>IF(ISERROR(DL60/IS!DL40),"",DL60/IS!DL40)</f>
        <v>30.355537932857519</v>
      </c>
      <c r="DM61" s="202">
        <f>IF(ISERROR(DM60/IS!DM40),"",DM60/IS!DM40)</f>
        <v>30.246085011185684</v>
      </c>
      <c r="DN61" s="202">
        <f>IF(ISERROR(DN60/IS!DN40),"",DN60/IS!DN40)</f>
        <v>36.981132075471699</v>
      </c>
      <c r="DO61" s="926">
        <f>IF(ISERROR(DO60/IS!DO40),"",DO60/IS!DO40)</f>
        <v>38.369930503442198</v>
      </c>
      <c r="DP61" s="202">
        <f>IF(ISERROR(DP60/IS!DP40),"",DP60/IS!DP40)</f>
        <v>26.529187817258883</v>
      </c>
      <c r="DQ61" s="1031">
        <f>IF(ISERROR(DQ60/IS!DQ40),"",DQ60/IS!DQ40)</f>
        <v>25.325069567417152</v>
      </c>
      <c r="DR61" s="202">
        <f>IF(ISERROR(DR60/IS!DR40),"",DR60/IS!DR40)</f>
        <v>25.745164960182024</v>
      </c>
      <c r="DS61" s="202">
        <f>IF(ISERROR(DS60/IS!DS40),"",DS60/IS!DS40)</f>
        <v>29.504012131168256</v>
      </c>
      <c r="DT61" s="926">
        <f>IF(ISERROR(DT60/IS!DT40),"",DT60/IS!DT40)</f>
        <v>29.54461334050395</v>
      </c>
      <c r="DU61" s="202">
        <f>IF(ISERROR(DU60/IS!DU40),"",DU60/IS!DU40)</f>
        <v>20.577690504845759</v>
      </c>
      <c r="DV61" s="202">
        <f>IF(ISERROR(DV60/IS!DV40),"",DV60/IS!DV40)</f>
        <v>20.93079518685936</v>
      </c>
      <c r="DW61" s="202">
        <f>IF(ISERROR(DW60/IS!DW40),"",DW60/IS!DW40)</f>
        <v>22.758664709261506</v>
      </c>
      <c r="DX61" s="202">
        <f>IF(ISERROR(DX60/IS!DX40),"",DX60/IS!DX40)</f>
        <v>26.473205649061715</v>
      </c>
      <c r="DY61" s="926">
        <f>IF(ISERROR(DY60/IS!DY40),"",DY60/IS!DY40)</f>
        <v>26.202846747941532</v>
      </c>
      <c r="DZ61" s="106">
        <f>IF(ISERROR(DZ60/IS!DZ40),"",DZ60/IS!DZ40)</f>
        <v>24.855294963088781</v>
      </c>
      <c r="EA61" s="106">
        <f>IF(ISERROR(EA60/IS!EA40),"",EA60/IS!EA40)</f>
        <v>26.498277841561421</v>
      </c>
      <c r="EB61" s="106">
        <f>IF(ISERROR(EB60/IS!EB40),"",EB60/IS!EB40)</f>
        <v>29.88949109593862</v>
      </c>
    </row>
    <row r="62" spans="1:132">
      <c r="B62" s="68" t="s">
        <v>234</v>
      </c>
      <c r="C62" s="67">
        <f>C48</f>
        <v>12953</v>
      </c>
      <c r="D62" s="67">
        <f t="shared" ref="D62:AR62" si="431">D48</f>
        <v>12316</v>
      </c>
      <c r="E62" s="67">
        <f t="shared" si="431"/>
        <v>11462</v>
      </c>
      <c r="F62" s="67">
        <f t="shared" si="431"/>
        <v>11020</v>
      </c>
      <c r="G62" s="67">
        <f t="shared" si="431"/>
        <v>10825</v>
      </c>
      <c r="H62" s="67">
        <f t="shared" si="431"/>
        <v>7696</v>
      </c>
      <c r="I62" s="67">
        <f t="shared" si="431"/>
        <v>8139</v>
      </c>
      <c r="J62" s="68">
        <f t="shared" si="431"/>
        <v>8859</v>
      </c>
      <c r="K62" s="68">
        <f t="shared" si="431"/>
        <v>8949</v>
      </c>
      <c r="L62" s="68">
        <f t="shared" si="431"/>
        <v>9542</v>
      </c>
      <c r="M62" s="68">
        <f t="shared" si="431"/>
        <v>11286</v>
      </c>
      <c r="N62" s="67">
        <f t="shared" si="431"/>
        <v>11286</v>
      </c>
      <c r="O62" s="68">
        <f t="shared" si="431"/>
        <v>11478</v>
      </c>
      <c r="P62" s="68">
        <f t="shared" si="431"/>
        <v>11132</v>
      </c>
      <c r="Q62" s="68">
        <f t="shared" si="431"/>
        <v>9423</v>
      </c>
      <c r="R62" s="68">
        <f t="shared" si="431"/>
        <v>11059</v>
      </c>
      <c r="S62" s="67">
        <f t="shared" si="431"/>
        <v>11059</v>
      </c>
      <c r="T62" s="68">
        <f t="shared" si="431"/>
        <v>11517</v>
      </c>
      <c r="U62" s="68">
        <f t="shared" si="431"/>
        <v>10369</v>
      </c>
      <c r="V62" s="68">
        <f t="shared" si="431"/>
        <v>11026</v>
      </c>
      <c r="W62" s="68">
        <f t="shared" si="431"/>
        <v>4739</v>
      </c>
      <c r="X62" s="67">
        <f t="shared" si="431"/>
        <v>4739</v>
      </c>
      <c r="Y62" s="68">
        <f t="shared" si="431"/>
        <v>5611</v>
      </c>
      <c r="Z62" s="68">
        <f t="shared" si="431"/>
        <v>5857</v>
      </c>
      <c r="AA62" s="68">
        <f t="shared" si="431"/>
        <v>6406</v>
      </c>
      <c r="AB62" s="68">
        <f t="shared" si="431"/>
        <v>9004</v>
      </c>
      <c r="AC62" s="67">
        <f t="shared" si="431"/>
        <v>9004</v>
      </c>
      <c r="AD62" s="68">
        <f t="shared" si="431"/>
        <v>9066</v>
      </c>
      <c r="AE62" s="68">
        <f t="shared" si="431"/>
        <v>8594</v>
      </c>
      <c r="AF62" s="68">
        <f t="shared" si="431"/>
        <v>8714</v>
      </c>
      <c r="AG62" s="68">
        <f t="shared" si="431"/>
        <v>-1294</v>
      </c>
      <c r="AH62" s="67">
        <f t="shared" si="431"/>
        <v>-1294</v>
      </c>
      <c r="AI62" s="77">
        <f t="shared" si="431"/>
        <v>-509</v>
      </c>
      <c r="AJ62" s="77">
        <f t="shared" si="431"/>
        <v>334</v>
      </c>
      <c r="AK62" s="77">
        <f t="shared" si="431"/>
        <v>-877</v>
      </c>
      <c r="AL62" s="77">
        <f t="shared" si="431"/>
        <v>2225</v>
      </c>
      <c r="AM62" s="67">
        <f t="shared" si="431"/>
        <v>2225</v>
      </c>
      <c r="AN62" s="77">
        <f t="shared" si="431"/>
        <v>3039</v>
      </c>
      <c r="AO62" s="77">
        <f t="shared" si="431"/>
        <v>3173</v>
      </c>
      <c r="AP62" s="77">
        <f t="shared" si="431"/>
        <v>4552</v>
      </c>
      <c r="AQ62" s="77">
        <f t="shared" si="431"/>
        <v>2862</v>
      </c>
      <c r="AR62" s="67">
        <f t="shared" si="431"/>
        <v>2862</v>
      </c>
      <c r="AS62" s="77">
        <f t="shared" ref="AS62:BL62" si="432">AS48</f>
        <v>4007</v>
      </c>
      <c r="AT62" s="77">
        <f t="shared" si="432"/>
        <v>4824</v>
      </c>
      <c r="AU62" s="77">
        <f t="shared" si="432"/>
        <v>6061</v>
      </c>
      <c r="AV62" s="77">
        <f t="shared" si="432"/>
        <v>3608</v>
      </c>
      <c r="AW62" s="67">
        <f t="shared" si="432"/>
        <v>3608</v>
      </c>
      <c r="AX62" s="77">
        <f t="shared" si="432"/>
        <v>5120</v>
      </c>
      <c r="AY62" s="77">
        <f t="shared" si="432"/>
        <v>5892</v>
      </c>
      <c r="AZ62" s="77">
        <f t="shared" si="432"/>
        <v>7682</v>
      </c>
      <c r="BA62" s="77">
        <f t="shared" si="432"/>
        <v>5967</v>
      </c>
      <c r="BB62" s="67">
        <f t="shared" si="432"/>
        <v>5967</v>
      </c>
      <c r="BC62" s="77">
        <f>BC48</f>
        <v>7560</v>
      </c>
      <c r="BD62" s="77">
        <f>BD48</f>
        <v>7632</v>
      </c>
      <c r="BE62" s="77">
        <f>BE48</f>
        <v>9067</v>
      </c>
      <c r="BF62" s="77">
        <f>BF48</f>
        <v>14997</v>
      </c>
      <c r="BG62" s="67">
        <f t="shared" si="432"/>
        <v>14997</v>
      </c>
      <c r="BH62" s="77">
        <f>BH48</f>
        <v>14633</v>
      </c>
      <c r="BI62" s="77">
        <f>BI48</f>
        <v>14184</v>
      </c>
      <c r="BJ62" s="77">
        <f>BJ48</f>
        <v>14637</v>
      </c>
      <c r="BK62" s="77">
        <f>BK48</f>
        <v>8790</v>
      </c>
      <c r="BL62" s="67">
        <f t="shared" si="432"/>
        <v>8790</v>
      </c>
      <c r="BM62" s="77">
        <f>BM48</f>
        <v>8030</v>
      </c>
      <c r="BN62" s="77">
        <f>BN48</f>
        <v>6307</v>
      </c>
      <c r="BO62" s="77">
        <f>BO48</f>
        <v>6786</v>
      </c>
      <c r="BP62" s="77">
        <f>BP48</f>
        <v>6397</v>
      </c>
      <c r="BQ62" s="67">
        <f t="shared" ref="BQ62" si="433">BQ48</f>
        <v>6397</v>
      </c>
      <c r="BR62" s="77">
        <f>BR48</f>
        <v>4106</v>
      </c>
      <c r="BS62" s="77">
        <f>BS48</f>
        <v>647</v>
      </c>
      <c r="BT62" s="77">
        <f t="shared" ref="BT62:BU62" si="434">BT48</f>
        <v>2150</v>
      </c>
      <c r="BU62" s="77">
        <f t="shared" si="434"/>
        <v>877</v>
      </c>
      <c r="BV62" s="67">
        <f t="shared" ref="BV62" si="435">BV48</f>
        <v>877</v>
      </c>
      <c r="BW62" s="77">
        <f>BW48</f>
        <v>155</v>
      </c>
      <c r="BX62" s="77">
        <f>BX48</f>
        <v>-1978</v>
      </c>
      <c r="BY62" s="77">
        <f t="shared" ref="BY62:CA62" si="436">BY48</f>
        <v>1145</v>
      </c>
      <c r="BZ62" s="77">
        <f t="shared" si="436"/>
        <v>412</v>
      </c>
      <c r="CA62" s="67">
        <f t="shared" si="436"/>
        <v>412</v>
      </c>
      <c r="CB62" s="77">
        <f>CB48</f>
        <v>1298</v>
      </c>
      <c r="CC62" s="77">
        <f>CC48</f>
        <v>-1374</v>
      </c>
      <c r="CD62" s="77">
        <f t="shared" ref="CD62:CF62" si="437">CD48</f>
        <v>-1209</v>
      </c>
      <c r="CE62" s="77">
        <f t="shared" si="437"/>
        <v>410</v>
      </c>
      <c r="CF62" s="67">
        <f t="shared" si="437"/>
        <v>410</v>
      </c>
      <c r="CG62" s="77">
        <f t="shared" ref="CG62:CK62" si="438">CG48</f>
        <v>232</v>
      </c>
      <c r="CH62" s="77">
        <f t="shared" si="438"/>
        <v>-4943</v>
      </c>
      <c r="CI62" s="77">
        <f t="shared" si="438"/>
        <v>-3809</v>
      </c>
      <c r="CJ62" s="77">
        <f t="shared" si="438"/>
        <v>-8300</v>
      </c>
      <c r="CK62" s="67">
        <f t="shared" si="438"/>
        <v>-8300</v>
      </c>
      <c r="CL62" s="77">
        <f t="shared" ref="CL62:CP62" si="439">CL48</f>
        <v>-9360</v>
      </c>
      <c r="CM62" s="77">
        <f t="shared" si="439"/>
        <v>-11382</v>
      </c>
      <c r="CN62" s="77">
        <f t="shared" si="439"/>
        <v>-11553</v>
      </c>
      <c r="CO62" s="77">
        <f t="shared" si="439"/>
        <v>-18075</v>
      </c>
      <c r="CP62" s="120">
        <f t="shared" si="439"/>
        <v>-18075</v>
      </c>
      <c r="CQ62" s="77">
        <f t="shared" ref="CQ62:CV62" si="440">CQ48</f>
        <v>-17841</v>
      </c>
      <c r="CR62" s="77">
        <f t="shared" si="440"/>
        <v>-16485</v>
      </c>
      <c r="CS62" s="77">
        <f t="shared" si="440"/>
        <v>-14266</v>
      </c>
      <c r="CT62" s="77">
        <f t="shared" si="440"/>
        <v>-14846</v>
      </c>
      <c r="CU62" s="120">
        <f t="shared" si="440"/>
        <v>-14846</v>
      </c>
      <c r="CV62" s="77">
        <f t="shared" si="440"/>
        <v>-15268</v>
      </c>
      <c r="CW62" s="77">
        <f t="shared" ref="CW62:CZ62" si="441">CW48</f>
        <v>-14791</v>
      </c>
      <c r="CX62" s="77">
        <f t="shared" si="441"/>
        <v>-17635</v>
      </c>
      <c r="CY62" s="77">
        <f t="shared" si="441"/>
        <v>-15848</v>
      </c>
      <c r="CZ62" s="120">
        <f t="shared" si="441"/>
        <v>-15848</v>
      </c>
      <c r="DA62" s="77">
        <f t="shared" ref="DA62:DE62" si="442">DA48</f>
        <v>-15484</v>
      </c>
      <c r="DB62" s="16">
        <f t="shared" si="442"/>
        <v>-15493</v>
      </c>
      <c r="DC62" s="77">
        <f t="shared" si="442"/>
        <v>-16717</v>
      </c>
      <c r="DD62" s="77">
        <f t="shared" si="442"/>
        <v>-17228</v>
      </c>
      <c r="DE62" s="120">
        <f t="shared" si="442"/>
        <v>-17228</v>
      </c>
      <c r="DF62" s="77">
        <f t="shared" ref="DF62:DJ62" si="443">DF48</f>
        <v>-17016</v>
      </c>
      <c r="DG62" s="16">
        <f t="shared" si="443"/>
        <v>-17982</v>
      </c>
      <c r="DH62" s="77">
        <f t="shared" si="443"/>
        <v>-23562</v>
      </c>
      <c r="DI62" s="77">
        <f t="shared" si="443"/>
        <v>-3914</v>
      </c>
      <c r="DJ62" s="120">
        <f t="shared" si="443"/>
        <v>-3914</v>
      </c>
      <c r="DK62" s="77">
        <f t="shared" ref="DK62:DM62" si="444">DK48</f>
        <v>-3325</v>
      </c>
      <c r="DL62" s="16">
        <f t="shared" si="444"/>
        <v>-3296</v>
      </c>
      <c r="DM62" s="77">
        <f t="shared" si="444"/>
        <v>-8253</v>
      </c>
      <c r="DN62" s="77">
        <f t="shared" ref="DN62:DQ62" si="445">DN48</f>
        <v>5457</v>
      </c>
      <c r="DO62" s="120">
        <f t="shared" si="445"/>
        <v>5457</v>
      </c>
      <c r="DP62" s="77">
        <f t="shared" si="445"/>
        <v>5987</v>
      </c>
      <c r="DQ62" s="16">
        <f t="shared" si="445"/>
        <v>6115</v>
      </c>
      <c r="DR62" s="77">
        <f t="shared" ref="DR62:DU62" si="446">DR48</f>
        <v>-196.58930665953085</v>
      </c>
      <c r="DS62" s="77">
        <f t="shared" si="446"/>
        <v>-1729.2890350208691</v>
      </c>
      <c r="DT62" s="120">
        <f t="shared" si="446"/>
        <v>-1729.2890350208691</v>
      </c>
      <c r="DU62" s="77">
        <f t="shared" si="446"/>
        <v>25135.673799957505</v>
      </c>
      <c r="DV62" s="77">
        <f t="shared" ref="DV62:DY62" si="447">DV48</f>
        <v>16785.53027560623</v>
      </c>
      <c r="DW62" s="77">
        <f t="shared" si="447"/>
        <v>14811.555061447027</v>
      </c>
      <c r="DX62" s="77">
        <f t="shared" si="447"/>
        <v>13113.40642479778</v>
      </c>
      <c r="DY62" s="120">
        <f t="shared" si="447"/>
        <v>13113.40642479778</v>
      </c>
      <c r="DZ62" s="67">
        <f t="shared" ref="DZ62:EB62" si="448">DZ48</f>
        <v>-1049.2082421552332</v>
      </c>
      <c r="EA62" s="67">
        <f t="shared" si="448"/>
        <v>6702.4140185820288</v>
      </c>
      <c r="EB62" s="67">
        <f t="shared" si="448"/>
        <v>12196.954054286689</v>
      </c>
    </row>
    <row r="63" spans="1:132">
      <c r="B63" s="68" t="s">
        <v>235</v>
      </c>
      <c r="C63" s="67">
        <f>C38+C31</f>
        <v>6854</v>
      </c>
      <c r="D63" s="67">
        <f t="shared" ref="D63:AR63" si="449">D38+D31</f>
        <v>6972</v>
      </c>
      <c r="E63" s="67">
        <f t="shared" si="449"/>
        <v>6732</v>
      </c>
      <c r="F63" s="67">
        <f t="shared" si="449"/>
        <v>8799</v>
      </c>
      <c r="G63" s="67">
        <f t="shared" si="449"/>
        <v>12265</v>
      </c>
      <c r="H63" s="67">
        <f t="shared" si="449"/>
        <v>14403</v>
      </c>
      <c r="I63" s="67">
        <f t="shared" si="449"/>
        <v>14443</v>
      </c>
      <c r="J63" s="68">
        <f t="shared" si="449"/>
        <v>14023</v>
      </c>
      <c r="K63" s="68">
        <f t="shared" si="449"/>
        <v>13659</v>
      </c>
      <c r="L63" s="68">
        <f t="shared" si="449"/>
        <v>12370</v>
      </c>
      <c r="M63" s="68">
        <f t="shared" si="449"/>
        <v>12200</v>
      </c>
      <c r="N63" s="67">
        <f t="shared" si="449"/>
        <v>12200</v>
      </c>
      <c r="O63" s="68">
        <f t="shared" si="449"/>
        <v>11780</v>
      </c>
      <c r="P63" s="68">
        <f t="shared" si="449"/>
        <v>11032</v>
      </c>
      <c r="Q63" s="68">
        <f t="shared" si="449"/>
        <v>10862</v>
      </c>
      <c r="R63" s="68">
        <f t="shared" si="449"/>
        <v>10727</v>
      </c>
      <c r="S63" s="67">
        <f t="shared" si="449"/>
        <v>10727</v>
      </c>
      <c r="T63" s="68">
        <f t="shared" si="449"/>
        <v>11024</v>
      </c>
      <c r="U63" s="68">
        <f t="shared" si="449"/>
        <v>10461</v>
      </c>
      <c r="V63" s="68">
        <f t="shared" si="449"/>
        <v>10131</v>
      </c>
      <c r="W63" s="68">
        <f t="shared" si="449"/>
        <v>9538</v>
      </c>
      <c r="X63" s="67">
        <f t="shared" si="449"/>
        <v>9538</v>
      </c>
      <c r="Y63" s="68">
        <f t="shared" si="449"/>
        <v>8747</v>
      </c>
      <c r="Z63" s="68">
        <f t="shared" si="449"/>
        <v>8655</v>
      </c>
      <c r="AA63" s="68">
        <f t="shared" si="449"/>
        <v>8580</v>
      </c>
      <c r="AB63" s="68">
        <f t="shared" si="449"/>
        <v>8217</v>
      </c>
      <c r="AC63" s="67">
        <f t="shared" si="449"/>
        <v>8217</v>
      </c>
      <c r="AD63" s="68">
        <f t="shared" si="449"/>
        <v>8230</v>
      </c>
      <c r="AE63" s="68">
        <f t="shared" si="449"/>
        <v>8156</v>
      </c>
      <c r="AF63" s="68">
        <f t="shared" si="449"/>
        <v>7607</v>
      </c>
      <c r="AG63" s="68">
        <f t="shared" si="449"/>
        <v>7512</v>
      </c>
      <c r="AH63" s="67">
        <f t="shared" si="449"/>
        <v>7512</v>
      </c>
      <c r="AI63" s="77">
        <f t="shared" si="449"/>
        <v>9272</v>
      </c>
      <c r="AJ63" s="77">
        <f t="shared" si="449"/>
        <v>9116</v>
      </c>
      <c r="AK63" s="77">
        <f t="shared" si="449"/>
        <v>11038</v>
      </c>
      <c r="AL63" s="77">
        <f t="shared" si="449"/>
        <v>12924</v>
      </c>
      <c r="AM63" s="67">
        <f t="shared" si="449"/>
        <v>12924</v>
      </c>
      <c r="AN63" s="77">
        <f t="shared" si="449"/>
        <v>12943</v>
      </c>
      <c r="AO63" s="77">
        <f t="shared" si="449"/>
        <v>12946</v>
      </c>
      <c r="AP63" s="77">
        <f t="shared" si="449"/>
        <v>12419</v>
      </c>
      <c r="AQ63" s="77">
        <f t="shared" si="449"/>
        <v>12421</v>
      </c>
      <c r="AR63" s="67">
        <f t="shared" si="449"/>
        <v>12421</v>
      </c>
      <c r="AS63" s="77">
        <f t="shared" ref="AS63:BL63" si="450">AS38+AS31</f>
        <v>11689</v>
      </c>
      <c r="AT63" s="77">
        <f t="shared" si="450"/>
        <v>11628</v>
      </c>
      <c r="AU63" s="77">
        <f t="shared" si="450"/>
        <v>12380</v>
      </c>
      <c r="AV63" s="77">
        <f t="shared" si="450"/>
        <v>12371</v>
      </c>
      <c r="AW63" s="67">
        <f t="shared" si="450"/>
        <v>12371</v>
      </c>
      <c r="AX63" s="77">
        <f t="shared" si="450"/>
        <v>11624</v>
      </c>
      <c r="AY63" s="77">
        <f t="shared" si="450"/>
        <v>11201</v>
      </c>
      <c r="AZ63" s="77">
        <f t="shared" si="450"/>
        <v>11186</v>
      </c>
      <c r="BA63" s="77">
        <f t="shared" si="450"/>
        <v>10409</v>
      </c>
      <c r="BB63" s="67">
        <f t="shared" si="450"/>
        <v>10409</v>
      </c>
      <c r="BC63" s="77">
        <f>BC38+BC31</f>
        <v>9171</v>
      </c>
      <c r="BD63" s="77">
        <f>BD38+BD31</f>
        <v>9578</v>
      </c>
      <c r="BE63" s="77">
        <f>BE38+BE31</f>
        <v>9596</v>
      </c>
      <c r="BF63" s="77">
        <f>BF38+BF31</f>
        <v>9635</v>
      </c>
      <c r="BG63" s="67">
        <f t="shared" si="450"/>
        <v>9635</v>
      </c>
      <c r="BH63" s="77">
        <f>BH38+BH31</f>
        <v>8935</v>
      </c>
      <c r="BI63" s="77">
        <f>BI38+BI31</f>
        <v>8883</v>
      </c>
      <c r="BJ63" s="77">
        <f>BJ38+BJ31</f>
        <v>8880</v>
      </c>
      <c r="BK63" s="77">
        <f>BK38+BK31</f>
        <v>9070</v>
      </c>
      <c r="BL63" s="67">
        <f t="shared" si="450"/>
        <v>9070</v>
      </c>
      <c r="BM63" s="77">
        <f>BM38+BM31</f>
        <v>9038</v>
      </c>
      <c r="BN63" s="77">
        <f>BN38+BN31</f>
        <v>9016</v>
      </c>
      <c r="BO63" s="77">
        <f>BO38+BO31</f>
        <v>9016</v>
      </c>
      <c r="BP63" s="77">
        <f>BP38+BP31</f>
        <v>9964</v>
      </c>
      <c r="BQ63" s="67">
        <f t="shared" ref="BQ63" si="451">BQ38+BQ31</f>
        <v>9964</v>
      </c>
      <c r="BR63" s="77">
        <f>BR38+BR31</f>
        <v>9964</v>
      </c>
      <c r="BS63" s="77">
        <f>BS38+BS31</f>
        <v>11015</v>
      </c>
      <c r="BT63" s="77">
        <f t="shared" ref="BT63:BU63" si="452">BT38+BT31</f>
        <v>10456</v>
      </c>
      <c r="BU63" s="77">
        <f t="shared" si="452"/>
        <v>9952</v>
      </c>
      <c r="BV63" s="67">
        <f t="shared" ref="BV63" si="453">BV38+BV31</f>
        <v>9952</v>
      </c>
      <c r="BW63" s="77">
        <f t="shared" ref="BW63:CF63" si="454">BW38+BW31</f>
        <v>10799</v>
      </c>
      <c r="BX63" s="77">
        <f t="shared" si="454"/>
        <v>10775</v>
      </c>
      <c r="BY63" s="77">
        <f t="shared" si="454"/>
        <v>10768</v>
      </c>
      <c r="BZ63" s="77">
        <f t="shared" si="454"/>
        <v>11117</v>
      </c>
      <c r="CA63" s="67">
        <f t="shared" si="454"/>
        <v>11117</v>
      </c>
      <c r="CB63" s="77">
        <f t="shared" si="454"/>
        <v>12452</v>
      </c>
      <c r="CC63" s="77">
        <f t="shared" si="454"/>
        <v>12118</v>
      </c>
      <c r="CD63" s="77">
        <f t="shared" si="454"/>
        <v>11876</v>
      </c>
      <c r="CE63" s="77">
        <f t="shared" si="454"/>
        <v>13847</v>
      </c>
      <c r="CF63" s="67">
        <f t="shared" si="454"/>
        <v>13847</v>
      </c>
      <c r="CG63" s="77">
        <f t="shared" ref="CG63:CK63" si="455">CG38+CG31</f>
        <v>14744</v>
      </c>
      <c r="CH63" s="77">
        <f t="shared" si="455"/>
        <v>19216</v>
      </c>
      <c r="CI63" s="77">
        <f t="shared" si="455"/>
        <v>24652</v>
      </c>
      <c r="CJ63" s="77">
        <f t="shared" si="455"/>
        <v>27302</v>
      </c>
      <c r="CK63" s="67">
        <f t="shared" si="455"/>
        <v>27302</v>
      </c>
      <c r="CL63" s="77">
        <f t="shared" ref="CL63:CP63" si="456">CL38+CL31</f>
        <v>38927</v>
      </c>
      <c r="CM63" s="77">
        <f>CM38+CM31</f>
        <v>61379</v>
      </c>
      <c r="CN63" s="77">
        <f t="shared" si="456"/>
        <v>60959</v>
      </c>
      <c r="CO63" s="77">
        <f t="shared" si="456"/>
        <v>63583</v>
      </c>
      <c r="CP63" s="120">
        <f t="shared" si="456"/>
        <v>63583</v>
      </c>
      <c r="CQ63" s="77">
        <f t="shared" ref="CQ63:CV63" si="457">CQ38+CQ31</f>
        <v>63575</v>
      </c>
      <c r="CR63" s="77">
        <f t="shared" si="457"/>
        <v>63559</v>
      </c>
      <c r="CS63" s="77">
        <f t="shared" si="457"/>
        <v>62419</v>
      </c>
      <c r="CT63" s="77">
        <f t="shared" si="457"/>
        <v>58102</v>
      </c>
      <c r="CU63" s="120">
        <f t="shared" si="457"/>
        <v>58102</v>
      </c>
      <c r="CV63" s="77">
        <f t="shared" si="457"/>
        <v>57741</v>
      </c>
      <c r="CW63" s="77">
        <f t="shared" ref="CW63:CZ63" si="458">CW38+CW31</f>
        <v>57200</v>
      </c>
      <c r="CX63" s="77">
        <f t="shared" si="458"/>
        <v>57219</v>
      </c>
      <c r="CY63" s="77">
        <f t="shared" si="458"/>
        <v>57001</v>
      </c>
      <c r="CZ63" s="120">
        <f t="shared" si="458"/>
        <v>57001</v>
      </c>
      <c r="DA63" s="77">
        <f t="shared" ref="DA63:DE63" si="459">DA38+DA31</f>
        <v>55391</v>
      </c>
      <c r="DB63" s="16">
        <f t="shared" si="459"/>
        <v>52268</v>
      </c>
      <c r="DC63" s="77">
        <f t="shared" si="459"/>
        <v>52272</v>
      </c>
      <c r="DD63" s="77">
        <f t="shared" si="459"/>
        <v>52307</v>
      </c>
      <c r="DE63" s="120">
        <f t="shared" si="459"/>
        <v>52307</v>
      </c>
      <c r="DF63" s="77">
        <f t="shared" ref="DF63:DJ63" si="460">DF38+DF31</f>
        <v>47940</v>
      </c>
      <c r="DG63" s="16">
        <f t="shared" si="460"/>
        <v>57927</v>
      </c>
      <c r="DH63" s="77">
        <f t="shared" si="460"/>
        <v>57650</v>
      </c>
      <c r="DI63" s="77">
        <f t="shared" si="460"/>
        <v>53864</v>
      </c>
      <c r="DJ63" s="120">
        <f t="shared" si="460"/>
        <v>53864</v>
      </c>
      <c r="DK63" s="77">
        <f t="shared" ref="DK63:DM63" si="461">DK38+DK31</f>
        <v>53618</v>
      </c>
      <c r="DL63" s="16">
        <f t="shared" si="461"/>
        <v>53323</v>
      </c>
      <c r="DM63" s="77">
        <f t="shared" si="461"/>
        <v>53353</v>
      </c>
      <c r="DN63" s="77">
        <f t="shared" ref="DN63:DQ63" si="462">DN38+DN31</f>
        <v>54098</v>
      </c>
      <c r="DO63" s="120">
        <f t="shared" si="462"/>
        <v>54098</v>
      </c>
      <c r="DP63" s="77">
        <f t="shared" si="462"/>
        <v>47209</v>
      </c>
      <c r="DQ63" s="16">
        <f t="shared" si="462"/>
        <v>45900</v>
      </c>
      <c r="DR63" s="77">
        <f t="shared" ref="DR63:DU63" si="463">DR38+DR31</f>
        <v>45900</v>
      </c>
      <c r="DS63" s="77">
        <f t="shared" si="463"/>
        <v>45900</v>
      </c>
      <c r="DT63" s="120">
        <f t="shared" si="463"/>
        <v>45900</v>
      </c>
      <c r="DU63" s="77">
        <f t="shared" si="463"/>
        <v>41600</v>
      </c>
      <c r="DV63" s="77">
        <f t="shared" ref="DV63:DY63" si="464">DV38+DV31</f>
        <v>41600</v>
      </c>
      <c r="DW63" s="77">
        <f t="shared" si="464"/>
        <v>41600</v>
      </c>
      <c r="DX63" s="77">
        <f t="shared" si="464"/>
        <v>41600</v>
      </c>
      <c r="DY63" s="120">
        <f t="shared" si="464"/>
        <v>41600</v>
      </c>
      <c r="DZ63" s="67">
        <f t="shared" ref="DZ63:EB63" si="465">DZ38+DZ31</f>
        <v>39600</v>
      </c>
      <c r="EA63" s="67">
        <f t="shared" si="465"/>
        <v>38600</v>
      </c>
      <c r="EB63" s="67">
        <f t="shared" si="465"/>
        <v>38600</v>
      </c>
    </row>
    <row r="64" spans="1:132">
      <c r="B64" s="68" t="s">
        <v>236</v>
      </c>
      <c r="C64" s="67">
        <f>C63-C60</f>
        <v>1705</v>
      </c>
      <c r="D64" s="67">
        <f t="shared" ref="D64:AR64" si="466">D63-D60</f>
        <v>4510</v>
      </c>
      <c r="E64" s="67">
        <f t="shared" si="466"/>
        <v>3278</v>
      </c>
      <c r="F64" s="67">
        <f t="shared" si="466"/>
        <v>7789</v>
      </c>
      <c r="G64" s="67">
        <f t="shared" si="466"/>
        <v>11632</v>
      </c>
      <c r="H64" s="67">
        <f t="shared" si="466"/>
        <v>12070</v>
      </c>
      <c r="I64" s="67">
        <f t="shared" si="466"/>
        <v>9810</v>
      </c>
      <c r="J64" s="68">
        <f t="shared" si="466"/>
        <v>10073</v>
      </c>
      <c r="K64" s="68">
        <f t="shared" si="466"/>
        <v>7475</v>
      </c>
      <c r="L64" s="68">
        <f t="shared" si="466"/>
        <v>7962</v>
      </c>
      <c r="M64" s="68">
        <f t="shared" si="466"/>
        <v>8677</v>
      </c>
      <c r="N64" s="67">
        <f t="shared" si="466"/>
        <v>8677</v>
      </c>
      <c r="O64" s="68">
        <f t="shared" si="466"/>
        <v>8283</v>
      </c>
      <c r="P64" s="68">
        <f t="shared" si="466"/>
        <v>5864</v>
      </c>
      <c r="Q64" s="68">
        <f t="shared" si="466"/>
        <v>5788</v>
      </c>
      <c r="R64" s="68">
        <f t="shared" si="466"/>
        <v>4761</v>
      </c>
      <c r="S64" s="67">
        <f t="shared" si="466"/>
        <v>4761</v>
      </c>
      <c r="T64" s="68">
        <f t="shared" si="466"/>
        <v>3667</v>
      </c>
      <c r="U64" s="68">
        <f t="shared" si="466"/>
        <v>2327</v>
      </c>
      <c r="V64" s="68">
        <f t="shared" si="466"/>
        <v>4510</v>
      </c>
      <c r="W64" s="68">
        <f t="shared" si="466"/>
        <v>3152</v>
      </c>
      <c r="X64" s="67">
        <f t="shared" si="466"/>
        <v>3152</v>
      </c>
      <c r="Y64" s="68">
        <f t="shared" si="466"/>
        <v>3470</v>
      </c>
      <c r="Z64" s="68">
        <f t="shared" si="466"/>
        <v>1024</v>
      </c>
      <c r="AA64" s="68">
        <f t="shared" si="466"/>
        <v>-884</v>
      </c>
      <c r="AB64" s="68">
        <f t="shared" si="466"/>
        <v>-1091</v>
      </c>
      <c r="AC64" s="67">
        <f t="shared" si="466"/>
        <v>-1091</v>
      </c>
      <c r="AD64" s="68">
        <f t="shared" si="466"/>
        <v>-1358</v>
      </c>
      <c r="AE64" s="68">
        <f t="shared" si="466"/>
        <v>785</v>
      </c>
      <c r="AF64" s="68">
        <f t="shared" si="466"/>
        <v>2830</v>
      </c>
      <c r="AG64" s="68">
        <f t="shared" si="466"/>
        <v>4233</v>
      </c>
      <c r="AH64" s="67">
        <f t="shared" si="466"/>
        <v>4233</v>
      </c>
      <c r="AI64" s="77">
        <f t="shared" si="466"/>
        <v>4822</v>
      </c>
      <c r="AJ64" s="77">
        <f t="shared" si="466"/>
        <v>4346</v>
      </c>
      <c r="AK64" s="77">
        <f t="shared" si="466"/>
        <v>4592</v>
      </c>
      <c r="AL64" s="77">
        <f t="shared" si="466"/>
        <v>1701</v>
      </c>
      <c r="AM64" s="67">
        <f t="shared" si="466"/>
        <v>1701</v>
      </c>
      <c r="AN64" s="77">
        <f t="shared" si="466"/>
        <v>2581</v>
      </c>
      <c r="AO64" s="77">
        <f t="shared" si="466"/>
        <v>2920</v>
      </c>
      <c r="AP64" s="77">
        <f t="shared" si="466"/>
        <v>2453</v>
      </c>
      <c r="AQ64" s="77">
        <f t="shared" si="466"/>
        <v>1904</v>
      </c>
      <c r="AR64" s="67">
        <f t="shared" si="466"/>
        <v>1904</v>
      </c>
      <c r="AS64" s="77">
        <f t="shared" ref="AS64:BL64" si="467">AS63-AS60</f>
        <v>3917</v>
      </c>
      <c r="AT64" s="77">
        <f t="shared" si="467"/>
        <v>2826</v>
      </c>
      <c r="AU64" s="77">
        <f t="shared" si="467"/>
        <v>3147</v>
      </c>
      <c r="AV64" s="77">
        <f t="shared" si="467"/>
        <v>1099</v>
      </c>
      <c r="AW64" s="67">
        <f t="shared" si="467"/>
        <v>1099</v>
      </c>
      <c r="AX64" s="77">
        <f t="shared" si="467"/>
        <v>1108</v>
      </c>
      <c r="AY64" s="77">
        <f t="shared" si="467"/>
        <v>894</v>
      </c>
      <c r="AZ64" s="77">
        <f t="shared" si="467"/>
        <v>14</v>
      </c>
      <c r="BA64" s="77">
        <f t="shared" si="467"/>
        <v>-3149</v>
      </c>
      <c r="BB64" s="67">
        <f t="shared" si="467"/>
        <v>-3149</v>
      </c>
      <c r="BC64" s="77">
        <f>BC63-BC60</f>
        <v>-2682</v>
      </c>
      <c r="BD64" s="77">
        <f>BD63-BD60</f>
        <v>-4747</v>
      </c>
      <c r="BE64" s="77">
        <f>BE63-BE60</f>
        <v>-6315</v>
      </c>
      <c r="BF64" s="77">
        <f>BF63-BF60</f>
        <v>-5623</v>
      </c>
      <c r="BG64" s="67">
        <f t="shared" si="467"/>
        <v>-5623</v>
      </c>
      <c r="BH64" s="77">
        <f>BH63-BH60</f>
        <v>-3289</v>
      </c>
      <c r="BI64" s="77">
        <f>BI63-BI60</f>
        <v>-2447</v>
      </c>
      <c r="BJ64" s="77">
        <f>BJ63-BJ60</f>
        <v>-1197</v>
      </c>
      <c r="BK64" s="77">
        <f>BK63-BK60</f>
        <v>-4022</v>
      </c>
      <c r="BL64" s="67">
        <f t="shared" si="467"/>
        <v>-4022</v>
      </c>
      <c r="BM64" s="77">
        <f>BM63-BM60</f>
        <v>-593</v>
      </c>
      <c r="BN64" s="77">
        <f>BN63-BN60</f>
        <v>-609</v>
      </c>
      <c r="BO64" s="77">
        <f>BO63-BO60</f>
        <v>-841</v>
      </c>
      <c r="BP64" s="77">
        <f>BP63-BP60</f>
        <v>-2088</v>
      </c>
      <c r="BQ64" s="67">
        <f t="shared" ref="BQ64" si="468">BQ63-BQ60</f>
        <v>-2088</v>
      </c>
      <c r="BR64" s="77">
        <f>BR63-BR60</f>
        <v>1612</v>
      </c>
      <c r="BS64" s="77">
        <f>BS63-BS60</f>
        <v>1750</v>
      </c>
      <c r="BT64" s="77">
        <f t="shared" ref="BT64:BU64" si="469">BT63-BT60</f>
        <v>788</v>
      </c>
      <c r="BU64" s="77">
        <f t="shared" si="469"/>
        <v>-77</v>
      </c>
      <c r="BV64" s="67">
        <f t="shared" ref="BV64" si="470">BV63-BV60</f>
        <v>-77</v>
      </c>
      <c r="BW64" s="77">
        <f>BW63-BW60</f>
        <v>1594</v>
      </c>
      <c r="BX64" s="77">
        <f>BX63-BX60</f>
        <v>449</v>
      </c>
      <c r="BY64" s="77">
        <f t="shared" ref="BY64:CA64" si="471">BY63-BY60</f>
        <v>736</v>
      </c>
      <c r="BZ64" s="77">
        <f t="shared" si="471"/>
        <v>1125</v>
      </c>
      <c r="CA64" s="67">
        <f t="shared" si="471"/>
        <v>1125</v>
      </c>
      <c r="CB64" s="77">
        <f>CB63-CB60</f>
        <v>2561</v>
      </c>
      <c r="CC64" s="77">
        <f>CC63-CC60</f>
        <v>2348</v>
      </c>
      <c r="CD64" s="77">
        <f t="shared" ref="CD64:CF64" si="472">CD63-CD60</f>
        <v>1886</v>
      </c>
      <c r="CE64" s="77">
        <f t="shared" si="472"/>
        <v>5283</v>
      </c>
      <c r="CF64" s="67">
        <f t="shared" si="472"/>
        <v>5283</v>
      </c>
      <c r="CG64" s="77">
        <f t="shared" ref="CG64:CK64" si="473">CG63-CG60</f>
        <v>7015</v>
      </c>
      <c r="CH64" s="77">
        <f t="shared" si="473"/>
        <v>9610</v>
      </c>
      <c r="CI64" s="77">
        <f t="shared" si="473"/>
        <v>13739</v>
      </c>
      <c r="CJ64" s="77">
        <f t="shared" si="473"/>
        <v>17272</v>
      </c>
      <c r="CK64" s="67">
        <f t="shared" si="473"/>
        <v>17272</v>
      </c>
      <c r="CL64" s="77">
        <f t="shared" ref="CL64:CP64" si="474">CL63-CL60</f>
        <v>23400</v>
      </c>
      <c r="CM64" s="77">
        <f t="shared" si="474"/>
        <v>28949</v>
      </c>
      <c r="CN64" s="77">
        <f t="shared" si="474"/>
        <v>33843</v>
      </c>
      <c r="CO64" s="77">
        <f t="shared" si="474"/>
        <v>37993</v>
      </c>
      <c r="CP64" s="120">
        <f t="shared" si="474"/>
        <v>37993</v>
      </c>
      <c r="CQ64" s="77">
        <f t="shared" ref="CQ64:CV64" si="475">CQ63-CQ60</f>
        <v>41655</v>
      </c>
      <c r="CR64" s="77">
        <f t="shared" si="475"/>
        <v>42217</v>
      </c>
      <c r="CS64" s="77">
        <f t="shared" si="475"/>
        <v>42424</v>
      </c>
      <c r="CT64" s="77">
        <f t="shared" si="475"/>
        <v>41858</v>
      </c>
      <c r="CU64" s="120">
        <f t="shared" si="475"/>
        <v>41858</v>
      </c>
      <c r="CV64" s="77">
        <f t="shared" si="475"/>
        <v>45459</v>
      </c>
      <c r="CW64" s="77">
        <f t="shared" ref="CW64:CZ64" si="476">CW63-CW60</f>
        <v>45752</v>
      </c>
      <c r="CX64" s="77">
        <f t="shared" si="476"/>
        <v>42962</v>
      </c>
      <c r="CY64" s="77">
        <f t="shared" si="476"/>
        <v>39781</v>
      </c>
      <c r="CZ64" s="120">
        <f t="shared" si="476"/>
        <v>39781</v>
      </c>
      <c r="DA64" s="77">
        <f t="shared" ref="DA64:DE64" si="477">DA63-DA60</f>
        <v>40624</v>
      </c>
      <c r="DB64" s="16">
        <f t="shared" si="477"/>
        <v>38506</v>
      </c>
      <c r="DC64" s="77">
        <f t="shared" si="477"/>
        <v>38900</v>
      </c>
      <c r="DD64" s="77">
        <f t="shared" si="477"/>
        <v>36342</v>
      </c>
      <c r="DE64" s="120">
        <f t="shared" si="477"/>
        <v>36342</v>
      </c>
      <c r="DF64" s="77">
        <f t="shared" ref="DF64:DJ64" si="478">DF63-DF60</f>
        <v>40411</v>
      </c>
      <c r="DG64" s="16">
        <f t="shared" si="478"/>
        <v>45306</v>
      </c>
      <c r="DH64" s="77">
        <f t="shared" si="478"/>
        <v>47180</v>
      </c>
      <c r="DI64" s="77">
        <f t="shared" si="478"/>
        <v>27582</v>
      </c>
      <c r="DJ64" s="120">
        <f t="shared" si="478"/>
        <v>27582</v>
      </c>
      <c r="DK64" s="77">
        <f t="shared" ref="DK64:DM64" si="479">DK63-DK60</f>
        <v>29944</v>
      </c>
      <c r="DL64" s="16">
        <f t="shared" si="479"/>
        <v>30356</v>
      </c>
      <c r="DM64" s="77">
        <f t="shared" si="479"/>
        <v>30369</v>
      </c>
      <c r="DN64" s="77">
        <f t="shared" ref="DN64:DQ64" si="480">DN63-DN60</f>
        <v>24698</v>
      </c>
      <c r="DO64" s="120">
        <f t="shared" si="480"/>
        <v>24698</v>
      </c>
      <c r="DP64" s="77">
        <f t="shared" si="480"/>
        <v>26304</v>
      </c>
      <c r="DQ64" s="16">
        <f t="shared" si="480"/>
        <v>25878</v>
      </c>
      <c r="DR64" s="77">
        <f t="shared" ref="DR64:DU64" si="481">DR63-DR60</f>
        <v>25533</v>
      </c>
      <c r="DS64" s="77">
        <f t="shared" si="481"/>
        <v>22552</v>
      </c>
      <c r="DT64" s="120">
        <f t="shared" si="481"/>
        <v>22552</v>
      </c>
      <c r="DU64" s="77">
        <f t="shared" si="481"/>
        <v>25357</v>
      </c>
      <c r="DV64" s="77">
        <f t="shared" ref="DV64:DY64" si="482">DV63-DV60</f>
        <v>25162</v>
      </c>
      <c r="DW64" s="77">
        <f t="shared" si="482"/>
        <v>23772</v>
      </c>
      <c r="DX64" s="77">
        <f t="shared" si="482"/>
        <v>21074</v>
      </c>
      <c r="DY64" s="120">
        <f t="shared" si="482"/>
        <v>21074</v>
      </c>
      <c r="DZ64" s="67">
        <f t="shared" ref="DZ64:EB64" si="483">DZ63-DZ60</f>
        <v>20577</v>
      </c>
      <c r="EA64" s="67">
        <f t="shared" si="483"/>
        <v>18982</v>
      </c>
      <c r="EB64" s="67">
        <f t="shared" si="483"/>
        <v>17368</v>
      </c>
    </row>
    <row r="65" spans="2:132">
      <c r="B65" s="68" t="s">
        <v>237</v>
      </c>
      <c r="C65" s="13">
        <f>C63/(C63+C62)</f>
        <v>0.34603927904276266</v>
      </c>
      <c r="D65" s="13">
        <f t="shared" ref="D65:AR65" si="484">D63/(D63+D62)</f>
        <v>0.36146827042720864</v>
      </c>
      <c r="E65" s="13">
        <f t="shared" si="484"/>
        <v>0.37001209189842804</v>
      </c>
      <c r="F65" s="13">
        <f t="shared" si="484"/>
        <v>0.4439679095817145</v>
      </c>
      <c r="G65" s="13">
        <f t="shared" si="484"/>
        <v>0.53118233001299264</v>
      </c>
      <c r="H65" s="13">
        <f t="shared" si="484"/>
        <v>0.65174894791619531</v>
      </c>
      <c r="I65" s="13">
        <f t="shared" si="484"/>
        <v>0.63958019661677445</v>
      </c>
      <c r="J65" s="12">
        <f t="shared" si="484"/>
        <v>0.61283978673192907</v>
      </c>
      <c r="K65" s="12">
        <f t="shared" si="484"/>
        <v>0.60416666666666663</v>
      </c>
      <c r="L65" s="12">
        <f t="shared" si="484"/>
        <v>0.56453085067542896</v>
      </c>
      <c r="M65" s="12">
        <f t="shared" si="484"/>
        <v>0.51945840074938265</v>
      </c>
      <c r="N65" s="13">
        <f t="shared" si="484"/>
        <v>0.51945840074938265</v>
      </c>
      <c r="O65" s="12">
        <f t="shared" si="484"/>
        <v>0.50649238971536681</v>
      </c>
      <c r="P65" s="12">
        <f t="shared" si="484"/>
        <v>0.49774408951452809</v>
      </c>
      <c r="Q65" s="12">
        <f t="shared" si="484"/>
        <v>0.5354695587872812</v>
      </c>
      <c r="R65" s="12">
        <f t="shared" si="484"/>
        <v>0.49238042779766822</v>
      </c>
      <c r="S65" s="13">
        <f t="shared" si="484"/>
        <v>0.49238042779766822</v>
      </c>
      <c r="T65" s="12">
        <f t="shared" si="484"/>
        <v>0.48906437158954791</v>
      </c>
      <c r="U65" s="12">
        <f t="shared" si="484"/>
        <v>0.5022083533365338</v>
      </c>
      <c r="V65" s="12">
        <f t="shared" si="484"/>
        <v>0.47884860802571255</v>
      </c>
      <c r="W65" s="12">
        <f t="shared" si="484"/>
        <v>0.66806752118792467</v>
      </c>
      <c r="X65" s="13">
        <f t="shared" si="484"/>
        <v>0.66806752118792467</v>
      </c>
      <c r="Y65" s="12">
        <f t="shared" si="484"/>
        <v>0.60920741050285554</v>
      </c>
      <c r="Z65" s="12">
        <f t="shared" si="484"/>
        <v>0.59640297684674748</v>
      </c>
      <c r="AA65" s="12">
        <f t="shared" si="484"/>
        <v>0.57253436540771385</v>
      </c>
      <c r="AB65" s="12">
        <f t="shared" si="484"/>
        <v>0.47714999128970442</v>
      </c>
      <c r="AC65" s="13">
        <f t="shared" si="484"/>
        <v>0.47714999128970442</v>
      </c>
      <c r="AD65" s="12">
        <f t="shared" si="484"/>
        <v>0.47583256244218314</v>
      </c>
      <c r="AE65" s="12">
        <f t="shared" si="484"/>
        <v>0.48692537313432838</v>
      </c>
      <c r="AF65" s="12">
        <f t="shared" si="484"/>
        <v>0.46608663684823232</v>
      </c>
      <c r="AG65" s="12">
        <f t="shared" si="484"/>
        <v>1.2081055001608234</v>
      </c>
      <c r="AH65" s="13">
        <f t="shared" si="484"/>
        <v>1.2081055001608234</v>
      </c>
      <c r="AI65" s="12">
        <f t="shared" si="484"/>
        <v>1.058085130663015</v>
      </c>
      <c r="AJ65" s="12">
        <f t="shared" si="484"/>
        <v>0.96465608465608466</v>
      </c>
      <c r="AK65" s="12">
        <f t="shared" si="484"/>
        <v>1.086310402519437</v>
      </c>
      <c r="AL65" s="12">
        <f t="shared" si="484"/>
        <v>0.85312561885272953</v>
      </c>
      <c r="AM65" s="13">
        <f t="shared" si="484"/>
        <v>0.85312561885272953</v>
      </c>
      <c r="AN65" s="12">
        <f t="shared" si="484"/>
        <v>0.80984857965210866</v>
      </c>
      <c r="AO65" s="12">
        <f t="shared" si="484"/>
        <v>0.80315156027048829</v>
      </c>
      <c r="AP65" s="12">
        <f t="shared" si="484"/>
        <v>0.73177773849507988</v>
      </c>
      <c r="AQ65" s="12">
        <f t="shared" si="484"/>
        <v>0.81273310213963224</v>
      </c>
      <c r="AR65" s="13">
        <f t="shared" si="484"/>
        <v>0.81273310213963224</v>
      </c>
      <c r="AS65" s="12">
        <f t="shared" ref="AS65:BL65" si="485">AS63/(AS63+AS62)</f>
        <v>0.74471202854230378</v>
      </c>
      <c r="AT65" s="12">
        <f t="shared" si="485"/>
        <v>0.70678336980306344</v>
      </c>
      <c r="AU65" s="12">
        <f t="shared" si="485"/>
        <v>0.67133018816766987</v>
      </c>
      <c r="AV65" s="12">
        <f t="shared" si="485"/>
        <v>0.7742036422804931</v>
      </c>
      <c r="AW65" s="13">
        <f t="shared" si="485"/>
        <v>0.7742036422804931</v>
      </c>
      <c r="AX65" s="12">
        <f t="shared" si="485"/>
        <v>0.69421882465360729</v>
      </c>
      <c r="AY65" s="12">
        <f t="shared" si="485"/>
        <v>0.65529749020066697</v>
      </c>
      <c r="AZ65" s="12">
        <f t="shared" si="485"/>
        <v>0.59285562857748564</v>
      </c>
      <c r="BA65" s="12">
        <f t="shared" si="485"/>
        <v>0.63562530532486561</v>
      </c>
      <c r="BB65" s="13">
        <f t="shared" si="485"/>
        <v>0.63562530532486561</v>
      </c>
      <c r="BC65" s="12">
        <f>BC63/(BC63+BC62)</f>
        <v>0.54814416352877893</v>
      </c>
      <c r="BD65" s="12">
        <f>BD63/(BD63+BD62)</f>
        <v>0.55653689715281818</v>
      </c>
      <c r="BE65" s="12">
        <f>BE63/(BE63+BE62)</f>
        <v>0.5141724267266784</v>
      </c>
      <c r="BF65" s="12">
        <f>BF63/(BF63+BF62)</f>
        <v>0.3911578434556674</v>
      </c>
      <c r="BG65" s="13">
        <f t="shared" si="485"/>
        <v>0.3911578434556674</v>
      </c>
      <c r="BH65" s="12">
        <f>BH63/(BH63+BH62)</f>
        <v>0.37911575016972165</v>
      </c>
      <c r="BI65" s="12">
        <f>BI63/(BI63+BI62)</f>
        <v>0.38509559110417479</v>
      </c>
      <c r="BJ65" s="12">
        <f>BJ63/(BJ63+BJ62)</f>
        <v>0.37759918356933281</v>
      </c>
      <c r="BK65" s="12">
        <f>BK63/(BK63+BK62)</f>
        <v>0.5078387458006719</v>
      </c>
      <c r="BL65" s="13">
        <f t="shared" si="485"/>
        <v>0.5078387458006719</v>
      </c>
      <c r="BM65" s="12">
        <f>BM63/(BM63+BM62)</f>
        <v>0.52952894305132414</v>
      </c>
      <c r="BN65" s="12">
        <f>BN63/(BN63+BN62)</f>
        <v>0.58839652809502052</v>
      </c>
      <c r="BO65" s="12">
        <f>BO63/(BO63+BO62)</f>
        <v>0.5705606885204404</v>
      </c>
      <c r="BP65" s="12">
        <f>BP63/(BP63+BP62)</f>
        <v>0.6090092292647149</v>
      </c>
      <c r="BQ65" s="13">
        <f t="shared" ref="BQ65" si="486">BQ63/(BQ63+BQ62)</f>
        <v>0.6090092292647149</v>
      </c>
      <c r="BR65" s="12">
        <f>BR63/(BR63+BR62)</f>
        <v>0.70817341862117977</v>
      </c>
      <c r="BS65" s="12">
        <f>BS63/(BS63+BS62)</f>
        <v>0.9445206654090208</v>
      </c>
      <c r="BT65" s="12">
        <f t="shared" ref="BT65:BU65" si="487">BT63/(BT63+BT62)</f>
        <v>0.8294462954148818</v>
      </c>
      <c r="BU65" s="12">
        <f t="shared" si="487"/>
        <v>0.91901375934989382</v>
      </c>
      <c r="BV65" s="13">
        <f t="shared" ref="BV65" si="488">BV63/(BV63+BV62)</f>
        <v>0.91901375934989382</v>
      </c>
      <c r="BW65" s="12">
        <f>BW63/(BW63+BW62)</f>
        <v>0.98584991783823261</v>
      </c>
      <c r="BX65" s="12">
        <f>BX63/(BX63+BX62)</f>
        <v>1.2248493804706151</v>
      </c>
      <c r="BY65" s="12">
        <f t="shared" ref="BY65:CA65" si="489">BY63/(BY63+BY62)</f>
        <v>0.90388651053471003</v>
      </c>
      <c r="BZ65" s="12">
        <f t="shared" si="489"/>
        <v>0.96426402983780035</v>
      </c>
      <c r="CA65" s="13">
        <f t="shared" si="489"/>
        <v>0.96426402983780035</v>
      </c>
      <c r="CB65" s="12">
        <f>CB63/(CB63+CB62)</f>
        <v>0.90559999999999996</v>
      </c>
      <c r="CC65" s="12">
        <f>CC63/(CC63+CC62)</f>
        <v>1.1278853313477291</v>
      </c>
      <c r="CD65" s="12">
        <f t="shared" ref="CD65:CF65" si="490">CD63/(CD63+CD62)</f>
        <v>1.1133402081184962</v>
      </c>
      <c r="CE65" s="12">
        <f t="shared" si="490"/>
        <v>0.97124219681559931</v>
      </c>
      <c r="CF65" s="13">
        <f t="shared" si="490"/>
        <v>0.97124219681559931</v>
      </c>
      <c r="CG65" s="12">
        <f t="shared" ref="CG65:CK65" si="491">CG63/(CG63+CG62)</f>
        <v>0.98450854700854706</v>
      </c>
      <c r="CH65" s="12">
        <f t="shared" si="491"/>
        <v>1.3463182232186646</v>
      </c>
      <c r="CI65" s="12">
        <f t="shared" si="491"/>
        <v>1.1827472052967423</v>
      </c>
      <c r="CJ65" s="12">
        <f t="shared" si="491"/>
        <v>1.4367961267235028</v>
      </c>
      <c r="CK65" s="13">
        <f t="shared" si="491"/>
        <v>1.4367961267235028</v>
      </c>
      <c r="CL65" s="12">
        <f t="shared" ref="CL65:CP65" si="492">CL63/(CL63+CL62)</f>
        <v>1.3165691480366626</v>
      </c>
      <c r="CM65" s="12">
        <f t="shared" si="492"/>
        <v>1.2276536592195533</v>
      </c>
      <c r="CN65" s="12">
        <f t="shared" si="492"/>
        <v>1.2338379953851759</v>
      </c>
      <c r="CO65" s="12">
        <f t="shared" si="492"/>
        <v>1.3971829128944362</v>
      </c>
      <c r="CP65" s="466">
        <f t="shared" si="492"/>
        <v>1.3971829128944362</v>
      </c>
      <c r="CQ65" s="12">
        <f t="shared" ref="CQ65:CV65" si="493">CQ63/(CQ63+CQ62)</f>
        <v>1.3901036428040408</v>
      </c>
      <c r="CR65" s="12">
        <f t="shared" si="493"/>
        <v>1.3501933126566683</v>
      </c>
      <c r="CS65" s="12">
        <f t="shared" si="493"/>
        <v>1.296263991859282</v>
      </c>
      <c r="CT65" s="12">
        <f t="shared" si="493"/>
        <v>1.343212502311818</v>
      </c>
      <c r="CU65" s="466">
        <f t="shared" si="493"/>
        <v>1.343212502311818</v>
      </c>
      <c r="CV65" s="12">
        <f t="shared" si="493"/>
        <v>1.3594754314505686</v>
      </c>
      <c r="CW65" s="12">
        <f t="shared" ref="CW65:CZ65" si="494">CW63/(CW63+CW62)</f>
        <v>1.3487703081892994</v>
      </c>
      <c r="CX65" s="12">
        <f t="shared" si="494"/>
        <v>1.4455082861762327</v>
      </c>
      <c r="CY65" s="12">
        <f t="shared" si="494"/>
        <v>1.3850995067188296</v>
      </c>
      <c r="CZ65" s="466">
        <f t="shared" si="494"/>
        <v>1.3850995067188296</v>
      </c>
      <c r="DA65" s="12">
        <f t="shared" ref="DA65:DE65" si="495">DA63/(DA63+DA62)</f>
        <v>1.3880021048938782</v>
      </c>
      <c r="DB65" s="450">
        <f t="shared" si="495"/>
        <v>1.4212916383412644</v>
      </c>
      <c r="DC65" s="12">
        <f t="shared" si="495"/>
        <v>1.470172971452679</v>
      </c>
      <c r="DD65" s="12">
        <f t="shared" si="495"/>
        <v>1.4911200433307676</v>
      </c>
      <c r="DE65" s="466">
        <f t="shared" si="495"/>
        <v>1.4911200433307676</v>
      </c>
      <c r="DF65" s="12">
        <f t="shared" ref="DF65:DJ65" si="496">DF63/(DF63+DF62)</f>
        <v>1.5502522312766782</v>
      </c>
      <c r="DG65" s="450">
        <f t="shared" si="496"/>
        <v>1.4501689823507322</v>
      </c>
      <c r="DH65" s="12">
        <f t="shared" si="496"/>
        <v>1.6912109833372448</v>
      </c>
      <c r="DI65" s="12">
        <f t="shared" si="496"/>
        <v>1.0783583583583582</v>
      </c>
      <c r="DJ65" s="466">
        <f t="shared" si="496"/>
        <v>1.0783583583583582</v>
      </c>
      <c r="DK65" s="12">
        <f t="shared" ref="DK65:DM65" si="497">DK63/(DK63+DK62)</f>
        <v>1.0661125802795617</v>
      </c>
      <c r="DL65" s="450">
        <f t="shared" si="497"/>
        <v>1.0658844224118975</v>
      </c>
      <c r="DM65" s="12">
        <f t="shared" si="497"/>
        <v>1.1829933481152994</v>
      </c>
      <c r="DN65" s="12">
        <f t="shared" ref="DN65:DQ65" si="498">DN63/(DN63+DN62)</f>
        <v>0.90837041390311479</v>
      </c>
      <c r="DO65" s="466">
        <f t="shared" si="498"/>
        <v>0.90837041390311479</v>
      </c>
      <c r="DP65" s="12">
        <f t="shared" si="498"/>
        <v>0.88745394390555676</v>
      </c>
      <c r="DQ65" s="450">
        <f t="shared" si="498"/>
        <v>0.88243775833894067</v>
      </c>
      <c r="DR65" s="12">
        <f t="shared" ref="DR65:DU65" si="499">DR63/(DR63+DR62)</f>
        <v>1.0043014143512965</v>
      </c>
      <c r="DS65" s="12">
        <f t="shared" si="499"/>
        <v>1.0391501290615843</v>
      </c>
      <c r="DT65" s="466">
        <f t="shared" si="499"/>
        <v>1.0391501290615843</v>
      </c>
      <c r="DU65" s="12">
        <f t="shared" si="499"/>
        <v>0.62335476112367494</v>
      </c>
      <c r="DV65" s="12">
        <f t="shared" ref="DV65:DY65" si="500">DV63/(DV63+DV62)</f>
        <v>0.71250530403045242</v>
      </c>
      <c r="DW65" s="12">
        <f t="shared" si="500"/>
        <v>0.73743756850323761</v>
      </c>
      <c r="DX65" s="12">
        <f t="shared" si="500"/>
        <v>0.76032553478786169</v>
      </c>
      <c r="DY65" s="466">
        <f t="shared" si="500"/>
        <v>0.76032553478786169</v>
      </c>
      <c r="DZ65" s="13">
        <f t="shared" ref="DZ65:EB65" si="501">DZ63/(DZ63+DZ62)</f>
        <v>1.0272162566399619</v>
      </c>
      <c r="EA65" s="13">
        <f t="shared" si="501"/>
        <v>0.85205172475283875</v>
      </c>
      <c r="EB65" s="13">
        <f t="shared" si="501"/>
        <v>0.75988808224107673</v>
      </c>
    </row>
    <row r="66" spans="2:132">
      <c r="B66" s="68" t="s">
        <v>238</v>
      </c>
      <c r="C66" s="13">
        <f>C64/(C63+C62)</f>
        <v>8.6080678547988079E-2</v>
      </c>
      <c r="D66" s="13">
        <f t="shared" ref="D66:AR66" si="502">D64/(D63+D62)</f>
        <v>0.2338241393612609</v>
      </c>
      <c r="E66" s="13">
        <f t="shared" si="502"/>
        <v>0.18016928657799275</v>
      </c>
      <c r="F66" s="13">
        <f t="shared" si="502"/>
        <v>0.39300671073212573</v>
      </c>
      <c r="G66" s="13">
        <f t="shared" si="502"/>
        <v>0.50376786487656999</v>
      </c>
      <c r="H66" s="13">
        <f t="shared" si="502"/>
        <v>0.54617856011584232</v>
      </c>
      <c r="I66" s="13">
        <f t="shared" si="502"/>
        <v>0.43441679213532902</v>
      </c>
      <c r="J66" s="12">
        <f t="shared" si="502"/>
        <v>0.44021501616991521</v>
      </c>
      <c r="K66" s="12">
        <f t="shared" si="502"/>
        <v>0.33063517338995047</v>
      </c>
      <c r="L66" s="12">
        <f t="shared" si="502"/>
        <v>0.36336254107338445</v>
      </c>
      <c r="M66" s="12">
        <f t="shared" si="502"/>
        <v>0.36945414289363876</v>
      </c>
      <c r="N66" s="13">
        <f t="shared" si="502"/>
        <v>0.36945414289363876</v>
      </c>
      <c r="O66" s="12">
        <f t="shared" si="502"/>
        <v>0.35613552326081349</v>
      </c>
      <c r="P66" s="12">
        <f t="shared" si="502"/>
        <v>0.26457318173614869</v>
      </c>
      <c r="Q66" s="12">
        <f t="shared" si="502"/>
        <v>0.28533399063347303</v>
      </c>
      <c r="R66" s="12">
        <f t="shared" si="502"/>
        <v>0.21853483888735886</v>
      </c>
      <c r="S66" s="13">
        <f t="shared" si="502"/>
        <v>0.21853483888735886</v>
      </c>
      <c r="T66" s="12">
        <f t="shared" si="502"/>
        <v>0.16268133623175546</v>
      </c>
      <c r="U66" s="12">
        <f t="shared" si="502"/>
        <v>0.11171387421987518</v>
      </c>
      <c r="V66" s="12">
        <f t="shared" si="502"/>
        <v>0.21316821855650611</v>
      </c>
      <c r="W66" s="12">
        <f t="shared" si="502"/>
        <v>0.22077467255025565</v>
      </c>
      <c r="X66" s="13">
        <f t="shared" si="502"/>
        <v>0.22077467255025565</v>
      </c>
      <c r="Y66" s="12">
        <f t="shared" si="502"/>
        <v>0.24167711380415099</v>
      </c>
      <c r="Z66" s="12">
        <f t="shared" si="502"/>
        <v>7.0562293274531424E-2</v>
      </c>
      <c r="AA66" s="12">
        <f t="shared" si="502"/>
        <v>-5.8988389163219003E-2</v>
      </c>
      <c r="AB66" s="12">
        <f t="shared" si="502"/>
        <v>-6.3352883107833463E-2</v>
      </c>
      <c r="AC66" s="13">
        <f t="shared" si="502"/>
        <v>-6.3352883107833463E-2</v>
      </c>
      <c r="AD66" s="12">
        <f t="shared" si="502"/>
        <v>-7.8515263644773362E-2</v>
      </c>
      <c r="AE66" s="12">
        <f t="shared" si="502"/>
        <v>4.6865671641791042E-2</v>
      </c>
      <c r="AF66" s="12">
        <f t="shared" si="502"/>
        <v>0.17339623797561424</v>
      </c>
      <c r="AG66" s="12">
        <f t="shared" si="502"/>
        <v>0.68076551945963337</v>
      </c>
      <c r="AH66" s="13">
        <f t="shared" si="502"/>
        <v>0.68076551945963337</v>
      </c>
      <c r="AI66" s="12">
        <f t="shared" si="502"/>
        <v>0.5502681730001141</v>
      </c>
      <c r="AJ66" s="12">
        <f t="shared" si="502"/>
        <v>0.45989417989417991</v>
      </c>
      <c r="AK66" s="12">
        <f t="shared" si="502"/>
        <v>0.4519240232260604</v>
      </c>
      <c r="AL66" s="12">
        <f t="shared" si="502"/>
        <v>0.11228463925011552</v>
      </c>
      <c r="AM66" s="13">
        <f t="shared" si="502"/>
        <v>0.11228463925011552</v>
      </c>
      <c r="AN66" s="12">
        <f t="shared" si="502"/>
        <v>0.16149418095357276</v>
      </c>
      <c r="AO66" s="12">
        <f t="shared" si="502"/>
        <v>0.18115267696507228</v>
      </c>
      <c r="AP66" s="12">
        <f t="shared" si="502"/>
        <v>0.14454068705438688</v>
      </c>
      <c r="AQ66" s="12">
        <f t="shared" si="502"/>
        <v>0.12458286985539488</v>
      </c>
      <c r="AR66" s="13">
        <f t="shared" si="502"/>
        <v>0.12458286985539488</v>
      </c>
      <c r="AS66" s="12">
        <f t="shared" ref="AS66:BL66" si="503">AS64/(AS63+AS62)</f>
        <v>0.24955402650356778</v>
      </c>
      <c r="AT66" s="12">
        <f t="shared" si="503"/>
        <v>0.17177242888402625</v>
      </c>
      <c r="AU66" s="12">
        <f t="shared" si="503"/>
        <v>0.17065235074019847</v>
      </c>
      <c r="AV66" s="12">
        <f t="shared" si="503"/>
        <v>6.8777770824206774E-2</v>
      </c>
      <c r="AW66" s="13">
        <f t="shared" si="503"/>
        <v>6.8777770824206774E-2</v>
      </c>
      <c r="AX66" s="12">
        <f t="shared" si="503"/>
        <v>6.6172957477305297E-2</v>
      </c>
      <c r="AY66" s="12">
        <f t="shared" si="503"/>
        <v>5.2302111975662549E-2</v>
      </c>
      <c r="AZ66" s="12">
        <f t="shared" si="503"/>
        <v>7.4199703201187199E-4</v>
      </c>
      <c r="BA66" s="12">
        <f t="shared" si="503"/>
        <v>-0.19229360039081583</v>
      </c>
      <c r="BB66" s="13">
        <f t="shared" si="503"/>
        <v>-0.19229360039081583</v>
      </c>
      <c r="BC66" s="12">
        <f>BC64/(BC63+BC62)</f>
        <v>-0.16030123722431414</v>
      </c>
      <c r="BD66" s="12">
        <f>BD64/(BD63+BD62)</f>
        <v>-0.27582800697269028</v>
      </c>
      <c r="BE66" s="12">
        <f>BE64/(BE63+BE62)</f>
        <v>-0.33837003697154799</v>
      </c>
      <c r="BF66" s="12">
        <f>BF64/(BF63+BF62)</f>
        <v>-0.22828028580708021</v>
      </c>
      <c r="BG66" s="13">
        <f t="shared" si="503"/>
        <v>-0.22828028580708021</v>
      </c>
      <c r="BH66" s="12">
        <f>BH64/(BH63+BH62)</f>
        <v>-0.13955363204344876</v>
      </c>
      <c r="BI66" s="12">
        <f>BI64/(BI63+BI62)</f>
        <v>-0.10608228204794728</v>
      </c>
      <c r="BJ66" s="12">
        <f>BJ64/(BJ63+BJ62)</f>
        <v>-5.0899349406812094E-2</v>
      </c>
      <c r="BK66" s="12">
        <f>BK64/(BK63+BK62)</f>
        <v>-0.22519596864501679</v>
      </c>
      <c r="BL66" s="13">
        <f t="shared" si="503"/>
        <v>-0.22519596864501679</v>
      </c>
      <c r="BM66" s="12">
        <f>BM64/(BM63+BM62)</f>
        <v>-3.4743379423482539E-2</v>
      </c>
      <c r="BN66" s="12">
        <f>BN64/(BN63+BN62)</f>
        <v>-3.9744175422567384E-2</v>
      </c>
      <c r="BO66" s="12">
        <f>BO64/(BO63+BO62)</f>
        <v>-5.3221111251740283E-2</v>
      </c>
      <c r="BP66" s="12">
        <f>BP64/(BP63+BP62)</f>
        <v>-0.1276205610903979</v>
      </c>
      <c r="BQ66" s="13">
        <f t="shared" ref="BQ66" si="504">BQ64/(BQ63+BQ62)</f>
        <v>-0.1276205610903979</v>
      </c>
      <c r="BR66" s="12">
        <f>BR64/(BR63+BR62)</f>
        <v>0.11457000710732054</v>
      </c>
      <c r="BS66" s="12">
        <f>BS64/(BS63+BS62)</f>
        <v>0.15006002400960383</v>
      </c>
      <c r="BT66" s="12">
        <f t="shared" ref="BT66:BU66" si="505">BT64/(BT63+BT62)</f>
        <v>6.2509915913057268E-2</v>
      </c>
      <c r="BU66" s="12">
        <f t="shared" si="505"/>
        <v>-7.1105365223012281E-3</v>
      </c>
      <c r="BV66" s="13">
        <f t="shared" ref="BV66" si="506">BV64/(BV63+BV62)</f>
        <v>-7.1105365223012281E-3</v>
      </c>
      <c r="BW66" s="12">
        <f>BW64/(BW63+BW62)</f>
        <v>0.14551761913456271</v>
      </c>
      <c r="BX66" s="12">
        <f>BX64/(BX63+BX62)</f>
        <v>5.1040127316130501E-2</v>
      </c>
      <c r="BY66" s="12">
        <f t="shared" ref="BY66:CA66" si="507">BY64/(BY63+BY62)</f>
        <v>6.1781247376815243E-2</v>
      </c>
      <c r="BZ66" s="12">
        <f t="shared" si="507"/>
        <v>9.7580015612802495E-2</v>
      </c>
      <c r="CA66" s="13">
        <f t="shared" si="507"/>
        <v>9.7580015612802495E-2</v>
      </c>
      <c r="CB66" s="12">
        <f>CB64/(CB63+CB62)</f>
        <v>0.18625454545454545</v>
      </c>
      <c r="CC66" s="12">
        <f>CC64/(CC63+CC62)</f>
        <v>0.21854058078927774</v>
      </c>
      <c r="CD66" s="12">
        <f t="shared" ref="CD66:CF66" si="508">CD64/(CD63+CD62)</f>
        <v>0.17680697478203805</v>
      </c>
      <c r="CE66" s="12">
        <f t="shared" si="508"/>
        <v>0.3705548151785088</v>
      </c>
      <c r="CF66" s="13">
        <f t="shared" si="508"/>
        <v>0.3705548151785088</v>
      </c>
      <c r="CG66" s="12">
        <f t="shared" ref="CG66:CK66" si="509">CG64/(CG63+CG62)</f>
        <v>0.46841613247863245</v>
      </c>
      <c r="CH66" s="12">
        <f t="shared" si="509"/>
        <v>0.67329923632032507</v>
      </c>
      <c r="CI66" s="12">
        <f t="shared" si="509"/>
        <v>0.65916614690783482</v>
      </c>
      <c r="CJ66" s="12">
        <f t="shared" si="509"/>
        <v>0.90895695189979997</v>
      </c>
      <c r="CK66" s="13">
        <f t="shared" si="509"/>
        <v>0.90895695189979997</v>
      </c>
      <c r="CL66" s="12">
        <f t="shared" ref="CL66:CP66" si="510">CL64/(CL63+CL62)</f>
        <v>0.79142287009165624</v>
      </c>
      <c r="CM66" s="12">
        <f t="shared" si="510"/>
        <v>0.57901474088445304</v>
      </c>
      <c r="CN66" s="12">
        <f t="shared" si="510"/>
        <v>0.68499777354977132</v>
      </c>
      <c r="CO66" s="12">
        <f t="shared" si="510"/>
        <v>0.83486419970115144</v>
      </c>
      <c r="CP66" s="466">
        <f t="shared" si="510"/>
        <v>0.83486419970115144</v>
      </c>
      <c r="CQ66" s="12">
        <f t="shared" ref="CQ66:CV66" si="511">CQ64/(CQ63+CQ62)</f>
        <v>0.91081033804171951</v>
      </c>
      <c r="CR66" s="12">
        <f t="shared" si="511"/>
        <v>0.89682202489697072</v>
      </c>
      <c r="CS66" s="12">
        <f t="shared" si="511"/>
        <v>0.88102506593566343</v>
      </c>
      <c r="CT66" s="12">
        <f t="shared" si="511"/>
        <v>0.9676807841686702</v>
      </c>
      <c r="CU66" s="466">
        <f t="shared" si="511"/>
        <v>0.9676807841686702</v>
      </c>
      <c r="CV66" s="12">
        <f t="shared" si="511"/>
        <v>1.0703034869211028</v>
      </c>
      <c r="CW66" s="12">
        <f t="shared" ref="CW66:CZ66" si="512">CW64/(CW63+CW62)</f>
        <v>1.0788276073474969</v>
      </c>
      <c r="CX66" s="12">
        <f t="shared" si="512"/>
        <v>1.0853375101050931</v>
      </c>
      <c r="CY66" s="12">
        <f t="shared" si="512"/>
        <v>0.96666099676815787</v>
      </c>
      <c r="CZ66" s="466">
        <f t="shared" si="512"/>
        <v>0.96666099676815787</v>
      </c>
      <c r="DA66" s="12">
        <f t="shared" ref="DA66:DE66" si="513">DA64/(DA63+DA62)</f>
        <v>1.0179667727466359</v>
      </c>
      <c r="DB66" s="450">
        <f t="shared" si="513"/>
        <v>1.0470700203942895</v>
      </c>
      <c r="DC66" s="12">
        <f t="shared" si="513"/>
        <v>1.0940795949936717</v>
      </c>
      <c r="DD66" s="12">
        <f t="shared" si="513"/>
        <v>1.0360044471051055</v>
      </c>
      <c r="DE66" s="466">
        <f t="shared" si="513"/>
        <v>1.0360044471051055</v>
      </c>
      <c r="DF66" s="12">
        <f t="shared" ref="DF66:DJ66" si="514">DF64/(DF63+DF62)</f>
        <v>1.3067843745957832</v>
      </c>
      <c r="DG66" s="450">
        <f t="shared" si="514"/>
        <v>1.134209538114908</v>
      </c>
      <c r="DH66" s="12">
        <f t="shared" si="514"/>
        <v>1.384064773527341</v>
      </c>
      <c r="DI66" s="12">
        <f t="shared" si="514"/>
        <v>0.55219219219219218</v>
      </c>
      <c r="DJ66" s="466">
        <f t="shared" si="514"/>
        <v>0.55219219219219218</v>
      </c>
      <c r="DK66" s="12">
        <f t="shared" ref="DK66:DM66" si="515">DK64/(DK63+DK62)</f>
        <v>0.59539100868908201</v>
      </c>
      <c r="DL66" s="450">
        <f t="shared" si="515"/>
        <v>0.6067923321406441</v>
      </c>
      <c r="DM66" s="12">
        <f t="shared" si="515"/>
        <v>0.673370288248337</v>
      </c>
      <c r="DN66" s="12">
        <f t="shared" ref="DN66:DQ66" si="516">DN64/(DN63+DN62)</f>
        <v>0.41470909243556375</v>
      </c>
      <c r="DO66" s="466">
        <f t="shared" si="516"/>
        <v>0.41470909243556375</v>
      </c>
      <c r="DP66" s="12">
        <f t="shared" si="516"/>
        <v>0.49447326866681707</v>
      </c>
      <c r="DQ66" s="450">
        <f t="shared" si="516"/>
        <v>0.49751033355762758</v>
      </c>
      <c r="DR66" s="12">
        <f t="shared" ref="DR66:DU66" si="517">DR64/(DR63+DR62)</f>
        <v>0.55866727696365259</v>
      </c>
      <c r="DS66" s="12">
        <f t="shared" si="517"/>
        <v>0.51056456885831913</v>
      </c>
      <c r="DT66" s="466">
        <f t="shared" si="517"/>
        <v>0.51056456885831913</v>
      </c>
      <c r="DU66" s="12">
        <f t="shared" si="517"/>
        <v>0.37996169898589005</v>
      </c>
      <c r="DV66" s="12">
        <f t="shared" ref="DV66:DY66" si="518">DV64/(DV63+DV62)</f>
        <v>0.43096294375034239</v>
      </c>
      <c r="DW66" s="12">
        <f t="shared" si="518"/>
        <v>0.4214030259244943</v>
      </c>
      <c r="DX66" s="12">
        <f t="shared" si="518"/>
        <v>0.38517068077210087</v>
      </c>
      <c r="DY66" s="466">
        <f t="shared" si="518"/>
        <v>0.38517068077210087</v>
      </c>
      <c r="DZ66" s="13">
        <f t="shared" ref="DZ66:EB66" si="519">DZ64/(DZ63+DZ62)</f>
        <v>0.53376335638587113</v>
      </c>
      <c r="EA66" s="13">
        <f t="shared" si="519"/>
        <v>0.41900636889270432</v>
      </c>
      <c r="EB66" s="13">
        <f t="shared" si="519"/>
        <v>0.34191026456899015</v>
      </c>
    </row>
    <row r="67" spans="2:132">
      <c r="C67" s="67"/>
      <c r="D67" s="67"/>
      <c r="E67" s="67"/>
      <c r="F67" s="67"/>
      <c r="G67" s="67"/>
      <c r="H67" s="67"/>
      <c r="I67" s="67"/>
      <c r="N67" s="67"/>
      <c r="S67" s="67"/>
      <c r="X67" s="67"/>
      <c r="AC67" s="67"/>
      <c r="AH67" s="67"/>
      <c r="AI67" s="77"/>
      <c r="AJ67" s="77"/>
      <c r="AK67" s="77"/>
      <c r="AM67" s="67"/>
      <c r="AN67" s="77"/>
      <c r="AO67" s="77"/>
      <c r="AP67" s="77"/>
      <c r="AR67" s="67"/>
      <c r="AS67" s="77"/>
      <c r="AT67" s="77"/>
      <c r="AU67" s="77"/>
      <c r="AV67" s="77"/>
      <c r="AW67" s="67"/>
      <c r="AX67" s="77"/>
      <c r="AY67" s="77"/>
      <c r="AZ67" s="77"/>
      <c r="BB67" s="67"/>
      <c r="BC67" s="77"/>
      <c r="BD67" s="77"/>
      <c r="BE67" s="77"/>
      <c r="BF67" s="77"/>
      <c r="BG67" s="67"/>
      <c r="BH67" s="77"/>
      <c r="BI67" s="77"/>
      <c r="BJ67" s="77"/>
      <c r="BL67" s="67"/>
      <c r="BM67" s="77"/>
      <c r="BN67" s="77"/>
      <c r="BO67" s="77"/>
      <c r="BQ67" s="67"/>
      <c r="BR67" s="77"/>
      <c r="BV67" s="67"/>
      <c r="BW67" s="77"/>
      <c r="CA67" s="67"/>
      <c r="CB67" s="77"/>
      <c r="CF67" s="67"/>
      <c r="CK67" s="67"/>
      <c r="CP67" s="120"/>
      <c r="CU67" s="120"/>
      <c r="CZ67" s="120"/>
      <c r="DB67" s="121"/>
      <c r="DE67" s="120"/>
      <c r="DG67" s="121"/>
      <c r="DJ67" s="120"/>
      <c r="DL67" s="121"/>
      <c r="DO67" s="120"/>
      <c r="DQ67" s="121"/>
      <c r="DT67" s="120"/>
      <c r="DY67" s="120"/>
      <c r="DZ67" s="67"/>
      <c r="EA67" s="67"/>
      <c r="EB67" s="67"/>
    </row>
    <row r="68" spans="2:132">
      <c r="B68" s="68" t="s">
        <v>302</v>
      </c>
      <c r="C68" s="67">
        <f t="shared" ref="C68:BB68" si="520">IF(C57&gt;0,C62,C62-C57)</f>
        <v>12953</v>
      </c>
      <c r="D68" s="67">
        <f t="shared" si="520"/>
        <v>12316</v>
      </c>
      <c r="E68" s="67">
        <f t="shared" si="520"/>
        <v>11462</v>
      </c>
      <c r="F68" s="67">
        <f t="shared" si="520"/>
        <v>11020</v>
      </c>
      <c r="G68" s="67">
        <f t="shared" si="520"/>
        <v>10825</v>
      </c>
      <c r="H68" s="67">
        <f t="shared" si="520"/>
        <v>7696</v>
      </c>
      <c r="I68" s="67">
        <f t="shared" si="520"/>
        <v>8139</v>
      </c>
      <c r="J68" s="68">
        <f t="shared" si="520"/>
        <v>8859</v>
      </c>
      <c r="K68" s="68">
        <f t="shared" si="520"/>
        <v>8949</v>
      </c>
      <c r="L68" s="68">
        <f t="shared" si="520"/>
        <v>9542</v>
      </c>
      <c r="M68" s="68">
        <f t="shared" si="520"/>
        <v>11286</v>
      </c>
      <c r="N68" s="67">
        <f t="shared" si="520"/>
        <v>11286</v>
      </c>
      <c r="O68" s="68">
        <f t="shared" si="520"/>
        <v>11478</v>
      </c>
      <c r="P68" s="68">
        <f t="shared" si="520"/>
        <v>11132</v>
      </c>
      <c r="Q68" s="68">
        <f t="shared" si="520"/>
        <v>9423</v>
      </c>
      <c r="R68" s="68">
        <f t="shared" si="520"/>
        <v>11059</v>
      </c>
      <c r="S68" s="67">
        <f t="shared" si="520"/>
        <v>11059</v>
      </c>
      <c r="T68" s="68">
        <f t="shared" si="520"/>
        <v>11517</v>
      </c>
      <c r="U68" s="68">
        <f t="shared" si="520"/>
        <v>10369</v>
      </c>
      <c r="V68" s="68">
        <f t="shared" si="520"/>
        <v>11026</v>
      </c>
      <c r="W68" s="68">
        <f t="shared" si="520"/>
        <v>13128</v>
      </c>
      <c r="X68" s="67">
        <f t="shared" si="520"/>
        <v>13128</v>
      </c>
      <c r="Y68" s="68">
        <f t="shared" si="520"/>
        <v>14000</v>
      </c>
      <c r="Z68" s="68">
        <f t="shared" si="520"/>
        <v>14246</v>
      </c>
      <c r="AA68" s="68">
        <f t="shared" si="520"/>
        <v>14795</v>
      </c>
      <c r="AB68" s="68">
        <f t="shared" si="520"/>
        <v>15973</v>
      </c>
      <c r="AC68" s="67">
        <f t="shared" si="520"/>
        <v>15973</v>
      </c>
      <c r="AD68" s="68">
        <f t="shared" si="520"/>
        <v>16035</v>
      </c>
      <c r="AE68" s="68">
        <f t="shared" si="520"/>
        <v>15563</v>
      </c>
      <c r="AF68" s="68">
        <f t="shared" si="520"/>
        <v>15683</v>
      </c>
      <c r="AG68" s="68">
        <f t="shared" si="520"/>
        <v>12127</v>
      </c>
      <c r="AH68" s="67">
        <f t="shared" si="520"/>
        <v>12127</v>
      </c>
      <c r="AI68" s="77">
        <f t="shared" si="520"/>
        <v>12912</v>
      </c>
      <c r="AJ68" s="77">
        <f t="shared" si="520"/>
        <v>13755</v>
      </c>
      <c r="AK68" s="77">
        <f t="shared" si="520"/>
        <v>12544</v>
      </c>
      <c r="AL68" s="68">
        <f t="shared" si="520"/>
        <v>14379</v>
      </c>
      <c r="AM68" s="240">
        <f t="shared" si="520"/>
        <v>14379</v>
      </c>
      <c r="AN68" s="86">
        <f t="shared" si="520"/>
        <v>15193</v>
      </c>
      <c r="AO68" s="86">
        <f t="shared" si="520"/>
        <v>15327</v>
      </c>
      <c r="AP68" s="86">
        <f t="shared" si="520"/>
        <v>16706</v>
      </c>
      <c r="AQ68" s="166">
        <f t="shared" si="520"/>
        <v>16941</v>
      </c>
      <c r="AR68" s="240">
        <f t="shared" si="520"/>
        <v>16941</v>
      </c>
      <c r="AS68" s="86">
        <f>IF(AS57&gt;0,AS62,AS62-AS57)</f>
        <v>18086</v>
      </c>
      <c r="AT68" s="86">
        <f>IF(AT57&gt;0,AT62,AT62-AT57)</f>
        <v>18903</v>
      </c>
      <c r="AU68" s="86">
        <f t="shared" si="520"/>
        <v>20140</v>
      </c>
      <c r="AV68" s="86">
        <f>IF(AV57&gt;0,AV62,AV62-AV57)</f>
        <v>17687</v>
      </c>
      <c r="AW68" s="240">
        <f t="shared" si="520"/>
        <v>20363</v>
      </c>
      <c r="AX68" s="86">
        <f>IF(AX57&gt;0,AX62,AX62-AX57)</f>
        <v>21875</v>
      </c>
      <c r="AY68" s="86">
        <f>IF(AY57&gt;0,AY62,AY62-AY57)</f>
        <v>22647</v>
      </c>
      <c r="AZ68" s="86">
        <f>IF(AZ57&gt;0,AZ62,AZ62-AZ57)</f>
        <v>24437</v>
      </c>
      <c r="BA68" s="166">
        <f>IF(BA57&gt;0,BA62,BA62-BA57)</f>
        <v>23675</v>
      </c>
      <c r="BB68" s="240">
        <f t="shared" si="520"/>
        <v>23675</v>
      </c>
      <c r="BC68" s="86">
        <f t="shared" ref="BC68:BL68" si="521">IF(BC57&gt;0,BC62,BC62-BC57)</f>
        <v>25268</v>
      </c>
      <c r="BD68" s="86">
        <f t="shared" ref="BD68:BE68" si="522">IF(BD57&gt;0,BD62,BD62-BD57)</f>
        <v>25340</v>
      </c>
      <c r="BE68" s="86">
        <f t="shared" si="522"/>
        <v>26775</v>
      </c>
      <c r="BF68" s="86">
        <f t="shared" ref="BF68" si="523">IF(BF57&gt;0,BF62,BF62-BF57)</f>
        <v>25027</v>
      </c>
      <c r="BG68" s="240">
        <f t="shared" si="521"/>
        <v>25027</v>
      </c>
      <c r="BH68" s="86">
        <f>IF(BH57&gt;0,BH62,BH62-BH57)</f>
        <v>24663</v>
      </c>
      <c r="BI68" s="86">
        <f t="shared" ref="BI68" si="524">IF(BI57&gt;0,BI62,BI62-BI57)</f>
        <v>24214</v>
      </c>
      <c r="BJ68" s="86">
        <f>IF(BJ57&gt;0,BJ62,BJ62-BJ57)</f>
        <v>24667</v>
      </c>
      <c r="BK68" s="166">
        <f>IF(BK57&gt;0,BK62,BK62-BK57)</f>
        <v>22602</v>
      </c>
      <c r="BL68" s="240">
        <f t="shared" si="521"/>
        <v>22602</v>
      </c>
      <c r="BM68" s="86">
        <f>IF(BM57&gt;0,BM62,BM62-BM57)</f>
        <v>21842</v>
      </c>
      <c r="BN68" s="86">
        <f>IF(BN57&gt;0,BN62,BN62-BN57)</f>
        <v>20119</v>
      </c>
      <c r="BO68" s="86">
        <f>IF(BO57&gt;0,BO62,BO62-BO57)</f>
        <v>20598</v>
      </c>
      <c r="BP68" s="166">
        <f>IF(BP57&gt;0,BP62,BP62-BP57)</f>
        <v>18909</v>
      </c>
      <c r="BQ68" s="240">
        <f t="shared" ref="BQ68" si="525">IF(BQ57&gt;0,BQ62,BQ62-BQ57)</f>
        <v>18909</v>
      </c>
      <c r="BR68" s="86">
        <f>IF(BR57&gt;0,BR62,BR62-BR57)</f>
        <v>16618</v>
      </c>
      <c r="BS68" s="166">
        <f>IF(BS57&gt;0,BS62,BS62-BS57)</f>
        <v>13998</v>
      </c>
      <c r="BT68" s="166">
        <f t="shared" ref="BT68:BU68" si="526">IF(BT57&gt;0,BT62,BT62-BT57)</f>
        <v>15501</v>
      </c>
      <c r="BU68" s="166">
        <f t="shared" si="526"/>
        <v>14228</v>
      </c>
      <c r="BV68" s="240">
        <f t="shared" ref="BV68" si="527">IF(BV57&gt;0,BV62,BV62-BV57)</f>
        <v>14228</v>
      </c>
      <c r="BW68" s="86">
        <f>IF(BW57&gt;0,BW62,BW62-BW57)</f>
        <v>13506</v>
      </c>
      <c r="BX68" s="166">
        <f>IF(BX57&gt;0,BX62,BX62-BX57)</f>
        <v>11426</v>
      </c>
      <c r="BY68" s="166">
        <f t="shared" ref="BY68:CA68" si="528">IF(BY57&gt;0,BY62,BY62-BY57)</f>
        <v>14549</v>
      </c>
      <c r="BZ68" s="166">
        <f t="shared" si="528"/>
        <v>13816</v>
      </c>
      <c r="CA68" s="240">
        <f t="shared" si="528"/>
        <v>13816</v>
      </c>
      <c r="CB68" s="86">
        <f>IF(CB57&gt;0,CB62,CB62-CB57)</f>
        <v>14702</v>
      </c>
      <c r="CC68" s="166">
        <f>IF(CC57&gt;0,CC62,CC62-CC57)</f>
        <v>13546</v>
      </c>
      <c r="CD68" s="166">
        <f t="shared" ref="CD68:CF68" si="529">IF(CD57&gt;0,CD62,CD62-CD57)</f>
        <v>13711</v>
      </c>
      <c r="CE68" s="166">
        <f t="shared" si="529"/>
        <v>15330</v>
      </c>
      <c r="CF68" s="240">
        <f t="shared" si="529"/>
        <v>15330</v>
      </c>
      <c r="CG68" s="166">
        <f t="shared" ref="CG68:CK68" si="530">IF(CG57&gt;0,CG62,CG62-CG57)</f>
        <v>16174</v>
      </c>
      <c r="CH68" s="166">
        <f t="shared" si="530"/>
        <v>10999</v>
      </c>
      <c r="CI68" s="166">
        <f t="shared" si="530"/>
        <v>12133</v>
      </c>
      <c r="CJ68" s="166">
        <f t="shared" si="530"/>
        <v>7642</v>
      </c>
      <c r="CK68" s="240">
        <f t="shared" si="530"/>
        <v>7642</v>
      </c>
      <c r="CL68" s="166">
        <f t="shared" ref="CL68:CP68" si="531">IF(CL57&gt;0,CL62,CL62-CL57)</f>
        <v>6582</v>
      </c>
      <c r="CM68" s="166">
        <f t="shared" si="531"/>
        <v>4560</v>
      </c>
      <c r="CN68" s="166">
        <f t="shared" si="531"/>
        <v>4389</v>
      </c>
      <c r="CO68" s="166">
        <f t="shared" si="531"/>
        <v>-2133</v>
      </c>
      <c r="CP68" s="540">
        <f t="shared" si="531"/>
        <v>-2133</v>
      </c>
      <c r="CQ68" s="166">
        <f t="shared" ref="CQ68:CV68" si="532">IF(CQ57&gt;0,CQ62,CQ62-CQ57)</f>
        <v>-1899</v>
      </c>
      <c r="CR68" s="166">
        <f t="shared" si="532"/>
        <v>-543</v>
      </c>
      <c r="CS68" s="166">
        <f t="shared" si="532"/>
        <v>1676</v>
      </c>
      <c r="CT68" s="166">
        <f t="shared" si="532"/>
        <v>1096</v>
      </c>
      <c r="CU68" s="540">
        <f t="shared" si="532"/>
        <v>1096</v>
      </c>
      <c r="CV68" s="166">
        <f t="shared" si="532"/>
        <v>674</v>
      </c>
      <c r="CW68" s="166">
        <f t="shared" ref="CW68:CZ68" si="533">IF(CW57&gt;0,CW62,CW62-CW57)</f>
        <v>1151</v>
      </c>
      <c r="CX68" s="166">
        <f t="shared" si="533"/>
        <v>-1693</v>
      </c>
      <c r="CY68" s="166">
        <f t="shared" si="533"/>
        <v>94</v>
      </c>
      <c r="CZ68" s="540">
        <f t="shared" si="533"/>
        <v>94</v>
      </c>
      <c r="DA68" s="166">
        <f t="shared" ref="DA68:DE68" si="534">IF(DA57&gt;0,DA62,DA62-DA57)</f>
        <v>458</v>
      </c>
      <c r="DB68" s="547">
        <f t="shared" si="534"/>
        <v>449</v>
      </c>
      <c r="DC68" s="166">
        <f t="shared" si="534"/>
        <v>-775</v>
      </c>
      <c r="DD68" s="166">
        <f t="shared" si="534"/>
        <v>-1286</v>
      </c>
      <c r="DE68" s="540">
        <f t="shared" si="534"/>
        <v>-1286</v>
      </c>
      <c r="DF68" s="166">
        <f t="shared" ref="DF68:DJ68" si="535">IF(DF57&gt;0,DF62,DF62-DF57)</f>
        <v>-1074</v>
      </c>
      <c r="DG68" s="547">
        <f t="shared" si="535"/>
        <v>-2040</v>
      </c>
      <c r="DH68" s="166">
        <f t="shared" si="535"/>
        <v>-7620</v>
      </c>
      <c r="DI68" s="166">
        <f t="shared" si="535"/>
        <v>12028</v>
      </c>
      <c r="DJ68" s="540">
        <f t="shared" si="535"/>
        <v>12028</v>
      </c>
      <c r="DK68" s="166">
        <f t="shared" ref="DK68:DM68" si="536">IF(DK57&gt;0,DK62,DK62-DK57)</f>
        <v>12617</v>
      </c>
      <c r="DL68" s="547">
        <f t="shared" si="536"/>
        <v>12646</v>
      </c>
      <c r="DM68" s="166">
        <f t="shared" si="536"/>
        <v>7689</v>
      </c>
      <c r="DN68" s="166">
        <f t="shared" ref="DN68:DQ68" si="537">IF(DN57&gt;0,DN62,DN62-DN57)</f>
        <v>21399</v>
      </c>
      <c r="DO68" s="540">
        <f t="shared" si="537"/>
        <v>21399</v>
      </c>
      <c r="DP68" s="166">
        <f t="shared" si="537"/>
        <v>21929</v>
      </c>
      <c r="DQ68" s="547">
        <f t="shared" si="537"/>
        <v>22057</v>
      </c>
      <c r="DR68" s="166">
        <f t="shared" ref="DR68:DU68" si="538">IF(DR57&gt;0,DR62,DR62-DR57)</f>
        <v>15745.410693340469</v>
      </c>
      <c r="DS68" s="166">
        <f t="shared" si="538"/>
        <v>14212.710964979131</v>
      </c>
      <c r="DT68" s="540">
        <f t="shared" si="538"/>
        <v>14212.710964979131</v>
      </c>
      <c r="DU68" s="166">
        <f t="shared" si="538"/>
        <v>41077.673799957505</v>
      </c>
      <c r="DV68" s="166">
        <f t="shared" ref="DV68:DY68" si="539">IF(DV57&gt;0,DV62,DV62-DV57)</f>
        <v>32727.53027560623</v>
      </c>
      <c r="DW68" s="166">
        <f t="shared" si="539"/>
        <v>30753.555061447027</v>
      </c>
      <c r="DX68" s="166">
        <f t="shared" si="539"/>
        <v>29055.40642479778</v>
      </c>
      <c r="DY68" s="540">
        <f t="shared" si="539"/>
        <v>29055.40642479778</v>
      </c>
      <c r="DZ68" s="240">
        <f t="shared" ref="DZ68:EB68" si="540">IF(DZ57&gt;0,DZ62,DZ62-DZ57)</f>
        <v>14892.791757844767</v>
      </c>
      <c r="EA68" s="240">
        <f t="shared" si="540"/>
        <v>22644.414018582029</v>
      </c>
      <c r="EB68" s="240">
        <f t="shared" si="540"/>
        <v>28138.954054286689</v>
      </c>
    </row>
    <row r="69" spans="2:132">
      <c r="B69" s="68" t="s">
        <v>303</v>
      </c>
      <c r="C69" s="67">
        <f t="shared" ref="C69:BB69" si="541">IF(C56&gt;0,C63,C63-C56)</f>
        <v>6854</v>
      </c>
      <c r="D69" s="67">
        <f t="shared" si="541"/>
        <v>6972</v>
      </c>
      <c r="E69" s="67">
        <f t="shared" si="541"/>
        <v>6732</v>
      </c>
      <c r="F69" s="67">
        <f t="shared" si="541"/>
        <v>8799</v>
      </c>
      <c r="G69" s="67">
        <f t="shared" si="541"/>
        <v>12265</v>
      </c>
      <c r="H69" s="67">
        <f t="shared" si="541"/>
        <v>19816</v>
      </c>
      <c r="I69" s="67">
        <f t="shared" si="541"/>
        <v>21165</v>
      </c>
      <c r="J69" s="68">
        <f t="shared" si="541"/>
        <v>20745</v>
      </c>
      <c r="K69" s="68">
        <f t="shared" si="541"/>
        <v>20381</v>
      </c>
      <c r="L69" s="68">
        <f t="shared" si="541"/>
        <v>19092</v>
      </c>
      <c r="M69" s="68">
        <f t="shared" si="541"/>
        <v>16004</v>
      </c>
      <c r="N69" s="67">
        <f t="shared" si="541"/>
        <v>16004</v>
      </c>
      <c r="O69" s="68">
        <f t="shared" si="541"/>
        <v>15584</v>
      </c>
      <c r="P69" s="68">
        <f t="shared" si="541"/>
        <v>14836</v>
      </c>
      <c r="Q69" s="68">
        <f t="shared" si="541"/>
        <v>14666</v>
      </c>
      <c r="R69" s="68">
        <f t="shared" si="541"/>
        <v>12426</v>
      </c>
      <c r="S69" s="67">
        <f t="shared" si="541"/>
        <v>12426</v>
      </c>
      <c r="T69" s="68">
        <f t="shared" si="541"/>
        <v>12723</v>
      </c>
      <c r="U69" s="68">
        <f t="shared" si="541"/>
        <v>12160</v>
      </c>
      <c r="V69" s="68">
        <f t="shared" si="541"/>
        <v>11830</v>
      </c>
      <c r="W69" s="68">
        <f t="shared" si="541"/>
        <v>9538</v>
      </c>
      <c r="X69" s="67">
        <f t="shared" si="541"/>
        <v>9538</v>
      </c>
      <c r="Y69" s="68">
        <f t="shared" si="541"/>
        <v>8747</v>
      </c>
      <c r="Z69" s="68">
        <f t="shared" si="541"/>
        <v>8655</v>
      </c>
      <c r="AA69" s="68">
        <f t="shared" si="541"/>
        <v>8580</v>
      </c>
      <c r="AB69" s="68">
        <f t="shared" si="541"/>
        <v>8217</v>
      </c>
      <c r="AC69" s="67">
        <f t="shared" si="541"/>
        <v>8217</v>
      </c>
      <c r="AD69" s="68">
        <f t="shared" si="541"/>
        <v>8230</v>
      </c>
      <c r="AE69" s="68">
        <f t="shared" si="541"/>
        <v>8156</v>
      </c>
      <c r="AF69" s="68">
        <f t="shared" si="541"/>
        <v>7607</v>
      </c>
      <c r="AG69" s="68">
        <f t="shared" si="541"/>
        <v>15932</v>
      </c>
      <c r="AH69" s="67">
        <f t="shared" si="541"/>
        <v>15932</v>
      </c>
      <c r="AI69" s="77">
        <f t="shared" si="541"/>
        <v>17692</v>
      </c>
      <c r="AJ69" s="77">
        <f t="shared" si="541"/>
        <v>17536</v>
      </c>
      <c r="AK69" s="77">
        <f t="shared" si="541"/>
        <v>19458</v>
      </c>
      <c r="AL69" s="68">
        <f t="shared" si="541"/>
        <v>19280</v>
      </c>
      <c r="AM69" s="67">
        <f t="shared" si="541"/>
        <v>19280</v>
      </c>
      <c r="AN69" s="77">
        <f t="shared" si="541"/>
        <v>19299</v>
      </c>
      <c r="AO69" s="77">
        <f t="shared" si="541"/>
        <v>19302</v>
      </c>
      <c r="AP69" s="77">
        <f t="shared" si="541"/>
        <v>18775</v>
      </c>
      <c r="AQ69" s="68">
        <f t="shared" si="541"/>
        <v>22275</v>
      </c>
      <c r="AR69" s="67">
        <f t="shared" si="541"/>
        <v>22275</v>
      </c>
      <c r="AS69" s="77">
        <f>IF(AS56&gt;0,AS63,AS63-AS56)</f>
        <v>21543</v>
      </c>
      <c r="AT69" s="77">
        <f>IF(AT56&gt;0,AT63,AT63-AT56)</f>
        <v>21482</v>
      </c>
      <c r="AU69" s="77">
        <f t="shared" si="541"/>
        <v>22234</v>
      </c>
      <c r="AV69" s="77">
        <f>IF(AV56&gt;0,AV63,AV63-AV56)</f>
        <v>28971</v>
      </c>
      <c r="AW69" s="67">
        <f t="shared" si="541"/>
        <v>28971</v>
      </c>
      <c r="AX69" s="77">
        <f>IF(AX56&gt;0,AX63,AX63-AX56)</f>
        <v>28224</v>
      </c>
      <c r="AY69" s="77">
        <f>IF(AY56&gt;0,AY63,AY63-AY56)</f>
        <v>27801</v>
      </c>
      <c r="AZ69" s="77">
        <f>IF(AZ56&gt;0,AZ63,AZ63-AZ56)</f>
        <v>27786</v>
      </c>
      <c r="BA69" s="68">
        <f>IF(BA56&gt;0,BA63,BA63-BA56)</f>
        <v>30126</v>
      </c>
      <c r="BB69" s="67">
        <f t="shared" si="541"/>
        <v>30126</v>
      </c>
      <c r="BC69" s="77">
        <f t="shared" ref="BC69:BL69" si="542">IF(BC56&gt;0,BC63,BC63-BC56)</f>
        <v>28888</v>
      </c>
      <c r="BD69" s="77">
        <f t="shared" ref="BD69:BE69" si="543">IF(BD56&gt;0,BD63,BD63-BD56)</f>
        <v>29295</v>
      </c>
      <c r="BE69" s="77">
        <f t="shared" si="543"/>
        <v>29313</v>
      </c>
      <c r="BF69" s="77">
        <f t="shared" ref="BF69" si="544">IF(BF56&gt;0,BF63,BF63-BF56)</f>
        <v>20129</v>
      </c>
      <c r="BG69" s="67">
        <f t="shared" si="542"/>
        <v>20129</v>
      </c>
      <c r="BH69" s="77">
        <f>IF(BH56&gt;0,BH63,BH63-BH56)</f>
        <v>19429</v>
      </c>
      <c r="BI69" s="77">
        <f t="shared" ref="BI69" si="545">IF(BI56&gt;0,BI63,BI63-BI56)</f>
        <v>19377</v>
      </c>
      <c r="BJ69" s="77">
        <f>IF(BJ56&gt;0,BJ63,BJ63-BJ56)</f>
        <v>19374</v>
      </c>
      <c r="BK69" s="68">
        <f>IF(BK56&gt;0,BK63,BK63-BK56)</f>
        <v>26342</v>
      </c>
      <c r="BL69" s="67">
        <f t="shared" si="542"/>
        <v>26342</v>
      </c>
      <c r="BM69" s="77">
        <f>IF(BM56&gt;0,BM63,BM63-BM56)</f>
        <v>26310</v>
      </c>
      <c r="BN69" s="77">
        <f>IF(BN56&gt;0,BN63,BN63-BN56)</f>
        <v>26288</v>
      </c>
      <c r="BO69" s="77">
        <f>IF(BO56&gt;0,BO63,BO63-BO56)</f>
        <v>26288</v>
      </c>
      <c r="BP69" s="68">
        <f>IF(BP56&gt;0,BP63,BP63-BP56)</f>
        <v>27838</v>
      </c>
      <c r="BQ69" s="67">
        <f t="shared" ref="BQ69" si="546">IF(BQ56&gt;0,BQ63,BQ63-BQ56)</f>
        <v>27838</v>
      </c>
      <c r="BR69" s="77">
        <f>IF(BR56&gt;0,BR63,BR63-BR56)</f>
        <v>27838</v>
      </c>
      <c r="BS69" s="68">
        <f>IF(BS56&gt;0,BS63,BS63-BS56)</f>
        <v>31068</v>
      </c>
      <c r="BT69" s="68">
        <f t="shared" ref="BT69:BU69" si="547">IF(BT56&gt;0,BT63,BT63-BT56)</f>
        <v>30509</v>
      </c>
      <c r="BU69" s="68">
        <f t="shared" si="547"/>
        <v>30005</v>
      </c>
      <c r="BV69" s="67">
        <f t="shared" ref="BV69" si="548">IF(BV56&gt;0,BV63,BV63-BV56)</f>
        <v>30005</v>
      </c>
      <c r="BW69" s="77">
        <f>IF(BW56&gt;0,BW63,BW63-BW56)</f>
        <v>30852</v>
      </c>
      <c r="BX69" s="68">
        <f>IF(BX56&gt;0,BX63,BX63-BX56)</f>
        <v>27157</v>
      </c>
      <c r="BY69" s="68">
        <f t="shared" ref="BY69:CA69" si="549">IF(BY56&gt;0,BY63,BY63-BY56)</f>
        <v>27150</v>
      </c>
      <c r="BZ69" s="68">
        <f t="shared" si="549"/>
        <v>27499</v>
      </c>
      <c r="CA69" s="67">
        <f t="shared" si="549"/>
        <v>27499</v>
      </c>
      <c r="CB69" s="77">
        <f>IF(CB56&gt;0,CB63,CB63-CB56)</f>
        <v>28834</v>
      </c>
      <c r="CC69" s="68">
        <f>IF(CC56&gt;0,CC63,CC63-CC56)</f>
        <v>27440</v>
      </c>
      <c r="CD69" s="68">
        <f t="shared" ref="CD69:CF69" si="550">IF(CD56&gt;0,CD63,CD63-CD56)</f>
        <v>27198</v>
      </c>
      <c r="CE69" s="68">
        <f t="shared" si="550"/>
        <v>29169</v>
      </c>
      <c r="CF69" s="67">
        <f t="shared" si="550"/>
        <v>29169</v>
      </c>
      <c r="CG69" s="68">
        <f t="shared" ref="CG69:CK69" si="551">IF(CG56&gt;0,CG63,CG63-CG56)</f>
        <v>30678</v>
      </c>
      <c r="CH69" s="68">
        <f t="shared" si="551"/>
        <v>35150</v>
      </c>
      <c r="CI69" s="68">
        <f t="shared" si="551"/>
        <v>40586</v>
      </c>
      <c r="CJ69" s="68">
        <f t="shared" si="551"/>
        <v>43236</v>
      </c>
      <c r="CK69" s="67">
        <f t="shared" si="551"/>
        <v>43236</v>
      </c>
      <c r="CL69" s="68">
        <f t="shared" ref="CL69:CP69" si="552">IF(CL56&gt;0,CL63,CL63-CL56)</f>
        <v>52646</v>
      </c>
      <c r="CM69" s="68">
        <f t="shared" si="552"/>
        <v>75098</v>
      </c>
      <c r="CN69" s="68">
        <f t="shared" si="552"/>
        <v>74678</v>
      </c>
      <c r="CO69" s="68">
        <f t="shared" si="552"/>
        <v>77302</v>
      </c>
      <c r="CP69" s="120">
        <f t="shared" si="552"/>
        <v>77302</v>
      </c>
      <c r="CQ69" s="68">
        <f t="shared" ref="CQ69:CV69" si="553">IF(CQ56&gt;0,CQ63,CQ63-CQ56)</f>
        <v>77543</v>
      </c>
      <c r="CR69" s="68">
        <f t="shared" si="553"/>
        <v>77078</v>
      </c>
      <c r="CS69" s="68">
        <f t="shared" si="553"/>
        <v>73854</v>
      </c>
      <c r="CT69" s="68">
        <f t="shared" si="553"/>
        <v>67206</v>
      </c>
      <c r="CU69" s="120">
        <f t="shared" si="553"/>
        <v>67206</v>
      </c>
      <c r="CV69" s="68">
        <f t="shared" si="553"/>
        <v>66460</v>
      </c>
      <c r="CW69" s="68">
        <f t="shared" ref="CW69:CZ69" si="554">IF(CW56&gt;0,CW63,CW63-CW56)</f>
        <v>65535</v>
      </c>
      <c r="CX69" s="68">
        <f t="shared" si="554"/>
        <v>65170</v>
      </c>
      <c r="CY69" s="68">
        <f t="shared" si="554"/>
        <v>63142</v>
      </c>
      <c r="CZ69" s="120">
        <f t="shared" si="554"/>
        <v>63142</v>
      </c>
      <c r="DA69" s="68">
        <f t="shared" ref="DA69:DE69" si="555">IF(DA56&gt;0,DA63,DA63-DA56)</f>
        <v>61389</v>
      </c>
      <c r="DB69" s="121">
        <f t="shared" si="555"/>
        <v>58123</v>
      </c>
      <c r="DC69" s="68">
        <f t="shared" si="555"/>
        <v>57985</v>
      </c>
      <c r="DD69" s="68">
        <f t="shared" si="555"/>
        <v>58823</v>
      </c>
      <c r="DE69" s="120">
        <f t="shared" si="555"/>
        <v>58823</v>
      </c>
      <c r="DF69" s="68">
        <f t="shared" ref="DF69:DJ69" si="556">IF(DF56&gt;0,DF63,DF63-DF56)</f>
        <v>54340</v>
      </c>
      <c r="DG69" s="121">
        <f t="shared" si="556"/>
        <v>64175</v>
      </c>
      <c r="DH69" s="68">
        <f t="shared" si="556"/>
        <v>63747</v>
      </c>
      <c r="DI69" s="68">
        <f t="shared" si="556"/>
        <v>59861</v>
      </c>
      <c r="DJ69" s="120">
        <f t="shared" si="556"/>
        <v>59861</v>
      </c>
      <c r="DK69" s="68">
        <f t="shared" ref="DK69:DM69" si="557">IF(DK56&gt;0,DK63,DK63-DK56)</f>
        <v>59527</v>
      </c>
      <c r="DL69" s="121">
        <f t="shared" si="557"/>
        <v>59126</v>
      </c>
      <c r="DM69" s="68">
        <f t="shared" si="557"/>
        <v>59067</v>
      </c>
      <c r="DN69" s="68">
        <f t="shared" ref="DN69:DQ69" si="558">IF(DN56&gt;0,DN63,DN63-DN56)</f>
        <v>58385</v>
      </c>
      <c r="DO69" s="120">
        <f t="shared" si="558"/>
        <v>58385</v>
      </c>
      <c r="DP69" s="68">
        <f t="shared" si="558"/>
        <v>51407</v>
      </c>
      <c r="DQ69" s="121">
        <f t="shared" si="558"/>
        <v>50008</v>
      </c>
      <c r="DR69" s="68">
        <f t="shared" ref="DR69:DU69" si="559">IF(DR56&gt;0,DR63,DR63-DR56)</f>
        <v>50009.25</v>
      </c>
      <c r="DS69" s="68">
        <f t="shared" si="559"/>
        <v>50010.5</v>
      </c>
      <c r="DT69" s="120">
        <f t="shared" si="559"/>
        <v>50010.5</v>
      </c>
      <c r="DU69" s="68">
        <f t="shared" si="559"/>
        <v>45711.75</v>
      </c>
      <c r="DV69" s="68">
        <f t="shared" ref="DV69:DY69" si="560">IF(DV56&gt;0,DV63,DV63-DV56)</f>
        <v>45713</v>
      </c>
      <c r="DW69" s="68">
        <f t="shared" si="560"/>
        <v>45714.25</v>
      </c>
      <c r="DX69" s="68">
        <f t="shared" si="560"/>
        <v>45715.5</v>
      </c>
      <c r="DY69" s="120">
        <f t="shared" si="560"/>
        <v>45715.5</v>
      </c>
      <c r="DZ69" s="67">
        <f t="shared" ref="DZ69:EB69" si="561">IF(DZ56&gt;0,DZ63,DZ63-DZ56)</f>
        <v>43720.5</v>
      </c>
      <c r="EA69" s="67">
        <f t="shared" si="561"/>
        <v>42725.5</v>
      </c>
      <c r="EB69" s="67">
        <f t="shared" si="561"/>
        <v>42730.5</v>
      </c>
    </row>
    <row r="70" spans="2:132">
      <c r="B70" s="68" t="s">
        <v>236</v>
      </c>
      <c r="C70" s="67">
        <f>C69-C60</f>
        <v>1705</v>
      </c>
      <c r="D70" s="67">
        <f t="shared" ref="D70:AR70" si="562">D69-D60</f>
        <v>4510</v>
      </c>
      <c r="E70" s="67">
        <f t="shared" si="562"/>
        <v>3278</v>
      </c>
      <c r="F70" s="67">
        <f t="shared" si="562"/>
        <v>7789</v>
      </c>
      <c r="G70" s="67">
        <f t="shared" si="562"/>
        <v>11632</v>
      </c>
      <c r="H70" s="67">
        <f>H69-H60</f>
        <v>17483</v>
      </c>
      <c r="I70" s="67">
        <f t="shared" si="562"/>
        <v>16532</v>
      </c>
      <c r="J70" s="68">
        <f t="shared" si="562"/>
        <v>16795</v>
      </c>
      <c r="K70" s="68">
        <f t="shared" si="562"/>
        <v>14197</v>
      </c>
      <c r="L70" s="68">
        <f t="shared" si="562"/>
        <v>14684</v>
      </c>
      <c r="M70" s="68">
        <f t="shared" si="562"/>
        <v>12481</v>
      </c>
      <c r="N70" s="67">
        <f t="shared" si="562"/>
        <v>12481</v>
      </c>
      <c r="O70" s="68">
        <f t="shared" si="562"/>
        <v>12087</v>
      </c>
      <c r="P70" s="68">
        <f t="shared" si="562"/>
        <v>9668</v>
      </c>
      <c r="Q70" s="68">
        <f t="shared" si="562"/>
        <v>9592</v>
      </c>
      <c r="R70" s="68">
        <f t="shared" si="562"/>
        <v>6460</v>
      </c>
      <c r="S70" s="67">
        <f t="shared" si="562"/>
        <v>6460</v>
      </c>
      <c r="T70" s="68">
        <f t="shared" si="562"/>
        <v>5366</v>
      </c>
      <c r="U70" s="68">
        <f t="shared" si="562"/>
        <v>4026</v>
      </c>
      <c r="V70" s="68">
        <f t="shared" si="562"/>
        <v>6209</v>
      </c>
      <c r="W70" s="68">
        <f t="shared" si="562"/>
        <v>3152</v>
      </c>
      <c r="X70" s="67">
        <f t="shared" si="562"/>
        <v>3152</v>
      </c>
      <c r="Y70" s="68">
        <f t="shared" si="562"/>
        <v>3470</v>
      </c>
      <c r="Z70" s="68">
        <f t="shared" si="562"/>
        <v>1024</v>
      </c>
      <c r="AA70" s="68">
        <f t="shared" si="562"/>
        <v>-884</v>
      </c>
      <c r="AB70" s="68">
        <f t="shared" si="562"/>
        <v>-1091</v>
      </c>
      <c r="AC70" s="67">
        <f t="shared" si="562"/>
        <v>-1091</v>
      </c>
      <c r="AD70" s="68">
        <f t="shared" si="562"/>
        <v>-1358</v>
      </c>
      <c r="AE70" s="68">
        <f t="shared" si="562"/>
        <v>785</v>
      </c>
      <c r="AF70" s="68">
        <f t="shared" si="562"/>
        <v>2830</v>
      </c>
      <c r="AG70" s="68">
        <f t="shared" si="562"/>
        <v>12653</v>
      </c>
      <c r="AH70" s="67">
        <f t="shared" si="562"/>
        <v>12653</v>
      </c>
      <c r="AI70" s="77">
        <f t="shared" si="562"/>
        <v>13242</v>
      </c>
      <c r="AJ70" s="77">
        <f t="shared" si="562"/>
        <v>12766</v>
      </c>
      <c r="AK70" s="77">
        <f t="shared" si="562"/>
        <v>13012</v>
      </c>
      <c r="AL70" s="68">
        <f t="shared" si="562"/>
        <v>8057</v>
      </c>
      <c r="AM70" s="67">
        <f t="shared" si="562"/>
        <v>8057</v>
      </c>
      <c r="AN70" s="77">
        <f t="shared" si="562"/>
        <v>8937</v>
      </c>
      <c r="AO70" s="77">
        <f t="shared" si="562"/>
        <v>9276</v>
      </c>
      <c r="AP70" s="77">
        <f t="shared" si="562"/>
        <v>8809</v>
      </c>
      <c r="AQ70" s="68">
        <f t="shared" si="562"/>
        <v>11758</v>
      </c>
      <c r="AR70" s="67">
        <f t="shared" si="562"/>
        <v>11758</v>
      </c>
      <c r="AS70" s="77">
        <f t="shared" ref="AS70:BL70" si="563">AS69-AS60</f>
        <v>13771</v>
      </c>
      <c r="AT70" s="77">
        <f t="shared" si="563"/>
        <v>12680</v>
      </c>
      <c r="AU70" s="77">
        <f t="shared" si="563"/>
        <v>13001</v>
      </c>
      <c r="AV70" s="77">
        <f t="shared" si="563"/>
        <v>17699</v>
      </c>
      <c r="AW70" s="67">
        <f t="shared" si="563"/>
        <v>17699</v>
      </c>
      <c r="AX70" s="77">
        <f t="shared" si="563"/>
        <v>17708</v>
      </c>
      <c r="AY70" s="77">
        <f t="shared" si="563"/>
        <v>17494</v>
      </c>
      <c r="AZ70" s="77">
        <f t="shared" si="563"/>
        <v>16614</v>
      </c>
      <c r="BA70" s="68">
        <f t="shared" si="563"/>
        <v>16568</v>
      </c>
      <c r="BB70" s="67">
        <f t="shared" si="563"/>
        <v>16568</v>
      </c>
      <c r="BC70" s="77">
        <f>BC69-BC60</f>
        <v>17035</v>
      </c>
      <c r="BD70" s="77">
        <f>BD69-BD60</f>
        <v>14970</v>
      </c>
      <c r="BE70" s="77">
        <f>BE69-BE60</f>
        <v>13402</v>
      </c>
      <c r="BF70" s="77">
        <f>BF69-BF60</f>
        <v>4871</v>
      </c>
      <c r="BG70" s="67">
        <f t="shared" si="563"/>
        <v>4871</v>
      </c>
      <c r="BH70" s="77">
        <f>BH69-BH60</f>
        <v>7205</v>
      </c>
      <c r="BI70" s="77">
        <f>BI69-BI60</f>
        <v>8047</v>
      </c>
      <c r="BJ70" s="77">
        <f>BJ69-BJ60</f>
        <v>9297</v>
      </c>
      <c r="BK70" s="68">
        <f>BK69-BK60</f>
        <v>13250</v>
      </c>
      <c r="BL70" s="67">
        <f t="shared" si="563"/>
        <v>13250</v>
      </c>
      <c r="BM70" s="77">
        <f>BM69-BM60</f>
        <v>16679</v>
      </c>
      <c r="BN70" s="77">
        <f>BN69-BN60</f>
        <v>16663</v>
      </c>
      <c r="BO70" s="77">
        <f>BO69-BO60</f>
        <v>16431</v>
      </c>
      <c r="BP70" s="68">
        <f>BP69-BP60</f>
        <v>15786</v>
      </c>
      <c r="BQ70" s="67">
        <f t="shared" ref="BQ70" si="564">BQ69-BQ60</f>
        <v>15786</v>
      </c>
      <c r="BR70" s="77">
        <f>BR69-BR60</f>
        <v>19486</v>
      </c>
      <c r="BS70" s="68">
        <f>BS69-BS60</f>
        <v>21803</v>
      </c>
      <c r="BT70" s="68">
        <f t="shared" ref="BT70:BU70" si="565">BT69-BT60</f>
        <v>20841</v>
      </c>
      <c r="BU70" s="68">
        <f t="shared" si="565"/>
        <v>19976</v>
      </c>
      <c r="BV70" s="67">
        <f t="shared" ref="BV70" si="566">BV69-BV60</f>
        <v>19976</v>
      </c>
      <c r="BW70" s="77">
        <f>BW69-BW60</f>
        <v>21647</v>
      </c>
      <c r="BX70" s="68">
        <f>BX69-BX60</f>
        <v>16831</v>
      </c>
      <c r="BY70" s="68">
        <f t="shared" ref="BY70:CA70" si="567">BY69-BY60</f>
        <v>17118</v>
      </c>
      <c r="BZ70" s="68">
        <f t="shared" si="567"/>
        <v>17507</v>
      </c>
      <c r="CA70" s="67">
        <f t="shared" si="567"/>
        <v>17507</v>
      </c>
      <c r="CB70" s="77">
        <f>CB69-CB60</f>
        <v>18943</v>
      </c>
      <c r="CC70" s="68">
        <f>CC69-CC60</f>
        <v>17670</v>
      </c>
      <c r="CD70" s="68">
        <f t="shared" ref="CD70:CF70" si="568">CD69-CD60</f>
        <v>17208</v>
      </c>
      <c r="CE70" s="68">
        <f t="shared" si="568"/>
        <v>20605</v>
      </c>
      <c r="CF70" s="67">
        <f t="shared" si="568"/>
        <v>20605</v>
      </c>
      <c r="CG70" s="68">
        <f t="shared" ref="CG70:CK70" si="569">CG69-CG60</f>
        <v>22949</v>
      </c>
      <c r="CH70" s="68">
        <f t="shared" si="569"/>
        <v>25544</v>
      </c>
      <c r="CI70" s="68">
        <f t="shared" si="569"/>
        <v>29673</v>
      </c>
      <c r="CJ70" s="68">
        <f t="shared" si="569"/>
        <v>33206</v>
      </c>
      <c r="CK70" s="67">
        <f t="shared" si="569"/>
        <v>33206</v>
      </c>
      <c r="CL70" s="68">
        <f t="shared" ref="CL70:CP70" si="570">CL69-CL60</f>
        <v>37119</v>
      </c>
      <c r="CM70" s="68">
        <f t="shared" si="570"/>
        <v>42668</v>
      </c>
      <c r="CN70" s="68">
        <f t="shared" si="570"/>
        <v>47562</v>
      </c>
      <c r="CO70" s="68">
        <f t="shared" si="570"/>
        <v>51712</v>
      </c>
      <c r="CP70" s="120">
        <f t="shared" si="570"/>
        <v>51712</v>
      </c>
      <c r="CQ70" s="68">
        <f t="shared" ref="CQ70:CV70" si="571">CQ69-CQ60</f>
        <v>55623</v>
      </c>
      <c r="CR70" s="68">
        <f t="shared" si="571"/>
        <v>55736</v>
      </c>
      <c r="CS70" s="68">
        <f t="shared" si="571"/>
        <v>53859</v>
      </c>
      <c r="CT70" s="68">
        <f t="shared" si="571"/>
        <v>50962</v>
      </c>
      <c r="CU70" s="120">
        <f t="shared" si="571"/>
        <v>50962</v>
      </c>
      <c r="CV70" s="68">
        <f t="shared" si="571"/>
        <v>54178</v>
      </c>
      <c r="CW70" s="68">
        <f t="shared" ref="CW70:CZ70" si="572">CW69-CW60</f>
        <v>54087</v>
      </c>
      <c r="CX70" s="68">
        <f t="shared" si="572"/>
        <v>50913</v>
      </c>
      <c r="CY70" s="68">
        <f t="shared" si="572"/>
        <v>45922</v>
      </c>
      <c r="CZ70" s="120">
        <f t="shared" si="572"/>
        <v>45922</v>
      </c>
      <c r="DA70" s="68">
        <f t="shared" ref="DA70:DE70" si="573">DA69-DA60</f>
        <v>46622</v>
      </c>
      <c r="DB70" s="121">
        <f t="shared" si="573"/>
        <v>44361</v>
      </c>
      <c r="DC70" s="68">
        <f t="shared" si="573"/>
        <v>44613</v>
      </c>
      <c r="DD70" s="68">
        <f t="shared" si="573"/>
        <v>42858</v>
      </c>
      <c r="DE70" s="120">
        <f t="shared" si="573"/>
        <v>42858</v>
      </c>
      <c r="DF70" s="68">
        <f t="shared" ref="DF70:DJ70" si="574">DF69-DF60</f>
        <v>46811</v>
      </c>
      <c r="DG70" s="121">
        <f t="shared" si="574"/>
        <v>51554</v>
      </c>
      <c r="DH70" s="68">
        <f t="shared" si="574"/>
        <v>53277</v>
      </c>
      <c r="DI70" s="68">
        <f t="shared" si="574"/>
        <v>33579</v>
      </c>
      <c r="DJ70" s="120">
        <f t="shared" si="574"/>
        <v>33579</v>
      </c>
      <c r="DK70" s="68">
        <f t="shared" ref="DK70:DM70" si="575">DK69-DK60</f>
        <v>35853</v>
      </c>
      <c r="DL70" s="121">
        <f t="shared" si="575"/>
        <v>36159</v>
      </c>
      <c r="DM70" s="68">
        <f t="shared" si="575"/>
        <v>36083</v>
      </c>
      <c r="DN70" s="68">
        <f t="shared" ref="DN70:DQ70" si="576">DN69-DN60</f>
        <v>28985</v>
      </c>
      <c r="DO70" s="120">
        <f t="shared" si="576"/>
        <v>28985</v>
      </c>
      <c r="DP70" s="68">
        <f t="shared" si="576"/>
        <v>30502</v>
      </c>
      <c r="DQ70" s="121">
        <f t="shared" si="576"/>
        <v>29986</v>
      </c>
      <c r="DR70" s="68">
        <f t="shared" ref="DR70:DU70" si="577">DR69-DR60</f>
        <v>29642.25</v>
      </c>
      <c r="DS70" s="68">
        <f t="shared" si="577"/>
        <v>26662.5</v>
      </c>
      <c r="DT70" s="120">
        <f t="shared" si="577"/>
        <v>26662.5</v>
      </c>
      <c r="DU70" s="68">
        <f t="shared" si="577"/>
        <v>29468.75</v>
      </c>
      <c r="DV70" s="68">
        <f t="shared" ref="DV70:DY70" si="578">DV69-DV60</f>
        <v>29275</v>
      </c>
      <c r="DW70" s="68">
        <f t="shared" si="578"/>
        <v>27886.25</v>
      </c>
      <c r="DX70" s="68">
        <f t="shared" si="578"/>
        <v>25189.5</v>
      </c>
      <c r="DY70" s="120">
        <f t="shared" si="578"/>
        <v>25189.5</v>
      </c>
      <c r="DZ70" s="67">
        <f t="shared" ref="DZ70:EB70" si="579">DZ69-DZ60</f>
        <v>24697.5</v>
      </c>
      <c r="EA70" s="67">
        <f t="shared" si="579"/>
        <v>23107.5</v>
      </c>
      <c r="EB70" s="67">
        <f t="shared" si="579"/>
        <v>21498.5</v>
      </c>
    </row>
    <row r="71" spans="2:132">
      <c r="B71" s="68" t="s">
        <v>237</v>
      </c>
      <c r="C71" s="13">
        <f>C69/(C69+C68)</f>
        <v>0.34603927904276266</v>
      </c>
      <c r="D71" s="13">
        <f t="shared" ref="D71:AR71" si="580">D69/(D69+D68)</f>
        <v>0.36146827042720864</v>
      </c>
      <c r="E71" s="13">
        <f t="shared" si="580"/>
        <v>0.37001209189842804</v>
      </c>
      <c r="F71" s="13">
        <f t="shared" si="580"/>
        <v>0.4439679095817145</v>
      </c>
      <c r="G71" s="13">
        <f t="shared" si="580"/>
        <v>0.53118233001299264</v>
      </c>
      <c r="H71" s="13">
        <f t="shared" si="580"/>
        <v>0.72026751962779878</v>
      </c>
      <c r="I71" s="13">
        <f t="shared" si="580"/>
        <v>0.72225634725634724</v>
      </c>
      <c r="J71" s="12">
        <f t="shared" si="580"/>
        <v>0.70074989866234294</v>
      </c>
      <c r="K71" s="12">
        <f t="shared" si="580"/>
        <v>0.69488578247528132</v>
      </c>
      <c r="L71" s="12">
        <f t="shared" si="580"/>
        <v>0.6667597960466578</v>
      </c>
      <c r="M71" s="12">
        <f t="shared" si="580"/>
        <v>0.58644192011725904</v>
      </c>
      <c r="N71" s="13">
        <f t="shared" si="580"/>
        <v>0.58644192011725904</v>
      </c>
      <c r="O71" s="12">
        <f t="shared" si="580"/>
        <v>0.57586283349345946</v>
      </c>
      <c r="P71" s="12">
        <f t="shared" si="580"/>
        <v>0.57131854590264941</v>
      </c>
      <c r="Q71" s="12">
        <f t="shared" si="580"/>
        <v>0.60882560504794725</v>
      </c>
      <c r="R71" s="12">
        <f t="shared" si="580"/>
        <v>0.52910368320204382</v>
      </c>
      <c r="S71" s="13">
        <f t="shared" si="580"/>
        <v>0.52910368320204382</v>
      </c>
      <c r="T71" s="12">
        <f t="shared" si="580"/>
        <v>0.52487623762376234</v>
      </c>
      <c r="U71" s="12">
        <f t="shared" si="580"/>
        <v>0.53974876825425011</v>
      </c>
      <c r="V71" s="12">
        <f t="shared" si="580"/>
        <v>0.51758837941897096</v>
      </c>
      <c r="W71" s="12">
        <f t="shared" si="580"/>
        <v>0.42080649430865613</v>
      </c>
      <c r="X71" s="13">
        <f t="shared" si="580"/>
        <v>0.42080649430865613</v>
      </c>
      <c r="Y71" s="12">
        <f t="shared" si="580"/>
        <v>0.38453422429331341</v>
      </c>
      <c r="Z71" s="12">
        <f t="shared" si="580"/>
        <v>0.3779310947120213</v>
      </c>
      <c r="AA71" s="12">
        <f t="shared" si="580"/>
        <v>0.36705882352941177</v>
      </c>
      <c r="AB71" s="12">
        <f t="shared" si="580"/>
        <v>0.3396858205870194</v>
      </c>
      <c r="AC71" s="13">
        <f t="shared" si="580"/>
        <v>0.3396858205870194</v>
      </c>
      <c r="AD71" s="12">
        <f t="shared" si="580"/>
        <v>0.33917164640428599</v>
      </c>
      <c r="AE71" s="12">
        <f t="shared" si="580"/>
        <v>0.34385935326109868</v>
      </c>
      <c r="AF71" s="12">
        <f t="shared" si="580"/>
        <v>0.3266208673250322</v>
      </c>
      <c r="AG71" s="12">
        <f t="shared" si="580"/>
        <v>0.56780355679104744</v>
      </c>
      <c r="AH71" s="13">
        <f t="shared" si="580"/>
        <v>0.56780355679104744</v>
      </c>
      <c r="AI71" s="12">
        <f t="shared" si="580"/>
        <v>0.57809436674944448</v>
      </c>
      <c r="AJ71" s="12">
        <f t="shared" si="580"/>
        <v>0.56041673324598129</v>
      </c>
      <c r="AK71" s="12">
        <f t="shared" si="580"/>
        <v>0.60802449846884565</v>
      </c>
      <c r="AL71" s="12">
        <f t="shared" si="580"/>
        <v>0.57280370777503786</v>
      </c>
      <c r="AM71" s="13">
        <f t="shared" si="580"/>
        <v>0.57280370777503786</v>
      </c>
      <c r="AN71" s="12">
        <f t="shared" si="580"/>
        <v>0.55952104835903982</v>
      </c>
      <c r="AO71" s="12">
        <f t="shared" si="580"/>
        <v>0.55739409165728149</v>
      </c>
      <c r="AP71" s="12">
        <f t="shared" si="580"/>
        <v>0.52915644993094901</v>
      </c>
      <c r="AQ71" s="12">
        <f t="shared" si="580"/>
        <v>0.56800795593635256</v>
      </c>
      <c r="AR71" s="13">
        <f t="shared" si="580"/>
        <v>0.56800795593635256</v>
      </c>
      <c r="AS71" s="12">
        <f t="shared" ref="AS71:BL71" si="581">AS69/(AS69+AS68)</f>
        <v>0.54361704812132527</v>
      </c>
      <c r="AT71" s="12">
        <f t="shared" si="581"/>
        <v>0.53193017209359916</v>
      </c>
      <c r="AU71" s="12">
        <f t="shared" si="581"/>
        <v>0.52470854769434083</v>
      </c>
      <c r="AV71" s="12">
        <f t="shared" si="581"/>
        <v>0.62092245702773374</v>
      </c>
      <c r="AW71" s="13">
        <f t="shared" si="581"/>
        <v>0.58724206429642845</v>
      </c>
      <c r="AX71" s="12">
        <f t="shared" si="581"/>
        <v>0.56336453821433563</v>
      </c>
      <c r="AY71" s="12">
        <f t="shared" si="581"/>
        <v>0.55108230256898194</v>
      </c>
      <c r="AZ71" s="12">
        <f t="shared" si="581"/>
        <v>0.53206441606188848</v>
      </c>
      <c r="BA71" s="12">
        <f t="shared" si="581"/>
        <v>0.55995241724131517</v>
      </c>
      <c r="BB71" s="13">
        <f t="shared" si="581"/>
        <v>0.55995241724131517</v>
      </c>
      <c r="BC71" s="12">
        <f>BC69/(BC69+BC68)</f>
        <v>0.53342196617179993</v>
      </c>
      <c r="BD71" s="12">
        <f>BD69/(BD69+BD68)</f>
        <v>0.5361947469570788</v>
      </c>
      <c r="BE71" s="12">
        <f>BE69/(BE69+BE68)</f>
        <v>0.52262516046213092</v>
      </c>
      <c r="BF71" s="12">
        <f>BF69/(BF69+BF68)</f>
        <v>0.4457657897067942</v>
      </c>
      <c r="BG71" s="13">
        <f t="shared" si="581"/>
        <v>0.4457657897067942</v>
      </c>
      <c r="BH71" s="12">
        <f>BH69/(BH69+BH68)</f>
        <v>0.44064682935679944</v>
      </c>
      <c r="BI71" s="12">
        <f>BI69/(BI69+BI68)</f>
        <v>0.4445183638824528</v>
      </c>
      <c r="BJ71" s="12">
        <f>BJ69/(BJ69+BJ68)</f>
        <v>0.43990826729638294</v>
      </c>
      <c r="BK71" s="12">
        <f>BK69/(BK69+BK68)</f>
        <v>0.53820693036940181</v>
      </c>
      <c r="BL71" s="13">
        <f t="shared" si="581"/>
        <v>0.53820693036940181</v>
      </c>
      <c r="BM71" s="12">
        <f>BM69/(BM69+BM68)</f>
        <v>0.54639474995846482</v>
      </c>
      <c r="BN71" s="12">
        <f>BN69/(BN69+BN68)</f>
        <v>0.56646626586506343</v>
      </c>
      <c r="BO71" s="12">
        <f>BO69/(BO69+BO68)</f>
        <v>0.5606790939726144</v>
      </c>
      <c r="BP71" s="12">
        <f>BP69/(BP69+BP68)</f>
        <v>0.59550345476715083</v>
      </c>
      <c r="BQ71" s="13">
        <f t="shared" ref="BQ71" si="582">BQ69/(BQ69+BQ68)</f>
        <v>0.59550345476715083</v>
      </c>
      <c r="BR71" s="12">
        <f>BR69/(BR69+BR68)</f>
        <v>0.62619219003059201</v>
      </c>
      <c r="BS71" s="12">
        <f>BS69/(BS69+BS68)</f>
        <v>0.68938889628544797</v>
      </c>
      <c r="BT71" s="12">
        <f t="shared" ref="BT71:BU71" si="583">BT69/(BT69+BT68)</f>
        <v>0.66309497935231476</v>
      </c>
      <c r="BU71" s="12">
        <f t="shared" si="583"/>
        <v>0.67833970112811703</v>
      </c>
      <c r="BV71" s="13">
        <f t="shared" ref="BV71" si="584">BV69/(BV69+BV68)</f>
        <v>0.67833970112811703</v>
      </c>
      <c r="BW71" s="12">
        <f>BW69/(BW69+BW68)</f>
        <v>0.69552279183010957</v>
      </c>
      <c r="BX71" s="12">
        <f>BX69/(BX69+BX68)</f>
        <v>0.70385921260658835</v>
      </c>
      <c r="BY71" s="12">
        <f t="shared" ref="BY71:CA71" si="585">BY69/(BY69+BY68)</f>
        <v>0.65109475047363241</v>
      </c>
      <c r="BZ71" s="12">
        <f t="shared" si="585"/>
        <v>0.66559361006898221</v>
      </c>
      <c r="CA71" s="13">
        <f t="shared" si="585"/>
        <v>0.66559361006898221</v>
      </c>
      <c r="CB71" s="12">
        <f>CB69/(CB69+CB68)</f>
        <v>0.66230246233002577</v>
      </c>
      <c r="CC71" s="12">
        <f>CC69/(CC69+CC68)</f>
        <v>0.6694969013809593</v>
      </c>
      <c r="CD71" s="12">
        <f t="shared" ref="CD71:CF71" si="586">CD69/(CD69+CD68)</f>
        <v>0.66484147742550537</v>
      </c>
      <c r="CE71" s="12">
        <f t="shared" si="586"/>
        <v>0.65549787635677204</v>
      </c>
      <c r="CF71" s="13">
        <f t="shared" si="586"/>
        <v>0.65549787635677204</v>
      </c>
      <c r="CG71" s="12">
        <f t="shared" ref="CG71:CK71" si="587">CG69/(CG69+CG68)</f>
        <v>0.65478528131136349</v>
      </c>
      <c r="CH71" s="12">
        <f t="shared" si="587"/>
        <v>0.76166330798067128</v>
      </c>
      <c r="CI71" s="12">
        <f t="shared" si="587"/>
        <v>0.76985527039587243</v>
      </c>
      <c r="CJ71" s="12">
        <f t="shared" si="587"/>
        <v>0.84979755493533549</v>
      </c>
      <c r="CK71" s="13">
        <f t="shared" si="587"/>
        <v>0.84979755493533549</v>
      </c>
      <c r="CL71" s="12">
        <f t="shared" ref="CL71:CP71" si="588">CL69/(CL69+CL68)</f>
        <v>0.88887012899304385</v>
      </c>
      <c r="CM71" s="12">
        <f t="shared" si="588"/>
        <v>0.94275527881694243</v>
      </c>
      <c r="CN71" s="12">
        <f t="shared" si="588"/>
        <v>0.94449011597758858</v>
      </c>
      <c r="CO71" s="12">
        <f t="shared" si="588"/>
        <v>1.0283760592797562</v>
      </c>
      <c r="CP71" s="466">
        <f t="shared" si="588"/>
        <v>1.0283760592797562</v>
      </c>
      <c r="CQ71" s="12">
        <f t="shared" ref="CQ71:CV71" si="589">CQ69/(CQ69+CQ68)</f>
        <v>1.0251044365713078</v>
      </c>
      <c r="CR71" s="12">
        <f t="shared" si="589"/>
        <v>1.0070947932318548</v>
      </c>
      <c r="CS71" s="12">
        <f t="shared" si="589"/>
        <v>0.97781014166556335</v>
      </c>
      <c r="CT71" s="12">
        <f t="shared" si="589"/>
        <v>0.98395361775643464</v>
      </c>
      <c r="CU71" s="466">
        <f t="shared" si="589"/>
        <v>0.98395361775643464</v>
      </c>
      <c r="CV71" s="12">
        <f t="shared" si="589"/>
        <v>0.98996037775195878</v>
      </c>
      <c r="CW71" s="12">
        <f t="shared" ref="CW71:CZ71" si="590">CW69/(CW69+CW68)</f>
        <v>0.98274000539843442</v>
      </c>
      <c r="CX71" s="12">
        <f t="shared" si="590"/>
        <v>1.0266710777131876</v>
      </c>
      <c r="CY71" s="12">
        <f t="shared" si="590"/>
        <v>0.99851350496552593</v>
      </c>
      <c r="CZ71" s="466">
        <f t="shared" si="590"/>
        <v>0.99851350496552593</v>
      </c>
      <c r="DA71" s="12">
        <f t="shared" ref="DA71:DE71" si="591">DA69/(DA69+DA68)</f>
        <v>0.99259462868045334</v>
      </c>
      <c r="DB71" s="450">
        <f t="shared" si="591"/>
        <v>0.99233422112954994</v>
      </c>
      <c r="DC71" s="12">
        <f t="shared" si="591"/>
        <v>1.0135465827652508</v>
      </c>
      <c r="DD71" s="12">
        <f t="shared" si="591"/>
        <v>1.0223508351147956</v>
      </c>
      <c r="DE71" s="466">
        <f t="shared" si="591"/>
        <v>1.0223508351147956</v>
      </c>
      <c r="DF71" s="12">
        <f t="shared" ref="DF71:DJ71" si="592">DF69/(DF69+DF68)</f>
        <v>1.0201629557316112</v>
      </c>
      <c r="DG71" s="450">
        <f t="shared" si="592"/>
        <v>1.0328317373461013</v>
      </c>
      <c r="DH71" s="12">
        <f t="shared" si="592"/>
        <v>1.1357635362659682</v>
      </c>
      <c r="DI71" s="12">
        <f t="shared" si="592"/>
        <v>0.83268650280293233</v>
      </c>
      <c r="DJ71" s="466">
        <f t="shared" si="592"/>
        <v>0.83268650280293233</v>
      </c>
      <c r="DK71" s="12">
        <f t="shared" ref="DK71:DM71" si="593">DK69/(DK69+DK68)</f>
        <v>0.82511366156575738</v>
      </c>
      <c r="DL71" s="450">
        <f t="shared" si="593"/>
        <v>0.82380315443348384</v>
      </c>
      <c r="DM71" s="12">
        <f t="shared" si="593"/>
        <v>0.88481934208161062</v>
      </c>
      <c r="DN71" s="12">
        <f t="shared" ref="DN71:DQ71" si="594">DN69/(DN69+DN68)</f>
        <v>0.73178832848691466</v>
      </c>
      <c r="DO71" s="466">
        <f t="shared" si="594"/>
        <v>0.73178832848691466</v>
      </c>
      <c r="DP71" s="12">
        <f t="shared" si="594"/>
        <v>0.70097905530707971</v>
      </c>
      <c r="DQ71" s="450">
        <f t="shared" si="594"/>
        <v>0.69392909179213214</v>
      </c>
      <c r="DR71" s="12">
        <f t="shared" ref="DR71:DU71" si="595">DR69/(DR69+DR68)</f>
        <v>0.76054304702791753</v>
      </c>
      <c r="DS71" s="12">
        <f t="shared" si="595"/>
        <v>0.77869821904841674</v>
      </c>
      <c r="DT71" s="466">
        <f t="shared" si="595"/>
        <v>0.77869821904841674</v>
      </c>
      <c r="DU71" s="12">
        <f t="shared" si="595"/>
        <v>0.52669724026929632</v>
      </c>
      <c r="DV71" s="12">
        <f t="shared" ref="DV71:DY71" si="596">DV69/(DV69+DV68)</f>
        <v>0.5827727048680601</v>
      </c>
      <c r="DW71" s="12">
        <f t="shared" si="596"/>
        <v>0.59782348876452673</v>
      </c>
      <c r="DX71" s="12">
        <f t="shared" si="596"/>
        <v>0.61140759402160261</v>
      </c>
      <c r="DY71" s="466">
        <f t="shared" si="596"/>
        <v>0.61140759402160261</v>
      </c>
      <c r="DZ71" s="13">
        <f t="shared" ref="DZ71:EB71" si="597">DZ69/(DZ69+DZ68)</f>
        <v>0.74591442808957198</v>
      </c>
      <c r="EA71" s="13">
        <f t="shared" si="597"/>
        <v>0.65359578089478387</v>
      </c>
      <c r="EB71" s="13">
        <f t="shared" si="597"/>
        <v>0.60294665127895608</v>
      </c>
    </row>
    <row r="72" spans="2:132">
      <c r="B72" s="68" t="s">
        <v>238</v>
      </c>
      <c r="C72" s="13">
        <f>C70/(C69+C68)</f>
        <v>8.6080678547988079E-2</v>
      </c>
      <c r="D72" s="13">
        <f t="shared" ref="D72:AR72" si="598">D70/(D69+D68)</f>
        <v>0.2338241393612609</v>
      </c>
      <c r="E72" s="13">
        <f t="shared" si="598"/>
        <v>0.18016928657799275</v>
      </c>
      <c r="F72" s="13">
        <f t="shared" si="598"/>
        <v>0.39300671073212573</v>
      </c>
      <c r="G72" s="13">
        <f t="shared" si="598"/>
        <v>0.50376786487656999</v>
      </c>
      <c r="H72" s="13">
        <f t="shared" si="598"/>
        <v>0.63546815934864787</v>
      </c>
      <c r="I72" s="13">
        <f t="shared" si="598"/>
        <v>0.56415506415506411</v>
      </c>
      <c r="J72" s="12">
        <f t="shared" si="598"/>
        <v>0.56732198351574115</v>
      </c>
      <c r="K72" s="12">
        <f t="shared" si="598"/>
        <v>0.48404364132287758</v>
      </c>
      <c r="L72" s="12">
        <f t="shared" si="598"/>
        <v>0.51281693092128244</v>
      </c>
      <c r="M72" s="12">
        <f t="shared" si="598"/>
        <v>0.45734701355807988</v>
      </c>
      <c r="N72" s="13">
        <f t="shared" si="598"/>
        <v>0.45734701355807988</v>
      </c>
      <c r="O72" s="12">
        <f t="shared" si="598"/>
        <v>0.44664104648584729</v>
      </c>
      <c r="P72" s="12">
        <f t="shared" si="598"/>
        <v>0.37230437461491067</v>
      </c>
      <c r="Q72" s="12">
        <f t="shared" si="598"/>
        <v>0.39819004524886875</v>
      </c>
      <c r="R72" s="12">
        <f t="shared" si="598"/>
        <v>0.27506919310197997</v>
      </c>
      <c r="S72" s="13">
        <f t="shared" si="598"/>
        <v>0.27506919310197997</v>
      </c>
      <c r="T72" s="12">
        <f t="shared" si="598"/>
        <v>0.22136963696369638</v>
      </c>
      <c r="U72" s="12">
        <f t="shared" si="598"/>
        <v>0.17870300501575748</v>
      </c>
      <c r="V72" s="12">
        <f t="shared" si="598"/>
        <v>0.27165733286664334</v>
      </c>
      <c r="W72" s="12">
        <f t="shared" si="598"/>
        <v>0.13906291361510634</v>
      </c>
      <c r="X72" s="13">
        <f t="shared" si="598"/>
        <v>0.13906291361510634</v>
      </c>
      <c r="Y72" s="12">
        <f t="shared" si="598"/>
        <v>0.15254758869301446</v>
      </c>
      <c r="Z72" s="12">
        <f t="shared" si="598"/>
        <v>4.4714204619885595E-2</v>
      </c>
      <c r="AA72" s="12">
        <f t="shared" si="598"/>
        <v>-3.781818181818182E-2</v>
      </c>
      <c r="AB72" s="12">
        <f t="shared" si="598"/>
        <v>-4.5101281521289789E-2</v>
      </c>
      <c r="AC72" s="13">
        <f t="shared" si="598"/>
        <v>-4.5101281521289789E-2</v>
      </c>
      <c r="AD72" s="12">
        <f t="shared" si="598"/>
        <v>-5.5965382237791059E-2</v>
      </c>
      <c r="AE72" s="12">
        <f t="shared" si="598"/>
        <v>3.3095830346979216E-2</v>
      </c>
      <c r="AF72" s="12">
        <f t="shared" si="598"/>
        <v>0.12151137827393731</v>
      </c>
      <c r="AG72" s="12">
        <f t="shared" si="598"/>
        <v>0.45094265654513704</v>
      </c>
      <c r="AH72" s="13">
        <f t="shared" si="598"/>
        <v>0.45094265654513704</v>
      </c>
      <c r="AI72" s="12">
        <f t="shared" si="598"/>
        <v>0.43268853744608549</v>
      </c>
      <c r="AJ72" s="12">
        <f t="shared" si="598"/>
        <v>0.40797673452430411</v>
      </c>
      <c r="AK72" s="12">
        <f t="shared" si="598"/>
        <v>0.40659958752577963</v>
      </c>
      <c r="AL72" s="12">
        <f t="shared" si="598"/>
        <v>0.23937134198876972</v>
      </c>
      <c r="AM72" s="13">
        <f t="shared" si="598"/>
        <v>0.23937134198876972</v>
      </c>
      <c r="AN72" s="12">
        <f t="shared" si="598"/>
        <v>0.25910356024585413</v>
      </c>
      <c r="AO72" s="12">
        <f t="shared" si="598"/>
        <v>0.26786797193104045</v>
      </c>
      <c r="AP72" s="12">
        <f>AP70/(AP69+AP68)</f>
        <v>0.24827372396493899</v>
      </c>
      <c r="AQ72" s="12">
        <f t="shared" si="598"/>
        <v>0.29982660138718892</v>
      </c>
      <c r="AR72" s="13">
        <f t="shared" si="598"/>
        <v>0.29982660138718892</v>
      </c>
      <c r="AS72" s="12">
        <f t="shared" ref="AS72:BL72" si="599">AS70/(AS69+AS68)</f>
        <v>0.34749804436145248</v>
      </c>
      <c r="AT72" s="12">
        <f t="shared" si="599"/>
        <v>0.31397796211464651</v>
      </c>
      <c r="AU72" s="12">
        <f t="shared" si="599"/>
        <v>0.30681550007079811</v>
      </c>
      <c r="AV72" s="12">
        <f t="shared" si="599"/>
        <v>0.3793347335933816</v>
      </c>
      <c r="AW72" s="13">
        <f t="shared" si="599"/>
        <v>0.3587586654234402</v>
      </c>
      <c r="AX72" s="12">
        <f t="shared" si="599"/>
        <v>0.35346014890516775</v>
      </c>
      <c r="AY72" s="12">
        <f t="shared" si="599"/>
        <v>0.3467729146844275</v>
      </c>
      <c r="AZ72" s="12">
        <f t="shared" si="599"/>
        <v>0.31813568734082681</v>
      </c>
      <c r="BA72" s="12">
        <f t="shared" si="599"/>
        <v>0.30794966636307874</v>
      </c>
      <c r="BB72" s="13">
        <f t="shared" si="599"/>
        <v>0.30794966636307874</v>
      </c>
      <c r="BC72" s="12">
        <f>BC70/(BC69+BC68)</f>
        <v>0.31455425068321147</v>
      </c>
      <c r="BD72" s="12">
        <f>BD70/(BD69+BD68)</f>
        <v>0.27400018303285439</v>
      </c>
      <c r="BE72" s="12">
        <f>BE70/(BE69+BE68)</f>
        <v>0.23894594209099987</v>
      </c>
      <c r="BF72" s="12">
        <f>BF70/(BF69+BF68)</f>
        <v>0.10787049340065551</v>
      </c>
      <c r="BG72" s="13">
        <f t="shared" si="599"/>
        <v>0.10787049340065551</v>
      </c>
      <c r="BH72" s="12">
        <f>BH70/(BH69+BH68)</f>
        <v>0.16340832804136804</v>
      </c>
      <c r="BI72" s="12">
        <f>BI70/(BI69+BI68)</f>
        <v>0.18460232616824573</v>
      </c>
      <c r="BJ72" s="12">
        <f>BJ70/(BJ69+BJ68)</f>
        <v>0.21109874889307689</v>
      </c>
      <c r="BK72" s="12">
        <f>BK70/(BK69+BK68)</f>
        <v>0.27071755475645637</v>
      </c>
      <c r="BL72" s="13">
        <f t="shared" si="599"/>
        <v>0.27071755475645637</v>
      </c>
      <c r="BM72" s="12">
        <f>BM70/(BM69+BM68)</f>
        <v>0.34638228941684668</v>
      </c>
      <c r="BN72" s="12">
        <f>BN70/(BN69+BN68)</f>
        <v>0.35906221044239017</v>
      </c>
      <c r="BO72" s="12">
        <f>BO70/(BO69+BO68)</f>
        <v>0.35044576206116962</v>
      </c>
      <c r="BP72" s="12">
        <f>BP70/(BP69+BP68)</f>
        <v>0.33769011915203112</v>
      </c>
      <c r="BQ72" s="13">
        <f t="shared" ref="BQ72" si="600">BQ70/(BQ69+BQ68)</f>
        <v>0.33769011915203112</v>
      </c>
      <c r="BR72" s="12">
        <f>BR70/(BR69+BR68)</f>
        <v>0.43832103653050208</v>
      </c>
      <c r="BS72" s="12">
        <f>BS70/(BS69+BS68)</f>
        <v>0.48380153552567345</v>
      </c>
      <c r="BT72" s="12">
        <f t="shared" ref="BT72:BU72" si="601">BT70/(BT69+BT68)</f>
        <v>0.45296674635948708</v>
      </c>
      <c r="BU72" s="12">
        <f t="shared" si="601"/>
        <v>0.45160852756991388</v>
      </c>
      <c r="BV72" s="13">
        <f t="shared" ref="BV72" si="602">BV70/(BV69+BV68)</f>
        <v>0.45160852756991388</v>
      </c>
      <c r="BW72" s="12">
        <f>BW70/(BW69+BW68)</f>
        <v>0.48800667297894407</v>
      </c>
      <c r="BX72" s="12">
        <f>BX70/(BX69+BX68)</f>
        <v>0.43622839074203668</v>
      </c>
      <c r="BY72" s="12">
        <f t="shared" ref="BY72:CA72" si="603">BY70/(BY69+BY68)</f>
        <v>0.41051344156934216</v>
      </c>
      <c r="BZ72" s="12">
        <f t="shared" si="603"/>
        <v>0.42374440275928837</v>
      </c>
      <c r="CA72" s="13">
        <f t="shared" si="603"/>
        <v>0.42374440275928837</v>
      </c>
      <c r="CB72" s="12">
        <f>CB70/(CB69+CB68)</f>
        <v>0.43511117236310182</v>
      </c>
      <c r="CC72" s="12">
        <f>CC70/(CC69+CC68)</f>
        <v>0.43112282242717026</v>
      </c>
      <c r="CD72" s="12">
        <f t="shared" ref="CD72:CF72" si="604">CD70/(CD69+CD68)</f>
        <v>0.42064093475763281</v>
      </c>
      <c r="CE72" s="12">
        <f t="shared" si="604"/>
        <v>0.46304411335086182</v>
      </c>
      <c r="CF72" s="13">
        <f t="shared" si="604"/>
        <v>0.46304411335086182</v>
      </c>
      <c r="CG72" s="12">
        <f t="shared" ref="CG72:CK72" si="605">CG70/(CG69+CG68)</f>
        <v>0.48981900452488686</v>
      </c>
      <c r="CH72" s="12">
        <f t="shared" si="605"/>
        <v>0.5535114520357971</v>
      </c>
      <c r="CI72" s="12">
        <f t="shared" si="605"/>
        <v>0.56285210265748586</v>
      </c>
      <c r="CJ72" s="12">
        <f t="shared" si="605"/>
        <v>0.65265930264554428</v>
      </c>
      <c r="CK72" s="13">
        <f t="shared" si="605"/>
        <v>0.65265930264554428</v>
      </c>
      <c r="CL72" s="12">
        <f t="shared" ref="CL72:CP72" si="606">CL70/(CL69+CL68)</f>
        <v>0.62671371648544605</v>
      </c>
      <c r="CM72" s="12">
        <f t="shared" si="606"/>
        <v>0.53563986040322376</v>
      </c>
      <c r="CN72" s="12">
        <f t="shared" si="606"/>
        <v>0.60154046568100472</v>
      </c>
      <c r="CO72" s="12">
        <f t="shared" si="606"/>
        <v>0.68794316806130185</v>
      </c>
      <c r="CP72" s="466">
        <f t="shared" si="606"/>
        <v>0.68794316806130185</v>
      </c>
      <c r="CQ72" s="12">
        <f t="shared" ref="CQ72:CV72" si="607">CQ70/(CQ69+CQ68)</f>
        <v>0.73532600074030985</v>
      </c>
      <c r="CR72" s="12">
        <f t="shared" si="607"/>
        <v>0.72824198079310121</v>
      </c>
      <c r="CS72" s="12">
        <f t="shared" si="607"/>
        <v>0.71308089500860583</v>
      </c>
      <c r="CT72" s="12">
        <f t="shared" si="607"/>
        <v>0.74612749260636579</v>
      </c>
      <c r="CU72" s="466">
        <f t="shared" si="607"/>
        <v>0.74612749260636579</v>
      </c>
      <c r="CV72" s="12">
        <f t="shared" si="607"/>
        <v>0.80701283999165851</v>
      </c>
      <c r="CW72" s="12">
        <f t="shared" ref="CW72:CZ72" si="608">CW70/(CW69+CW68)</f>
        <v>0.81106978976096933</v>
      </c>
      <c r="CX72" s="12">
        <f t="shared" si="608"/>
        <v>0.80207004111725511</v>
      </c>
      <c r="CY72" s="12">
        <f t="shared" si="608"/>
        <v>0.72620026567145302</v>
      </c>
      <c r="CZ72" s="466">
        <f t="shared" si="608"/>
        <v>0.72620026567145302</v>
      </c>
      <c r="DA72" s="12">
        <f t="shared" ref="DA72:DE72" si="609">DA70/(DA69+DA68)</f>
        <v>0.75382799489061714</v>
      </c>
      <c r="DB72" s="450">
        <f t="shared" si="609"/>
        <v>0.75737553779963118</v>
      </c>
      <c r="DC72" s="12">
        <f t="shared" si="609"/>
        <v>0.77981122181436813</v>
      </c>
      <c r="DD72" s="12">
        <f t="shared" si="609"/>
        <v>0.74487720944783353</v>
      </c>
      <c r="DE72" s="466">
        <f t="shared" si="609"/>
        <v>0.74487720944783353</v>
      </c>
      <c r="DF72" s="12">
        <f t="shared" ref="DF72:DJ72" si="610">DF70/(DF69+DF68)</f>
        <v>0.87881575489054931</v>
      </c>
      <c r="DG72" s="450">
        <f t="shared" si="610"/>
        <v>0.82970950350044259</v>
      </c>
      <c r="DH72" s="12">
        <f t="shared" si="610"/>
        <v>0.94922229942808278</v>
      </c>
      <c r="DI72" s="12">
        <f t="shared" si="610"/>
        <v>0.46709510495346995</v>
      </c>
      <c r="DJ72" s="466">
        <f t="shared" si="610"/>
        <v>0.46709510495346995</v>
      </c>
      <c r="DK72" s="12">
        <f t="shared" ref="DK72:DM72" si="611">DK70/(DK69+DK68)</f>
        <v>0.49696440452428475</v>
      </c>
      <c r="DL72" s="450">
        <f t="shared" si="611"/>
        <v>0.50380371175388727</v>
      </c>
      <c r="DM72" s="12">
        <f t="shared" si="611"/>
        <v>0.54052070225897297</v>
      </c>
      <c r="DN72" s="12">
        <f t="shared" ref="DN72:DQ72" si="612">DN70/(DN69+DN68)</f>
        <v>0.36329339215882883</v>
      </c>
      <c r="DO72" s="466">
        <f t="shared" si="612"/>
        <v>0.36329339215882883</v>
      </c>
      <c r="DP72" s="12">
        <f t="shared" si="612"/>
        <v>0.41592123922766444</v>
      </c>
      <c r="DQ72" s="450">
        <f t="shared" si="612"/>
        <v>0.41609657947686118</v>
      </c>
      <c r="DR72" s="12">
        <f t="shared" ref="DR72:DU72" si="613">DR70/(DR69+DR68)</f>
        <v>0.4508007445775189</v>
      </c>
      <c r="DS72" s="12">
        <f t="shared" si="613"/>
        <v>0.41515364304252933</v>
      </c>
      <c r="DT72" s="466">
        <f t="shared" si="613"/>
        <v>0.41515364304252933</v>
      </c>
      <c r="DU72" s="12">
        <f t="shared" si="613"/>
        <v>0.33954309995101534</v>
      </c>
      <c r="DV72" s="12">
        <f t="shared" ref="DV72:DY72" si="614">DV70/(DV69+DV68)</f>
        <v>0.37321267330983438</v>
      </c>
      <c r="DW72" s="12">
        <f t="shared" si="614"/>
        <v>0.36467961879632249</v>
      </c>
      <c r="DX72" s="12">
        <f t="shared" si="614"/>
        <v>0.33688905490713561</v>
      </c>
      <c r="DY72" s="466">
        <f t="shared" si="614"/>
        <v>0.33688905490713561</v>
      </c>
      <c r="DZ72" s="13">
        <f t="shared" ref="DZ72:EB72" si="615">DZ70/(DZ69+DZ68)</f>
        <v>0.42136346994527057</v>
      </c>
      <c r="EA72" s="13">
        <f t="shared" si="615"/>
        <v>0.35348830340256332</v>
      </c>
      <c r="EB72" s="13">
        <f t="shared" si="615"/>
        <v>0.30335354331263709</v>
      </c>
    </row>
    <row r="73" spans="2:132">
      <c r="C73" s="67"/>
      <c r="D73" s="67"/>
      <c r="E73" s="67"/>
      <c r="F73" s="67"/>
      <c r="G73" s="67"/>
      <c r="H73" s="67"/>
      <c r="I73" s="67"/>
      <c r="N73" s="67"/>
      <c r="S73" s="67"/>
      <c r="X73" s="67"/>
      <c r="AC73" s="67"/>
      <c r="AH73" s="67"/>
      <c r="AI73" s="77"/>
      <c r="AJ73" s="77"/>
      <c r="AK73" s="77"/>
      <c r="AM73" s="67"/>
      <c r="AN73" s="77"/>
      <c r="AO73" s="77"/>
      <c r="AP73" s="77"/>
      <c r="AR73" s="67"/>
      <c r="AS73" s="77"/>
      <c r="AT73" s="77"/>
      <c r="AU73" s="77"/>
      <c r="AV73" s="77"/>
      <c r="AW73" s="67"/>
      <c r="AX73" s="77"/>
      <c r="AY73" s="77"/>
      <c r="AZ73" s="77"/>
      <c r="BB73" s="67"/>
      <c r="BC73" s="77"/>
      <c r="BD73" s="77"/>
      <c r="BE73" s="77"/>
      <c r="BF73" s="77"/>
      <c r="BG73" s="67"/>
      <c r="BH73" s="77"/>
      <c r="BI73" s="77"/>
      <c r="BJ73" s="77"/>
      <c r="BL73" s="67"/>
      <c r="BM73" s="77"/>
      <c r="BN73" s="77"/>
      <c r="BO73" s="77"/>
      <c r="BQ73" s="67"/>
      <c r="BR73" s="77"/>
      <c r="BV73" s="67"/>
      <c r="BW73" s="77"/>
      <c r="CA73" s="67"/>
      <c r="CB73" s="77"/>
      <c r="CF73" s="67"/>
      <c r="CK73" s="67"/>
      <c r="CP73" s="120"/>
      <c r="CU73" s="120"/>
      <c r="CZ73" s="120"/>
      <c r="DB73" s="121"/>
      <c r="DE73" s="120"/>
      <c r="DG73" s="121"/>
      <c r="DJ73" s="120"/>
      <c r="DL73" s="121"/>
      <c r="DO73" s="120"/>
      <c r="DQ73" s="121"/>
      <c r="DT73" s="120"/>
      <c r="DY73" s="120"/>
      <c r="DZ73" s="67"/>
      <c r="EA73" s="67"/>
      <c r="EB73" s="67"/>
    </row>
    <row r="74" spans="2:132">
      <c r="B74" s="164" t="s">
        <v>239</v>
      </c>
      <c r="C74" s="67"/>
      <c r="D74" s="67"/>
      <c r="E74" s="67"/>
      <c r="F74" s="67"/>
      <c r="G74" s="67"/>
      <c r="H74" s="67"/>
      <c r="I74" s="67"/>
      <c r="N74" s="67"/>
      <c r="S74" s="67"/>
      <c r="X74" s="67"/>
      <c r="AC74" s="67"/>
      <c r="AH74" s="67"/>
      <c r="AI74" s="77"/>
      <c r="AJ74" s="77"/>
      <c r="AK74" s="77"/>
      <c r="AM74" s="67"/>
      <c r="AN74" s="77"/>
      <c r="AO74" s="77"/>
      <c r="AP74" s="77"/>
      <c r="AR74" s="67"/>
      <c r="AS74" s="77"/>
      <c r="AT74" s="77"/>
      <c r="AU74" s="77"/>
      <c r="AV74" s="77"/>
      <c r="AW74" s="67"/>
      <c r="AX74" s="77"/>
      <c r="AY74" s="77"/>
      <c r="AZ74" s="77"/>
      <c r="BB74" s="67"/>
      <c r="BC74" s="77"/>
      <c r="BD74" s="77"/>
      <c r="BE74" s="77"/>
      <c r="BF74" s="77"/>
      <c r="BG74" s="67"/>
      <c r="BH74" s="77"/>
      <c r="BI74" s="77"/>
      <c r="BJ74" s="77"/>
      <c r="BL74" s="67"/>
      <c r="BM74" s="77"/>
      <c r="BN74" s="77"/>
      <c r="BO74" s="77"/>
      <c r="BQ74" s="67"/>
      <c r="BR74" s="77"/>
      <c r="BV74" s="67"/>
      <c r="BW74" s="77"/>
      <c r="CA74" s="67"/>
      <c r="CB74" s="77"/>
      <c r="CF74" s="67"/>
      <c r="CK74" s="67"/>
      <c r="CP74" s="120"/>
      <c r="CU74" s="120"/>
      <c r="CZ74" s="120"/>
      <c r="DB74" s="121"/>
      <c r="DE74" s="120"/>
      <c r="DG74" s="121"/>
      <c r="DJ74" s="120"/>
      <c r="DL74" s="121"/>
      <c r="DO74" s="120"/>
      <c r="DQ74" s="121"/>
      <c r="DT74" s="120"/>
      <c r="DY74" s="120"/>
      <c r="DZ74" s="67"/>
      <c r="EA74" s="67"/>
      <c r="EB74" s="67"/>
    </row>
    <row r="75" spans="2:132">
      <c r="B75" s="68" t="s">
        <v>240</v>
      </c>
      <c r="C75" s="67">
        <f>C15-C33</f>
        <v>5111</v>
      </c>
      <c r="D75" s="67">
        <f t="shared" ref="D75:AH75" si="616">D15-D33</f>
        <v>2953</v>
      </c>
      <c r="E75" s="67">
        <f t="shared" si="616"/>
        <v>2056</v>
      </c>
      <c r="F75" s="67">
        <f t="shared" si="616"/>
        <v>-2425</v>
      </c>
      <c r="G75" s="67">
        <f t="shared" si="616"/>
        <v>-4280</v>
      </c>
      <c r="H75" s="67">
        <f t="shared" si="616"/>
        <v>-2955</v>
      </c>
      <c r="I75" s="67">
        <f t="shared" si="616"/>
        <v>-1190</v>
      </c>
      <c r="J75" s="77">
        <f t="shared" si="616"/>
        <v>-1891</v>
      </c>
      <c r="K75" s="77">
        <f t="shared" si="616"/>
        <v>-2902</v>
      </c>
      <c r="L75" s="77">
        <f t="shared" si="616"/>
        <v>-4998</v>
      </c>
      <c r="M75" s="77">
        <f t="shared" si="616"/>
        <v>-5735</v>
      </c>
      <c r="N75" s="67">
        <f t="shared" si="616"/>
        <v>-5735</v>
      </c>
      <c r="O75" s="77">
        <f t="shared" si="616"/>
        <v>-5956</v>
      </c>
      <c r="P75" s="77">
        <f t="shared" si="616"/>
        <v>-6181</v>
      </c>
      <c r="Q75" s="77">
        <f t="shared" si="616"/>
        <v>-6957</v>
      </c>
      <c r="R75" s="77">
        <f t="shared" si="616"/>
        <v>-6220</v>
      </c>
      <c r="S75" s="67">
        <f t="shared" si="616"/>
        <v>-6220</v>
      </c>
      <c r="T75" s="77">
        <f t="shared" si="616"/>
        <v>-6625</v>
      </c>
      <c r="U75" s="77">
        <f t="shared" si="616"/>
        <v>-7186</v>
      </c>
      <c r="V75" s="77">
        <f t="shared" si="616"/>
        <v>-7284</v>
      </c>
      <c r="W75" s="77">
        <f t="shared" si="616"/>
        <v>-6718</v>
      </c>
      <c r="X75" s="67">
        <f t="shared" si="616"/>
        <v>-6718</v>
      </c>
      <c r="Y75" s="77">
        <f t="shared" si="616"/>
        <v>-5919</v>
      </c>
      <c r="Z75" s="77">
        <f t="shared" si="616"/>
        <v>-4604</v>
      </c>
      <c r="AA75" s="77">
        <f t="shared" si="616"/>
        <v>-4239</v>
      </c>
      <c r="AB75" s="77">
        <f t="shared" si="616"/>
        <v>-4258</v>
      </c>
      <c r="AC75" s="67">
        <f t="shared" si="616"/>
        <v>-4258</v>
      </c>
      <c r="AD75" s="77">
        <f t="shared" si="616"/>
        <v>-4485</v>
      </c>
      <c r="AE75" s="77">
        <f t="shared" si="616"/>
        <v>-5508</v>
      </c>
      <c r="AF75" s="77">
        <f t="shared" si="616"/>
        <v>-5021</v>
      </c>
      <c r="AG75" s="77">
        <f t="shared" si="616"/>
        <v>-4961</v>
      </c>
      <c r="AH75" s="67">
        <f t="shared" si="616"/>
        <v>-4961</v>
      </c>
      <c r="AI75" s="77">
        <f>AI15-AI33</f>
        <v>-2161</v>
      </c>
      <c r="AJ75" s="77">
        <f>AJ15-AJ33</f>
        <v>-1152</v>
      </c>
      <c r="AK75" s="77">
        <f>AK15-AK33</f>
        <v>-1822</v>
      </c>
      <c r="AL75" s="77">
        <f>AL15-AL33</f>
        <v>2392</v>
      </c>
      <c r="AM75" s="67">
        <f t="shared" ref="AM75:AW75" si="617">AM15-AM33</f>
        <v>2392</v>
      </c>
      <c r="AN75" s="77">
        <f>AN15-AN33</f>
        <v>3314</v>
      </c>
      <c r="AO75" s="77">
        <f>AO15-AO33</f>
        <v>4239</v>
      </c>
      <c r="AP75" s="77">
        <f>AP15-AP33</f>
        <v>5216</v>
      </c>
      <c r="AQ75" s="77">
        <f t="shared" si="617"/>
        <v>5177</v>
      </c>
      <c r="AR75" s="67">
        <f t="shared" si="617"/>
        <v>5177</v>
      </c>
      <c r="AS75" s="77">
        <f>AS15-AS33</f>
        <v>5752</v>
      </c>
      <c r="AT75" s="77">
        <f>AT15-AT33</f>
        <v>6983</v>
      </c>
      <c r="AU75" s="77">
        <f>AU15-AU33</f>
        <v>8754</v>
      </c>
      <c r="AV75" s="77">
        <f>AV15-AV33</f>
        <v>8536</v>
      </c>
      <c r="AW75" s="67">
        <f t="shared" si="617"/>
        <v>8536</v>
      </c>
      <c r="AX75" s="77">
        <f>AX15-AX33</f>
        <v>8826</v>
      </c>
      <c r="AY75" s="77">
        <f t="shared" ref="AY75:BG75" si="618">AY15-AY33</f>
        <v>9158</v>
      </c>
      <c r="AZ75" s="77">
        <f t="shared" si="618"/>
        <v>10926</v>
      </c>
      <c r="BA75" s="77">
        <f t="shared" si="618"/>
        <v>12327</v>
      </c>
      <c r="BB75" s="67">
        <f t="shared" si="618"/>
        <v>12327</v>
      </c>
      <c r="BC75" s="77">
        <f>BC15-BC33</f>
        <v>13824</v>
      </c>
      <c r="BD75" s="77">
        <f>BD15-BD33</f>
        <v>14361</v>
      </c>
      <c r="BE75" s="77">
        <f>BE15-BE33</f>
        <v>14482</v>
      </c>
      <c r="BF75" s="77">
        <f>BF15-BF33</f>
        <v>13588</v>
      </c>
      <c r="BG75" s="67">
        <f t="shared" si="618"/>
        <v>13588</v>
      </c>
      <c r="BH75" s="77">
        <f>BH15-BH33</f>
        <v>12275</v>
      </c>
      <c r="BI75" s="77">
        <f>BI15-BI33</f>
        <v>12188</v>
      </c>
      <c r="BJ75" s="77">
        <f t="shared" ref="BJ75:BL75" si="619">BJ15-BJ33</f>
        <v>12014</v>
      </c>
      <c r="BK75" s="77">
        <f t="shared" si="619"/>
        <v>11068</v>
      </c>
      <c r="BL75" s="67">
        <f t="shared" si="619"/>
        <v>11068</v>
      </c>
      <c r="BM75" s="77">
        <f>BM15-BM33</f>
        <v>11165</v>
      </c>
      <c r="BN75" s="77">
        <f>BN15-BN33</f>
        <v>9670</v>
      </c>
      <c r="BO75" s="77">
        <f t="shared" ref="BO75:BP75" si="620">BO15-BO33</f>
        <v>9768</v>
      </c>
      <c r="BP75" s="77">
        <f t="shared" si="620"/>
        <v>17822</v>
      </c>
      <c r="BQ75" s="67">
        <f t="shared" ref="BQ75:BS75" si="621">BQ15-BQ33</f>
        <v>17822</v>
      </c>
      <c r="BR75" s="77">
        <f>BR15-BR33</f>
        <v>16070</v>
      </c>
      <c r="BS75" s="77">
        <f t="shared" si="621"/>
        <v>13648</v>
      </c>
      <c r="BT75" s="77">
        <f t="shared" ref="BT75:BU75" si="622">BT15-BT33</f>
        <v>13748</v>
      </c>
      <c r="BU75" s="77">
        <f t="shared" si="622"/>
        <v>12354</v>
      </c>
      <c r="BV75" s="67">
        <f t="shared" ref="BV75:CF75" si="623">BV15-BV33</f>
        <v>12354</v>
      </c>
      <c r="BW75" s="77">
        <f t="shared" si="623"/>
        <v>12586</v>
      </c>
      <c r="BX75" s="77">
        <f t="shared" si="623"/>
        <v>9922</v>
      </c>
      <c r="BY75" s="77">
        <f t="shared" si="623"/>
        <v>9733</v>
      </c>
      <c r="BZ75" s="77">
        <f t="shared" si="623"/>
        <v>8892</v>
      </c>
      <c r="CA75" s="67">
        <f t="shared" si="623"/>
        <v>8892</v>
      </c>
      <c r="CB75" s="77">
        <f t="shared" si="623"/>
        <v>11011</v>
      </c>
      <c r="CC75" s="77">
        <f t="shared" si="623"/>
        <v>8676</v>
      </c>
      <c r="CD75" s="77">
        <f t="shared" si="623"/>
        <v>8269</v>
      </c>
      <c r="CE75" s="77">
        <f t="shared" si="623"/>
        <v>6240</v>
      </c>
      <c r="CF75" s="67">
        <f t="shared" si="623"/>
        <v>6240</v>
      </c>
      <c r="CG75" s="77">
        <f t="shared" ref="CG75:CK75" si="624">CG15-CG33</f>
        <v>5894</v>
      </c>
      <c r="CH75" s="77">
        <f t="shared" si="624"/>
        <v>2922</v>
      </c>
      <c r="CI75" s="77">
        <f t="shared" si="624"/>
        <v>9810</v>
      </c>
      <c r="CJ75" s="77">
        <f t="shared" si="624"/>
        <v>4917</v>
      </c>
      <c r="CK75" s="67">
        <f t="shared" si="624"/>
        <v>4917</v>
      </c>
      <c r="CL75" s="77">
        <f t="shared" ref="CL75:CP75" si="625">CL15-CL33</f>
        <v>16509</v>
      </c>
      <c r="CM75" s="77">
        <f t="shared" si="625"/>
        <v>37795</v>
      </c>
      <c r="CN75" s="77">
        <f t="shared" si="625"/>
        <v>38705</v>
      </c>
      <c r="CO75" s="77">
        <f t="shared" si="625"/>
        <v>34362</v>
      </c>
      <c r="CP75" s="120">
        <f t="shared" si="625"/>
        <v>34362</v>
      </c>
      <c r="CQ75" s="77">
        <f t="shared" ref="CQ75:CV75" si="626">CQ15-CQ33</f>
        <v>30053</v>
      </c>
      <c r="CR75" s="77">
        <f t="shared" si="626"/>
        <v>30871</v>
      </c>
      <c r="CS75" s="77">
        <f t="shared" si="626"/>
        <v>31117</v>
      </c>
      <c r="CT75" s="77">
        <f t="shared" si="626"/>
        <v>26674</v>
      </c>
      <c r="CU75" s="120">
        <f t="shared" si="626"/>
        <v>26674</v>
      </c>
      <c r="CV75" s="77">
        <f t="shared" si="626"/>
        <v>24320</v>
      </c>
      <c r="CW75" s="77">
        <f t="shared" ref="CW75:CZ75" si="627">CW15-CW33</f>
        <v>21201</v>
      </c>
      <c r="CX75" s="77">
        <f t="shared" si="627"/>
        <v>19633</v>
      </c>
      <c r="CY75" s="77">
        <f t="shared" si="627"/>
        <v>19471</v>
      </c>
      <c r="CZ75" s="120">
        <f t="shared" si="627"/>
        <v>19471</v>
      </c>
      <c r="DA75" s="77">
        <f t="shared" ref="DA75:DE75" si="628">DA15-DA33</f>
        <v>15301</v>
      </c>
      <c r="DB75" s="16">
        <f t="shared" si="628"/>
        <v>15336</v>
      </c>
      <c r="DC75" s="77">
        <f t="shared" si="628"/>
        <v>13873</v>
      </c>
      <c r="DD75" s="77">
        <f t="shared" si="628"/>
        <v>13448</v>
      </c>
      <c r="DE75" s="120">
        <f t="shared" si="628"/>
        <v>13448</v>
      </c>
      <c r="DF75" s="77">
        <f t="shared" ref="DF75:DJ75" si="629">DF15-DF33</f>
        <v>13274</v>
      </c>
      <c r="DG75" s="16">
        <f t="shared" si="629"/>
        <v>17809</v>
      </c>
      <c r="DH75" s="77">
        <f t="shared" si="629"/>
        <v>12136</v>
      </c>
      <c r="DI75" s="77">
        <f t="shared" si="629"/>
        <v>30920</v>
      </c>
      <c r="DJ75" s="120">
        <f t="shared" si="629"/>
        <v>30920</v>
      </c>
      <c r="DK75" s="77">
        <f t="shared" ref="DK75:DN75" si="630">DK15-DK33</f>
        <v>24008</v>
      </c>
      <c r="DL75" s="16">
        <f t="shared" si="630"/>
        <v>23925</v>
      </c>
      <c r="DM75" s="77">
        <f t="shared" si="630"/>
        <v>18808</v>
      </c>
      <c r="DN75" s="77">
        <f t="shared" si="630"/>
        <v>20344</v>
      </c>
      <c r="DO75" s="120">
        <f t="shared" ref="DO75:DQ75" si="631">DO15-DO33</f>
        <v>20344</v>
      </c>
      <c r="DP75" s="77">
        <f t="shared" si="631"/>
        <v>18594</v>
      </c>
      <c r="DQ75" s="16">
        <f t="shared" si="631"/>
        <v>15067</v>
      </c>
      <c r="DR75" s="77">
        <f t="shared" ref="DR75:DU75" si="632">DR15-DR33</f>
        <v>8614.6606933404837</v>
      </c>
      <c r="DS75" s="77">
        <f t="shared" si="632"/>
        <v>6931.2109649791237</v>
      </c>
      <c r="DT75" s="120">
        <f t="shared" si="632"/>
        <v>6931.2109649791237</v>
      </c>
      <c r="DU75" s="77">
        <f t="shared" si="632"/>
        <v>29415.423799957483</v>
      </c>
      <c r="DV75" s="77">
        <f t="shared" ref="DV75:DY75" si="633">DV15-DV33</f>
        <v>21084.530275606216</v>
      </c>
      <c r="DW75" s="77">
        <f t="shared" si="633"/>
        <v>19199.805061446998</v>
      </c>
      <c r="DX75" s="77">
        <f t="shared" si="633"/>
        <v>17620.906424797751</v>
      </c>
      <c r="DY75" s="120">
        <f t="shared" si="633"/>
        <v>17620.906424797751</v>
      </c>
      <c r="DZ75" s="67">
        <f t="shared" ref="DZ75:EB75" si="634">DZ15-DZ33</f>
        <v>2133.2917578447523</v>
      </c>
      <c r="EA75" s="67">
        <f t="shared" si="634"/>
        <v>9509.9140185820288</v>
      </c>
      <c r="EB75" s="67">
        <f t="shared" si="634"/>
        <v>15479.454054286689</v>
      </c>
    </row>
    <row r="76" spans="2:132">
      <c r="B76" s="68" t="s">
        <v>241</v>
      </c>
      <c r="C76" s="67">
        <f>AVERAGE(B9,C9)/(IS!C8/365)</f>
        <v>24.872598253275108</v>
      </c>
      <c r="D76" s="67">
        <f>AVERAGE(C9,D9)/(IS!D8/365)</f>
        <v>20.829192933717991</v>
      </c>
      <c r="E76" s="67">
        <f>AVERAGE(D9,E9)/(IS!E8/365)</f>
        <v>21.213465418240133</v>
      </c>
      <c r="F76" s="67">
        <f>AVERAGE(E9,F9)/(IS!F8/365)</f>
        <v>29.803248183005007</v>
      </c>
      <c r="G76" s="67">
        <f>AVERAGE(F9,G9)/(IS!G8/365)</f>
        <v>31.621877040448123</v>
      </c>
      <c r="H76" s="67">
        <f>AVERAGE(G9,H9)/(IS!H8/365)</f>
        <v>34.303343875418442</v>
      </c>
      <c r="I76" s="67">
        <f>AVERAGE(H9,I9)/(IS!I8/365)</f>
        <v>34.421412300683372</v>
      </c>
      <c r="J76" s="77">
        <f>AVERAGE(I9,J9)/(IS!J8/90)</f>
        <v>32.499035419399647</v>
      </c>
      <c r="K76" s="77">
        <f>AVERAGE(J9,K9)/(IS!K8/90)</f>
        <v>32.464089242053788</v>
      </c>
      <c r="L76" s="77">
        <f>AVERAGE(K9,L9)/(IS!L8/90)</f>
        <v>33.537864963503651</v>
      </c>
      <c r="M76" s="77">
        <f>AVERAGE(L9,M9)/(IS!M8/90)</f>
        <v>33.456403680796505</v>
      </c>
      <c r="N76" s="67">
        <f>AVERAGE(I9,N9)/(IS!N8/365)</f>
        <v>31.8958384962922</v>
      </c>
      <c r="O76" s="77">
        <f>AVERAGE(N9,O9)/(IS!O8/90)</f>
        <v>34.542619542619541</v>
      </c>
      <c r="P76" s="77">
        <f>AVERAGE(O9,P9)/(IS!P8/90)</f>
        <v>31.087969124301303</v>
      </c>
      <c r="Q76" s="77">
        <f>AVERAGE(P9,Q9)/(IS!Q8/90)</f>
        <v>35.856758254810359</v>
      </c>
      <c r="R76" s="77">
        <f>AVERAGE(Q9,R9)/(IS!R8/90)</f>
        <v>32.457925498204354</v>
      </c>
      <c r="S76" s="67">
        <f>AVERAGE(N9,S9)/(IS!S8/365)</f>
        <v>32.939511350168658</v>
      </c>
      <c r="T76" s="77">
        <f>AVERAGE(S9,T9)/(IS!T8/90)</f>
        <v>32.383973639932698</v>
      </c>
      <c r="U76" s="77">
        <f>AVERAGE(T9,U9)/(IS!U8/90)</f>
        <v>28.814893900974241</v>
      </c>
      <c r="V76" s="77">
        <f>AVERAGE(U9,V9)/(IS!V8/90)</f>
        <v>30.021371870547526</v>
      </c>
      <c r="W76" s="77">
        <f>AVERAGE(V9,W9)/(IS!W8/90)</f>
        <v>27.042072857875834</v>
      </c>
      <c r="X76" s="67">
        <f>AVERAGE(S9,X9)/(IS!X8/365)</f>
        <v>31.235291727612545</v>
      </c>
      <c r="Y76" s="77">
        <f>AVERAGE(X9,Y9)/(IS!Y8/90)</f>
        <v>31.601041327692808</v>
      </c>
      <c r="Z76" s="77">
        <f>AVERAGE(Y9,Z9)/(IS!Z8/90)</f>
        <v>30.504756871035944</v>
      </c>
      <c r="AA76" s="77">
        <f>AVERAGE(Z9,AA9)/(IS!AA8/90)</f>
        <v>31.799963673790643</v>
      </c>
      <c r="AB76" s="77">
        <f>AVERAGE(AA9,AB9)/(IS!AB8/90)</f>
        <v>29.285918635921497</v>
      </c>
      <c r="AC76" s="67">
        <f>AVERAGE(X9,AC9)/(IS!AC8/365)</f>
        <v>30.308079895160194</v>
      </c>
      <c r="AD76" s="77">
        <f>AVERAGE(AC9,AD9)/(IS!AD8/90)</f>
        <v>32.431519699812384</v>
      </c>
      <c r="AE76" s="77">
        <f>AVERAGE(AD9,AE9)/(IS!AE8/90)</f>
        <v>30.756101874778917</v>
      </c>
      <c r="AF76" s="77">
        <f>AVERAGE(AE9,AF9)/(IS!AF8/90)</f>
        <v>34.200941607271304</v>
      </c>
      <c r="AG76" s="77">
        <f>AVERAGE(AF9,AG9)/(IS!AG8/90)</f>
        <v>40.565382185723308</v>
      </c>
      <c r="AH76" s="67">
        <f>AVERAGE(AC9,AH9)/(IS!AH8/365)</f>
        <v>33.983729826462429</v>
      </c>
      <c r="AI76" s="77">
        <f>AVERAGE(AH9,AI9)/(IS!AI8/90)</f>
        <v>32.286995515695068</v>
      </c>
      <c r="AJ76" s="77">
        <f>AVERAGE(AI9,AJ9)/(IS!AJ8/90)</f>
        <v>33.646379853095489</v>
      </c>
      <c r="AK76" s="77">
        <f>AVERAGE(AJ9,AK9)/(IS!AK8/90)</f>
        <v>35.880273250239696</v>
      </c>
      <c r="AL76" s="77">
        <f>AVERAGE(AK9,AL9)/(IS!AL8/90)</f>
        <v>31.367285499247362</v>
      </c>
      <c r="AM76" s="67">
        <f>AVERAGE(AH9,AM9)/(IS!AM8/365)</f>
        <v>30.434930654208348</v>
      </c>
      <c r="AN76" s="77">
        <f>AVERAGE(AM9,AN9)/(IS!AN8/90)</f>
        <v>35.914826498422713</v>
      </c>
      <c r="AO76" s="77">
        <f>AVERAGE(AN9,AO9)/(IS!AO8/90)</f>
        <v>37.345405509535738</v>
      </c>
      <c r="AP76" s="77">
        <f>AVERAGE(AO9,AP9)/(IS!AP8/90)</f>
        <v>34.505216007544057</v>
      </c>
      <c r="AQ76" s="77">
        <f>AVERAGE(AP9,AQ9)/(IS!AQ8/90)</f>
        <v>32.266767371601212</v>
      </c>
      <c r="AR76" s="67">
        <f>AVERAGE(AM9,AR9)/(IS!AR8/365)</f>
        <v>31.805391409821787</v>
      </c>
      <c r="AS76" s="77">
        <f>AVERAGE(AR9,AS9)/(IS!AS8/90)</f>
        <v>34.581488933601612</v>
      </c>
      <c r="AT76" s="77">
        <f>AVERAGE(AS9,AT9)/(IS!AT8/90)</f>
        <v>33.180801547482318</v>
      </c>
      <c r="AU76" s="77">
        <f>AVERAGE(AT9,AU9)/(IS!AU8/90)</f>
        <v>31.624640379082756</v>
      </c>
      <c r="AV76" s="77">
        <f>AVERAGE(AU9,AV9)/(IS!AV8/90)</f>
        <v>27.819227818972131</v>
      </c>
      <c r="AW76" s="67">
        <f>AVERAGE(AR9,AW9)/(IS!AW8/365)</f>
        <v>29.777224121626539</v>
      </c>
      <c r="AX76" s="77">
        <f>AVERAGE(AW9,AX9)/(IS!AX8/90)</f>
        <v>28.481659185884538</v>
      </c>
      <c r="AY76" s="77">
        <f>AVERAGE(AX9,AY9)/(IS!AY8/90)</f>
        <v>27.823294176455885</v>
      </c>
      <c r="AZ76" s="77">
        <f>AVERAGE(AY9,AZ9)/(IS!AZ8/90)</f>
        <v>25.48455617752899</v>
      </c>
      <c r="BA76" s="77">
        <f>AVERAGE(AZ9,BA9)/(IS!BA8/90)</f>
        <v>22.286117836965293</v>
      </c>
      <c r="BB76" s="67">
        <f>AVERAGE(AW9,BB9)/(IS!BB8/365)</f>
        <v>25.467973512203482</v>
      </c>
      <c r="BC76" s="77">
        <f>AVERAGE(BB9,BC9)/(IS!BC8/90)</f>
        <v>28.48435928650823</v>
      </c>
      <c r="BD76" s="77">
        <f>AVERAGE(BC9,BD9)/(IS!BD8/90)</f>
        <v>26.31515012606005</v>
      </c>
      <c r="BE76" s="77">
        <f>AVERAGE(BD9,BE9)/(IS!BE8/90)</f>
        <v>26.55264347040217</v>
      </c>
      <c r="BF76" s="77">
        <f>AVERAGE(BE9,BF9)/(IS!BF8/90)</f>
        <v>24.96951911676911</v>
      </c>
      <c r="BG76" s="67">
        <f>AVERAGE(BB9,BG9)/(IS!BG8/365)</f>
        <v>25.606302684955796</v>
      </c>
      <c r="BH76" s="77">
        <f>AVERAGE(BG9,BH9)/(IS!BH8/90)</f>
        <v>30.535792817004644</v>
      </c>
      <c r="BI76" s="77">
        <f>AVERAGE(BH9,BI9)/(IS!BI8/90)</f>
        <v>30.690632796552503</v>
      </c>
      <c r="BJ76" s="77">
        <f>AVERAGE(BI9,BJ9)/(IS!BJ8/90)</f>
        <v>29.31319374369324</v>
      </c>
      <c r="BK76" s="77">
        <f>AVERAGE(BJ9,BK9)/(IS!BK8/90)</f>
        <v>28.558116723884257</v>
      </c>
      <c r="BL76" s="67">
        <f>AVERAGE(BG9,BL9)/(IS!BL8/365)</f>
        <v>28.703504770719025</v>
      </c>
      <c r="BM76" s="77">
        <f>AVERAGE(BL9,BM9)/(IS!BM8/90)</f>
        <v>32.133279154815114</v>
      </c>
      <c r="BN76" s="77">
        <f>AVERAGE(BM9,BN9)/(IS!BN8/90)</f>
        <v>29.361936193619364</v>
      </c>
      <c r="BO76" s="77">
        <f>AVERAGE(BN9,BO9)/(IS!BO8/90)</f>
        <v>29.213702657743045</v>
      </c>
      <c r="BP76" s="77">
        <f>AVERAGE(BO9,BP9)/(IS!BP8/90)</f>
        <v>33.5347643490434</v>
      </c>
      <c r="BQ76" s="67">
        <f>AVERAGE(BL9,BQ9)/(IS!BQ8/365)</f>
        <v>31.219853507293426</v>
      </c>
      <c r="BR76" s="77">
        <f>AVERAGE(BQ9,BR9)/(IS!BR8/90)</f>
        <v>36.633085896076352</v>
      </c>
      <c r="BS76" s="77">
        <f>AVERAGE(BR9,BS9)/(IS!BS8/90)</f>
        <v>35.483740658452838</v>
      </c>
      <c r="BT76" s="77">
        <f>AVERAGE(BS9,BT9)/(IS!BT8/90)</f>
        <v>36.404092392668836</v>
      </c>
      <c r="BU76" s="77">
        <f>AVERAGE(BT9,BU9)/(IS!BU8/90)</f>
        <v>35.472816284462766</v>
      </c>
      <c r="BV76" s="67">
        <f>AVERAGE(BQ9,BV9)/(IS!BV8/365)</f>
        <v>33.857762950587393</v>
      </c>
      <c r="BW76" s="77">
        <f>AVERAGE(BV9,BW9)/(IS!BW8/90)</f>
        <v>37.225763854105004</v>
      </c>
      <c r="BX76" s="77">
        <f>AVERAGE(BW9,BX9)/(IS!BX8/90)</f>
        <v>36.775411045073966</v>
      </c>
      <c r="BY76" s="77">
        <f>AVERAGE(BX9,BY9)/(IS!BY8/90)</f>
        <v>37.427857821079137</v>
      </c>
      <c r="BZ76" s="77">
        <f>AVERAGE(BY9,BZ9)/(IS!BZ8/90)</f>
        <v>38.441663302381912</v>
      </c>
      <c r="CA76" s="67">
        <f>AVERAGE(BV9,CA9)/(IS!CA8/365)</f>
        <v>37.561938194776879</v>
      </c>
      <c r="CB76" s="77">
        <f>AVERAGE(CA9,CB9)/(IS!CB8/90)</f>
        <v>25.631254811393379</v>
      </c>
      <c r="CC76" s="77">
        <f>AVERAGE(CB9,CC9)/(IS!CC8/90)</f>
        <v>10.434701953994557</v>
      </c>
      <c r="CD76" s="77">
        <f>AVERAGE(CC9,CD9)/(IS!CD8/90)</f>
        <v>10.229062276306372</v>
      </c>
      <c r="CE76" s="77">
        <f>AVERAGE(CD9,CE9)/(IS!CE8/90)</f>
        <v>10.752619879326771</v>
      </c>
      <c r="CF76" s="67">
        <f>AVERAGE(CA9,CF9)/(IS!CF8/365)</f>
        <v>25.978101792795201</v>
      </c>
      <c r="CG76" s="77">
        <f>AVERAGE(CF9,CG9)/(IS!CG8/90)</f>
        <v>14.821311690011783</v>
      </c>
      <c r="CH76" s="77">
        <f>AVERAGE(CG9,CH9)/(IS!CH8/90)</f>
        <v>19.88445178083931</v>
      </c>
      <c r="CI76" s="77">
        <f>AVERAGE(CH9,CI9)/(IS!CI8/90)</f>
        <v>15.439189189189189</v>
      </c>
      <c r="CJ76" s="77">
        <f>AVERAGE(CI9,CJ9)/(IS!CJ8/90)</f>
        <v>17.159845904751268</v>
      </c>
      <c r="CK76" s="67">
        <f>AVERAGE(CF9,CK9)/(IS!CK8/365)</f>
        <v>17.032125550229235</v>
      </c>
      <c r="CL76" s="77">
        <f>AVERAGE(CK9,CL9)/(IS!CL8/90)</f>
        <v>17.238289567068843</v>
      </c>
      <c r="CM76" s="77">
        <f>AVERAGE(CL9,CM9)/(IS!CM8/90)</f>
        <v>22.883035487422713</v>
      </c>
      <c r="CN76" s="77">
        <f>AVERAGE(CM9,CN9)/(IS!CN8/90)</f>
        <v>17.679821769573522</v>
      </c>
      <c r="CO76" s="77">
        <f>AVERAGE(CN9,CO9)/(IS!CO8/90)</f>
        <v>13.869903293256664</v>
      </c>
      <c r="CP76" s="120">
        <f>AVERAGE(CK9,CP9)/(IS!CP8/365)</f>
        <v>16.383515595446884</v>
      </c>
      <c r="CQ76" s="77">
        <f>AVERAGE(CP9,CQ9)/(IS!CQ8/90)</f>
        <v>12.748570677531708</v>
      </c>
      <c r="CR76" s="77">
        <f>AVERAGE(CQ9,CR9)/(IS!CR8/90)</f>
        <v>12.829156371337804</v>
      </c>
      <c r="CS76" s="77">
        <f>AVERAGE(CR9,CS9)/(IS!CS8/90)</f>
        <v>13.952415237596544</v>
      </c>
      <c r="CT76" s="77">
        <f>AVERAGE(CS9,CT9)/(IS!CT8/90)</f>
        <v>14.86919488947475</v>
      </c>
      <c r="CU76" s="120">
        <f>AVERAGE(CP9,CU9)/(IS!CU8/365)</f>
        <v>13.466429053077738</v>
      </c>
      <c r="CV76" s="77">
        <f>AVERAGE(CU9,CV9)/(IS!CV8/90)</f>
        <v>16.236151811879065</v>
      </c>
      <c r="CW76" s="77">
        <f>AVERAGE(CV9,CW9)/(IS!CW8/90)</f>
        <v>14.575565014087886</v>
      </c>
      <c r="CX76" s="77">
        <f>AVERAGE(CW9,CX9)/(IS!CX8/90)</f>
        <v>15.988029581348709</v>
      </c>
      <c r="CY76" s="77">
        <f>AVERAGE(CX9,CY9)/(IS!CY8/90)</f>
        <v>11.689189189189189</v>
      </c>
      <c r="CZ76" s="120">
        <f>AVERAGE(CU9,CZ9)/(IS!CZ8/365)</f>
        <v>14.132461566178236</v>
      </c>
      <c r="DA76" s="77">
        <f>AVERAGE(CZ9,DA9)/(IS!DA8/90)</f>
        <v>13.506779755593994</v>
      </c>
      <c r="DB76" s="16">
        <f>AVERAGE(DA9,DB9)/(IS!DB8/90)</f>
        <v>13.230469343324389</v>
      </c>
      <c r="DC76" s="16">
        <f>AVERAGE(DB9,DC9)/(IS!DC8/90)</f>
        <v>14.856661511268227</v>
      </c>
      <c r="DD76" s="77">
        <f>AVERAGE(DC9,DD9)/(IS!DD8/90)</f>
        <v>11.61072758652012</v>
      </c>
      <c r="DE76" s="120">
        <f>AVERAGE(CZ9,DE9)/(IS!DE8/365)</f>
        <v>12.11912229734941</v>
      </c>
      <c r="DF76" s="77">
        <f>AVERAGE(DE9,DF9)/(IS!DF8/90)</f>
        <v>15.230852797392721</v>
      </c>
      <c r="DG76" s="16">
        <f>AVERAGE(DF9,DG9)/(IS!DG8/90)</f>
        <v>16.312700106723586</v>
      </c>
      <c r="DH76" s="16">
        <f>AVERAGE(DG9,DH9)/(IS!DH8/90)</f>
        <v>15.258127802690582</v>
      </c>
      <c r="DI76" s="77">
        <f>AVERAGE(DH9,DI9)/(IS!DI8/90)</f>
        <v>16.311835717097495</v>
      </c>
      <c r="DJ76" s="120">
        <f>AVERAGE(DE9,DJ9)/(IS!DJ8/365)</f>
        <v>14.486522242434265</v>
      </c>
      <c r="DK76" s="77">
        <f>AVERAGE(DJ9,DK9)/(IS!DK8/90)</f>
        <v>13.468147312269183</v>
      </c>
      <c r="DL76" s="16">
        <f>AVERAGE(DK9,DL9)/(IS!DL8/90)</f>
        <v>12.648028484768561</v>
      </c>
      <c r="DM76" s="16">
        <f>AVERAGE(DL9,DM9)/(IS!DM8/90)</f>
        <v>12.577567683712935</v>
      </c>
      <c r="DN76" s="77">
        <f>AVERAGE(DM9,DN9)/(IS!DN8/90)</f>
        <v>11.716009687656589</v>
      </c>
      <c r="DO76" s="120">
        <f>AVERAGE(DJ9,DO9)/(IS!DO8/365)</f>
        <v>11.325799492527638</v>
      </c>
      <c r="DP76" s="77">
        <f>AVERAGE(DO9,DP9)/(IS!DP8/90)</f>
        <v>12.975199171805375</v>
      </c>
      <c r="DQ76" s="16">
        <f>AVERAGE(DP9,DQ9)/(IS!DQ8/90)</f>
        <v>12.8257328990228</v>
      </c>
      <c r="DR76" s="591">
        <v>8.7534114367241855</v>
      </c>
      <c r="DS76" s="591">
        <v>8.7534114367241855</v>
      </c>
      <c r="DT76" s="120">
        <f>AVERAGE(DO9,DT9)/(IS!DT8/365)</f>
        <v>10.252732067111669</v>
      </c>
      <c r="DU76" s="591">
        <v>8.7534114367241855</v>
      </c>
      <c r="DV76" s="591">
        <v>8.7534114367241855</v>
      </c>
      <c r="DW76" s="591">
        <v>8.7534114367241855</v>
      </c>
      <c r="DX76" s="591">
        <v>8.7534114367241855</v>
      </c>
      <c r="DY76" s="120">
        <f>AVERAGE(DT9,DY9)/(IS!DY8/365)</f>
        <v>8.9775389435176329</v>
      </c>
      <c r="DZ76" s="180">
        <v>8.7534114367241855</v>
      </c>
      <c r="EA76" s="180">
        <v>8.7534114367241855</v>
      </c>
      <c r="EB76" s="180">
        <v>8.7534114367241855</v>
      </c>
    </row>
    <row r="77" spans="2:132">
      <c r="B77" s="68" t="s">
        <v>242</v>
      </c>
      <c r="C77" s="67">
        <f>AVERAGE(B27,C27)/(-IS!C12/365)</f>
        <v>103.70583603975986</v>
      </c>
      <c r="D77" s="67">
        <f>AVERAGE(C27,D27)/(-IS!D12/365)</f>
        <v>80.447166937047442</v>
      </c>
      <c r="E77" s="67">
        <f>AVERAGE(D27,E27)/(-IS!E12/365)</f>
        <v>78.241718628215111</v>
      </c>
      <c r="F77" s="67">
        <f>AVERAGE(E27,F27)/(-IS!F12/365)</f>
        <v>97.061676427525626</v>
      </c>
      <c r="G77" s="67">
        <f>AVERAGE(F27,G27)/(-IS!G12/365)</f>
        <v>96.71998646930993</v>
      </c>
      <c r="H77" s="67">
        <f>AVERAGE(G27,H27)/(-IS!H12/365)</f>
        <v>110.7498516450911</v>
      </c>
      <c r="I77" s="67">
        <f>AVERAGE(H27,I27)/(-IS!I12/365)</f>
        <v>112.46422444925966</v>
      </c>
      <c r="J77" s="77">
        <f>AVERAGE(I27,J27)/(-IS!J12/90)</f>
        <v>112.49792262948942</v>
      </c>
      <c r="K77" s="77">
        <f>AVERAGE(J27,K27)/(-IS!K12/90)</f>
        <v>113.7395111273258</v>
      </c>
      <c r="L77" s="77">
        <f>AVERAGE(K27,L27)/(-IS!L12/90)</f>
        <v>116.64489469474807</v>
      </c>
      <c r="M77" s="77">
        <f>AVERAGE(L27,M27)/(-IS!M12/90)</f>
        <v>112.1148868664941</v>
      </c>
      <c r="N77" s="67">
        <f>AVERAGE(I27,N27)/(-IS!N12/365)</f>
        <v>115.24353137146029</v>
      </c>
      <c r="O77" s="77">
        <f>AVERAGE(N27,O27)/(-IS!O12/90)</f>
        <v>126.11940990907404</v>
      </c>
      <c r="P77" s="77">
        <f>AVERAGE(O27,P27)/(-IS!P12/90)</f>
        <v>112.76860828459259</v>
      </c>
      <c r="Q77" s="77">
        <f>AVERAGE(P27,Q27)/(-IS!Q12/90)</f>
        <v>137.13311688311688</v>
      </c>
      <c r="R77" s="77">
        <f>AVERAGE(Q27,R27)/(-IS!R12/90)</f>
        <v>123.60300764236996</v>
      </c>
      <c r="S77" s="67">
        <f>AVERAGE(N27,S27)/(-IS!S12/365)</f>
        <v>123.94423043628808</v>
      </c>
      <c r="T77" s="77">
        <f>AVERAGE(S27,T27)/(-IS!T12/90)</f>
        <v>130.10614233513138</v>
      </c>
      <c r="U77" s="77">
        <f>AVERAGE(T27,U27)/(-IS!U12/90)</f>
        <v>123.44020315847948</v>
      </c>
      <c r="V77" s="77">
        <f>AVERAGE(U27,V27)/(-IS!V12/90)</f>
        <v>130.8939534101421</v>
      </c>
      <c r="W77" s="77">
        <f>AVERAGE(V27,W27)/(-IS!W12/90)</f>
        <v>102.58044425991281</v>
      </c>
      <c r="X77" s="67">
        <f>AVERAGE(S27,X27)/(-IS!X12/365)</f>
        <v>118.37153280329916</v>
      </c>
      <c r="Y77" s="77">
        <f>AVERAGE(X27,Y27)/(-IS!Y12/90)</f>
        <v>117.84526332952878</v>
      </c>
      <c r="Z77" s="77">
        <f>AVERAGE(Y27,Z27)/(-IS!Z12/90)</f>
        <v>109.43309574546257</v>
      </c>
      <c r="AA77" s="77">
        <f>AVERAGE(Z27,AA27)/(-IS!AA12/90)</f>
        <v>114.85954418111608</v>
      </c>
      <c r="AB77" s="77">
        <f>AVERAGE(AA27,AB27)/(-IS!AB12/90)</f>
        <v>104.36731843575419</v>
      </c>
      <c r="AC77" s="67">
        <f>AVERAGE(X27,AC27)/(-IS!AC12/365)</f>
        <v>112.35632560578256</v>
      </c>
      <c r="AD77" s="77">
        <f>AVERAGE(AC27,AD27)/(-IS!AD12/90)</f>
        <v>121.42324474414916</v>
      </c>
      <c r="AE77" s="77">
        <f>AVERAGE(AD27,AE27)/(-IS!AE12/90)</f>
        <v>112.21596614545977</v>
      </c>
      <c r="AF77" s="77">
        <f>AVERAGE(AE27,AF27)/(-IS!AF12/90)</f>
        <v>121.49031177737024</v>
      </c>
      <c r="AG77" s="77">
        <f>AVERAGE(AF27,AG27)/(-IS!AG12/90)</f>
        <v>135.88689630681819</v>
      </c>
      <c r="AH77" s="67">
        <f>AVERAGE(AC27,AH27)/(-IS!AH12/365)</f>
        <v>124.18568279313631</v>
      </c>
      <c r="AI77" s="77">
        <f>AVERAGE(AH27,AI27)/(-IS!AI12/90)</f>
        <v>115.04547108039287</v>
      </c>
      <c r="AJ77" s="77">
        <f>AVERAGE(AI27,AJ27)/(-IS!AJ12/90)</f>
        <v>78.928442094589712</v>
      </c>
      <c r="AK77" s="77">
        <f>AVERAGE(AJ27,AK27)/(-IS!AK12/90)</f>
        <v>42.628798342541437</v>
      </c>
      <c r="AL77" s="77">
        <f>AVERAGE(AK27,AL27)/(-IS!AL12/90)</f>
        <v>43.886476426799014</v>
      </c>
      <c r="AM77" s="67">
        <f>AVERAGE(AH27,AM27)/(-IS!AM12/365)</f>
        <v>79.671869472939505</v>
      </c>
      <c r="AN77" s="77">
        <f>AVERAGE(AM27,AN27)/(-IS!AN12/90)</f>
        <v>53.971096837944664</v>
      </c>
      <c r="AO77" s="77">
        <f>AVERAGE(AN27,AO27)/(-IS!AO12/90)</f>
        <v>51.778708133971286</v>
      </c>
      <c r="AP77" s="77">
        <f>AVERAGE(AO27,AP27)/(-IS!AP12/90)</f>
        <v>47.543649061545182</v>
      </c>
      <c r="AQ77" s="77">
        <f>AVERAGE(AP27,AQ27)/(-IS!AQ12/90)</f>
        <v>51.256989487810337</v>
      </c>
      <c r="AR77" s="67">
        <f>AVERAGE(AM27,AR27)/(-IS!AR12/365)</f>
        <v>52.138331115097508</v>
      </c>
      <c r="AS77" s="77">
        <f>AVERAGE(AR27,AS27)/(-IS!AS12/90)</f>
        <v>59.826956593908214</v>
      </c>
      <c r="AT77" s="77">
        <f>AVERAGE(AS27,AT27)/(-IS!AT12/90)</f>
        <v>56.475000000000001</v>
      </c>
      <c r="AU77" s="77">
        <f>AVERAGE(AT27,AU27)/(-IS!AU12/90)</f>
        <v>52.544403426899777</v>
      </c>
      <c r="AV77" s="77">
        <f>AVERAGE(AU27,AV27)/(-IS!AV12/90)</f>
        <v>46.790480290265052</v>
      </c>
      <c r="AW77" s="67">
        <f>AVERAGE(AR27,AW27)/(-IS!AW12/365)</f>
        <v>52.662260368374888</v>
      </c>
      <c r="AX77" s="77">
        <f>AVERAGE(AW27,AX27)/(-IS!AX12/90)</f>
        <v>48.858983135229323</v>
      </c>
      <c r="AY77" s="77">
        <f>AVERAGE(AX27,AY27)/(-IS!AY12/90)</f>
        <v>49.231182795698928</v>
      </c>
      <c r="AZ77" s="77">
        <f>AVERAGE(AY27,AZ27)/(-IS!AZ12/90)</f>
        <v>49.370310825294752</v>
      </c>
      <c r="BA77" s="77">
        <f>AVERAGE(AZ27,BA27)/(-IS!BA12/90)</f>
        <v>43.830155979202772</v>
      </c>
      <c r="BB77" s="67">
        <f>AVERAGE(AW27,BB27)/(-IS!BB12/365)</f>
        <v>47.323873900122365</v>
      </c>
      <c r="BC77" s="77">
        <f>AVERAGE(BB27,BC27)/(-IS!BC12/90)</f>
        <v>55.036176694592534</v>
      </c>
      <c r="BD77" s="77">
        <f>AVERAGE(BC27,BD27)/(-IS!BD12/90)</f>
        <v>49.543902439024393</v>
      </c>
      <c r="BE77" s="77">
        <f>AVERAGE(BD27,BE27)/(-IS!BE12/90)</f>
        <v>50.831637570954271</v>
      </c>
      <c r="BF77" s="77">
        <f>AVERAGE(BE27,BF27)/(-IS!BF12/90)</f>
        <v>44.4857268981754</v>
      </c>
      <c r="BG77" s="67">
        <f>AVERAGE(BB27,BG27)/(-IS!BG12/365)</f>
        <v>47.057241906425723</v>
      </c>
      <c r="BH77" s="77">
        <f>AVERAGE(BG27,BH27)/(-IS!BH12/90)</f>
        <v>52.755839500462535</v>
      </c>
      <c r="BI77" s="77">
        <f>AVERAGE(BH27,BI27)/(-IS!BI12/90)</f>
        <v>52.638189608998388</v>
      </c>
      <c r="BJ77" s="77">
        <f>AVERAGE(BI27,BJ27)/(-IS!BJ12/90)</f>
        <v>49.754420921544209</v>
      </c>
      <c r="BK77" s="77">
        <f>AVERAGE(BJ27,BK27)/(-IS!BK12/90)</f>
        <v>47.372652213799427</v>
      </c>
      <c r="BL77" s="67">
        <f>AVERAGE(BG27,BL27)/(-IS!BL12/365)</f>
        <v>47.948099072336881</v>
      </c>
      <c r="BM77" s="77">
        <f>AVERAGE(BL27,BM27)/(-IS!BM12/90)</f>
        <v>53.92409169550173</v>
      </c>
      <c r="BN77" s="77">
        <f>AVERAGE(BM27,BN27)/(-IS!BN12/90)</f>
        <v>48.536768149882903</v>
      </c>
      <c r="BO77" s="77">
        <f>AVERAGE(BN27,BO27)/(-IS!BO12/90)</f>
        <v>48.55833333333333</v>
      </c>
      <c r="BP77" s="77">
        <f>AVERAGE(BO27,BP27)/(-IS!BP12/90)</f>
        <v>49.218341246003291</v>
      </c>
      <c r="BQ77" s="67">
        <f>AVERAGE(BL27,BQ27)/(-IS!BQ12/365)</f>
        <v>47.725946545171034</v>
      </c>
      <c r="BR77" s="77">
        <f>AVERAGE(BQ27,BR27)/(-IS!BR12/90)</f>
        <v>52.684191234225267</v>
      </c>
      <c r="BS77" s="77">
        <f>AVERAGE(BR27,BS27)/(-IS!BS12/90)</f>
        <v>46.977379619260923</v>
      </c>
      <c r="BT77" s="77">
        <f>AVERAGE(BS27,BT27)/(-IS!BT12/90)</f>
        <v>53.618368167202568</v>
      </c>
      <c r="BU77" s="77">
        <f>AVERAGE(BT27,BU27)/(-IS!BU12/90)</f>
        <v>53.540382244143032</v>
      </c>
      <c r="BV77" s="67">
        <f>AVERAGE(BQ27,BV27)/(-IS!BV12/365)</f>
        <v>49.67415521722986</v>
      </c>
      <c r="BW77" s="77">
        <f>AVERAGE(BV27,BW27)/(-IS!BW12/90)</f>
        <v>57.651192386432804</v>
      </c>
      <c r="BX77" s="77">
        <f>AVERAGE(BW27,BX27)/(-IS!BX12/90)</f>
        <v>57.884985563041383</v>
      </c>
      <c r="BY77" s="77">
        <f>AVERAGE(BX27,BY27)/(-IS!BY12/90)</f>
        <v>55.947835237522554</v>
      </c>
      <c r="BZ77" s="77">
        <f>AVERAGE(BY27,BZ27)/(-IS!BZ12/90)</f>
        <v>56.405613399728381</v>
      </c>
      <c r="CA77" s="67">
        <f>AVERAGE(BV27,CA27)/(-IS!CA12/365)</f>
        <v>55.722863259019469</v>
      </c>
      <c r="CB77" s="77">
        <f>AVERAGE(CA27,CB27)/(-IS!CB12/90)</f>
        <v>59.321876328091797</v>
      </c>
      <c r="CC77" s="77">
        <f>AVERAGE(CB27,CC27)/(-IS!CC12/90)</f>
        <v>58.776873464373466</v>
      </c>
      <c r="CD77" s="77">
        <f>AVERAGE(CC27,CD27)/(-IS!CD12/90)</f>
        <v>56.821055133079852</v>
      </c>
      <c r="CE77" s="77">
        <f>AVERAGE(CD27,CE27)/(-IS!CE12/90)</f>
        <v>54.144635581711178</v>
      </c>
      <c r="CF77" s="67">
        <f>AVERAGE(CA27,CF27)/(-IS!CF12/365)</f>
        <v>56.252730396367653</v>
      </c>
      <c r="CG77" s="77">
        <f>AVERAGE(CF27,CG27)/(-IS!CG12/90)</f>
        <v>66.634754625905074</v>
      </c>
      <c r="CH77" s="77">
        <f>AVERAGE(CG27,CH27)/(-IS!CH12/90)</f>
        <v>75.699045480067383</v>
      </c>
      <c r="CI77" s="77">
        <f>AVERAGE(CH27,CI27)/(-IS!CI12/90)</f>
        <v>80.718251624335494</v>
      </c>
      <c r="CJ77" s="77">
        <f>AVERAGE(CI27,CJ27)/(-IS!CJ12/90)</f>
        <v>73.734765875561251</v>
      </c>
      <c r="CK77" s="67">
        <f>AVERAGE(CF27,CK27)/(-IS!CK12/365)</f>
        <v>72.067919215457806</v>
      </c>
      <c r="CL77" s="77">
        <f>AVERAGE(CK27,CL27)/(-IS!CL12/90)</f>
        <v>81.895276717557252</v>
      </c>
      <c r="CM77" s="77">
        <f>AVERAGE(CL27,CM27)/(-IS!CM12/90)</f>
        <v>99.386269070735096</v>
      </c>
      <c r="CN77" s="77">
        <f>AVERAGE(CM27,CN27)/(-IS!CN12/90)</f>
        <v>96.761159862647844</v>
      </c>
      <c r="CO77" s="77">
        <f>AVERAGE(CN27,CO27)/(-IS!CO12/90)</f>
        <v>58.751667301829272</v>
      </c>
      <c r="CP77" s="120">
        <f>AVERAGE(CK27,CP27)/(-IS!CP12/365)</f>
        <v>81.415072913240294</v>
      </c>
      <c r="CQ77" s="77">
        <f>AVERAGE(CP27,CQ27)/(-IS!CQ12/90)</f>
        <v>82.576042873696409</v>
      </c>
      <c r="CR77" s="77">
        <f>AVERAGE(CQ27,CR27)/(-IS!CR12/90)</f>
        <v>73.601590348231412</v>
      </c>
      <c r="CS77" s="77">
        <f>AVERAGE(CR27,CS27)/(-IS!CS12/90)</f>
        <v>71.653029632905799</v>
      </c>
      <c r="CT77" s="77">
        <f>AVERAGE(CS27,CT27)/(-IS!CT12/90)</f>
        <v>50.473218928757149</v>
      </c>
      <c r="CU77" s="120">
        <f>AVERAGE(CP27,CU27)/(-IS!CU12/365)</f>
        <v>68.323955187366082</v>
      </c>
      <c r="CV77" s="77">
        <f>AVERAGE(CU27,CV27)/(-IS!CV12/90)</f>
        <v>59.494320263832904</v>
      </c>
      <c r="CW77" s="77">
        <f>AVERAGE(CV27,CW27)/(-IS!CW12/90)</f>
        <v>56.729857819905206</v>
      </c>
      <c r="CX77" s="77">
        <f>AVERAGE(CW27,CX27)/(-IS!CX12/90)</f>
        <v>51.946596733818097</v>
      </c>
      <c r="CY77" s="77">
        <f>AVERAGE(CX27,CY27)/(-IS!CY12/90)</f>
        <v>49.640531891414703</v>
      </c>
      <c r="CZ77" s="120">
        <f>AVERAGE(CU27,CZ27)/(-IS!CZ12/365)</f>
        <v>56.280424999207682</v>
      </c>
      <c r="DA77" s="77">
        <f>AVERAGE(CZ27,DA27)/(-IS!DA12/90)</f>
        <v>57.590323790473811</v>
      </c>
      <c r="DB77" s="16">
        <f>AVERAGE(DA27,DB27)/(-IS!DB12/90)</f>
        <v>53.584662025600721</v>
      </c>
      <c r="DC77" s="16">
        <f>AVERAGE(DB27,DC27)/(-IS!DC12/90)</f>
        <v>58.65487927268434</v>
      </c>
      <c r="DD77" s="77">
        <f>AVERAGE(DC27,DD27)/(-IS!DD12/90)</f>
        <v>53.817866570053312</v>
      </c>
      <c r="DE77" s="120">
        <f>AVERAGE(CZ27,DE27)/(-IS!DE12/365)</f>
        <v>57.726987298415871</v>
      </c>
      <c r="DF77" s="77">
        <f>AVERAGE(DE27,DF27)/(-IS!DF12/90)</f>
        <v>72.21806302320833</v>
      </c>
      <c r="DG77" s="16">
        <f>AVERAGE(DF27,DG27)/(-IS!DG12/90)</f>
        <v>67.570505851506041</v>
      </c>
      <c r="DH77" s="16">
        <f>AVERAGE(DG27,DH27)/(-IS!DH12/90)</f>
        <v>50.868740338220825</v>
      </c>
      <c r="DI77" s="77">
        <f>AVERAGE(DH27,DI27)/(-IS!DI12/90)</f>
        <v>63.18073792406868</v>
      </c>
      <c r="DJ77" s="120">
        <f>AVERAGE(DE27,DJ27)/(-IS!DJ12/365)</f>
        <v>62.143983184445609</v>
      </c>
      <c r="DK77" s="77">
        <f>AVERAGE(DJ27,DK27)/(-IS!DK12/90)</f>
        <v>59.014579307922006</v>
      </c>
      <c r="DL77" s="16">
        <f>AVERAGE(DK27,DL27)/(-IS!DL12/90)</f>
        <v>49.337402776410357</v>
      </c>
      <c r="DM77" s="16">
        <f>AVERAGE(DL27,DM27)/(-IS!DM12/90)</f>
        <v>40.306102554104115</v>
      </c>
      <c r="DN77" s="77">
        <f>AVERAGE(DM27,DN27)/(-IS!DN12/90)</f>
        <v>50.498960968558009</v>
      </c>
      <c r="DO77" s="120">
        <f>AVERAGE(DJ27,DO27)/(-IS!DO12/365)</f>
        <v>52.437627679808394</v>
      </c>
      <c r="DP77" s="77">
        <f>AVERAGE(DO27,DP27)/(-IS!DP12/90)</f>
        <v>61.358853134055209</v>
      </c>
      <c r="DQ77" s="16">
        <f>AVERAGE(DP27,DQ27)/(-IS!DQ12/90)</f>
        <v>57.015036575453806</v>
      </c>
      <c r="DR77" s="591">
        <v>47.310314049165314</v>
      </c>
      <c r="DS77" s="591">
        <v>47.310314049165314</v>
      </c>
      <c r="DT77" s="120">
        <f>AVERAGE(DO27,DT27)/(-IS!DT12/365)</f>
        <v>53.142164763646193</v>
      </c>
      <c r="DU77" s="591">
        <v>47.310314049165314</v>
      </c>
      <c r="DV77" s="591">
        <v>47.310314049165314</v>
      </c>
      <c r="DW77" s="591">
        <v>47.310314049165314</v>
      </c>
      <c r="DX77" s="591">
        <v>47.310314049165314</v>
      </c>
      <c r="DY77" s="120">
        <f>AVERAGE(DT27,DY27)/(-IS!DY12/365)</f>
        <v>48.323030619218152</v>
      </c>
      <c r="DZ77" s="180">
        <v>47.310314049165314</v>
      </c>
      <c r="EA77" s="180">
        <v>47.310314049165314</v>
      </c>
      <c r="EB77" s="180">
        <v>47.310314049165314</v>
      </c>
    </row>
    <row r="78" spans="2:132">
      <c r="B78" s="206" t="s">
        <v>243</v>
      </c>
      <c r="C78" s="203">
        <f>-IS!C12/(AVERAGE(B13,C13))</f>
        <v>4.5326196052191365</v>
      </c>
      <c r="D78" s="203">
        <f>-IS!D12/(AVERAGE(C13,D13))</f>
        <v>5.8380688380688381</v>
      </c>
      <c r="E78" s="203">
        <f>-IS!E12/(AVERAGE(D13,E13))</f>
        <v>6.8941429339065019</v>
      </c>
      <c r="F78" s="203">
        <f>-IS!F12/(AVERAGE(E13,F13))</f>
        <v>6.5569639240981026</v>
      </c>
      <c r="G78" s="203">
        <f>-IS!G12/(AVERAGE(F13,G13))</f>
        <v>7.1136065334694472</v>
      </c>
      <c r="H78" s="203">
        <f>-IS!H12/(AVERAGE(G13,H13))</f>
        <v>6.944291819291819</v>
      </c>
      <c r="I78" s="203">
        <f>-IS!I12/(AVERAGE(H13,I13))</f>
        <v>7.6903315396632532</v>
      </c>
      <c r="J78" s="204">
        <f>(-IS!J12*4)/AVERAGE(BS!I13,J13)</f>
        <v>8.1268054773963616</v>
      </c>
      <c r="K78" s="204">
        <f>(-IS!K12*4)/AVERAGE(BS!J13,K13)</f>
        <v>9.1566969412255972</v>
      </c>
      <c r="L78" s="204">
        <f>(-IS!L12*4)/AVERAGE(BS!K13,L13)</f>
        <v>10.547627416520211</v>
      </c>
      <c r="M78" s="204">
        <f>(-IS!M12*4)/AVERAGE(BS!L13,M13)</f>
        <v>11.236777295649114</v>
      </c>
      <c r="N78" s="203">
        <f>-IS!N12/AVERAGE(BS!N13,BS!I13)</f>
        <v>9.3948878455920717</v>
      </c>
      <c r="O78" s="204">
        <f>(-IS!O12*4)/AVERAGE(BS!N13,O13)</f>
        <v>8.3501840015494864</v>
      </c>
      <c r="P78" s="204">
        <f>(-IS!P12*4)/AVERAGE(BS!O13,P13)</f>
        <v>8.6172434625010794</v>
      </c>
      <c r="Q78" s="204">
        <f>(-IS!Q12*4)/AVERAGE(BS!P13,Q13)</f>
        <v>6.9632620104965683</v>
      </c>
      <c r="R78" s="204">
        <f>(-IS!R12*4)/AVERAGE(BS!Q13,R13)</f>
        <v>6.5702908820948913</v>
      </c>
      <c r="S78" s="203">
        <f>-IS!S12/AVERAGE(BS!S13,BS!N13)</f>
        <v>7.5831623861491755</v>
      </c>
      <c r="T78" s="204">
        <f>(-IS!T12*4)/AVERAGE(BS!S13,T13)</f>
        <v>5.9068542429498301</v>
      </c>
      <c r="U78" s="204">
        <f>(-IS!U12*4)/AVERAGE(BS!T13,U13)</f>
        <v>6.6369082888932782</v>
      </c>
      <c r="V78" s="204">
        <f>(-IS!V12*4)/AVERAGE(BS!U13,V13)</f>
        <v>6.0456307594534477</v>
      </c>
      <c r="W78" s="204">
        <f>(-IS!W12*4)/AVERAGE(BS!V13,W13)</f>
        <v>7.1021009952082563</v>
      </c>
      <c r="X78" s="203">
        <f>-IS!X12/AVERAGE(BS!X13,BS!S13)</f>
        <v>6.2869429728887507</v>
      </c>
      <c r="Y78" s="204">
        <f>(-IS!Y12*4)/AVERAGE(BS!X13,Y13)</f>
        <v>5.9453498939715237</v>
      </c>
      <c r="Z78" s="204">
        <f>(-IS!Z12*4)/AVERAGE(BS!Y13,Z13)</f>
        <v>6.4497630331753557</v>
      </c>
      <c r="AA78" s="204">
        <f>(-IS!AA12*4)/AVERAGE(BS!Z13,AA13)</f>
        <v>6.3365719083603214</v>
      </c>
      <c r="AB78" s="204">
        <f>(-IS!AB12*4)/AVERAGE(BS!AA13,AB13)</f>
        <v>6.4515402376527566</v>
      </c>
      <c r="AC78" s="203">
        <f>-IS!AC12/AVERAGE(BS!AC13,BS!X13)</f>
        <v>6.0450532035318085</v>
      </c>
      <c r="AD78" s="204">
        <f>(-IS!AD12*4)/AVERAGE(BS!AC13,AD13)</f>
        <v>5.1138495866930374</v>
      </c>
      <c r="AE78" s="204">
        <f>(-IS!AE12*4)/AVERAGE(BS!AD13,AE13)</f>
        <v>5.4941135904635239</v>
      </c>
      <c r="AF78" s="204">
        <f>(-IS!AF12*4)/AVERAGE(BS!AE13,AF13)</f>
        <v>4.7115619423311728</v>
      </c>
      <c r="AG78" s="204">
        <f>(-IS!AG12*4)/AVERAGE(BS!AF13,AG13)</f>
        <v>3.367288217929076</v>
      </c>
      <c r="AH78" s="203">
        <f>-IS!AH12/AVERAGE(BS!AH13,BS!AC13)</f>
        <v>4.0001588877855019</v>
      </c>
      <c r="AI78" s="204">
        <f>(-IS!AI12*4)/AVERAGE(BS!AH13,AI13)</f>
        <v>3.5174818463900706</v>
      </c>
      <c r="AJ78" s="204">
        <f>(-IS!AJ12*4)/AVERAGE(BS!AI13,AJ13)</f>
        <v>3.3625376723796765</v>
      </c>
      <c r="AK78" s="204">
        <f>(-IS!AK12*4)/AVERAGE(BS!AJ13,AK13)</f>
        <v>3.4911545764142131</v>
      </c>
      <c r="AL78" s="204">
        <f>(-IS!AL12*4)/AVERAGE(BS!AK13,AL13)</f>
        <v>3.5262806100747404</v>
      </c>
      <c r="AM78" s="203">
        <f>-IS!AM12/AVERAGE(BS!AM13,BS!AH13)</f>
        <v>3.4745736672299894</v>
      </c>
      <c r="AN78" s="204">
        <f>(-IS!AN12*4)/AVERAGE(BS!AM13,AN13)</f>
        <v>2.7208872458410349</v>
      </c>
      <c r="AO78" s="204">
        <f>(-IS!AO12*4)/AVERAGE(BS!AN13,AO13)</f>
        <v>2.563041312179045</v>
      </c>
      <c r="AP78" s="204">
        <f>(-IS!AP12*4)/AVERAGE(BS!AO13,AP13)</f>
        <v>2.6145506419400855</v>
      </c>
      <c r="AQ78" s="204">
        <f>(-IS!AQ12*4)/AVERAGE(BS!AP13,AQ13)</f>
        <v>2.3322393444760809</v>
      </c>
      <c r="AR78" s="203">
        <f>-IS!AR12/AVERAGE(BS!AR13,BS!AM13)</f>
        <v>2.5135999999999998</v>
      </c>
      <c r="AS78" s="204">
        <f>(-IS!AS12*4)/AVERAGE(BS!AR13,AS13)</f>
        <v>1.8815905053778132</v>
      </c>
      <c r="AT78" s="204">
        <f>(-IS!AT12*4)/AVERAGE(BS!AS13,AT13)</f>
        <v>1.8855122665428703</v>
      </c>
      <c r="AU78" s="204">
        <f>(-IS!AU12*4)/AVERAGE(BS!AT13,AU13)</f>
        <v>1.9275345293436488</v>
      </c>
      <c r="AV78" s="204">
        <f>(-IS!AV12*4)/AVERAGE(BS!AU13,AV13)</f>
        <v>2.0736773309103662</v>
      </c>
      <c r="AW78" s="203">
        <f>-IS!AW12/AVERAGE(BS!AW13,BS!AR13)</f>
        <v>1.975599837332249</v>
      </c>
      <c r="AX78" s="204">
        <f>(-IS!AX12*4)/AVERAGE(BS!AW13,AX13)</f>
        <v>1.9783926867555173</v>
      </c>
      <c r="AY78" s="204">
        <f>(-IS!AY12*4)/AVERAGE(BS!AX13,AY13)</f>
        <v>1.9760664591049268</v>
      </c>
      <c r="AZ78" s="204">
        <f>(-IS!AZ12*4)/AVERAGE(BS!AY13,AZ13)</f>
        <v>1.8698956158663884</v>
      </c>
      <c r="BA78" s="204">
        <f>(-IS!BA12*4)/AVERAGE(BS!AZ13,BA13)</f>
        <v>2.0428065658191179</v>
      </c>
      <c r="BB78" s="95">
        <f>-IS!BB12/AVERAGE(BS!BB13,BS!AW13)</f>
        <v>1.9615093369147463</v>
      </c>
      <c r="BC78" s="912">
        <f>(-IS!BC12*4)/AVERAGE(BS!BB13,BC13)</f>
        <v>1.6047257727758824</v>
      </c>
      <c r="BD78" s="912">
        <f>(-IS!BD12*4)/AVERAGE(BS!BC13,BD13)</f>
        <v>1.8215250953338846</v>
      </c>
      <c r="BE78" s="912">
        <f>(-IS!BE12*4)/AVERAGE(BS!BD13,BE13)</f>
        <v>1.8336156319807546</v>
      </c>
      <c r="BF78" s="912">
        <f>(-IS!BF12*4)/AVERAGE(BS!BE13,BF13)</f>
        <v>1.9382070539024623</v>
      </c>
      <c r="BG78" s="95">
        <f>-IS!BG12/AVERAGE(BS!BG13,BS!BB13)</f>
        <v>1.816644558223721</v>
      </c>
      <c r="BH78" s="912">
        <f>(-IS!BH12*4)/AVERAGE(BS!BG13,BH13)</f>
        <v>1.5749945932409821</v>
      </c>
      <c r="BI78" s="912">
        <f>(-IS!BI12*4)/AVERAGE(BS!BH13,BI13)</f>
        <v>1.6378629704360033</v>
      </c>
      <c r="BJ78" s="912">
        <f>(-IS!BJ12*4)/AVERAGE(BS!BI13,BJ13)</f>
        <v>1.7211630175009913</v>
      </c>
      <c r="BK78" s="912">
        <f>(-IS!BK12*4)/AVERAGE(BS!BJ13,BK13)</f>
        <v>1.7661329865478499</v>
      </c>
      <c r="BL78" s="95">
        <f>-IS!BL12/AVERAGE(BS!BL13,BS!BG13)</f>
        <v>1.7119150644600081</v>
      </c>
      <c r="BM78" s="912">
        <f>(-IS!BM12*4)/AVERAGE(BS!BL13,BM13)</f>
        <v>1.5533393520754162</v>
      </c>
      <c r="BN78" s="912">
        <f>(-IS!BN12*4)/AVERAGE(BS!BM13,BN13)</f>
        <v>1.7512560237875525</v>
      </c>
      <c r="BO78" s="912">
        <f>(-IS!BO12*4)/AVERAGE(BS!BN13,BO13)</f>
        <v>1.7695490107729488</v>
      </c>
      <c r="BP78" s="912">
        <f>(-IS!BP12*4)/AVERAGE(BS!BO13,BP13)</f>
        <v>1.7223016030287543</v>
      </c>
      <c r="BQ78" s="95">
        <f>-IS!BQ12/AVERAGE(BS!BQ13,BS!BL13)</f>
        <v>1.7463116802995331</v>
      </c>
      <c r="BR78" s="912">
        <f>(-IS!BR12*4)/AVERAGE(BS!BQ13,BR13)</f>
        <v>1.6162838674185118</v>
      </c>
      <c r="BS78" s="912">
        <f>(-IS!BS12*4)/AVERAGE(BS!BR13,BS13)</f>
        <v>1.9530224827224214</v>
      </c>
      <c r="BT78" s="912">
        <f>(-IS!BT12*4)/AVERAGE(BS!BS13,BT13)</f>
        <v>1.8331606456217908</v>
      </c>
      <c r="BU78" s="912">
        <f>(-IS!BU12*4)/AVERAGE(BS!BT13,BU13)</f>
        <v>1.8131557190931427</v>
      </c>
      <c r="BV78" s="95">
        <f>-IS!BV12/AVERAGE(BS!BV13,BS!BQ13)</f>
        <v>1.786282833642876</v>
      </c>
      <c r="BW78" s="912">
        <f>(-IS!BW12*4)/AVERAGE(BS!BV13,BW13)</f>
        <v>1.672535455660181</v>
      </c>
      <c r="BX78" s="912">
        <f>(-IS!BX12*4)/AVERAGE(BS!BW13,BX13)</f>
        <v>1.7458109684947491</v>
      </c>
      <c r="BY78" s="912">
        <f>(-IS!BY12*4)/AVERAGE(BS!BX13,BY13)</f>
        <v>1.8675775583734968</v>
      </c>
      <c r="BZ78" s="912">
        <f>(-IS!BZ12*4)/AVERAGE(BS!BY13,BZ13)</f>
        <v>1.8202918454935622</v>
      </c>
      <c r="CA78" s="95">
        <f>-IS!CA12/AVERAGE(BS!CA13,BS!BV13)</f>
        <v>1.7502712952491919</v>
      </c>
      <c r="CB78" s="912">
        <f>(-IS!CB12*4)/AVERAGE(BS!CA13,CB13)</f>
        <v>1.4254261834221511</v>
      </c>
      <c r="CC78" s="912">
        <f>(-IS!CC12*4)/AVERAGE(BS!CB13,CC13)</f>
        <v>1.2752686592739468</v>
      </c>
      <c r="CD78" s="912">
        <f>(-IS!CD12*4)/AVERAGE(BS!CC13,CD13)</f>
        <v>1.3652585815326714</v>
      </c>
      <c r="CE78" s="912">
        <f>(-IS!CE12*4)/AVERAGE(BS!CD13,CE13)</f>
        <v>1.4182416435937564</v>
      </c>
      <c r="CF78" s="95">
        <f>-IS!CF12/AVERAGE(BS!CF13,BS!CA13)</f>
        <v>1.5244455668733807</v>
      </c>
      <c r="CG78" s="912">
        <f>(-IS!CG12*4)/AVERAGE(BS!CF13,CG13)</f>
        <v>1.1658954477238619</v>
      </c>
      <c r="CH78" s="912">
        <f>(-IS!CH12*4)/AVERAGE(BS!CG13,CH13)</f>
        <v>1.0643876857337089</v>
      </c>
      <c r="CI78" s="912">
        <f>(-IS!CI12*4)/AVERAGE(BS!CH13,CI13)</f>
        <v>0.95534347645146045</v>
      </c>
      <c r="CJ78" s="912">
        <f>(-IS!CJ12*4)/AVERAGE(BS!CI13,CJ13)</f>
        <v>0.99841895651129742</v>
      </c>
      <c r="CK78" s="95">
        <f>-IS!CK12/AVERAGE(BS!CK13,BS!CF13)</f>
        <v>1.0359008254962676</v>
      </c>
      <c r="CL78" s="912">
        <f>(-IS!CL12*4)/AVERAGE(BS!CK13,CL13)</f>
        <v>0.85637313108872459</v>
      </c>
      <c r="CM78" s="912">
        <f>(-IS!CM12*4)/AVERAGE(BS!CL13,CM13)</f>
        <v>0.63398162000427438</v>
      </c>
      <c r="CN78" s="912">
        <f>(-IS!CN12*4)/AVERAGE(BS!CM13,CN13)</f>
        <v>0.61415533138846912</v>
      </c>
      <c r="CO78" s="912">
        <f>(-IS!CO12*4)/AVERAGE(BS!CN13,CO13)</f>
        <v>0.99561289098626948</v>
      </c>
      <c r="CP78" s="617">
        <f>-IS!CP12/AVERAGE(BS!CP13,BS!CK13)</f>
        <v>0.80641921976543696</v>
      </c>
      <c r="CQ78" s="912">
        <f>(-IS!CQ12*4)/AVERAGE(BS!CP13,CQ13)</f>
        <v>0.67199162930473344</v>
      </c>
      <c r="CR78" s="912">
        <f>(-IS!CR12*4)/AVERAGE(BS!CQ13,CR13)</f>
        <v>0.70958915770336906</v>
      </c>
      <c r="CS78" s="912">
        <f>(-IS!CS12*4)/AVERAGE(BS!CR13,CS13)</f>
        <v>0.66298504545010262</v>
      </c>
      <c r="CT78" s="912">
        <f>(-IS!CT12*4)/AVERAGE(BS!CS13,CT13)</f>
        <v>0.86147336983573919</v>
      </c>
      <c r="CU78" s="617">
        <f>-IS!CU12/AVERAGE(BS!CU13,BS!CP13)</f>
        <v>0.73837969826458538</v>
      </c>
      <c r="CV78" s="912">
        <f>(-IS!CV12*4)/AVERAGE(BS!CU13,CV13)</f>
        <v>0.68809016527779532</v>
      </c>
      <c r="CW78" s="912">
        <f>(-IS!CW12*4)/AVERAGE(BS!CV13,CW13)</f>
        <v>0.72915310261932187</v>
      </c>
      <c r="CX78" s="912">
        <f>(-IS!CX12*4)/AVERAGE(BS!CW13,CX13)</f>
        <v>0.84050747053740282</v>
      </c>
      <c r="CY78" s="912">
        <f>(-IS!CY12*4)/AVERAGE(BS!CX13,CY13)</f>
        <v>0.91808925586343149</v>
      </c>
      <c r="CZ78" s="617">
        <f>-IS!CZ12/AVERAGE(BS!CZ13,BS!CU13)</f>
        <v>0.80403124084243249</v>
      </c>
      <c r="DA78" s="912">
        <f>(-IS!DA12*4)/AVERAGE(BS!CZ13,DA13)</f>
        <v>0.81698520305897071</v>
      </c>
      <c r="DB78" s="1032">
        <f>(-IS!DB12*4)/AVERAGE(BS!DA13,DB13)</f>
        <v>0.90863063924756893</v>
      </c>
      <c r="DC78" s="1032">
        <f>(-IS!DC12*4)/AVERAGE(BS!DB13,DC13)</f>
        <v>0.8615204648619782</v>
      </c>
      <c r="DD78" s="912">
        <f>(-IS!DD12*4)/AVERAGE(BS!DC13,DD13)</f>
        <v>0.97388367682546484</v>
      </c>
      <c r="DE78" s="617">
        <f>-IS!DE12/AVERAGE(BS!DE13,BS!CZ13)</f>
        <v>0.88756871785777625</v>
      </c>
      <c r="DF78" s="912">
        <f>(-IS!DF12*4)/AVERAGE(BS!DE13,DF13)</f>
        <v>0.72019214273460286</v>
      </c>
      <c r="DG78" s="1032">
        <f>(-IS!DG12*4)/AVERAGE(BS!DF13,DG13)</f>
        <v>0.73963531442896668</v>
      </c>
      <c r="DH78" s="1032">
        <f>(-IS!DH12*4)/AVERAGE(BS!DG13,DH13)</f>
        <v>1.0104969171962461</v>
      </c>
      <c r="DI78" s="912">
        <f>(-IS!DI12*4)/AVERAGE(BS!DH13,DI13)</f>
        <v>0.78791744445289691</v>
      </c>
      <c r="DJ78" s="617">
        <f>-IS!DJ12/AVERAGE(BS!DJ13,BS!DE13)</f>
        <v>0.81902792140641156</v>
      </c>
      <c r="DK78" s="912">
        <f>(-IS!DK12*4)/AVERAGE(BS!DJ13,DK13)</f>
        <v>0.77356236588969973</v>
      </c>
      <c r="DL78" s="1032">
        <f>(-IS!DL12*4)/AVERAGE(BS!DK13,DL13)</f>
        <v>0.91851014525518571</v>
      </c>
      <c r="DM78" s="1032">
        <f>(-IS!DM12*4)/AVERAGE(BS!DL13,DM13)</f>
        <v>1.2048532399957717</v>
      </c>
      <c r="DN78" s="912">
        <f>(-IS!DN12*4)/AVERAGE(BS!DM13,DN13)</f>
        <v>1.0597472232860974</v>
      </c>
      <c r="DO78" s="617">
        <f>-IS!DO12/AVERAGE(BS!DO13,BS!DJ13)</f>
        <v>0.9890784943302231</v>
      </c>
      <c r="DP78" s="912">
        <f>(-IS!DP12*4)/AVERAGE(BS!DO13,DP13)</f>
        <v>0.9154411764705882</v>
      </c>
      <c r="DQ78" s="1032">
        <f>(-IS!DQ12*4)/AVERAGE(BS!DP13,DQ13)</f>
        <v>1.0088546975451704</v>
      </c>
      <c r="DR78" s="913">
        <v>1.1100000000000001</v>
      </c>
      <c r="DS78" s="913">
        <v>1.25</v>
      </c>
      <c r="DT78" s="617">
        <f>-IS!DT12/AVERAGE(BS!DT13,BS!DO13)</f>
        <v>1.0864585050626001</v>
      </c>
      <c r="DU78" s="913">
        <v>0.9</v>
      </c>
      <c r="DV78" s="913">
        <v>1.03</v>
      </c>
      <c r="DW78" s="913">
        <v>1.1100000000000001</v>
      </c>
      <c r="DX78" s="913">
        <v>1.25</v>
      </c>
      <c r="DY78" s="617">
        <f>-IS!DY12/AVERAGE(BS!DY13,BS!DT13)</f>
        <v>1.2238034701808915</v>
      </c>
      <c r="DZ78" s="914">
        <v>1.5</v>
      </c>
      <c r="EA78" s="914">
        <v>1.5</v>
      </c>
      <c r="EB78" s="914">
        <v>1.5</v>
      </c>
    </row>
    <row r="79" spans="2:132">
      <c r="B79" s="68" t="s">
        <v>244</v>
      </c>
      <c r="C79" s="113">
        <f t="shared" ref="C79:AH79" si="635">365/C78</f>
        <v>80.527384115736652</v>
      </c>
      <c r="D79" s="113">
        <f t="shared" si="635"/>
        <v>62.520674237328372</v>
      </c>
      <c r="E79" s="113">
        <f t="shared" si="635"/>
        <v>52.943491816056117</v>
      </c>
      <c r="F79" s="113">
        <f t="shared" si="635"/>
        <v>55.666007046120058</v>
      </c>
      <c r="G79" s="113">
        <f t="shared" si="635"/>
        <v>51.310119316085121</v>
      </c>
      <c r="H79" s="113">
        <f t="shared" si="635"/>
        <v>52.561155190223964</v>
      </c>
      <c r="I79" s="113">
        <f t="shared" si="635"/>
        <v>47.462193029974721</v>
      </c>
      <c r="J79" s="116">
        <f t="shared" si="635"/>
        <v>44.913096666974418</v>
      </c>
      <c r="K79" s="116">
        <f t="shared" si="635"/>
        <v>39.861535479751915</v>
      </c>
      <c r="L79" s="116">
        <f t="shared" si="635"/>
        <v>34.604938683017863</v>
      </c>
      <c r="M79" s="116">
        <f t="shared" si="635"/>
        <v>32.482622943975954</v>
      </c>
      <c r="N79" s="113">
        <f t="shared" si="635"/>
        <v>38.850916157690172</v>
      </c>
      <c r="O79" s="116">
        <f t="shared" si="635"/>
        <v>43.71161161625534</v>
      </c>
      <c r="P79" s="116">
        <f t="shared" si="635"/>
        <v>42.356932537456935</v>
      </c>
      <c r="Q79" s="116">
        <f t="shared" si="635"/>
        <v>52.41796150278293</v>
      </c>
      <c r="R79" s="116">
        <f t="shared" si="635"/>
        <v>55.55309598159257</v>
      </c>
      <c r="S79" s="113">
        <f t="shared" si="635"/>
        <v>48.132953168282548</v>
      </c>
      <c r="T79" s="116">
        <f t="shared" si="635"/>
        <v>61.792620062641376</v>
      </c>
      <c r="U79" s="116">
        <f t="shared" si="635"/>
        <v>54.99548646932783</v>
      </c>
      <c r="V79" s="116">
        <f t="shared" si="635"/>
        <v>60.374180052140275</v>
      </c>
      <c r="W79" s="116">
        <f t="shared" si="635"/>
        <v>51.393242682167326</v>
      </c>
      <c r="X79" s="113">
        <f t="shared" si="635"/>
        <v>58.056833277157637</v>
      </c>
      <c r="Y79" s="116">
        <f t="shared" si="635"/>
        <v>61.392517935757382</v>
      </c>
      <c r="Z79" s="116">
        <f t="shared" si="635"/>
        <v>56.591226394297891</v>
      </c>
      <c r="AA79" s="116">
        <f t="shared" si="635"/>
        <v>57.602123873703341</v>
      </c>
      <c r="AB79" s="116">
        <f t="shared" si="635"/>
        <v>56.575637220670394</v>
      </c>
      <c r="AC79" s="113">
        <f t="shared" si="635"/>
        <v>60.379948316542453</v>
      </c>
      <c r="AD79" s="116">
        <f t="shared" si="635"/>
        <v>71.374801666005553</v>
      </c>
      <c r="AE79" s="116">
        <f t="shared" si="635"/>
        <v>66.43473855974753</v>
      </c>
      <c r="AF79" s="116">
        <f t="shared" si="635"/>
        <v>77.469001674507624</v>
      </c>
      <c r="AG79" s="116">
        <f t="shared" si="635"/>
        <v>108.39582963423295</v>
      </c>
      <c r="AH79" s="113">
        <f t="shared" si="635"/>
        <v>91.246375516364779</v>
      </c>
      <c r="AI79" s="116">
        <f>365/AI78</f>
        <v>103.76741542379047</v>
      </c>
      <c r="AJ79" s="116">
        <f>365/AJ78</f>
        <v>108.54896972550156</v>
      </c>
      <c r="AK79" s="116">
        <f>365/AK78</f>
        <v>104.5499395718232</v>
      </c>
      <c r="AL79" s="116">
        <f>365/AL78</f>
        <v>103.50849531293079</v>
      </c>
      <c r="AM79" s="113">
        <f t="shared" ref="AM79:AW79" si="636">365/AM78</f>
        <v>105.04885921471524</v>
      </c>
      <c r="AN79" s="116">
        <f t="shared" si="636"/>
        <v>134.14741847826087</v>
      </c>
      <c r="AO79" s="116">
        <f>365/AO78</f>
        <v>142.40894138755982</v>
      </c>
      <c r="AP79" s="116">
        <f>365/AP78</f>
        <v>139.60333915320822</v>
      </c>
      <c r="AQ79" s="116">
        <f t="shared" si="636"/>
        <v>156.5019477372698</v>
      </c>
      <c r="AR79" s="113">
        <f t="shared" si="636"/>
        <v>145.21005728835138</v>
      </c>
      <c r="AS79" s="116">
        <f>365/AS78</f>
        <v>193.98482239189974</v>
      </c>
      <c r="AT79" s="116">
        <f>365/AT78</f>
        <v>193.58134469696972</v>
      </c>
      <c r="AU79" s="116">
        <f>365/AU78</f>
        <v>189.36106951312948</v>
      </c>
      <c r="AV79" s="116">
        <f>365/AV78</f>
        <v>176.01581237316279</v>
      </c>
      <c r="AW79" s="113">
        <f t="shared" si="636"/>
        <v>184.75401399752985</v>
      </c>
      <c r="AX79" s="116">
        <f>365/AX78</f>
        <v>184.49320119484722</v>
      </c>
      <c r="AY79" s="116">
        <f>365/AY78</f>
        <v>184.71038679808842</v>
      </c>
      <c r="AZ79" s="116">
        <f>365/AZ78</f>
        <v>195.19806180778849</v>
      </c>
      <c r="BA79" s="116">
        <f t="shared" ref="BA79:BG79" si="637">365/BA78</f>
        <v>178.67575232393258</v>
      </c>
      <c r="BB79" s="113">
        <f t="shared" si="637"/>
        <v>186.08119427772274</v>
      </c>
      <c r="BC79" s="116">
        <f>365/BC78</f>
        <v>227.45319243462808</v>
      </c>
      <c r="BD79" s="116">
        <f>365/BD78</f>
        <v>200.38153794037939</v>
      </c>
      <c r="BE79" s="116">
        <f>365/BE78</f>
        <v>199.06025757738033</v>
      </c>
      <c r="BF79" s="116">
        <f>365/BF78</f>
        <v>188.31837355307042</v>
      </c>
      <c r="BG79" s="113">
        <f t="shared" si="637"/>
        <v>200.91987634437953</v>
      </c>
      <c r="BH79" s="116">
        <f>365/BH78</f>
        <v>231.74682730111007</v>
      </c>
      <c r="BI79" s="116">
        <f>365/BI78</f>
        <v>222.85136582753077</v>
      </c>
      <c r="BJ79" s="116">
        <f t="shared" ref="BJ79:BL79" si="638">365/BJ78</f>
        <v>212.06590909090909</v>
      </c>
      <c r="BK79" s="116">
        <f t="shared" si="638"/>
        <v>206.66620394959202</v>
      </c>
      <c r="BL79" s="113">
        <f t="shared" si="638"/>
        <v>213.21151240358557</v>
      </c>
      <c r="BM79" s="116">
        <f>365/BM78</f>
        <v>234.9776302984429</v>
      </c>
      <c r="BN79" s="116">
        <f>365/BN78</f>
        <v>208.42183840749414</v>
      </c>
      <c r="BO79" s="116">
        <f t="shared" ref="BO79" si="639">365/BO78</f>
        <v>206.26724537037038</v>
      </c>
      <c r="BP79" s="116">
        <f>365/BP78</f>
        <v>211.92571577366536</v>
      </c>
      <c r="BQ79" s="113">
        <f t="shared" ref="BQ79" si="640">365/BQ78</f>
        <v>209.01194449858687</v>
      </c>
      <c r="BR79" s="116">
        <f>365/BR78</f>
        <v>225.82666780122534</v>
      </c>
      <c r="BS79" s="116">
        <f>365/BS78</f>
        <v>186.88980963045913</v>
      </c>
      <c r="BT79" s="116">
        <f t="shared" ref="BT79:BU79" si="641">365/BT78</f>
        <v>199.10966388665597</v>
      </c>
      <c r="BU79" s="116">
        <f t="shared" si="641"/>
        <v>201.30648248047677</v>
      </c>
      <c r="BV79" s="113">
        <f t="shared" ref="BV79:BW79" si="642">365/BV78</f>
        <v>204.33494244337172</v>
      </c>
      <c r="BW79" s="116">
        <f t="shared" si="642"/>
        <v>218.23154705914899</v>
      </c>
      <c r="BX79" s="116">
        <f>365/BX78</f>
        <v>209.07189070687627</v>
      </c>
      <c r="BY79" s="116">
        <f t="shared" ref="BY79:CB79" si="643">365/BY78</f>
        <v>195.44034375626379</v>
      </c>
      <c r="BZ79" s="116">
        <f t="shared" si="643"/>
        <v>200.51729666515769</v>
      </c>
      <c r="CA79" s="113">
        <f t="shared" si="643"/>
        <v>208.53909961885864</v>
      </c>
      <c r="CB79" s="116">
        <f t="shared" si="643"/>
        <v>256.06376832766682</v>
      </c>
      <c r="CC79" s="116">
        <f>365/CC78</f>
        <v>286.21420070638817</v>
      </c>
      <c r="CD79" s="116">
        <f t="shared" ref="CD79:CF79" si="644">365/CD78</f>
        <v>267.34862167300383</v>
      </c>
      <c r="CE79" s="116">
        <f t="shared" si="644"/>
        <v>257.36093820733362</v>
      </c>
      <c r="CF79" s="113">
        <f t="shared" si="644"/>
        <v>239.43131059025646</v>
      </c>
      <c r="CG79" s="116">
        <f t="shared" ref="CG79:CK79" si="645">365/CG78</f>
        <v>313.06409224993297</v>
      </c>
      <c r="CH79" s="116">
        <f t="shared" si="645"/>
        <v>342.9201642335766</v>
      </c>
      <c r="CI79" s="116">
        <f t="shared" si="645"/>
        <v>382.06154016538687</v>
      </c>
      <c r="CJ79" s="116">
        <f t="shared" si="645"/>
        <v>365.57799470814626</v>
      </c>
      <c r="CK79" s="113">
        <f t="shared" si="645"/>
        <v>352.3503322097846</v>
      </c>
      <c r="CL79" s="116">
        <f t="shared" ref="CL79:CP79" si="646">365/CL78</f>
        <v>426.21608122614504</v>
      </c>
      <c r="CM79" s="116">
        <f t="shared" si="646"/>
        <v>575.72646979503781</v>
      </c>
      <c r="CN79" s="116">
        <f t="shared" si="646"/>
        <v>594.31219000381532</v>
      </c>
      <c r="CO79" s="116">
        <f t="shared" si="646"/>
        <v>366.60835080030489</v>
      </c>
      <c r="CP79" s="688">
        <f t="shared" si="646"/>
        <v>452.61818053662893</v>
      </c>
      <c r="CQ79" s="116">
        <f t="shared" ref="CQ79:CV79" si="647">365/CQ78</f>
        <v>543.16152773754345</v>
      </c>
      <c r="CR79" s="116">
        <f t="shared" si="647"/>
        <v>514.38215485330409</v>
      </c>
      <c r="CS79" s="116">
        <f t="shared" si="647"/>
        <v>550.54032139171454</v>
      </c>
      <c r="CT79" s="116">
        <f t="shared" si="647"/>
        <v>423.69272548679726</v>
      </c>
      <c r="CU79" s="688">
        <f t="shared" si="647"/>
        <v>494.32561710168886</v>
      </c>
      <c r="CV79" s="116">
        <f t="shared" si="647"/>
        <v>530.45373763283249</v>
      </c>
      <c r="CW79" s="116">
        <f t="shared" ref="CW79:CZ79" si="648">365/CW78</f>
        <v>500.58074043546947</v>
      </c>
      <c r="CX79" s="116">
        <f t="shared" si="648"/>
        <v>434.26145845750386</v>
      </c>
      <c r="CY79" s="116">
        <f t="shared" si="648"/>
        <v>397.56483116309863</v>
      </c>
      <c r="CZ79" s="688">
        <f t="shared" si="648"/>
        <v>453.96245998795678</v>
      </c>
      <c r="DA79" s="116">
        <f t="shared" ref="DA79:DE79" si="649">365/DA78</f>
        <v>446.76451743967999</v>
      </c>
      <c r="DB79" s="687">
        <f t="shared" si="649"/>
        <v>401.70338114754099</v>
      </c>
      <c r="DC79" s="116">
        <f t="shared" si="649"/>
        <v>423.66956431902707</v>
      </c>
      <c r="DD79" s="116">
        <f t="shared" si="649"/>
        <v>374.78808679674967</v>
      </c>
      <c r="DE79" s="688">
        <f t="shared" si="649"/>
        <v>411.23576423576424</v>
      </c>
      <c r="DF79" s="116">
        <f t="shared" ref="DF79:DJ79" si="650">365/DF78</f>
        <v>506.80919485469269</v>
      </c>
      <c r="DG79" s="687">
        <f t="shared" si="650"/>
        <v>493.48644241222746</v>
      </c>
      <c r="DH79" s="116">
        <f t="shared" si="650"/>
        <v>361.20842507143863</v>
      </c>
      <c r="DI79" s="116">
        <f t="shared" si="650"/>
        <v>463.2465019903749</v>
      </c>
      <c r="DJ79" s="688">
        <f t="shared" si="650"/>
        <v>445.65025252525254</v>
      </c>
      <c r="DK79" s="116">
        <f t="shared" ref="DK79:DN79" si="651">365/DK78</f>
        <v>471.84301627729963</v>
      </c>
      <c r="DL79" s="687">
        <f t="shared" si="651"/>
        <v>397.38265481933638</v>
      </c>
      <c r="DM79" s="116">
        <f t="shared" si="651"/>
        <v>302.94146032364984</v>
      </c>
      <c r="DN79" s="116">
        <f t="shared" si="651"/>
        <v>344.42175641488973</v>
      </c>
      <c r="DO79" s="688">
        <f t="shared" ref="DO79:DQ79" si="652">365/DO78</f>
        <v>369.0303672482213</v>
      </c>
      <c r="DP79" s="116">
        <f t="shared" si="652"/>
        <v>398.71485943775104</v>
      </c>
      <c r="DQ79" s="687">
        <f t="shared" si="652"/>
        <v>361.79640228483697</v>
      </c>
      <c r="DR79" s="116">
        <f t="shared" ref="DR79:DU79" si="653">365/DR78</f>
        <v>328.82882882882882</v>
      </c>
      <c r="DS79" s="116">
        <f t="shared" si="653"/>
        <v>292</v>
      </c>
      <c r="DT79" s="688">
        <f t="shared" si="653"/>
        <v>335.95392580498896</v>
      </c>
      <c r="DU79" s="116">
        <f t="shared" si="653"/>
        <v>405.55555555555554</v>
      </c>
      <c r="DV79" s="116">
        <f t="shared" ref="DV79:DY79" si="654">365/DV78</f>
        <v>354.36893203883494</v>
      </c>
      <c r="DW79" s="116">
        <f t="shared" si="654"/>
        <v>328.82882882882882</v>
      </c>
      <c r="DX79" s="116">
        <f t="shared" si="654"/>
        <v>292</v>
      </c>
      <c r="DY79" s="688">
        <f t="shared" si="654"/>
        <v>298.2505025468256</v>
      </c>
      <c r="DZ79" s="113">
        <f t="shared" ref="DZ79:EB79" si="655">365/DZ78</f>
        <v>243.33333333333334</v>
      </c>
      <c r="EA79" s="113">
        <f t="shared" si="655"/>
        <v>243.33333333333334</v>
      </c>
      <c r="EB79" s="113">
        <f t="shared" si="655"/>
        <v>243.33333333333334</v>
      </c>
    </row>
    <row r="80" spans="2:132">
      <c r="B80" s="68" t="s">
        <v>245</v>
      </c>
      <c r="C80" s="113">
        <f t="shared" ref="C80:AN80" si="656">C76+C79-C77</f>
        <v>1.6941463292518932</v>
      </c>
      <c r="D80" s="113">
        <f t="shared" si="656"/>
        <v>2.9027002339989139</v>
      </c>
      <c r="E80" s="113">
        <f t="shared" si="656"/>
        <v>-4.0847613939188676</v>
      </c>
      <c r="F80" s="113">
        <f t="shared" si="656"/>
        <v>-11.592421198400558</v>
      </c>
      <c r="G80" s="113">
        <f t="shared" si="656"/>
        <v>-13.787990112776683</v>
      </c>
      <c r="H80" s="113">
        <f t="shared" si="656"/>
        <v>-23.885352579448693</v>
      </c>
      <c r="I80" s="113">
        <f t="shared" si="656"/>
        <v>-30.580619118601561</v>
      </c>
      <c r="J80" s="116">
        <f t="shared" si="656"/>
        <v>-35.085790543115351</v>
      </c>
      <c r="K80" s="116">
        <f t="shared" si="656"/>
        <v>-41.413886405520103</v>
      </c>
      <c r="L80" s="116">
        <f t="shared" si="656"/>
        <v>-48.502091048226561</v>
      </c>
      <c r="M80" s="116">
        <f t="shared" si="656"/>
        <v>-46.175860241721651</v>
      </c>
      <c r="N80" s="113">
        <f t="shared" si="656"/>
        <v>-44.496776717477914</v>
      </c>
      <c r="O80" s="116">
        <f t="shared" si="656"/>
        <v>-47.865178750199149</v>
      </c>
      <c r="P80" s="116">
        <f t="shared" si="656"/>
        <v>-39.323706622834351</v>
      </c>
      <c r="Q80" s="116">
        <f t="shared" si="656"/>
        <v>-48.858397125523595</v>
      </c>
      <c r="R80" s="116">
        <f t="shared" si="656"/>
        <v>-35.591986162573036</v>
      </c>
      <c r="S80" s="113">
        <f t="shared" si="656"/>
        <v>-42.871765917836882</v>
      </c>
      <c r="T80" s="116">
        <f t="shared" si="656"/>
        <v>-35.929548632557299</v>
      </c>
      <c r="U80" s="116">
        <f t="shared" si="656"/>
        <v>-39.629822788177407</v>
      </c>
      <c r="V80" s="116">
        <f t="shared" si="656"/>
        <v>-40.498401487454302</v>
      </c>
      <c r="W80" s="116">
        <f t="shared" si="656"/>
        <v>-24.145128719869646</v>
      </c>
      <c r="X80" s="113">
        <f t="shared" si="656"/>
        <v>-29.079407798528976</v>
      </c>
      <c r="Y80" s="116">
        <f t="shared" si="656"/>
        <v>-24.851704066078582</v>
      </c>
      <c r="Z80" s="116">
        <f t="shared" si="656"/>
        <v>-22.337112480128724</v>
      </c>
      <c r="AA80" s="116">
        <f t="shared" si="656"/>
        <v>-25.457456633622101</v>
      </c>
      <c r="AB80" s="116">
        <f t="shared" si="656"/>
        <v>-18.505762579162294</v>
      </c>
      <c r="AC80" s="113">
        <f t="shared" si="656"/>
        <v>-21.668297394079914</v>
      </c>
      <c r="AD80" s="116">
        <f t="shared" si="656"/>
        <v>-17.616923378331222</v>
      </c>
      <c r="AE80" s="116">
        <f t="shared" si="656"/>
        <v>-15.025125710933324</v>
      </c>
      <c r="AF80" s="116">
        <f t="shared" si="656"/>
        <v>-9.8203684955913104</v>
      </c>
      <c r="AG80" s="116">
        <f t="shared" si="656"/>
        <v>13.07431551313806</v>
      </c>
      <c r="AH80" s="113">
        <f t="shared" si="656"/>
        <v>1.044422549690907</v>
      </c>
      <c r="AI80" s="600">
        <f>AI76+AI79-AI77</f>
        <v>21.008939859092663</v>
      </c>
      <c r="AJ80" s="600">
        <f>AJ76+AJ79-AJ77</f>
        <v>63.266907484007334</v>
      </c>
      <c r="AK80" s="600">
        <f>AK76+AK79-AK77</f>
        <v>97.801414479521469</v>
      </c>
      <c r="AL80" s="600">
        <f>AL76+AL79-AL77</f>
        <v>90.989304385379143</v>
      </c>
      <c r="AM80" s="113">
        <f t="shared" ref="AM80:AW80" si="657">AM76+AM79-AM77</f>
        <v>55.811920395984089</v>
      </c>
      <c r="AN80" s="116">
        <f t="shared" si="656"/>
        <v>116.09114813873893</v>
      </c>
      <c r="AO80" s="116">
        <f>AO76+AO79-AO77</f>
        <v>127.97563876312427</v>
      </c>
      <c r="AP80" s="600">
        <f>AP76+AP79-AP77</f>
        <v>126.56490609920709</v>
      </c>
      <c r="AQ80" s="116">
        <f t="shared" si="657"/>
        <v>137.51172562106069</v>
      </c>
      <c r="AR80" s="113">
        <f t="shared" si="657"/>
        <v>124.87711758307566</v>
      </c>
      <c r="AS80" s="600">
        <f>AS76+AS79-AS77</f>
        <v>168.73935473159312</v>
      </c>
      <c r="AT80" s="116">
        <f>AT76+AT79-AT77</f>
        <v>170.28714624445203</v>
      </c>
      <c r="AU80" s="600">
        <f>AU76+AU79-AU77</f>
        <v>168.44130646531246</v>
      </c>
      <c r="AV80" s="600">
        <f>AV76+AV79-AV77</f>
        <v>157.04455990186989</v>
      </c>
      <c r="AW80" s="113">
        <f t="shared" si="657"/>
        <v>161.86897775078151</v>
      </c>
      <c r="AX80" s="600">
        <f>AX76+AX79-AX77</f>
        <v>164.11587724550242</v>
      </c>
      <c r="AY80" s="600">
        <f>AY76+AY79-AY77</f>
        <v>163.30249817884538</v>
      </c>
      <c r="AZ80" s="600">
        <f>AZ76+AZ79-AZ77</f>
        <v>171.31230716002273</v>
      </c>
      <c r="BA80" s="600">
        <f>BA76+BA79-BA77</f>
        <v>157.13171418169512</v>
      </c>
      <c r="BB80" s="113">
        <f t="shared" ref="BB80:BG80" si="658">BB76+BB79-BB77</f>
        <v>164.22529388980388</v>
      </c>
      <c r="BC80" s="116">
        <f>BC76+BC79-BC77</f>
        <v>200.90137502654377</v>
      </c>
      <c r="BD80" s="116">
        <f>BD76+BD79-BD77</f>
        <v>177.15278562741503</v>
      </c>
      <c r="BE80" s="116">
        <f>BE76+BE79-BE77</f>
        <v>174.7812634768282</v>
      </c>
      <c r="BF80" s="116">
        <f>BF76+BF79-BF77</f>
        <v>168.80216577166414</v>
      </c>
      <c r="BG80" s="113">
        <f t="shared" si="658"/>
        <v>179.46893712290961</v>
      </c>
      <c r="BH80" s="600">
        <f>BH76+BH79-BH77</f>
        <v>209.52678061765218</v>
      </c>
      <c r="BI80" s="116">
        <f>BI76+BI79-BI77</f>
        <v>200.9038090150849</v>
      </c>
      <c r="BJ80" s="116">
        <f t="shared" ref="BJ80:BL80" si="659">BJ76+BJ79-BJ77</f>
        <v>191.62468191305811</v>
      </c>
      <c r="BK80" s="116">
        <f t="shared" si="659"/>
        <v>187.85166845967686</v>
      </c>
      <c r="BL80" s="113">
        <f t="shared" si="659"/>
        <v>193.96691810196774</v>
      </c>
      <c r="BM80" s="600">
        <f>BM76+BM79-BM77</f>
        <v>213.18681775775633</v>
      </c>
      <c r="BN80" s="600">
        <f>BN76+BN79-BN77</f>
        <v>189.24700645123059</v>
      </c>
      <c r="BO80" s="116">
        <f t="shared" ref="BO80:BP80" si="660">BO76+BO79-BO77</f>
        <v>186.92261469478009</v>
      </c>
      <c r="BP80" s="116">
        <f t="shared" si="660"/>
        <v>196.24213887670547</v>
      </c>
      <c r="BQ80" s="113">
        <f t="shared" ref="BQ80:BS80" si="661">BQ76+BQ79-BQ77</f>
        <v>192.50585146070927</v>
      </c>
      <c r="BR80" s="600">
        <f>BR76+BR79-BR77</f>
        <v>209.77556246307645</v>
      </c>
      <c r="BS80" s="116">
        <f t="shared" si="661"/>
        <v>175.39617066965104</v>
      </c>
      <c r="BT80" s="116">
        <f t="shared" ref="BT80:BU80" si="662">BT76+BT79-BT77</f>
        <v>181.89538811212225</v>
      </c>
      <c r="BU80" s="116">
        <f t="shared" si="662"/>
        <v>183.23891652079652</v>
      </c>
      <c r="BV80" s="113">
        <f t="shared" ref="BV80:BZ80" si="663">BV76+BV79-BV77</f>
        <v>188.51855017672924</v>
      </c>
      <c r="BW80" s="116">
        <f t="shared" si="663"/>
        <v>197.80611852682119</v>
      </c>
      <c r="BX80" s="116">
        <f t="shared" si="663"/>
        <v>187.96231618890886</v>
      </c>
      <c r="BY80" s="116">
        <f t="shared" si="663"/>
        <v>176.92036633982036</v>
      </c>
      <c r="BZ80" s="116">
        <f t="shared" si="663"/>
        <v>182.55334656781122</v>
      </c>
      <c r="CA80" s="113">
        <f t="shared" ref="CA80:CE80" si="664">CA76+CA79-CA77</f>
        <v>190.37817455461604</v>
      </c>
      <c r="CB80" s="116">
        <f t="shared" si="664"/>
        <v>222.37314681096839</v>
      </c>
      <c r="CC80" s="116">
        <f t="shared" si="664"/>
        <v>237.87202919600924</v>
      </c>
      <c r="CD80" s="116">
        <f t="shared" si="664"/>
        <v>220.75662881623035</v>
      </c>
      <c r="CE80" s="116">
        <f t="shared" si="664"/>
        <v>213.96892250494918</v>
      </c>
      <c r="CF80" s="113">
        <f t="shared" ref="CF80:CJ80" si="665">CF76+CF79-CF77</f>
        <v>209.15668198668396</v>
      </c>
      <c r="CG80" s="116">
        <f t="shared" si="665"/>
        <v>261.25064931403966</v>
      </c>
      <c r="CH80" s="116">
        <f t="shared" si="665"/>
        <v>287.10557053434854</v>
      </c>
      <c r="CI80" s="116">
        <f t="shared" si="665"/>
        <v>316.78247773024054</v>
      </c>
      <c r="CJ80" s="116">
        <f t="shared" si="665"/>
        <v>309.00307473733625</v>
      </c>
      <c r="CK80" s="113">
        <f t="shared" ref="CK80:CO80" si="666">CK76+CK79-CK77</f>
        <v>297.31453854455606</v>
      </c>
      <c r="CL80" s="116">
        <f t="shared" si="666"/>
        <v>361.55909407565662</v>
      </c>
      <c r="CM80" s="116">
        <f t="shared" si="666"/>
        <v>499.22323621172541</v>
      </c>
      <c r="CN80" s="116">
        <f t="shared" si="666"/>
        <v>515.23085191074097</v>
      </c>
      <c r="CO80" s="116">
        <f t="shared" si="666"/>
        <v>321.72658679173225</v>
      </c>
      <c r="CP80" s="688">
        <f t="shared" ref="CP80:CT80" si="667">CP76+CP79-CP77</f>
        <v>387.58662321883554</v>
      </c>
      <c r="CQ80" s="116">
        <f t="shared" si="667"/>
        <v>473.33405554137875</v>
      </c>
      <c r="CR80" s="116">
        <f t="shared" si="667"/>
        <v>453.60972087641051</v>
      </c>
      <c r="CS80" s="116">
        <f t="shared" si="667"/>
        <v>492.83970699640531</v>
      </c>
      <c r="CT80" s="116">
        <f t="shared" si="667"/>
        <v>388.08870144751484</v>
      </c>
      <c r="CU80" s="688">
        <f t="shared" ref="CU80:CV80" si="668">CU76+CU79-CU77</f>
        <v>439.46809096740049</v>
      </c>
      <c r="CV80" s="116">
        <f t="shared" si="668"/>
        <v>487.19556918087864</v>
      </c>
      <c r="CW80" s="116">
        <f t="shared" ref="CW80:CZ80" si="669">CW76+CW79-CW77</f>
        <v>458.4264476296521</v>
      </c>
      <c r="CX80" s="116">
        <f t="shared" si="669"/>
        <v>398.30289130503445</v>
      </c>
      <c r="CY80" s="116">
        <f t="shared" si="669"/>
        <v>359.6134884608731</v>
      </c>
      <c r="CZ80" s="688">
        <f t="shared" si="669"/>
        <v>411.8144965549273</v>
      </c>
      <c r="DA80" s="116">
        <f t="shared" ref="DA80:DE80" si="670">DA76+DA79-DA77</f>
        <v>402.68097340480017</v>
      </c>
      <c r="DB80" s="687">
        <f t="shared" si="670"/>
        <v>361.34918846526466</v>
      </c>
      <c r="DC80" s="116">
        <f t="shared" si="670"/>
        <v>379.87134655761093</v>
      </c>
      <c r="DD80" s="116">
        <f t="shared" si="670"/>
        <v>332.58094781321648</v>
      </c>
      <c r="DE80" s="688">
        <f t="shared" si="670"/>
        <v>365.62789923469779</v>
      </c>
      <c r="DF80" s="116">
        <f t="shared" ref="DF80:DJ80" si="671">DF76+DF79-DF77</f>
        <v>449.82198462887703</v>
      </c>
      <c r="DG80" s="687">
        <f t="shared" si="671"/>
        <v>442.22863666744502</v>
      </c>
      <c r="DH80" s="116">
        <f t="shared" si="671"/>
        <v>325.59781253590836</v>
      </c>
      <c r="DI80" s="116">
        <f t="shared" si="671"/>
        <v>416.3775997834037</v>
      </c>
      <c r="DJ80" s="688">
        <f t="shared" si="671"/>
        <v>397.99279158324117</v>
      </c>
      <c r="DK80" s="116">
        <f t="shared" ref="DK80:DN80" si="672">DK76+DK79-DK77</f>
        <v>426.2965842816468</v>
      </c>
      <c r="DL80" s="687">
        <f t="shared" si="672"/>
        <v>360.69328052769458</v>
      </c>
      <c r="DM80" s="116">
        <f t="shared" si="672"/>
        <v>275.21292545325866</v>
      </c>
      <c r="DN80" s="116">
        <f t="shared" si="672"/>
        <v>305.63880513398828</v>
      </c>
      <c r="DO80" s="688">
        <f t="shared" ref="DO80:DQ80" si="673">DO76+DO79-DO77</f>
        <v>327.91853906094059</v>
      </c>
      <c r="DP80" s="116">
        <f t="shared" si="673"/>
        <v>350.33120547550124</v>
      </c>
      <c r="DQ80" s="687">
        <f t="shared" si="673"/>
        <v>317.60709860840598</v>
      </c>
      <c r="DR80" s="116">
        <f t="shared" ref="DR80:DU80" si="674">DR76+DR79-DR77</f>
        <v>290.27192621638773</v>
      </c>
      <c r="DS80" s="116">
        <f t="shared" si="674"/>
        <v>253.44309738755891</v>
      </c>
      <c r="DT80" s="688">
        <f t="shared" si="674"/>
        <v>293.06449310845443</v>
      </c>
      <c r="DU80" s="116">
        <f t="shared" si="674"/>
        <v>366.99865294311445</v>
      </c>
      <c r="DV80" s="116">
        <f t="shared" ref="DV80:DY80" si="675">DV76+DV79-DV77</f>
        <v>315.81202942639385</v>
      </c>
      <c r="DW80" s="116">
        <f t="shared" si="675"/>
        <v>290.27192621638773</v>
      </c>
      <c r="DX80" s="116">
        <f t="shared" si="675"/>
        <v>253.44309738755891</v>
      </c>
      <c r="DY80" s="688">
        <f t="shared" si="675"/>
        <v>258.90501087112506</v>
      </c>
      <c r="DZ80" s="688">
        <f t="shared" ref="DZ80:EB80" si="676">DZ76+DZ79-DZ77</f>
        <v>204.77643072089222</v>
      </c>
      <c r="EA80" s="688">
        <f t="shared" si="676"/>
        <v>204.77643072089222</v>
      </c>
      <c r="EB80" s="688">
        <f t="shared" si="676"/>
        <v>204.77643072089222</v>
      </c>
    </row>
    <row r="81" spans="1:132">
      <c r="B81" s="68" t="s">
        <v>246</v>
      </c>
      <c r="C81" s="203">
        <f>IS!C8/(AVERAGE(B24,C24))</f>
        <v>1.2045024195245109</v>
      </c>
      <c r="D81" s="203">
        <f>IS!D8/(AVERAGE(C24,D24))</f>
        <v>1.5035343258005784</v>
      </c>
      <c r="E81" s="203">
        <f>IS!E8/(AVERAGE(D24,E24))</f>
        <v>1.5927985827874593</v>
      </c>
      <c r="F81" s="203">
        <f>IS!F8/(AVERAGE(E24,F24))</f>
        <v>1.3129772945314999</v>
      </c>
      <c r="G81" s="203">
        <f>IS!G8/(AVERAGE(F24,G24))</f>
        <v>1.287979550962145</v>
      </c>
      <c r="H81" s="203">
        <f>IS!H8/(AVERAGE(G24,H24))</f>
        <v>1.0740229428415355</v>
      </c>
      <c r="I81" s="203">
        <f>IS!I8/(AVERAGE(H24,I24))</f>
        <v>0.95817872970382534</v>
      </c>
      <c r="J81" s="204">
        <f>(IS!J8*4)/AVERAGE(BS!I24,J24)</f>
        <v>0.97039359760378152</v>
      </c>
      <c r="K81" s="204">
        <f>(IS!K8*4)/AVERAGE(BS!J24,K24)</f>
        <v>0.9687369891657337</v>
      </c>
      <c r="L81" s="204">
        <f>(IS!L8*4)/AVERAGE(BS!K24,L24)</f>
        <v>0.95937850480072218</v>
      </c>
      <c r="M81" s="204">
        <f>(IS!M8*4)/AVERAGE(BS!L24,M24)</f>
        <v>0.9699408327312965</v>
      </c>
      <c r="N81" s="203">
        <f>IS!N8/AVERAGE(BS!N24,BS!I24)</f>
        <v>0.98052300042991458</v>
      </c>
      <c r="O81" s="204">
        <f>(IS!O8*4)/AVERAGE(BS!N24,O24)</f>
        <v>0.93873162445675251</v>
      </c>
      <c r="P81" s="204">
        <f>(IS!P8*4)/AVERAGE(BS!O24,P24)</f>
        <v>1.0619744187689917</v>
      </c>
      <c r="Q81" s="204">
        <f>(IS!Q8*4)/AVERAGE(BS!P24,Q24)</f>
        <v>0.87997770267916242</v>
      </c>
      <c r="R81" s="204">
        <f>(IS!R8*4)/AVERAGE(BS!Q24,R24)</f>
        <v>0.95972156518213148</v>
      </c>
      <c r="S81" s="203">
        <f>IS!S8/AVERAGE(BS!S24,BS!N24)</f>
        <v>0.96201576902500419</v>
      </c>
      <c r="T81" s="204">
        <f>(IS!T8*4)/AVERAGE(BS!S24,T24)</f>
        <v>0.93945630876129949</v>
      </c>
      <c r="U81" s="204">
        <f>(IS!U8*4)/AVERAGE(BS!T24,U24)</f>
        <v>0.9772655020908565</v>
      </c>
      <c r="V81" s="204">
        <f>(IS!V8*4)/AVERAGE(BS!U24,V24)</f>
        <v>0.96076657948128774</v>
      </c>
      <c r="W81" s="204">
        <f>(IS!W8*4)/AVERAGE(BS!V24,W24)</f>
        <v>1.2390774555857733</v>
      </c>
      <c r="X81" s="203">
        <f>IS!X8/AVERAGE(BS!X24,BS!S24)</f>
        <v>1.1002038407896149</v>
      </c>
      <c r="Y81" s="204">
        <f>(IS!Y8*4)/AVERAGE(BS!X24,Y24)</f>
        <v>1.1893565553942913</v>
      </c>
      <c r="Z81" s="204">
        <f>(IS!Z8*4)/AVERAGE(BS!Y24,Z24)</f>
        <v>1.2919330058231064</v>
      </c>
      <c r="AA81" s="204">
        <f>(IS!AA8*4)/AVERAGE(BS!Z24,AA24)</f>
        <v>1.2159045945174976</v>
      </c>
      <c r="AB81" s="204">
        <f>(IS!AB8*4)/AVERAGE(BS!AA24,AB24)</f>
        <v>1.228903166832201</v>
      </c>
      <c r="AC81" s="203">
        <f>IS!AC8/AVERAGE(BS!AC24,BS!X24)</f>
        <v>1.1985376421736775</v>
      </c>
      <c r="AD81" s="204">
        <f>(IS!AD8*4)/AVERAGE(BS!AC24,AD24)</f>
        <v>1.0718415363732341</v>
      </c>
      <c r="AE81" s="204">
        <f>(IS!AE8*4)/AVERAGE(BS!AD24,AE24)</f>
        <v>1.1415495919912511</v>
      </c>
      <c r="AF81" s="204">
        <f>(IS!AF8*4)/AVERAGE(BS!AE24,AF24)</f>
        <v>1.0635926592424518</v>
      </c>
      <c r="AG81" s="204">
        <f>(IS!AG8*4)/AVERAGE(BS!AF24,AG24)</f>
        <v>0.91852980108433513</v>
      </c>
      <c r="AH81" s="203">
        <f>IS!AH8/AVERAGE(BS!AH24,BS!AC24)</f>
        <v>1.08028200239436</v>
      </c>
      <c r="AI81" s="204">
        <f>(IS!AI8*4)/AVERAGE(BS!AH24,AI24)</f>
        <v>1.209835134119631</v>
      </c>
      <c r="AJ81" s="204">
        <f>(IS!AJ8*4)/AVERAGE(BS!AI24,AJ24)</f>
        <v>1.2138838764462372</v>
      </c>
      <c r="AK81" s="204">
        <f>(IS!AK8*4)/AVERAGE(BS!AJ24,AK24)</f>
        <v>1.1471485405442563</v>
      </c>
      <c r="AL81" s="204">
        <f>(IS!AL8*4)/AVERAGE(BS!AK24,AL24)</f>
        <v>1.1886679920477137</v>
      </c>
      <c r="AM81" s="203">
        <f>IS!AM8/AVERAGE(BS!AM24,BS!AH24)</f>
        <v>1.1789660888182885</v>
      </c>
      <c r="AN81" s="204">
        <f>(IS!AN8*4)/AVERAGE(BS!AM24,AN24)</f>
        <v>0.97364484934772</v>
      </c>
      <c r="AO81" s="204">
        <f>(IS!AO8*4)/AVERAGE(BS!AN24,AO24)</f>
        <v>0.98310514894456502</v>
      </c>
      <c r="AP81" s="204">
        <f>(IS!AP8*4)/AVERAGE(BS!AO24,AP24)</f>
        <v>1.0524046923094816</v>
      </c>
      <c r="AQ81" s="204">
        <f>(IS!AQ8*4)/AVERAGE(BS!AP24,AQ24)</f>
        <v>0.98963277448481546</v>
      </c>
      <c r="AR81" s="203">
        <f>IS!AR8/AVERAGE(BS!AR24,BS!AM24)</f>
        <v>0.9846422392013352</v>
      </c>
      <c r="AS81" s="204">
        <f>(IS!AS8*4)/AVERAGE(BS!AR24,AS24)</f>
        <v>0.86859639541234301</v>
      </c>
      <c r="AT81" s="204">
        <f>(IS!AT8*4)/AVERAGE(BS!AS24,AT24)</f>
        <v>0.93941609466279574</v>
      </c>
      <c r="AU81" s="204">
        <f>(IS!AU8*4)/(AVERAGE(AP24,AU24))</f>
        <v>1.0174409011012662</v>
      </c>
      <c r="AV81" s="204">
        <f>(IS!AV8*4)/(AVERAGE(AQ24,AV24))</f>
        <v>1.0531063405833687</v>
      </c>
      <c r="AW81" s="203">
        <f>IS!AW8/AVERAGE(BS!AW24,BS!AR24)</f>
        <v>0.92540608949115122</v>
      </c>
      <c r="AX81" s="204">
        <f>(IS!AX8*4)/(AVERAGE(AS24,AX24))</f>
        <v>1.0409425032725808</v>
      </c>
      <c r="AY81" s="204">
        <f>(IS!AY8*4)/(AVERAGE(AT24,AY24))</f>
        <v>1.0411543515880142</v>
      </c>
      <c r="AZ81" s="204">
        <f>(IS!AZ8*4)/(AVERAGE(AU24,AZ24))</f>
        <v>1.014238009846848</v>
      </c>
      <c r="BA81" s="204">
        <f>(IS!BA8*4)/(AVERAGE(AV24,BA24))</f>
        <v>1.0564536185028599</v>
      </c>
      <c r="BB81" s="203">
        <f>IS!BB8/AVERAGE(BS!BB24,BS!AW24)</f>
        <v>0.96751578024893126</v>
      </c>
      <c r="BC81" s="204">
        <f>(IS!BC8*4)/(AVERAGE(AX24,BC24))</f>
        <v>0.88568548859667628</v>
      </c>
      <c r="BD81" s="204">
        <f>(IS!BD8*4)/(AVERAGE(AY24,BD24))</f>
        <v>1.0048017687090496</v>
      </c>
      <c r="BE81" s="204">
        <f>(IS!BE8*4)/(AVERAGE(AZ24,BE24))</f>
        <v>0.99300565941431507</v>
      </c>
      <c r="BF81" s="204">
        <f>(IS!BF8*4)/(AVERAGE(BA24,BF24))</f>
        <v>1.0480515975523108</v>
      </c>
      <c r="BG81" s="203">
        <f>IS!BG8/AVERAGE(BS!BG24,BS!BB24)</f>
        <v>0.95421763724188824</v>
      </c>
      <c r="BH81" s="204">
        <f>(IS!BH8*4)/(AVERAGE(BC24,BH24))</f>
        <v>0.89945171462790208</v>
      </c>
      <c r="BI81" s="204">
        <f>(IS!BI8*4)/(AVERAGE(BD24,BI24))</f>
        <v>0.95418443093037852</v>
      </c>
      <c r="BJ81" s="204">
        <f>(IS!BJ8*4)/(AVERAGE(BE24,BJ24))</f>
        <v>1.0159435302158197</v>
      </c>
      <c r="BK81" s="204">
        <f>(IS!BK8*4)/(AVERAGE(BF24,BK24))</f>
        <v>1.0202386102438745</v>
      </c>
      <c r="BL81" s="203">
        <f>IS!BL8/AVERAGE(BS!BL24,BS!BG24)</f>
        <v>0.94612245323437283</v>
      </c>
      <c r="BM81" s="204">
        <f>(IS!BM8*4)/(AVERAGE(BH24,BM24))</f>
        <v>0.93579086348032747</v>
      </c>
      <c r="BN81" s="204">
        <f>(IS!BN8*4)/(AVERAGE(BI24,BN24))</f>
        <v>1.0288463050005503</v>
      </c>
      <c r="BO81" s="204">
        <f>(IS!BO8*4)/(AVERAGE(BJ24,BO24))</f>
        <v>1.0790029793739662</v>
      </c>
      <c r="BP81" s="204">
        <f>(IS!BP8*4)/(AVERAGE(BK24,BP24))</f>
        <v>0.97406072125863863</v>
      </c>
      <c r="BQ81" s="203">
        <f>IS!BQ8/AVERAGE(BS!BQ24,BS!BL24)</f>
        <v>0.99288245199012426</v>
      </c>
      <c r="BR81" s="204">
        <f>(IS!BR8*4)/(AVERAGE(BM24,BR24))</f>
        <v>0.95633893578136719</v>
      </c>
      <c r="BS81" s="204">
        <f>(IS!BS8*4)/(AVERAGE(BN24,BS24))</f>
        <v>1.0550260773209881</v>
      </c>
      <c r="BT81" s="204">
        <f>(IS!BT8*4)/(AVERAGE(BO24,BT24))</f>
        <v>1.0172175282524953</v>
      </c>
      <c r="BU81" s="204">
        <f>(IS!BU8*4)/(AVERAGE(BP24,BU24))</f>
        <v>1.0102112198693094</v>
      </c>
      <c r="BV81" s="203">
        <f>IS!BV8/AVERAGE(BS!BV24,BS!BQ24)</f>
        <v>1.0256880236436106</v>
      </c>
      <c r="BW81" s="204">
        <f>(IS!BW8*4)/(AVERAGE(BR24,BW24))</f>
        <v>0.96947356803884777</v>
      </c>
      <c r="BX81" s="204">
        <f>(IS!BX8*4)/(AVERAGE(BS24,BX24))</f>
        <v>1.0265134014305992</v>
      </c>
      <c r="BY81" s="204">
        <f>(IS!BY8*4)/(AVERAGE(BT24,BY24))</f>
        <v>1.0768350216996283</v>
      </c>
      <c r="BZ81" s="204">
        <f>(IS!BZ8*4)/(AVERAGE(BU24,BZ24))</f>
        <v>1.086820600010969</v>
      </c>
      <c r="CA81" s="203">
        <f>IS!CA8/AVERAGE(BS!CA24,BS!BV24)</f>
        <v>1.031152306257884</v>
      </c>
      <c r="CB81" s="204">
        <f>(IS!CB8*4)/(AVERAGE(BW24,CB24))</f>
        <v>0.92045152591746959</v>
      </c>
      <c r="CC81" s="204">
        <f>(IS!CC8*4)/(AVERAGE(BX24,CC24))</f>
        <v>0.95489369239928945</v>
      </c>
      <c r="CD81" s="204">
        <f>(IS!CD8*4)/(AVERAGE(BY24,CD24))</f>
        <v>0.97812958875069289</v>
      </c>
      <c r="CE81" s="204">
        <f>(IS!CE8*4)/(AVERAGE(BZ24,CE24))</f>
        <v>1.0812429658737577</v>
      </c>
      <c r="CF81" s="203">
        <f>IS!CF8/AVERAGE(BS!CF24,BS!CA24)</f>
        <v>0.96452892814222768</v>
      </c>
      <c r="CG81" s="204">
        <f>(IS!CG8*4)/(AVERAGE(CB24,CG24))</f>
        <v>0.78429829139537466</v>
      </c>
      <c r="CH81" s="204">
        <f>(IS!CH8*4)/(AVERAGE(CC24,CH24))</f>
        <v>0.52622611252171592</v>
      </c>
      <c r="CI81" s="204">
        <f>(IS!CI8*4)/(AVERAGE(CD24,CI24))</f>
        <v>0.64645288101044662</v>
      </c>
      <c r="CJ81" s="204">
        <f>(IS!CJ8*4)/(AVERAGE(CE24,CJ24))</f>
        <v>0.57090491824180023</v>
      </c>
      <c r="CK81" s="203">
        <f>IS!CK8/AVERAGE(BS!CK24,BS!CF24)</f>
        <v>0.6100707614828037</v>
      </c>
      <c r="CL81" s="204">
        <f>(IS!CL8*4)/(AVERAGE(CG24,CL24))</f>
        <v>0.51375700764193799</v>
      </c>
      <c r="CM81" s="204">
        <f>(IS!CM8*4)/(AVERAGE(CH24,CM24))</f>
        <v>0.32668702638578095</v>
      </c>
      <c r="CN81" s="204">
        <f>(IS!CN8*4)/(AVERAGE(CI24,CN24))</f>
        <v>0.3849192980306882</v>
      </c>
      <c r="CO81" s="204">
        <f>(IS!CO8*4)/(AVERAGE(CJ24,CO24))</f>
        <v>0.4284419497412173</v>
      </c>
      <c r="CP81" s="927">
        <f>IS!CP8/AVERAGE(BS!CP24,BS!CK24)</f>
        <v>0.40703944905008033</v>
      </c>
      <c r="CQ81" s="204">
        <f>(IS!CQ8*4)/(AVERAGE(CL24,CQ24))</f>
        <v>0.41532530449319366</v>
      </c>
      <c r="CR81" s="204">
        <f>(IS!CR8*4)/(AVERAGE(CM24,CR24))</f>
        <v>0.43611593068789345</v>
      </c>
      <c r="CS81" s="204">
        <f>(IS!CS8*4)/(AVERAGE(CN24,CS24))</f>
        <v>0.39669335652873838</v>
      </c>
      <c r="CT81" s="204">
        <f>(IS!CT8*4)/(AVERAGE(CO24,CT24))</f>
        <v>0.40711690885072654</v>
      </c>
      <c r="CU81" s="927">
        <f>IS!CU8/AVERAGE(BS!CU24,BS!CP24)</f>
        <v>0.42854194187582562</v>
      </c>
      <c r="CV81" s="204">
        <f>(IS!CV8*4)/(AVERAGE(CQ24,CV24))</f>
        <v>0.39158118641458739</v>
      </c>
      <c r="CW81" s="204">
        <f>(IS!CW8*4)/(AVERAGE(CR24,CW24))</f>
        <v>0.46920334442045752</v>
      </c>
      <c r="CX81" s="204">
        <f>(IS!CX8*4)/(AVERAGE(CS24,CX24))</f>
        <v>0.4488263174920184</v>
      </c>
      <c r="CY81" s="204">
        <f>(IS!CY8*4)/(AVERAGE(CT24,CY24))</f>
        <v>0.57986156458142879</v>
      </c>
      <c r="CZ81" s="927">
        <f>IS!CZ8/AVERAGE(BS!CZ24,BS!CU24)</f>
        <v>0.48327601468518278</v>
      </c>
      <c r="DA81" s="204">
        <f>(IS!DA8*4)/(AVERAGE(CV24,DA24))</f>
        <v>0.52680159325073117</v>
      </c>
      <c r="DB81" s="1033">
        <f>(IS!DB8*4)/(AVERAGE(CW24,DB24))</f>
        <v>0.58466696021875797</v>
      </c>
      <c r="DC81" s="204">
        <f>(IS!DC8*4)/(AVERAGE(CX24,DC24))</f>
        <v>0.53278595050746946</v>
      </c>
      <c r="DD81" s="204">
        <f>(IS!DD8*4)/(AVERAGE(CY24,DD24))</f>
        <v>0.64259864580901238</v>
      </c>
      <c r="DE81" s="927">
        <f>IS!DE8/AVERAGE(BS!DE24,BS!CZ24)</f>
        <v>0.56760740135419097</v>
      </c>
      <c r="DF81" s="204">
        <f>(IS!DF8*4)/(AVERAGE(DA24,DF24))</f>
        <v>0.48942698583249333</v>
      </c>
      <c r="DG81" s="1033">
        <f>(IS!DG8*4)/(AVERAGE(DB24,DG24))</f>
        <v>0.48623754027114102</v>
      </c>
      <c r="DH81" s="204">
        <f>(IS!DH8*4)/(AVERAGE(DC24,DH24))</f>
        <v>0.52475218401623669</v>
      </c>
      <c r="DI81" s="204">
        <f>(IS!DI8*4)/(AVERAGE(DD24,DI24))</f>
        <v>0.4156318704729442</v>
      </c>
      <c r="DJ81" s="927">
        <f>IS!DJ8/AVERAGE(BS!DJ24,BS!DE24)</f>
        <v>0.45346058798466127</v>
      </c>
      <c r="DK81" s="204">
        <f>(IS!DK8*4)/(AVERAGE(DF24,DK24))</f>
        <v>0.5360130319130656</v>
      </c>
      <c r="DL81" s="1033">
        <f>(IS!DL8*4)/(AVERAGE(DG24,DL24))</f>
        <v>0.61103948428686539</v>
      </c>
      <c r="DM81" s="204">
        <f>(IS!DM8*4)/(AVERAGE(DH24,DM24))</f>
        <v>0.64702243168658202</v>
      </c>
      <c r="DN81" s="204">
        <f>(IS!DN8*4)/(AVERAGE(DI24,DN24))</f>
        <v>0.59021928662530265</v>
      </c>
      <c r="DO81" s="927">
        <f>IS!DO8/AVERAGE(BS!DO24,BS!DJ24)</f>
        <v>0.55122335935526401</v>
      </c>
      <c r="DP81" s="204">
        <f>(IS!DP8*4)/(AVERAGE(DK24,DP24))</f>
        <v>0.55321042949941013</v>
      </c>
      <c r="DQ81" s="1033">
        <f>(IS!DQ8*4)/(AVERAGE(DL24,DQ24))</f>
        <v>0.61210629614629741</v>
      </c>
      <c r="DR81" s="204">
        <f>(IS!DR8*4)/(AVERAGE(DM24,DR24))</f>
        <v>0.63471918021448992</v>
      </c>
      <c r="DS81" s="204">
        <f>(IS!DS8*4)/(AVERAGE(DN24,DS24))</f>
        <v>0.64583863198739611</v>
      </c>
      <c r="DT81" s="927">
        <f>IS!DT8/AVERAGE(BS!DT24,BS!DO24)</f>
        <v>0.60124259221828769</v>
      </c>
      <c r="DU81" s="204">
        <f>(IS!DU8*4)/(AVERAGE(DP24,DU24))</f>
        <v>0.60156084822117195</v>
      </c>
      <c r="DV81" s="204">
        <f>(IS!DV8*4)/(AVERAGE(DQ24,DV24))</f>
        <v>0.6608978311213064</v>
      </c>
      <c r="DW81" s="204">
        <f>(IS!DW8*4)/(AVERAGE(DR24,DW24))</f>
        <v>0.72285004952324816</v>
      </c>
      <c r="DX81" s="204">
        <f>(IS!DX8*4)/(AVERAGE(DS24,DX24))</f>
        <v>0.79079610486534369</v>
      </c>
      <c r="DY81" s="927">
        <f>IS!DY8/AVERAGE(BS!DY24,BS!DT24)</f>
        <v>0.71223814330912516</v>
      </c>
      <c r="DZ81" s="203">
        <f>IS!DZ8/AVERAGE(BS!DZ24,BS!DY24)</f>
        <v>0.8019149206282421</v>
      </c>
      <c r="EA81" s="203">
        <f>IS!EA8/AVERAGE(BS!EA24,BS!DZ24)</f>
        <v>0.91893959682400572</v>
      </c>
      <c r="EB81" s="203">
        <f>IS!EB8/AVERAGE(BS!EB24,BS!EA24)</f>
        <v>0.94110632745371403</v>
      </c>
    </row>
    <row r="82" spans="1:132">
      <c r="C82" s="67"/>
      <c r="D82" s="67"/>
      <c r="E82" s="67"/>
      <c r="F82" s="67"/>
      <c r="G82" s="67"/>
      <c r="H82" s="67"/>
      <c r="I82" s="67"/>
      <c r="N82" s="67"/>
      <c r="S82" s="67"/>
      <c r="X82" s="67"/>
      <c r="AC82" s="67"/>
      <c r="AH82" s="67"/>
      <c r="AI82" s="77"/>
      <c r="AJ82" s="77"/>
      <c r="AK82" s="77"/>
      <c r="AL82" s="205"/>
      <c r="AM82" s="67"/>
      <c r="AN82" s="77"/>
      <c r="AO82" s="77"/>
      <c r="AP82" s="77"/>
      <c r="AQ82" s="205"/>
      <c r="AR82" s="67"/>
      <c r="AS82" s="77"/>
      <c r="AT82" s="77"/>
      <c r="AU82" s="77"/>
      <c r="AV82" s="77"/>
      <c r="AW82" s="67"/>
      <c r="AX82" s="77"/>
      <c r="AY82" s="77"/>
      <c r="AZ82" s="77"/>
      <c r="BA82" s="205"/>
      <c r="BB82" s="67"/>
      <c r="BC82" s="77"/>
      <c r="BD82" s="77"/>
      <c r="BE82" s="77"/>
      <c r="BF82" s="77"/>
      <c r="BG82" s="67"/>
      <c r="BH82" s="77"/>
      <c r="BI82" s="77"/>
      <c r="BJ82" s="77"/>
      <c r="BK82" s="205"/>
      <c r="BL82" s="67"/>
      <c r="BM82" s="77"/>
      <c r="BN82" s="77"/>
      <c r="BO82" s="77"/>
      <c r="BP82" s="205"/>
      <c r="BQ82" s="67"/>
      <c r="BR82" s="77"/>
      <c r="BS82" s="205"/>
      <c r="BT82" s="205"/>
      <c r="BU82" s="205"/>
      <c r="BV82" s="67"/>
      <c r="BW82" s="77"/>
      <c r="BX82" s="205"/>
      <c r="BY82" s="205"/>
      <c r="BZ82" s="205"/>
      <c r="CA82" s="67"/>
      <c r="CB82" s="77"/>
      <c r="CC82" s="205"/>
      <c r="CD82" s="205"/>
      <c r="CE82" s="205"/>
      <c r="CF82" s="67"/>
      <c r="CG82" s="205"/>
      <c r="CH82" s="205"/>
      <c r="CI82" s="205"/>
      <c r="CJ82" s="205"/>
      <c r="CK82" s="67"/>
      <c r="CL82" s="205"/>
      <c r="CM82" s="205"/>
      <c r="CN82" s="205"/>
      <c r="CO82" s="205"/>
      <c r="CP82" s="120"/>
      <c r="CQ82" s="205"/>
      <c r="CR82" s="205"/>
      <c r="CS82" s="205"/>
      <c r="CT82" s="205"/>
      <c r="CU82" s="120"/>
      <c r="CV82" s="205"/>
      <c r="CW82" s="205"/>
      <c r="CX82" s="205"/>
      <c r="CY82" s="205"/>
      <c r="CZ82" s="120"/>
      <c r="DA82" s="205"/>
      <c r="DB82" s="538"/>
      <c r="DC82" s="205"/>
      <c r="DD82" s="205"/>
      <c r="DE82" s="120"/>
      <c r="DF82" s="205"/>
      <c r="DG82" s="538"/>
      <c r="DH82" s="205"/>
      <c r="DI82" s="205"/>
      <c r="DJ82" s="120"/>
      <c r="DK82" s="205"/>
      <c r="DL82" s="538"/>
      <c r="DM82" s="205"/>
      <c r="DN82" s="205"/>
      <c r="DO82" s="120"/>
      <c r="DP82" s="205"/>
      <c r="DQ82" s="538"/>
      <c r="DR82" s="205"/>
      <c r="DS82" s="205"/>
      <c r="DT82" s="120"/>
      <c r="DU82" s="205"/>
      <c r="DV82" s="205"/>
      <c r="DW82" s="205"/>
      <c r="DX82" s="205"/>
      <c r="DY82" s="120"/>
      <c r="DZ82" s="67"/>
      <c r="EA82" s="67"/>
      <c r="EB82" s="67"/>
    </row>
    <row r="83" spans="1:132">
      <c r="B83" s="164" t="s">
        <v>247</v>
      </c>
      <c r="C83" s="67"/>
      <c r="D83" s="67"/>
      <c r="E83" s="67"/>
      <c r="F83" s="67"/>
      <c r="G83" s="67"/>
      <c r="H83" s="67"/>
      <c r="I83" s="67"/>
      <c r="N83" s="67"/>
      <c r="S83" s="67"/>
      <c r="X83" s="67"/>
      <c r="AC83" s="67"/>
      <c r="AH83" s="67"/>
      <c r="AI83" s="77"/>
      <c r="AJ83" s="77"/>
      <c r="AK83" s="77"/>
      <c r="AL83" s="205"/>
      <c r="AM83" s="67"/>
      <c r="AN83" s="77"/>
      <c r="AO83" s="77"/>
      <c r="AP83" s="77"/>
      <c r="AQ83" s="205"/>
      <c r="AR83" s="67"/>
      <c r="AS83" s="77"/>
      <c r="AT83" s="77"/>
      <c r="AU83" s="77"/>
      <c r="AV83" s="77"/>
      <c r="AW83" s="67"/>
      <c r="AX83" s="77"/>
      <c r="AY83" s="77"/>
      <c r="AZ83" s="77"/>
      <c r="BA83" s="205"/>
      <c r="BB83" s="67"/>
      <c r="BC83" s="77"/>
      <c r="BD83" s="77"/>
      <c r="BE83" s="77"/>
      <c r="BF83" s="77"/>
      <c r="BG83" s="67"/>
      <c r="BH83" s="77"/>
      <c r="BI83" s="77"/>
      <c r="BJ83" s="77"/>
      <c r="BK83" s="205"/>
      <c r="BL83" s="67"/>
      <c r="BM83" s="77"/>
      <c r="BN83" s="77"/>
      <c r="BO83" s="77"/>
      <c r="BP83" s="205"/>
      <c r="BQ83" s="67"/>
      <c r="BR83" s="77"/>
      <c r="BS83" s="205"/>
      <c r="BT83" s="205"/>
      <c r="BU83" s="205"/>
      <c r="BV83" s="67"/>
      <c r="BW83" s="77"/>
      <c r="BX83" s="205"/>
      <c r="BY83" s="205"/>
      <c r="BZ83" s="205"/>
      <c r="CA83" s="67"/>
      <c r="CB83" s="77"/>
      <c r="CC83" s="205"/>
      <c r="CD83" s="205"/>
      <c r="CE83" s="205"/>
      <c r="CF83" s="67"/>
      <c r="CG83" s="205"/>
      <c r="CH83" s="205"/>
      <c r="CI83" s="205"/>
      <c r="CJ83" s="205"/>
      <c r="CK83" s="67"/>
      <c r="CL83" s="205"/>
      <c r="CM83" s="205"/>
      <c r="CN83" s="205"/>
      <c r="CO83" s="205"/>
      <c r="CP83" s="120"/>
      <c r="CQ83" s="205"/>
      <c r="CR83" s="205"/>
      <c r="CS83" s="205"/>
      <c r="CT83" s="205"/>
      <c r="CU83" s="120"/>
      <c r="CV83" s="205"/>
      <c r="CW83" s="205"/>
      <c r="CX83" s="205"/>
      <c r="CY83" s="205"/>
      <c r="CZ83" s="120"/>
      <c r="DA83" s="205"/>
      <c r="DB83" s="538"/>
      <c r="DC83" s="205"/>
      <c r="DD83" s="205"/>
      <c r="DE83" s="120"/>
      <c r="DF83" s="205"/>
      <c r="DG83" s="538"/>
      <c r="DH83" s="205"/>
      <c r="DI83" s="205"/>
      <c r="DJ83" s="120"/>
      <c r="DK83" s="205"/>
      <c r="DL83" s="538"/>
      <c r="DM83" s="205"/>
      <c r="DN83" s="205"/>
      <c r="DO83" s="120"/>
      <c r="DP83" s="205"/>
      <c r="DQ83" s="538"/>
      <c r="DR83" s="205"/>
      <c r="DS83" s="205"/>
      <c r="DT83" s="120"/>
      <c r="DU83" s="205"/>
      <c r="DV83" s="205"/>
      <c r="DW83" s="205"/>
      <c r="DX83" s="205"/>
      <c r="DY83" s="120"/>
      <c r="DZ83" s="67"/>
      <c r="EA83" s="67"/>
      <c r="EB83" s="67"/>
    </row>
    <row r="84" spans="1:132">
      <c r="B84" s="68" t="s">
        <v>248</v>
      </c>
      <c r="C84" s="203">
        <f>C15/C33</f>
        <v>1.3611503674392311</v>
      </c>
      <c r="D84" s="203">
        <f t="shared" ref="D84:AR84" si="677">D15/D33</f>
        <v>1.2200119207271645</v>
      </c>
      <c r="E84" s="203">
        <f t="shared" si="677"/>
        <v>1.1505565319273579</v>
      </c>
      <c r="F84" s="203">
        <f t="shared" si="677"/>
        <v>0.8674066378697578</v>
      </c>
      <c r="G84" s="203">
        <f t="shared" si="677"/>
        <v>0.79107683295909403</v>
      </c>
      <c r="H84" s="203">
        <f t="shared" si="677"/>
        <v>0.85083291267036854</v>
      </c>
      <c r="I84" s="203">
        <f t="shared" si="677"/>
        <v>0.93549436253252383</v>
      </c>
      <c r="J84" s="206">
        <f t="shared" si="677"/>
        <v>0.89818005599827699</v>
      </c>
      <c r="K84" s="206">
        <f t="shared" si="677"/>
        <v>0.86161842544466172</v>
      </c>
      <c r="L84" s="206">
        <f t="shared" si="677"/>
        <v>0.76734009868727304</v>
      </c>
      <c r="M84" s="206">
        <f t="shared" si="677"/>
        <v>0.72474202063834892</v>
      </c>
      <c r="N84" s="203">
        <f t="shared" si="677"/>
        <v>0.72474202063834892</v>
      </c>
      <c r="O84" s="206">
        <f t="shared" si="677"/>
        <v>0.7454809623520362</v>
      </c>
      <c r="P84" s="206">
        <f t="shared" si="677"/>
        <v>0.74692924991811338</v>
      </c>
      <c r="Q84" s="206">
        <f t="shared" si="677"/>
        <v>0.73361157910859243</v>
      </c>
      <c r="R84" s="206">
        <f t="shared" si="677"/>
        <v>0.77933872569887896</v>
      </c>
      <c r="S84" s="203">
        <f t="shared" si="677"/>
        <v>0.77933872569887896</v>
      </c>
      <c r="T84" s="206">
        <f t="shared" si="677"/>
        <v>0.77456785082346535</v>
      </c>
      <c r="U84" s="206">
        <f t="shared" si="677"/>
        <v>0.7632835919227855</v>
      </c>
      <c r="V84" s="206">
        <f t="shared" si="677"/>
        <v>0.75441672285906947</v>
      </c>
      <c r="W84" s="206">
        <f t="shared" si="677"/>
        <v>0.77381232955119361</v>
      </c>
      <c r="X84" s="203">
        <f t="shared" si="677"/>
        <v>0.77381232955119361</v>
      </c>
      <c r="Y84" s="206">
        <f t="shared" si="677"/>
        <v>0.7917971085863027</v>
      </c>
      <c r="Z84" s="206">
        <f t="shared" si="677"/>
        <v>0.84718027018953102</v>
      </c>
      <c r="AA84" s="206">
        <f t="shared" si="677"/>
        <v>0.86266886966663425</v>
      </c>
      <c r="AB84" s="206">
        <f t="shared" si="677"/>
        <v>0.86498826812099694</v>
      </c>
      <c r="AC84" s="203">
        <f t="shared" si="677"/>
        <v>0.86498826812099694</v>
      </c>
      <c r="AD84" s="206">
        <f t="shared" si="677"/>
        <v>0.86278529033837115</v>
      </c>
      <c r="AE84" s="206">
        <f t="shared" si="677"/>
        <v>0.82483701701383372</v>
      </c>
      <c r="AF84" s="206">
        <f t="shared" si="677"/>
        <v>0.82899666235270075</v>
      </c>
      <c r="AG84" s="206">
        <f t="shared" si="677"/>
        <v>0.8395796281325788</v>
      </c>
      <c r="AH84" s="203">
        <f>AH15/AH33</f>
        <v>0.8395796281325788</v>
      </c>
      <c r="AI84" s="204">
        <f>AI15/AI33</f>
        <v>0.92788252961788753</v>
      </c>
      <c r="AJ84" s="204">
        <f>AJ15/AJ33</f>
        <v>0.96316193399846506</v>
      </c>
      <c r="AK84" s="204">
        <f t="shared" si="677"/>
        <v>0.94314955224812003</v>
      </c>
      <c r="AL84" s="206">
        <f t="shared" si="677"/>
        <v>1.0727427546148465</v>
      </c>
      <c r="AM84" s="203">
        <f t="shared" si="677"/>
        <v>1.0727427546148465</v>
      </c>
      <c r="AN84" s="204">
        <f>AN15/AN33</f>
        <v>1.0989726436506988</v>
      </c>
      <c r="AO84" s="204">
        <f>AO15/AO33</f>
        <v>1.1243546115935226</v>
      </c>
      <c r="AP84" s="204">
        <f>AP15/AP33</f>
        <v>1.1523453472749576</v>
      </c>
      <c r="AQ84" s="206">
        <f>AQ15/AQ33</f>
        <v>1.1462635965531855</v>
      </c>
      <c r="AR84" s="203">
        <f t="shared" si="677"/>
        <v>1.1462635965531855</v>
      </c>
      <c r="AS84" s="204">
        <f>AS15/AS33</f>
        <v>1.1631449073942763</v>
      </c>
      <c r="AT84" s="204">
        <f t="shared" ref="AT84:BG84" si="678">AT15/AT33</f>
        <v>1.1868611185442868</v>
      </c>
      <c r="AU84" s="204">
        <f>AU15/AU33</f>
        <v>1.232862500997526</v>
      </c>
      <c r="AV84" s="204">
        <f t="shared" si="678"/>
        <v>1.206813005766342</v>
      </c>
      <c r="AW84" s="203">
        <f t="shared" si="678"/>
        <v>1.206813005766342</v>
      </c>
      <c r="AX84" s="204">
        <f>AX15/AX33</f>
        <v>1.2136787313884518</v>
      </c>
      <c r="AY84" s="204">
        <f>AY15/AY33</f>
        <v>1.2157361601884571</v>
      </c>
      <c r="AZ84" s="204">
        <f>AZ15/AZ33</f>
        <v>1.2549705964715765</v>
      </c>
      <c r="BA84" s="206">
        <f>BA15/BA33</f>
        <v>1.2740429505135387</v>
      </c>
      <c r="BB84" s="203">
        <f t="shared" si="678"/>
        <v>1.2740429505135387</v>
      </c>
      <c r="BC84" s="204">
        <f>BC15/BC33</f>
        <v>1.3027197477335435</v>
      </c>
      <c r="BD84" s="204">
        <f>BD15/BD33</f>
        <v>1.3058851093740016</v>
      </c>
      <c r="BE84" s="204">
        <f>BE15/BE33</f>
        <v>1.2915056360708534</v>
      </c>
      <c r="BF84" s="204">
        <f>BF15/BF33</f>
        <v>1.2639164044594646</v>
      </c>
      <c r="BG84" s="203">
        <f t="shared" si="678"/>
        <v>1.2639164044594646</v>
      </c>
      <c r="BH84" s="204">
        <f>BH15/BH33</f>
        <v>1.2338006171193479</v>
      </c>
      <c r="BI84" s="204">
        <f>BI15/BI33</f>
        <v>1.2285007217983088</v>
      </c>
      <c r="BJ84" s="204">
        <f>BJ15/BJ33</f>
        <v>1.2258100894669575</v>
      </c>
      <c r="BK84" s="206">
        <f t="shared" ref="BK84:BL84" si="679">BK15/BK33</f>
        <v>1.1951443129925772</v>
      </c>
      <c r="BL84" s="203">
        <f t="shared" si="679"/>
        <v>1.1951443129925772</v>
      </c>
      <c r="BM84" s="204">
        <f>BM15/BM33</f>
        <v>1.2020595048501521</v>
      </c>
      <c r="BN84" s="204">
        <f t="shared" ref="BN84" si="680">BN15/BN33</f>
        <v>1.1692453094371325</v>
      </c>
      <c r="BO84" s="204">
        <f>BO15/BO33</f>
        <v>1.1689731525048437</v>
      </c>
      <c r="BP84" s="206">
        <f t="shared" ref="BP84" si="681">BP15/BP33</f>
        <v>1.3535269380306276</v>
      </c>
      <c r="BQ84" s="203">
        <f t="shared" ref="BQ84" si="682">BQ15/BQ33</f>
        <v>1.3535269380306276</v>
      </c>
      <c r="BR84" s="204">
        <f>BR15/BR33</f>
        <v>1.3245350081790093</v>
      </c>
      <c r="BS84" s="206">
        <f t="shared" ref="BS84:BU84" si="683">BS15/BS33</f>
        <v>1.2737319240257525</v>
      </c>
      <c r="BT84" s="206">
        <f t="shared" si="683"/>
        <v>1.2835282228959146</v>
      </c>
      <c r="BU84" s="206">
        <f t="shared" si="683"/>
        <v>1.2464195954841026</v>
      </c>
      <c r="BV84" s="203">
        <f t="shared" ref="BV84" si="684">BV15/BV33</f>
        <v>1.2464195954841026</v>
      </c>
      <c r="BW84" s="204">
        <f>BW15/BW33</f>
        <v>1.2528273839416646</v>
      </c>
      <c r="BX84" s="206">
        <f t="shared" ref="BX84:CA84" si="685">BX15/BX33</f>
        <v>1.1875295318376835</v>
      </c>
      <c r="BY84" s="206">
        <f t="shared" si="685"/>
        <v>1.1788858460916392</v>
      </c>
      <c r="BZ84" s="206">
        <f t="shared" si="685"/>
        <v>1.158026622118751</v>
      </c>
      <c r="CA84" s="203">
        <f t="shared" si="685"/>
        <v>1.158026622118751</v>
      </c>
      <c r="CB84" s="204">
        <f>CB15/CB33</f>
        <v>1.1457792723613833</v>
      </c>
      <c r="CC84" s="206">
        <f t="shared" ref="CC84:CF84" si="686">CC15/CC33</f>
        <v>1.1116243165004824</v>
      </c>
      <c r="CD84" s="206">
        <f t="shared" si="686"/>
        <v>1.1041212838561014</v>
      </c>
      <c r="CE84" s="206">
        <f t="shared" si="686"/>
        <v>1.0764799607795073</v>
      </c>
      <c r="CF84" s="203">
        <f t="shared" si="686"/>
        <v>1.0764799607795073</v>
      </c>
      <c r="CG84" s="206">
        <f t="shared" ref="CG84:CK84" si="687">CG15/CG33</f>
        <v>1.070489744663039</v>
      </c>
      <c r="CH84" s="206">
        <f t="shared" si="687"/>
        <v>1.0316957554588941</v>
      </c>
      <c r="CI84" s="206">
        <f t="shared" si="687"/>
        <v>1.1068092241360539</v>
      </c>
      <c r="CJ84" s="206">
        <f t="shared" si="687"/>
        <v>1.0505281979611969</v>
      </c>
      <c r="CK84" s="203">
        <f t="shared" si="687"/>
        <v>1.0505281979611969</v>
      </c>
      <c r="CL84" s="206">
        <f t="shared" ref="CL84:CP84" si="688">CL15/CL33</f>
        <v>1.1746947154557577</v>
      </c>
      <c r="CM84" s="206">
        <f t="shared" si="688"/>
        <v>1.4086741203693691</v>
      </c>
      <c r="CN84" s="206">
        <f t="shared" si="688"/>
        <v>1.4193073114715027</v>
      </c>
      <c r="CO84" s="206">
        <f t="shared" si="688"/>
        <v>1.393698441796517</v>
      </c>
      <c r="CP84" s="927">
        <f t="shared" si="688"/>
        <v>1.393698441796517</v>
      </c>
      <c r="CQ84" s="206">
        <f t="shared" ref="CQ84:CV84" si="689">CQ15/CQ33</f>
        <v>1.3343234103145998</v>
      </c>
      <c r="CR84" s="206">
        <f t="shared" si="689"/>
        <v>1.3499161225970258</v>
      </c>
      <c r="CS84" s="206">
        <f t="shared" si="689"/>
        <v>1.3627916195450678</v>
      </c>
      <c r="CT84" s="206">
        <f t="shared" si="689"/>
        <v>1.325324421894819</v>
      </c>
      <c r="CU84" s="927">
        <f t="shared" si="689"/>
        <v>1.325324421894819</v>
      </c>
      <c r="CV84" s="206">
        <f t="shared" si="689"/>
        <v>1.2977035695049699</v>
      </c>
      <c r="CW84" s="206">
        <f t="shared" ref="CW84:CZ84" si="690">CW15/CW33</f>
        <v>1.2500147407398672</v>
      </c>
      <c r="CX84" s="206">
        <f t="shared" si="690"/>
        <v>1.219074293110759</v>
      </c>
      <c r="CY84" s="206">
        <f t="shared" si="690"/>
        <v>1.2162195176120463</v>
      </c>
      <c r="CZ84" s="927">
        <f t="shared" si="690"/>
        <v>1.2162195176120463</v>
      </c>
      <c r="DA84" s="206">
        <f t="shared" ref="DA84:DE84" si="691">DA15/DA33</f>
        <v>1.1636295583360068</v>
      </c>
      <c r="DB84" s="1034">
        <f t="shared" si="691"/>
        <v>1.1665580607324384</v>
      </c>
      <c r="DC84" s="206">
        <f t="shared" si="691"/>
        <v>1.1490726612365949</v>
      </c>
      <c r="DD84" s="206">
        <f t="shared" si="691"/>
        <v>1.14033623091613</v>
      </c>
      <c r="DE84" s="927">
        <f t="shared" si="691"/>
        <v>1.14033623091613</v>
      </c>
      <c r="DF84" s="206">
        <f t="shared" ref="DF84:DJ84" si="692">DF15/DF33</f>
        <v>1.1423363143108367</v>
      </c>
      <c r="DG84" s="1034">
        <f t="shared" si="692"/>
        <v>1.1843009417365207</v>
      </c>
      <c r="DH84" s="206">
        <f t="shared" si="692"/>
        <v>1.1247276464542653</v>
      </c>
      <c r="DI84" s="206">
        <f t="shared" si="692"/>
        <v>1.318506767753765</v>
      </c>
      <c r="DJ84" s="927">
        <f t="shared" si="692"/>
        <v>1.318506767753765</v>
      </c>
      <c r="DK84" s="206">
        <f t="shared" ref="DK84:DM84" si="693">DK15/DK33</f>
        <v>1.2316167248731356</v>
      </c>
      <c r="DL84" s="1034">
        <f t="shared" si="693"/>
        <v>1.2314366971057111</v>
      </c>
      <c r="DM84" s="206">
        <f t="shared" si="693"/>
        <v>1.1820293445859626</v>
      </c>
      <c r="DN84" s="206">
        <f t="shared" ref="DN84:DQ84" si="694">DN15/DN33</f>
        <v>1.1881700041622347</v>
      </c>
      <c r="DO84" s="927">
        <f t="shared" si="694"/>
        <v>1.1881700041622347</v>
      </c>
      <c r="DP84" s="206">
        <f t="shared" si="694"/>
        <v>1.1761679630875346</v>
      </c>
      <c r="DQ84" s="1034">
        <f t="shared" si="694"/>
        <v>1.1375190529649608</v>
      </c>
      <c r="DR84" s="206">
        <f t="shared" ref="DR84:DU84" si="695">DR15/DR33</f>
        <v>1.0812511783112608</v>
      </c>
      <c r="DS84" s="206">
        <f t="shared" si="695"/>
        <v>1.0653249970718601</v>
      </c>
      <c r="DT84" s="927">
        <f t="shared" si="695"/>
        <v>1.0653249970718601</v>
      </c>
      <c r="DU84" s="206">
        <f t="shared" si="695"/>
        <v>1.2787461334937016</v>
      </c>
      <c r="DV84" s="206">
        <f t="shared" ref="DV84:DY84" si="696">DV15/DV33</f>
        <v>1.1998167824816606</v>
      </c>
      <c r="DW84" s="206">
        <f t="shared" si="696"/>
        <v>1.1821523350051815</v>
      </c>
      <c r="DX84" s="206">
        <f t="shared" si="696"/>
        <v>1.1665406570226937</v>
      </c>
      <c r="DY84" s="927">
        <f t="shared" si="696"/>
        <v>1.1665406570226937</v>
      </c>
      <c r="DZ84" s="203">
        <f t="shared" ref="DZ84:EB84" si="697">DZ15/DZ33</f>
        <v>1.0207049218250359</v>
      </c>
      <c r="EA84" s="203">
        <f t="shared" si="697"/>
        <v>1.0935299631640392</v>
      </c>
      <c r="EB84" s="203">
        <f t="shared" si="697"/>
        <v>1.155161858151518</v>
      </c>
    </row>
    <row r="85" spans="1:132">
      <c r="B85" s="68" t="s">
        <v>249</v>
      </c>
      <c r="C85" s="203">
        <f>-IS!C18/IS!C20</f>
        <v>-0.85748792270531404</v>
      </c>
      <c r="D85" s="203">
        <f>-IS!D18/IS!D20</f>
        <v>3.4591611479028699</v>
      </c>
      <c r="E85" s="203">
        <f>-IS!E18/IS!E20</f>
        <v>7.3549883990719254</v>
      </c>
      <c r="F85" s="203">
        <f>-IS!F18/IS!F20</f>
        <v>6.8719101123595507</v>
      </c>
      <c r="G85" s="203">
        <f>-IS!G18/IS!G20</f>
        <v>5.993846153846154</v>
      </c>
      <c r="H85" s="203">
        <f>-IS!H18/IS!H20</f>
        <v>5.2986301369863016</v>
      </c>
      <c r="I85" s="203">
        <f>-IS!I18/IS!I20</f>
        <v>1.2541899441340782</v>
      </c>
      <c r="J85" s="206">
        <f>-IS!J18/IS!J20</f>
        <v>9.9761904761904763</v>
      </c>
      <c r="K85" s="206">
        <f>-IS!K18/IS!K20</f>
        <v>7.5764705882352938</v>
      </c>
      <c r="L85" s="206">
        <f>-IS!L18/IS!L20</f>
        <v>6.1566265060240966</v>
      </c>
      <c r="M85" s="206">
        <f>-IS!M18/IS!M20</f>
        <v>0.16867469879518071</v>
      </c>
      <c r="N85" s="203">
        <f>-IS!N18/IS!N20</f>
        <v>5.991044776119403</v>
      </c>
      <c r="O85" s="206">
        <f>-IS!O18/IS!O20</f>
        <v>7.8965517241379306</v>
      </c>
      <c r="P85" s="206">
        <f>-IS!P18/IS!P20</f>
        <v>9.6428571428571423</v>
      </c>
      <c r="Q85" s="206">
        <f>-IS!Q18/IS!Q20</f>
        <v>10.9</v>
      </c>
      <c r="R85" s="206">
        <f>-IS!R18/IS!R20</f>
        <v>10.415094339622641</v>
      </c>
      <c r="S85" s="203">
        <f>-IS!S18/IS!S20</f>
        <v>9.5646258503401356</v>
      </c>
      <c r="T85" s="206">
        <f>-IS!T18/IS!T20</f>
        <v>13.898550724637682</v>
      </c>
      <c r="U85" s="206">
        <f>-IS!U18/IS!U20</f>
        <v>7.8059701492537314</v>
      </c>
      <c r="V85" s="206">
        <f>-IS!V18/IS!V20</f>
        <v>14.194029850746269</v>
      </c>
      <c r="W85" s="206">
        <f>-IS!W18/IS!W20</f>
        <v>31.135135135135137</v>
      </c>
      <c r="X85" s="203">
        <f>-IS!X18/IS!X20</f>
        <v>14.9375</v>
      </c>
      <c r="Y85" s="206">
        <f>-IS!Y18/IS!Y20</f>
        <v>28.456521739130434</v>
      </c>
      <c r="Z85" s="206">
        <f>-IS!Z18/IS!Z20</f>
        <v>32.739130434782609</v>
      </c>
      <c r="AA85" s="206">
        <f>-IS!AA18/IS!AA20</f>
        <v>31.893617021276597</v>
      </c>
      <c r="AB85" s="206">
        <f>-IS!AB18/IS!AB20</f>
        <v>26.596491228070175</v>
      </c>
      <c r="AC85" s="203">
        <f>-IS!AC18/IS!AC20</f>
        <v>29.744897959183675</v>
      </c>
      <c r="AD85" s="206">
        <f>-IS!AD18/IS!AD20</f>
        <v>39.108695652173914</v>
      </c>
      <c r="AE85" s="206">
        <f>-IS!AE18/IS!AE20</f>
        <v>24.94</v>
      </c>
      <c r="AF85" s="206">
        <f>-IS!AF18/IS!AF20</f>
        <v>23.408163265306122</v>
      </c>
      <c r="AG85" s="206">
        <f>-IS!AG18/IS!AG20</f>
        <v>-4.2631578947368425</v>
      </c>
      <c r="AH85" s="203">
        <f>-IS!AH18/IS!AH20</f>
        <v>19.554455445544555</v>
      </c>
      <c r="AI85" s="204">
        <f>-IS!AI18/IS!AI20</f>
        <v>17.982456140350877</v>
      </c>
      <c r="AJ85" s="204">
        <f>-IS!AJ18/IS!AJ20</f>
        <v>19.112500000000001</v>
      </c>
      <c r="AK85" s="204">
        <f>-IS!AK18/IS!AK20</f>
        <v>-23.380434782608695</v>
      </c>
      <c r="AL85" s="206">
        <f>-IS!AL18/IS!AL20</f>
        <v>15.390909090909091</v>
      </c>
      <c r="AM85" s="203">
        <f>-IS!AM18/IS!AM20</f>
        <v>6.1828908554572273</v>
      </c>
      <c r="AN85" s="204">
        <f>-IS!AN18/IS!AN20</f>
        <v>9.6229508196721305</v>
      </c>
      <c r="AO85" s="204">
        <f>-IS!AO18/IS!AO20</f>
        <v>9.9015151515151523</v>
      </c>
      <c r="AP85" s="204">
        <f>-IS!AP18/IS!AP20</f>
        <v>10.669230769230769</v>
      </c>
      <c r="AQ85" s="206">
        <f>-IS!AQ18/IS!AQ20</f>
        <v>8.3560606060606055</v>
      </c>
      <c r="AR85" s="203">
        <f>-IS!AR18/IS!AR20</f>
        <v>9.6337209302325579</v>
      </c>
      <c r="AS85" s="204">
        <f>-IS!AS18/IS!AS20</f>
        <v>7.6804915514592942</v>
      </c>
      <c r="AT85" s="204">
        <f>-IS!AT18/IS!AT20</f>
        <v>12.471544715447154</v>
      </c>
      <c r="AU85" s="204">
        <f>-IS!AU18/IS!AU20</f>
        <v>14.165289256198347</v>
      </c>
      <c r="AV85" s="204">
        <f>-IS!AV18/IS!AV20</f>
        <v>12.891760904684974</v>
      </c>
      <c r="AW85" s="203">
        <f>-IS!AW18/IS!AW20</f>
        <v>11.734939759036145</v>
      </c>
      <c r="AX85" s="204">
        <f>-IS!AX18/IS!AX20</f>
        <v>13.193277310924369</v>
      </c>
      <c r="AY85" s="204">
        <f>-IS!AY18/IS!AY20</f>
        <v>13.821428571428571</v>
      </c>
      <c r="AZ85" s="204">
        <f>-IS!AZ18/IS!AZ20</f>
        <v>13.54592720970537</v>
      </c>
      <c r="BA85" s="206">
        <f>-IS!BA18/IS!BA20</f>
        <v>13.923076923076923</v>
      </c>
      <c r="BB85" s="203">
        <f>-IS!BB18/IS!BB20</f>
        <v>13.617177384548986</v>
      </c>
      <c r="BC85" s="204">
        <f>-IS!BC18/IS!BC20</f>
        <v>15.434343434343434</v>
      </c>
      <c r="BD85" s="204">
        <f>-IS!BD18/IS!BD20</f>
        <v>17.875</v>
      </c>
      <c r="BE85" s="204">
        <f>-IS!BE18/IS!BE20</f>
        <v>18.978947368421053</v>
      </c>
      <c r="BF85" s="204">
        <f>-IS!BF18/IS!BF20</f>
        <v>15.785416666666682</v>
      </c>
      <c r="BG85" s="203">
        <f>-IS!BG18/IS!BG20</f>
        <v>17.001036269430056</v>
      </c>
      <c r="BH85" s="204">
        <f>-IS!BH18/IS!BH20</f>
        <v>16.760869565217391</v>
      </c>
      <c r="BI85" s="204">
        <f>-IS!BI18/IS!BI20</f>
        <v>22.061728395061728</v>
      </c>
      <c r="BJ85" s="204">
        <f>-IS!BJ18/IS!BJ20</f>
        <v>26.822784810126581</v>
      </c>
      <c r="BK85" s="206">
        <f>-IS!BK18/IS!BK20</f>
        <v>25</v>
      </c>
      <c r="BL85" s="203">
        <f>-IS!BL18/IS!BL20</f>
        <v>22.441441441441441</v>
      </c>
      <c r="BM85" s="204">
        <f>-IS!BM18/IS!BM20</f>
        <v>33.098360655737707</v>
      </c>
      <c r="BN85" s="204">
        <f>-IS!BN18/IS!BN20</f>
        <v>22.44</v>
      </c>
      <c r="BO85" s="204">
        <f>-IS!BO18/IS!BO20</f>
        <v>38.507462686567166</v>
      </c>
      <c r="BP85" s="206">
        <f>-IS!BP18/IS!BP20</f>
        <v>16.125</v>
      </c>
      <c r="BQ85" s="203">
        <f>-IS!BQ18/IS!BQ20</f>
        <v>27.065454545454546</v>
      </c>
      <c r="BR85" s="204">
        <f>-IS!BR18/IS!BR20</f>
        <v>24.493150684931507</v>
      </c>
      <c r="BS85" s="206">
        <f>-IS!BS18/IS!BS20</f>
        <v>-5.7397260273972606</v>
      </c>
      <c r="BT85" s="206">
        <f>-IS!BT18/IS!BT20</f>
        <v>28.172839506172838</v>
      </c>
      <c r="BU85" s="206">
        <f>-IS!BU18/IS!BU20</f>
        <v>27.632911392405063</v>
      </c>
      <c r="BV85" s="203">
        <f>-IS!BV18/IS!BV20</f>
        <v>19.065359477124183</v>
      </c>
      <c r="BW85" s="204">
        <f>-IS!BW18/IS!BW20</f>
        <v>25.356321839080461</v>
      </c>
      <c r="BX85" s="206">
        <f>-IS!BX18/IS!BX20</f>
        <v>27.204301075268816</v>
      </c>
      <c r="BY85" s="206">
        <f>-IS!BY18/IS!BY20</f>
        <v>30.229885057471265</v>
      </c>
      <c r="BZ85" s="206">
        <f>-IS!BZ18/IS!BZ20</f>
        <v>32.021505376344088</v>
      </c>
      <c r="CA85" s="203">
        <f>-IS!CA18/IS!CA20</f>
        <v>28.733333333333334</v>
      </c>
      <c r="CB85" s="204">
        <f>-IS!CB18/IS!CB20</f>
        <v>28.186274509803923</v>
      </c>
      <c r="CC85" s="206">
        <f>-IS!CC18/IS!CC20</f>
        <v>24.862385321100916</v>
      </c>
      <c r="CD85" s="206">
        <f>-IS!CD18/IS!CD20</f>
        <v>21.009433962264151</v>
      </c>
      <c r="CE85" s="206">
        <f>-IS!CE18/IS!CE20</f>
        <v>26.424050632911392</v>
      </c>
      <c r="CF85" s="203">
        <f>-IS!CF18/IS!CF20</f>
        <v>25.235789473684211</v>
      </c>
      <c r="CG85" s="206">
        <f>-IS!CG18/IS!CG20</f>
        <v>19.105691056910569</v>
      </c>
      <c r="CH85" s="206">
        <f>-IS!CH18/IS!CH20</f>
        <v>-21.948051948051948</v>
      </c>
      <c r="CI85" s="206">
        <f>-IS!CI18/IS!CI20</f>
        <v>6.2019704433497536</v>
      </c>
      <c r="CJ85" s="206">
        <f>-IS!CJ18/IS!CJ20</f>
        <v>-9.1074380165289259</v>
      </c>
      <c r="CK85" s="203">
        <f>-IS!CK18/IS!CK20</f>
        <v>-2.7354570637119116</v>
      </c>
      <c r="CL85" s="206">
        <f>-IS!CL18/IS!CL20</f>
        <v>-5.16412213740458</v>
      </c>
      <c r="CM85" s="206">
        <f>-IS!CM18/IS!CM20</f>
        <v>-5.3598553345388789</v>
      </c>
      <c r="CN85" s="206">
        <f>-IS!CN18/IS!CN20</f>
        <v>-0.62363919129082424</v>
      </c>
      <c r="CO85" s="206">
        <f>-IS!CO18/IS!CO20</f>
        <v>-11.531518624641834</v>
      </c>
      <c r="CP85" s="927">
        <f>-IS!CP18/IS!CP20</f>
        <v>-5.9216141001855291</v>
      </c>
      <c r="CQ85" s="206">
        <f>-IS!CQ18/IS!CQ20</f>
        <v>-0.12223858615611193</v>
      </c>
      <c r="CR85" s="206">
        <f>-IS!CR18/IS!CR20</f>
        <v>1.5200594353640415</v>
      </c>
      <c r="CS85" s="206">
        <f>-IS!CS18/IS!CS20</f>
        <v>0.49177877428998507</v>
      </c>
      <c r="CT85" s="206">
        <f>-IS!CT18/IS!CT20</f>
        <v>-6.310136157337368</v>
      </c>
      <c r="CU85" s="927">
        <f>-IS!CU18/IS!CU20</f>
        <v>-1.0820283370618942</v>
      </c>
      <c r="CV85" s="206">
        <f>-IS!CV18/IS!CV20</f>
        <v>-1.8555555555555556</v>
      </c>
      <c r="CW85" s="206">
        <f>-IS!CW18/IS!CW20</f>
        <v>1.1907692307692308</v>
      </c>
      <c r="CX85" s="206">
        <f>-IS!CX18/IS!CX20</f>
        <v>-4.5072463768115938</v>
      </c>
      <c r="CY85" s="206">
        <f>-IS!CY18/IS!CY20</f>
        <v>-0.55854430379746833</v>
      </c>
      <c r="CZ85" s="927">
        <f>-IS!CZ18/IS!CZ20</f>
        <v>-1.4003158310303987</v>
      </c>
      <c r="DA85" s="206">
        <f>-IS!DA18/IS!DA20</f>
        <v>-0.2295839753466872</v>
      </c>
      <c r="DB85" s="1034">
        <f>-IS!DB18/IS!DB20</f>
        <v>-0.15942028985507245</v>
      </c>
      <c r="DC85" s="206">
        <f>-IS!DC18/IS!DC20</f>
        <v>-1.3718166383701189</v>
      </c>
      <c r="DD85" s="206">
        <f>-IS!DD18/IS!DD20</f>
        <v>0.47166666666666668</v>
      </c>
      <c r="DE85" s="927">
        <f>-IS!DE18/IS!DE20</f>
        <v>-0.31435542903619357</v>
      </c>
      <c r="DF85" s="206">
        <f>-IS!DF18/IS!DF20</f>
        <v>-0.15114235500878734</v>
      </c>
      <c r="DG85" s="1034">
        <f>-IS!DG18/IS!DG20</f>
        <v>-1.6196136701337296</v>
      </c>
      <c r="DH85" s="206">
        <f>-IS!DH18/IS!DH20</f>
        <v>-7.9134615384615383</v>
      </c>
      <c r="DI85" s="206">
        <f>-IS!DI18/IS!DI20</f>
        <v>-4.9933774834437088</v>
      </c>
      <c r="DJ85" s="927">
        <f>-IS!DJ18/IS!DJ20</f>
        <v>-3.9291743119266056</v>
      </c>
      <c r="DK85" s="206">
        <f>-IS!DK18/IS!DK20</f>
        <v>0.65112994350282483</v>
      </c>
      <c r="DL85" s="1034">
        <f>-IS!DL18/IS!DL20</f>
        <v>-0.24788732394366197</v>
      </c>
      <c r="DM85" s="206">
        <f>-IS!DM18/IS!DM20</f>
        <v>-6.8890489913544668</v>
      </c>
      <c r="DN85" s="206">
        <f>-IS!DN18/IS!DN20</f>
        <v>13.318664643399089</v>
      </c>
      <c r="DO85" s="927">
        <f>-IS!DO18/IS!DO20</f>
        <v>1.5449296282930349</v>
      </c>
      <c r="DP85" s="206">
        <f>-IS!DP18/IS!DP20</f>
        <v>0.72727272727272729</v>
      </c>
      <c r="DQ85" s="1034">
        <f>-IS!DQ18/IS!DQ20</f>
        <v>0.26</v>
      </c>
      <c r="DR85" s="206">
        <f>-IS!DR18/IS!DR20</f>
        <v>0.90539800763759837</v>
      </c>
      <c r="DS85" s="206">
        <f>-IS!DS18/IS!DS20</f>
        <v>1.6070362314077513</v>
      </c>
      <c r="DT85" s="927">
        <f>-IS!DT18/IS!DT20</f>
        <v>0.87651846705096126</v>
      </c>
      <c r="DU85" s="206">
        <f>-IS!DU18/IS!DU20</f>
        <v>1.049424570933396</v>
      </c>
      <c r="DV85" s="206">
        <f>-IS!DV18/IS!DV20</f>
        <v>2.350688287294874</v>
      </c>
      <c r="DW85" s="206">
        <f>-IS!DW18/IS!DW20</f>
        <v>3.2989333564674705</v>
      </c>
      <c r="DX85" s="206">
        <f>-IS!DX18/IS!DX20</f>
        <v>4.0731151069527067</v>
      </c>
      <c r="DY85" s="927">
        <f>-IS!DY18/IS!DY20</f>
        <v>2.6720745998699629</v>
      </c>
      <c r="DZ85" s="203">
        <f>-IS!DZ18/IS!DZ20</f>
        <v>4.7837513264332046</v>
      </c>
      <c r="EA85" s="203">
        <f>-IS!EA18/IS!EA20</f>
        <v>6.9784371227547135</v>
      </c>
      <c r="EB85" s="203">
        <f>-IS!EB18/IS!EB20</f>
        <v>9.1844266730163504</v>
      </c>
    </row>
    <row r="86" spans="1:132">
      <c r="B86" s="68" t="s">
        <v>250</v>
      </c>
      <c r="C86" s="203">
        <f>C64/IS!C55</f>
        <v>1.5457842248413418</v>
      </c>
      <c r="D86" s="203">
        <f>D64/IS!D55</f>
        <v>1.414236437754782</v>
      </c>
      <c r="E86" s="203">
        <f>E64/IS!E55</f>
        <v>0.68078920041536861</v>
      </c>
      <c r="F86" s="203">
        <f>F64/IS!F55</f>
        <v>1.7167731981485563</v>
      </c>
      <c r="G86" s="203">
        <f>G64/IS!G55</f>
        <v>2.0602196245129294</v>
      </c>
      <c r="H86" s="203">
        <f>H64/IS!H55</f>
        <v>2.2497670083876979</v>
      </c>
      <c r="I86" s="203">
        <f>I64/IS!I55</f>
        <v>5.1658767772511851</v>
      </c>
      <c r="J86" s="206">
        <f>J64/(IS!J55*4)</f>
        <v>2.1197390572390571</v>
      </c>
      <c r="K86" s="206">
        <f>K64/(IS!K55*4)</f>
        <v>1.9186344969199178</v>
      </c>
      <c r="L86" s="206">
        <f>L64/(IS!L55*4)</f>
        <v>2.3781362007168458</v>
      </c>
      <c r="M86" s="206">
        <f>M64/(IS!M55*4)</f>
        <v>4.1958413926499034</v>
      </c>
      <c r="N86" s="203">
        <f>N64/IS!N55</f>
        <v>2.4678612059158134</v>
      </c>
      <c r="O86" s="206">
        <f>O64/(IS!O55*4)</f>
        <v>1.9872840690978886</v>
      </c>
      <c r="P86" s="206">
        <f>P64/(IS!P55*4)</f>
        <v>1.2085737840065953</v>
      </c>
      <c r="Q86" s="206">
        <f>Q64/(IS!Q55*4)</f>
        <v>1.2748898678414098</v>
      </c>
      <c r="R86" s="206">
        <f>R64/(IS!R55*4)</f>
        <v>1.2867567567567568</v>
      </c>
      <c r="S86" s="203">
        <f>S64/IS!S55</f>
        <v>1.1033603707995365</v>
      </c>
      <c r="T86" s="206">
        <f>T64/(IS!T55*4)</f>
        <v>0.69032379518072284</v>
      </c>
      <c r="U86" s="206">
        <f>U64/(IS!U55*4)</f>
        <v>0.64069383259911894</v>
      </c>
      <c r="V86" s="206">
        <f>V64/(IS!V55*4)</f>
        <v>0.85416666666666663</v>
      </c>
      <c r="W86" s="206">
        <f>W64/(IS!W55*4)</f>
        <v>0.5006353240152478</v>
      </c>
      <c r="X86" s="203">
        <f>X64/IS!X55</f>
        <v>0.61442495126705654</v>
      </c>
      <c r="Y86" s="206">
        <f>Y64/(IS!Y55*4)</f>
        <v>0.52102102102102099</v>
      </c>
      <c r="Z86" s="206">
        <f>Z64/(IS!Z55*4)</f>
        <v>0.13452443510246978</v>
      </c>
      <c r="AA86" s="206">
        <f>AA64/(IS!AA55*4)</f>
        <v>-0.12030484485574305</v>
      </c>
      <c r="AB86" s="206">
        <f>AB64/(IS!AB55*4)</f>
        <v>-0.14272632129774987</v>
      </c>
      <c r="AC86" s="203">
        <f>AC64/IS!AC55</f>
        <v>-0.14912520503007107</v>
      </c>
      <c r="AD86" s="206">
        <f>AD64/(IS!AD55*4)</f>
        <v>-0.15710319296621933</v>
      </c>
      <c r="AE86" s="206">
        <f>AE64/(IS!AE55*4)</f>
        <v>0.12197016780609074</v>
      </c>
      <c r="AF86" s="206">
        <f>AF64/(IS!AF55*4)</f>
        <v>0.4726118904475618</v>
      </c>
      <c r="AG86" s="206">
        <f>AG64/(IS!AG55*4)</f>
        <v>6.0818965517241379</v>
      </c>
      <c r="AH86" s="203">
        <f>AH64/IS!AH55</f>
        <v>0.77798198860503587</v>
      </c>
      <c r="AI86" s="204">
        <f>AI64/(IS!AI55*4)</f>
        <v>0.85557132718239881</v>
      </c>
      <c r="AJ86" s="204">
        <f>AJ64/(IS!AJ55*4)</f>
        <v>0.56884816753926704</v>
      </c>
      <c r="AK86" s="204">
        <f>AK64/(IS!AK55*4)</f>
        <v>-0.66860803727431561</v>
      </c>
      <c r="AL86" s="206">
        <f>AL64/(IS!AL55*4)</f>
        <v>0.19687499999999999</v>
      </c>
      <c r="AM86" s="203">
        <f>AM64/IS!AM55</f>
        <v>0.45215311004784686</v>
      </c>
      <c r="AN86" s="204">
        <f>AN64/(IS!AN55*4)</f>
        <v>0.40864471184293855</v>
      </c>
      <c r="AO86" s="204">
        <f>AO64/(IS!AO55*4)</f>
        <v>0.41571753986332571</v>
      </c>
      <c r="AP86" s="204">
        <f>AP64/(IS!AP55*4)</f>
        <v>0.34012756516916248</v>
      </c>
      <c r="AQ86" s="206">
        <f>AQ64/(IS!AQ55*4)</f>
        <v>0.30512820512820515</v>
      </c>
      <c r="AR86" s="203">
        <f>AR64/IS!AR55</f>
        <v>0.28426395939086296</v>
      </c>
      <c r="AS86" s="204">
        <f>AS64/(IS!AS55*4)</f>
        <v>0.70960144927536228</v>
      </c>
      <c r="AT86" s="204">
        <f>AT64/(IS!AT55*4)</f>
        <v>0.35990830361691289</v>
      </c>
      <c r="AU86" s="204">
        <f>AU64/(IS!AU55*4)</f>
        <v>0.36919286719849836</v>
      </c>
      <c r="AV86" s="204">
        <f>AV64/(IS!AV55*4)</f>
        <v>0.13534482758620689</v>
      </c>
      <c r="AW86" s="203">
        <f>AW64/IS!AW55</f>
        <v>0.14645522388059701</v>
      </c>
      <c r="AX86" s="206">
        <f>AX64/SUM(IS!AX55,IS!AT55:AV55)</f>
        <v>0.13645320197044336</v>
      </c>
      <c r="AY86" s="206">
        <f>AY64/SUM(IS!AX55:AY55,IS!AU55:AV55)</f>
        <v>0.11000369139904023</v>
      </c>
      <c r="AZ86" s="206">
        <f>AZ64/SUM(IS!AX55:AZ55,IS!AV55)</f>
        <v>1.7447222152987213E-3</v>
      </c>
      <c r="BA86" s="206">
        <f>BA64/IS!BB55</f>
        <v>-0.38775057873220709</v>
      </c>
      <c r="BB86" s="203">
        <f>BB64/IS!BB55</f>
        <v>-0.38775057873220709</v>
      </c>
      <c r="BC86" s="206">
        <f>BC64/SUM(IS!BC55,IS!AY55:BA55)</f>
        <v>-0.33184034050134864</v>
      </c>
      <c r="BD86" s="206">
        <f>BD64/SUM(IS!BC55:BD55,IS!AZ55:BA55)</f>
        <v>-0.57440526608746156</v>
      </c>
      <c r="BE86" s="206">
        <f>BE64/SUM(IS!BC55:BE55,IS!BA55)</f>
        <v>-0.74320348358244082</v>
      </c>
      <c r="BF86" s="206">
        <f>BF64/IS!BG55</f>
        <v>-0.66889512752188796</v>
      </c>
      <c r="BG86" s="203">
        <f>BG64/IS!BG55</f>
        <v>-0.66889512752188796</v>
      </c>
      <c r="BH86" s="206">
        <f>BH64/SUM(IS!BH55,IS!BD55:BF55)</f>
        <v>-0.38971964831623096</v>
      </c>
      <c r="BI86" s="206">
        <f>BI64/SUM(IS!BH55:BI55,IS!BE55:BF55)</f>
        <v>-0.2869909926815537</v>
      </c>
      <c r="BJ86" s="206">
        <f>BJ64/SUM(IS!BH55:BJ55,IS!BF55)</f>
        <v>-0.13506499368116986</v>
      </c>
      <c r="BK86" s="206">
        <f>BK64/IS!BL55</f>
        <v>-0.42883036571063016</v>
      </c>
      <c r="BL86" s="203">
        <f>BL64/IS!BL55</f>
        <v>-0.42883036571063016</v>
      </c>
      <c r="BM86" s="206">
        <f>BM64/SUM(IS!BM55,IS!BI55:BK55)</f>
        <v>-6.0099320968886184E-2</v>
      </c>
      <c r="BN86" s="206">
        <f>BN64/SUM(IS!BM55:BN55,IS!BJ55:BK55)</f>
        <v>-6.237197869725522E-2</v>
      </c>
      <c r="BO86" s="206">
        <f>BO64/SUM(IS!BM55:BO55,IS!BK55)</f>
        <v>-8.2580518460329932E-2</v>
      </c>
      <c r="BP86" s="206">
        <f>BP64/IS!BQ55</f>
        <v>-0.22509702457956016</v>
      </c>
      <c r="BQ86" s="203">
        <f>BQ64/IS!BQ55</f>
        <v>-0.22509702457956016</v>
      </c>
      <c r="BR86" s="206">
        <f>BR64/SUM(IS!BR55,IS!BN55:BP55)</f>
        <v>0.17853582899545908</v>
      </c>
      <c r="BS86" s="206">
        <f>BS64/SUM(IS!BR55:BS55,IS!BO55:BP55)</f>
        <v>0.25285363386793813</v>
      </c>
      <c r="BT86" s="206">
        <f>BT64/SUM(IS!BR55:BT55,IS!BP55)</f>
        <v>0.11831831831831832</v>
      </c>
      <c r="BU86" s="206">
        <f>BU64/IS!BV55</f>
        <v>-9.943181818181818E-3</v>
      </c>
      <c r="BV86" s="203">
        <f>BV64/IS!BV55</f>
        <v>-9.943181818181818E-3</v>
      </c>
      <c r="BW86" s="206">
        <f>BW64/SUM(IS!BW55,IS!BS55:BU55)</f>
        <v>0.19462759462759463</v>
      </c>
      <c r="BX86" s="206">
        <f>BX64/SUM(IS!BW55:BX55,IS!BT55:BU55)</f>
        <v>4.0139460039334884E-2</v>
      </c>
      <c r="BY86" s="206">
        <f>BY64/SUM(IS!BW55:BY55,IS!BU55)</f>
        <v>6.3546883094456913E-2</v>
      </c>
      <c r="BZ86" s="206">
        <f>BZ64/IS!CA55</f>
        <v>9.0630790300491426E-2</v>
      </c>
      <c r="CA86" s="203">
        <f>CA64/IS!CA55</f>
        <v>9.0630790300491426E-2</v>
      </c>
      <c r="CB86" s="206">
        <f>CB64/SUM(IS!CB55,IS!BX55:BZ55)</f>
        <v>0.19531726662599147</v>
      </c>
      <c r="CC86" s="206">
        <f>CC64/SUM(IS!CB55:CC55,IS!BY55:BZ55)</f>
        <v>0.1764750093949643</v>
      </c>
      <c r="CD86" s="206">
        <f>CD64/SUM(IS!CB55:CD55,IS!BZ55)</f>
        <v>0.14616755793226383</v>
      </c>
      <c r="CE86" s="206">
        <f>CE64/IS!CF55</f>
        <v>0.37465427983830935</v>
      </c>
      <c r="CF86" s="203">
        <f>CF64/IS!CF55</f>
        <v>0.37465427983830935</v>
      </c>
      <c r="CG86" s="206">
        <f>CG64/SUM(IS!CG55,IS!CC55:CE55)</f>
        <v>0.51596057664018824</v>
      </c>
      <c r="CH86" s="206">
        <f>CH64/SUM(IS!CG55:CH55,IS!CD55:CE55)</f>
        <v>1.2736911862160372</v>
      </c>
      <c r="CI86" s="206">
        <f>CI64/SUM(IS!CG55:CI55,IS!CE55)</f>
        <v>2.0722473604826548</v>
      </c>
      <c r="CJ86" s="206">
        <f>CJ64/IS!CK55</f>
        <v>58.351351351351354</v>
      </c>
      <c r="CK86" s="203">
        <f>CK64/IS!CK55</f>
        <v>58.351351351351354</v>
      </c>
      <c r="CL86" s="206">
        <f>CL64/SUM(IS!CL55,IS!CH55:CJ55)</f>
        <v>-6.9395017793594302</v>
      </c>
      <c r="CM86" s="206">
        <f>CM64/SUM(IS!CL55:CM55,IS!CI55:CJ55)</f>
        <v>-9.7966159052453463</v>
      </c>
      <c r="CN86" s="206">
        <f>CN64/SUM(IS!CL55:CN55,IS!CJ55)</f>
        <v>-7.315823605706874</v>
      </c>
      <c r="CO86" s="206">
        <f>CO64/IS!CP55</f>
        <v>-3.6111586351107308</v>
      </c>
      <c r="CP86" s="927">
        <f>CP64/IS!CP55</f>
        <v>-3.6111586351107308</v>
      </c>
      <c r="CQ86" s="206">
        <f>CQ64/SUM(IS!CQ55,IS!CM55:CO55)</f>
        <v>-4.4930428217020815</v>
      </c>
      <c r="CR86" s="206">
        <f>CR64/SUM(IS!CQ55:CR55,IS!CN55:CO55)</f>
        <v>-7.9956439393939398</v>
      </c>
      <c r="CS86" s="206">
        <f>CS64/SUM(IS!CQ55:CS55,IS!CO55)</f>
        <v>-9.2386759581881535</v>
      </c>
      <c r="CT86" s="206">
        <f>CT64/IS!CU55</f>
        <v>-55.221635883905016</v>
      </c>
      <c r="CU86" s="927">
        <f>CU64/IS!CU55</f>
        <v>-55.221635883905016</v>
      </c>
      <c r="CV86" s="206">
        <f>CV64/SUM(IS!CV55,IS!CR55:CT55)</f>
        <v>-24.001583949313623</v>
      </c>
      <c r="CW86" s="206">
        <f>CW64/SUM(IS!CV55:CW55,IS!CS55:CT55)</f>
        <v>-20.834244080145719</v>
      </c>
      <c r="CX86" s="206">
        <f>CX64/SUM(IS!CV55:CX55,IS!CT55)</f>
        <v>-8.0242809114680611</v>
      </c>
      <c r="CY86" s="206">
        <f>CY64/IS!CZ55</f>
        <v>-25.370535714285715</v>
      </c>
      <c r="CZ86" s="927">
        <f>CZ64/IS!CZ55</f>
        <v>-25.370535714285715</v>
      </c>
      <c r="DA86" s="206">
        <f>DA64/SUM(IS!DA55,IS!CW55:CY55)</f>
        <v>-70.405545927209701</v>
      </c>
      <c r="DB86" s="206">
        <f>DB64/SUM(IS!DA55:DB55,IS!CX55:CY55)</f>
        <v>-25.808310991957104</v>
      </c>
      <c r="DC86" s="206">
        <f>DC64/SUM(IS!DA55:DC55,IS!CY55)</f>
        <v>82.241014799154328</v>
      </c>
      <c r="DD86" s="206">
        <f>DD64/IS!DE55</f>
        <v>33.402573529411768</v>
      </c>
      <c r="DE86" s="927">
        <f>DE64/IS!DE55</f>
        <v>33.402573529411768</v>
      </c>
      <c r="DF86" s="206">
        <f>DF64/SUM(IS!DF55,IS!DB55:DD55)</f>
        <v>35.573063380281688</v>
      </c>
      <c r="DG86" s="206">
        <f>DG64/SUM(IS!DF55:DG55,IS!DC55:DD55)</f>
        <v>348.50769230769231</v>
      </c>
      <c r="DH86" s="206">
        <f>DH64/SUM(IS!DF55:DH55,IS!DD55)</f>
        <v>-9.735864630623194</v>
      </c>
      <c r="DI86" s="206">
        <f>DI64/IS!DJ55</f>
        <v>-3.1092323300642541</v>
      </c>
      <c r="DJ86" s="927">
        <f>DJ64/IS!DJ55</f>
        <v>-3.1092323300642541</v>
      </c>
      <c r="DK86" s="206">
        <f>DK64/SUM(IS!DK55,IS!DG55:DI55)</f>
        <v>-3.6077108433734941</v>
      </c>
      <c r="DL86" s="206">
        <f>DL64/SUM(IS!DK55:DL55,IS!DH55:DI55)</f>
        <v>-4.1205375322383606</v>
      </c>
      <c r="DM86" s="206">
        <f>DM64/SUM(IS!DK55:DM55,IS!DI55)</f>
        <v>-4.7900630914826499</v>
      </c>
      <c r="DN86" s="206">
        <f>DN64/IS!DO55</f>
        <v>3.9618222649983958</v>
      </c>
      <c r="DO86" s="927">
        <f>DO64/IS!DO55</f>
        <v>3.9618222649983958</v>
      </c>
      <c r="DP86" s="206">
        <f>DP64/SUM(IS!DP55,IS!DL55:DN55)</f>
        <v>4.1567635903919093</v>
      </c>
      <c r="DQ86" s="206">
        <f>DQ64/SUM(IS!DP55:DQ55,IS!DM55:DN55)</f>
        <v>3.8078281341965861</v>
      </c>
      <c r="DR86" s="206">
        <f>DR64/SUM(IS!DP55:DR55,IS!DN55)</f>
        <v>2.0883087336460608</v>
      </c>
      <c r="DS86" s="206">
        <f>DS64/IS!DT55</f>
        <v>4.988277268247729</v>
      </c>
      <c r="DT86" s="927">
        <f>DT64/IS!DT55</f>
        <v>4.988277268247729</v>
      </c>
      <c r="DU86" s="206">
        <f>DU64/SUM(IS!DT55:DU55,IS!DQ55:DR55)</f>
        <v>3.3268265220458866</v>
      </c>
      <c r="DV86" s="206">
        <f>DV64/SUM(IS!DU55:DV55,IS!DR55:DS55)</f>
        <v>4.2996991222261158</v>
      </c>
      <c r="DW86" s="206">
        <f>DW64/SUM(IS!DU55:DW55,IS!DS55)</f>
        <v>3.3248626559355032</v>
      </c>
      <c r="DX86" s="206">
        <f>DX64/IS!DY55</f>
        <v>2.4976560613841481</v>
      </c>
      <c r="DY86" s="927">
        <f>DY64/IS!DY55</f>
        <v>2.4976560613841481</v>
      </c>
      <c r="DZ86" s="203">
        <f>DZ64/IS!DZ55</f>
        <v>1.6533794472764627</v>
      </c>
      <c r="EA86" s="203">
        <f>EA64/IS!EA55</f>
        <v>1.1372049019607768</v>
      </c>
      <c r="EB86" s="203">
        <f>EB64/IS!EB55</f>
        <v>0.81877253253074234</v>
      </c>
    </row>
    <row r="87" spans="1:132">
      <c r="C87" s="67"/>
      <c r="D87" s="67"/>
      <c r="E87" s="67"/>
      <c r="F87" s="67"/>
      <c r="G87" s="67"/>
      <c r="H87" s="67"/>
      <c r="I87" s="67"/>
      <c r="N87" s="67"/>
      <c r="S87" s="67"/>
      <c r="X87" s="67"/>
      <c r="AC87" s="67"/>
      <c r="AH87" s="67"/>
      <c r="AI87" s="77"/>
      <c r="AJ87" s="77"/>
      <c r="AK87" s="77"/>
      <c r="AL87" s="205"/>
      <c r="AM87" s="67"/>
      <c r="AN87" s="77"/>
      <c r="AO87" s="77"/>
      <c r="AP87" s="77"/>
      <c r="AQ87" s="205"/>
      <c r="AR87" s="67"/>
      <c r="AS87" s="77"/>
      <c r="AT87" s="77"/>
      <c r="AU87" s="77"/>
      <c r="AV87" s="77"/>
      <c r="AW87" s="67"/>
      <c r="AX87" s="77"/>
      <c r="AY87" s="77"/>
      <c r="AZ87" s="77"/>
      <c r="BA87" s="205"/>
      <c r="BB87" s="67"/>
      <c r="BC87" s="77"/>
      <c r="BD87" s="77"/>
      <c r="BE87" s="77"/>
      <c r="BF87" s="77"/>
      <c r="BG87" s="67"/>
      <c r="BH87" s="77"/>
      <c r="BI87" s="77"/>
      <c r="BJ87" s="77"/>
      <c r="BK87" s="205"/>
      <c r="BL87" s="67"/>
      <c r="BM87" s="77"/>
      <c r="BN87" s="77"/>
      <c r="BO87" s="77"/>
      <c r="BP87" s="205"/>
      <c r="BQ87" s="67"/>
      <c r="BR87" s="77"/>
      <c r="BS87" s="205"/>
      <c r="BT87" s="205"/>
      <c r="BU87" s="205"/>
      <c r="BV87" s="67"/>
      <c r="BW87" s="77"/>
      <c r="BX87" s="205"/>
      <c r="BY87" s="205"/>
      <c r="BZ87" s="205"/>
      <c r="CA87" s="67"/>
      <c r="CB87" s="77"/>
      <c r="CC87" s="205"/>
      <c r="CD87" s="205"/>
      <c r="CE87" s="205"/>
      <c r="CF87" s="67"/>
      <c r="CG87" s="205"/>
      <c r="CH87" s="205"/>
      <c r="CI87" s="205"/>
      <c r="CJ87" s="205"/>
      <c r="CK87" s="67"/>
      <c r="CL87" s="205"/>
      <c r="CM87" s="205"/>
      <c r="CN87" s="205"/>
      <c r="CO87" s="205"/>
      <c r="CP87" s="120"/>
      <c r="CQ87" s="205"/>
      <c r="CR87" s="205"/>
      <c r="CS87" s="205"/>
      <c r="CT87" s="205"/>
      <c r="CU87" s="120"/>
      <c r="CV87" s="205"/>
      <c r="CW87" s="205"/>
      <c r="CX87" s="205"/>
      <c r="CY87" s="205"/>
      <c r="CZ87" s="120"/>
      <c r="DA87" s="205"/>
      <c r="DB87" s="538"/>
      <c r="DC87" s="205"/>
      <c r="DD87" s="205"/>
      <c r="DE87" s="120"/>
      <c r="DF87" s="205"/>
      <c r="DG87" s="538"/>
      <c r="DH87" s="205"/>
      <c r="DI87" s="205"/>
      <c r="DJ87" s="120"/>
      <c r="DK87" s="205"/>
      <c r="DL87" s="538"/>
      <c r="DM87" s="205"/>
      <c r="DN87" s="205"/>
      <c r="DO87" s="120"/>
      <c r="DP87" s="205"/>
      <c r="DQ87" s="538"/>
      <c r="DR87" s="205"/>
      <c r="DS87" s="205"/>
      <c r="DT87" s="120"/>
      <c r="DU87" s="205"/>
      <c r="DV87" s="205"/>
      <c r="DW87" s="205"/>
      <c r="DX87" s="205"/>
      <c r="DY87" s="120"/>
      <c r="DZ87" s="67"/>
      <c r="EA87" s="67"/>
      <c r="EB87" s="67"/>
    </row>
    <row r="88" spans="1:132">
      <c r="B88" s="164" t="s">
        <v>251</v>
      </c>
      <c r="C88" s="67"/>
      <c r="D88" s="67"/>
      <c r="E88" s="67"/>
      <c r="F88" s="67"/>
      <c r="G88" s="67"/>
      <c r="H88" s="67"/>
      <c r="I88" s="67"/>
      <c r="N88" s="67"/>
      <c r="S88" s="67"/>
      <c r="X88" s="67"/>
      <c r="AC88" s="67"/>
      <c r="AH88" s="67"/>
      <c r="AI88" s="77"/>
      <c r="AJ88" s="77"/>
      <c r="AK88" s="77"/>
      <c r="AL88" s="205"/>
      <c r="AM88" s="67"/>
      <c r="AN88" s="77"/>
      <c r="AO88" s="77"/>
      <c r="AP88" s="77"/>
      <c r="AQ88" s="205"/>
      <c r="AR88" s="67"/>
      <c r="AS88" s="77"/>
      <c r="AT88" s="77"/>
      <c r="AU88" s="77"/>
      <c r="AV88" s="77"/>
      <c r="AW88" s="67"/>
      <c r="AX88" s="77"/>
      <c r="AY88" s="77"/>
      <c r="AZ88" s="77"/>
      <c r="BA88" s="205"/>
      <c r="BB88" s="67"/>
      <c r="BC88" s="77"/>
      <c r="BD88" s="77"/>
      <c r="BE88" s="77"/>
      <c r="BF88" s="77"/>
      <c r="BG88" s="67"/>
      <c r="BH88" s="77"/>
      <c r="BI88" s="77"/>
      <c r="BJ88" s="77"/>
      <c r="BK88" s="205"/>
      <c r="BL88" s="67"/>
      <c r="BM88" s="77"/>
      <c r="BN88" s="77"/>
      <c r="BO88" s="77"/>
      <c r="BP88" s="205"/>
      <c r="BQ88" s="67"/>
      <c r="BR88" s="77"/>
      <c r="BS88" s="205"/>
      <c r="BT88" s="205"/>
      <c r="BU88" s="205"/>
      <c r="BV88" s="67"/>
      <c r="BW88" s="77"/>
      <c r="BX88" s="205"/>
      <c r="BY88" s="205"/>
      <c r="BZ88" s="205"/>
      <c r="CA88" s="67"/>
      <c r="CB88" s="77"/>
      <c r="CC88" s="205"/>
      <c r="CD88" s="205"/>
      <c r="CE88" s="205"/>
      <c r="CF88" s="67"/>
      <c r="CG88" s="205"/>
      <c r="CH88" s="205"/>
      <c r="CI88" s="205"/>
      <c r="CJ88" s="205"/>
      <c r="CK88" s="67"/>
      <c r="CL88" s="205"/>
      <c r="CM88" s="205"/>
      <c r="CN88" s="205"/>
      <c r="CO88" s="205"/>
      <c r="CP88" s="120"/>
      <c r="CQ88" s="205"/>
      <c r="CR88" s="205"/>
      <c r="CS88" s="205"/>
      <c r="CT88" s="205"/>
      <c r="CU88" s="120"/>
      <c r="CV88" s="205"/>
      <c r="CW88" s="205"/>
      <c r="CX88" s="205"/>
      <c r="CY88" s="205"/>
      <c r="CZ88" s="120"/>
      <c r="DA88" s="205"/>
      <c r="DB88" s="538"/>
      <c r="DC88" s="205"/>
      <c r="DD88" s="205"/>
      <c r="DE88" s="120"/>
      <c r="DF88" s="205"/>
      <c r="DG88" s="538"/>
      <c r="DH88" s="205"/>
      <c r="DI88" s="205"/>
      <c r="DJ88" s="120"/>
      <c r="DK88" s="205"/>
      <c r="DL88" s="538"/>
      <c r="DM88" s="205"/>
      <c r="DN88" s="205"/>
      <c r="DO88" s="120"/>
      <c r="DP88" s="205"/>
      <c r="DQ88" s="538"/>
      <c r="DR88" s="205"/>
      <c r="DS88" s="205"/>
      <c r="DT88" s="120"/>
      <c r="DU88" s="205"/>
      <c r="DV88" s="205"/>
      <c r="DW88" s="205"/>
      <c r="DX88" s="205"/>
      <c r="DY88" s="120"/>
      <c r="DZ88" s="67"/>
      <c r="EA88" s="67"/>
      <c r="EB88" s="67"/>
    </row>
    <row r="89" spans="1:132">
      <c r="B89" s="68" t="s">
        <v>252</v>
      </c>
      <c r="C89" s="187">
        <f>IS!C24/BS!C24</f>
        <v>-4.6812539448769196E-3</v>
      </c>
      <c r="D89" s="187">
        <f>IS!D24/AVERAGE(C24,D24)</f>
        <v>2.9988218913998072E-2</v>
      </c>
      <c r="E89" s="187">
        <f>IS!E24/AVERAGE(D24,E24)</f>
        <v>6.3417514659635535E-2</v>
      </c>
      <c r="F89" s="187">
        <f>IS!F24/AVERAGE(E24,F24)</f>
        <v>5.4441957147425647E-2</v>
      </c>
      <c r="G89" s="187">
        <f>IS!G24/AVERAGE(F24,G24)</f>
        <v>6.2542187206072741E-2</v>
      </c>
      <c r="H89" s="187">
        <f>IS!H24/AVERAGE(G24,H24)</f>
        <v>4.6064458459552066E-2</v>
      </c>
      <c r="I89" s="187">
        <f>IS!I24/AVERAGE(H24,I24)</f>
        <v>1.3627262116021523E-2</v>
      </c>
      <c r="J89" s="209">
        <f>IS!J24*4/AVERAGE(I24,J24)</f>
        <v>4.6651378293630363E-2</v>
      </c>
      <c r="K89" s="209">
        <f>IS!K24*4/AVERAGE(J24,K24)</f>
        <v>4.337407362860024E-2</v>
      </c>
      <c r="L89" s="209">
        <f>IS!L24*4/AVERAGE(K24,L24)</f>
        <v>3.1950105314987556E-2</v>
      </c>
      <c r="M89" s="188">
        <f>IS!M24*4/AVERAGE(L24,M24)</f>
        <v>1.2656491481559382E-2</v>
      </c>
      <c r="N89" s="187">
        <f>IS!N24/AVERAGE(I24,N24)</f>
        <v>3.4019327464064747E-2</v>
      </c>
      <c r="O89" s="209">
        <f>IS!O24*4/AVERAGE(N24,O24)</f>
        <v>3.7153157385906736E-2</v>
      </c>
      <c r="P89" s="209">
        <f>IS!P24*4/AVERAGE(O24,P24)</f>
        <v>3.9997173344639952E-2</v>
      </c>
      <c r="Q89" s="209">
        <f>IS!Q24*4/AVERAGE(P24,Q24)</f>
        <v>7.0584956276347421E-2</v>
      </c>
      <c r="R89" s="188">
        <f>IS!R24*4/AVERAGE(Q24,R24)</f>
        <v>3.1695613975805906E-2</v>
      </c>
      <c r="S89" s="187">
        <f>IS!S24/AVERAGE(N24,S24)</f>
        <v>4.4939090167600705E-2</v>
      </c>
      <c r="T89" s="209">
        <f>IS!T24*4/AVERAGE(S24,T24)</f>
        <v>4.5576539937101743E-2</v>
      </c>
      <c r="U89" s="209">
        <f>IS!U24*4/AVERAGE(T24,U24)</f>
        <v>-1.0433903665723811E-2</v>
      </c>
      <c r="V89" s="209">
        <f>IS!V24*4/AVERAGE(U24,V24)</f>
        <v>4.5238619048783069E-2</v>
      </c>
      <c r="W89" s="188">
        <f>IS!W24*4/AVERAGE(V24,W24)</f>
        <v>6.9226150531557937E-2</v>
      </c>
      <c r="X89" s="187">
        <f>IS!X24/AVERAGE(S24,X24)</f>
        <v>3.9444980867575009E-2</v>
      </c>
      <c r="Y89" s="209">
        <f>IS!Y24*4/AVERAGE(X24,Y24)</f>
        <v>6.7576197387518147E-2</v>
      </c>
      <c r="Z89" s="209">
        <f>IS!Z24*4/AVERAGE(Y24,Z24)</f>
        <v>7.9588778665048085E-2</v>
      </c>
      <c r="AA89" s="209">
        <f>IS!AA24*4/AVERAGE(Z24,AA24)</f>
        <v>8.1639413653805448E-2</v>
      </c>
      <c r="AB89" s="188">
        <f>IS!AB24*4/AVERAGE(AA24,AB24)</f>
        <v>7.221396992256511E-2</v>
      </c>
      <c r="AC89" s="187">
        <f>IS!AC24/AVERAGE(X24,AC24)</f>
        <v>7.3262321718721796E-2</v>
      </c>
      <c r="AD89" s="209">
        <f>IS!AD24*4/AVERAGE(AC24,AD24)</f>
        <v>8.0840581167362119E-2</v>
      </c>
      <c r="AE89" s="209">
        <f>IS!AE24*4/AVERAGE(AD24,AE24)</f>
        <v>5.727265079498612E-2</v>
      </c>
      <c r="AF89" s="209">
        <f>IS!AF24*4/AVERAGE(AE24,AF24)</f>
        <v>4.7501064948838989E-2</v>
      </c>
      <c r="AG89" s="188">
        <f>IS!AG24*4/AVERAGE(AF24,AG24)</f>
        <v>-6.237647101488694E-3</v>
      </c>
      <c r="AH89" s="187">
        <f>IS!AH24/AVERAGE(AC24,AH24)</f>
        <v>4.7071343058573141E-2</v>
      </c>
      <c r="AI89" s="209">
        <f>IS!AI24*4/AVERAGE(AH24,AI24)</f>
        <v>4.5088389739642042E-2</v>
      </c>
      <c r="AJ89" s="209">
        <f>IS!AJ24*4/AVERAGE(AI24,AJ24)</f>
        <v>7.0551604571347695E-2</v>
      </c>
      <c r="AK89" s="209">
        <f>IS!AK24*4/AVERAGE(AJ24,AK24)</f>
        <v>-0.10723584151779961</v>
      </c>
      <c r="AL89" s="188">
        <f>IS!AL24*4/AVERAGE(AK24,AL24)</f>
        <v>8.5023194168323393E-2</v>
      </c>
      <c r="AM89" s="187">
        <f>IS!AM24/AVERAGE(AH24,AM24)</f>
        <v>2.3050625043165966E-2</v>
      </c>
      <c r="AN89" s="209">
        <f>IS!AN24*4/AVERAGE(AM24,AN24)</f>
        <v>3.3209889380354012E-2</v>
      </c>
      <c r="AO89" s="209">
        <f>IS!AO24*4/AVERAGE(AN24,AO24)</f>
        <v>4.9808640757545868E-2</v>
      </c>
      <c r="AP89" s="209">
        <f>IS!AP24*4/AVERAGE(AO24,AP24)</f>
        <v>5.1916233126836568E-2</v>
      </c>
      <c r="AQ89" s="188">
        <f>IS!AQ24*4/AVERAGE(AP24,AQ24)</f>
        <v>6.9722768280924149E-2</v>
      </c>
      <c r="AR89" s="187">
        <f>IS!AR24/AVERAGE(AM24,AR24)</f>
        <v>5.0697453643448832E-2</v>
      </c>
      <c r="AS89" s="209">
        <f>IS!AS24*4/AVERAGE(AR24,AS24)</f>
        <v>3.4242854542144548E-2</v>
      </c>
      <c r="AT89" s="209">
        <f>IS!AT24*4/AVERAGE(AS24,AT24)</f>
        <v>5.3492713605292487E-2</v>
      </c>
      <c r="AU89" s="209">
        <f>IS!AU24*4/AVERAGE(AT24,AU24)</f>
        <v>5.9829644112057531E-2</v>
      </c>
      <c r="AV89" s="209">
        <f>IS!AV24*4/AVERAGE(AU24,AV24)</f>
        <v>7.1992682404686384E-2</v>
      </c>
      <c r="AW89" s="187">
        <f>IS!AW24/AVERAGE(AR24,AW24)</f>
        <v>5.4001655996930346E-2</v>
      </c>
      <c r="AX89" s="209">
        <f>IS!AX24*4/AVERAGE(AW24,AX24)</f>
        <v>4.6144914508305712E-2</v>
      </c>
      <c r="AY89" s="209">
        <f>IS!AY24*4/AVERAGE(AX24,AY24)</f>
        <v>4.7812113720642771E-2</v>
      </c>
      <c r="AZ89" s="209">
        <f>IS!AZ24*4/AVERAGE(AY24,AZ24)</f>
        <v>4.9980332710031508E-2</v>
      </c>
      <c r="BA89" s="188">
        <f>IS!BA24*4/AVERAGE(AZ24,BA24)</f>
        <v>4.5343378730802665E-2</v>
      </c>
      <c r="BB89" s="187">
        <f>IS!BB24/AVERAGE(AW24,BB24)</f>
        <v>4.6202674056441774E-2</v>
      </c>
      <c r="BC89" s="209">
        <f>IS!BC24*4/AVERAGE(BB24,BC24)</f>
        <v>4.9335630607272099E-2</v>
      </c>
      <c r="BD89" s="209">
        <f>IS!BD24*4/AVERAGE(BC24,BD24)</f>
        <v>4.7639395632690179E-2</v>
      </c>
      <c r="BE89" s="209">
        <f>IS!BE24*4/AVERAGE(BD24,BE24)</f>
        <v>4.9699021014973969E-2</v>
      </c>
      <c r="BF89" s="209">
        <f>IS!BF24*4/AVERAGE(BE24,BF24)</f>
        <v>5.2682385101657334E-2</v>
      </c>
      <c r="BG89" s="187">
        <f>IS!BG24/AVERAGE(BB24,BG24)</f>
        <v>5.0522419709295614E-2</v>
      </c>
      <c r="BH89" s="209">
        <f>IS!BH24*4/AVERAGE(BG24,BH24)</f>
        <v>4.1902321996547941E-2</v>
      </c>
      <c r="BI89" s="209">
        <f>IS!BI24*4/AVERAGE(BH24,BI24)</f>
        <v>7.1747905725074876E-2</v>
      </c>
      <c r="BJ89" s="209">
        <f>IS!BJ24*4/AVERAGE(BI24,BJ24)</f>
        <v>5.8773396623334591E-2</v>
      </c>
      <c r="BK89" s="188">
        <f>IS!BK24*4/AVERAGE(BJ24,BK24)</f>
        <v>6.11307733605767E-2</v>
      </c>
      <c r="BL89" s="187">
        <f>IS!BL24/AVERAGE(BG24,BL24)</f>
        <v>5.6770265973803954E-2</v>
      </c>
      <c r="BM89" s="209">
        <f>IS!BM24*4/AVERAGE(BL24,BM24)</f>
        <v>5.4261243926832611E-2</v>
      </c>
      <c r="BN89" s="209">
        <f>IS!BN24*4/AVERAGE(BM24,BN24)</f>
        <v>4.5334572206027254E-2</v>
      </c>
      <c r="BO89" s="209">
        <f>IS!BO24*4/AVERAGE(BN24,BO24)</f>
        <v>6.9162861491628619E-2</v>
      </c>
      <c r="BP89" s="188">
        <f>IS!BP24*4/AVERAGE(BO24,BP24)</f>
        <v>4.2439221120337531E-2</v>
      </c>
      <c r="BQ89" s="187">
        <f>IS!BQ24/AVERAGE(BL24,BQ24)</f>
        <v>5.3469417270125927E-2</v>
      </c>
      <c r="BR89" s="209">
        <f>IS!BR24*4/AVERAGE(BQ24,BR24)</f>
        <v>5.2442795299938158E-2</v>
      </c>
      <c r="BS89" s="188">
        <f>IS!BS24*4/AVERAGE(BR24,BS24)</f>
        <v>-1.033363509903067E-2</v>
      </c>
      <c r="BT89" s="188">
        <f>IS!BT24*4/AVERAGE(BS24,BT24)</f>
        <v>0.10210630659893928</v>
      </c>
      <c r="BU89" s="188">
        <f>IS!BU24*4/AVERAGE(BT24,BU24)</f>
        <v>7.2915444237679317E-2</v>
      </c>
      <c r="BV89" s="187">
        <f>IS!BV24/AVERAGE(BQ24,BV24)</f>
        <v>5.3089666766085515E-2</v>
      </c>
      <c r="BW89" s="209">
        <f>IS!BW24*4/AVERAGE(BV24,BW24)</f>
        <v>7.0306673345578011E-2</v>
      </c>
      <c r="BX89" s="188">
        <f>IS!BX24*4/AVERAGE(BW24,BX24)</f>
        <v>7.785920571590739E-2</v>
      </c>
      <c r="BY89" s="188">
        <f>IS!BY24*4/AVERAGE(BX24,BY24)</f>
        <v>7.9980998989190408E-2</v>
      </c>
      <c r="BZ89" s="188">
        <f>IS!BZ24*4/AVERAGE(BY24,BZ24)</f>
        <v>0.144867459365114</v>
      </c>
      <c r="CA89" s="187">
        <f>IS!CA24/AVERAGE(BV24,CA24)</f>
        <v>9.2776833214501184E-2</v>
      </c>
      <c r="CB89" s="209">
        <f>IS!CB24*4/AVERAGE(CA24,CB24)</f>
        <v>9.6249307855956326E-2</v>
      </c>
      <c r="CC89" s="188">
        <f>IS!CC24*4/AVERAGE(CB24,CC24)</f>
        <v>7.7479448188265174E-2</v>
      </c>
      <c r="CD89" s="188">
        <f>IS!CD24*4/AVERAGE(CC24,CD24)</f>
        <v>8.2965407673334685E-2</v>
      </c>
      <c r="CE89" s="188">
        <f>IS!CE24*4/AVERAGE(CD24,CE24)</f>
        <v>0.11805980570472981</v>
      </c>
      <c r="CF89" s="187">
        <f>IS!CF24/AVERAGE(CA24,CF24)</f>
        <v>9.9765370161951819E-2</v>
      </c>
      <c r="CG89" s="188">
        <f>IS!CG24*4/AVERAGE(CF24,CG24)</f>
        <v>7.2366648706896547E-2</v>
      </c>
      <c r="CH89" s="188">
        <f>IS!CH24*4/AVERAGE(CG24,CH24)</f>
        <v>-9.5492352010386666E-2</v>
      </c>
      <c r="CI89" s="188">
        <f>IS!CI24*4/AVERAGE(CH24,CI24)</f>
        <v>3.6065966414148241E-2</v>
      </c>
      <c r="CJ89" s="188">
        <f>IS!CJ24*4/AVERAGE(CI24,CJ24)</f>
        <v>-3.0350495637116254E-2</v>
      </c>
      <c r="CK89" s="187">
        <f>IS!CK24/AVERAGE(CF24,CK24)</f>
        <v>-5.0680521467503905E-3</v>
      </c>
      <c r="CL89" s="188">
        <f>IS!CL24*4/AVERAGE(CK24,CL24)</f>
        <v>-1.8156848572461148E-2</v>
      </c>
      <c r="CM89" s="188">
        <f>IS!CM24*4/AVERAGE(CL24,CM24)</f>
        <v>-6.2128407861492353E-2</v>
      </c>
      <c r="CN89" s="188">
        <f>IS!CN24*4/AVERAGE(CM24,CN24)</f>
        <v>-1.108187071356511E-2</v>
      </c>
      <c r="CO89" s="188">
        <f>IS!CO24*4/AVERAGE(CN24,CO24)</f>
        <v>-0.21493505043124217</v>
      </c>
      <c r="CP89" s="144">
        <f>IS!CP24/AVERAGE(CK24,CP24)</f>
        <v>-8.3097413572880835E-2</v>
      </c>
      <c r="CQ89" s="188">
        <f>IS!CQ24*4/AVERAGE(CP24,CQ24)</f>
        <v>-1.4217115474350617E-2</v>
      </c>
      <c r="CR89" s="188">
        <f>IS!CR24*4/AVERAGE(CQ24,CR24)</f>
        <v>1.5707261598153662E-2</v>
      </c>
      <c r="CS89" s="188">
        <f>IS!CS24*4/AVERAGE(CR24,CS24)</f>
        <v>-2.9481271616500046E-3</v>
      </c>
      <c r="CT89" s="188">
        <f>IS!CT24*4/AVERAGE(CS24,CT24)</f>
        <v>-0.11613255874252798</v>
      </c>
      <c r="CU89" s="144">
        <f>IS!CU24/AVERAGE(CP24,CU24)</f>
        <v>-2.8910722148833112E-2</v>
      </c>
      <c r="CV89" s="188">
        <f>IS!CV24*4/AVERAGE(CU24,CV24)</f>
        <v>-3.5545446924218072E-2</v>
      </c>
      <c r="CW89" s="188">
        <f>IS!CW24*4/AVERAGE(CV24,CW24)</f>
        <v>5.6915364199351228E-3</v>
      </c>
      <c r="CX89" s="188">
        <f>IS!CX24*4/AVERAGE(CW24,CX24)</f>
        <v>-9.5957690715910302E-2</v>
      </c>
      <c r="CY89" s="188">
        <f>IS!CY24*4/AVERAGE(CX24,CY24)</f>
        <v>-1.8466602101522622E-2</v>
      </c>
      <c r="CZ89" s="144">
        <f>IS!CZ24/AVERAGE(CU24,CZ24)</f>
        <v>-3.5806016281398283E-2</v>
      </c>
      <c r="DA89" s="188">
        <f>IS!DA24*4/AVERAGE(CZ24,DA24)</f>
        <v>-1.2112036336109008E-2</v>
      </c>
      <c r="DB89" s="145">
        <f>IS!DB24*4/AVERAGE(DA24,DB24)</f>
        <v>-4.3965609451130675E-3</v>
      </c>
      <c r="DC89" s="188">
        <f>IS!DC24*4/AVERAGE(DB24,DC24)</f>
        <v>-4.8644329226366356E-2</v>
      </c>
      <c r="DD89" s="188">
        <f>IS!DD24*4/AVERAGE(DC24,DD24)</f>
        <v>-6.782334966254197E-4</v>
      </c>
      <c r="DE89" s="144">
        <f>IS!DE24/AVERAGE(CZ24,DE24)</f>
        <v>-1.6212351155731962E-2</v>
      </c>
      <c r="DF89" s="188">
        <f>IS!DF24*4/AVERAGE(DE24,DF24)</f>
        <v>-1.0106962901847542E-2</v>
      </c>
      <c r="DG89" s="145">
        <f>IS!DG24*4/AVERAGE(DF24,DG24)</f>
        <v>-4.152898226576817E-2</v>
      </c>
      <c r="DH89" s="188">
        <f>IS!DH24*4/AVERAGE(DG24,DH24)</f>
        <v>-0.17602482035554445</v>
      </c>
      <c r="DI89" s="188">
        <f>IS!DI24*4/AVERAGE(DH24,DI24)</f>
        <v>-0.10493168014473335</v>
      </c>
      <c r="DJ89" s="144">
        <f>IS!DJ24/AVERAGE(DE24,DJ24)</f>
        <v>-8.0504473796335754E-2</v>
      </c>
      <c r="DK89" s="188">
        <f>IS!DK24*4/AVERAGE(DJ24,DK24)</f>
        <v>-9.4611915347906554E-4</v>
      </c>
      <c r="DL89" s="145">
        <f>IS!DL24*4/AVERAGE(DK24,DL24)</f>
        <v>-1.5686073154607943E-2</v>
      </c>
      <c r="DM89" s="188">
        <f>IS!DM24*4/AVERAGE(DL24,DM24)</f>
        <v>-0.1399212828083882</v>
      </c>
      <c r="DN89" s="188">
        <f>IS!DN24*4/AVERAGE(DM24,DN24)</f>
        <v>0.20662481383028863</v>
      </c>
      <c r="DO89" s="144">
        <f>IS!DO24/AVERAGE(DJ24,DO24)</f>
        <v>1.3770879672702852E-2</v>
      </c>
      <c r="DP89" s="188">
        <f>IS!DP24*4/AVERAGE(DO24,DP24)</f>
        <v>-9.6089747824468048E-5</v>
      </c>
      <c r="DQ89" s="145">
        <f>IS!DQ24*4/AVERAGE(DP24,DQ24)</f>
        <v>-1.074224952140738E-2</v>
      </c>
      <c r="DR89" s="188">
        <f>IS!DR24*4/AVERAGE(DQ24,DR24)</f>
        <v>3.5851465115607161E-3</v>
      </c>
      <c r="DS89" s="188">
        <f>IS!DS24*4/AVERAGE(DR24,DS24)</f>
        <v>1.5308937660341242E-2</v>
      </c>
      <c r="DT89" s="144">
        <f>IS!DT24/AVERAGE(DO24,DT24)</f>
        <v>1.8062885594393487E-3</v>
      </c>
      <c r="DU89" s="188">
        <f>IS!DU24*4/AVERAGE(DT24,DU24)</f>
        <v>4.680491426273331E-3</v>
      </c>
      <c r="DV89" s="188">
        <f>IS!DV24*4/AVERAGE(DU24,DV24)</f>
        <v>1.894168802084592E-2</v>
      </c>
      <c r="DW89" s="188">
        <f>IS!DW24*4/AVERAGE(DV24,DW24)</f>
        <v>3.0683316692463616E-2</v>
      </c>
      <c r="DX89" s="188">
        <f>IS!DX24*4/AVERAGE(DW24,DX24)</f>
        <v>4.0682535460462209E-2</v>
      </c>
      <c r="DY89" s="144">
        <f>IS!DY24/AVERAGE(DT24,DY24)</f>
        <v>2.4906267360063884E-2</v>
      </c>
      <c r="DZ89" s="187">
        <f>IS!DZ24/AVERAGE(DY24,DZ24)</f>
        <v>4.7985681575834549E-2</v>
      </c>
      <c r="EA89" s="187">
        <f>IS!EA24/AVERAGE(DZ24,EA24)</f>
        <v>7.403969210042663E-2</v>
      </c>
      <c r="EB89" s="187">
        <f>IS!EB24/AVERAGE(EA24,EB24)</f>
        <v>9.5902879904052454E-2</v>
      </c>
    </row>
    <row r="90" spans="1:132">
      <c r="B90" s="68" t="s">
        <v>253</v>
      </c>
      <c r="C90" s="187"/>
      <c r="D90" s="187">
        <f>IS!D55/AVERAGE(BS!D68,C68)</f>
        <v>0.2524041315445803</v>
      </c>
      <c r="E90" s="187">
        <f>IS!E55/AVERAGE(BS!E68,D68)</f>
        <v>0.40499621498864496</v>
      </c>
      <c r="F90" s="187">
        <f>IS!F55/AVERAGE(BS!F68,E68)</f>
        <v>0.40361177831153811</v>
      </c>
      <c r="G90" s="187">
        <f>IS!G55/AVERAGE(BS!G68,F68)</f>
        <v>0.51691462577248803</v>
      </c>
      <c r="H90" s="187">
        <f>IS!H55/AVERAGE(BS!H68,G68)</f>
        <v>0.57934236812267159</v>
      </c>
      <c r="I90" s="187">
        <f>IS!I55/AVERAGE(BS!I68,H68)</f>
        <v>0.23984843700663089</v>
      </c>
      <c r="J90" s="209"/>
      <c r="K90" s="209"/>
      <c r="L90" s="209"/>
      <c r="M90" s="188"/>
      <c r="N90" s="187">
        <f>IS!N55/AVERAGE(BS!N68,I68)</f>
        <v>0.36200772200772202</v>
      </c>
      <c r="O90" s="209"/>
      <c r="P90" s="209"/>
      <c r="Q90" s="209"/>
      <c r="R90" s="188"/>
      <c r="S90" s="187">
        <f>IS!S55/AVERAGE(BS!S68,N68)</f>
        <v>0.38621615573953905</v>
      </c>
      <c r="T90" s="209"/>
      <c r="U90" s="209"/>
      <c r="V90" s="209"/>
      <c r="W90" s="188"/>
      <c r="X90" s="187">
        <f>IS!X55/AVERAGE(BS!X68,S68)</f>
        <v>0.42419481539670073</v>
      </c>
      <c r="Y90" s="209"/>
      <c r="Z90" s="209"/>
      <c r="AA90" s="209"/>
      <c r="AB90" s="188"/>
      <c r="AC90" s="187">
        <f>IS!AC55/AVERAGE(BS!AC68,X68)</f>
        <v>0.50280059104498132</v>
      </c>
      <c r="AD90" s="209"/>
      <c r="AE90" s="209"/>
      <c r="AF90" s="209"/>
      <c r="AG90" s="188"/>
      <c r="AH90" s="187">
        <f>IS!AH55/AVERAGE(BS!AH68,AC68)</f>
        <v>0.38725978647686832</v>
      </c>
      <c r="AI90" s="209"/>
      <c r="AJ90" s="209"/>
      <c r="AK90" s="209"/>
      <c r="AL90" s="188"/>
      <c r="AM90" s="187">
        <f>IS!AM55/AVERAGE(BS!AM68,AH68)</f>
        <v>0.28386025805478005</v>
      </c>
      <c r="AN90" s="209"/>
      <c r="AO90" s="209"/>
      <c r="AP90" s="209"/>
      <c r="AQ90" s="188"/>
      <c r="AR90" s="187">
        <f>IS!AR55/AVERAGE(BS!AR68,AM68)</f>
        <v>0.42771392081736909</v>
      </c>
      <c r="AS90" s="209"/>
      <c r="AT90" s="209"/>
      <c r="AU90" s="209"/>
      <c r="AV90" s="209"/>
      <c r="AW90" s="187">
        <f>IS!AW55/AVERAGE(BS!AW68,AR68)</f>
        <v>0.40231610551147329</v>
      </c>
      <c r="AX90" s="209"/>
      <c r="AY90" s="209"/>
      <c r="AZ90" s="209"/>
      <c r="BA90" s="188"/>
      <c r="BB90" s="187">
        <f>IS!BB55/AVERAGE(BS!BB68,AW68)</f>
        <v>0.36882692220355145</v>
      </c>
      <c r="BC90" s="209"/>
      <c r="BD90" s="209"/>
      <c r="BE90" s="209"/>
      <c r="BF90" s="209"/>
      <c r="BG90" s="187">
        <f>IS!BG55/AVERAGE(BS!BG68,BB68)</f>
        <v>0.34521785552954709</v>
      </c>
      <c r="BH90" s="209"/>
      <c r="BI90" s="209"/>
      <c r="BJ90" s="209"/>
      <c r="BK90" s="188"/>
      <c r="BL90" s="187">
        <f>IS!BL55/AVERAGE(BS!BL68,BG68)</f>
        <v>0.39383568834113669</v>
      </c>
      <c r="BM90" s="209"/>
      <c r="BN90" s="209"/>
      <c r="BO90" s="209"/>
      <c r="BP90" s="188"/>
      <c r="BQ90" s="187">
        <f>IS!BQ55/AVERAGE(BS!BQ68,BL68)</f>
        <v>0.44691768446917685</v>
      </c>
      <c r="BR90" s="209"/>
      <c r="BS90" s="188"/>
      <c r="BT90" s="188"/>
      <c r="BU90" s="188"/>
      <c r="BV90" s="187">
        <f>IS!BV55/AVERAGE(BS!BV68,BQ68)</f>
        <v>0.46739294444276791</v>
      </c>
      <c r="BW90" s="209"/>
      <c r="BX90" s="188"/>
      <c r="BY90" s="188"/>
      <c r="BZ90" s="188"/>
      <c r="CA90" s="187">
        <f>IS!CA55/AVERAGE(BS!CA68,BV68)</f>
        <v>0.88525174725431466</v>
      </c>
      <c r="CB90" s="209"/>
      <c r="CC90" s="188"/>
      <c r="CD90" s="188"/>
      <c r="CE90" s="188"/>
      <c r="CF90" s="187">
        <f>IS!CF55/AVERAGE(BS!CF68,CA68)</f>
        <v>0.96761133603238869</v>
      </c>
      <c r="CG90" s="188"/>
      <c r="CH90" s="188"/>
      <c r="CI90" s="188"/>
      <c r="CJ90" s="188"/>
      <c r="CK90" s="187">
        <f>IS!CK55/AVERAGE(BS!CK68,CF68)</f>
        <v>2.5770503221312902E-2</v>
      </c>
      <c r="CL90" s="188"/>
      <c r="CM90" s="188"/>
      <c r="CN90" s="188"/>
      <c r="CO90" s="188"/>
      <c r="CP90" s="144">
        <f>IS!CP55/AVERAGE(BS!CP68,CK68)</f>
        <v>-3.8195679796696314</v>
      </c>
      <c r="CQ90" s="188"/>
      <c r="CR90" s="188"/>
      <c r="CS90" s="188"/>
      <c r="CT90" s="188"/>
      <c r="CU90" s="144">
        <f>IS!CU55/AVERAGE(BS!CU68,CP68)</f>
        <v>1.4619093539054966</v>
      </c>
      <c r="CV90" s="188"/>
      <c r="CW90" s="188"/>
      <c r="CX90" s="188"/>
      <c r="CY90" s="188"/>
      <c r="CZ90" s="144">
        <f>IS!CZ55/AVERAGE(BS!CZ68,CU68)</f>
        <v>-2.6352941176470588</v>
      </c>
      <c r="DA90" s="188"/>
      <c r="DB90" s="145"/>
      <c r="DC90" s="188"/>
      <c r="DD90" s="188"/>
      <c r="DE90" s="144">
        <f>IS!DE55/AVERAGE(BS!DE68,CZ68)</f>
        <v>-1.825503355704698</v>
      </c>
      <c r="DF90" s="188"/>
      <c r="DG90" s="145"/>
      <c r="DH90" s="188"/>
      <c r="DI90" s="188"/>
      <c r="DJ90" s="144">
        <f>IS!DJ55/AVERAGE(BS!DJ68,DE68)</f>
        <v>-1.6516477378514243</v>
      </c>
      <c r="DK90" s="188"/>
      <c r="DL90" s="145"/>
      <c r="DM90" s="188"/>
      <c r="DN90" s="188"/>
      <c r="DO90" s="144">
        <f>IS!DO55/AVERAGE(BS!DO68,DJ68)</f>
        <v>0.37299189278128458</v>
      </c>
      <c r="DP90" s="188"/>
      <c r="DQ90" s="145"/>
      <c r="DR90" s="188"/>
      <c r="DS90" s="188"/>
      <c r="DT90" s="144">
        <f>IS!DT55/AVERAGE(BS!DT68,DO68)</f>
        <v>0.253905222233068</v>
      </c>
      <c r="DU90" s="188"/>
      <c r="DV90" s="188"/>
      <c r="DW90" s="188"/>
      <c r="DX90" s="188"/>
      <c r="DY90" s="144">
        <f>IS!DY55/AVERAGE(BS!DY68,DT68)</f>
        <v>0.39001053486790455</v>
      </c>
      <c r="DZ90" s="187">
        <f>IS!DZ55/AVERAGE(BS!DZ68,DY68)</f>
        <v>0.56636765657300525</v>
      </c>
      <c r="EA90" s="187">
        <f>IS!EA55/AVERAGE(BS!EA68,DZ68)</f>
        <v>0.88934711489605922</v>
      </c>
      <c r="EB90" s="187">
        <f>IS!EB55/AVERAGE(BS!EB68,EA68)</f>
        <v>0.83540109519440808</v>
      </c>
    </row>
    <row r="91" spans="1:132">
      <c r="B91" s="68" t="s">
        <v>254</v>
      </c>
      <c r="C91" s="187"/>
      <c r="D91" s="187">
        <f>IS!D24/AVERAGE((D69+D68),(C69+C68))</f>
        <v>5.729632945389436E-2</v>
      </c>
      <c r="E91" s="187">
        <f>IS!E24/AVERAGE((E69+E68),(D69+D68))</f>
        <v>0.12320580545328425</v>
      </c>
      <c r="F91" s="187">
        <f>IS!F24/AVERAGE((F69+F68),(E69+E68))</f>
        <v>0.11196169731407676</v>
      </c>
      <c r="G91" s="187">
        <f>IS!G24/AVERAGE((G69+G68),(F69+F68))</f>
        <v>0.1317206180521569</v>
      </c>
      <c r="H91" s="187">
        <f>IS!H24/AVERAGE((H64+H63),(C64+C63))</f>
        <v>0.13239324046585979</v>
      </c>
      <c r="I91" s="187">
        <f>IS!I24/AVERAGE((I64+I63),(D64+D63))</f>
        <v>4.0184692878130687E-2</v>
      </c>
      <c r="J91" s="209">
        <f>(IS!J24*4)/AVERAGE((J69+J68),(I69+I68))</f>
        <v>8.4606505058735654E-2</v>
      </c>
      <c r="K91" s="209">
        <f>(IS!K24*4)/AVERAGE((K69+K68),(J69+J68))</f>
        <v>7.954661146367123E-2</v>
      </c>
      <c r="L91" s="209">
        <f>(IS!L24*4)/AVERAGE((L69+L68),(K69+K68))</f>
        <v>6.0451314609067698E-2</v>
      </c>
      <c r="M91" s="188">
        <f>(IS!M24*4)/AVERAGE((M69+M68),(L69+L68))</f>
        <v>2.4747872112152208E-2</v>
      </c>
      <c r="N91" s="187">
        <f>IS!N24/AVERAGE((N64+N63),(I64+I63))</f>
        <v>8.065588300465322E-2</v>
      </c>
      <c r="O91" s="209">
        <f>(IS!O24*4)/AVERAGE((O69+O68),(N69+N68))</f>
        <v>7.5654989696791283E-2</v>
      </c>
      <c r="P91" s="209">
        <f>(IS!P24*4)/AVERAGE((P69+P68),(O69+O68))</f>
        <v>8.5385630775033E-2</v>
      </c>
      <c r="Q91" s="209">
        <f>(IS!Q24*4)/AVERAGE((Q69+Q68),(P69+P68))</f>
        <v>0.16189543919931279</v>
      </c>
      <c r="R91" s="188">
        <f>(IS!R24*4)/AVERAGE((R69+R68),(Q69+Q68))</f>
        <v>7.8866607810989198E-2</v>
      </c>
      <c r="S91" s="187">
        <f>IS!S24/AVERAGE((S69+S68),(N69+N68))</f>
        <v>0.10091580502215658</v>
      </c>
      <c r="T91" s="209">
        <f>(IS!T24*4)/AVERAGE((T69+T68),(S69+S68))</f>
        <v>0.11599790466212677</v>
      </c>
      <c r="U91" s="209">
        <f>(IS!U24*4)/AVERAGE((U69+U68),(T69+T68))</f>
        <v>-2.7368556094849152E-2</v>
      </c>
      <c r="V91" s="209">
        <f>(IS!V24*4)/AVERAGE((V69+V68),(U69+U68))</f>
        <v>0.12233116668502809</v>
      </c>
      <c r="W91" s="188">
        <f>(IS!W24*4)/AVERAGE((W69+W68),(V69+V68))</f>
        <v>0.17222441896226001</v>
      </c>
      <c r="X91" s="187">
        <f>IS!X24/AVERAGE((X69+X68),(S69+S68))</f>
        <v>9.5599228619098184E-2</v>
      </c>
      <c r="Y91" s="209">
        <f>(IS!Y24*4)/AVERAGE((Y69+Y68),(X69+X68))</f>
        <v>0.15378856274635017</v>
      </c>
      <c r="Z91" s="209">
        <f>(IS!Z24*4)/AVERAGE((Z69+Z68),(Y69+Y68))</f>
        <v>0.18384157027690151</v>
      </c>
      <c r="AA91" s="209">
        <f>(IS!AA24*4)/AVERAGE((AA69+AA68),(Z69+Z68))</f>
        <v>0.19171924971907683</v>
      </c>
      <c r="AB91" s="188">
        <f>(IS!AB24*4)/AVERAGE((AB69+AB68),(AA69+AA68))</f>
        <v>0.17273205087774623</v>
      </c>
      <c r="AC91" s="187">
        <f>IS!AC24/AVERAGE((AC69+AC68),(X69+X68))</f>
        <v>0.17321154174492059</v>
      </c>
      <c r="AD91" s="209">
        <f>(IS!AD24*4)/AVERAGE((AD69+AD68),(AC69+AC68))</f>
        <v>0.19911257868125065</v>
      </c>
      <c r="AE91" s="209">
        <f>(IS!AE24*4)/AVERAGE((AE69+AE68),(AD69+AD68))</f>
        <v>0.14188062687562522</v>
      </c>
      <c r="AF91" s="209">
        <f>(IS!AF24*4)/AVERAGE((AF69+AF68),(AE69+AE68))</f>
        <v>0.11623306175413219</v>
      </c>
      <c r="AG91" s="188">
        <f>(IS!AG24*4)/AVERAGE((AG69+AG68),(AF69+AF68))</f>
        <v>-1.3398508247482911E-2</v>
      </c>
      <c r="AH91" s="187">
        <f>IS!AH24/AVERAGE((AH69+AH68),(AC69+AC68))</f>
        <v>0.10159046106145572</v>
      </c>
      <c r="AI91" s="209">
        <f>(IS!AI24*4)/AVERAGE((AI69+AI68),(AH69+AH68))</f>
        <v>8.3868878168521899E-2</v>
      </c>
      <c r="AJ91" s="209">
        <f>(IS!AJ24*4)/AVERAGE((AJ69+AJ68),(AI69+AI68))</f>
        <v>0.12886339768963567</v>
      </c>
      <c r="AK91" s="209">
        <f>(IS!AK24*4)/AVERAGE((AK69+AK68),(AJ69+AJ68))</f>
        <v>-0.19717820296083294</v>
      </c>
      <c r="AL91" s="188">
        <f>(IS!AL24*4)/AVERAGE((AL69+AL68),(AK69+AK68))</f>
        <v>0.15631805790347392</v>
      </c>
      <c r="AM91" s="187">
        <f>IS!AM24/AVERAGE((AM69+AM68),(AH69+AH68))</f>
        <v>4.3261285200427754E-2</v>
      </c>
      <c r="AN91" s="209">
        <f>(IS!AN24*4)/AVERAGE((AN69+AN68),(AM69+AM68))</f>
        <v>6.0923537438922391E-2</v>
      </c>
      <c r="AO91" s="209">
        <f>(IS!AO24*4)/AVERAGE((AO69+AO68),(AN69+AN68))</f>
        <v>9.1318123291040346E-2</v>
      </c>
      <c r="AP91" s="209">
        <f>(IS!AP24*4)/AVERAGE((AP69+AP68),(AO69+AO68))</f>
        <v>9.5507060333761232E-2</v>
      </c>
      <c r="AQ91" s="188">
        <f>(IS!AQ24*4)/AVERAGE((AQ69+AQ68),(AP69+AP68))</f>
        <v>0.12487783980615018</v>
      </c>
      <c r="AR91" s="187">
        <f>IS!AR24/AVERAGE((AR69+AR68),(AM69+AM68))</f>
        <v>9.0867924528301891E-2</v>
      </c>
      <c r="AS91" s="209">
        <f>(IS!AS24*4)/AVERAGE((AS69+AS68),(AR69+AR68))</f>
        <v>5.9641067918067087E-2</v>
      </c>
      <c r="AT91" s="209">
        <f>(IS!AT24*4)/AVERAGE((AT69+AT68),(AS69+AS68))</f>
        <v>9.4183517884370238E-2</v>
      </c>
      <c r="AU91" s="209">
        <f>(IS!AU24*4)/AVERAGE((AU69+AU68),(AT69+AT68))</f>
        <v>0.10575284863277711</v>
      </c>
      <c r="AV91" s="209">
        <f>(IS!AV24*4)/AVERAGE((AV69+AV68),(AU69+AU68))</f>
        <v>0.12464731781831252</v>
      </c>
      <c r="AW91" s="187">
        <f>IS!AW24/AVERAGE((AW69+AW68),(AR69+AR68))</f>
        <v>9.0592885375494064E-2</v>
      </c>
      <c r="AX91" s="209">
        <f>(IS!AX24*4)/AVERAGE((AX69+AX68),(AW69+AW68))</f>
        <v>7.4341516397976523E-2</v>
      </c>
      <c r="AY91" s="209">
        <f>(IS!AY24*4)/AVERAGE((AY69+AY68),(AX69+AX68))</f>
        <v>7.6939142888400452E-2</v>
      </c>
      <c r="AZ91" s="209">
        <f>(IS!AZ24*4)/AVERAGE((AZ69+AZ68),(AY69+AY68))</f>
        <v>8.0443357910218047E-2</v>
      </c>
      <c r="BA91" s="188">
        <f>(IS!BA24*4)/AVERAGE((BA69+BA68),(AZ69+AZ68))</f>
        <v>7.3794612540556859E-2</v>
      </c>
      <c r="BB91" s="187">
        <f>IS!BB24/AVERAGE((BB69+BB68),(AW69+AW68))</f>
        <v>7.5656178794783535E-2</v>
      </c>
      <c r="BC91" s="209">
        <f>(IS!BC24*4)/AVERAGE((BC69+BC68),(BB69+BB68))</f>
        <v>8.1958557573848845E-2</v>
      </c>
      <c r="BD91" s="209">
        <f>(IS!BD24*4)/AVERAGE((BD69+BD68),(BC69+BC68))</f>
        <v>7.993308269985569E-2</v>
      </c>
      <c r="BE91" s="209">
        <f>(IS!BE24*4)/AVERAGE((BE69+BE68),(BD69+BD68))</f>
        <v>8.3812757963566742E-2</v>
      </c>
      <c r="BF91" s="209">
        <f>(IS!BF24*4)/AVERAGE((BF69+BF68),(BE69+BE68))</f>
        <v>9.745960254434842E-2</v>
      </c>
      <c r="BG91" s="187">
        <f>IS!BG24/AVERAGE((BG69+BG68),(BB69+BB68))</f>
        <v>9.2694806835292132E-2</v>
      </c>
      <c r="BH91" s="209">
        <f>(IS!BH24*4)/AVERAGE((BH69+BH68),(BG69+BG68))</f>
        <v>8.6500537827178203E-2</v>
      </c>
      <c r="BI91" s="209">
        <f>(IS!BI24*4)/AVERAGE((BI69+BI68),(BH69+BH68))</f>
        <v>0.15081600766397135</v>
      </c>
      <c r="BJ91" s="209">
        <f>(IS!BJ24*4)/AVERAGE((BJ69+BJ68),(BI69+BI68))</f>
        <v>0.12433814131823991</v>
      </c>
      <c r="BK91" s="188">
        <f>(IS!BK24*4)/AVERAGE((BK69+BK68),(BJ69+BJ68))</f>
        <v>0.12612787008657311</v>
      </c>
      <c r="BL91" s="187">
        <f>IS!BL24/AVERAGE((BL69+BL68),(BG69+BG68))</f>
        <v>0.11574920297555792</v>
      </c>
      <c r="BM91" s="209">
        <f>(IS!BM24*4)/AVERAGE((BM69+BM68),(BL69+BL68))</f>
        <v>0.11007662519568262</v>
      </c>
      <c r="BN91" s="209">
        <f>(IS!BN24*4)/AVERAGE((BN69+BN68),(BM69+BM68))</f>
        <v>9.3909622563690398E-2</v>
      </c>
      <c r="BO91" s="209">
        <f>(IS!BO24*4)/AVERAGE((BO69+BO68),(BN69+BN68))</f>
        <v>0.14612028769575425</v>
      </c>
      <c r="BP91" s="188">
        <f>(IS!BP24*4)/AVERAGE((BP69+BP68),(BO69+BO68))</f>
        <v>8.7661401428983377E-2</v>
      </c>
      <c r="BQ91" s="187">
        <f>IS!BQ24/AVERAGE((BQ69+BQ68),(BL69+BL68))</f>
        <v>0.10818154267381468</v>
      </c>
      <c r="BR91" s="209">
        <f>(IS!BR24*4)/AVERAGE((BR69+BR68),(BQ69+BQ68))</f>
        <v>0.10692630724866506</v>
      </c>
      <c r="BS91" s="188">
        <f>(IS!BS24*4)/AVERAGE((BS69+BS68),(BR69+BR68))</f>
        <v>-2.0911060968253615E-2</v>
      </c>
      <c r="BT91" s="188">
        <f>(IS!BT24*4)/AVERAGE((BT69+BT68),(BS69+BS68))</f>
        <v>0.20018446132899995</v>
      </c>
      <c r="BU91" s="188">
        <f>(IS!BU24*4)/AVERAGE((BU69+BU68),(BT69+BT68))</f>
        <v>0.14458739181986416</v>
      </c>
      <c r="BV91" s="187">
        <f>IS!BV24/AVERAGE((BV69+BV68),(BQ69+BQ68))</f>
        <v>0.10760606726753133</v>
      </c>
      <c r="BW91" s="209">
        <f>(IS!BW24*4)/AVERAGE((BW69+BW68),(BV69+BV68))</f>
        <v>0.14258784752401485</v>
      </c>
      <c r="BX91" s="188">
        <f>(IS!BX24*4)/AVERAGE((BX69+BX68),(BW69+BW68))</f>
        <v>0.16869823127283248</v>
      </c>
      <c r="BY91" s="188">
        <f>(IS!BY24*4)/AVERAGE((BY69+BY68),(BX69+BX68))</f>
        <v>0.18036421613811315</v>
      </c>
      <c r="BZ91" s="188">
        <f>(IS!BZ24*4)/AVERAGE((BZ69+BZ68),(BY69+BY68))</f>
        <v>0.31994603319921938</v>
      </c>
      <c r="CA91" s="187">
        <f>IS!CA24/AVERAGE((CA69+CA68),(BV69+BV68))</f>
        <v>0.19773694300275868</v>
      </c>
      <c r="CB91" s="209">
        <f>(IS!CB24*4)/AVERAGE((CB69+CB68),(CA69+CA68))</f>
        <v>0.23353879152867968</v>
      </c>
      <c r="CC91" s="188">
        <f>(IS!CC24*4)/AVERAGE((CC69+CC68),(CB69+CB68))</f>
        <v>0.20785121033577056</v>
      </c>
      <c r="CD91" s="188">
        <f>(IS!CD24*4)/AVERAGE((CD69+CD68),(CC69+CC68))</f>
        <v>0.23083216313572258</v>
      </c>
      <c r="CE91" s="188">
        <f>(IS!CE24*4)/AVERAGE((CE69+CE68),(CD69+CD68))</f>
        <v>0.3207193705507681</v>
      </c>
      <c r="CF91" s="187">
        <f>IS!CF24/AVERAGE((CF69+CF68),(CA69+CA68))</f>
        <v>0.24378306570023539</v>
      </c>
      <c r="CG91" s="188">
        <f>(IS!CG24*4)/AVERAGE((CG69+CG68),(CF69+CF68))</f>
        <v>0.18819717353942486</v>
      </c>
      <c r="CH91" s="188">
        <f>(IS!CH24*4)/AVERAGE((CH69+CH68),(CG69+CG68))</f>
        <v>-0.25307254760701497</v>
      </c>
      <c r="CI91" s="188">
        <f>(IS!CI24*4)/AVERAGE((CI69+CI68),(CH69+CH68))</f>
        <v>9.4428935550430873E-2</v>
      </c>
      <c r="CJ91" s="188">
        <f>(IS!CJ24*4)/AVERAGE((CJ69+CJ68),(CI69+CI68))</f>
        <v>-7.7994536521327831E-2</v>
      </c>
      <c r="CK91" s="187">
        <f>IS!CK24/AVERAGE((CK69+CK68),(CF69+CF68))</f>
        <v>-1.3336548643803013E-2</v>
      </c>
      <c r="CL91" s="188">
        <f>(IS!CL24*4)/AVERAGE((CL69+CL68),(CK69+CK68))</f>
        <v>-4.5628757742539008E-2</v>
      </c>
      <c r="CM91" s="188">
        <f>(IS!CM24*4)/AVERAGE((CM69+CM68),(CL69+CL68))</f>
        <v>-0.1368604466972913</v>
      </c>
      <c r="CN91" s="188">
        <f>(IS!CN24*4)/AVERAGE((CN69+CN68),(CM69+CM68))</f>
        <v>-2.2630335485903291E-2</v>
      </c>
      <c r="CO91" s="188">
        <f>(IS!CO24*4)/AVERAGE((CO69+CO68),(CN69+CN68))</f>
        <v>-0.43673331777276381</v>
      </c>
      <c r="CP91" s="144">
        <f>IS!CP24/AVERAGE((CP69+CP68),(CK69+CK68))</f>
        <v>-0.18839004498322054</v>
      </c>
      <c r="CQ91" s="188">
        <f>(IS!CQ24*4)/AVERAGE((CQ69+CQ68),(CP69+CP68))</f>
        <v>-2.8485608004614988E-2</v>
      </c>
      <c r="CR91" s="188">
        <f>(IS!CR24*4)/AVERAGE((CR69+CR68),(CQ69+CQ68))</f>
        <v>3.0858397019299641E-2</v>
      </c>
      <c r="CS91" s="188">
        <f>(IS!CS24*4)/AVERAGE((CS69+CS68),(CR69+CR68))</f>
        <v>-5.7343898990563245E-3</v>
      </c>
      <c r="CT91" s="188">
        <f>(IS!CT24*4)/AVERAGE((CT69+CT68),(CS69+CS68))</f>
        <v>-0.23043550809277491</v>
      </c>
      <c r="CU91" s="144">
        <f>IS!CU24/AVERAGE((CU69+CU68),(CP69+CP68))</f>
        <v>-5.857629764900224E-2</v>
      </c>
      <c r="CV91" s="188">
        <f>(IS!CV24*4)/AVERAGE((CV69+CV68),(CU69+CU68))</f>
        <v>-7.2004489205233474E-2</v>
      </c>
      <c r="CW91" s="188">
        <f>(IS!CW24*4)/AVERAGE((CW69+CW68),(CV69+CV68))</f>
        <v>1.1537886713495741E-2</v>
      </c>
      <c r="CX91" s="188">
        <f>(IS!CX24*4)/AVERAGE((CX69+CX68),(CW69+CW68))</f>
        <v>-0.20128607976152976</v>
      </c>
      <c r="CY91" s="188">
        <f>(IS!CY24*4)/AVERAGE((CY69+CY68),(CX69+CX68))</f>
        <v>-4.0027463638300724E-2</v>
      </c>
      <c r="CZ91" s="144">
        <f>IS!CZ24/AVERAGE((CZ69+CZ68),(CU69+CU68))</f>
        <v>-7.5035351001231584E-2</v>
      </c>
      <c r="DA91" s="188">
        <f>(IS!DA24*4)/AVERAGE((DA69+DA68),(CZ69+CZ68))</f>
        <v>-2.6478418330228726E-2</v>
      </c>
      <c r="DB91" s="145">
        <f>(IS!DB24*4)/AVERAGE((DB69+DB68),(DA69+DA68))</f>
        <v>-9.8987701276376655E-3</v>
      </c>
      <c r="DC91" s="188">
        <f>(IS!DC24*4)/AVERAGE((DC69+DC68),(DB69+DB68))</f>
        <v>-0.11304002349242542</v>
      </c>
      <c r="DD91" s="188">
        <f>(IS!DD24*4)/AVERAGE((DD69+DD68),(DC69+DC68))</f>
        <v>-1.6035277610743637E-3</v>
      </c>
      <c r="DE91" s="144">
        <f>IS!DE24/AVERAGE((DE69+DE68),(CZ69+CZ68))</f>
        <v>-3.6796303809626327E-2</v>
      </c>
      <c r="DF91" s="188">
        <f>(IS!DF24*4)/AVERAGE((DF69+DF68),(DE69+DE68))</f>
        <v>-2.4764672436666878E-2</v>
      </c>
      <c r="DG91" s="145">
        <f>(IS!DG24*4)/AVERAGE((DG69+DG68),(DF69+DF68))</f>
        <v>-9.9756501243490087E-2</v>
      </c>
      <c r="DH91" s="188">
        <f>(IS!DH24*4)/AVERAGE((DH69+DH68),(DG69+DG68))</f>
        <v>-0.41737836329505673</v>
      </c>
      <c r="DI91" s="188">
        <f>(IS!DI24*4)/AVERAGE((DI69+DI68),(DH69+DH68))</f>
        <v>-0.24103237095363081</v>
      </c>
      <c r="DJ91" s="144">
        <f>IS!DJ24/AVERAGE((DJ69+DJ68),(DE69+DE68))</f>
        <v>-0.1824826541807674</v>
      </c>
      <c r="DK91" s="188">
        <f>(IS!DK24*4)/AVERAGE((DK69+DK68),(DJ69+DJ68))</f>
        <v>-2.0550845986683605E-3</v>
      </c>
      <c r="DL91" s="145">
        <f>(IS!DL24*4)/AVERAGE((DL69+DL68),(DK69+DK68))</f>
        <v>-3.3964256927652245E-2</v>
      </c>
      <c r="DM91" s="188">
        <f>(IS!DM24*4)/AVERAGE((DM69+DM68),(DL69+DL68))</f>
        <v>-0.30821205821205822</v>
      </c>
      <c r="DN91" s="188">
        <f>(IS!DN24*4)/AVERAGE((DN69+DN68),(DM69+DM68))</f>
        <v>0.4487511942131841</v>
      </c>
      <c r="DO91" s="144">
        <f>IS!DO24/AVERAGE((DO69+DO68),(DJ69+DJ68))</f>
        <v>2.9471296802990644E-2</v>
      </c>
      <c r="DP91" s="188">
        <f>(IS!DP24*4)/AVERAGE((DP69+DP68),(DO69+DO68))</f>
        <v>-2.0898641588296761E-4</v>
      </c>
      <c r="DQ91" s="145">
        <f>(IS!DQ24*4)/AVERAGE((DQ69+DQ68),(DP69+DP68))</f>
        <v>-2.4428992923019786E-2</v>
      </c>
      <c r="DR91" s="188">
        <f>(IS!DR24*4)/AVERAGE((DR69+DR68),(DQ69+DQ68))</f>
        <v>8.3790120651906271E-3</v>
      </c>
      <c r="DS91" s="188">
        <f>(IS!DS24*4)/AVERAGE((DS69+DS68),(DR69+DR68))</f>
        <v>3.6656946837721679E-2</v>
      </c>
      <c r="DT91" s="144">
        <f>IS!DT24/AVERAGE((DT69+DT68),(DO69+DO68))</f>
        <v>4.0542840104672772E-3</v>
      </c>
      <c r="DU91" s="188">
        <f>(IS!DU24*4)/AVERAGE((DU69+DU68),(DT69+DT68))</f>
        <v>1.0295995980523692E-2</v>
      </c>
      <c r="DV91" s="188">
        <f>(IS!DV24*4)/AVERAGE((DV69+DV68),(DU69+DU68))</f>
        <v>3.9693745892513808E-2</v>
      </c>
      <c r="DW91" s="188">
        <f>(IS!DW24*4)/AVERAGE((DW69+DW68),(DV69+DV68))</f>
        <v>6.6599192528469423E-2</v>
      </c>
      <c r="DX91" s="188">
        <f>(IS!DX24*4)/AVERAGE((DX69+DX68),(DW69+DW68))</f>
        <v>8.9649845506049611E-2</v>
      </c>
      <c r="DY91" s="144">
        <f>IS!DY24/AVERAGE((DY69+DY68),(DT69+DT68))</f>
        <v>5.7536101276867757E-2</v>
      </c>
      <c r="DZ91" s="187">
        <f>IS!DZ24/AVERAGE((DZ69+DZ68),(DY69+DY68))</f>
        <v>0.11300373296373223</v>
      </c>
      <c r="EA91" s="187">
        <f>IS!EA24/AVERAGE((EA69+EA68),(DZ69+DZ68))</f>
        <v>0.18051650358278992</v>
      </c>
      <c r="EB91" s="187">
        <f>IS!EB24/AVERAGE((EB69+EB68),(EA69+EA68))</f>
        <v>0.22030900124126632</v>
      </c>
    </row>
    <row r="92" spans="1:132">
      <c r="A92" s="207"/>
      <c r="B92" s="207" t="s">
        <v>255</v>
      </c>
      <c r="C92" s="210">
        <f>IS!C24/BS!C48</f>
        <v>-1.374199027252374E-2</v>
      </c>
      <c r="D92" s="210">
        <f>IS!D24/AVERAGE(BS!D68,C68)</f>
        <v>8.8646167240492305E-2</v>
      </c>
      <c r="E92" s="210">
        <f>IS!E24/AVERAGE(BS!E68,D68)</f>
        <v>0.19421313819497013</v>
      </c>
      <c r="F92" s="210">
        <f>IS!F24/AVERAGE(BS!F68,E68)</f>
        <v>0.18930700115648075</v>
      </c>
      <c r="G92" s="210">
        <f>IS!G24/AVERAGE(BS!G68,F68)</f>
        <v>0.25873197528038455</v>
      </c>
      <c r="H92" s="210">
        <f>IS!H24/AVERAGE(BS!H68,G68)</f>
        <v>0.25041844392851359</v>
      </c>
      <c r="I92" s="210">
        <f>IS!I24/AVERAGE(BS!I68,H68)</f>
        <v>9.0685191032522885E-2</v>
      </c>
      <c r="J92" s="211">
        <f>IS!J24*4/AVERAGE(BS!J68,I68)</f>
        <v>0.29321096599599955</v>
      </c>
      <c r="K92" s="211">
        <f>IS!K24*4/AVERAGE(BS!K68,J68)</f>
        <v>0.26325247079964059</v>
      </c>
      <c r="L92" s="211">
        <f>IS!L24*4/AVERAGE(BS!L68,K68)</f>
        <v>0.1894975934238278</v>
      </c>
      <c r="M92" s="212">
        <f>IS!M24*4/AVERAGE(BS!M68,L68)</f>
        <v>6.6449010946802375E-2</v>
      </c>
      <c r="N92" s="210">
        <f>IS!N24/AVERAGE(BS!N68,I68)</f>
        <v>0.18738738738738739</v>
      </c>
      <c r="O92" s="211">
        <f>IS!O24*4/AVERAGE(BS!O68,N68)</f>
        <v>0.18063609207520648</v>
      </c>
      <c r="P92" s="211">
        <f>IS!P24*4/AVERAGE(BS!P68,O68)</f>
        <v>0.20026536930561697</v>
      </c>
      <c r="Q92" s="211">
        <f>IS!Q24*4/AVERAGE(BS!Q68,P68)</f>
        <v>0.39425930430552175</v>
      </c>
      <c r="R92" s="212">
        <f>IS!R24*4/AVERAGE(BS!R68,Q68)</f>
        <v>0.18318523581681476</v>
      </c>
      <c r="S92" s="210">
        <f>IS!S24/AVERAGE(BS!S68,N68)</f>
        <v>0.22931304542403222</v>
      </c>
      <c r="T92" s="211">
        <f>IS!T24*4/AVERAGE(BS!T68,S68)</f>
        <v>0.24521615875265768</v>
      </c>
      <c r="U92" s="211">
        <f>IS!U24*4/AVERAGE(BS!U68,T68)</f>
        <v>-5.8484876176551223E-2</v>
      </c>
      <c r="V92" s="211">
        <f>IS!V24*4/AVERAGE(BS!V68,U68)</f>
        <v>0.25949988315026873</v>
      </c>
      <c r="W92" s="212">
        <f>IS!W24*4/AVERAGE(BS!W68,V68)</f>
        <v>0.32458391984764429</v>
      </c>
      <c r="X92" s="210">
        <f>IS!X24/AVERAGE(BS!X68,S68)</f>
        <v>0.18241203952536486</v>
      </c>
      <c r="Y92" s="211">
        <f>IS!Y24*4/AVERAGE(BS!Y68,X68)</f>
        <v>0.2574461810675317</v>
      </c>
      <c r="Z92" s="211">
        <f>IS!Z24*4/AVERAGE(BS!Z68,Y68)</f>
        <v>0.29710401472774906</v>
      </c>
      <c r="AA92" s="211">
        <f>IS!AA24*4/AVERAGE(BS!AA68,Z68)</f>
        <v>0.30549912193106299</v>
      </c>
      <c r="AB92" s="212">
        <f>IS!AB24*4/AVERAGE(BS!AB68,AA68)</f>
        <v>0.2670306812272491</v>
      </c>
      <c r="AC92" s="210">
        <f>IS!AC24/AVERAGE(BS!AC68,X68)</f>
        <v>0.27889075976770555</v>
      </c>
      <c r="AD92" s="211">
        <f>IS!AD24*4/AVERAGE(BS!AD68,AC68)</f>
        <v>0.30142464383904022</v>
      </c>
      <c r="AE92" s="211">
        <f>IS!AE24*4/AVERAGE(BS!AE68,AD68)</f>
        <v>0.21545667447306791</v>
      </c>
      <c r="AF92" s="211">
        <f>IS!AF24*4/AVERAGE(BS!AF68,AE68)</f>
        <v>0.17487038340907637</v>
      </c>
      <c r="AG92" s="212">
        <f>IS!AG24*4/AVERAGE(BS!AG68,AF68)</f>
        <v>-2.473930240920532E-2</v>
      </c>
      <c r="AH92" s="210">
        <f>IS!AH24/AVERAGE(BS!AH68,AC68)</f>
        <v>0.1888967971530249</v>
      </c>
      <c r="AI92" s="211">
        <f>(IS!AI24*4)/AVERAGE(BS!AI68,AH68)</f>
        <v>0.19649347018650903</v>
      </c>
      <c r="AJ92" s="211">
        <f>IS!AJ24*4/AVERAGE(BS!AJ68,AI68)</f>
        <v>0.29909626129673378</v>
      </c>
      <c r="AK92" s="211">
        <f>IS!AK24*4/AVERAGE(BS!AK68,AJ68)</f>
        <v>-0.47454275827978248</v>
      </c>
      <c r="AL92" s="212">
        <f>IS!AL24*4/AVERAGE(BS!AL68,AK68)</f>
        <v>0.38123537495821419</v>
      </c>
      <c r="AM92" s="210">
        <f>IS!AM24/AVERAGE(BS!AM68,AH68)</f>
        <v>0.1007319097562816</v>
      </c>
      <c r="AN92" s="211">
        <f>IS!AN24*4/AVERAGE(BS!AN68,AM68)</f>
        <v>0.14040308399837684</v>
      </c>
      <c r="AO92" s="211">
        <f>IS!AO24*4/AVERAGE(BS!AO68,AN68)</f>
        <v>0.20681520314547838</v>
      </c>
      <c r="AP92" s="211">
        <f>IS!AP24*4/AVERAGE(BS!AP68,AO68)</f>
        <v>0.20903443324072052</v>
      </c>
      <c r="AQ92" s="212">
        <f>IS!AQ24*4/AVERAGE(BS!AQ68,AP68)</f>
        <v>0.27723125390079351</v>
      </c>
      <c r="AR92" s="210">
        <f>IS!AR24/AVERAGE(BS!AR68,AM68)</f>
        <v>0.21143039591315455</v>
      </c>
      <c r="AS92" s="211">
        <f>IS!AS24*4/AVERAGE(BS!AS68,AR68)</f>
        <v>0.13425072087246981</v>
      </c>
      <c r="AT92" s="211">
        <f>IS!AT24*4/AVERAGE(BS!AT68,AS68)</f>
        <v>0.2037362459109465</v>
      </c>
      <c r="AU92" s="211">
        <f>IS!AU24*4/AVERAGE(BS!AU68,AT68)</f>
        <v>0.22416310222062855</v>
      </c>
      <c r="AV92" s="211">
        <f>IS!AV24*4/AVERAGE(BS!AV68,AU68)</f>
        <v>0.29337774605440559</v>
      </c>
      <c r="AW92" s="210">
        <f>IS!AW24/AVERAGE(BS!AW68,AR68)</f>
        <v>0.21504396311387519</v>
      </c>
      <c r="AX92" s="211">
        <f>IS!AX24*4/AVERAGE(BS!AX68,AW68)</f>
        <v>0.1750082863771959</v>
      </c>
      <c r="AY92" s="211">
        <f>IS!AY24*4/AVERAGE(BS!AY68,AX68)</f>
        <v>0.17375679439378286</v>
      </c>
      <c r="AZ92" s="211">
        <f>IS!AZ24*4/AVERAGE(BS!AZ68,AY68)</f>
        <v>0.175414153427916</v>
      </c>
      <c r="BA92" s="212">
        <f>IS!BA24*4/AVERAGE(BS!BA68,AZ68)</f>
        <v>0.1626205520452278</v>
      </c>
      <c r="BB92" s="210">
        <f>IS!BB24/AVERAGE(BS!BB68,AW68)</f>
        <v>0.17718334165947588</v>
      </c>
      <c r="BC92" s="211">
        <f>IS!BC24*4/AVERAGE(BS!BC68,BB68)</f>
        <v>0.1807817256808941</v>
      </c>
      <c r="BD92" s="211">
        <f>IS!BD24*4/AVERAGE(BS!BD68,BC68)</f>
        <v>0.17183054062598799</v>
      </c>
      <c r="BE92" s="211">
        <f>IS!BE24*4/AVERAGE(BS!BE68,BD68)</f>
        <v>0.17806773481723112</v>
      </c>
      <c r="BF92" s="211">
        <f>IS!BF24*4/AVERAGE(BS!BF68,BE68)</f>
        <v>0.19047913207984271</v>
      </c>
      <c r="BG92" s="210">
        <f>IS!BG24/AVERAGE(BS!BG68,BB68)</f>
        <v>0.18834544782555138</v>
      </c>
      <c r="BH92" s="211">
        <f>IS!BH24*4/AVERAGE(BS!BH68,BG68)</f>
        <v>0.15536325216341315</v>
      </c>
      <c r="BI92" s="211">
        <f>IS!BI24*4/AVERAGE(BS!BI68,BH68)</f>
        <v>0.27055670356200257</v>
      </c>
      <c r="BJ92" s="211">
        <f>IS!BJ24*4/AVERAGE(BS!BJ68,BI68)</f>
        <v>0.22290869663059265</v>
      </c>
      <c r="BK92" s="212">
        <f>IS!BK24*4/AVERAGE(BS!BK68,BJ68)</f>
        <v>0.24811187035900908</v>
      </c>
      <c r="BL92" s="210">
        <f>IS!BL24/AVERAGE(BS!BL68,BG68)</f>
        <v>0.22868420500115477</v>
      </c>
      <c r="BM92" s="211">
        <f>IS!BM24*4/AVERAGE(BS!BM68,BL68)</f>
        <v>0.24048240482404823</v>
      </c>
      <c r="BN92" s="211">
        <f>IS!BN24*4/AVERAGE(BS!BN68,BM68)</f>
        <v>0.21162508043182957</v>
      </c>
      <c r="BO92" s="211">
        <f>IS!BO24*4/AVERAGE(BS!BO68,BN68)</f>
        <v>0.33479873271606453</v>
      </c>
      <c r="BP92" s="212">
        <f>IS!BP24*4/AVERAGE(BS!BP68,BO68)</f>
        <v>0.20776065001139038</v>
      </c>
      <c r="BQ92" s="210">
        <f>IS!BQ24/AVERAGE(BS!BQ68,BL68)</f>
        <v>0.24937968249379683</v>
      </c>
      <c r="BR92" s="211">
        <f>IS!BR24*4/AVERAGE(BS!BR68,BQ68)</f>
        <v>0.27449545416162358</v>
      </c>
      <c r="BS92" s="212">
        <f>IS!BS24*4/AVERAGE(BS!BS68,BR68)</f>
        <v>-6.1144499608048082E-2</v>
      </c>
      <c r="BT92" s="212">
        <f>IS!BT24*4/AVERAGE(BS!BT68,BS68)</f>
        <v>0.618054849316926</v>
      </c>
      <c r="BU92" s="212">
        <f>IS!BU24*4/AVERAGE(BS!BU68,BT68)</f>
        <v>0.43889804567930302</v>
      </c>
      <c r="BV92" s="210">
        <f>IS!BV24/AVERAGE(BS!BV68,BQ68)</f>
        <v>0.29544014243896549</v>
      </c>
      <c r="BW92" s="211">
        <f>IS!BW24*4/AVERAGE(BS!BW68,BV68)</f>
        <v>0.45546982043700873</v>
      </c>
      <c r="BX92" s="212">
        <f>IS!BX24*4/AVERAGE(BS!BX68,BW68)</f>
        <v>0.56120648163003373</v>
      </c>
      <c r="BY92" s="212">
        <f>IS!BY24*4/AVERAGE(BS!BY68,BX68)</f>
        <v>0.5574590952839269</v>
      </c>
      <c r="BZ92" s="212">
        <f>IS!BZ24*4/AVERAGE(BS!BZ68,BY68)</f>
        <v>0.93636523885069634</v>
      </c>
      <c r="CA92" s="210">
        <f>IS!CA24/AVERAGE(BS!CA68,BV68)</f>
        <v>0.6031949793182142</v>
      </c>
      <c r="CB92" s="211">
        <f>IS!CB24*4/AVERAGE(BS!CB68,CA68)</f>
        <v>0.69485938705379058</v>
      </c>
      <c r="CC92" s="212">
        <f>IS!CC24*4/AVERAGE(BS!CC68,CB68)</f>
        <v>0.62192013593882756</v>
      </c>
      <c r="CD92" s="212">
        <f>IS!CD24*4/AVERAGE(BS!CD68,CC68)</f>
        <v>0.69354661187951716</v>
      </c>
      <c r="CE92" s="212">
        <f>IS!CE24*4/AVERAGE(BS!CE68,CD68)</f>
        <v>0.94321820873936846</v>
      </c>
      <c r="CF92" s="210">
        <f>IS!CF24/AVERAGE(BS!CF68,CA68)</f>
        <v>0.717765731146641</v>
      </c>
      <c r="CG92" s="212">
        <f>IS!CG24*4/AVERAGE(BS!CG68,CF68)</f>
        <v>0.54570848146267137</v>
      </c>
      <c r="CH92" s="212">
        <f>IS!CH24*4/AVERAGE(BS!CH68,CG68)</f>
        <v>-0.86615390277113313</v>
      </c>
      <c r="CI92" s="212">
        <f>IS!CI24*4/AVERAGE(BS!CI68,CH68)</f>
        <v>0.4035967490921667</v>
      </c>
      <c r="CJ92" s="212">
        <f>IS!CJ24*4/AVERAGE(BS!CJ68,CI68)</f>
        <v>-0.40859671302149181</v>
      </c>
      <c r="CK92" s="210">
        <f>IS!CK24/AVERAGE(BS!CK68,CF68)</f>
        <v>-5.5371756921469617E-2</v>
      </c>
      <c r="CL92" s="212">
        <f>IS!CL24*4/AVERAGE(BS!CL68,CK68)</f>
        <v>-0.35320584926884141</v>
      </c>
      <c r="CM92" s="212">
        <f>IS!CM24*4/AVERAGE(BS!CM68,CL68)</f>
        <v>-1.7059773828756057</v>
      </c>
      <c r="CN92" s="212">
        <f>IS!CN24*4/AVERAGE(BS!CN68,CM68)</f>
        <v>-0.40138562967929375</v>
      </c>
      <c r="CO92" s="212">
        <f>IS!CO24*4/AVERAGE(BS!CO68,CN68)</f>
        <v>-29.858156028368793</v>
      </c>
      <c r="CP92" s="928">
        <f>IS!CP24/AVERAGE(BS!CP68,CK68)</f>
        <v>-4.3104011617353422</v>
      </c>
      <c r="CQ92" s="212">
        <f>IS!CQ24*4/AVERAGE(BS!CQ68,CP68)</f>
        <v>1.0654761904761905</v>
      </c>
      <c r="CR92" s="212">
        <f>IS!CR24*4/AVERAGE(BS!CR68,CQ68)</f>
        <v>-1.9230139230139229</v>
      </c>
      <c r="CS92" s="212">
        <f>IS!CS24*4/AVERAGE(BS!CS68,CR68)</f>
        <v>-0.76963812886142979</v>
      </c>
      <c r="CT92" s="212">
        <f>IS!CT24*4/AVERAGE(BS!CT68,CS68)</f>
        <v>-11.956709956709958</v>
      </c>
      <c r="CU92" s="928">
        <f>IS!CU24/AVERAGE(BS!CU68,CP68)</f>
        <v>8.1041465766634531</v>
      </c>
      <c r="CV92" s="212">
        <f>IS!CV24*4/AVERAGE(BS!CV68,CU68)</f>
        <v>-5.5096045197740109</v>
      </c>
      <c r="CW92" s="212">
        <f>IS!CW24*4/AVERAGE(BS!CW68,CV68)</f>
        <v>0.84602739726027398</v>
      </c>
      <c r="CX92" s="212">
        <f>IS!CX24*4/AVERAGE(BS!CX68,CW68)</f>
        <v>48.339483394833948</v>
      </c>
      <c r="CY92" s="212">
        <f>IS!CY24*4/AVERAGE(BS!CY68,CX68)</f>
        <v>3.1719824890556598</v>
      </c>
      <c r="CZ92" s="928">
        <f>IS!CZ24/AVERAGE(BS!CZ68,CU68)</f>
        <v>-8.2941176470588243</v>
      </c>
      <c r="DA92" s="212">
        <f>IS!DA24*4/AVERAGE(BS!DA68,CZ68)</f>
        <v>-6</v>
      </c>
      <c r="DB92" s="1035">
        <f>IS!DB24*4/AVERAGE(BS!DB68,DA68)</f>
        <v>-1.3142227122381478</v>
      </c>
      <c r="DC92" s="212">
        <f>IS!DC24*4/AVERAGE(BS!DC68,DB68)</f>
        <v>40.147239263803684</v>
      </c>
      <c r="DD92" s="212">
        <f>IS!DD24*4/AVERAGE(BS!DD68,DC68)</f>
        <v>8.9277049975739931E-2</v>
      </c>
      <c r="DE92" s="928">
        <f>IS!DE24/AVERAGE(BS!DE68,CZ68)</f>
        <v>3.7281879194630871</v>
      </c>
      <c r="DF92" s="212">
        <f>IS!DF24*4/AVERAGE(BS!DF68,DE68)</f>
        <v>1.1627118644067798</v>
      </c>
      <c r="DG92" s="1035">
        <f>IS!DG24*4/AVERAGE(BS!DG68,DF68)</f>
        <v>3.6968529222864484</v>
      </c>
      <c r="DH92" s="212">
        <f>IS!DH24*4/AVERAGE(BS!DH68,DG68)</f>
        <v>5.1097308488612834</v>
      </c>
      <c r="DI92" s="212">
        <f>IS!DI24*4/AVERAGE(BS!DI68,DH68)</f>
        <v>-7</v>
      </c>
      <c r="DJ92" s="928">
        <f>IS!DJ24/AVERAGE(BS!DJ68,DE68)</f>
        <v>-2.1986594675107058</v>
      </c>
      <c r="DK92" s="212">
        <f>IS!DK24*4/AVERAGE(BS!DK68,DJ68)</f>
        <v>-1.2010549807263137E-2</v>
      </c>
      <c r="DL92" s="1035">
        <f>IS!DL24*4/AVERAGE(BS!DL68,DK68)</f>
        <v>-0.19348454261172465</v>
      </c>
      <c r="DM92" s="212">
        <f>IS!DM24*4/AVERAGE(BS!DM68,DL68)</f>
        <v>-2.0996311777723138</v>
      </c>
      <c r="DN92" s="212">
        <f>IS!DN24*4/AVERAGE(BS!DN68,DM68)</f>
        <v>2.2607260726072607</v>
      </c>
      <c r="DO92" s="928">
        <f>IS!DO24/AVERAGE(BS!DO68,DJ68)</f>
        <v>0.13372423489993118</v>
      </c>
      <c r="DP92" s="212">
        <f>IS!DP24*4/AVERAGE(BS!DP68,DO68)</f>
        <v>-7.3855243722304289E-4</v>
      </c>
      <c r="DQ92" s="1035">
        <f>IS!DQ24*4/AVERAGE(BS!DQ68,DP68)</f>
        <v>-8.0752966853089622E-2</v>
      </c>
      <c r="DR92" s="212">
        <f>IS!DR24*4/AVERAGE(BS!DR68,DQ68)</f>
        <v>3.054812057193523E-2</v>
      </c>
      <c r="DS92" s="212">
        <f>IS!DS24*4/AVERAGE(BS!DS68,DR68)</f>
        <v>0.15904174453260722</v>
      </c>
      <c r="DT92" s="928">
        <f>IS!DT24/AVERAGE(BS!DT68,DO68)</f>
        <v>1.6394779048427701E-2</v>
      </c>
      <c r="DU92" s="212">
        <f>IS!DU24*4/AVERAGE(BS!DU68,DT68)</f>
        <v>2.8121082664884979E-2</v>
      </c>
      <c r="DV92" s="212">
        <f>IS!DV24*4/AVERAGE(BS!DV68,DU68)</f>
        <v>8.8863595637406395E-2</v>
      </c>
      <c r="DW92" s="212">
        <f>IS!DW24*4/AVERAGE(BS!DW68,DV68)</f>
        <v>0.16251722847207403</v>
      </c>
      <c r="DX92" s="212">
        <f>IS!DX24*4/AVERAGE(BS!DX68,DW68)</f>
        <v>0.22669725041780106</v>
      </c>
      <c r="DY92" s="928">
        <f>IS!DY24/AVERAGE(BS!DY68,DT68)</f>
        <v>0.18482846256020766</v>
      </c>
      <c r="DZ92" s="210">
        <f>IS!DZ24/AVERAGE(BS!DZ68,DY68)</f>
        <v>0.34296997229265158</v>
      </c>
      <c r="EA92" s="210">
        <f>IS!EA24/AVERAGE(BS!EA68,DZ68)</f>
        <v>0.59623550413017978</v>
      </c>
      <c r="EB92" s="210">
        <f>IS!EB24/AVERAGE(BS!EB68,EA68)</f>
        <v>0.59103521977524209</v>
      </c>
    </row>
    <row r="93" spans="1:132" ht="6" customHeight="1" thickBot="1">
      <c r="C93" s="208"/>
      <c r="D93" s="208"/>
      <c r="E93" s="208"/>
      <c r="F93" s="208"/>
      <c r="G93" s="208"/>
      <c r="H93" s="208"/>
      <c r="I93" s="208"/>
      <c r="N93" s="208"/>
      <c r="S93" s="208"/>
      <c r="X93" s="208"/>
      <c r="AC93" s="208"/>
      <c r="AH93" s="208"/>
      <c r="AM93" s="208"/>
      <c r="AR93" s="208"/>
      <c r="AW93" s="208"/>
      <c r="BB93" s="208"/>
      <c r="BG93" s="208"/>
      <c r="BL93" s="208"/>
      <c r="BQ93" s="208"/>
      <c r="BV93" s="208"/>
      <c r="CA93" s="208"/>
      <c r="CF93" s="208"/>
      <c r="CK93" s="208"/>
      <c r="CP93" s="208"/>
      <c r="CU93" s="208"/>
      <c r="CZ93" s="208"/>
      <c r="DE93" s="208"/>
      <c r="DJ93" s="208"/>
      <c r="DO93" s="208"/>
      <c r="DT93" s="208"/>
      <c r="DY93" s="208"/>
      <c r="DZ93" s="208"/>
      <c r="EA93" s="208"/>
      <c r="EB93" s="208"/>
    </row>
  </sheetData>
  <dataConsolidate/>
  <phoneticPr fontId="6" type="noConversion"/>
  <pageMargins left="0.8" right="0.3" top="0.7" bottom="0.5" header="0.5" footer="0.5"/>
  <pageSetup scale="24" fitToHeight="0" orientation="landscape" r:id="rId1"/>
  <headerFooter alignWithMargins="0"/>
  <customProperties>
    <customPr name="Qube.Worksheet.Visibility" r:id="rId2"/>
  </customProperties>
  <ignoredErrors>
    <ignoredError sqref="AM70:AM72 N57:N59 AL49:AL53 AQ70:AR72 AW70:AW72 BB70:BB73 AL70:AL73 AU70:AU72 AW67 AM58:AM67 AN58:AN59 O58:S59 AD58:AG67 AH58:AL59 Y58:AB67 AC58:AC59 T58:W67 X58:X59 N70:AK72 O29:AK53 AL24:AL26 AM29:AM53 AN70:AP71 N29:N55 AN50:AN55 AN29:AN47 BB67 AN67:AR67 N61:S67 AH61:AL67 AC61:AC67 X61:X67 AN61:AN66 AO60:AR66 AO29:AP55 AW29:AW53 AQ50:AQ55 AX51:BB53 AR58:AR59 AR29:AR53 AW58:BB66 BG59:BG66 AO56:AQ59 AU57:AV57 AU50:AU56 AU25:AU26 AU58:AU67 BG50:BG53 BB29:BB49 BG29:BG33 AX50:AY50 BA50:BB50 AX57:BA57 AX54:BA55 AW75:AW77 AR75:AR77 AM75:AM77 N74:AG74 N73:AB73 AI73:AK73 AD73:AG73 AQ75 N75:AH77 AN72:AO72 BG35:BG48 AX56:AY56 BA56 BG15:BG27 BB11:BB27 AR11:AR27 AW11:AW27 AM11:AP27 N11:AK27 N9:AK9 AM9 AN8:AN9 AO9:AP9 AW9 AR8:AR9 BB9" formula="1"/>
  </ignoredErrors>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pageSetUpPr autoPageBreaks="0" fitToPage="1"/>
  </sheetPr>
  <dimension ref="B1:EB60"/>
  <sheetViews>
    <sheetView showGridLines="0" zoomScaleNormal="100" workbookViewId="0">
      <pane xSplit="2" ySplit="4" topLeftCell="C5" activePane="bottomRight" state="frozen"/>
      <selection activeCell="BA4" sqref="BA4"/>
      <selection pane="topRight" activeCell="BA4" sqref="BA4"/>
      <selection pane="bottomLeft" activeCell="BA4" sqref="BA4"/>
      <selection pane="bottomRight"/>
    </sheetView>
  </sheetViews>
  <sheetFormatPr defaultColWidth="9.7109375" defaultRowHeight="12" customHeight="1"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hidden="1" customWidth="1" collapsed="1"/>
    <col min="65" max="68" width="9.7109375" hidden="1" customWidth="1" outlineLevel="1"/>
    <col min="69" max="69" width="9.7109375" collapsed="1"/>
    <col min="70" max="73" width="9.7109375" hidden="1" customWidth="1" outlineLevel="1"/>
    <col min="74" max="74" width="9.7109375" collapsed="1"/>
    <col min="75" max="78" width="9.7109375" hidden="1" customWidth="1" outlineLevel="1"/>
    <col min="79" max="79" width="9.7109375" collapsed="1"/>
    <col min="80" max="83" width="9.7109375" hidden="1" customWidth="1" outlineLevel="1"/>
    <col min="84" max="84" width="9.7109375" collapsed="1"/>
    <col min="85" max="88" width="9.7109375" hidden="1" customWidth="1" outlineLevel="1"/>
    <col min="89" max="89" width="9.7109375" collapsed="1"/>
    <col min="90" max="93" width="9.7109375" hidden="1" customWidth="1" outlineLevel="1"/>
    <col min="94" max="94" width="9.7109375" collapsed="1"/>
    <col min="95" max="98" width="9.7109375" hidden="1" customWidth="1" outlineLevel="1"/>
    <col min="99" max="99" width="9.7109375" collapsed="1"/>
    <col min="100" max="103" width="9.7109375" hidden="1" customWidth="1" outlineLevel="1"/>
    <col min="104" max="104" width="9.7109375" collapsed="1"/>
    <col min="105" max="108" width="9.7109375" hidden="1" customWidth="1" outlineLevel="1"/>
    <col min="109" max="109" width="9.7109375" collapsed="1"/>
    <col min="110" max="113" width="9.7109375" hidden="1" customWidth="1" outlineLevel="1"/>
    <col min="114" max="114" width="9.7109375" collapsed="1"/>
    <col min="115" max="118" width="9.7109375" hidden="1" customWidth="1" outlineLevel="1"/>
    <col min="119" max="119" width="9.7109375" collapsed="1"/>
    <col min="120" max="123" width="9.7109375" customWidth="1" outlineLevel="1"/>
    <col min="125" max="128" width="0" hidden="1" customWidth="1" outlineLevel="1"/>
    <col min="129" max="129" width="9.7109375" collapsed="1"/>
  </cols>
  <sheetData>
    <row r="1" spans="2:132" ht="12.75" thickBot="1"/>
    <row r="2" spans="2:132" ht="6" customHeight="1">
      <c r="C2" s="58"/>
      <c r="D2" s="58"/>
      <c r="E2" s="58"/>
      <c r="F2" s="58"/>
      <c r="G2" s="58"/>
      <c r="H2" s="58"/>
      <c r="I2" s="58"/>
      <c r="N2" s="58"/>
      <c r="S2" s="58"/>
      <c r="X2" s="58"/>
      <c r="AC2" s="58"/>
      <c r="AH2" s="58"/>
      <c r="AM2" s="58"/>
      <c r="AR2" s="58"/>
      <c r="AW2" s="58"/>
      <c r="BB2" s="58"/>
      <c r="BG2" s="58"/>
      <c r="BL2" s="58"/>
      <c r="BQ2" s="58"/>
      <c r="BV2" s="58"/>
      <c r="CA2" s="58"/>
      <c r="CF2" s="58"/>
      <c r="CK2" s="58"/>
      <c r="CP2" s="58"/>
      <c r="CU2" s="58"/>
      <c r="CZ2" s="58"/>
      <c r="DE2" s="58"/>
      <c r="DJ2" s="58"/>
      <c r="DO2" s="58"/>
      <c r="DT2" s="58"/>
      <c r="DY2" s="58"/>
      <c r="DZ2" s="58"/>
      <c r="EA2" s="58"/>
      <c r="EB2" s="58"/>
    </row>
    <row r="3" spans="2:132" ht="15.75">
      <c r="B3" s="61" t="s">
        <v>349</v>
      </c>
      <c r="C3" s="603">
        <v>1997</v>
      </c>
      <c r="D3" s="603">
        <v>1998</v>
      </c>
      <c r="E3" s="603">
        <v>1999</v>
      </c>
      <c r="F3" s="603">
        <v>2000</v>
      </c>
      <c r="G3" s="603">
        <v>2001</v>
      </c>
      <c r="H3" s="603">
        <v>2002</v>
      </c>
      <c r="I3" s="603">
        <v>2003</v>
      </c>
      <c r="J3" s="62" t="s">
        <v>0</v>
      </c>
      <c r="K3" s="62" t="s">
        <v>1</v>
      </c>
      <c r="L3" s="62" t="s">
        <v>2</v>
      </c>
      <c r="M3" s="62" t="s">
        <v>3</v>
      </c>
      <c r="N3" s="603">
        <v>2004</v>
      </c>
      <c r="O3" s="62" t="s">
        <v>4</v>
      </c>
      <c r="P3" s="62" t="s">
        <v>5</v>
      </c>
      <c r="Q3" s="62" t="s">
        <v>6</v>
      </c>
      <c r="R3" s="62" t="s">
        <v>7</v>
      </c>
      <c r="S3" s="603">
        <v>2005</v>
      </c>
      <c r="T3" s="62" t="s">
        <v>8</v>
      </c>
      <c r="U3" s="62" t="s">
        <v>9</v>
      </c>
      <c r="V3" s="62" t="s">
        <v>10</v>
      </c>
      <c r="W3" s="62" t="s">
        <v>11</v>
      </c>
      <c r="X3" s="603">
        <v>2006</v>
      </c>
      <c r="Y3" s="62" t="s">
        <v>12</v>
      </c>
      <c r="Z3" s="62" t="s">
        <v>13</v>
      </c>
      <c r="AA3" s="62" t="s">
        <v>14</v>
      </c>
      <c r="AB3" s="62" t="s">
        <v>15</v>
      </c>
      <c r="AC3" s="603">
        <v>2007</v>
      </c>
      <c r="AD3" s="62" t="s">
        <v>16</v>
      </c>
      <c r="AE3" s="62" t="s">
        <v>17</v>
      </c>
      <c r="AF3" s="62" t="s">
        <v>18</v>
      </c>
      <c r="AG3" s="62" t="s">
        <v>19</v>
      </c>
      <c r="AH3" s="603">
        <v>2008</v>
      </c>
      <c r="AI3" s="62" t="s">
        <v>20</v>
      </c>
      <c r="AJ3" s="62" t="s">
        <v>21</v>
      </c>
      <c r="AK3" s="62" t="s">
        <v>22</v>
      </c>
      <c r="AL3" s="62" t="s">
        <v>23</v>
      </c>
      <c r="AM3" s="603">
        <v>2009</v>
      </c>
      <c r="AN3" s="62" t="s">
        <v>312</v>
      </c>
      <c r="AO3" s="62" t="s">
        <v>309</v>
      </c>
      <c r="AP3" s="62" t="s">
        <v>310</v>
      </c>
      <c r="AQ3" s="62" t="s">
        <v>311</v>
      </c>
      <c r="AR3" s="603">
        <v>2010</v>
      </c>
      <c r="AS3" s="62" t="s">
        <v>316</v>
      </c>
      <c r="AT3" s="62" t="s">
        <v>313</v>
      </c>
      <c r="AU3" s="62" t="s">
        <v>314</v>
      </c>
      <c r="AV3" s="62" t="s">
        <v>315</v>
      </c>
      <c r="AW3" s="603">
        <v>2011</v>
      </c>
      <c r="AX3" s="62" t="s">
        <v>395</v>
      </c>
      <c r="AY3" s="62" t="s">
        <v>396</v>
      </c>
      <c r="AZ3" s="62" t="s">
        <v>397</v>
      </c>
      <c r="BA3" s="62" t="s">
        <v>398</v>
      </c>
      <c r="BB3" s="603">
        <v>2012</v>
      </c>
      <c r="BC3" s="62" t="s">
        <v>411</v>
      </c>
      <c r="BD3" s="62" t="s">
        <v>412</v>
      </c>
      <c r="BE3" s="62" t="s">
        <v>413</v>
      </c>
      <c r="BF3" s="62" t="s">
        <v>414</v>
      </c>
      <c r="BG3" s="603">
        <v>2013</v>
      </c>
      <c r="BH3" s="62" t="s">
        <v>464</v>
      </c>
      <c r="BI3" s="62" t="s">
        <v>465</v>
      </c>
      <c r="BJ3" s="62" t="s">
        <v>466</v>
      </c>
      <c r="BK3" s="62" t="s">
        <v>467</v>
      </c>
      <c r="BL3" s="603">
        <v>2014</v>
      </c>
      <c r="BM3" s="62" t="s">
        <v>468</v>
      </c>
      <c r="BN3" s="62" t="s">
        <v>469</v>
      </c>
      <c r="BO3" s="62" t="s">
        <v>470</v>
      </c>
      <c r="BP3" s="62" t="s">
        <v>471</v>
      </c>
      <c r="BQ3" s="603">
        <v>2015</v>
      </c>
      <c r="BR3" s="55" t="s">
        <v>472</v>
      </c>
      <c r="BS3" s="55" t="s">
        <v>473</v>
      </c>
      <c r="BT3" s="55" t="s">
        <v>474</v>
      </c>
      <c r="BU3" s="55" t="s">
        <v>475</v>
      </c>
      <c r="BV3" s="603">
        <v>2016</v>
      </c>
      <c r="BW3" s="55" t="s">
        <v>476</v>
      </c>
      <c r="BX3" s="55" t="s">
        <v>477</v>
      </c>
      <c r="BY3" s="55" t="s">
        <v>478</v>
      </c>
      <c r="BZ3" s="55" t="s">
        <v>479</v>
      </c>
      <c r="CA3" s="603">
        <v>2017</v>
      </c>
      <c r="CB3" s="55" t="s">
        <v>549</v>
      </c>
      <c r="CC3" s="55" t="s">
        <v>550</v>
      </c>
      <c r="CD3" s="55" t="s">
        <v>551</v>
      </c>
      <c r="CE3" s="55" t="s">
        <v>552</v>
      </c>
      <c r="CF3" s="603">
        <v>2018</v>
      </c>
      <c r="CG3" s="55" t="s">
        <v>597</v>
      </c>
      <c r="CH3" s="55" t="s">
        <v>598</v>
      </c>
      <c r="CI3" s="55" t="s">
        <v>599</v>
      </c>
      <c r="CJ3" s="55" t="s">
        <v>600</v>
      </c>
      <c r="CK3" s="603">
        <v>2019</v>
      </c>
      <c r="CL3" s="55" t="s">
        <v>605</v>
      </c>
      <c r="CM3" s="55" t="s">
        <v>606</v>
      </c>
      <c r="CN3" s="55" t="s">
        <v>607</v>
      </c>
      <c r="CO3" s="55" t="s">
        <v>608</v>
      </c>
      <c r="CP3" s="603">
        <v>2020</v>
      </c>
      <c r="CQ3" s="55" t="s">
        <v>649</v>
      </c>
      <c r="CR3" s="55" t="s">
        <v>650</v>
      </c>
      <c r="CS3" s="55" t="s">
        <v>651</v>
      </c>
      <c r="CT3" s="55" t="s">
        <v>652</v>
      </c>
      <c r="CU3" s="603">
        <v>2021</v>
      </c>
      <c r="CV3" s="55" t="s">
        <v>667</v>
      </c>
      <c r="CW3" s="55" t="s">
        <v>668</v>
      </c>
      <c r="CX3" s="55" t="s">
        <v>669</v>
      </c>
      <c r="CY3" s="55" t="s">
        <v>670</v>
      </c>
      <c r="CZ3" s="603">
        <v>2022</v>
      </c>
      <c r="DA3" s="55" t="s">
        <v>674</v>
      </c>
      <c r="DB3" s="55" t="s">
        <v>675</v>
      </c>
      <c r="DC3" s="55" t="s">
        <v>676</v>
      </c>
      <c r="DD3" s="55" t="s">
        <v>677</v>
      </c>
      <c r="DE3" s="603">
        <v>2023</v>
      </c>
      <c r="DF3" s="55" t="s">
        <v>684</v>
      </c>
      <c r="DG3" s="55" t="s">
        <v>685</v>
      </c>
      <c r="DH3" s="55" t="s">
        <v>686</v>
      </c>
      <c r="DI3" s="55" t="s">
        <v>687</v>
      </c>
      <c r="DJ3" s="603">
        <v>2024</v>
      </c>
      <c r="DK3" s="55" t="s">
        <v>695</v>
      </c>
      <c r="DL3" s="55" t="s">
        <v>696</v>
      </c>
      <c r="DM3" s="55" t="s">
        <v>697</v>
      </c>
      <c r="DN3" s="55" t="s">
        <v>698</v>
      </c>
      <c r="DO3" s="603">
        <v>2025</v>
      </c>
      <c r="DP3" s="55" t="s">
        <v>715</v>
      </c>
      <c r="DQ3" s="55" t="s">
        <v>716</v>
      </c>
      <c r="DR3" s="55" t="s">
        <v>720</v>
      </c>
      <c r="DS3" s="55" t="s">
        <v>721</v>
      </c>
      <c r="DT3" s="603" t="s">
        <v>688</v>
      </c>
      <c r="DU3" s="55" t="s">
        <v>735</v>
      </c>
      <c r="DV3" s="55" t="s">
        <v>736</v>
      </c>
      <c r="DW3" s="55" t="s">
        <v>737</v>
      </c>
      <c r="DX3" s="55" t="s">
        <v>738</v>
      </c>
      <c r="DY3" s="603" t="s">
        <v>683</v>
      </c>
      <c r="DZ3" s="603" t="s">
        <v>691</v>
      </c>
      <c r="EA3" s="603" t="s">
        <v>692</v>
      </c>
      <c r="EB3" s="603" t="s">
        <v>693</v>
      </c>
    </row>
    <row r="4" spans="2:132" ht="12.75">
      <c r="B4" s="63" t="s">
        <v>148</v>
      </c>
      <c r="C4" s="56">
        <v>35795</v>
      </c>
      <c r="D4" s="56">
        <v>36160</v>
      </c>
      <c r="E4" s="56">
        <v>36525</v>
      </c>
      <c r="F4" s="56">
        <v>36891</v>
      </c>
      <c r="G4" s="56">
        <v>37256</v>
      </c>
      <c r="H4" s="56">
        <v>37621</v>
      </c>
      <c r="I4" s="56">
        <v>37986</v>
      </c>
      <c r="J4" s="64">
        <v>38077</v>
      </c>
      <c r="K4" s="64">
        <v>38168</v>
      </c>
      <c r="L4" s="64">
        <v>38260</v>
      </c>
      <c r="M4" s="64">
        <v>38352</v>
      </c>
      <c r="N4" s="56">
        <v>38352</v>
      </c>
      <c r="O4" s="64">
        <v>38442</v>
      </c>
      <c r="P4" s="64">
        <v>38533</v>
      </c>
      <c r="Q4" s="64">
        <v>38625</v>
      </c>
      <c r="R4" s="64">
        <v>38717</v>
      </c>
      <c r="S4" s="56">
        <v>38717</v>
      </c>
      <c r="T4" s="64">
        <v>38807</v>
      </c>
      <c r="U4" s="64">
        <v>38898</v>
      </c>
      <c r="V4" s="64">
        <v>38990</v>
      </c>
      <c r="W4" s="64">
        <v>39082</v>
      </c>
      <c r="X4" s="56">
        <v>39082</v>
      </c>
      <c r="Y4" s="64">
        <v>39172</v>
      </c>
      <c r="Z4" s="64">
        <v>39263</v>
      </c>
      <c r="AA4" s="64">
        <v>39355</v>
      </c>
      <c r="AB4" s="64">
        <v>39447</v>
      </c>
      <c r="AC4" s="56">
        <v>39447</v>
      </c>
      <c r="AD4" s="64">
        <v>39538</v>
      </c>
      <c r="AE4" s="64">
        <v>39629</v>
      </c>
      <c r="AF4" s="64">
        <v>39721</v>
      </c>
      <c r="AG4" s="64">
        <v>39813</v>
      </c>
      <c r="AH4" s="56">
        <v>39813</v>
      </c>
      <c r="AI4" s="64">
        <v>39903</v>
      </c>
      <c r="AJ4" s="64">
        <v>39994</v>
      </c>
      <c r="AK4" s="64">
        <v>40086</v>
      </c>
      <c r="AL4" s="64">
        <v>40178</v>
      </c>
      <c r="AM4" s="56">
        <v>40178</v>
      </c>
      <c r="AN4" s="64">
        <v>40268</v>
      </c>
      <c r="AO4" s="64">
        <v>40359</v>
      </c>
      <c r="AP4" s="64">
        <v>40451</v>
      </c>
      <c r="AQ4" s="64">
        <v>40543</v>
      </c>
      <c r="AR4" s="56">
        <v>40543</v>
      </c>
      <c r="AS4" s="64">
        <v>40633</v>
      </c>
      <c r="AT4" s="64">
        <v>40724</v>
      </c>
      <c r="AU4" s="64">
        <v>40816</v>
      </c>
      <c r="AV4" s="64">
        <v>40908</v>
      </c>
      <c r="AW4" s="56">
        <v>40908</v>
      </c>
      <c r="AX4" s="64">
        <v>40999</v>
      </c>
      <c r="AY4" s="64">
        <v>41090</v>
      </c>
      <c r="AZ4" s="64">
        <v>41182</v>
      </c>
      <c r="BA4" s="64">
        <v>41274</v>
      </c>
      <c r="BB4" s="56">
        <v>41274</v>
      </c>
      <c r="BC4" s="64">
        <v>41364</v>
      </c>
      <c r="BD4" s="64">
        <v>41455</v>
      </c>
      <c r="BE4" s="64">
        <v>41547</v>
      </c>
      <c r="BF4" s="64">
        <v>41639</v>
      </c>
      <c r="BG4" s="56">
        <v>41639</v>
      </c>
      <c r="BH4" s="64">
        <v>41729</v>
      </c>
      <c r="BI4" s="64">
        <v>41820</v>
      </c>
      <c r="BJ4" s="64">
        <v>41912</v>
      </c>
      <c r="BK4" s="64">
        <v>42004</v>
      </c>
      <c r="BL4" s="56">
        <v>42004</v>
      </c>
      <c r="BM4" s="64">
        <v>42094</v>
      </c>
      <c r="BN4" s="64">
        <v>42185</v>
      </c>
      <c r="BO4" s="64">
        <v>42277</v>
      </c>
      <c r="BP4" s="64">
        <v>42369</v>
      </c>
      <c r="BQ4" s="56">
        <v>42369</v>
      </c>
      <c r="BR4" s="57">
        <v>42460</v>
      </c>
      <c r="BS4" s="57">
        <v>42551</v>
      </c>
      <c r="BT4" s="57">
        <v>42643</v>
      </c>
      <c r="BU4" s="219">
        <v>42735</v>
      </c>
      <c r="BV4" s="56">
        <v>42735</v>
      </c>
      <c r="BW4" s="57">
        <v>42825</v>
      </c>
      <c r="BX4" s="57">
        <v>42916</v>
      </c>
      <c r="BY4" s="57">
        <v>43008</v>
      </c>
      <c r="BZ4" s="219">
        <v>43100</v>
      </c>
      <c r="CA4" s="56">
        <v>43100</v>
      </c>
      <c r="CB4" s="57">
        <v>43190</v>
      </c>
      <c r="CC4" s="57">
        <v>43281</v>
      </c>
      <c r="CD4" s="57">
        <v>43373</v>
      </c>
      <c r="CE4" s="219">
        <v>43465</v>
      </c>
      <c r="CF4" s="56">
        <v>43465</v>
      </c>
      <c r="CG4" s="57">
        <v>43555</v>
      </c>
      <c r="CH4" s="57">
        <v>43646</v>
      </c>
      <c r="CI4" s="57">
        <v>43738</v>
      </c>
      <c r="CJ4" s="219">
        <v>43830</v>
      </c>
      <c r="CK4" s="56">
        <v>43830</v>
      </c>
      <c r="CL4" s="57">
        <v>43921</v>
      </c>
      <c r="CM4" s="57">
        <v>44012</v>
      </c>
      <c r="CN4" s="57">
        <v>44104</v>
      </c>
      <c r="CO4" s="219">
        <v>44196</v>
      </c>
      <c r="CP4" s="56">
        <v>44196</v>
      </c>
      <c r="CQ4" s="57">
        <v>44286</v>
      </c>
      <c r="CR4" s="57">
        <v>44377</v>
      </c>
      <c r="CS4" s="57">
        <v>44469</v>
      </c>
      <c r="CT4" s="219">
        <v>44561</v>
      </c>
      <c r="CU4" s="56">
        <v>44561</v>
      </c>
      <c r="CV4" s="57">
        <v>44651</v>
      </c>
      <c r="CW4" s="57">
        <v>44742</v>
      </c>
      <c r="CX4" s="57">
        <v>44834</v>
      </c>
      <c r="CY4" s="219">
        <v>44926</v>
      </c>
      <c r="CZ4" s="56">
        <v>44926</v>
      </c>
      <c r="DA4" s="57">
        <v>45016</v>
      </c>
      <c r="DB4" s="57">
        <v>45107</v>
      </c>
      <c r="DC4" s="57">
        <v>45199</v>
      </c>
      <c r="DD4" s="219">
        <v>45291</v>
      </c>
      <c r="DE4" s="443">
        <v>45291</v>
      </c>
      <c r="DF4" s="57">
        <v>45382</v>
      </c>
      <c r="DG4" s="57">
        <v>45473</v>
      </c>
      <c r="DH4" s="57">
        <v>45565</v>
      </c>
      <c r="DI4" s="57">
        <v>45657</v>
      </c>
      <c r="DJ4" s="56">
        <v>45657</v>
      </c>
      <c r="DK4" s="57">
        <v>45747</v>
      </c>
      <c r="DL4" s="57">
        <v>45838</v>
      </c>
      <c r="DM4" s="57">
        <v>45930</v>
      </c>
      <c r="DN4" s="219">
        <v>46022</v>
      </c>
      <c r="DO4" s="56">
        <v>46022</v>
      </c>
      <c r="DP4" s="57">
        <v>46112</v>
      </c>
      <c r="DQ4" s="57">
        <v>46203</v>
      </c>
      <c r="DR4" s="57">
        <v>46295</v>
      </c>
      <c r="DS4" s="219">
        <v>46387</v>
      </c>
      <c r="DT4" s="56">
        <v>46387</v>
      </c>
      <c r="DU4" s="57">
        <v>46477</v>
      </c>
      <c r="DV4" s="57">
        <v>46568</v>
      </c>
      <c r="DW4" s="57">
        <v>46660</v>
      </c>
      <c r="DX4" s="219">
        <v>46752</v>
      </c>
      <c r="DY4" s="443">
        <v>46752</v>
      </c>
      <c r="DZ4" s="443">
        <v>47118</v>
      </c>
      <c r="EA4" s="443">
        <v>47483</v>
      </c>
      <c r="EB4" s="443">
        <v>47848</v>
      </c>
    </row>
    <row r="5" spans="2:132" s="68" customFormat="1" ht="12" customHeight="1">
      <c r="C5" s="67"/>
      <c r="D5" s="67"/>
      <c r="E5" s="67"/>
      <c r="F5" s="67"/>
      <c r="G5" s="67"/>
      <c r="H5" s="67"/>
      <c r="I5" s="67"/>
      <c r="N5" s="67"/>
      <c r="S5" s="67"/>
      <c r="X5" s="67"/>
      <c r="AC5" s="67"/>
      <c r="AH5" s="67"/>
      <c r="AM5" s="67"/>
      <c r="AR5" s="67"/>
      <c r="AW5" s="67"/>
      <c r="BB5" s="67"/>
      <c r="BG5" s="67"/>
      <c r="BL5" s="67"/>
      <c r="BQ5" s="67"/>
      <c r="BV5" s="67"/>
      <c r="CA5" s="67"/>
      <c r="CD5" s="121"/>
      <c r="CF5" s="67"/>
      <c r="CK5" s="67"/>
      <c r="CP5" s="67"/>
      <c r="CU5" s="67"/>
      <c r="CZ5" s="67"/>
      <c r="DE5" s="67"/>
      <c r="DJ5" s="67"/>
      <c r="DO5" s="67"/>
      <c r="DT5" s="67"/>
      <c r="DY5" s="67"/>
      <c r="DZ5" s="67"/>
      <c r="EA5" s="67"/>
      <c r="EB5" s="67"/>
    </row>
    <row r="6" spans="2:132" s="68" customFormat="1" ht="12" customHeight="1">
      <c r="B6" s="74" t="s">
        <v>146</v>
      </c>
      <c r="C6" s="67"/>
      <c r="D6" s="67"/>
      <c r="E6" s="67"/>
      <c r="F6" s="67"/>
      <c r="G6" s="67"/>
      <c r="H6" s="67"/>
      <c r="I6" s="67"/>
      <c r="N6" s="67"/>
      <c r="S6" s="67"/>
      <c r="X6" s="67"/>
      <c r="AC6" s="67"/>
      <c r="AH6" s="67"/>
      <c r="AM6" s="67"/>
      <c r="AR6" s="67"/>
      <c r="AW6" s="67"/>
      <c r="BB6" s="67"/>
      <c r="BG6" s="67"/>
      <c r="BL6" s="67"/>
      <c r="BQ6" s="67"/>
      <c r="BV6" s="67"/>
      <c r="CA6" s="67"/>
      <c r="CD6" s="121"/>
      <c r="CF6" s="67"/>
      <c r="CK6" s="67"/>
      <c r="CP6" s="67"/>
      <c r="CU6" s="67"/>
      <c r="CZ6" s="67"/>
      <c r="DE6" s="67"/>
      <c r="DJ6" s="67"/>
      <c r="DO6" s="67"/>
      <c r="DT6" s="67"/>
      <c r="DY6" s="67"/>
      <c r="DZ6" s="67"/>
      <c r="EA6" s="67"/>
      <c r="EB6" s="67"/>
    </row>
    <row r="7" spans="2:132" s="68" customFormat="1" ht="12" customHeight="1">
      <c r="B7" s="68" t="s">
        <v>84</v>
      </c>
      <c r="C7" s="189">
        <f>Data!C96</f>
        <v>-178</v>
      </c>
      <c r="D7" s="189">
        <f>Data!D96</f>
        <v>1120</v>
      </c>
      <c r="E7" s="189">
        <f>Data!E96</f>
        <v>2309</v>
      </c>
      <c r="F7" s="189">
        <f>Data!F96</f>
        <v>2128</v>
      </c>
      <c r="G7" s="189">
        <f>Data!G96</f>
        <v>2827</v>
      </c>
      <c r="H7" s="189">
        <f>Data!H96</f>
        <v>492</v>
      </c>
      <c r="I7" s="189">
        <f>Data!I96</f>
        <v>718</v>
      </c>
      <c r="J7" s="190">
        <f>Data!J96</f>
        <v>623</v>
      </c>
      <c r="K7" s="190">
        <f>Data!K96-J7</f>
        <v>607</v>
      </c>
      <c r="L7" s="190">
        <f>Data!L96-K7-J7</f>
        <v>456</v>
      </c>
      <c r="M7" s="190">
        <f>Data!M96-L7-K7-J7</f>
        <v>186</v>
      </c>
      <c r="N7" s="189">
        <f>SUM(J7:M7)</f>
        <v>1872</v>
      </c>
      <c r="O7" s="190">
        <f>Data!O96</f>
        <v>535</v>
      </c>
      <c r="P7" s="190">
        <f>Data!P96-O7</f>
        <v>566</v>
      </c>
      <c r="Q7" s="190">
        <f>Data!Q96-P7-O7</f>
        <v>1011</v>
      </c>
      <c r="R7" s="190">
        <f>Data!R96-Q7-P7-O7</f>
        <v>460</v>
      </c>
      <c r="S7" s="189">
        <f>SUM(O7:R7)</f>
        <v>2572</v>
      </c>
      <c r="T7" s="190">
        <f>Data!T96</f>
        <v>692</v>
      </c>
      <c r="U7" s="190">
        <f>Data!U96-T7</f>
        <v>-160</v>
      </c>
      <c r="V7" s="190">
        <f>Data!V96-U7-T7</f>
        <v>694</v>
      </c>
      <c r="W7" s="190">
        <f>Data!W96-V7-U7-T7</f>
        <v>989</v>
      </c>
      <c r="X7" s="189">
        <f>SUM(T7:W7)</f>
        <v>2215</v>
      </c>
      <c r="Y7" s="190">
        <f>Data!Y96</f>
        <v>877</v>
      </c>
      <c r="Z7" s="190">
        <f>Data!Z96-Y7</f>
        <v>1050</v>
      </c>
      <c r="AA7" s="190">
        <f>Data!AA96-Z7-Y7</f>
        <v>1114</v>
      </c>
      <c r="AB7" s="190">
        <f>Data!AB96-AA7-Z7-Y7</f>
        <v>1033</v>
      </c>
      <c r="AC7" s="189">
        <f>SUM(Y7:AB7)</f>
        <v>4074</v>
      </c>
      <c r="AD7" s="190">
        <f>Data!AD96</f>
        <v>1211</v>
      </c>
      <c r="AE7" s="190">
        <f>Data!AE96-AD7</f>
        <v>852</v>
      </c>
      <c r="AF7" s="190">
        <f>Data!AF96-AE7-AD7</f>
        <v>695</v>
      </c>
      <c r="AG7" s="190">
        <f>Data!AG96-AF7-AE7-AD7</f>
        <v>-86</v>
      </c>
      <c r="AH7" s="189">
        <f>SUM(AD7:AG7)</f>
        <v>2672</v>
      </c>
      <c r="AI7" s="190">
        <f>Data!AI96</f>
        <v>610</v>
      </c>
      <c r="AJ7" s="190">
        <f>Data!AJ96-AI7</f>
        <v>998</v>
      </c>
      <c r="AK7" s="190">
        <f>Data!AK96-AJ7-AI7</f>
        <v>-1564</v>
      </c>
      <c r="AL7" s="190">
        <f>Data!AL96-AK7-AJ7-AI7</f>
        <v>1268</v>
      </c>
      <c r="AM7" s="189">
        <f>SUM(AI7:AL7)</f>
        <v>1312</v>
      </c>
      <c r="AN7" s="190">
        <f>Data!AN96</f>
        <v>519</v>
      </c>
      <c r="AO7" s="190">
        <f>Data!AO96-AN7</f>
        <v>787</v>
      </c>
      <c r="AP7" s="190">
        <f>Data!AP96-AO7-AN7</f>
        <v>837</v>
      </c>
      <c r="AQ7" s="190">
        <f>Data!AQ96-AP7-AO7-AN7</f>
        <v>1164</v>
      </c>
      <c r="AR7" s="189">
        <f>SUM(AN7:AQ7)</f>
        <v>3307</v>
      </c>
      <c r="AS7" s="190">
        <f>Data!AS96</f>
        <v>586</v>
      </c>
      <c r="AT7" s="190">
        <f>Data!AT96-AS7</f>
        <v>941</v>
      </c>
      <c r="AU7" s="190">
        <f>Data!AU96-AT7-AS7</f>
        <v>1098</v>
      </c>
      <c r="AV7" s="190">
        <f>Data!AV96-AU7-AT7-AS7</f>
        <v>1393</v>
      </c>
      <c r="AW7" s="189">
        <f>SUM(AS7:AV7)</f>
        <v>4018</v>
      </c>
      <c r="AX7" s="537">
        <f>Data!AX96</f>
        <v>923</v>
      </c>
      <c r="AY7" s="537">
        <f>Data!AY96-AX7</f>
        <v>967</v>
      </c>
      <c r="AZ7" s="537">
        <f>Data!AZ96-AY7-AX7</f>
        <v>1032</v>
      </c>
      <c r="BA7" s="537">
        <f>Data!BA96-AZ7-AY7-AX7</f>
        <v>978</v>
      </c>
      <c r="BB7" s="189">
        <f>SUM(AX7:BA7)</f>
        <v>3900</v>
      </c>
      <c r="BC7" s="537">
        <f>Data!BC96</f>
        <v>1106</v>
      </c>
      <c r="BD7" s="537">
        <f>Data!BD96-BC7</f>
        <v>1088</v>
      </c>
      <c r="BE7" s="537">
        <f>Data!BE96-BD7-BC7</f>
        <v>1158</v>
      </c>
      <c r="BF7" s="537">
        <f>Data!BF96-BE7-BD7-BC7</f>
        <v>1233</v>
      </c>
      <c r="BG7" s="189">
        <f>SUM(BC7:BF7)</f>
        <v>4585</v>
      </c>
      <c r="BH7" s="537">
        <f>Data!BH96</f>
        <v>965</v>
      </c>
      <c r="BI7" s="537">
        <f>Data!BI96-BH7</f>
        <v>1653</v>
      </c>
      <c r="BJ7" s="537">
        <f>Data!BJ96-BI7-BH7</f>
        <v>1362</v>
      </c>
      <c r="BK7" s="537">
        <f>Data!BK96-BJ7-BI7-BH7</f>
        <v>1466</v>
      </c>
      <c r="BL7" s="189">
        <f>SUM(BH7:BK7)</f>
        <v>5446</v>
      </c>
      <c r="BM7" s="537">
        <f>Data!BM96</f>
        <v>1336</v>
      </c>
      <c r="BN7" s="537">
        <f>Data!BN96-BM7</f>
        <v>1110</v>
      </c>
      <c r="BO7" s="537">
        <f>Data!BO96-BN7-BM7</f>
        <v>1704</v>
      </c>
      <c r="BP7" s="537">
        <f>Data!BP96-BO7-BN7-BM7</f>
        <v>1026</v>
      </c>
      <c r="BQ7" s="189">
        <f>SUM(BM7:BP7)</f>
        <v>5176</v>
      </c>
      <c r="BR7" s="537">
        <f>Data!BR96</f>
        <v>1219</v>
      </c>
      <c r="BS7" s="537">
        <f>Data!BS96-BR7</f>
        <v>-234</v>
      </c>
      <c r="BT7" s="537">
        <f>Data!BT96-BS7-BR7</f>
        <v>2279</v>
      </c>
      <c r="BU7" s="537">
        <f>Data!BU96-BT7-BS7-BR7</f>
        <v>1631</v>
      </c>
      <c r="BV7" s="189">
        <f>SUM(BR7:BU7)</f>
        <v>4895</v>
      </c>
      <c r="BW7" s="537">
        <f>Data!BW96</f>
        <v>1451</v>
      </c>
      <c r="BX7" s="537">
        <f>Data!BX96-BW7</f>
        <v>1761</v>
      </c>
      <c r="BY7" s="537">
        <f>Data!BY96-BX7-BW7</f>
        <v>1853</v>
      </c>
      <c r="BZ7" s="537">
        <f>Data!BZ96-BY7-BX7-BW7</f>
        <v>3132</v>
      </c>
      <c r="CA7" s="189">
        <f>SUM(BW7:BZ7)</f>
        <v>8197</v>
      </c>
      <c r="CB7" s="537">
        <f>Data!CB96</f>
        <v>2477</v>
      </c>
      <c r="CC7" s="537">
        <f>Data!CC96-CB7</f>
        <v>2196</v>
      </c>
      <c r="CD7" s="537">
        <f>Data!CD96-CC7-CB7</f>
        <v>2363</v>
      </c>
      <c r="CE7" s="537">
        <f>Data!CE96-CD7-CC7-CB7</f>
        <v>3424</v>
      </c>
      <c r="CF7" s="189">
        <f>SUM(CB7:CE7)</f>
        <v>10460</v>
      </c>
      <c r="CG7" s="537">
        <f>Data!CG96</f>
        <v>2149</v>
      </c>
      <c r="CH7" s="537">
        <f>Data!CH96-CG7</f>
        <v>-2942</v>
      </c>
      <c r="CI7" s="537">
        <f>Data!CI96-CH7-CG7</f>
        <v>1167</v>
      </c>
      <c r="CJ7" s="537">
        <f>Data!CJ96-CI7-CH7-CG7</f>
        <v>-1010</v>
      </c>
      <c r="CK7" s="566">
        <f>SUM(CG7:CJ7)</f>
        <v>-636</v>
      </c>
      <c r="CL7" s="537">
        <f>Data!CL96</f>
        <v>-641</v>
      </c>
      <c r="CM7" s="537">
        <f>Data!CM96-CL7</f>
        <v>-2395</v>
      </c>
      <c r="CN7" s="537">
        <f>Data!CN96-CM7-CL7</f>
        <v>-466</v>
      </c>
      <c r="CO7" s="537">
        <f>Data!CO96-CN7-CM7-CL7</f>
        <v>-8439</v>
      </c>
      <c r="CP7" s="566">
        <f>SUM(CL7:CO7)</f>
        <v>-11941</v>
      </c>
      <c r="CQ7" s="537">
        <f>Data!CQ96</f>
        <v>-561</v>
      </c>
      <c r="CR7" s="537">
        <f>Data!CR96-CQ7</f>
        <v>567</v>
      </c>
      <c r="CS7" s="537">
        <f>Data!CS96-CR7-CQ7</f>
        <v>-132</v>
      </c>
      <c r="CT7" s="537">
        <f>Data!CT96-CS7-CR7-CQ7</f>
        <v>-4164</v>
      </c>
      <c r="CU7" s="566">
        <f>SUM(CQ7:CT7)</f>
        <v>-4290</v>
      </c>
      <c r="CV7" s="537">
        <f>Data!CV96</f>
        <v>-1242</v>
      </c>
      <c r="CW7" s="537">
        <f>Data!CW96-CV7</f>
        <v>160</v>
      </c>
      <c r="CX7" s="537">
        <f>Data!CX96-CW7-CV7</f>
        <v>-3308</v>
      </c>
      <c r="CY7" s="537">
        <f>Data!CY96-CX7-CW7-CV7</f>
        <v>-663</v>
      </c>
      <c r="CZ7" s="566">
        <f>SUM(CV7:CY7)</f>
        <v>-5053</v>
      </c>
      <c r="DA7" s="537">
        <f>Data!DA96</f>
        <v>-425</v>
      </c>
      <c r="DB7" s="537">
        <f>Data!DB96-DA7</f>
        <v>-149</v>
      </c>
      <c r="DC7" s="537">
        <f>Data!DC96-DB7-DA7</f>
        <v>-1638</v>
      </c>
      <c r="DD7" s="537">
        <f>Data!DD96-DC7-DB7-DA7</f>
        <v>-30</v>
      </c>
      <c r="DE7" s="566">
        <f>SUM(DA7:DD7)</f>
        <v>-2242</v>
      </c>
      <c r="DF7" s="537">
        <f>Data!DF96</f>
        <v>-355</v>
      </c>
      <c r="DG7" s="537">
        <f>Data!DG96-DF7</f>
        <v>-1439</v>
      </c>
      <c r="DH7" s="537">
        <f>Data!DH96-DG7-DF7</f>
        <v>-6174</v>
      </c>
      <c r="DI7" s="537">
        <f>Data!DI96-DH7-DG7-DF7</f>
        <v>-3861</v>
      </c>
      <c r="DJ7" s="566">
        <f>SUM(DF7:DI7)</f>
        <v>-11829</v>
      </c>
      <c r="DK7" s="537">
        <f>Data!DK96</f>
        <v>-31</v>
      </c>
      <c r="DL7" s="537">
        <f>Data!DL96-DK7</f>
        <v>-612</v>
      </c>
      <c r="DM7" s="537">
        <f>Data!DM96-DL7-DK7</f>
        <v>-5339</v>
      </c>
      <c r="DN7" s="537">
        <f>Data!DN96-DM7-DL7-DK7</f>
        <v>8220</v>
      </c>
      <c r="DO7" s="566">
        <f>SUM(DK7:DN7)</f>
        <v>2238</v>
      </c>
      <c r="DP7" s="537">
        <f>Data!DP96</f>
        <v>-7</v>
      </c>
      <c r="DQ7" s="537">
        <f>Data!DQ96-DP7</f>
        <v>-428</v>
      </c>
      <c r="DR7" s="191">
        <f>IS!DR26</f>
        <v>144.34907497124729</v>
      </c>
      <c r="DS7" s="191">
        <f>IS!DS26</f>
        <v>595.57399143240411</v>
      </c>
      <c r="DT7" s="566">
        <f>SUM(DP7:DS7)</f>
        <v>304.92306640365143</v>
      </c>
      <c r="DU7" s="191">
        <f>IS!DU26</f>
        <v>194.35318506851002</v>
      </c>
      <c r="DV7" s="191">
        <f>IS!DV26</f>
        <v>819.82447636339418</v>
      </c>
      <c r="DW7" s="191">
        <f>IS!DW26</f>
        <v>1289.5962561721392</v>
      </c>
      <c r="DX7" s="191">
        <f>IS!DX26</f>
        <v>1694.8158899094822</v>
      </c>
      <c r="DY7" s="566">
        <f>SUM(DU7:DX7)</f>
        <v>3998.5898075135256</v>
      </c>
      <c r="DZ7" s="192">
        <f>IS!DZ26</f>
        <v>7536.4561565064378</v>
      </c>
      <c r="EA7" s="192">
        <f>IS!EA26</f>
        <v>11190.507404873064</v>
      </c>
      <c r="EB7" s="192">
        <f>IS!EB26</f>
        <v>15007.379554937488</v>
      </c>
    </row>
    <row r="8" spans="2:132" s="68" customFormat="1" ht="12" customHeight="1">
      <c r="B8" s="159" t="s">
        <v>85</v>
      </c>
      <c r="C8" s="67">
        <f>Data!C97</f>
        <v>-99</v>
      </c>
      <c r="D8" s="67">
        <f>Data!D97</f>
        <v>153</v>
      </c>
      <c r="E8" s="67">
        <f>Data!E97</f>
        <v>209</v>
      </c>
      <c r="F8" s="67">
        <f>Data!F97</f>
        <v>316</v>
      </c>
      <c r="G8" s="67">
        <f>Data!G97</f>
        <v>378</v>
      </c>
      <c r="H8" s="67">
        <f>Data!H97</f>
        <v>447</v>
      </c>
      <c r="I8" s="67">
        <f>Data!I97</f>
        <v>456</v>
      </c>
      <c r="J8" s="68">
        <f>Data!J97</f>
        <v>119</v>
      </c>
      <c r="K8" s="68">
        <f>Data!K97-J8</f>
        <v>164</v>
      </c>
      <c r="L8" s="68">
        <f>Data!L97-K8-J8</f>
        <v>166</v>
      </c>
      <c r="M8" s="68">
        <f>Data!M97-L8-K8-J8</f>
        <v>127</v>
      </c>
      <c r="N8" s="67">
        <f t="shared" ref="N8:N49" si="0">SUM(J8:M8)</f>
        <v>576</v>
      </c>
      <c r="O8" s="68">
        <f>Data!O97</f>
        <v>245</v>
      </c>
      <c r="P8" s="68">
        <f>Data!P97-O8</f>
        <v>201</v>
      </c>
      <c r="Q8" s="68">
        <f>Data!Q97-P8-O8</f>
        <v>246</v>
      </c>
      <c r="R8" s="68">
        <f>Data!R97-Q8-P8-O8</f>
        <v>160</v>
      </c>
      <c r="S8" s="67">
        <f t="shared" ref="S8:S49" si="1">SUM(O8:R8)</f>
        <v>852</v>
      </c>
      <c r="T8" s="68">
        <f>Data!T97</f>
        <v>202</v>
      </c>
      <c r="U8" s="68">
        <f>Data!U97-T8</f>
        <v>250</v>
      </c>
      <c r="V8" s="68">
        <f>Data!V97-U8-T8</f>
        <v>101</v>
      </c>
      <c r="W8" s="68">
        <f>Data!W97-V8-U8-T8</f>
        <v>190</v>
      </c>
      <c r="X8" s="67">
        <f t="shared" ref="X8:X49" si="2">SUM(T8:W8)</f>
        <v>743</v>
      </c>
      <c r="Y8" s="68">
        <f>Data!Y97</f>
        <v>48</v>
      </c>
      <c r="Z8" s="68">
        <f>Data!Z97-Y8</f>
        <v>143</v>
      </c>
      <c r="AA8" s="68">
        <f>Data!AA97-Z8-Y8</f>
        <v>75</v>
      </c>
      <c r="AB8" s="68">
        <f>Data!AB97-AA8-Z8-Y8</f>
        <v>21</v>
      </c>
      <c r="AC8" s="67">
        <f t="shared" ref="AC8:AC49" si="3">SUM(Y8:AB8)</f>
        <v>287</v>
      </c>
      <c r="AD8" s="68">
        <f>Data!AD97</f>
        <v>45</v>
      </c>
      <c r="AE8" s="68">
        <f>Data!AE97-AD8</f>
        <v>53</v>
      </c>
      <c r="AF8" s="68">
        <f>Data!AF97-AE8-AD8</f>
        <v>61</v>
      </c>
      <c r="AG8" s="68">
        <f>Data!AG97-AF8-AE8-AD8</f>
        <v>50</v>
      </c>
      <c r="AH8" s="67">
        <f t="shared" ref="AH8:AH49" si="4">SUM(AD8:AG8)</f>
        <v>209</v>
      </c>
      <c r="AI8" s="68">
        <f>Data!AI97</f>
        <v>60</v>
      </c>
      <c r="AJ8" s="68">
        <f>Data!AJ97-AI8</f>
        <v>61</v>
      </c>
      <c r="AK8" s="68">
        <f>Data!AK97-AJ8-AI8</f>
        <v>59</v>
      </c>
      <c r="AL8" s="68">
        <f>Data!AL97-AK8-AJ8-AI8</f>
        <v>58</v>
      </c>
      <c r="AM8" s="67">
        <f t="shared" ref="AM8:AM49" si="5">SUM(AI8:AL8)</f>
        <v>238</v>
      </c>
      <c r="AN8" s="68">
        <f>Data!AN97</f>
        <v>66</v>
      </c>
      <c r="AO8" s="68">
        <f>Data!AO97-AN8</f>
        <v>64</v>
      </c>
      <c r="AP8" s="68">
        <f>Data!AP97-AO8-AN8</f>
        <v>42</v>
      </c>
      <c r="AQ8" s="68">
        <f>Data!AQ97-AP8-AO8-AN8</f>
        <v>43</v>
      </c>
      <c r="AR8" s="67">
        <f t="shared" ref="AR8:AR49" si="6">SUM(AN8:AQ8)</f>
        <v>215</v>
      </c>
      <c r="AS8" s="68">
        <f>Data!AS97</f>
        <v>51</v>
      </c>
      <c r="AT8" s="68">
        <f>Data!AT97-AS8</f>
        <v>45</v>
      </c>
      <c r="AU8" s="68">
        <f>Data!AU97-AT8-AS8</f>
        <v>45</v>
      </c>
      <c r="AV8" s="68">
        <f>Data!AV97-AU8-AT8-AS8</f>
        <v>45</v>
      </c>
      <c r="AW8" s="67">
        <f t="shared" ref="AW8:AW49" si="7">SUM(AS8:AV8)</f>
        <v>186</v>
      </c>
      <c r="AX8" s="121">
        <f>Data!AX97</f>
        <v>50</v>
      </c>
      <c r="AY8" s="121">
        <f>Data!AY97-AX8</f>
        <v>49</v>
      </c>
      <c r="AZ8" s="121">
        <f>Data!AZ97-AY8-AX8</f>
        <v>49</v>
      </c>
      <c r="BA8" s="121">
        <f>Data!BA97-AZ8-AY8-AX8</f>
        <v>45</v>
      </c>
      <c r="BB8" s="67">
        <f t="shared" ref="BB8:BB49" si="8">SUM(AX8:BA8)</f>
        <v>193</v>
      </c>
      <c r="BC8" s="121">
        <f>Data!BC97</f>
        <v>58</v>
      </c>
      <c r="BD8" s="121">
        <f>Data!BD97-BC8</f>
        <v>49</v>
      </c>
      <c r="BE8" s="121">
        <f>Data!BE97-BD8-BC8</f>
        <v>49</v>
      </c>
      <c r="BF8" s="121">
        <f>Data!BF97-BE8-BD8-BC8</f>
        <v>50</v>
      </c>
      <c r="BG8" s="67">
        <f t="shared" ref="BG8:BG16" si="9">SUM(BC8:BF8)</f>
        <v>206</v>
      </c>
      <c r="BH8" s="121">
        <f>Data!BH97</f>
        <v>52</v>
      </c>
      <c r="BI8" s="121">
        <f>Data!BI97-BH8</f>
        <v>49</v>
      </c>
      <c r="BJ8" s="121">
        <f>Data!BJ97-BI8-BH8</f>
        <v>51</v>
      </c>
      <c r="BK8" s="121">
        <f>Data!BK97-BJ8-BI8-BH8</f>
        <v>43</v>
      </c>
      <c r="BL8" s="67">
        <f t="shared" ref="BL8:BL16" si="10">SUM(BH8:BK8)</f>
        <v>195</v>
      </c>
      <c r="BM8" s="121">
        <f>Data!BM97</f>
        <v>50</v>
      </c>
      <c r="BN8" s="121">
        <f>Data!BN97-BM8</f>
        <v>44</v>
      </c>
      <c r="BO8" s="121">
        <f>Data!BO97-BN8-BM8</f>
        <v>47</v>
      </c>
      <c r="BP8" s="121">
        <f>Data!BP97-BO8-BN8-BM8</f>
        <v>48</v>
      </c>
      <c r="BQ8" s="67">
        <f t="shared" ref="BQ8:BQ16" si="11">SUM(BM8:BP8)</f>
        <v>189</v>
      </c>
      <c r="BR8" s="121">
        <f>Data!BR97</f>
        <v>51</v>
      </c>
      <c r="BS8" s="121">
        <f>Data!BS97-BR8</f>
        <v>46</v>
      </c>
      <c r="BT8" s="121">
        <f>Data!BT97-BS8-BR8</f>
        <v>47</v>
      </c>
      <c r="BU8" s="121">
        <f>Data!BU97-BT8-BS8-BR8</f>
        <v>46</v>
      </c>
      <c r="BV8" s="67">
        <f t="shared" ref="BV8:BV16" si="12">SUM(BR8:BU8)</f>
        <v>190</v>
      </c>
      <c r="BW8" s="121">
        <f>Data!BW97</f>
        <v>50</v>
      </c>
      <c r="BX8" s="121">
        <f>Data!BX97-BW8</f>
        <v>48</v>
      </c>
      <c r="BY8" s="121">
        <f>Data!BY97-BX8-BW8</f>
        <v>53</v>
      </c>
      <c r="BZ8" s="121">
        <f>Data!BZ97-BY8-BX8-BW8</f>
        <v>51</v>
      </c>
      <c r="CA8" s="67">
        <f>SUM(BW8:BZ8)</f>
        <v>202</v>
      </c>
      <c r="CB8" s="121">
        <f>Data!CB97</f>
        <v>45</v>
      </c>
      <c r="CC8" s="121">
        <f>Data!CC97-CB8</f>
        <v>53</v>
      </c>
      <c r="CD8" s="121">
        <f>Data!CD97-CC8-CB8</f>
        <v>52</v>
      </c>
      <c r="CE8" s="121">
        <f>Data!CE97-CD8-CC8-CB8</f>
        <v>52</v>
      </c>
      <c r="CF8" s="67">
        <f>SUM(CB8:CE8)</f>
        <v>202</v>
      </c>
      <c r="CG8" s="121">
        <f>Data!CG97</f>
        <v>47</v>
      </c>
      <c r="CH8" s="121">
        <f>Data!CH97-CG8</f>
        <v>57</v>
      </c>
      <c r="CI8" s="121">
        <f>Data!CI97-CH8-CG8</f>
        <v>56</v>
      </c>
      <c r="CJ8" s="121">
        <f>Data!CJ97-CI8-CH8-CG8</f>
        <v>52</v>
      </c>
      <c r="CK8" s="120">
        <f>SUM(CG8:CJ8)</f>
        <v>212</v>
      </c>
      <c r="CL8" s="121">
        <f>Data!CL97</f>
        <v>55</v>
      </c>
      <c r="CM8" s="121">
        <f>Data!CM97-CL8</f>
        <v>60</v>
      </c>
      <c r="CN8" s="121">
        <f>Data!CN97-CM8-CL8</f>
        <v>50</v>
      </c>
      <c r="CO8" s="121">
        <f>Data!CO97-CN8-CM8-CL8</f>
        <v>85</v>
      </c>
      <c r="CP8" s="120">
        <f>SUM(CL8:CO8)</f>
        <v>250</v>
      </c>
      <c r="CQ8" s="121">
        <f>Data!CQ97</f>
        <v>321</v>
      </c>
      <c r="CR8" s="121">
        <f>Data!CR97-CQ8</f>
        <v>172</v>
      </c>
      <c r="CS8" s="121">
        <f>Data!CS97-CR8-CQ8</f>
        <v>184</v>
      </c>
      <c r="CT8" s="121">
        <f>Data!CT97-CS8-CR8-CQ8</f>
        <v>156</v>
      </c>
      <c r="CU8" s="120">
        <f>SUM(CQ8:CT8)</f>
        <v>833</v>
      </c>
      <c r="CV8" s="121">
        <f>Data!CV97</f>
        <v>203</v>
      </c>
      <c r="CW8" s="121">
        <f>Data!CW97-CV8</f>
        <v>149</v>
      </c>
      <c r="CX8" s="121">
        <f>Data!CX97-CW8-CV8</f>
        <v>176</v>
      </c>
      <c r="CY8" s="121">
        <f>Data!CY97-CX8-CW8-CV8</f>
        <v>197</v>
      </c>
      <c r="CZ8" s="120">
        <f>SUM(CV8:CY8)</f>
        <v>725</v>
      </c>
      <c r="DA8" s="121">
        <f>Data!DA97</f>
        <v>222</v>
      </c>
      <c r="DB8" s="121">
        <f>Data!DB97-DA8</f>
        <v>159</v>
      </c>
      <c r="DC8" s="121">
        <f>Data!DC97-DB8-DA8</f>
        <v>167</v>
      </c>
      <c r="DD8" s="121">
        <f>Data!DD97-DC8-DB8-DA8</f>
        <v>142</v>
      </c>
      <c r="DE8" s="120">
        <f>SUM(DA8:DD8)</f>
        <v>690</v>
      </c>
      <c r="DF8" s="121">
        <f>Data!DF97</f>
        <v>119</v>
      </c>
      <c r="DG8" s="121">
        <f>Data!DG97-DF8</f>
        <v>89</v>
      </c>
      <c r="DH8" s="121">
        <f>Data!DH97-DG8-DF8</f>
        <v>102</v>
      </c>
      <c r="DI8" s="121">
        <f>Data!DI97-DH8-DG8-DF8</f>
        <v>97</v>
      </c>
      <c r="DJ8" s="120">
        <f>SUM(DF8:DI8)</f>
        <v>407</v>
      </c>
      <c r="DK8" s="121">
        <f>Data!DK97</f>
        <v>135</v>
      </c>
      <c r="DL8" s="121">
        <f>Data!DL97-DK8</f>
        <v>119</v>
      </c>
      <c r="DM8" s="121">
        <f>Data!DM97-DL8-DK8</f>
        <v>89</v>
      </c>
      <c r="DN8" s="121">
        <f>Data!DN97-DM8-DL8-DK8</f>
        <v>83</v>
      </c>
      <c r="DO8" s="120">
        <f>SUM(DK8:DN8)</f>
        <v>426</v>
      </c>
      <c r="DP8" s="121">
        <f>Data!DP97</f>
        <v>161</v>
      </c>
      <c r="DQ8" s="121">
        <f>Data!DQ97-DP8</f>
        <v>103</v>
      </c>
      <c r="DR8" s="179">
        <v>105</v>
      </c>
      <c r="DS8" s="179">
        <v>150</v>
      </c>
      <c r="DT8" s="120">
        <f>SUM(DP8:DS8)</f>
        <v>519</v>
      </c>
      <c r="DU8" s="179">
        <v>105</v>
      </c>
      <c r="DV8" s="179">
        <v>110</v>
      </c>
      <c r="DW8" s="179">
        <v>120</v>
      </c>
      <c r="DX8" s="179">
        <v>170</v>
      </c>
      <c r="DY8" s="120">
        <f>SUM(DU8:DX8)</f>
        <v>505</v>
      </c>
      <c r="DZ8" s="180">
        <v>540</v>
      </c>
      <c r="EA8" s="180">
        <v>570</v>
      </c>
      <c r="EB8" s="180">
        <v>600</v>
      </c>
    </row>
    <row r="9" spans="2:132" s="68" customFormat="1" ht="12" customHeight="1">
      <c r="B9" s="159" t="s">
        <v>127</v>
      </c>
      <c r="C9" s="67">
        <f>Data!C98</f>
        <v>1354</v>
      </c>
      <c r="D9" s="67">
        <f>Data!D98</f>
        <v>1517</v>
      </c>
      <c r="E9" s="67">
        <f>Data!E98</f>
        <v>1538</v>
      </c>
      <c r="F9" s="67">
        <f>Data!F98</f>
        <v>1317</v>
      </c>
      <c r="G9" s="67">
        <f>Data!G98</f>
        <v>1448</v>
      </c>
      <c r="H9" s="67">
        <f>Data!H98</f>
        <v>1409</v>
      </c>
      <c r="I9" s="67">
        <f>Data!I98</f>
        <v>1356</v>
      </c>
      <c r="J9" s="68">
        <f>Data!J98</f>
        <v>327</v>
      </c>
      <c r="K9" s="68">
        <f>Data!K98-J9</f>
        <v>307</v>
      </c>
      <c r="L9" s="68">
        <f>Data!L98-K9-J9</f>
        <v>300</v>
      </c>
      <c r="M9" s="68">
        <f>Data!M98-L9-K9-J9</f>
        <v>478</v>
      </c>
      <c r="N9" s="67">
        <f t="shared" si="0"/>
        <v>1412</v>
      </c>
      <c r="O9" s="68">
        <f>Data!O98</f>
        <v>332</v>
      </c>
      <c r="P9" s="68">
        <f>Data!P98-O9</f>
        <v>379</v>
      </c>
      <c r="Q9" s="68">
        <f>Data!Q98-P9-O9</f>
        <v>350</v>
      </c>
      <c r="R9" s="68">
        <f>Data!R98-Q9-P9-O9</f>
        <v>351</v>
      </c>
      <c r="S9" s="67">
        <f t="shared" si="1"/>
        <v>1412</v>
      </c>
      <c r="T9" s="68">
        <f>Data!T98</f>
        <v>350</v>
      </c>
      <c r="U9" s="68">
        <f>Data!U98-T9</f>
        <v>364</v>
      </c>
      <c r="V9" s="68">
        <f>Data!V98-U9-T9</f>
        <v>343</v>
      </c>
      <c r="W9" s="68">
        <f>Data!W98-V9-U9-T9</f>
        <v>388</v>
      </c>
      <c r="X9" s="67">
        <f t="shared" si="2"/>
        <v>1445</v>
      </c>
      <c r="Y9" s="68">
        <f>Data!Y98</f>
        <v>319</v>
      </c>
      <c r="Z9" s="68">
        <f>Data!Z98-Y9</f>
        <v>357</v>
      </c>
      <c r="AA9" s="68">
        <f>Data!AA98-Z9-Y9</f>
        <v>299</v>
      </c>
      <c r="AB9" s="68">
        <f>Data!AB98-AA9-Z9-Y9</f>
        <v>359</v>
      </c>
      <c r="AC9" s="67">
        <f t="shared" si="3"/>
        <v>1334</v>
      </c>
      <c r="AD9" s="68">
        <f>Data!AD98</f>
        <v>322</v>
      </c>
      <c r="AE9" s="68">
        <f>Data!AE98-AD9</f>
        <v>321</v>
      </c>
      <c r="AF9" s="68">
        <f>Data!AF98-AE9-AD9</f>
        <v>309</v>
      </c>
      <c r="AG9" s="68">
        <f>Data!AG98-AF9-AE9-AD9</f>
        <v>373</v>
      </c>
      <c r="AH9" s="67">
        <f t="shared" si="4"/>
        <v>1325</v>
      </c>
      <c r="AI9" s="68">
        <f>Data!AI98</f>
        <v>335</v>
      </c>
      <c r="AJ9" s="68">
        <f>Data!AJ98-AI9</f>
        <v>331</v>
      </c>
      <c r="AK9" s="68">
        <f>Data!AK98-AJ9-AI9</f>
        <v>381</v>
      </c>
      <c r="AL9" s="68">
        <f>Data!AL98-AK9-AJ9-AI9</f>
        <v>412</v>
      </c>
      <c r="AM9" s="67">
        <f t="shared" si="5"/>
        <v>1459</v>
      </c>
      <c r="AN9" s="68">
        <f>Data!AN98</f>
        <v>350</v>
      </c>
      <c r="AO9" s="68">
        <f>Data!AO98-AN9</f>
        <v>393</v>
      </c>
      <c r="AP9" s="68">
        <f>Data!AP98-AO9-AN9</f>
        <v>358</v>
      </c>
      <c r="AQ9" s="68">
        <f>Data!AQ98-AP9-AO9-AN9</f>
        <v>409</v>
      </c>
      <c r="AR9" s="67">
        <f t="shared" si="6"/>
        <v>1510</v>
      </c>
      <c r="AS9" s="68">
        <f>Data!AS98</f>
        <v>331</v>
      </c>
      <c r="AT9" s="68">
        <f>Data!AT98-AS9</f>
        <v>379</v>
      </c>
      <c r="AU9" s="68">
        <f>Data!AU98-AT9-AS9</f>
        <v>365</v>
      </c>
      <c r="AV9" s="68">
        <f>Data!AV98-AU9-AT9-AS9</f>
        <v>382</v>
      </c>
      <c r="AW9" s="67">
        <f t="shared" si="7"/>
        <v>1457</v>
      </c>
      <c r="AX9" s="121">
        <f>Data!AX98</f>
        <v>426</v>
      </c>
      <c r="AY9" s="121">
        <f>Data!AY98-AX9</f>
        <v>422</v>
      </c>
      <c r="AZ9" s="121">
        <f>Data!AZ98-AY9-AX9</f>
        <v>465</v>
      </c>
      <c r="BA9" s="121">
        <f>Data!BA98-AZ9-AY9-AX9</f>
        <v>498</v>
      </c>
      <c r="BB9" s="67">
        <f t="shared" si="8"/>
        <v>1811</v>
      </c>
      <c r="BC9" s="121">
        <f>Data!BC98</f>
        <v>429</v>
      </c>
      <c r="BD9" s="121">
        <f>Data!BD98-BC9</f>
        <v>436</v>
      </c>
      <c r="BE9" s="121">
        <f>Data!BE98-BD9-BC9</f>
        <v>458</v>
      </c>
      <c r="BF9" s="121">
        <f>Data!BF98-BE9-BD9-BC9</f>
        <v>521</v>
      </c>
      <c r="BG9" s="67">
        <f t="shared" si="9"/>
        <v>1844</v>
      </c>
      <c r="BH9" s="121">
        <f>Data!BH98</f>
        <v>448</v>
      </c>
      <c r="BI9" s="121">
        <f>Data!BI98-BH9</f>
        <v>452</v>
      </c>
      <c r="BJ9" s="121">
        <f>Data!BJ98-BI9-BH9</f>
        <v>478</v>
      </c>
      <c r="BK9" s="121">
        <f>Data!BK98-BJ9-BI9-BH9</f>
        <v>528</v>
      </c>
      <c r="BL9" s="67">
        <f t="shared" si="10"/>
        <v>1906</v>
      </c>
      <c r="BM9" s="121">
        <f>Data!BM98</f>
        <v>459</v>
      </c>
      <c r="BN9" s="121">
        <f>Data!BN98-BM9</f>
        <v>453</v>
      </c>
      <c r="BO9" s="121">
        <f>Data!BO98-BN9-BM9</f>
        <v>437</v>
      </c>
      <c r="BP9" s="121">
        <f>Data!BP98-BO9-BN9-BM9</f>
        <v>484</v>
      </c>
      <c r="BQ9" s="67">
        <f t="shared" si="11"/>
        <v>1833</v>
      </c>
      <c r="BR9" s="121">
        <f>Data!BR98</f>
        <v>443</v>
      </c>
      <c r="BS9" s="121">
        <f>Data!BS98-BR9</f>
        <v>447</v>
      </c>
      <c r="BT9" s="121">
        <f>Data!BT98-BS9-BR9</f>
        <v>474</v>
      </c>
      <c r="BU9" s="121">
        <f>Data!BU98-BT9-BS9-BR9</f>
        <v>546</v>
      </c>
      <c r="BV9" s="67">
        <f t="shared" si="12"/>
        <v>1910</v>
      </c>
      <c r="BW9" s="121">
        <f>Data!BW98</f>
        <v>471</v>
      </c>
      <c r="BX9" s="121">
        <f>Data!BX98-BW9</f>
        <v>494</v>
      </c>
      <c r="BY9" s="121">
        <f>Data!BY98-BX9-BW9</f>
        <v>522</v>
      </c>
      <c r="BZ9" s="121">
        <f>Data!BZ98-BY9-BX9-BW9</f>
        <v>582</v>
      </c>
      <c r="CA9" s="67">
        <f t="shared" ref="CA9:CA16" si="13">SUM(BW9:BZ9)</f>
        <v>2069</v>
      </c>
      <c r="CB9" s="121">
        <f>Data!CB98</f>
        <v>501</v>
      </c>
      <c r="CC9" s="121">
        <f>Data!CC98-CB9</f>
        <v>507</v>
      </c>
      <c r="CD9" s="121">
        <f>Data!CD98-CC9-CB9</f>
        <v>523</v>
      </c>
      <c r="CE9" s="121">
        <f>Data!CE98-CD9-CC9-CB9</f>
        <v>583</v>
      </c>
      <c r="CF9" s="67">
        <f t="shared" ref="CF9:CF16" si="14">SUM(CB9:CE9)</f>
        <v>2114</v>
      </c>
      <c r="CG9" s="121">
        <f>Data!CG98</f>
        <v>521</v>
      </c>
      <c r="CH9" s="121">
        <f>Data!CH98-CG9</f>
        <v>546</v>
      </c>
      <c r="CI9" s="121">
        <f>Data!CI98-CH9-CG9</f>
        <v>576</v>
      </c>
      <c r="CJ9" s="121">
        <f>Data!CJ98-CI9-CH9-CG9</f>
        <v>628</v>
      </c>
      <c r="CK9" s="120">
        <f t="shared" ref="CK9:CK16" si="15">SUM(CG9:CJ9)</f>
        <v>2271</v>
      </c>
      <c r="CL9" s="121">
        <f>Data!CL98</f>
        <v>556</v>
      </c>
      <c r="CM9" s="121">
        <f>Data!CM98-CL9</f>
        <v>547</v>
      </c>
      <c r="CN9" s="121">
        <f>Data!CN98-CM9-CL9</f>
        <v>565</v>
      </c>
      <c r="CO9" s="121">
        <f>Data!CO98-CN9-CM9-CL9</f>
        <v>578</v>
      </c>
      <c r="CP9" s="120">
        <f t="shared" ref="CP9:CP16" si="16">SUM(CL9:CO9)</f>
        <v>2246</v>
      </c>
      <c r="CQ9" s="121">
        <f>Data!CQ98</f>
        <v>536</v>
      </c>
      <c r="CR9" s="121">
        <f>Data!CR98-CQ9</f>
        <v>551</v>
      </c>
      <c r="CS9" s="121">
        <f>Data!CS98-CR9-CQ9</f>
        <v>523</v>
      </c>
      <c r="CT9" s="121">
        <f>Data!CT98-CS9-CR9-CQ9</f>
        <v>534</v>
      </c>
      <c r="CU9" s="120">
        <f t="shared" ref="CU9:CU16" si="17">SUM(CQ9:CT9)</f>
        <v>2144</v>
      </c>
      <c r="CV9" s="121">
        <f>Data!CV98</f>
        <v>486</v>
      </c>
      <c r="CW9" s="121">
        <f>Data!CW98-CV9</f>
        <v>498</v>
      </c>
      <c r="CX9" s="121">
        <f>Data!CX98-CW9-CV9</f>
        <v>493</v>
      </c>
      <c r="CY9" s="121">
        <f>Data!CY98-CX9-CW9-CV9</f>
        <v>502</v>
      </c>
      <c r="CZ9" s="120">
        <f t="shared" ref="CZ9:CZ16" si="18">SUM(CV9:CY9)</f>
        <v>1979</v>
      </c>
      <c r="DA9" s="121">
        <f>Data!DA98</f>
        <v>457</v>
      </c>
      <c r="DB9" s="121">
        <f>Data!DB98-DA9</f>
        <v>456</v>
      </c>
      <c r="DC9" s="121">
        <f>Data!DC98-DB9-DA9</f>
        <v>467</v>
      </c>
      <c r="DD9" s="121">
        <f>Data!DD98-DC9-DB9-DA9</f>
        <v>481</v>
      </c>
      <c r="DE9" s="120">
        <f t="shared" ref="DE9:DE16" si="19">SUM(DA9:DD9)</f>
        <v>1861</v>
      </c>
      <c r="DF9" s="121">
        <f>Data!DF98</f>
        <v>442</v>
      </c>
      <c r="DG9" s="121">
        <f>Data!DG98-DF9</f>
        <v>441</v>
      </c>
      <c r="DH9" s="121">
        <f>Data!DH98-DG9-DF9</f>
        <v>444</v>
      </c>
      <c r="DI9" s="121">
        <f>Data!DI98-DH9-DG9-DF9</f>
        <v>509</v>
      </c>
      <c r="DJ9" s="120">
        <f t="shared" ref="DJ9:DJ16" si="20">SUM(DF9:DI9)</f>
        <v>1836</v>
      </c>
      <c r="DK9" s="121">
        <f>Data!DK98</f>
        <v>466</v>
      </c>
      <c r="DL9" s="121">
        <f>Data!DL98-DK9</f>
        <v>460</v>
      </c>
      <c r="DM9" s="121">
        <f>Data!DM98-DL9-DK9</f>
        <v>491</v>
      </c>
      <c r="DN9" s="121">
        <f>Data!DN98-DM9-DL9-DK9</f>
        <v>536</v>
      </c>
      <c r="DO9" s="120">
        <f t="shared" ref="DO9:DO16" si="21">SUM(DK9:DN9)</f>
        <v>1953</v>
      </c>
      <c r="DP9" s="121">
        <f>Data!DP98</f>
        <v>573</v>
      </c>
      <c r="DQ9" s="121">
        <f>Data!DQ98-DP9</f>
        <v>596</v>
      </c>
      <c r="DR9" s="179">
        <v>590</v>
      </c>
      <c r="DS9" s="179">
        <v>630</v>
      </c>
      <c r="DT9" s="120">
        <f t="shared" ref="DT9:DT16" si="22">SUM(DP9:DS9)</f>
        <v>2389</v>
      </c>
      <c r="DU9" s="179">
        <v>600</v>
      </c>
      <c r="DV9" s="179">
        <v>600</v>
      </c>
      <c r="DW9" s="179">
        <v>620</v>
      </c>
      <c r="DX9" s="179">
        <v>650</v>
      </c>
      <c r="DY9" s="120">
        <f t="shared" ref="DY9:DY16" si="23">SUM(DU9:DX9)</f>
        <v>2470</v>
      </c>
      <c r="DZ9" s="180">
        <v>2500</v>
      </c>
      <c r="EA9" s="180">
        <v>2550</v>
      </c>
      <c r="EB9" s="180">
        <v>2600</v>
      </c>
    </row>
    <row r="10" spans="2:132" s="68" customFormat="1" ht="12" customHeight="1">
      <c r="B10" s="159" t="s">
        <v>86</v>
      </c>
      <c r="C10" s="67">
        <f>Data!C99</f>
        <v>104</v>
      </c>
      <c r="D10" s="67">
        <f>Data!D99</f>
        <v>105</v>
      </c>
      <c r="E10" s="67">
        <f>Data!E99</f>
        <v>107</v>
      </c>
      <c r="F10" s="67">
        <f>Data!F99</f>
        <v>162</v>
      </c>
      <c r="G10" s="67">
        <f>Data!G99</f>
        <v>302</v>
      </c>
      <c r="H10" s="67">
        <f>Data!H99</f>
        <v>88</v>
      </c>
      <c r="I10" s="67">
        <f>Data!I99</f>
        <v>94</v>
      </c>
      <c r="J10" s="68">
        <f>Data!J99</f>
        <v>23</v>
      </c>
      <c r="K10" s="68">
        <f>Data!K99-J10</f>
        <v>23</v>
      </c>
      <c r="L10" s="68">
        <f>Data!L99-K10-J10</f>
        <v>26</v>
      </c>
      <c r="M10" s="68">
        <f>Data!M99-L10-K10-J10</f>
        <v>25</v>
      </c>
      <c r="N10" s="67">
        <f t="shared" si="0"/>
        <v>97</v>
      </c>
      <c r="O10" s="68">
        <f>Data!O99</f>
        <v>23</v>
      </c>
      <c r="P10" s="68">
        <f>Data!P99-O10</f>
        <v>24</v>
      </c>
      <c r="Q10" s="68">
        <f>Data!Q99-P10-O10</f>
        <v>22</v>
      </c>
      <c r="R10" s="68">
        <f>Data!R99-Q10-P10-O10</f>
        <v>22</v>
      </c>
      <c r="S10" s="67">
        <f t="shared" si="1"/>
        <v>91</v>
      </c>
      <c r="T10" s="68">
        <f>Data!T99</f>
        <v>19</v>
      </c>
      <c r="U10" s="68">
        <f>Data!U99-T10</f>
        <v>21</v>
      </c>
      <c r="V10" s="68">
        <f>Data!V99-U10-T10</f>
        <v>26</v>
      </c>
      <c r="W10" s="68">
        <f>Data!W99-V10-U10-T10</f>
        <v>34</v>
      </c>
      <c r="X10" s="67">
        <f t="shared" si="2"/>
        <v>100</v>
      </c>
      <c r="Y10" s="68">
        <f>Data!Y99</f>
        <v>37</v>
      </c>
      <c r="Z10" s="68">
        <f>Data!Z99-Y10</f>
        <v>40</v>
      </c>
      <c r="AA10" s="68">
        <f>Data!AA99-Z10-Y10</f>
        <v>39</v>
      </c>
      <c r="AB10" s="68">
        <f>Data!AB99-AA10-Z10-Y10</f>
        <v>36</v>
      </c>
      <c r="AC10" s="67">
        <f t="shared" si="3"/>
        <v>152</v>
      </c>
      <c r="AD10" s="68">
        <f>Data!AD99</f>
        <v>40</v>
      </c>
      <c r="AE10" s="68">
        <f>Data!AE99-AD10</f>
        <v>41</v>
      </c>
      <c r="AF10" s="68">
        <f>Data!AF99-AE10-AD10</f>
        <v>41</v>
      </c>
      <c r="AG10" s="68">
        <f>Data!AG99-AF10-AE10-AD10</f>
        <v>44</v>
      </c>
      <c r="AH10" s="67">
        <f t="shared" si="4"/>
        <v>166</v>
      </c>
      <c r="AI10" s="68">
        <f>Data!AI99</f>
        <v>49</v>
      </c>
      <c r="AJ10" s="68">
        <f>Data!AJ99-AI10</f>
        <v>50</v>
      </c>
      <c r="AK10" s="68">
        <f>Data!AK99-AJ10-AI10</f>
        <v>53</v>
      </c>
      <c r="AL10" s="68">
        <f>Data!AL99-AK10-AJ10-AI10</f>
        <v>55</v>
      </c>
      <c r="AM10" s="67">
        <f t="shared" si="5"/>
        <v>207</v>
      </c>
      <c r="AN10" s="68">
        <f>Data!AN99</f>
        <v>55</v>
      </c>
      <c r="AO10" s="68">
        <f>Data!AO99-AN10</f>
        <v>56</v>
      </c>
      <c r="AP10" s="68">
        <f>Data!AP99-AO10-AN10</f>
        <v>58</v>
      </c>
      <c r="AQ10" s="68">
        <f>Data!AQ99-AP10-AO10-AN10</f>
        <v>48</v>
      </c>
      <c r="AR10" s="67">
        <f t="shared" si="6"/>
        <v>217</v>
      </c>
      <c r="AS10" s="68">
        <f>Data!AS99</f>
        <v>49</v>
      </c>
      <c r="AT10" s="68">
        <f>Data!AT99-AS10</f>
        <v>50</v>
      </c>
      <c r="AU10" s="68">
        <f>Data!AU99-AT10-AS10</f>
        <v>52</v>
      </c>
      <c r="AV10" s="68">
        <f>Data!AV99-AU10-AT10-AS10</f>
        <v>52</v>
      </c>
      <c r="AW10" s="67">
        <f t="shared" si="7"/>
        <v>203</v>
      </c>
      <c r="AX10" s="121">
        <f>Data!AX99</f>
        <v>0</v>
      </c>
      <c r="AY10" s="121">
        <f>Data!AY99-AX10</f>
        <v>0</v>
      </c>
      <c r="AZ10" s="121">
        <f>Data!AZ99-AY10-AX10</f>
        <v>0</v>
      </c>
      <c r="BA10" s="121">
        <f>Data!BA99-AZ10-AY10-AX10</f>
        <v>0</v>
      </c>
      <c r="BB10" s="67">
        <f t="shared" si="8"/>
        <v>0</v>
      </c>
      <c r="BC10" s="121">
        <f>Data!BC99</f>
        <v>0</v>
      </c>
      <c r="BD10" s="121">
        <f>Data!BD99-BC10</f>
        <v>0</v>
      </c>
      <c r="BE10" s="121">
        <f>Data!BE99-BD10-BC10</f>
        <v>0</v>
      </c>
      <c r="BF10" s="121">
        <f>Data!BF99-BE10-BD10-BC10</f>
        <v>0</v>
      </c>
      <c r="BG10" s="67">
        <f t="shared" si="9"/>
        <v>0</v>
      </c>
      <c r="BH10" s="121">
        <f>Data!BH99</f>
        <v>0</v>
      </c>
      <c r="BI10" s="121">
        <f>Data!BI99-BH10</f>
        <v>0</v>
      </c>
      <c r="BJ10" s="121">
        <f>Data!BJ99-BI10-BH10</f>
        <v>0</v>
      </c>
      <c r="BK10" s="121">
        <f>Data!BK99-BJ10-BI10-BH10</f>
        <v>0</v>
      </c>
      <c r="BL10" s="67">
        <f t="shared" si="10"/>
        <v>0</v>
      </c>
      <c r="BM10" s="121">
        <f>Data!BM99</f>
        <v>0</v>
      </c>
      <c r="BN10" s="121">
        <f>Data!BN99-BM10</f>
        <v>0</v>
      </c>
      <c r="BO10" s="121">
        <f>Data!BO99-BN10-BM10</f>
        <v>0</v>
      </c>
      <c r="BP10" s="121">
        <f>Data!BP99-BO10-BN10-BM10</f>
        <v>0</v>
      </c>
      <c r="BQ10" s="67">
        <f t="shared" si="11"/>
        <v>0</v>
      </c>
      <c r="BR10" s="121">
        <f>Data!BR99</f>
        <v>0</v>
      </c>
      <c r="BS10" s="121">
        <f>Data!BS99-BR10</f>
        <v>0</v>
      </c>
      <c r="BT10" s="121">
        <f>Data!BT99-BS10-BR10</f>
        <v>0</v>
      </c>
      <c r="BU10" s="121">
        <f>Data!BU99-BT10-BS10-BR10</f>
        <v>0</v>
      </c>
      <c r="BV10" s="67">
        <f t="shared" si="12"/>
        <v>0</v>
      </c>
      <c r="BW10" s="121">
        <f>Data!BW99</f>
        <v>0</v>
      </c>
      <c r="BX10" s="121">
        <f>Data!BX99-BW10</f>
        <v>0</v>
      </c>
      <c r="BY10" s="121">
        <f>Data!BY99-BX10-BW10</f>
        <v>0</v>
      </c>
      <c r="BZ10" s="121">
        <f>Data!BZ99-BY10-BX10-BW10</f>
        <v>0</v>
      </c>
      <c r="CA10" s="67">
        <f t="shared" si="13"/>
        <v>0</v>
      </c>
      <c r="CB10" s="121">
        <f>Data!CB99</f>
        <v>0</v>
      </c>
      <c r="CC10" s="121">
        <f>Data!CC99-CB10</f>
        <v>0</v>
      </c>
      <c r="CD10" s="121">
        <f>Data!CD99-CC10-CB10</f>
        <v>0</v>
      </c>
      <c r="CE10" s="121">
        <f>Data!CE99-CD10-CC10-CB10</f>
        <v>0</v>
      </c>
      <c r="CF10" s="67">
        <f t="shared" si="14"/>
        <v>0</v>
      </c>
      <c r="CG10" s="121">
        <f>Data!CG99</f>
        <v>0</v>
      </c>
      <c r="CH10" s="121">
        <f>Data!CH99-CG10</f>
        <v>0</v>
      </c>
      <c r="CI10" s="121">
        <f>Data!CI99-CH10-CG10</f>
        <v>0</v>
      </c>
      <c r="CJ10" s="121">
        <f>Data!CJ99-CI10-CH10-CG10</f>
        <v>0</v>
      </c>
      <c r="CK10" s="120">
        <f t="shared" si="15"/>
        <v>0</v>
      </c>
      <c r="CL10" s="121">
        <f>Data!CL99</f>
        <v>0</v>
      </c>
      <c r="CM10" s="121">
        <f>Data!CM99-CL10</f>
        <v>0</v>
      </c>
      <c r="CN10" s="121">
        <f>Data!CN99-CM10-CL10</f>
        <v>0</v>
      </c>
      <c r="CO10" s="121">
        <f>Data!CO99-CN10-CM10-CL10</f>
        <v>0</v>
      </c>
      <c r="CP10" s="120">
        <f t="shared" si="16"/>
        <v>0</v>
      </c>
      <c r="CQ10" s="121">
        <f>Data!CQ99</f>
        <v>0</v>
      </c>
      <c r="CR10" s="121">
        <f>Data!CR99-CQ10</f>
        <v>0</v>
      </c>
      <c r="CS10" s="121">
        <f>Data!CS99-CR10-CQ10</f>
        <v>0</v>
      </c>
      <c r="CT10" s="121">
        <f>Data!CT99-CS10-CR10-CQ10</f>
        <v>0</v>
      </c>
      <c r="CU10" s="120">
        <f t="shared" si="17"/>
        <v>0</v>
      </c>
      <c r="CV10" s="121">
        <f>Data!CV99</f>
        <v>0</v>
      </c>
      <c r="CW10" s="121">
        <f>Data!CW99-CV10</f>
        <v>0</v>
      </c>
      <c r="CX10" s="121">
        <f>Data!CX99-CW10-CV10</f>
        <v>0</v>
      </c>
      <c r="CY10" s="121">
        <f>Data!CY99-CX10-CW10-CV10</f>
        <v>0</v>
      </c>
      <c r="CZ10" s="120">
        <f t="shared" si="18"/>
        <v>0</v>
      </c>
      <c r="DA10" s="121">
        <f>Data!DA99</f>
        <v>0</v>
      </c>
      <c r="DB10" s="121">
        <f>Data!DB99-DA10</f>
        <v>0</v>
      </c>
      <c r="DC10" s="121">
        <f>Data!DC99-DB10-DA10</f>
        <v>0</v>
      </c>
      <c r="DD10" s="121">
        <f>Data!DD99-DC10-DB10-DA10</f>
        <v>0</v>
      </c>
      <c r="DE10" s="120">
        <f t="shared" si="19"/>
        <v>0</v>
      </c>
      <c r="DF10" s="121">
        <f>Data!DF99</f>
        <v>0</v>
      </c>
      <c r="DG10" s="121">
        <f>Data!DG99-DF10</f>
        <v>0</v>
      </c>
      <c r="DH10" s="121">
        <f>Data!DH99-DG10-DF10</f>
        <v>0</v>
      </c>
      <c r="DI10" s="121">
        <f>Data!DI99-DH10-DG10-DF10</f>
        <v>0</v>
      </c>
      <c r="DJ10" s="120">
        <f t="shared" si="20"/>
        <v>0</v>
      </c>
      <c r="DK10" s="121">
        <f>Data!DK99</f>
        <v>0</v>
      </c>
      <c r="DL10" s="121">
        <f>Data!DL99-DK10</f>
        <v>0</v>
      </c>
      <c r="DM10" s="121">
        <f>Data!DM99-DL10-DK10</f>
        <v>0</v>
      </c>
      <c r="DN10" s="121">
        <f>Data!DN99-DM10-DL10-DK10</f>
        <v>0</v>
      </c>
      <c r="DO10" s="120">
        <f t="shared" si="21"/>
        <v>0</v>
      </c>
      <c r="DP10" s="121">
        <f>Data!DP99</f>
        <v>0</v>
      </c>
      <c r="DQ10" s="121">
        <f>Data!DQ99-DP10</f>
        <v>0</v>
      </c>
      <c r="DR10" s="179">
        <v>0</v>
      </c>
      <c r="DS10" s="179">
        <v>0</v>
      </c>
      <c r="DT10" s="120">
        <f t="shared" si="22"/>
        <v>0</v>
      </c>
      <c r="DU10" s="179">
        <v>0</v>
      </c>
      <c r="DV10" s="179">
        <v>0</v>
      </c>
      <c r="DW10" s="179">
        <v>0</v>
      </c>
      <c r="DX10" s="179">
        <v>0</v>
      </c>
      <c r="DY10" s="120">
        <f t="shared" si="23"/>
        <v>0</v>
      </c>
      <c r="DZ10" s="180">
        <v>0</v>
      </c>
      <c r="EA10" s="180">
        <v>0</v>
      </c>
      <c r="EB10" s="180">
        <v>0</v>
      </c>
    </row>
    <row r="11" spans="2:132" s="68" customFormat="1" ht="12" customHeight="1">
      <c r="B11" s="159" t="s">
        <v>339</v>
      </c>
      <c r="C11" s="67">
        <f>Data!C100</f>
        <v>0</v>
      </c>
      <c r="D11" s="67">
        <f>Data!D100</f>
        <v>0</v>
      </c>
      <c r="E11" s="67">
        <f>Data!E100</f>
        <v>0</v>
      </c>
      <c r="F11" s="67">
        <f>Data!F100</f>
        <v>0</v>
      </c>
      <c r="G11" s="67">
        <f>Data!G100</f>
        <v>0</v>
      </c>
      <c r="H11" s="67">
        <f>Data!H100</f>
        <v>12</v>
      </c>
      <c r="I11" s="67">
        <f>Data!I100</f>
        <v>18</v>
      </c>
      <c r="J11" s="68">
        <f>Data!J100</f>
        <v>4</v>
      </c>
      <c r="K11" s="68">
        <f>Data!K100-J11</f>
        <v>4</v>
      </c>
      <c r="L11" s="68">
        <f>Data!L100-K11-J11</f>
        <v>4</v>
      </c>
      <c r="M11" s="68">
        <f>Data!M100-L11-K11-J11</f>
        <v>3</v>
      </c>
      <c r="N11" s="67">
        <f t="shared" si="0"/>
        <v>15</v>
      </c>
      <c r="O11" s="68">
        <f>Data!O100</f>
        <v>7</v>
      </c>
      <c r="P11" s="68">
        <f>Data!P100-O11</f>
        <v>6</v>
      </c>
      <c r="Q11" s="68">
        <f>Data!Q100-P11-O11</f>
        <v>6</v>
      </c>
      <c r="R11" s="68">
        <f>Data!R100-Q11-P11-O11</f>
        <v>4</v>
      </c>
      <c r="S11" s="67">
        <f t="shared" si="1"/>
        <v>23</v>
      </c>
      <c r="T11" s="68">
        <f>Data!T100</f>
        <v>3</v>
      </c>
      <c r="U11" s="68">
        <f>Data!U100-T11</f>
        <v>7</v>
      </c>
      <c r="V11" s="68">
        <f>Data!V100-U11-T11</f>
        <v>2</v>
      </c>
      <c r="W11" s="68">
        <f>Data!W100-V11-U11-T11</f>
        <v>2</v>
      </c>
      <c r="X11" s="67">
        <f t="shared" si="2"/>
        <v>14</v>
      </c>
      <c r="Y11" s="68">
        <f>Data!Y100</f>
        <v>3</v>
      </c>
      <c r="Z11" s="68">
        <f>Data!Z100-Y11</f>
        <v>3</v>
      </c>
      <c r="AA11" s="68">
        <f>Data!AA100-Z11-Y11</f>
        <v>1</v>
      </c>
      <c r="AB11" s="68">
        <f>Data!AB100-AA11-Z11-Y11</f>
        <v>-8</v>
      </c>
      <c r="AC11" s="67">
        <f t="shared" si="3"/>
        <v>-1</v>
      </c>
      <c r="AD11" s="68">
        <f>Data!AD100</f>
        <v>2</v>
      </c>
      <c r="AE11" s="68">
        <f>Data!AE100-AD11</f>
        <v>2</v>
      </c>
      <c r="AF11" s="68">
        <f>Data!AF100-AE11-AD11</f>
        <v>4</v>
      </c>
      <c r="AG11" s="68">
        <f>Data!AG100-AF11-AE11-AD11</f>
        <v>3</v>
      </c>
      <c r="AH11" s="67">
        <f t="shared" si="4"/>
        <v>11</v>
      </c>
      <c r="AI11" s="68">
        <f>Data!AI100</f>
        <v>2</v>
      </c>
      <c r="AJ11" s="68">
        <f>Data!AJ100-AI11</f>
        <v>2</v>
      </c>
      <c r="AK11" s="68">
        <f>Data!AK100-AJ11-AI11</f>
        <v>3</v>
      </c>
      <c r="AL11" s="68">
        <f>Data!AL100-AK11-AJ11-AI11</f>
        <v>5</v>
      </c>
      <c r="AM11" s="67">
        <f t="shared" si="5"/>
        <v>12</v>
      </c>
      <c r="AN11" s="68">
        <f>Data!AN100</f>
        <v>5</v>
      </c>
      <c r="AO11" s="68">
        <f>Data!AO100-AN11</f>
        <v>5</v>
      </c>
      <c r="AP11" s="68">
        <f>Data!AP100-AO11-AN11</f>
        <v>5</v>
      </c>
      <c r="AQ11" s="68">
        <f>Data!AQ100-AP11-AO11-AN11</f>
        <v>4</v>
      </c>
      <c r="AR11" s="67">
        <f t="shared" si="6"/>
        <v>19</v>
      </c>
      <c r="AS11" s="68">
        <f>Data!AS100</f>
        <v>4</v>
      </c>
      <c r="AT11" s="68">
        <f>Data!AT100-AS11</f>
        <v>3</v>
      </c>
      <c r="AU11" s="68">
        <f>Data!AU100-AT11-AS11</f>
        <v>4</v>
      </c>
      <c r="AV11" s="68">
        <f>Data!AV100-AU11-AT11-AS11</f>
        <v>4</v>
      </c>
      <c r="AW11" s="67">
        <f t="shared" si="7"/>
        <v>15</v>
      </c>
      <c r="AX11" s="121">
        <f>Data!AX100</f>
        <v>0</v>
      </c>
      <c r="AY11" s="121">
        <f>Data!AY100-AX11</f>
        <v>0</v>
      </c>
      <c r="AZ11" s="121">
        <f>Data!AZ100-AY11-AX11</f>
        <v>0</v>
      </c>
      <c r="BA11" s="121">
        <f>Data!BA100-AZ11-AY11-AX11</f>
        <v>0</v>
      </c>
      <c r="BB11" s="67">
        <f t="shared" si="8"/>
        <v>0</v>
      </c>
      <c r="BC11" s="121">
        <f>Data!BC100</f>
        <v>0</v>
      </c>
      <c r="BD11" s="121">
        <f>Data!BD100-BC11</f>
        <v>0</v>
      </c>
      <c r="BE11" s="121">
        <f>Data!BE100-BD11-BC11</f>
        <v>0</v>
      </c>
      <c r="BF11" s="121">
        <f>Data!BF100-BE11-BD11-BC11</f>
        <v>0</v>
      </c>
      <c r="BG11" s="67">
        <f t="shared" si="9"/>
        <v>0</v>
      </c>
      <c r="BH11" s="121">
        <f>Data!BH100</f>
        <v>0</v>
      </c>
      <c r="BI11" s="121">
        <f>Data!BI100-BH11</f>
        <v>0</v>
      </c>
      <c r="BJ11" s="121">
        <f>Data!BJ100-BI11-BH11</f>
        <v>0</v>
      </c>
      <c r="BK11" s="121">
        <f>Data!BK100-BJ11-BI11-BH11</f>
        <v>0</v>
      </c>
      <c r="BL11" s="67">
        <f t="shared" si="10"/>
        <v>0</v>
      </c>
      <c r="BM11" s="121">
        <f>Data!BM100</f>
        <v>0</v>
      </c>
      <c r="BN11" s="121">
        <f>Data!BN100-BM11</f>
        <v>0</v>
      </c>
      <c r="BO11" s="121">
        <f>Data!BO100-BN11-BM11</f>
        <v>0</v>
      </c>
      <c r="BP11" s="121">
        <f>Data!BP100-BO11-BN11-BM11</f>
        <v>0</v>
      </c>
      <c r="BQ11" s="67">
        <f t="shared" si="11"/>
        <v>0</v>
      </c>
      <c r="BR11" s="121">
        <f>Data!BR100</f>
        <v>0</v>
      </c>
      <c r="BS11" s="121">
        <f>Data!BS100-BR11</f>
        <v>0</v>
      </c>
      <c r="BT11" s="121">
        <f>Data!BT100-BS11-BR11</f>
        <v>0</v>
      </c>
      <c r="BU11" s="121">
        <f>Data!BU100-BT11-BS11-BR11</f>
        <v>0</v>
      </c>
      <c r="BV11" s="67">
        <f t="shared" si="12"/>
        <v>0</v>
      </c>
      <c r="BW11" s="121">
        <f>Data!BW100</f>
        <v>0</v>
      </c>
      <c r="BX11" s="121">
        <f>Data!BX100-BW11</f>
        <v>0</v>
      </c>
      <c r="BY11" s="121">
        <f>Data!BY100-BX11-BW11</f>
        <v>0</v>
      </c>
      <c r="BZ11" s="121">
        <f>Data!BZ100-BY11-BX11-BW11</f>
        <v>0</v>
      </c>
      <c r="CA11" s="67">
        <f t="shared" si="13"/>
        <v>0</v>
      </c>
      <c r="CB11" s="121">
        <f>Data!CB100</f>
        <v>0</v>
      </c>
      <c r="CC11" s="121">
        <f>Data!CC100-CB11</f>
        <v>0</v>
      </c>
      <c r="CD11" s="121">
        <f>Data!CD100-CC11-CB11</f>
        <v>0</v>
      </c>
      <c r="CE11" s="121">
        <f>Data!CE100-CD11-CC11-CB11</f>
        <v>0</v>
      </c>
      <c r="CF11" s="67">
        <f t="shared" si="14"/>
        <v>0</v>
      </c>
      <c r="CG11" s="121">
        <f>Data!CG100</f>
        <v>0</v>
      </c>
      <c r="CH11" s="121">
        <f>Data!CH100-CG11</f>
        <v>0</v>
      </c>
      <c r="CI11" s="121">
        <f>Data!CI100-CH11-CG11</f>
        <v>0</v>
      </c>
      <c r="CJ11" s="121">
        <f>Data!CJ100-CI11-CH11-CG11</f>
        <v>0</v>
      </c>
      <c r="CK11" s="120">
        <f t="shared" si="15"/>
        <v>0</v>
      </c>
      <c r="CL11" s="121">
        <f>Data!CL100</f>
        <v>0</v>
      </c>
      <c r="CM11" s="121">
        <f>Data!CM100-CL11</f>
        <v>0</v>
      </c>
      <c r="CN11" s="121">
        <f>Data!CN100-CM11-CL11</f>
        <v>0</v>
      </c>
      <c r="CO11" s="121">
        <f>Data!CO100-CN11-CM11-CL11</f>
        <v>0</v>
      </c>
      <c r="CP11" s="120">
        <f t="shared" si="16"/>
        <v>0</v>
      </c>
      <c r="CQ11" s="121">
        <f>Data!CQ100</f>
        <v>0</v>
      </c>
      <c r="CR11" s="121">
        <f>Data!CR100-CQ11</f>
        <v>0</v>
      </c>
      <c r="CS11" s="121">
        <f>Data!CS100-CR11-CQ11</f>
        <v>0</v>
      </c>
      <c r="CT11" s="121">
        <f>Data!CT100-CS11-CR11-CQ11</f>
        <v>0</v>
      </c>
      <c r="CU11" s="120">
        <f t="shared" si="17"/>
        <v>0</v>
      </c>
      <c r="CV11" s="121">
        <f>Data!CV100</f>
        <v>0</v>
      </c>
      <c r="CW11" s="121">
        <f>Data!CW100-CV11</f>
        <v>0</v>
      </c>
      <c r="CX11" s="121">
        <f>Data!CX100-CW11-CV11</f>
        <v>0</v>
      </c>
      <c r="CY11" s="121">
        <f>Data!CY100-CX11-CW11-CV11</f>
        <v>0</v>
      </c>
      <c r="CZ11" s="120">
        <f t="shared" si="18"/>
        <v>0</v>
      </c>
      <c r="DA11" s="121">
        <f>Data!DA100</f>
        <v>0</v>
      </c>
      <c r="DB11" s="121">
        <f>Data!DB100-DA11</f>
        <v>0</v>
      </c>
      <c r="DC11" s="121">
        <f>Data!DC100-DB11-DA11</f>
        <v>0</v>
      </c>
      <c r="DD11" s="121">
        <f>Data!DD100-DC11-DB11-DA11</f>
        <v>0</v>
      </c>
      <c r="DE11" s="120">
        <f t="shared" si="19"/>
        <v>0</v>
      </c>
      <c r="DF11" s="121">
        <f>Data!DF100</f>
        <v>0</v>
      </c>
      <c r="DG11" s="121">
        <f>Data!DG100-DF11</f>
        <v>0</v>
      </c>
      <c r="DH11" s="121">
        <f>Data!DH100-DG11-DF11</f>
        <v>0</v>
      </c>
      <c r="DI11" s="121">
        <f>Data!DI100-DH11-DG11-DF11</f>
        <v>0</v>
      </c>
      <c r="DJ11" s="120">
        <f t="shared" si="20"/>
        <v>0</v>
      </c>
      <c r="DK11" s="121">
        <f>Data!DK100</f>
        <v>0</v>
      </c>
      <c r="DL11" s="121">
        <f>Data!DL100-DK11</f>
        <v>0</v>
      </c>
      <c r="DM11" s="121">
        <f>Data!DM100-DL11-DK11</f>
        <v>0</v>
      </c>
      <c r="DN11" s="121">
        <f>Data!DN100-DM11-DL11-DK11</f>
        <v>0</v>
      </c>
      <c r="DO11" s="120">
        <f t="shared" si="21"/>
        <v>0</v>
      </c>
      <c r="DP11" s="121">
        <f>Data!DP100</f>
        <v>0</v>
      </c>
      <c r="DQ11" s="121">
        <f>Data!DQ100-DP11</f>
        <v>0</v>
      </c>
      <c r="DR11" s="179">
        <v>0</v>
      </c>
      <c r="DS11" s="179">
        <v>0</v>
      </c>
      <c r="DT11" s="120">
        <f t="shared" si="22"/>
        <v>0</v>
      </c>
      <c r="DU11" s="179">
        <v>0</v>
      </c>
      <c r="DV11" s="179">
        <v>0</v>
      </c>
      <c r="DW11" s="179">
        <v>0</v>
      </c>
      <c r="DX11" s="179">
        <v>0</v>
      </c>
      <c r="DY11" s="120">
        <f t="shared" si="23"/>
        <v>0</v>
      </c>
      <c r="DZ11" s="180">
        <v>0</v>
      </c>
      <c r="EA11" s="180">
        <v>0</v>
      </c>
      <c r="EB11" s="180">
        <v>0</v>
      </c>
    </row>
    <row r="12" spans="2:132" s="68" customFormat="1" ht="12" customHeight="1">
      <c r="B12" s="159" t="s">
        <v>87</v>
      </c>
      <c r="C12" s="67">
        <f>Data!C101</f>
        <v>0</v>
      </c>
      <c r="D12" s="67">
        <f>Data!D101</f>
        <v>0</v>
      </c>
      <c r="E12" s="67">
        <f>Data!E101</f>
        <v>0</v>
      </c>
      <c r="F12" s="67">
        <f>Data!F101</f>
        <v>0</v>
      </c>
      <c r="G12" s="67">
        <f>Data!G101</f>
        <v>0</v>
      </c>
      <c r="H12" s="67">
        <f>Data!H101</f>
        <v>357</v>
      </c>
      <c r="I12" s="67">
        <f>Data!I101</f>
        <v>155</v>
      </c>
      <c r="J12" s="68">
        <f>Data!J101</f>
        <v>25</v>
      </c>
      <c r="K12" s="68">
        <f>Data!K101-J12</f>
        <v>35</v>
      </c>
      <c r="L12" s="68">
        <f>Data!L101-K12-J12</f>
        <v>18</v>
      </c>
      <c r="M12" s="68">
        <f>Data!M101-L12-K12-J12</f>
        <v>44</v>
      </c>
      <c r="N12" s="67">
        <f t="shared" si="0"/>
        <v>122</v>
      </c>
      <c r="O12" s="68">
        <f>Data!O101</f>
        <v>58</v>
      </c>
      <c r="P12" s="68">
        <f>Data!P101-O12</f>
        <v>-14</v>
      </c>
      <c r="Q12" s="68">
        <f>Data!Q101-P12-O12</f>
        <v>21</v>
      </c>
      <c r="R12" s="68">
        <f>Data!R101-Q12-P12-O12</f>
        <v>18</v>
      </c>
      <c r="S12" s="67">
        <f t="shared" si="1"/>
        <v>83</v>
      </c>
      <c r="T12" s="68">
        <f>Data!T101</f>
        <v>-2</v>
      </c>
      <c r="U12" s="68">
        <f>Data!U101-T12</f>
        <v>21</v>
      </c>
      <c r="V12" s="68">
        <f>Data!V101-U12-T12</f>
        <v>66</v>
      </c>
      <c r="W12" s="68">
        <f>Data!W101-V12-U12-T12</f>
        <v>33</v>
      </c>
      <c r="X12" s="67">
        <f t="shared" si="2"/>
        <v>118</v>
      </c>
      <c r="Y12" s="68">
        <f>Data!Y101</f>
        <v>0</v>
      </c>
      <c r="Z12" s="68">
        <f>Data!Z101-Y12</f>
        <v>5</v>
      </c>
      <c r="AA12" s="68">
        <f>Data!AA101-Z12-Y12</f>
        <v>0</v>
      </c>
      <c r="AB12" s="68">
        <f>Data!AB101-AA12-Z12-Y12</f>
        <v>46</v>
      </c>
      <c r="AC12" s="67">
        <f t="shared" si="3"/>
        <v>51</v>
      </c>
      <c r="AD12" s="68">
        <f>Data!AD101</f>
        <v>0</v>
      </c>
      <c r="AE12" s="68">
        <f>Data!AE101-AD12</f>
        <v>0</v>
      </c>
      <c r="AF12" s="68">
        <f>Data!AF101-AE12-AD12</f>
        <v>21</v>
      </c>
      <c r="AG12" s="68">
        <f>Data!AG101-AF12-AE12-AD12</f>
        <v>29</v>
      </c>
      <c r="AH12" s="67">
        <f t="shared" si="4"/>
        <v>50</v>
      </c>
      <c r="AI12" s="68">
        <f>Data!AI101</f>
        <v>21</v>
      </c>
      <c r="AJ12" s="68">
        <f>Data!AJ101-AI12</f>
        <v>29</v>
      </c>
      <c r="AK12" s="68">
        <f>Data!AK101-AJ12-AI12</f>
        <v>16</v>
      </c>
      <c r="AL12" s="68">
        <f>Data!AL101-AK12-AJ12-AI12</f>
        <v>85</v>
      </c>
      <c r="AM12" s="67">
        <f t="shared" si="5"/>
        <v>151</v>
      </c>
      <c r="AN12" s="68">
        <f>Data!AN101</f>
        <v>15</v>
      </c>
      <c r="AO12" s="68">
        <f>Data!AO101-AN12</f>
        <v>5</v>
      </c>
      <c r="AP12" s="68">
        <f>Data!AP101-AO12-AN12</f>
        <v>107</v>
      </c>
      <c r="AQ12" s="68">
        <f>Data!AQ101-AP12-AO12-AN12</f>
        <v>47</v>
      </c>
      <c r="AR12" s="67">
        <f t="shared" si="6"/>
        <v>174</v>
      </c>
      <c r="AS12" s="68">
        <f>Data!AS101</f>
        <v>10</v>
      </c>
      <c r="AT12" s="68">
        <f>Data!AT101-AS12</f>
        <v>6</v>
      </c>
      <c r="AU12" s="68">
        <f>Data!AU101-AT12-AS12</f>
        <v>34</v>
      </c>
      <c r="AV12" s="68">
        <f>Data!AV101-AU12-AT12-AS12</f>
        <v>69</v>
      </c>
      <c r="AW12" s="67">
        <f t="shared" si="7"/>
        <v>119</v>
      </c>
      <c r="AX12" s="121">
        <f>Data!AX101</f>
        <v>36</v>
      </c>
      <c r="AY12" s="121">
        <f>Data!AY101-AX12</f>
        <v>9</v>
      </c>
      <c r="AZ12" s="121">
        <f>Data!AZ101-AY12-AX12</f>
        <v>14</v>
      </c>
      <c r="BA12" s="121">
        <f>Data!BA101-AZ12-AY12-AX12</f>
        <v>25</v>
      </c>
      <c r="BB12" s="67">
        <f t="shared" si="8"/>
        <v>84</v>
      </c>
      <c r="BC12" s="121">
        <f>Data!BC101</f>
        <v>26</v>
      </c>
      <c r="BD12" s="121">
        <f>Data!BD101-BC12</f>
        <v>0</v>
      </c>
      <c r="BE12" s="121">
        <f>Data!BE101-BD12-BC12</f>
        <v>12</v>
      </c>
      <c r="BF12" s="121">
        <f>Data!BF101-BE12-BD12-BC12</f>
        <v>58</v>
      </c>
      <c r="BG12" s="67">
        <f t="shared" si="9"/>
        <v>96</v>
      </c>
      <c r="BH12" s="121">
        <f>Data!BH101</f>
        <v>29</v>
      </c>
      <c r="BI12" s="121">
        <f>Data!BI101-BH12</f>
        <v>7</v>
      </c>
      <c r="BJ12" s="121">
        <f>Data!BJ101-BI12-BH12</f>
        <v>104</v>
      </c>
      <c r="BK12" s="121">
        <f>Data!BK101-BJ12-BI12-BH12</f>
        <v>89</v>
      </c>
      <c r="BL12" s="67">
        <f t="shared" si="10"/>
        <v>229</v>
      </c>
      <c r="BM12" s="121">
        <f>Data!BM101</f>
        <v>17</v>
      </c>
      <c r="BN12" s="121">
        <f>Data!BN101-BM12</f>
        <v>57</v>
      </c>
      <c r="BO12" s="121">
        <f>Data!BO101-BN12-BM12</f>
        <v>50</v>
      </c>
      <c r="BP12" s="121">
        <f>Data!BP101-BO12-BN12-BM12</f>
        <v>43</v>
      </c>
      <c r="BQ12" s="67">
        <f t="shared" si="11"/>
        <v>167</v>
      </c>
      <c r="BR12" s="121">
        <f>Data!BR101</f>
        <v>33</v>
      </c>
      <c r="BS12" s="121">
        <f>Data!BS101-BR12</f>
        <v>17</v>
      </c>
      <c r="BT12" s="121">
        <f>Data!BT101-BS12-BR12</f>
        <v>11</v>
      </c>
      <c r="BU12" s="121">
        <f>Data!BU101-BT12-BS12-BR12</f>
        <v>29</v>
      </c>
      <c r="BV12" s="67">
        <f t="shared" si="12"/>
        <v>90</v>
      </c>
      <c r="BW12" s="121">
        <f>Data!BW101</f>
        <v>23</v>
      </c>
      <c r="BX12" s="121">
        <f>Data!BX101-BW12</f>
        <v>23</v>
      </c>
      <c r="BY12" s="121">
        <f>Data!BY101-BX12-BW12</f>
        <v>29</v>
      </c>
      <c r="BZ12" s="121">
        <f>Data!BZ101-BY12-BX12-BW12</f>
        <v>38</v>
      </c>
      <c r="CA12" s="67">
        <f t="shared" si="13"/>
        <v>113</v>
      </c>
      <c r="CB12" s="121">
        <f>Data!CB101</f>
        <v>20</v>
      </c>
      <c r="CC12" s="121">
        <f>Data!CC101-CB12</f>
        <v>24</v>
      </c>
      <c r="CD12" s="121">
        <f>Data!CD101-CC12-CB12</f>
        <v>19</v>
      </c>
      <c r="CE12" s="121">
        <f>Data!CE101-CD12-CC12-CB12</f>
        <v>30</v>
      </c>
      <c r="CF12" s="67">
        <f t="shared" si="14"/>
        <v>93</v>
      </c>
      <c r="CG12" s="121">
        <f>Data!CG101</f>
        <v>34</v>
      </c>
      <c r="CH12" s="121">
        <f>Data!CH101-CG12</f>
        <v>36</v>
      </c>
      <c r="CI12" s="121">
        <f>Data!CI101-CH12-CG12</f>
        <v>36</v>
      </c>
      <c r="CJ12" s="121">
        <f>Data!CJ101-CI12-CH12-CG12</f>
        <v>337</v>
      </c>
      <c r="CK12" s="120">
        <f t="shared" si="15"/>
        <v>443</v>
      </c>
      <c r="CL12" s="121">
        <f>Data!CL101</f>
        <v>26</v>
      </c>
      <c r="CM12" s="121">
        <f>Data!CM101-CL12</f>
        <v>254</v>
      </c>
      <c r="CN12" s="121">
        <f>Data!CN101-CM12-CL12</f>
        <v>37</v>
      </c>
      <c r="CO12" s="121">
        <f>Data!CO101-CN12-CM12-CL12</f>
        <v>93</v>
      </c>
      <c r="CP12" s="120">
        <f t="shared" si="16"/>
        <v>410</v>
      </c>
      <c r="CQ12" s="121">
        <f>Data!CQ101</f>
        <v>16</v>
      </c>
      <c r="CR12" s="121">
        <f>Data!CR101-CQ12</f>
        <v>22</v>
      </c>
      <c r="CS12" s="121">
        <f>Data!CS101-CR12-CQ12</f>
        <v>34</v>
      </c>
      <c r="CT12" s="121">
        <f>Data!CT101-CS12-CR12-CQ12</f>
        <v>26</v>
      </c>
      <c r="CU12" s="120">
        <f t="shared" si="17"/>
        <v>98</v>
      </c>
      <c r="CV12" s="121">
        <f>Data!CV101</f>
        <v>72</v>
      </c>
      <c r="CW12" s="121">
        <f>Data!CW101-CV12</f>
        <v>0</v>
      </c>
      <c r="CX12" s="121">
        <f>Data!CX101-CW12-CV12</f>
        <v>6</v>
      </c>
      <c r="CY12" s="121">
        <f>Data!CY101-CX12-CW12-CV12</f>
        <v>34</v>
      </c>
      <c r="CZ12" s="120">
        <f t="shared" si="18"/>
        <v>112</v>
      </c>
      <c r="DA12" s="121">
        <f>Data!DA101</f>
        <v>11</v>
      </c>
      <c r="DB12" s="121">
        <f>Data!DB101-DA12</f>
        <v>1</v>
      </c>
      <c r="DC12" s="121">
        <f>Data!DC101-DB12-DA12</f>
        <v>0</v>
      </c>
      <c r="DD12" s="121">
        <f>Data!DD101-DC12-DB12-DA12</f>
        <v>34</v>
      </c>
      <c r="DE12" s="120">
        <f t="shared" si="19"/>
        <v>46</v>
      </c>
      <c r="DF12" s="121">
        <f>Data!DF101</f>
        <v>21</v>
      </c>
      <c r="DG12" s="121">
        <f>Data!DG101-DF12</f>
        <v>13</v>
      </c>
      <c r="DH12" s="121">
        <f>Data!DH101-DG12-DF12</f>
        <v>14</v>
      </c>
      <c r="DI12" s="121">
        <f>Data!DI101-DH12-DG12-DF12</f>
        <v>64</v>
      </c>
      <c r="DJ12" s="120">
        <f t="shared" si="20"/>
        <v>112</v>
      </c>
      <c r="DK12" s="121">
        <f>Data!DK101</f>
        <v>7</v>
      </c>
      <c r="DL12" s="121">
        <f>Data!DL101-DK12</f>
        <v>23</v>
      </c>
      <c r="DM12" s="121">
        <f>Data!DM101-DL12-DK12</f>
        <v>2</v>
      </c>
      <c r="DN12" s="121">
        <f>Data!DN101-DM12-DL12-DK12</f>
        <v>13</v>
      </c>
      <c r="DO12" s="120">
        <f t="shared" si="21"/>
        <v>45</v>
      </c>
      <c r="DP12" s="121">
        <f>Data!DP101</f>
        <v>9</v>
      </c>
      <c r="DQ12" s="121">
        <f>Data!DQ101-DP12</f>
        <v>9</v>
      </c>
      <c r="DR12" s="179">
        <v>0</v>
      </c>
      <c r="DS12" s="179">
        <v>0</v>
      </c>
      <c r="DT12" s="120">
        <f t="shared" si="22"/>
        <v>18</v>
      </c>
      <c r="DU12" s="179">
        <v>0</v>
      </c>
      <c r="DV12" s="179">
        <v>0</v>
      </c>
      <c r="DW12" s="179">
        <v>0</v>
      </c>
      <c r="DX12" s="179">
        <v>0</v>
      </c>
      <c r="DY12" s="120">
        <f t="shared" si="23"/>
        <v>0</v>
      </c>
      <c r="DZ12" s="180">
        <v>0</v>
      </c>
      <c r="EA12" s="180">
        <v>0</v>
      </c>
      <c r="EB12" s="180">
        <v>0</v>
      </c>
    </row>
    <row r="13" spans="2:132" s="68" customFormat="1" ht="12" customHeight="1">
      <c r="B13" s="159" t="s">
        <v>88</v>
      </c>
      <c r="C13" s="67">
        <f>Data!C102</f>
        <v>0</v>
      </c>
      <c r="D13" s="67">
        <f>Data!D102</f>
        <v>0</v>
      </c>
      <c r="E13" s="67">
        <f>Data!E102</f>
        <v>72</v>
      </c>
      <c r="F13" s="67">
        <f>Data!F102</f>
        <v>13</v>
      </c>
      <c r="G13" s="67">
        <f>Data!G102</f>
        <v>42</v>
      </c>
      <c r="H13" s="67">
        <f>Data!H102</f>
        <v>219</v>
      </c>
      <c r="I13" s="67">
        <f>Data!I102</f>
        <v>234</v>
      </c>
      <c r="J13" s="68">
        <f>Data!J102</f>
        <v>44</v>
      </c>
      <c r="K13" s="68">
        <f>Data!K102-J13</f>
        <v>-5</v>
      </c>
      <c r="L13" s="68">
        <f>Data!L102-K13-J13</f>
        <v>-3</v>
      </c>
      <c r="M13" s="68">
        <f>Data!M102-L13-K13-J13</f>
        <v>9</v>
      </c>
      <c r="N13" s="67">
        <f t="shared" si="0"/>
        <v>45</v>
      </c>
      <c r="O13" s="68">
        <f>Data!O102</f>
        <v>4</v>
      </c>
      <c r="P13" s="68">
        <f>Data!P102-O13</f>
        <v>10</v>
      </c>
      <c r="Q13" s="68">
        <f>Data!Q102-P13-O13</f>
        <v>33</v>
      </c>
      <c r="R13" s="68">
        <f>Data!R102-Q13-P13-O13</f>
        <v>26</v>
      </c>
      <c r="S13" s="67">
        <f t="shared" si="1"/>
        <v>73</v>
      </c>
      <c r="T13" s="68">
        <f>Data!T102</f>
        <v>-1</v>
      </c>
      <c r="U13" s="68">
        <f>Data!U102-T13</f>
        <v>3</v>
      </c>
      <c r="V13" s="68">
        <f>Data!V102-U13-T13</f>
        <v>17</v>
      </c>
      <c r="W13" s="68">
        <f>Data!W102-V13-U13-T13</f>
        <v>13</v>
      </c>
      <c r="X13" s="67">
        <f t="shared" si="2"/>
        <v>32</v>
      </c>
      <c r="Y13" s="68">
        <f>Data!Y102</f>
        <v>-33</v>
      </c>
      <c r="Z13" s="68">
        <f>Data!Z102-Y13</f>
        <v>-2</v>
      </c>
      <c r="AA13" s="68">
        <f>Data!AA102-Z13-Y13</f>
        <v>-17</v>
      </c>
      <c r="AB13" s="68">
        <f>Data!AB102-AA13-Z13-Y13</f>
        <v>-8</v>
      </c>
      <c r="AC13" s="67">
        <f t="shared" si="3"/>
        <v>-60</v>
      </c>
      <c r="AD13" s="68">
        <f>Data!AD102</f>
        <v>-6</v>
      </c>
      <c r="AE13" s="68">
        <f>Data!AE102-AD13</f>
        <v>86</v>
      </c>
      <c r="AF13" s="68">
        <f>Data!AF102-AE13-AD13</f>
        <v>-7</v>
      </c>
      <c r="AG13" s="68">
        <f>Data!AG102-AF13-AE13-AD13</f>
        <v>11</v>
      </c>
      <c r="AH13" s="67">
        <f t="shared" si="4"/>
        <v>84</v>
      </c>
      <c r="AI13" s="68">
        <f>Data!AI102</f>
        <v>9</v>
      </c>
      <c r="AJ13" s="68">
        <f>Data!AJ102-AI13</f>
        <v>3</v>
      </c>
      <c r="AK13" s="68">
        <f>Data!AK102-AJ13-AI13</f>
        <v>19</v>
      </c>
      <c r="AL13" s="68">
        <f>Data!AL102-AK13-AJ13-AI13</f>
        <v>14</v>
      </c>
      <c r="AM13" s="67">
        <f t="shared" si="5"/>
        <v>45</v>
      </c>
      <c r="AN13" s="68">
        <f>Data!AN102</f>
        <v>12</v>
      </c>
      <c r="AO13" s="68">
        <f>Data!AO102-AN13</f>
        <v>-7</v>
      </c>
      <c r="AP13" s="68">
        <f>Data!AP102-AO13-AN13</f>
        <v>19</v>
      </c>
      <c r="AQ13" s="68">
        <f>Data!AQ102-AP13-AO13-AN13</f>
        <v>27</v>
      </c>
      <c r="AR13" s="67">
        <f t="shared" si="6"/>
        <v>51</v>
      </c>
      <c r="AS13" s="68">
        <f>Data!AS102</f>
        <v>-15</v>
      </c>
      <c r="AT13" s="68">
        <f>Data!AT102-AS13</f>
        <v>-50</v>
      </c>
      <c r="AU13" s="68">
        <f>Data!AU102-AT13-AS13</f>
        <v>-155</v>
      </c>
      <c r="AV13" s="68">
        <f>Data!AV102-AU13-AT13-AS13</f>
        <v>-49</v>
      </c>
      <c r="AW13" s="67">
        <f t="shared" si="7"/>
        <v>-269</v>
      </c>
      <c r="AX13" s="121">
        <f>Data!AX102</f>
        <v>0</v>
      </c>
      <c r="AY13" s="121">
        <f>Data!AY102-AX13</f>
        <v>-1</v>
      </c>
      <c r="AZ13" s="121">
        <f>Data!AZ102-AY13-AX13</f>
        <v>-3</v>
      </c>
      <c r="BA13" s="121">
        <f>Data!BA102-AZ13-AY13-AX13</f>
        <v>-6</v>
      </c>
      <c r="BB13" s="67">
        <f t="shared" si="8"/>
        <v>-10</v>
      </c>
      <c r="BC13" s="121">
        <f>Data!BC102</f>
        <v>-3</v>
      </c>
      <c r="BD13" s="121">
        <f>Data!BD102-BC13</f>
        <v>-2</v>
      </c>
      <c r="BE13" s="121">
        <f>Data!BE102-BD13-BC13</f>
        <v>-2</v>
      </c>
      <c r="BF13" s="121">
        <f>Data!BF102-BE13-BD13-BC13</f>
        <v>-4</v>
      </c>
      <c r="BG13" s="67">
        <f t="shared" si="9"/>
        <v>-11</v>
      </c>
      <c r="BH13" s="121">
        <f>Data!BH102</f>
        <v>-23</v>
      </c>
      <c r="BI13" s="121">
        <f>Data!BI102-BH13</f>
        <v>-3</v>
      </c>
      <c r="BJ13" s="121">
        <f>Data!BJ102-BI13-BH13</f>
        <v>0</v>
      </c>
      <c r="BK13" s="121">
        <f>Data!BK102-BJ13-BI13-BH13</f>
        <v>-2</v>
      </c>
      <c r="BL13" s="67">
        <f t="shared" si="10"/>
        <v>-28</v>
      </c>
      <c r="BM13" s="121">
        <f>Data!BM102</f>
        <v>-2</v>
      </c>
      <c r="BN13" s="121">
        <f>Data!BN102-BM13</f>
        <v>-3</v>
      </c>
      <c r="BO13" s="121">
        <f>Data!BO102-BN13-BM13</f>
        <v>2</v>
      </c>
      <c r="BP13" s="121">
        <f>Data!BP102-BO13-BN13-BM13</f>
        <v>-2</v>
      </c>
      <c r="BQ13" s="67">
        <f t="shared" si="11"/>
        <v>-5</v>
      </c>
      <c r="BR13" s="121">
        <f>Data!BR102</f>
        <v>-2</v>
      </c>
      <c r="BS13" s="121">
        <f>Data!BS102-BR13</f>
        <v>-2</v>
      </c>
      <c r="BT13" s="121">
        <f>Data!BT102-BS13-BR13</f>
        <v>-1</v>
      </c>
      <c r="BU13" s="121">
        <f>Data!BU102-BT13-BS13-BR13</f>
        <v>-2</v>
      </c>
      <c r="BV13" s="67">
        <f t="shared" si="12"/>
        <v>-7</v>
      </c>
      <c r="BW13" s="121">
        <f>Data!BW102</f>
        <v>7</v>
      </c>
      <c r="BX13" s="121">
        <f>Data!BX102-BW13</f>
        <v>-2</v>
      </c>
      <c r="BY13" s="121">
        <f>Data!BY102-BX13-BW13</f>
        <v>-1</v>
      </c>
      <c r="BZ13" s="121">
        <f>Data!BZ102-BY13-BX13-BW13</f>
        <v>-2</v>
      </c>
      <c r="CA13" s="67">
        <f t="shared" si="13"/>
        <v>2</v>
      </c>
      <c r="CB13" s="121">
        <f>Data!CB102</f>
        <v>-1</v>
      </c>
      <c r="CC13" s="121">
        <f>Data!CC102-CB13</f>
        <v>-1</v>
      </c>
      <c r="CD13" s="121">
        <f>Data!CD102-CC13-CB13</f>
        <v>-1</v>
      </c>
      <c r="CE13" s="121">
        <f>Data!CE102-CD13-CC13-CB13</f>
        <v>0</v>
      </c>
      <c r="CF13" s="67">
        <f t="shared" si="14"/>
        <v>-3</v>
      </c>
      <c r="CG13" s="121">
        <f>Data!CG102</f>
        <v>249</v>
      </c>
      <c r="CH13" s="121">
        <f>Data!CH102-CG13</f>
        <v>0</v>
      </c>
      <c r="CI13" s="121">
        <f>Data!CI102-CH13-CG13</f>
        <v>0</v>
      </c>
      <c r="CJ13" s="121">
        <f>Data!CJ102-CI13-CH13-CG13</f>
        <v>1</v>
      </c>
      <c r="CK13" s="120">
        <f t="shared" si="15"/>
        <v>250</v>
      </c>
      <c r="CL13" s="121">
        <f>Data!CL102</f>
        <v>0</v>
      </c>
      <c r="CM13" s="121">
        <f>Data!CM102-CL13</f>
        <v>9</v>
      </c>
      <c r="CN13" s="121">
        <f>Data!CN102-CM13-CL13</f>
        <v>3</v>
      </c>
      <c r="CO13" s="121">
        <f>Data!CO102-CN13-CM13-CL13</f>
        <v>0</v>
      </c>
      <c r="CP13" s="120">
        <f t="shared" si="16"/>
        <v>12</v>
      </c>
      <c r="CQ13" s="121">
        <f>Data!CQ102</f>
        <v>0</v>
      </c>
      <c r="CR13" s="121">
        <f>Data!CR102-CQ13</f>
        <v>0</v>
      </c>
      <c r="CS13" s="121">
        <f>Data!CS102-CR13-CQ13</f>
        <v>0</v>
      </c>
      <c r="CT13" s="121">
        <f>Data!CT102-CS13-CR13-CQ13</f>
        <v>0</v>
      </c>
      <c r="CU13" s="120">
        <f t="shared" si="17"/>
        <v>0</v>
      </c>
      <c r="CV13" s="121">
        <f>Data!CV102</f>
        <v>0</v>
      </c>
      <c r="CW13" s="121">
        <f>Data!CW102-CV13</f>
        <v>0</v>
      </c>
      <c r="CX13" s="121">
        <f>Data!CX102-CW13-CV13</f>
        <v>0</v>
      </c>
      <c r="CY13" s="121">
        <f>Data!CY102-CX13-CW13-CV13</f>
        <v>0</v>
      </c>
      <c r="CZ13" s="120">
        <f t="shared" si="18"/>
        <v>0</v>
      </c>
      <c r="DA13" s="121">
        <f>Data!DA102</f>
        <v>0</v>
      </c>
      <c r="DB13" s="121">
        <f>Data!DB102-DA13</f>
        <v>0</v>
      </c>
      <c r="DC13" s="121">
        <f>Data!DC102-DB13-DA13</f>
        <v>0</v>
      </c>
      <c r="DD13" s="121">
        <f>Data!DD102-DC13-DB13-DA13</f>
        <v>0</v>
      </c>
      <c r="DE13" s="120">
        <f t="shared" si="19"/>
        <v>0</v>
      </c>
      <c r="DF13" s="121">
        <f>Data!DF102</f>
        <v>0</v>
      </c>
      <c r="DG13" s="121">
        <f>Data!DG102-DF13</f>
        <v>0</v>
      </c>
      <c r="DH13" s="121">
        <f>Data!DH102-DG13-DF13</f>
        <v>0</v>
      </c>
      <c r="DI13" s="121">
        <f>Data!DI102-DH13-DG13-DF13</f>
        <v>0</v>
      </c>
      <c r="DJ13" s="120">
        <f t="shared" si="20"/>
        <v>0</v>
      </c>
      <c r="DK13" s="121">
        <f>Data!DK102</f>
        <v>0</v>
      </c>
      <c r="DL13" s="121">
        <f>Data!DL102-DK13</f>
        <v>0</v>
      </c>
      <c r="DM13" s="121">
        <f>Data!DM102-DL13-DK13</f>
        <v>0</v>
      </c>
      <c r="DN13" s="121">
        <f>Data!DN102-DM13-DL13-DK13</f>
        <v>0</v>
      </c>
      <c r="DO13" s="120">
        <f t="shared" si="21"/>
        <v>0</v>
      </c>
      <c r="DP13" s="121">
        <f>Data!DP102</f>
        <v>0</v>
      </c>
      <c r="DQ13" s="121">
        <f>Data!DQ102-DP13</f>
        <v>0</v>
      </c>
      <c r="DR13" s="179">
        <v>0</v>
      </c>
      <c r="DS13" s="179">
        <v>0</v>
      </c>
      <c r="DT13" s="120">
        <f t="shared" si="22"/>
        <v>0</v>
      </c>
      <c r="DU13" s="179">
        <v>0</v>
      </c>
      <c r="DV13" s="179">
        <v>0</v>
      </c>
      <c r="DW13" s="179">
        <v>0</v>
      </c>
      <c r="DX13" s="179">
        <v>0</v>
      </c>
      <c r="DY13" s="120">
        <f t="shared" si="23"/>
        <v>0</v>
      </c>
      <c r="DZ13" s="180">
        <v>0</v>
      </c>
      <c r="EA13" s="180">
        <v>0</v>
      </c>
      <c r="EB13" s="180">
        <v>0</v>
      </c>
    </row>
    <row r="14" spans="2:132" s="68" customFormat="1" ht="12" customHeight="1">
      <c r="B14" s="159" t="s">
        <v>139</v>
      </c>
      <c r="C14" s="67">
        <f>Data!C103</f>
        <v>0</v>
      </c>
      <c r="D14" s="67">
        <f>Data!D103</f>
        <v>0</v>
      </c>
      <c r="E14" s="67">
        <f>Data!E103</f>
        <v>0</v>
      </c>
      <c r="F14" s="67">
        <f>Data!F103</f>
        <v>0</v>
      </c>
      <c r="G14" s="67">
        <f>Data!G103</f>
        <v>0</v>
      </c>
      <c r="H14" s="67">
        <f>Data!H103</f>
        <v>0</v>
      </c>
      <c r="I14" s="67">
        <f>Data!I103</f>
        <v>0</v>
      </c>
      <c r="J14" s="68">
        <f>Data!J103</f>
        <v>0</v>
      </c>
      <c r="K14" s="68">
        <f>Data!K103-J14</f>
        <v>-21</v>
      </c>
      <c r="L14" s="68">
        <f>Data!L103-K14-J14</f>
        <v>-31</v>
      </c>
      <c r="M14" s="68">
        <f>Data!M103-L14-K14-J14</f>
        <v>-14</v>
      </c>
      <c r="N14" s="67">
        <f t="shared" si="0"/>
        <v>-66</v>
      </c>
      <c r="O14" s="68">
        <f>Data!O103</f>
        <v>0</v>
      </c>
      <c r="P14" s="68">
        <f>Data!P103-O14</f>
        <v>0</v>
      </c>
      <c r="Q14" s="68">
        <f>Data!Q103-P14-O14</f>
        <v>12</v>
      </c>
      <c r="R14" s="68">
        <f>Data!R103-Q14-P14-O14</f>
        <v>0</v>
      </c>
      <c r="S14" s="67">
        <f t="shared" si="1"/>
        <v>12</v>
      </c>
      <c r="T14" s="68">
        <f>Data!T103</f>
        <v>0</v>
      </c>
      <c r="U14" s="68">
        <f>Data!U103-T14</f>
        <v>0</v>
      </c>
      <c r="V14" s="68">
        <f>Data!V103-U14-T14</f>
        <v>0</v>
      </c>
      <c r="W14" s="68">
        <f>Data!W103-V14-U14-T14</f>
        <v>-14</v>
      </c>
      <c r="X14" s="67">
        <f t="shared" si="2"/>
        <v>-14</v>
      </c>
      <c r="Y14" s="68">
        <f>Data!Y103</f>
        <v>-7</v>
      </c>
      <c r="Z14" s="68">
        <f>Data!Z103-Y14</f>
        <v>-2</v>
      </c>
      <c r="AA14" s="68">
        <f>Data!AA103-Z14-Y14</f>
        <v>-7</v>
      </c>
      <c r="AB14" s="68">
        <f>Data!AB103-AA14-Z14-Y14</f>
        <v>-9</v>
      </c>
      <c r="AC14" s="67">
        <f t="shared" si="3"/>
        <v>-25</v>
      </c>
      <c r="AD14" s="68">
        <f>Data!AD103</f>
        <v>-8</v>
      </c>
      <c r="AE14" s="68">
        <f>Data!AE103-AD14</f>
        <v>-2</v>
      </c>
      <c r="AF14" s="68">
        <f>Data!AF103-AE14-AD14</f>
        <v>-18</v>
      </c>
      <c r="AG14" s="68">
        <f>Data!AG103-AF14-AE14-AD14</f>
        <v>0</v>
      </c>
      <c r="AH14" s="67">
        <f t="shared" si="4"/>
        <v>-28</v>
      </c>
      <c r="AI14" s="68">
        <f>Data!AI103</f>
        <v>8</v>
      </c>
      <c r="AJ14" s="68">
        <f>Data!AJ103-AI14</f>
        <v>-1</v>
      </c>
      <c r="AK14" s="68">
        <f>Data!AK103-AJ14-AI14</f>
        <v>6</v>
      </c>
      <c r="AL14" s="68">
        <f>Data!AL103-AK14-AJ14-AI14</f>
        <v>23</v>
      </c>
      <c r="AM14" s="67">
        <f t="shared" si="5"/>
        <v>36</v>
      </c>
      <c r="AN14" s="68">
        <f>Data!AN103</f>
        <v>0</v>
      </c>
      <c r="AO14" s="68">
        <f>Data!AO103-AN14</f>
        <v>3</v>
      </c>
      <c r="AP14" s="68">
        <f>Data!AP103-AO14-AN14</f>
        <v>0</v>
      </c>
      <c r="AQ14" s="68">
        <f>Data!AQ103-AP14-AO14-AN14</f>
        <v>3</v>
      </c>
      <c r="AR14" s="67">
        <f t="shared" si="6"/>
        <v>6</v>
      </c>
      <c r="AS14" s="68">
        <f>Data!AS103</f>
        <v>3</v>
      </c>
      <c r="AT14" s="68">
        <f>Data!AT103-AS14</f>
        <v>1</v>
      </c>
      <c r="AU14" s="68">
        <f>Data!AU103-AT14-AS14</f>
        <v>-5</v>
      </c>
      <c r="AV14" s="68">
        <f>Data!AV103-AU14-AT14-AS14</f>
        <v>-10</v>
      </c>
      <c r="AW14" s="67">
        <f t="shared" si="7"/>
        <v>-11</v>
      </c>
      <c r="AX14" s="121">
        <f>Data!AX103</f>
        <v>2</v>
      </c>
      <c r="AY14" s="121">
        <f>Data!AY103-AX14</f>
        <v>0</v>
      </c>
      <c r="AZ14" s="121">
        <f>Data!AZ103-AY14-AX14</f>
        <v>3</v>
      </c>
      <c r="BA14" s="121">
        <f>Data!BA103-AZ14-AY14-AX14</f>
        <v>0</v>
      </c>
      <c r="BB14" s="67">
        <f t="shared" si="8"/>
        <v>5</v>
      </c>
      <c r="BC14" s="121">
        <f>Data!BC103</f>
        <v>0</v>
      </c>
      <c r="BD14" s="121">
        <f>Data!BD103-BC14</f>
        <v>-1</v>
      </c>
      <c r="BE14" s="121">
        <f>Data!BE103-BD14-BC14</f>
        <v>2</v>
      </c>
      <c r="BF14" s="121">
        <f>Data!BF103-BE14-BD14-BC14</f>
        <v>0</v>
      </c>
      <c r="BG14" s="67">
        <f t="shared" si="9"/>
        <v>1</v>
      </c>
      <c r="BH14" s="121">
        <f>Data!BH103</f>
        <v>-1</v>
      </c>
      <c r="BI14" s="121">
        <f>Data!BI103-BH14</f>
        <v>1</v>
      </c>
      <c r="BJ14" s="121">
        <f>Data!BJ103-BI14-BH14</f>
        <v>0</v>
      </c>
      <c r="BK14" s="121">
        <f>Data!BK103-BJ14-BI14-BH14</f>
        <v>0</v>
      </c>
      <c r="BL14" s="67">
        <f t="shared" si="10"/>
        <v>0</v>
      </c>
      <c r="BM14" s="121">
        <f>Data!BM103</f>
        <v>0</v>
      </c>
      <c r="BN14" s="121">
        <f>Data!BN103-BM14</f>
        <v>0</v>
      </c>
      <c r="BO14" s="121">
        <f>Data!BO103-BN14-BM14</f>
        <v>0</v>
      </c>
      <c r="BP14" s="121">
        <f>Data!BP103-BO14-BN14-BM14</f>
        <v>0</v>
      </c>
      <c r="BQ14" s="67">
        <f t="shared" si="11"/>
        <v>0</v>
      </c>
      <c r="BR14" s="121">
        <f>Data!BR103</f>
        <v>0</v>
      </c>
      <c r="BS14" s="121">
        <f>Data!BS103-BR14</f>
        <v>0</v>
      </c>
      <c r="BT14" s="121">
        <f>Data!BT103-BS14-BR14</f>
        <v>0</v>
      </c>
      <c r="BU14" s="121">
        <f>Data!BU103-BT14-BS14-BR14</f>
        <v>0</v>
      </c>
      <c r="BV14" s="67">
        <f t="shared" si="12"/>
        <v>0</v>
      </c>
      <c r="BW14" s="121">
        <f>Data!BW103</f>
        <v>0</v>
      </c>
      <c r="BX14" s="121">
        <f>Data!BX103-BW14</f>
        <v>0</v>
      </c>
      <c r="BY14" s="121">
        <f>Data!BY103-BX14-BW14</f>
        <v>0</v>
      </c>
      <c r="BZ14" s="121">
        <f>Data!BZ103-BY14-BX14-BW14</f>
        <v>0</v>
      </c>
      <c r="CA14" s="67">
        <f t="shared" si="13"/>
        <v>0</v>
      </c>
      <c r="CB14" s="121">
        <f>Data!CB103</f>
        <v>0</v>
      </c>
      <c r="CC14" s="121">
        <f>Data!CC103-CB14</f>
        <v>0</v>
      </c>
      <c r="CD14" s="121">
        <f>Data!CD103-CC14-CB14</f>
        <v>0</v>
      </c>
      <c r="CE14" s="121">
        <f>Data!CE103-CD14-CC14-CB14</f>
        <v>0</v>
      </c>
      <c r="CF14" s="67">
        <f t="shared" si="14"/>
        <v>0</v>
      </c>
      <c r="CG14" s="121">
        <f>Data!CG103</f>
        <v>0</v>
      </c>
      <c r="CH14" s="121">
        <f>Data!CH103-CG14</f>
        <v>0</v>
      </c>
      <c r="CI14" s="121">
        <f>Data!CI103-CH14-CG14</f>
        <v>0</v>
      </c>
      <c r="CJ14" s="121">
        <f>Data!CJ103-CI14-CH14-CG14</f>
        <v>0</v>
      </c>
      <c r="CK14" s="120">
        <f t="shared" si="15"/>
        <v>0</v>
      </c>
      <c r="CL14" s="121">
        <f>Data!CL103</f>
        <v>0</v>
      </c>
      <c r="CM14" s="121">
        <f>Data!CM103-CL14</f>
        <v>0</v>
      </c>
      <c r="CN14" s="121">
        <f>Data!CN103-CM14-CL14</f>
        <v>0</v>
      </c>
      <c r="CO14" s="121">
        <f>Data!CO103-CN14-CM14-CL14</f>
        <v>0</v>
      </c>
      <c r="CP14" s="120">
        <f t="shared" si="16"/>
        <v>0</v>
      </c>
      <c r="CQ14" s="121">
        <f>Data!CQ103</f>
        <v>0</v>
      </c>
      <c r="CR14" s="121">
        <f>Data!CR103-CQ14</f>
        <v>0</v>
      </c>
      <c r="CS14" s="121">
        <f>Data!CS103-CR14-CQ14</f>
        <v>0</v>
      </c>
      <c r="CT14" s="121">
        <f>Data!CT103-CS14-CR14-CQ14</f>
        <v>0</v>
      </c>
      <c r="CU14" s="120">
        <f t="shared" si="17"/>
        <v>0</v>
      </c>
      <c r="CV14" s="121">
        <f>Data!CV103</f>
        <v>0</v>
      </c>
      <c r="CW14" s="121">
        <f>Data!CW103-CV14</f>
        <v>0</v>
      </c>
      <c r="CX14" s="121">
        <f>Data!CX103-CW14-CV14</f>
        <v>0</v>
      </c>
      <c r="CY14" s="121">
        <f>Data!CY103-CX14-CW14-CV14</f>
        <v>0</v>
      </c>
      <c r="CZ14" s="120">
        <f t="shared" si="18"/>
        <v>0</v>
      </c>
      <c r="DA14" s="121">
        <f>Data!DA103</f>
        <v>0</v>
      </c>
      <c r="DB14" s="121">
        <f>Data!DB103-DA14</f>
        <v>0</v>
      </c>
      <c r="DC14" s="121">
        <f>Data!DC103-DB14-DA14</f>
        <v>0</v>
      </c>
      <c r="DD14" s="121">
        <f>Data!DD103-DC14-DB14-DA14</f>
        <v>0</v>
      </c>
      <c r="DE14" s="120">
        <f t="shared" si="19"/>
        <v>0</v>
      </c>
      <c r="DF14" s="121">
        <f>Data!DF103</f>
        <v>0</v>
      </c>
      <c r="DG14" s="121">
        <f>Data!DG103-DF14</f>
        <v>0</v>
      </c>
      <c r="DH14" s="121">
        <f>Data!DH103-DG14-DF14</f>
        <v>0</v>
      </c>
      <c r="DI14" s="121">
        <f>Data!DI103-DH14-DG14-DF14</f>
        <v>0</v>
      </c>
      <c r="DJ14" s="120">
        <f t="shared" si="20"/>
        <v>0</v>
      </c>
      <c r="DK14" s="121">
        <f>Data!DK103</f>
        <v>0</v>
      </c>
      <c r="DL14" s="121">
        <f>Data!DL103-DK14</f>
        <v>0</v>
      </c>
      <c r="DM14" s="121">
        <f>Data!DM103-DL14-DK14</f>
        <v>0</v>
      </c>
      <c r="DN14" s="121">
        <f>Data!DN103-DM14-DL14-DK14</f>
        <v>0</v>
      </c>
      <c r="DO14" s="120">
        <f t="shared" si="21"/>
        <v>0</v>
      </c>
      <c r="DP14" s="121">
        <f>Data!DP103</f>
        <v>0</v>
      </c>
      <c r="DQ14" s="121">
        <f>Data!DQ103-DP14</f>
        <v>0</v>
      </c>
      <c r="DR14" s="179">
        <v>0</v>
      </c>
      <c r="DS14" s="179">
        <v>0</v>
      </c>
      <c r="DT14" s="120">
        <f t="shared" si="22"/>
        <v>0</v>
      </c>
      <c r="DU14" s="179">
        <v>0</v>
      </c>
      <c r="DV14" s="179">
        <v>0</v>
      </c>
      <c r="DW14" s="179">
        <v>0</v>
      </c>
      <c r="DX14" s="179">
        <v>0</v>
      </c>
      <c r="DY14" s="120">
        <f t="shared" si="23"/>
        <v>0</v>
      </c>
      <c r="DZ14" s="180">
        <v>0</v>
      </c>
      <c r="EA14" s="180">
        <v>0</v>
      </c>
      <c r="EB14" s="180">
        <v>0</v>
      </c>
    </row>
    <row r="15" spans="2:132" s="68" customFormat="1" ht="12" customHeight="1">
      <c r="B15" s="159" t="s">
        <v>140</v>
      </c>
      <c r="C15" s="67">
        <f>Data!C104</f>
        <v>0</v>
      </c>
      <c r="D15" s="67">
        <f>Data!D104</f>
        <v>0</v>
      </c>
      <c r="E15" s="67">
        <f>Data!E104</f>
        <v>-87</v>
      </c>
      <c r="F15" s="67">
        <f>Data!F104</f>
        <v>-34</v>
      </c>
      <c r="G15" s="67">
        <f>Data!G104</f>
        <v>-21</v>
      </c>
      <c r="H15" s="67">
        <f>Data!H104</f>
        <v>-44</v>
      </c>
      <c r="I15" s="67">
        <f>Data!I104</f>
        <v>-7</v>
      </c>
      <c r="J15" s="68">
        <f>Data!J104</f>
        <v>0</v>
      </c>
      <c r="K15" s="68">
        <f>Data!K104-J15</f>
        <v>-6</v>
      </c>
      <c r="L15" s="68">
        <f>Data!L104-K15-J15</f>
        <v>-1</v>
      </c>
      <c r="M15" s="68">
        <f>Data!M104-L15-K15-J15</f>
        <v>-16</v>
      </c>
      <c r="N15" s="67">
        <f t="shared" si="0"/>
        <v>-23</v>
      </c>
      <c r="O15" s="68">
        <f>Data!O104</f>
        <v>-25</v>
      </c>
      <c r="P15" s="68">
        <f>Data!P104-O15</f>
        <v>117</v>
      </c>
      <c r="Q15" s="68">
        <f>Data!Q104-P15-O15</f>
        <v>-583</v>
      </c>
      <c r="R15" s="68">
        <f>Data!R104-Q15-P15-O15</f>
        <v>-29</v>
      </c>
      <c r="S15" s="67">
        <f t="shared" si="1"/>
        <v>-520</v>
      </c>
      <c r="T15" s="68">
        <f>Data!T104</f>
        <v>2</v>
      </c>
      <c r="U15" s="68">
        <f>Data!U104-T15</f>
        <v>-6</v>
      </c>
      <c r="V15" s="68">
        <f>Data!V104-U15-T15</f>
        <v>272</v>
      </c>
      <c r="W15" s="68">
        <f>Data!W104-V15-U15-T15</f>
        <v>-42</v>
      </c>
      <c r="X15" s="67">
        <f t="shared" si="2"/>
        <v>226</v>
      </c>
      <c r="Y15" s="68">
        <f>Data!Y104</f>
        <v>2</v>
      </c>
      <c r="Z15" s="68">
        <f>Data!Z104-Y15</f>
        <v>-2</v>
      </c>
      <c r="AA15" s="68">
        <f>Data!AA104-Z15-Y15</f>
        <v>22</v>
      </c>
      <c r="AB15" s="68">
        <f>Data!AB104-AA15-Z15-Y15</f>
        <v>-60</v>
      </c>
      <c r="AC15" s="67">
        <f t="shared" si="3"/>
        <v>-38</v>
      </c>
      <c r="AD15" s="68">
        <f>Data!AD104</f>
        <v>0</v>
      </c>
      <c r="AE15" s="68">
        <f>Data!AE104-AD15</f>
        <v>-2</v>
      </c>
      <c r="AF15" s="68">
        <f>Data!AF104-AE15-AD15</f>
        <v>0</v>
      </c>
      <c r="AG15" s="68">
        <f>Data!AG104-AF15-AE15-AD15</f>
        <v>-2</v>
      </c>
      <c r="AH15" s="67">
        <f t="shared" si="4"/>
        <v>-4</v>
      </c>
      <c r="AI15" s="68">
        <f>Data!AI104</f>
        <v>3</v>
      </c>
      <c r="AJ15" s="68">
        <f>Data!AJ104-AI15</f>
        <v>3</v>
      </c>
      <c r="AK15" s="68">
        <f>Data!AK104-AJ15-AI15</f>
        <v>1</v>
      </c>
      <c r="AL15" s="68">
        <f>Data!AL104-AK15-AJ15-AI15</f>
        <v>17</v>
      </c>
      <c r="AM15" s="67">
        <f t="shared" si="5"/>
        <v>24</v>
      </c>
      <c r="AN15" s="68">
        <f>Data!AN104</f>
        <v>4</v>
      </c>
      <c r="AO15" s="68">
        <f>Data!AO104-AN15</f>
        <v>1</v>
      </c>
      <c r="AP15" s="68">
        <f>Data!AP104-AO15-AN15</f>
        <v>-14</v>
      </c>
      <c r="AQ15" s="68">
        <f>Data!AQ104-AP15-AO15-AN15</f>
        <v>3</v>
      </c>
      <c r="AR15" s="67">
        <f t="shared" si="6"/>
        <v>-6</v>
      </c>
      <c r="AS15" s="68">
        <f>Data!AS104</f>
        <v>0</v>
      </c>
      <c r="AT15" s="68">
        <f>Data!AT104-AS15</f>
        <v>-20</v>
      </c>
      <c r="AU15" s="68">
        <f>Data!AU104-AT15-AS15</f>
        <v>0</v>
      </c>
      <c r="AV15" s="68">
        <f>Data!AV104-AU15-AT15-AS15</f>
        <v>-4</v>
      </c>
      <c r="AW15" s="67">
        <f t="shared" si="7"/>
        <v>-24</v>
      </c>
      <c r="AX15" s="121">
        <f>Data!AX104</f>
        <v>0</v>
      </c>
      <c r="AY15" s="121">
        <f>Data!AY104-AX15</f>
        <v>2</v>
      </c>
      <c r="AZ15" s="121">
        <f>Data!AZ104-AY15-AX15</f>
        <v>1</v>
      </c>
      <c r="BA15" s="121">
        <f>Data!BA104-AZ15-AY15-AX15</f>
        <v>-7</v>
      </c>
      <c r="BB15" s="67">
        <f t="shared" si="8"/>
        <v>-4</v>
      </c>
      <c r="BC15" s="121">
        <f>Data!BC104</f>
        <v>-22</v>
      </c>
      <c r="BD15" s="121">
        <f>Data!BD104-BC15</f>
        <v>0</v>
      </c>
      <c r="BE15" s="121">
        <f>Data!BE104-BD15-BC15</f>
        <v>1</v>
      </c>
      <c r="BF15" s="121">
        <f>Data!BF104-BE15-BD15-BC15</f>
        <v>1</v>
      </c>
      <c r="BG15" s="67">
        <f t="shared" si="9"/>
        <v>-20</v>
      </c>
      <c r="BH15" s="121">
        <f>Data!BH104</f>
        <v>0</v>
      </c>
      <c r="BI15" s="121">
        <f>Data!BI104-BH15</f>
        <v>-2</v>
      </c>
      <c r="BJ15" s="121">
        <f>Data!BJ104-BI15-BH15</f>
        <v>0</v>
      </c>
      <c r="BK15" s="121">
        <f>Data!BK104-BJ15-BI15-BH15</f>
        <v>12</v>
      </c>
      <c r="BL15" s="67">
        <f t="shared" si="10"/>
        <v>10</v>
      </c>
      <c r="BM15" s="121">
        <f>Data!BM104</f>
        <v>-1</v>
      </c>
      <c r="BN15" s="121">
        <f>Data!BN104-BM15</f>
        <v>0</v>
      </c>
      <c r="BO15" s="121">
        <f>Data!BO104-BN15-BM15</f>
        <v>1</v>
      </c>
      <c r="BP15" s="121">
        <f>Data!BP104-BO15-BN15-BM15</f>
        <v>1</v>
      </c>
      <c r="BQ15" s="67">
        <f t="shared" si="11"/>
        <v>1</v>
      </c>
      <c r="BR15" s="121">
        <f>Data!BR104</f>
        <v>-4</v>
      </c>
      <c r="BS15" s="121">
        <f>Data!BS104-BR15</f>
        <v>13</v>
      </c>
      <c r="BT15" s="121">
        <f>Data!BT104-BS15-BR15</f>
        <v>1</v>
      </c>
      <c r="BU15" s="121">
        <f>Data!BU104-BT15-BS15-BR15</f>
        <v>-3</v>
      </c>
      <c r="BV15" s="67">
        <f t="shared" si="12"/>
        <v>7</v>
      </c>
      <c r="BW15" s="121">
        <f>Data!BW104</f>
        <v>-2</v>
      </c>
      <c r="BX15" s="121">
        <f>Data!BX104-BW15</f>
        <v>2</v>
      </c>
      <c r="BY15" s="121">
        <f>Data!BY104-BX15-BW15</f>
        <v>0</v>
      </c>
      <c r="BZ15" s="121">
        <f>Data!BZ104-BY15-BX15-BW15</f>
        <v>-21</v>
      </c>
      <c r="CA15" s="67">
        <f t="shared" si="13"/>
        <v>-21</v>
      </c>
      <c r="CB15" s="121">
        <f>Data!CB104</f>
        <v>-4</v>
      </c>
      <c r="CC15" s="121">
        <f>Data!CC104-CB15</f>
        <v>-3</v>
      </c>
      <c r="CD15" s="121">
        <f>Data!CD104-CC15-CB15</f>
        <v>-69</v>
      </c>
      <c r="CE15" s="121">
        <f>Data!CE104-CD15-CC15-CB15</f>
        <v>1</v>
      </c>
      <c r="CF15" s="67">
        <f t="shared" si="14"/>
        <v>-75</v>
      </c>
      <c r="CG15" s="121">
        <f>Data!CG104</f>
        <v>-108</v>
      </c>
      <c r="CH15" s="121">
        <f>Data!CH104-CG15</f>
        <v>-192</v>
      </c>
      <c r="CI15" s="121">
        <f>Data!CI104-CH15-CG15</f>
        <v>4</v>
      </c>
      <c r="CJ15" s="121">
        <f>Data!CJ104-CI15-CH15-CG15</f>
        <v>-395</v>
      </c>
      <c r="CK15" s="120">
        <f t="shared" si="15"/>
        <v>-691</v>
      </c>
      <c r="CL15" s="121">
        <f>Data!CL104</f>
        <v>-54</v>
      </c>
      <c r="CM15" s="121">
        <f>Data!CM104-CL15</f>
        <v>-38</v>
      </c>
      <c r="CN15" s="121">
        <f>Data!CN104-CM15-CL15</f>
        <v>-108</v>
      </c>
      <c r="CO15" s="121">
        <f>Data!CO104-CN15-CM15-CL15</f>
        <v>-2</v>
      </c>
      <c r="CP15" s="120">
        <f t="shared" si="16"/>
        <v>-202</v>
      </c>
      <c r="CQ15" s="121">
        <f>Data!CQ104</f>
        <v>-2</v>
      </c>
      <c r="CR15" s="121">
        <f>Data!CR104-CQ15</f>
        <v>0</v>
      </c>
      <c r="CS15" s="121">
        <f>Data!CS104-CR15-CQ15</f>
        <v>-1</v>
      </c>
      <c r="CT15" s="121">
        <f>Data!CT104-CS15-CR15-CQ15</f>
        <v>-274</v>
      </c>
      <c r="CU15" s="120">
        <f t="shared" si="17"/>
        <v>-277</v>
      </c>
      <c r="CV15" s="121">
        <f>Data!CV104</f>
        <v>-1</v>
      </c>
      <c r="CW15" s="121">
        <f>Data!CW104-CV15</f>
        <v>-1</v>
      </c>
      <c r="CX15" s="121">
        <f>Data!CX104-CW15-CV15</f>
        <v>0</v>
      </c>
      <c r="CY15" s="121">
        <f>Data!CY104-CX15-CW15-CV15</f>
        <v>2</v>
      </c>
      <c r="CZ15" s="120">
        <f t="shared" si="18"/>
        <v>0</v>
      </c>
      <c r="DA15" s="121">
        <f>Data!DA104</f>
        <v>0</v>
      </c>
      <c r="DB15" s="121">
        <f>Data!DB104-DA15</f>
        <v>-1</v>
      </c>
      <c r="DC15" s="121">
        <f>Data!DC104-DB15-DA15</f>
        <v>0</v>
      </c>
      <c r="DD15" s="121">
        <f>Data!DD104-DC15-DB15-DA15</f>
        <v>-1</v>
      </c>
      <c r="DE15" s="120">
        <f t="shared" si="19"/>
        <v>-2</v>
      </c>
      <c r="DF15" s="121">
        <f>Data!DF104</f>
        <v>0</v>
      </c>
      <c r="DG15" s="121">
        <f>Data!DG104-DF15</f>
        <v>-5</v>
      </c>
      <c r="DH15" s="121">
        <f>Data!DH104-DG15-DF15</f>
        <v>0</v>
      </c>
      <c r="DI15" s="121">
        <f>Data!DI104-DH15-DG15-DF15</f>
        <v>-41</v>
      </c>
      <c r="DJ15" s="120">
        <f t="shared" si="20"/>
        <v>-46</v>
      </c>
      <c r="DK15" s="121">
        <f>Data!DK104</f>
        <v>0</v>
      </c>
      <c r="DL15" s="121">
        <f>Data!DL104-DK15</f>
        <v>-64</v>
      </c>
      <c r="DM15" s="121">
        <f>Data!DM104-DL15-DK15</f>
        <v>1</v>
      </c>
      <c r="DN15" s="121">
        <f>Data!DN104-DM15-DL15-DK15</f>
        <v>-9609</v>
      </c>
      <c r="DO15" s="120">
        <f t="shared" si="21"/>
        <v>-9672</v>
      </c>
      <c r="DP15" s="121">
        <f>Data!DP104</f>
        <v>-12</v>
      </c>
      <c r="DQ15" s="121">
        <f>Data!DQ104-DP15</f>
        <v>-67</v>
      </c>
      <c r="DR15" s="179">
        <v>0</v>
      </c>
      <c r="DS15" s="179">
        <v>0</v>
      </c>
      <c r="DT15" s="120">
        <f t="shared" si="22"/>
        <v>-79</v>
      </c>
      <c r="DU15" s="179">
        <v>0</v>
      </c>
      <c r="DV15" s="179">
        <v>0</v>
      </c>
      <c r="DW15" s="179">
        <v>0</v>
      </c>
      <c r="DX15" s="179">
        <v>0</v>
      </c>
      <c r="DY15" s="120">
        <f t="shared" si="23"/>
        <v>0</v>
      </c>
      <c r="DZ15" s="180">
        <v>0</v>
      </c>
      <c r="EA15" s="180">
        <v>0</v>
      </c>
      <c r="EB15" s="180">
        <v>0</v>
      </c>
    </row>
    <row r="16" spans="2:132" s="68" customFormat="1" ht="12" customHeight="1">
      <c r="B16" s="159" t="s">
        <v>89</v>
      </c>
      <c r="C16" s="67">
        <f>Data!C105</f>
        <v>1400</v>
      </c>
      <c r="D16" s="67">
        <f>Data!D105</f>
        <v>0</v>
      </c>
      <c r="E16" s="67">
        <f>Data!E105</f>
        <v>0</v>
      </c>
      <c r="F16" s="67">
        <f>Data!F105</f>
        <v>557</v>
      </c>
      <c r="G16" s="67">
        <f>Data!G105</f>
        <v>-1</v>
      </c>
      <c r="H16" s="67">
        <f>Data!H105</f>
        <v>1284</v>
      </c>
      <c r="I16" s="67">
        <f>Data!I105</f>
        <v>829</v>
      </c>
      <c r="J16" s="68">
        <f>Data!J105</f>
        <v>55</v>
      </c>
      <c r="K16" s="68">
        <f>Data!K105-J16</f>
        <v>119</v>
      </c>
      <c r="L16" s="68">
        <f>Data!L105-K16-J16</f>
        <v>124</v>
      </c>
      <c r="M16" s="68">
        <f>Data!M105-L16-K16-J16</f>
        <v>594</v>
      </c>
      <c r="N16" s="67">
        <f t="shared" si="0"/>
        <v>892</v>
      </c>
      <c r="O16" s="68">
        <f>Data!O105</f>
        <v>259</v>
      </c>
      <c r="P16" s="68">
        <f>Data!P105-O16</f>
        <v>243</v>
      </c>
      <c r="Q16" s="68">
        <f>Data!Q105-P16-O16</f>
        <v>364</v>
      </c>
      <c r="R16" s="68">
        <f>Data!R105-Q16-P16-O16</f>
        <v>488</v>
      </c>
      <c r="S16" s="67">
        <f t="shared" si="1"/>
        <v>1354</v>
      </c>
      <c r="T16" s="68">
        <f>Data!T105</f>
        <v>233</v>
      </c>
      <c r="U16" s="68">
        <f>Data!U105-T16</f>
        <v>160</v>
      </c>
      <c r="V16" s="68">
        <f>Data!V105-U16-T16</f>
        <v>244</v>
      </c>
      <c r="W16" s="68">
        <f>Data!W105-V16-U16-T16</f>
        <v>191</v>
      </c>
      <c r="X16" s="67">
        <f t="shared" si="2"/>
        <v>828</v>
      </c>
      <c r="Y16" s="68">
        <f>Data!Y105</f>
        <v>317</v>
      </c>
      <c r="Z16" s="68">
        <f>Data!Z105-Y16</f>
        <v>259</v>
      </c>
      <c r="AA16" s="68">
        <f>Data!AA105-Z16-Y16</f>
        <v>325</v>
      </c>
      <c r="AB16" s="68">
        <f>Data!AB105-AA16-Z16-Y16</f>
        <v>378</v>
      </c>
      <c r="AC16" s="67">
        <f t="shared" si="3"/>
        <v>1279</v>
      </c>
      <c r="AD16" s="68">
        <f>Data!AD105</f>
        <v>56</v>
      </c>
      <c r="AE16" s="68">
        <f>Data!AE105-AD16</f>
        <v>22</v>
      </c>
      <c r="AF16" s="68">
        <f>Data!AF105-AE16-AD16</f>
        <v>5</v>
      </c>
      <c r="AG16" s="68">
        <f>Data!AG105-AF16-AE16-AD16</f>
        <v>33</v>
      </c>
      <c r="AH16" s="67">
        <f t="shared" si="4"/>
        <v>116</v>
      </c>
      <c r="AI16" s="68">
        <f>Data!AI105</f>
        <v>63</v>
      </c>
      <c r="AJ16" s="68">
        <f>Data!AJ105-AI16</f>
        <v>15</v>
      </c>
      <c r="AK16" s="68">
        <f>Data!AK105-AJ16-AI16</f>
        <v>92</v>
      </c>
      <c r="AL16" s="68">
        <f>Data!AL105-AK16-AJ16-AI16</f>
        <v>44</v>
      </c>
      <c r="AM16" s="67">
        <f t="shared" si="5"/>
        <v>214</v>
      </c>
      <c r="AN16" s="68">
        <f>Data!AN105</f>
        <v>30</v>
      </c>
      <c r="AO16" s="68">
        <f>Data!AO105-AN16</f>
        <v>15</v>
      </c>
      <c r="AP16" s="68">
        <f>Data!AP105-AO16-AN16</f>
        <v>58</v>
      </c>
      <c r="AQ16" s="68">
        <f>Data!AQ105-AP16-AO16-AN16</f>
        <v>409</v>
      </c>
      <c r="AR16" s="67">
        <f t="shared" si="6"/>
        <v>512</v>
      </c>
      <c r="AS16" s="68">
        <f>Data!AS105</f>
        <v>113</v>
      </c>
      <c r="AT16" s="68">
        <f>Data!AT105-AS16</f>
        <v>110</v>
      </c>
      <c r="AU16" s="68">
        <f>Data!AU105-AT16-AS16</f>
        <v>135</v>
      </c>
      <c r="AV16" s="68">
        <f>Data!AV105-AU16-AT16-AS16</f>
        <v>142</v>
      </c>
      <c r="AW16" s="67">
        <f t="shared" si="7"/>
        <v>500</v>
      </c>
      <c r="AX16" s="121">
        <f>Data!AX105</f>
        <v>150</v>
      </c>
      <c r="AY16" s="121">
        <f>Data!AY105-AX16</f>
        <v>211</v>
      </c>
      <c r="AZ16" s="121">
        <f>Data!AZ105-AY16-AX16</f>
        <v>198</v>
      </c>
      <c r="BA16" s="121">
        <f>Data!BA105-AZ16-AY16-AX16</f>
        <v>135</v>
      </c>
      <c r="BB16" s="67">
        <f t="shared" si="8"/>
        <v>694</v>
      </c>
      <c r="BC16" s="121">
        <f>Data!BC105</f>
        <v>53</v>
      </c>
      <c r="BD16" s="121">
        <f>Data!BD105-BC16</f>
        <v>-22</v>
      </c>
      <c r="BE16" s="121">
        <f>Data!BE105-BD16-BC16</f>
        <v>17</v>
      </c>
      <c r="BF16" s="121">
        <f>Data!BF105-BE16-BD16-BC16</f>
        <v>480</v>
      </c>
      <c r="BG16" s="67">
        <f t="shared" si="9"/>
        <v>528</v>
      </c>
      <c r="BH16" s="121">
        <f>Data!BH105</f>
        <v>47</v>
      </c>
      <c r="BI16" s="121">
        <f>Data!BI105-BH16</f>
        <v>40</v>
      </c>
      <c r="BJ16" s="121">
        <f>Data!BJ105-BI16-BH16</f>
        <v>58</v>
      </c>
      <c r="BK16" s="121">
        <f>Data!BK105-BJ16-BI16-BH16</f>
        <v>172</v>
      </c>
      <c r="BL16" s="67">
        <f t="shared" si="10"/>
        <v>317</v>
      </c>
      <c r="BM16" s="121">
        <f>Data!BM105</f>
        <v>76</v>
      </c>
      <c r="BN16" s="121">
        <f>Data!BN105-BM16</f>
        <v>64</v>
      </c>
      <c r="BO16" s="121">
        <f>Data!BO105-BN16-BM16</f>
        <v>90</v>
      </c>
      <c r="BP16" s="121">
        <f>Data!BP105-BO16-BN16-BM16</f>
        <v>134</v>
      </c>
      <c r="BQ16" s="67">
        <f t="shared" si="11"/>
        <v>364</v>
      </c>
      <c r="BR16" s="121">
        <f>Data!BR105</f>
        <v>84</v>
      </c>
      <c r="BS16" s="121">
        <f>Data!BS105-BR16</f>
        <v>57</v>
      </c>
      <c r="BT16" s="121">
        <f>Data!BT105-BS16-BR16</f>
        <v>78</v>
      </c>
      <c r="BU16" s="121">
        <f>Data!BU105-BT16-BS16-BR16</f>
        <v>150</v>
      </c>
      <c r="BV16" s="67">
        <f t="shared" si="12"/>
        <v>369</v>
      </c>
      <c r="BW16" s="121">
        <f>Data!BW105</f>
        <v>52</v>
      </c>
      <c r="BX16" s="121">
        <f>Data!BX105-BW16</f>
        <v>77</v>
      </c>
      <c r="BY16" s="121">
        <f>Data!BY105-BX16-BW16</f>
        <v>61</v>
      </c>
      <c r="BZ16" s="121">
        <f>Data!BZ105-BY16-BX16-BW16</f>
        <v>97</v>
      </c>
      <c r="CA16" s="67">
        <f t="shared" si="13"/>
        <v>287</v>
      </c>
      <c r="CB16" s="121">
        <f>Data!CB105</f>
        <v>60</v>
      </c>
      <c r="CC16" s="121">
        <f>Data!CC105-CB16</f>
        <v>52</v>
      </c>
      <c r="CD16" s="121">
        <f>Data!CD105-CC16-CB16</f>
        <v>46</v>
      </c>
      <c r="CE16" s="121">
        <f>Data!CE105-CD16-CC16-CB16</f>
        <v>89</v>
      </c>
      <c r="CF16" s="67">
        <f t="shared" si="14"/>
        <v>247</v>
      </c>
      <c r="CG16" s="121">
        <f>Data!CG105</f>
        <v>74</v>
      </c>
      <c r="CH16" s="121">
        <f>Data!CH105-CG16</f>
        <v>71</v>
      </c>
      <c r="CI16" s="121">
        <f>Data!CI105-CH16-CG16</f>
        <v>45</v>
      </c>
      <c r="CJ16" s="121">
        <f>Data!CJ105-CI16-CH16-CG16</f>
        <v>144</v>
      </c>
      <c r="CK16" s="120">
        <f t="shared" si="15"/>
        <v>334</v>
      </c>
      <c r="CL16" s="121">
        <f>Data!CL105</f>
        <v>97</v>
      </c>
      <c r="CM16" s="121">
        <f>Data!CM105-CL16</f>
        <v>718</v>
      </c>
      <c r="CN16" s="121">
        <f>Data!CN105-CM16-CL16</f>
        <v>97</v>
      </c>
      <c r="CO16" s="121">
        <f>Data!CO105-CN16-CM16-CL16</f>
        <v>7043</v>
      </c>
      <c r="CP16" s="120">
        <f t="shared" si="16"/>
        <v>7955</v>
      </c>
      <c r="CQ16" s="121">
        <f>Data!CQ105</f>
        <v>341</v>
      </c>
      <c r="CR16" s="121">
        <f>Data!CR105-CQ16</f>
        <v>173</v>
      </c>
      <c r="CS16" s="121">
        <f>Data!CS105-CR16-CQ16</f>
        <v>72</v>
      </c>
      <c r="CT16" s="121">
        <f>Data!CT105-CS16-CR16-CQ16</f>
        <v>4467</v>
      </c>
      <c r="CU16" s="120">
        <f t="shared" si="17"/>
        <v>5053</v>
      </c>
      <c r="CV16" s="121">
        <f>Data!CV105</f>
        <v>552</v>
      </c>
      <c r="CW16" s="121">
        <f>Data!CW105-CV16</f>
        <v>362</v>
      </c>
      <c r="CX16" s="121">
        <f>Data!CX105-CW16-CV16</f>
        <v>441</v>
      </c>
      <c r="CY16" s="121">
        <f>Data!CY105-CX16-CW16-CV16</f>
        <v>255</v>
      </c>
      <c r="CZ16" s="120">
        <f t="shared" si="18"/>
        <v>1610</v>
      </c>
      <c r="DA16" s="121">
        <f>Data!DA105</f>
        <v>586</v>
      </c>
      <c r="DB16" s="121">
        <f>Data!DB105-DA16</f>
        <v>306</v>
      </c>
      <c r="DC16" s="121">
        <f>Data!DC105-DB16-DA16</f>
        <v>287</v>
      </c>
      <c r="DD16" s="121">
        <f>Data!DD105-DC16-DB16-DA16</f>
        <v>339</v>
      </c>
      <c r="DE16" s="120">
        <f t="shared" si="19"/>
        <v>1518</v>
      </c>
      <c r="DF16" s="121">
        <f>Data!DF105</f>
        <v>616</v>
      </c>
      <c r="DG16" s="121">
        <f>Data!DG105-DF16</f>
        <v>303</v>
      </c>
      <c r="DH16" s="121">
        <f>Data!DH105-DG16-DF16</f>
        <v>3672</v>
      </c>
      <c r="DI16" s="121">
        <f>Data!DI105-DH16-DG16-DF16</f>
        <v>1617</v>
      </c>
      <c r="DJ16" s="120">
        <f t="shared" si="20"/>
        <v>6208</v>
      </c>
      <c r="DK16" s="121">
        <f>Data!DK105</f>
        <v>520</v>
      </c>
      <c r="DL16" s="121">
        <f>Data!DL105-DK16</f>
        <v>435</v>
      </c>
      <c r="DM16" s="121">
        <f>Data!DM105-DL16-DK16</f>
        <v>5575</v>
      </c>
      <c r="DN16" s="121">
        <f>Data!DN105-DM16-DL16-DK16</f>
        <v>547</v>
      </c>
      <c r="DO16" s="120">
        <f t="shared" si="21"/>
        <v>7077</v>
      </c>
      <c r="DP16" s="121">
        <f>Data!DP105</f>
        <v>511</v>
      </c>
      <c r="DQ16" s="121">
        <f>Data!DQ105-DP16</f>
        <v>493</v>
      </c>
      <c r="DR16" s="68">
        <f t="shared" ref="DR16:DS16" si="24">DR32-SUM(DR7:DR15)-DR17-DR18</f>
        <v>-6392.9383816307582</v>
      </c>
      <c r="DS16" s="68">
        <f t="shared" si="24"/>
        <v>-2110.2737197937804</v>
      </c>
      <c r="DT16" s="120">
        <f t="shared" si="22"/>
        <v>-7499.2121014245386</v>
      </c>
      <c r="DU16" s="68">
        <f t="shared" ref="DU16" si="25">DU32-SUM(DU7:DU15)-DU17-DU18</f>
        <v>27733.609649909875</v>
      </c>
      <c r="DV16" s="68">
        <f t="shared" ref="DV16:DX16" si="26">DV32-SUM(DV7:DV15)-DV17-DV18</f>
        <v>-8111.9680007146835</v>
      </c>
      <c r="DW16" s="68">
        <f t="shared" si="26"/>
        <v>-1710.571470331349</v>
      </c>
      <c r="DX16" s="68">
        <f t="shared" si="26"/>
        <v>-1889.9645265587214</v>
      </c>
      <c r="DY16" s="120">
        <f t="shared" si="23"/>
        <v>16021.105652305119</v>
      </c>
      <c r="DZ16" s="67">
        <f t="shared" ref="DZ16:EB16" si="27">DZ32-SUM(DZ7:DZ15)-DZ17-DZ18</f>
        <v>-11547.070823459446</v>
      </c>
      <c r="EA16" s="67">
        <f t="shared" si="27"/>
        <v>8683.1148558642089</v>
      </c>
      <c r="EB16" s="67">
        <f t="shared" si="27"/>
        <v>5579.1604807671793</v>
      </c>
    </row>
    <row r="17" spans="2:132" s="68" customFormat="1" ht="12" customHeight="1">
      <c r="B17" s="159" t="s">
        <v>340</v>
      </c>
      <c r="C17" s="67">
        <f>Data!C106</f>
        <v>0</v>
      </c>
      <c r="D17" s="67">
        <f>Data!D106</f>
        <v>0</v>
      </c>
      <c r="E17" s="67">
        <f>Data!E106</f>
        <v>0</v>
      </c>
      <c r="F17" s="67">
        <f>Data!F106</f>
        <v>0</v>
      </c>
      <c r="G17" s="67">
        <f>Data!G106</f>
        <v>0</v>
      </c>
      <c r="H17" s="67">
        <f>Data!H106</f>
        <v>0</v>
      </c>
      <c r="I17" s="67">
        <f>Data!I106</f>
        <v>0</v>
      </c>
      <c r="J17" s="68">
        <f>Data!J106</f>
        <v>0</v>
      </c>
      <c r="K17" s="68">
        <f>Data!K106-J17</f>
        <v>0</v>
      </c>
      <c r="L17" s="68">
        <f>Data!L106-K17-J17</f>
        <v>0</v>
      </c>
      <c r="M17" s="68">
        <f>Data!M106-L17-K17-J17</f>
        <v>0</v>
      </c>
      <c r="N17" s="67">
        <f t="shared" si="0"/>
        <v>0</v>
      </c>
      <c r="O17" s="68">
        <f>Data!O106</f>
        <v>-22</v>
      </c>
      <c r="P17" s="68">
        <f>Data!P106-O17</f>
        <v>-24</v>
      </c>
      <c r="Q17" s="68">
        <f>Data!Q106-P17-O17</f>
        <v>0</v>
      </c>
      <c r="R17" s="68">
        <f>Data!R106-Q17-P17-O17</f>
        <v>-24</v>
      </c>
      <c r="S17" s="67">
        <f t="shared" si="1"/>
        <v>-70</v>
      </c>
      <c r="T17" s="68">
        <f>Data!T106</f>
        <v>-41</v>
      </c>
      <c r="U17" s="68">
        <f>Data!U106-T17</f>
        <v>-77</v>
      </c>
      <c r="V17" s="68">
        <f>Data!V106-U17-T17</f>
        <v>0</v>
      </c>
      <c r="W17" s="68">
        <f>Data!W106-V17-U17-T17</f>
        <v>-277</v>
      </c>
      <c r="X17" s="67">
        <f t="shared" si="2"/>
        <v>-395</v>
      </c>
      <c r="Y17" s="68">
        <f>Data!Y106</f>
        <v>-31</v>
      </c>
      <c r="Z17" s="68">
        <f>Data!Z106-Y17</f>
        <v>-76</v>
      </c>
      <c r="AA17" s="68">
        <f>Data!AA106-Z17-Y17</f>
        <v>-34</v>
      </c>
      <c r="AB17" s="68">
        <f>Data!AB106-AA17-Z17-Y17</f>
        <v>-3</v>
      </c>
      <c r="AC17" s="67">
        <f t="shared" si="3"/>
        <v>-144</v>
      </c>
      <c r="AD17" s="68">
        <f>Data!AD106</f>
        <v>-43</v>
      </c>
      <c r="AE17" s="68">
        <f>Data!AE106-AD17</f>
        <v>-2</v>
      </c>
      <c r="AF17" s="68">
        <f>Data!AF106-AE17-AD17</f>
        <v>-55</v>
      </c>
      <c r="AG17" s="68">
        <f>Data!AG106-AF17-AE17-AD17</f>
        <v>0</v>
      </c>
      <c r="AH17" s="67">
        <f t="shared" si="4"/>
        <v>-100</v>
      </c>
      <c r="AI17" s="68">
        <f>Data!AI106</f>
        <v>-5</v>
      </c>
      <c r="AJ17" s="68">
        <f>Data!AJ106-AI17</f>
        <v>0</v>
      </c>
      <c r="AK17" s="68">
        <f>Data!AK106-AJ17-AI17</f>
        <v>0</v>
      </c>
      <c r="AL17" s="68">
        <f>Data!AL106-AK17-AJ17-AI17</f>
        <v>0</v>
      </c>
      <c r="AM17" s="67">
        <f t="shared" si="5"/>
        <v>-5</v>
      </c>
      <c r="AN17" s="68">
        <f>Data!AN106</f>
        <v>-8</v>
      </c>
      <c r="AO17" s="68">
        <f>Data!AO106-AN17</f>
        <v>-7</v>
      </c>
      <c r="AP17" s="68">
        <f>Data!AP106-AO17-AN17</f>
        <v>-2</v>
      </c>
      <c r="AQ17" s="68">
        <f>Data!AQ106-AP17-AO17-AN17</f>
        <v>-2</v>
      </c>
      <c r="AR17" s="67">
        <f t="shared" si="6"/>
        <v>-19</v>
      </c>
      <c r="AS17" s="68">
        <f>Data!AS106</f>
        <v>-22</v>
      </c>
      <c r="AT17" s="68">
        <f>Data!AT106-AS17</f>
        <v>-10</v>
      </c>
      <c r="AU17" s="68">
        <f>Data!AU106-AT17-AS17</f>
        <v>-3</v>
      </c>
      <c r="AV17" s="68">
        <f>Data!AV106-AU17-AT17-AS17</f>
        <v>-1</v>
      </c>
      <c r="AW17" s="67">
        <f t="shared" si="7"/>
        <v>-36</v>
      </c>
      <c r="AX17" s="121">
        <f>Data!AX106</f>
        <v>-40</v>
      </c>
      <c r="AY17" s="121">
        <f>Data!AY106-AX17</f>
        <v>1</v>
      </c>
      <c r="AZ17" s="121">
        <f>Data!AZ106-AY17-AX17</f>
        <v>-4</v>
      </c>
      <c r="BA17" s="121">
        <f>Data!BA106-AZ17-AY17-AX17</f>
        <v>-2</v>
      </c>
      <c r="BB17" s="67">
        <f t="shared" si="8"/>
        <v>-45</v>
      </c>
      <c r="BC17" s="121">
        <f>Data!BC106</f>
        <v>-23</v>
      </c>
      <c r="BD17" s="121">
        <f>Data!BD106-BC17</f>
        <v>-24</v>
      </c>
      <c r="BE17" s="121">
        <f>Data!BE106-BD17-BC17</f>
        <v>-39</v>
      </c>
      <c r="BF17" s="121">
        <f>Data!BF106-BE17-BD17-BC17</f>
        <v>-42</v>
      </c>
      <c r="BG17" s="67">
        <f>SUM(BC17:BF17)</f>
        <v>-128</v>
      </c>
      <c r="BH17" s="121">
        <f>Data!BH106</f>
        <v>-68</v>
      </c>
      <c r="BI17" s="121">
        <f>Data!BI106-BH17</f>
        <v>-29</v>
      </c>
      <c r="BJ17" s="121">
        <f>Data!BJ106-BI17-BH17</f>
        <v>-7</v>
      </c>
      <c r="BK17" s="121">
        <f>Data!BK106-BJ17-BI17-BH17</f>
        <v>-10</v>
      </c>
      <c r="BL17" s="67">
        <f>SUM(BH17:BK17)</f>
        <v>-114</v>
      </c>
      <c r="BM17" s="121">
        <f>Data!BM106</f>
        <v>-112</v>
      </c>
      <c r="BN17" s="121">
        <f>Data!BN106-BM17</f>
        <v>-12</v>
      </c>
      <c r="BO17" s="121">
        <f>Data!BO106-BN17-BM17</f>
        <v>-15</v>
      </c>
      <c r="BP17" s="121">
        <f>Data!BP106-BO17-BN17-BM17</f>
        <v>-18</v>
      </c>
      <c r="BQ17" s="67">
        <f>SUM(BM17:BP17)</f>
        <v>-157</v>
      </c>
      <c r="BR17" s="121">
        <f>Data!BR106</f>
        <v>-44</v>
      </c>
      <c r="BS17" s="121">
        <f>Data!BS106-BR17</f>
        <v>44</v>
      </c>
      <c r="BT17" s="121">
        <f>Data!BT106-BS17-BR17</f>
        <v>0</v>
      </c>
      <c r="BU17" s="121">
        <f>Data!BU106-BT17-BS17-BR17</f>
        <v>0</v>
      </c>
      <c r="BV17" s="67">
        <f>SUM(BR17:BU17)</f>
        <v>0</v>
      </c>
      <c r="BW17" s="121">
        <f>Data!BW106</f>
        <v>0</v>
      </c>
      <c r="BX17" s="121">
        <f>Data!BX106-BW17</f>
        <v>0</v>
      </c>
      <c r="BY17" s="121">
        <f>Data!BY106-BX17-BW17</f>
        <v>0</v>
      </c>
      <c r="BZ17" s="121">
        <f>Data!BZ106-BY17-BX17-BW17</f>
        <v>0</v>
      </c>
      <c r="CA17" s="67">
        <f>SUM(BW17:BZ17)</f>
        <v>0</v>
      </c>
      <c r="CB17" s="121">
        <f>Data!CB106</f>
        <v>0</v>
      </c>
      <c r="CC17" s="121">
        <f>Data!CC106-CB17</f>
        <v>0</v>
      </c>
      <c r="CD17" s="121">
        <f>Data!CD106-CC17-CB17</f>
        <v>0</v>
      </c>
      <c r="CE17" s="121">
        <f>Data!CE106-CD17-CC17-CB17</f>
        <v>0</v>
      </c>
      <c r="CF17" s="67">
        <f>SUM(CB17:CE17)</f>
        <v>0</v>
      </c>
      <c r="CG17" s="121">
        <f>Data!CG106</f>
        <v>0</v>
      </c>
      <c r="CH17" s="121">
        <f>Data!CH106-CG17</f>
        <v>0</v>
      </c>
      <c r="CI17" s="121">
        <f>Data!CI106-CH17-CG17</f>
        <v>0</v>
      </c>
      <c r="CJ17" s="121">
        <f>Data!CJ106-CI17-CH17-CG17</f>
        <v>0</v>
      </c>
      <c r="CK17" s="120">
        <f>SUM(CG17:CJ17)</f>
        <v>0</v>
      </c>
      <c r="CL17" s="121">
        <f>Data!CL106</f>
        <v>0</v>
      </c>
      <c r="CM17" s="121">
        <f>Data!CM106-CL17</f>
        <v>0</v>
      </c>
      <c r="CN17" s="121">
        <f>Data!CN106-CM17-CL17</f>
        <v>0</v>
      </c>
      <c r="CO17" s="121">
        <f>Data!CO106-CN17-CM17-CL17</f>
        <v>0</v>
      </c>
      <c r="CP17" s="120">
        <f>SUM(CL17:CO17)</f>
        <v>0</v>
      </c>
      <c r="CQ17" s="121">
        <f>Data!CQ106</f>
        <v>0</v>
      </c>
      <c r="CR17" s="121">
        <f>Data!CR106-CQ17</f>
        <v>0</v>
      </c>
      <c r="CS17" s="121">
        <f>Data!CS106-CR17-CQ17</f>
        <v>0</v>
      </c>
      <c r="CT17" s="121">
        <f>Data!CT106-CS17-CR17-CQ17</f>
        <v>0</v>
      </c>
      <c r="CU17" s="120">
        <f>SUM(CQ17:CT17)</f>
        <v>0</v>
      </c>
      <c r="CV17" s="121">
        <f>Data!CV106</f>
        <v>0</v>
      </c>
      <c r="CW17" s="121">
        <f>Data!CW106-CV17</f>
        <v>0</v>
      </c>
      <c r="CX17" s="121">
        <f>Data!CX106-CW17-CV17</f>
        <v>0</v>
      </c>
      <c r="CY17" s="121">
        <f>Data!CY106-CX17-CW17-CV17</f>
        <v>0</v>
      </c>
      <c r="CZ17" s="120">
        <f>SUM(CV17:CY17)</f>
        <v>0</v>
      </c>
      <c r="DA17" s="121">
        <f>Data!DA106</f>
        <v>0</v>
      </c>
      <c r="DB17" s="121">
        <f>Data!DB106-DA17</f>
        <v>0</v>
      </c>
      <c r="DC17" s="121">
        <f>Data!DC106-DB17-DA17</f>
        <v>0</v>
      </c>
      <c r="DD17" s="121">
        <f>Data!DD106-DC17-DB17-DA17</f>
        <v>0</v>
      </c>
      <c r="DE17" s="120">
        <f>SUM(DA17:DD17)</f>
        <v>0</v>
      </c>
      <c r="DF17" s="121">
        <f>Data!DF106</f>
        <v>0</v>
      </c>
      <c r="DG17" s="121">
        <f>Data!DG106-DF17</f>
        <v>0</v>
      </c>
      <c r="DH17" s="121">
        <f>Data!DH106-DG17-DF17</f>
        <v>0</v>
      </c>
      <c r="DI17" s="121">
        <f>Data!DI106-DH17-DG17-DF17</f>
        <v>0</v>
      </c>
      <c r="DJ17" s="120">
        <f>SUM(DF17:DI17)</f>
        <v>0</v>
      </c>
      <c r="DK17" s="121">
        <f>Data!DK106</f>
        <v>0</v>
      </c>
      <c r="DL17" s="121">
        <f>Data!DL106-DK17</f>
        <v>0</v>
      </c>
      <c r="DM17" s="121">
        <f>Data!DM106-DL17-DK17</f>
        <v>0</v>
      </c>
      <c r="DN17" s="121">
        <f>Data!DN106-DM17-DL17-DK17</f>
        <v>0</v>
      </c>
      <c r="DO17" s="120">
        <f>SUM(DK17:DN17)</f>
        <v>0</v>
      </c>
      <c r="DP17" s="121">
        <f>Data!DP106</f>
        <v>0</v>
      </c>
      <c r="DQ17" s="121">
        <f>Data!DQ106-DP17</f>
        <v>0</v>
      </c>
      <c r="DR17" s="179">
        <v>0</v>
      </c>
      <c r="DS17" s="179">
        <v>0</v>
      </c>
      <c r="DT17" s="120">
        <f>SUM(DP17:DS17)</f>
        <v>0</v>
      </c>
      <c r="DU17" s="179">
        <v>0</v>
      </c>
      <c r="DV17" s="179">
        <v>0</v>
      </c>
      <c r="DW17" s="179">
        <v>0</v>
      </c>
      <c r="DX17" s="179">
        <v>0</v>
      </c>
      <c r="DY17" s="120">
        <f>SUM(DU17:DX17)</f>
        <v>0</v>
      </c>
      <c r="DZ17" s="180">
        <v>0</v>
      </c>
      <c r="EA17" s="180">
        <v>0</v>
      </c>
      <c r="EB17" s="180">
        <v>0</v>
      </c>
    </row>
    <row r="18" spans="2:132" s="68" customFormat="1" ht="12" customHeight="1">
      <c r="B18" s="68" t="s">
        <v>147</v>
      </c>
      <c r="C18" s="69">
        <f>SUM(C19:C31)</f>
        <v>-481</v>
      </c>
      <c r="D18" s="69">
        <f t="shared" ref="D18:AW18" si="28">SUM(D19:D31)</f>
        <v>-528</v>
      </c>
      <c r="E18" s="69">
        <f t="shared" si="28"/>
        <v>2076</v>
      </c>
      <c r="F18" s="69">
        <f t="shared" si="28"/>
        <v>1483</v>
      </c>
      <c r="G18" s="69">
        <f t="shared" si="28"/>
        <v>-1161</v>
      </c>
      <c r="H18" s="69">
        <f t="shared" si="28"/>
        <v>111</v>
      </c>
      <c r="I18" s="69">
        <f t="shared" si="28"/>
        <v>28</v>
      </c>
      <c r="J18" s="70">
        <f t="shared" si="28"/>
        <v>-1125</v>
      </c>
      <c r="K18" s="70">
        <f t="shared" si="28"/>
        <v>222</v>
      </c>
      <c r="L18" s="70">
        <f t="shared" si="28"/>
        <v>-384</v>
      </c>
      <c r="M18" s="70">
        <f t="shared" si="28"/>
        <v>-197</v>
      </c>
      <c r="N18" s="69">
        <f t="shared" si="28"/>
        <v>-1484</v>
      </c>
      <c r="O18" s="70">
        <f t="shared" si="28"/>
        <v>-23</v>
      </c>
      <c r="P18" s="70">
        <f t="shared" si="28"/>
        <v>1149</v>
      </c>
      <c r="Q18" s="70">
        <f t="shared" si="28"/>
        <v>-980</v>
      </c>
      <c r="R18" s="70">
        <f t="shared" si="28"/>
        <v>972</v>
      </c>
      <c r="S18" s="69">
        <f t="shared" si="28"/>
        <v>1118</v>
      </c>
      <c r="T18" s="70">
        <f t="shared" si="28"/>
        <v>598</v>
      </c>
      <c r="U18" s="70">
        <f t="shared" si="28"/>
        <v>1860</v>
      </c>
      <c r="V18" s="70">
        <f t="shared" si="28"/>
        <v>-1205</v>
      </c>
      <c r="W18" s="70">
        <f t="shared" si="28"/>
        <v>934</v>
      </c>
      <c r="X18" s="69">
        <f t="shared" si="28"/>
        <v>2187</v>
      </c>
      <c r="Y18" s="70">
        <f t="shared" si="28"/>
        <v>-804</v>
      </c>
      <c r="Z18" s="70">
        <f t="shared" si="28"/>
        <v>1859</v>
      </c>
      <c r="AA18" s="70">
        <f t="shared" si="28"/>
        <v>1512</v>
      </c>
      <c r="AB18" s="70">
        <f t="shared" si="28"/>
        <v>108</v>
      </c>
      <c r="AC18" s="69">
        <f t="shared" si="28"/>
        <v>2675</v>
      </c>
      <c r="AD18" s="70">
        <f t="shared" si="28"/>
        <v>314</v>
      </c>
      <c r="AE18" s="70">
        <f t="shared" si="28"/>
        <v>-1622</v>
      </c>
      <c r="AF18" s="70">
        <f t="shared" si="28"/>
        <v>-1498</v>
      </c>
      <c r="AG18" s="70">
        <f t="shared" si="28"/>
        <v>-2096</v>
      </c>
      <c r="AH18" s="69">
        <f t="shared" si="28"/>
        <v>-4902</v>
      </c>
      <c r="AI18" s="70">
        <f t="shared" si="28"/>
        <v>-962</v>
      </c>
      <c r="AJ18" s="70">
        <f t="shared" si="28"/>
        <v>-490</v>
      </c>
      <c r="AK18" s="70">
        <f t="shared" si="28"/>
        <v>2131</v>
      </c>
      <c r="AL18" s="70">
        <f>SUM(AL19:AL31)</f>
        <v>1231</v>
      </c>
      <c r="AM18" s="69">
        <f t="shared" si="28"/>
        <v>1910</v>
      </c>
      <c r="AN18" s="70">
        <f>SUM(AN19:AN31)</f>
        <v>-1333</v>
      </c>
      <c r="AO18" s="70">
        <f>SUM(AO19:AO31)</f>
        <v>-1049</v>
      </c>
      <c r="AP18" s="70">
        <f>SUM(AP19:AP31)</f>
        <v>387</v>
      </c>
      <c r="AQ18" s="70">
        <f>SUM(AQ19:AQ31)</f>
        <v>-1039</v>
      </c>
      <c r="AR18" s="69">
        <f t="shared" si="28"/>
        <v>-3034</v>
      </c>
      <c r="AS18" s="70">
        <f>SUM(AS19:AS31)</f>
        <v>-2063</v>
      </c>
      <c r="AT18" s="70">
        <f>SUM(AT19:AT31)</f>
        <v>141</v>
      </c>
      <c r="AU18" s="70">
        <f>SUM(AU19:AU31)</f>
        <v>-1121</v>
      </c>
      <c r="AV18" s="70">
        <f>SUM(AV19:AV31)</f>
        <v>908</v>
      </c>
      <c r="AW18" s="69">
        <f t="shared" si="28"/>
        <v>-2135</v>
      </c>
      <c r="AX18" s="70">
        <f t="shared" ref="AX18:BA18" si="29">SUM(AX19:AX31)</f>
        <v>-710</v>
      </c>
      <c r="AY18" s="70">
        <f t="shared" si="29"/>
        <v>-752</v>
      </c>
      <c r="AZ18" s="70">
        <f t="shared" si="29"/>
        <v>-159</v>
      </c>
      <c r="BA18" s="70">
        <f t="shared" si="29"/>
        <v>2501</v>
      </c>
      <c r="BB18" s="69">
        <f t="shared" ref="BB18:BP18" si="30">SUM(BB19:BB31)</f>
        <v>880</v>
      </c>
      <c r="BC18" s="70">
        <f t="shared" si="30"/>
        <v>-1100</v>
      </c>
      <c r="BD18" s="70">
        <f t="shared" si="30"/>
        <v>1943</v>
      </c>
      <c r="BE18" s="70">
        <f t="shared" si="30"/>
        <v>1152</v>
      </c>
      <c r="BF18" s="70">
        <f t="shared" si="30"/>
        <v>-917</v>
      </c>
      <c r="BG18" s="69">
        <f t="shared" si="30"/>
        <v>1078</v>
      </c>
      <c r="BH18" s="70">
        <f t="shared" ref="BH18:BK18" si="31">SUM(BH19:BH31)</f>
        <v>-337</v>
      </c>
      <c r="BI18" s="70">
        <f t="shared" si="31"/>
        <v>-359</v>
      </c>
      <c r="BJ18" s="70">
        <f t="shared" si="31"/>
        <v>-1107</v>
      </c>
      <c r="BK18" s="70">
        <f t="shared" si="31"/>
        <v>2700</v>
      </c>
      <c r="BL18" s="69">
        <f t="shared" si="30"/>
        <v>897</v>
      </c>
      <c r="BM18" s="70">
        <f t="shared" si="30"/>
        <v>-1735</v>
      </c>
      <c r="BN18" s="70">
        <f t="shared" si="30"/>
        <v>1584</v>
      </c>
      <c r="BO18" s="70">
        <f t="shared" si="30"/>
        <v>543</v>
      </c>
      <c r="BP18" s="70">
        <f t="shared" si="30"/>
        <v>1403</v>
      </c>
      <c r="BQ18" s="69">
        <f t="shared" ref="BQ18:BU18" si="32">SUM(BQ19:BQ31)</f>
        <v>1795</v>
      </c>
      <c r="BR18" s="70">
        <f t="shared" si="32"/>
        <v>-549</v>
      </c>
      <c r="BS18" s="70">
        <f t="shared" si="32"/>
        <v>2846</v>
      </c>
      <c r="BT18" s="70">
        <f t="shared" si="32"/>
        <v>313</v>
      </c>
      <c r="BU18" s="70">
        <f t="shared" si="32"/>
        <v>435</v>
      </c>
      <c r="BV18" s="69">
        <f t="shared" ref="BV18:CA18" si="33">SUM(BV19:BV31)</f>
        <v>3045</v>
      </c>
      <c r="BW18" s="70">
        <f t="shared" si="33"/>
        <v>42</v>
      </c>
      <c r="BX18" s="70">
        <f t="shared" si="33"/>
        <v>2547</v>
      </c>
      <c r="BY18" s="70">
        <f t="shared" si="33"/>
        <v>879</v>
      </c>
      <c r="BZ18" s="70">
        <f t="shared" si="33"/>
        <v>-973</v>
      </c>
      <c r="CA18" s="69">
        <f t="shared" si="33"/>
        <v>2495</v>
      </c>
      <c r="CB18" s="70">
        <f t="shared" ref="CB18:CE18" si="34">SUM(CB19:CB31)</f>
        <v>38</v>
      </c>
      <c r="CC18" s="70">
        <f t="shared" si="34"/>
        <v>1852</v>
      </c>
      <c r="CD18" s="70">
        <f t="shared" si="34"/>
        <v>1626</v>
      </c>
      <c r="CE18" s="70">
        <f t="shared" si="34"/>
        <v>-1232</v>
      </c>
      <c r="CF18" s="69">
        <f>SUM(CF19:CF31)</f>
        <v>2284</v>
      </c>
      <c r="CG18" s="70">
        <f t="shared" ref="CG18:CJ18" si="35">SUM(CG19:CG31)</f>
        <v>-178</v>
      </c>
      <c r="CH18" s="70">
        <f t="shared" si="35"/>
        <v>1834</v>
      </c>
      <c r="CI18" s="70">
        <f t="shared" si="35"/>
        <v>-4308</v>
      </c>
      <c r="CJ18" s="70">
        <f t="shared" si="35"/>
        <v>-1977</v>
      </c>
      <c r="CK18" s="69">
        <f>SUM(CK19:CK31)</f>
        <v>-4629</v>
      </c>
      <c r="CL18" s="70">
        <f t="shared" ref="CL18:CO18" si="36">SUM(CL19:CL31)</f>
        <v>-4341</v>
      </c>
      <c r="CM18" s="70">
        <f t="shared" si="36"/>
        <v>-4435</v>
      </c>
      <c r="CN18" s="70">
        <f t="shared" si="36"/>
        <v>-4997</v>
      </c>
      <c r="CO18" s="70">
        <f t="shared" si="36"/>
        <v>-3367</v>
      </c>
      <c r="CP18" s="69">
        <f>SUM(CP19:CP31)</f>
        <v>-17140</v>
      </c>
      <c r="CQ18" s="70">
        <f t="shared" ref="CQ18:CT18" si="37">SUM(CQ19:CQ31)</f>
        <v>-4038</v>
      </c>
      <c r="CR18" s="70">
        <f t="shared" si="37"/>
        <v>-1968</v>
      </c>
      <c r="CS18" s="70">
        <f t="shared" si="37"/>
        <v>-942</v>
      </c>
      <c r="CT18" s="70">
        <f t="shared" si="37"/>
        <v>-29</v>
      </c>
      <c r="CU18" s="69">
        <f>SUM(CU19:CU31)</f>
        <v>-6977</v>
      </c>
      <c r="CV18" s="70">
        <f t="shared" ref="CV18:CY18" si="38">SUM(CV19:CV31)</f>
        <v>-3286</v>
      </c>
      <c r="CW18" s="70">
        <f t="shared" si="38"/>
        <v>-1087</v>
      </c>
      <c r="CX18" s="70">
        <f t="shared" si="38"/>
        <v>5382</v>
      </c>
      <c r="CY18" s="70">
        <f t="shared" si="38"/>
        <v>3130</v>
      </c>
      <c r="CZ18" s="69">
        <f>SUM(CZ19:CZ31)</f>
        <v>4139</v>
      </c>
      <c r="DA18" s="70">
        <f t="shared" ref="DA18:DD18" si="39">SUM(DA19:DA31)</f>
        <v>-1169</v>
      </c>
      <c r="DB18" s="70">
        <f t="shared" si="39"/>
        <v>2103</v>
      </c>
      <c r="DC18" s="70">
        <f t="shared" si="39"/>
        <v>739</v>
      </c>
      <c r="DD18" s="70">
        <f t="shared" si="39"/>
        <v>2416</v>
      </c>
      <c r="DE18" s="69">
        <f>SUM(DE19:DE31)</f>
        <v>4089</v>
      </c>
      <c r="DF18" s="70">
        <f t="shared" ref="DF18:DI18" si="40">SUM(DF19:DF31)</f>
        <v>-4205</v>
      </c>
      <c r="DG18" s="70">
        <f t="shared" si="40"/>
        <v>-3325</v>
      </c>
      <c r="DH18" s="70">
        <f t="shared" si="40"/>
        <v>597</v>
      </c>
      <c r="DI18" s="70">
        <f t="shared" si="40"/>
        <v>-1835</v>
      </c>
      <c r="DJ18" s="69">
        <f>SUM(DJ19:DJ31)</f>
        <v>-8768</v>
      </c>
      <c r="DK18" s="70">
        <f t="shared" ref="DK18:DN18" si="41">SUM(DK19:DK31)</f>
        <v>-2713</v>
      </c>
      <c r="DL18" s="70">
        <f t="shared" si="41"/>
        <v>-134</v>
      </c>
      <c r="DM18" s="70">
        <f t="shared" si="41"/>
        <v>304</v>
      </c>
      <c r="DN18" s="70">
        <f t="shared" si="41"/>
        <v>1541</v>
      </c>
      <c r="DO18" s="69">
        <f>SUM(DO19:DO31)</f>
        <v>-1002</v>
      </c>
      <c r="DP18" s="70">
        <f t="shared" ref="DP18:DQ18" si="42">SUM(DP19:DP31)</f>
        <v>-1414</v>
      </c>
      <c r="DQ18" s="70">
        <f t="shared" si="42"/>
        <v>658</v>
      </c>
      <c r="DR18" s="70">
        <f t="shared" ref="DR18:DS18" si="43">SUM(DR19:DR31)</f>
        <v>6853.5893066595108</v>
      </c>
      <c r="DS18" s="70">
        <f t="shared" si="43"/>
        <v>4720.6997283613764</v>
      </c>
      <c r="DT18" s="69">
        <f>SUM(DT19:DT31)</f>
        <v>10818.289035020887</v>
      </c>
      <c r="DU18" s="70">
        <f t="shared" ref="DU18:DX18" si="44">SUM(DU19:DU31)</f>
        <v>-29532.962834978385</v>
      </c>
      <c r="DV18" s="70">
        <f t="shared" si="44"/>
        <v>8582.1435243512897</v>
      </c>
      <c r="DW18" s="70">
        <f t="shared" si="44"/>
        <v>3330.9752141592098</v>
      </c>
      <c r="DX18" s="70">
        <f t="shared" si="44"/>
        <v>4333.1486366492391</v>
      </c>
      <c r="DY18" s="69">
        <f>SUM(DY19:DY31)</f>
        <v>-13286.695459818648</v>
      </c>
      <c r="DZ18" s="69">
        <f t="shared" ref="DZ18:EB18" si="45">SUM(DZ19:DZ31)</f>
        <v>14207.614666953008</v>
      </c>
      <c r="EA18" s="69">
        <f t="shared" si="45"/>
        <v>-6558.6222607372729</v>
      </c>
      <c r="EB18" s="69">
        <f t="shared" si="45"/>
        <v>-4132.5400357046674</v>
      </c>
    </row>
    <row r="19" spans="2:132" s="68" customFormat="1" ht="12" customHeight="1">
      <c r="B19" s="157" t="s">
        <v>90</v>
      </c>
      <c r="C19" s="67">
        <f>Data!C108</f>
        <v>-251</v>
      </c>
      <c r="D19" s="67">
        <f>Data!D108</f>
        <v>-167</v>
      </c>
      <c r="E19" s="67">
        <f>Data!E108</f>
        <v>-225</v>
      </c>
      <c r="F19" s="67">
        <f>Data!F108</f>
        <v>-768</v>
      </c>
      <c r="G19" s="67">
        <f>Data!G108</f>
        <v>342</v>
      </c>
      <c r="H19" s="67">
        <f>Data!H108</f>
        <v>-155</v>
      </c>
      <c r="I19" s="67">
        <f>Data!I108</f>
        <v>357</v>
      </c>
      <c r="J19" s="68">
        <f>Data!J108</f>
        <v>-378</v>
      </c>
      <c r="K19" s="68">
        <f>Data!K108-J19</f>
        <v>259</v>
      </c>
      <c r="L19" s="68">
        <f>Data!L108-K19-J19</f>
        <v>-619</v>
      </c>
      <c r="M19" s="68">
        <f>Data!M108-L19-K19-J19</f>
        <v>497</v>
      </c>
      <c r="N19" s="67">
        <f t="shared" si="0"/>
        <v>-241</v>
      </c>
      <c r="O19" s="68">
        <f>Data!O108</f>
        <v>-695</v>
      </c>
      <c r="P19" s="68">
        <f>Data!P108-O19</f>
        <v>185</v>
      </c>
      <c r="Q19" s="68">
        <f>Data!Q108-P19-O19</f>
        <v>164</v>
      </c>
      <c r="R19" s="68">
        <f>Data!R108-Q19-P19-O19</f>
        <v>-246</v>
      </c>
      <c r="S19" s="67">
        <f t="shared" si="1"/>
        <v>-592</v>
      </c>
      <c r="T19" s="68">
        <f>Data!T108</f>
        <v>78</v>
      </c>
      <c r="U19" s="68">
        <f>Data!U108-T19</f>
        <v>543</v>
      </c>
      <c r="V19" s="68">
        <f>Data!V108-U19-T19</f>
        <v>-455</v>
      </c>
      <c r="W19" s="68">
        <f>Data!W108-V19-U19-T19</f>
        <v>-410</v>
      </c>
      <c r="X19" s="67">
        <f t="shared" si="2"/>
        <v>-244</v>
      </c>
      <c r="Y19" s="68">
        <f>Data!Y108</f>
        <v>-231</v>
      </c>
      <c r="Z19" s="68">
        <f>Data!Z108-Y19</f>
        <v>-530</v>
      </c>
      <c r="AA19" s="68">
        <f>Data!AA108-Z19-Y19</f>
        <v>403</v>
      </c>
      <c r="AB19" s="68">
        <f>Data!AB108-AA19-Z19-Y19</f>
        <v>-34</v>
      </c>
      <c r="AC19" s="67">
        <f t="shared" si="3"/>
        <v>-392</v>
      </c>
      <c r="AD19" s="68">
        <f>Data!AD108</f>
        <v>197</v>
      </c>
      <c r="AE19" s="68">
        <f>Data!AE108-AD19</f>
        <v>-326</v>
      </c>
      <c r="AF19" s="68">
        <f>Data!AF108-AE19-AD19</f>
        <v>-16</v>
      </c>
      <c r="AG19" s="68">
        <f>Data!AG108-AF19-AE19-AD19</f>
        <v>709</v>
      </c>
      <c r="AH19" s="67">
        <f t="shared" si="4"/>
        <v>564</v>
      </c>
      <c r="AI19" s="68">
        <f>Data!AI108</f>
        <v>-869</v>
      </c>
      <c r="AJ19" s="68">
        <f>Data!AJ108-AI19</f>
        <v>-346</v>
      </c>
      <c r="AK19" s="68">
        <f>Data!AK108-AJ19-AI19</f>
        <v>397</v>
      </c>
      <c r="AL19" s="68">
        <f>Data!AL108-AK19-AJ19-AI19</f>
        <v>427</v>
      </c>
      <c r="AM19" s="67">
        <f t="shared" si="5"/>
        <v>-391</v>
      </c>
      <c r="AN19" s="241">
        <f>Data!AN108</f>
        <v>-572</v>
      </c>
      <c r="AO19" s="68">
        <f>Data!AO108-AN19</f>
        <v>-255</v>
      </c>
      <c r="AP19" s="68">
        <f>Data!AP108-AO19-AN19</f>
        <v>126</v>
      </c>
      <c r="AQ19" s="68">
        <f>Data!AQ108-AP19-AO19-AN19</f>
        <v>709</v>
      </c>
      <c r="AR19" s="67">
        <f>SUM(AN19:AQ19)</f>
        <v>8</v>
      </c>
      <c r="AS19" s="241">
        <f>Data!AS108</f>
        <v>-633</v>
      </c>
      <c r="AT19" s="68">
        <f>Data!AT108-AS19</f>
        <v>-114</v>
      </c>
      <c r="AU19" s="68">
        <f>Data!AU108-AT19-AS19</f>
        <v>-164</v>
      </c>
      <c r="AV19" s="68">
        <f>Data!AV108-AU19-AT19-AS19</f>
        <v>619</v>
      </c>
      <c r="AW19" s="67">
        <f>SUM(AS19:AV19)</f>
        <v>-292</v>
      </c>
      <c r="AX19" s="121">
        <f>Data!AX108</f>
        <v>-729</v>
      </c>
      <c r="AY19" s="121">
        <f>Data!AY108-AX19</f>
        <v>419</v>
      </c>
      <c r="AZ19" s="121">
        <f>Data!AZ108-AY19-AX19</f>
        <v>460</v>
      </c>
      <c r="BA19" s="121">
        <f>Data!BA108-AZ19-AY19-AX19</f>
        <v>-177</v>
      </c>
      <c r="BB19" s="67">
        <f>SUM(AX19:BA19)</f>
        <v>-27</v>
      </c>
      <c r="BC19" s="121">
        <f>Data!BC108</f>
        <v>-437</v>
      </c>
      <c r="BD19" s="121">
        <f>Data!BD108-BC19</f>
        <v>-113</v>
      </c>
      <c r="BE19" s="121">
        <f>Data!BE108-BD19-BC19</f>
        <v>-456</v>
      </c>
      <c r="BF19" s="121">
        <f>Data!BF108-BE19-BD19-BC19</f>
        <v>127</v>
      </c>
      <c r="BG19" s="67">
        <f>SUM(BC19:BF19)</f>
        <v>-879</v>
      </c>
      <c r="BH19" s="121">
        <f>Data!BH108</f>
        <v>-792</v>
      </c>
      <c r="BI19" s="121">
        <f>Data!BI108-BH19</f>
        <v>-494</v>
      </c>
      <c r="BJ19" s="121">
        <f>Data!BJ108-BI19-BH19</f>
        <v>-99</v>
      </c>
      <c r="BK19" s="121">
        <f>Data!BK108-BJ19-BI19-BH19</f>
        <v>57</v>
      </c>
      <c r="BL19" s="67">
        <f>SUM(BH19:BK19)</f>
        <v>-1328</v>
      </c>
      <c r="BM19" s="121">
        <f>Data!BM108</f>
        <v>-389</v>
      </c>
      <c r="BN19" s="121">
        <f>Data!BN108-BM19</f>
        <v>76</v>
      </c>
      <c r="BO19" s="121">
        <f>Data!BO108-BN19-BM19</f>
        <v>-889</v>
      </c>
      <c r="BP19" s="121">
        <f>Data!BP108-BO19-BN19-BM19</f>
        <v>133</v>
      </c>
      <c r="BQ19" s="67">
        <f>SUM(BM19:BP19)</f>
        <v>-1069</v>
      </c>
      <c r="BR19" s="121">
        <f>Data!BR108</f>
        <v>-1002</v>
      </c>
      <c r="BS19" s="121">
        <f>Data!BS108-BR19</f>
        <v>499</v>
      </c>
      <c r="BT19" s="121">
        <f>Data!BT108-BS19-BR19</f>
        <v>-14</v>
      </c>
      <c r="BU19" s="121">
        <f>Data!BU108-BT19-BS19-BR19</f>
        <v>629</v>
      </c>
      <c r="BV19" s="67">
        <f>SUM(BR19:BU19)</f>
        <v>112</v>
      </c>
      <c r="BW19" s="121">
        <f>Data!BW108</f>
        <v>-769</v>
      </c>
      <c r="BX19" s="121">
        <f>Data!BX108-BW19</f>
        <v>-143</v>
      </c>
      <c r="BY19" s="121">
        <f>Data!BY108-BX19-BW19</f>
        <v>-1071</v>
      </c>
      <c r="BZ19" s="121">
        <f>Data!BZ108-BY19-BX19-BW19</f>
        <v>162</v>
      </c>
      <c r="CA19" s="67">
        <f>SUM(BW19:BZ19)</f>
        <v>-1821</v>
      </c>
      <c r="CB19" s="121">
        <f>Data!CB108</f>
        <v>92</v>
      </c>
      <c r="CC19" s="121">
        <f>Data!CC108-CB19</f>
        <v>-30</v>
      </c>
      <c r="CD19" s="121">
        <f>Data!CD108-CC19-CB19</f>
        <v>-52</v>
      </c>
      <c r="CE19" s="121">
        <f>Data!CE108-CD19-CC19-CB19</f>
        <v>-805</v>
      </c>
      <c r="CF19" s="67">
        <f>SUM(CB19:CE19)</f>
        <v>-795</v>
      </c>
      <c r="CG19" s="121">
        <f>Data!CG108</f>
        <v>206</v>
      </c>
      <c r="CH19" s="121">
        <f>Data!CH108-CG19</f>
        <v>382</v>
      </c>
      <c r="CI19" s="121">
        <f>Data!CI108-CH19-CG19</f>
        <v>-273</v>
      </c>
      <c r="CJ19" s="121">
        <f>Data!CJ108-CI19-CH19-CG19</f>
        <v>288</v>
      </c>
      <c r="CK19" s="120">
        <f>SUM(CG19:CJ19)</f>
        <v>603</v>
      </c>
      <c r="CL19" s="121">
        <f>Data!CL108</f>
        <v>-54</v>
      </c>
      <c r="CM19" s="121">
        <f>Data!CM108-CL19</f>
        <v>197</v>
      </c>
      <c r="CN19" s="121">
        <f>Data!CN108-CM19-CL19</f>
        <v>-18</v>
      </c>
      <c r="CO19" s="121">
        <f>Data!CO108-CN19-CM19-CL19</f>
        <v>784</v>
      </c>
      <c r="CP19" s="120">
        <f>SUM(CL19:CO19)</f>
        <v>909</v>
      </c>
      <c r="CQ19" s="121">
        <f>Data!CQ108</f>
        <v>-394</v>
      </c>
      <c r="CR19" s="121">
        <f>Data!CR108-CQ19</f>
        <v>-129</v>
      </c>
      <c r="CS19" s="121">
        <f>Data!CS108-CR19-CQ19</f>
        <v>243</v>
      </c>
      <c r="CT19" s="121">
        <f>Data!CT108-CS19-CR19-CQ19</f>
        <v>-433</v>
      </c>
      <c r="CU19" s="120">
        <f>SUM(CQ19:CT19)</f>
        <v>-713</v>
      </c>
      <c r="CV19" s="121">
        <f>Data!CV108</f>
        <v>237</v>
      </c>
      <c r="CW19" s="121">
        <f>Data!CW108-CV19</f>
        <v>-587</v>
      </c>
      <c r="CX19" s="121">
        <f>Data!CX108-CW19-CV19</f>
        <v>328</v>
      </c>
      <c r="CY19" s="121">
        <f>Data!CY108-CX19-CW19-CV19</f>
        <v>164</v>
      </c>
      <c r="CZ19" s="120">
        <f>SUM(CV19:CY19)</f>
        <v>142</v>
      </c>
      <c r="DA19" s="121">
        <f>Data!DA108</f>
        <v>-341</v>
      </c>
      <c r="DB19" s="121">
        <f>Data!DB108-DA19</f>
        <v>-92</v>
      </c>
      <c r="DC19" s="121">
        <f>Data!DC108-DB19-DA19</f>
        <v>-90</v>
      </c>
      <c r="DD19" s="121">
        <f>Data!DD108-DC19-DB19-DA19</f>
        <v>395</v>
      </c>
      <c r="DE19" s="120">
        <f>SUM(DA19:DD19)</f>
        <v>-128</v>
      </c>
      <c r="DF19" s="121">
        <f>Data!DF108</f>
        <v>-328</v>
      </c>
      <c r="DG19" s="121">
        <f>Data!DG108-DF19</f>
        <v>-194</v>
      </c>
      <c r="DH19" s="121">
        <f>Data!DH108-DG19-DF19</f>
        <v>247</v>
      </c>
      <c r="DI19" s="121">
        <f>Data!DI108-DH19-DG19-DF19</f>
        <v>238</v>
      </c>
      <c r="DJ19" s="120">
        <f>SUM(DF19:DI19)</f>
        <v>-37</v>
      </c>
      <c r="DK19" s="121">
        <f>Data!DK108</f>
        <v>-570</v>
      </c>
      <c r="DL19" s="121">
        <f>Data!DL108-DK19</f>
        <v>-113</v>
      </c>
      <c r="DM19" s="121">
        <f>Data!DM108-DL19-DK19</f>
        <v>-153</v>
      </c>
      <c r="DN19" s="121">
        <f>Data!DN108-DM19-DL19-DK19</f>
        <v>741</v>
      </c>
      <c r="DO19" s="120">
        <f>SUM(DK19:DN19)</f>
        <v>-95</v>
      </c>
      <c r="DP19" s="121">
        <f>Data!DP108</f>
        <v>-509</v>
      </c>
      <c r="DQ19" s="121">
        <f>Data!DQ108-DP19</f>
        <v>-44</v>
      </c>
      <c r="DR19" s="184">
        <f>BS!DQ9-BS!DR9</f>
        <v>1151.7290989413177</v>
      </c>
      <c r="DS19" s="184">
        <f>BS!DR9-BS!DS9</f>
        <v>-174.6620355485793</v>
      </c>
      <c r="DT19" s="120">
        <f>SUM(DP19:DS19)</f>
        <v>424.06706339273842</v>
      </c>
      <c r="DU19" s="184">
        <f>BS!DT9-BS!DU9</f>
        <v>36.830051136434577</v>
      </c>
      <c r="DV19" s="184">
        <f>BS!DU9-BS!DV9</f>
        <v>-189.96865105914094</v>
      </c>
      <c r="DW19" s="184">
        <f>BS!DV9-BS!DW9</f>
        <v>-151.11683419284691</v>
      </c>
      <c r="DX19" s="184">
        <f>BS!DW9-BS!DX9</f>
        <v>-244.81832638662445</v>
      </c>
      <c r="DY19" s="120">
        <f>SUM(DU19:DX19)</f>
        <v>-549.07376050217772</v>
      </c>
      <c r="DZ19" s="185">
        <f>BS!DY9-BS!DZ9</f>
        <v>66.580134282749896</v>
      </c>
      <c r="EA19" s="185">
        <f>BS!DZ9-BS!EA9</f>
        <v>-310.43526966400213</v>
      </c>
      <c r="EB19" s="185">
        <f>BS!EA9-BS!EB9</f>
        <v>-200.94049613566131</v>
      </c>
    </row>
    <row r="20" spans="2:132" s="68" customFormat="1" ht="12" customHeight="1">
      <c r="B20" s="536" t="s">
        <v>593</v>
      </c>
      <c r="C20" s="67"/>
      <c r="D20" s="67"/>
      <c r="E20" s="67"/>
      <c r="F20" s="67"/>
      <c r="G20" s="67"/>
      <c r="H20" s="67"/>
      <c r="I20" s="67"/>
      <c r="N20" s="67"/>
      <c r="S20" s="67"/>
      <c r="X20" s="67"/>
      <c r="AC20" s="67"/>
      <c r="AH20" s="67"/>
      <c r="AM20" s="67"/>
      <c r="AN20" s="241"/>
      <c r="AR20" s="67"/>
      <c r="AS20" s="241"/>
      <c r="AW20" s="67"/>
      <c r="AX20" s="121"/>
      <c r="AY20" s="121"/>
      <c r="AZ20" s="121"/>
      <c r="BA20" s="121"/>
      <c r="BB20" s="67"/>
      <c r="BC20" s="121"/>
      <c r="BD20" s="121"/>
      <c r="BE20" s="121"/>
      <c r="BF20" s="121"/>
      <c r="BG20" s="67"/>
      <c r="BH20" s="121"/>
      <c r="BI20" s="121"/>
      <c r="BJ20" s="121"/>
      <c r="BK20" s="121"/>
      <c r="BL20" s="67"/>
      <c r="BM20" s="121"/>
      <c r="BN20" s="121"/>
      <c r="BO20" s="121"/>
      <c r="BP20" s="121"/>
      <c r="BQ20" s="67"/>
      <c r="BR20" s="121"/>
      <c r="BS20" s="121"/>
      <c r="BT20" s="121"/>
      <c r="BU20" s="121"/>
      <c r="BV20" s="67"/>
      <c r="BW20" s="121"/>
      <c r="BX20" s="121"/>
      <c r="BY20" s="121"/>
      <c r="BZ20" s="121"/>
      <c r="CA20" s="67"/>
      <c r="CB20" s="121">
        <f>Data!CB109</f>
        <v>-1628</v>
      </c>
      <c r="CC20" s="121">
        <f>Data!CC109-CB20</f>
        <v>-47</v>
      </c>
      <c r="CD20" s="121">
        <f>Data!CD109-CC20-CB20</f>
        <v>-57</v>
      </c>
      <c r="CE20" s="121">
        <f>Data!CE109-CD20-CC20-CB20</f>
        <v>-94</v>
      </c>
      <c r="CF20" s="67">
        <f>SUM(CB20:CE20)</f>
        <v>-1826</v>
      </c>
      <c r="CG20" s="121">
        <f>Data!CG109</f>
        <v>-183</v>
      </c>
      <c r="CH20" s="121">
        <f>Data!CH109-CG20</f>
        <v>-39</v>
      </c>
      <c r="CI20" s="121">
        <f>Data!CI109-CH20-CG20</f>
        <v>-831</v>
      </c>
      <c r="CJ20" s="121">
        <f>Data!CJ109-CI20-CH20-CG20</f>
        <v>2035</v>
      </c>
      <c r="CK20" s="120">
        <f>SUM(CG20:CJ20)</f>
        <v>982</v>
      </c>
      <c r="CL20" s="121">
        <f>Data!CL109</f>
        <v>-402</v>
      </c>
      <c r="CM20" s="121">
        <f>Data!CM109-CL20</f>
        <v>687</v>
      </c>
      <c r="CN20" s="121">
        <f>Data!CN109-CM20-CL20</f>
        <v>-229</v>
      </c>
      <c r="CO20" s="121">
        <f>Data!CO109-CN20-CM20-CL20</f>
        <v>863</v>
      </c>
      <c r="CP20" s="120">
        <f>SUM(CL20:CO20)</f>
        <v>919</v>
      </c>
      <c r="CQ20" s="121">
        <f>Data!CQ109</f>
        <v>-790</v>
      </c>
      <c r="CR20" s="121">
        <f>Data!CR109-CQ20</f>
        <v>-417</v>
      </c>
      <c r="CS20" s="121">
        <f>Data!CS109-CR20-CQ20</f>
        <v>-803</v>
      </c>
      <c r="CT20" s="121">
        <f>Data!CT109-CS20-CR20-CQ20</f>
        <v>1424</v>
      </c>
      <c r="CU20" s="120">
        <f>SUM(CQ20:CT20)</f>
        <v>-586</v>
      </c>
      <c r="CV20" s="121">
        <f>Data!CV109</f>
        <v>-356</v>
      </c>
      <c r="CW20" s="121">
        <f>Data!CW109-CV20</f>
        <v>-402</v>
      </c>
      <c r="CX20" s="121">
        <f>Data!CX109-CW20-CV20</f>
        <v>80</v>
      </c>
      <c r="CY20" s="121">
        <f>Data!CY109-CX20-CW20-CV20</f>
        <v>684</v>
      </c>
      <c r="CZ20" s="120">
        <f>SUM(CV20:CY20)</f>
        <v>6</v>
      </c>
      <c r="DA20" s="121">
        <f>Data!DA109</f>
        <v>-1055</v>
      </c>
      <c r="DB20" s="121">
        <f>Data!DB109-DA20</f>
        <v>334</v>
      </c>
      <c r="DC20" s="121">
        <f>Data!DC109-DB20-DA20</f>
        <v>174</v>
      </c>
      <c r="DD20" s="121">
        <f>Data!DD109-DC20-DB20-DA20</f>
        <v>868</v>
      </c>
      <c r="DE20" s="120">
        <f>SUM(DA20:DD20)</f>
        <v>321</v>
      </c>
      <c r="DF20" s="121">
        <f>Data!DF109</f>
        <v>-1357</v>
      </c>
      <c r="DG20" s="121">
        <f>Data!DG109-DF20</f>
        <v>12</v>
      </c>
      <c r="DH20" s="121">
        <f>Data!DH109-DG20-DF20</f>
        <v>303</v>
      </c>
      <c r="DI20" s="121">
        <f>Data!DI109-DH20-DG20-DF20</f>
        <v>982</v>
      </c>
      <c r="DJ20" s="120">
        <f>SUM(DF20:DI20)</f>
        <v>-60</v>
      </c>
      <c r="DK20" s="121">
        <f>Data!DK109</f>
        <v>-671</v>
      </c>
      <c r="DL20" s="121">
        <f>Data!DL109-DK20</f>
        <v>-237</v>
      </c>
      <c r="DM20" s="121">
        <f>Data!DM109-DL20-DK20</f>
        <v>229</v>
      </c>
      <c r="DN20" s="121">
        <f>Data!DN109-DM20-DL20-DK20</f>
        <v>2</v>
      </c>
      <c r="DO20" s="120">
        <f>SUM(DK20:DN20)</f>
        <v>-677</v>
      </c>
      <c r="DP20" s="121">
        <f>Data!DP109</f>
        <v>-635</v>
      </c>
      <c r="DQ20" s="121">
        <f>Data!DQ109-DP20</f>
        <v>131</v>
      </c>
      <c r="DR20" s="184">
        <f>BS!DQ10-BS!DR10</f>
        <v>0</v>
      </c>
      <c r="DS20" s="184">
        <f>BS!DR10-BS!DS10</f>
        <v>0</v>
      </c>
      <c r="DT20" s="120">
        <f>SUM(DP20:DS20)</f>
        <v>-504</v>
      </c>
      <c r="DU20" s="184">
        <f>BS!DT10-BS!DU10</f>
        <v>0</v>
      </c>
      <c r="DV20" s="184">
        <f>BS!DU10-BS!DV10</f>
        <v>0</v>
      </c>
      <c r="DW20" s="184">
        <f>BS!DV10-BS!DW10</f>
        <v>0</v>
      </c>
      <c r="DX20" s="184">
        <f>BS!DW10-BS!DX10</f>
        <v>0</v>
      </c>
      <c r="DY20" s="120">
        <f>SUM(DU20:DX20)</f>
        <v>0</v>
      </c>
      <c r="DZ20" s="185">
        <f>BS!DY10-BS!DZ10</f>
        <v>0</v>
      </c>
      <c r="EA20" s="185">
        <f>BS!DZ10-BS!EA10</f>
        <v>0</v>
      </c>
      <c r="EB20" s="185">
        <f>BS!EA10-BS!EB10</f>
        <v>0</v>
      </c>
    </row>
    <row r="21" spans="2:132" s="68" customFormat="1" ht="12" customHeight="1">
      <c r="B21" s="157" t="s">
        <v>53</v>
      </c>
      <c r="C21" s="67">
        <f>Data!C111</f>
        <v>-1008</v>
      </c>
      <c r="D21" s="67">
        <f>Data!D111</f>
        <v>618</v>
      </c>
      <c r="E21" s="67">
        <f>Data!E111</f>
        <v>2030</v>
      </c>
      <c r="F21" s="67">
        <f>Data!F111</f>
        <v>1097</v>
      </c>
      <c r="G21" s="67">
        <f>Data!G111</f>
        <v>-19</v>
      </c>
      <c r="H21" s="67">
        <f>Data!H111</f>
        <v>1510</v>
      </c>
      <c r="I21" s="67">
        <f>Data!I111</f>
        <v>351</v>
      </c>
      <c r="J21" s="68">
        <f>Data!J111</f>
        <v>-512</v>
      </c>
      <c r="K21" s="68">
        <f>Data!K111-J21</f>
        <v>788</v>
      </c>
      <c r="L21" s="68">
        <f>Data!L111-K21-J21</f>
        <v>-196</v>
      </c>
      <c r="M21" s="68">
        <f>Data!M111-L21-K21-J21</f>
        <v>531</v>
      </c>
      <c r="N21" s="67">
        <f t="shared" si="0"/>
        <v>611</v>
      </c>
      <c r="O21" s="68">
        <f>Data!O111</f>
        <v>383</v>
      </c>
      <c r="P21" s="68">
        <f>Data!P111-O21</f>
        <v>71</v>
      </c>
      <c r="Q21" s="68">
        <f>Data!Q111-P21-O21</f>
        <v>-1504</v>
      </c>
      <c r="R21" s="68">
        <f>Data!R111-Q21-P21-O21</f>
        <v>-915</v>
      </c>
      <c r="S21" s="67">
        <f t="shared" si="1"/>
        <v>-1965</v>
      </c>
      <c r="T21" s="68">
        <f>Data!T111</f>
        <v>387</v>
      </c>
      <c r="U21" s="68">
        <f>Data!U111-T21</f>
        <v>291</v>
      </c>
      <c r="V21" s="68">
        <f>Data!V111-U21-T21</f>
        <v>-158</v>
      </c>
      <c r="W21" s="68">
        <f>Data!W111-V21-U21-T21</f>
        <v>-76</v>
      </c>
      <c r="X21" s="67">
        <f t="shared" si="2"/>
        <v>444</v>
      </c>
      <c r="Y21" s="68">
        <f>Data!Y111</f>
        <v>-298</v>
      </c>
      <c r="Z21" s="68">
        <f>Data!Z111-Y21</f>
        <v>-82</v>
      </c>
      <c r="AA21" s="68">
        <f>Data!AA111-Z21-Y21</f>
        <v>280</v>
      </c>
      <c r="AB21" s="68">
        <f>Data!AB111-AA21-Z21-Y21</f>
        <v>-1458</v>
      </c>
      <c r="AC21" s="67">
        <f t="shared" si="3"/>
        <v>-1558</v>
      </c>
      <c r="AD21" s="68">
        <f>Data!AD111</f>
        <v>-604</v>
      </c>
      <c r="AE21" s="68">
        <f>Data!AE111-AD21</f>
        <v>-45</v>
      </c>
      <c r="AF21" s="68">
        <f>Data!AF111-AE21-AD21</f>
        <v>-1021</v>
      </c>
      <c r="AG21" s="68">
        <f>Data!AG111-AF21-AE21-AD21</f>
        <v>-4498</v>
      </c>
      <c r="AH21" s="67">
        <f t="shared" si="4"/>
        <v>-6168</v>
      </c>
      <c r="AI21" s="68">
        <f>Data!AI111</f>
        <v>-82</v>
      </c>
      <c r="AJ21" s="68">
        <f>Data!AJ111-AI21</f>
        <v>-1511</v>
      </c>
      <c r="AK21" s="68">
        <f>Data!AK111-AJ21-AI21</f>
        <v>1011</v>
      </c>
      <c r="AL21" s="68">
        <f>Data!AL111-AK21-AJ21-AI21</f>
        <v>-943</v>
      </c>
      <c r="AM21" s="67">
        <f t="shared" si="5"/>
        <v>-1525</v>
      </c>
      <c r="AN21" s="241">
        <f>Data!AN111</f>
        <v>-1833</v>
      </c>
      <c r="AO21" s="68">
        <f>Data!AO111-AN21</f>
        <v>-1592</v>
      </c>
      <c r="AP21" s="68">
        <f>Data!AP111-AO21-AN21</f>
        <v>-1261</v>
      </c>
      <c r="AQ21" s="68">
        <f>Data!AQ111-AP21-AO21-AN21</f>
        <v>-2701</v>
      </c>
      <c r="AR21" s="67">
        <f>SUM(AN21:AQ21)</f>
        <v>-7387</v>
      </c>
      <c r="AS21" s="241">
        <f>Data!AS111</f>
        <v>-2622</v>
      </c>
      <c r="AT21" s="68">
        <f>Data!AT111-AS21</f>
        <v>-2267</v>
      </c>
      <c r="AU21" s="68">
        <f>Data!AU111-AT21-AS21</f>
        <v>-3356</v>
      </c>
      <c r="AV21" s="68">
        <f>Data!AV111-AU21-AT21-AS21</f>
        <v>-1767</v>
      </c>
      <c r="AW21" s="67">
        <f>SUM(AS21:AV21)</f>
        <v>-10012</v>
      </c>
      <c r="AX21" s="121">
        <f>Data!AX111</f>
        <v>-497</v>
      </c>
      <c r="AY21" s="121">
        <f>Data!AY111-AX21</f>
        <v>-2240</v>
      </c>
      <c r="AZ21" s="121">
        <f>Data!AZ111-AY21-AX21</f>
        <v>-1851</v>
      </c>
      <c r="BA21" s="121">
        <f>Data!BA111-AZ21-AY21-AX21</f>
        <v>-1093</v>
      </c>
      <c r="BB21" s="67">
        <f>SUM(AX21:BA21)</f>
        <v>-5681</v>
      </c>
      <c r="BC21" s="121">
        <f>Data!BC111</f>
        <v>-3000</v>
      </c>
      <c r="BD21" s="121">
        <f>Data!BD111-BC21</f>
        <v>386</v>
      </c>
      <c r="BE21" s="121">
        <f>Data!BE111-BD21-BC21</f>
        <v>-1017</v>
      </c>
      <c r="BF21" s="121">
        <f>Data!BF111-BE21-BD21-BC21</f>
        <v>-1931</v>
      </c>
      <c r="BG21" s="67">
        <f>SUM(BC21:BF21)</f>
        <v>-5562</v>
      </c>
      <c r="BH21" s="121">
        <f>Data!BH111</f>
        <v>-2049</v>
      </c>
      <c r="BI21" s="121">
        <f>Data!BI111-BH21</f>
        <v>-1353</v>
      </c>
      <c r="BJ21" s="121">
        <f>Data!BJ111-BI21-BH21</f>
        <v>-1023</v>
      </c>
      <c r="BK21" s="121">
        <f>Data!BK111-BJ21-BI21-BH21</f>
        <v>95</v>
      </c>
      <c r="BL21" s="67">
        <f>SUM(BH21:BK21)</f>
        <v>-4330</v>
      </c>
      <c r="BM21" s="121">
        <f>Data!BM111</f>
        <v>-1822</v>
      </c>
      <c r="BN21" s="121">
        <f>Data!BN111-BM21</f>
        <v>-573</v>
      </c>
      <c r="BO21" s="121">
        <f>Data!BO111-BN21-BM21</f>
        <v>209</v>
      </c>
      <c r="BP21" s="121">
        <f>Data!BP111-BO21-BN21-BM21</f>
        <v>1076</v>
      </c>
      <c r="BQ21" s="67">
        <f>SUM(BM21:BP21)</f>
        <v>-1110</v>
      </c>
      <c r="BR21" s="121">
        <f>Data!BR111</f>
        <v>-56</v>
      </c>
      <c r="BS21" s="121">
        <f>Data!BS111-BR21</f>
        <v>3060</v>
      </c>
      <c r="BT21" s="121">
        <f>Data!BT111-BS21-BR21</f>
        <v>1330</v>
      </c>
      <c r="BU21" s="121">
        <f>Data!BU111-BT21-BS21-BR21</f>
        <v>-579</v>
      </c>
      <c r="BV21" s="67">
        <f>SUM(BR21:BU21)</f>
        <v>3755</v>
      </c>
      <c r="BW21" s="121">
        <f>Data!BW111</f>
        <v>-31</v>
      </c>
      <c r="BX21" s="121">
        <f>Data!BX111-BW21</f>
        <v>908</v>
      </c>
      <c r="BY21" s="121">
        <f>Data!BY111-BX21-BW21</f>
        <v>-623</v>
      </c>
      <c r="BZ21" s="121">
        <f>Data!BZ111-BY21-BX21-BW21</f>
        <v>-1339</v>
      </c>
      <c r="CA21" s="67">
        <f>SUM(BW21:BZ21)</f>
        <v>-1085</v>
      </c>
      <c r="CB21" s="121">
        <f>Data!CB111</f>
        <v>283</v>
      </c>
      <c r="CC21" s="121">
        <f>Data!CC111-CB21</f>
        <v>125</v>
      </c>
      <c r="CD21" s="121">
        <f>Data!CD111-CC21-CB21</f>
        <v>-581</v>
      </c>
      <c r="CE21" s="121">
        <f>Data!CE111-CD21-CC21-CB21</f>
        <v>741</v>
      </c>
      <c r="CF21" s="67">
        <f>SUM(CB21:CE21)</f>
        <v>568</v>
      </c>
      <c r="CG21" s="121">
        <f>Data!CG111</f>
        <v>-2725</v>
      </c>
      <c r="CH21" s="121">
        <f>Data!CH111-CG21</f>
        <v>-2508</v>
      </c>
      <c r="CI21" s="121">
        <f>Data!CI111-CH21-CG21</f>
        <v>-4332</v>
      </c>
      <c r="CJ21" s="121">
        <f>Data!CJ111-CI21-CH21-CG21</f>
        <v>-2826</v>
      </c>
      <c r="CK21" s="120">
        <f>SUM(CG21:CJ21)</f>
        <v>-12391</v>
      </c>
      <c r="CL21" s="121">
        <f>Data!CL111</f>
        <v>-2973</v>
      </c>
      <c r="CM21" s="121">
        <f>Data!CM111-CL21</f>
        <v>-3768</v>
      </c>
      <c r="CN21" s="121">
        <f>Data!CN111-CM21-CL21</f>
        <v>-2912</v>
      </c>
      <c r="CO21" s="121">
        <f>Data!CO111-CN21-CM21-CL21</f>
        <v>-1349</v>
      </c>
      <c r="CP21" s="120">
        <f>SUM(CL21:CO21)</f>
        <v>-11002</v>
      </c>
      <c r="CQ21" s="121">
        <f>Data!CQ111</f>
        <v>-680</v>
      </c>
      <c r="CR21" s="121">
        <f>Data!CR111-CQ21</f>
        <v>1093</v>
      </c>
      <c r="CS21" s="121">
        <f>Data!CS111-CR21-CQ21</f>
        <v>95</v>
      </c>
      <c r="CT21" s="121">
        <f>Data!CT111-CS21-CR21-CQ21</f>
        <v>-1635</v>
      </c>
      <c r="CU21" s="120">
        <f>SUM(CQ21:CT21)</f>
        <v>-1127</v>
      </c>
      <c r="CV21" s="121">
        <f>Data!CV111</f>
        <v>-1203</v>
      </c>
      <c r="CW21" s="121">
        <f>Data!CW111-CV21</f>
        <v>-57</v>
      </c>
      <c r="CX21" s="121">
        <f>Data!CX111-CW21-CV21</f>
        <v>96</v>
      </c>
      <c r="CY21" s="121">
        <f>Data!CY111-CX21-CW21-CV21</f>
        <v>1584</v>
      </c>
      <c r="CZ21" s="120">
        <f>SUM(CV21:CY21)</f>
        <v>420</v>
      </c>
      <c r="DA21" s="121">
        <f>Data!DA111</f>
        <v>-390</v>
      </c>
      <c r="DB21" s="121">
        <f>Data!DB111-DA21</f>
        <v>149</v>
      </c>
      <c r="DC21" s="121">
        <f>Data!DC111-DB21-DA21</f>
        <v>-699</v>
      </c>
      <c r="DD21" s="121">
        <f>Data!DD111-DC21-DB21-DA21</f>
        <v>-741</v>
      </c>
      <c r="DE21" s="120">
        <f>SUM(DA21:DD21)</f>
        <v>-1681</v>
      </c>
      <c r="DF21" s="121">
        <f>Data!DF111</f>
        <v>-3778</v>
      </c>
      <c r="DG21" s="121">
        <f>Data!DG111-DF21</f>
        <v>-2159</v>
      </c>
      <c r="DH21" s="121">
        <f>Data!DH111-DG21-DF21</f>
        <v>-917</v>
      </c>
      <c r="DI21" s="121">
        <f>Data!DI111-DH21-DG21-DF21</f>
        <v>-5499</v>
      </c>
      <c r="DJ21" s="120">
        <f>SUM(DF21:DI21)</f>
        <v>-12353</v>
      </c>
      <c r="DK21" s="121">
        <f>Data!DK111</f>
        <v>-1521</v>
      </c>
      <c r="DL21" s="121">
        <f>Data!DL111-DK21</f>
        <v>1147</v>
      </c>
      <c r="DM21" s="121">
        <f>Data!DM111-DL21-DK21</f>
        <v>258</v>
      </c>
      <c r="DN21" s="121">
        <f>Data!DN111-DM21-DL21-DK21</f>
        <v>-1385</v>
      </c>
      <c r="DO21" s="120">
        <f>SUM(DK21:DN21)</f>
        <v>-1501</v>
      </c>
      <c r="DP21" s="121">
        <f>Data!DP111</f>
        <v>-2634</v>
      </c>
      <c r="DQ21" s="121">
        <f>Data!DQ111-DP21</f>
        <v>-1225</v>
      </c>
      <c r="DR21" s="184">
        <f>BS!DQ13-BS!DR13</f>
        <v>9183.5546652738558</v>
      </c>
      <c r="DS21" s="184">
        <f>BS!DR13-BS!DS13</f>
        <v>4760.6651913136739</v>
      </c>
      <c r="DT21" s="120">
        <f>SUM(DP21:DS21)</f>
        <v>10085.21985658753</v>
      </c>
      <c r="DU21" s="184">
        <f>BS!DT13-BS!DU13</f>
        <v>-29050.188567566889</v>
      </c>
      <c r="DV21" s="184">
        <f>BS!DU13-BS!DV13</f>
        <v>8724.193657512049</v>
      </c>
      <c r="DW21" s="184">
        <f>BS!DV13-BS!DW13</f>
        <v>3539.9487018247746</v>
      </c>
      <c r="DX21" s="184">
        <f>BS!DW13-BS!DX13</f>
        <v>4121.4930450735847</v>
      </c>
      <c r="DY21" s="120">
        <f>SUM(DU21:DX21)</f>
        <v>-12664.553163156481</v>
      </c>
      <c r="DZ21" s="185">
        <f>BS!DY13-BS!DZ13</f>
        <v>16690.39337348452</v>
      </c>
      <c r="EA21" s="185">
        <f>BS!DZ13-BS!EA13</f>
        <v>-5115.8388004118606</v>
      </c>
      <c r="EB21" s="185">
        <f>BS!EA13-BS!EB13</f>
        <v>-2240.1410961768124</v>
      </c>
    </row>
    <row r="22" spans="2:132" s="68" customFormat="1" ht="12" customHeight="1">
      <c r="B22" s="536" t="s">
        <v>263</v>
      </c>
      <c r="C22" s="67">
        <f>Data!C112</f>
        <v>1490</v>
      </c>
      <c r="D22" s="67">
        <f>Data!D112</f>
        <v>-806</v>
      </c>
      <c r="E22" s="67">
        <f>Data!E112</f>
        <v>217</v>
      </c>
      <c r="F22" s="67">
        <f>Data!F112</f>
        <v>-311</v>
      </c>
      <c r="G22" s="67">
        <f>Data!G112</f>
        <v>490</v>
      </c>
      <c r="H22" s="67">
        <f>Data!H112</f>
        <v>-823</v>
      </c>
      <c r="I22" s="67">
        <f>Data!I112</f>
        <v>-147</v>
      </c>
      <c r="J22" s="68">
        <f>Data!J112</f>
        <v>101</v>
      </c>
      <c r="K22" s="68">
        <f>Data!K112-J22</f>
        <v>334</v>
      </c>
      <c r="L22" s="68">
        <f>Data!L112-K22-J22</f>
        <v>932</v>
      </c>
      <c r="M22" s="68">
        <f>Data!M112-L22-K22-J22</f>
        <v>-505</v>
      </c>
      <c r="N22" s="67">
        <f t="shared" si="0"/>
        <v>862</v>
      </c>
      <c r="O22" s="68">
        <f>Data!O112</f>
        <v>496</v>
      </c>
      <c r="P22" s="68">
        <f>Data!P112-O22</f>
        <v>286</v>
      </c>
      <c r="Q22" s="68">
        <f>Data!Q112-P22-O22</f>
        <v>739</v>
      </c>
      <c r="R22" s="68">
        <f>Data!R112-Q22-P22-O22</f>
        <v>-374</v>
      </c>
      <c r="S22" s="67">
        <f t="shared" si="1"/>
        <v>1147</v>
      </c>
      <c r="T22" s="68">
        <f>Data!T112</f>
        <v>271</v>
      </c>
      <c r="U22" s="68">
        <f>Data!U112-T22</f>
        <v>278</v>
      </c>
      <c r="V22" s="68">
        <f>Data!V112-U22-T22</f>
        <v>-1231</v>
      </c>
      <c r="W22" s="68">
        <f>Data!W112-V22-U22-T22</f>
        <v>-62</v>
      </c>
      <c r="X22" s="67">
        <f t="shared" si="2"/>
        <v>-744</v>
      </c>
      <c r="Y22" s="68">
        <f>Data!Y112</f>
        <v>98</v>
      </c>
      <c r="Z22" s="68">
        <f>Data!Z112-Y22</f>
        <v>744</v>
      </c>
      <c r="AA22" s="68">
        <f>Data!AA112-Z22-Y22</f>
        <v>-372</v>
      </c>
      <c r="AB22" s="68">
        <f>Data!AB112-AA22-Z22-Y22</f>
        <v>458</v>
      </c>
      <c r="AC22" s="67">
        <f t="shared" si="3"/>
        <v>928</v>
      </c>
      <c r="AD22" s="68">
        <f>Data!AD112</f>
        <v>628</v>
      </c>
      <c r="AE22" s="68">
        <f>Data!AE112-AD22</f>
        <v>-12</v>
      </c>
      <c r="AF22" s="68">
        <f>Data!AF112-AE22-AD22</f>
        <v>-444</v>
      </c>
      <c r="AG22" s="68">
        <f>Data!AG112-AF22-AE22-AD22</f>
        <v>700</v>
      </c>
      <c r="AH22" s="67">
        <f t="shared" si="4"/>
        <v>872</v>
      </c>
      <c r="AI22" s="68">
        <f>Data!AI112</f>
        <v>475</v>
      </c>
      <c r="AJ22" s="68">
        <f>Data!AJ112-AI22</f>
        <v>329</v>
      </c>
      <c r="AK22" s="68">
        <f>Data!AK112-AJ22-AI22</f>
        <v>365</v>
      </c>
      <c r="AL22" s="68">
        <f>Data!AL112-AK22-AJ22-AI22</f>
        <v>-28</v>
      </c>
      <c r="AM22" s="67">
        <f t="shared" ref="AM22:AM23" si="46">SUM(AI22:AL22)</f>
        <v>1141</v>
      </c>
      <c r="AN22" s="241">
        <f>Data!AN112</f>
        <v>225</v>
      </c>
      <c r="AO22" s="68">
        <f>Data!AO112-AN22</f>
        <v>-354</v>
      </c>
      <c r="AP22" s="68">
        <f>Data!AP112-AO22-AN22</f>
        <v>364</v>
      </c>
      <c r="AQ22" s="68">
        <f>Data!AQ112-AP22-AO22-AN22</f>
        <v>78</v>
      </c>
      <c r="AR22" s="67">
        <f>SUM(AN22:AQ22)</f>
        <v>313</v>
      </c>
      <c r="AS22" s="241">
        <f>Data!AS112</f>
        <v>969</v>
      </c>
      <c r="AT22" s="68">
        <f>Data!AT112-AS22</f>
        <v>165</v>
      </c>
      <c r="AU22" s="68">
        <f>Data!AU112-AT22-AS22</f>
        <v>313</v>
      </c>
      <c r="AV22" s="68">
        <f>Data!AV112-AU22-AT22-AS22</f>
        <v>-283</v>
      </c>
      <c r="AW22" s="67">
        <f>SUM(AS22:AV22)</f>
        <v>1164</v>
      </c>
      <c r="AX22" s="121">
        <f>Data!AX112</f>
        <v>506</v>
      </c>
      <c r="AY22" s="121">
        <f>Data!AY112-AX22</f>
        <v>236</v>
      </c>
      <c r="AZ22" s="121">
        <f>Data!AZ112-AY22-AX22</f>
        <v>115</v>
      </c>
      <c r="BA22" s="121">
        <f>Data!BA112-AZ22-AY22-AX22</f>
        <v>342</v>
      </c>
      <c r="BB22" s="67">
        <f>SUM(AX22:BA22)</f>
        <v>1199</v>
      </c>
      <c r="BC22" s="121">
        <f>Data!BC112</f>
        <v>654</v>
      </c>
      <c r="BD22" s="121">
        <f>Data!BD112-BC22</f>
        <v>194</v>
      </c>
      <c r="BE22" s="121">
        <f>Data!BE112-BD22-BC22</f>
        <v>95</v>
      </c>
      <c r="BF22" s="121">
        <f>Data!BF112-BE22-BD22-BC22</f>
        <v>-1241</v>
      </c>
      <c r="BG22" s="67">
        <f>SUM(BC22:BF22)</f>
        <v>-298</v>
      </c>
      <c r="BH22" s="121">
        <f>Data!BH112</f>
        <v>1350</v>
      </c>
      <c r="BI22" s="121">
        <f>Data!BI112-BH22</f>
        <v>433</v>
      </c>
      <c r="BJ22" s="121">
        <f>Data!BJ112-BI22-BH22</f>
        <v>36</v>
      </c>
      <c r="BK22" s="121">
        <f>Data!BK112-BJ22-BI22-BH22</f>
        <v>-480</v>
      </c>
      <c r="BL22" s="67">
        <f>SUM(BH22:BK22)</f>
        <v>1339</v>
      </c>
      <c r="BM22" s="121">
        <f>Data!BM112</f>
        <v>848</v>
      </c>
      <c r="BN22" s="121">
        <f>Data!BN112-BM22</f>
        <v>40</v>
      </c>
      <c r="BO22" s="121">
        <f>Data!BO112-BN22-BM22</f>
        <v>170</v>
      </c>
      <c r="BP22" s="121">
        <f>Data!BP112-BO22-BN22-BM22</f>
        <v>-1296</v>
      </c>
      <c r="BQ22" s="67">
        <f>SUM(BM22:BP22)</f>
        <v>-238</v>
      </c>
      <c r="BR22" s="121">
        <f>Data!BR112</f>
        <v>960</v>
      </c>
      <c r="BS22" s="121">
        <f>Data!BS112-BR22</f>
        <v>261</v>
      </c>
      <c r="BT22" s="121">
        <f>Data!BT112-BS22-BR22</f>
        <v>145</v>
      </c>
      <c r="BU22" s="121">
        <f>Data!BU112-BT22-BS22-BR22</f>
        <v>-744</v>
      </c>
      <c r="BV22" s="67">
        <f>SUM(BR22:BU22)</f>
        <v>622</v>
      </c>
      <c r="BW22" s="121">
        <f>Data!BW112</f>
        <v>616</v>
      </c>
      <c r="BX22" s="121">
        <f>Data!BX112-BW22</f>
        <v>-197</v>
      </c>
      <c r="BY22" s="121">
        <f>Data!BY112-BX22-BW22</f>
        <v>359</v>
      </c>
      <c r="BZ22" s="121">
        <f>Data!BZ112-BY22-BX22-BW22</f>
        <v>-648</v>
      </c>
      <c r="CA22" s="67">
        <f>SUM(BW22:BZ22)</f>
        <v>130</v>
      </c>
      <c r="CB22" s="121">
        <f>Data!CB112</f>
        <v>591</v>
      </c>
      <c r="CC22" s="121">
        <f>Data!CC112-CB22</f>
        <v>91</v>
      </c>
      <c r="CD22" s="121">
        <f>Data!CD112-CC22-CB22</f>
        <v>499</v>
      </c>
      <c r="CE22" s="121">
        <f>Data!CE112-CD22-CC22-CB22</f>
        <v>-1179</v>
      </c>
      <c r="CF22" s="67">
        <f>SUM(CB22:CE22)</f>
        <v>2</v>
      </c>
      <c r="CG22" s="121">
        <f>Data!CG112</f>
        <v>1624</v>
      </c>
      <c r="CH22" s="121">
        <f>Data!CH112-CG22</f>
        <v>378</v>
      </c>
      <c r="CI22" s="121">
        <f>Data!CI112-CH22-CG22</f>
        <v>-376</v>
      </c>
      <c r="CJ22" s="121">
        <f>Data!CJ112-CI22-CH22-CG22</f>
        <v>-26</v>
      </c>
      <c r="CK22" s="120">
        <f>SUM(CG22:CJ22)</f>
        <v>1600</v>
      </c>
      <c r="CL22" s="121">
        <f>Data!CL112</f>
        <v>-1030</v>
      </c>
      <c r="CM22" s="121">
        <f>Data!CM112-CL22</f>
        <v>-2151</v>
      </c>
      <c r="CN22" s="121">
        <f>Data!CN112-CM22-CL22</f>
        <v>-122</v>
      </c>
      <c r="CO22" s="121">
        <f>Data!CO112-CN22-CM22-CL22</f>
        <v>-2060</v>
      </c>
      <c r="CP22" s="120">
        <f>SUM(CL22:CO22)</f>
        <v>-5363</v>
      </c>
      <c r="CQ22" s="121">
        <f>Data!CQ112</f>
        <v>-819</v>
      </c>
      <c r="CR22" s="121">
        <f>Data!CR112-CQ22</f>
        <v>-1216</v>
      </c>
      <c r="CS22" s="121">
        <f>Data!CS112-CR22-CQ22</f>
        <v>-1530</v>
      </c>
      <c r="CT22" s="121">
        <f>Data!CT112-CS22-CR22-CQ22</f>
        <v>-218</v>
      </c>
      <c r="CU22" s="120">
        <f>SUM(CQ22:CT22)</f>
        <v>-3783</v>
      </c>
      <c r="CV22" s="121">
        <f>Data!CV112</f>
        <v>-369</v>
      </c>
      <c r="CW22" s="121">
        <f>Data!CW112-CV22</f>
        <v>764</v>
      </c>
      <c r="CX22" s="121">
        <f>Data!CX112-CW22-CV22</f>
        <v>195</v>
      </c>
      <c r="CY22" s="121">
        <f>Data!CY112-CX22-CW22-CV22</f>
        <v>248</v>
      </c>
      <c r="CZ22" s="120">
        <f>SUM(CV22:CY22)</f>
        <v>838</v>
      </c>
      <c r="DA22" s="121">
        <f>Data!DA112</f>
        <v>231</v>
      </c>
      <c r="DB22" s="121">
        <f>Data!DB112-DA22</f>
        <v>621</v>
      </c>
      <c r="DC22" s="121">
        <f>Data!DC112-DB22-DA22</f>
        <v>130</v>
      </c>
      <c r="DD22" s="121">
        <f>Data!DD112-DC22-DB22-DA22</f>
        <v>690</v>
      </c>
      <c r="DE22" s="120">
        <f>SUM(DA22:DD22)</f>
        <v>1672</v>
      </c>
      <c r="DF22" s="121">
        <f>Data!DF112</f>
        <v>-264</v>
      </c>
      <c r="DG22" s="121">
        <f>Data!DG112-DF22</f>
        <v>42</v>
      </c>
      <c r="DH22" s="121">
        <f>Data!DH112-DG22-DF22</f>
        <v>344</v>
      </c>
      <c r="DI22" s="121">
        <f>Data!DI112-DH22-DG22-DF22</f>
        <v>-915</v>
      </c>
      <c r="DJ22" s="120">
        <f>SUM(DF22:DI22)</f>
        <v>-793</v>
      </c>
      <c r="DK22" s="121">
        <f>Data!DK112</f>
        <v>-95</v>
      </c>
      <c r="DL22" s="121">
        <f>Data!DL112-DK22</f>
        <v>49</v>
      </c>
      <c r="DM22" s="121">
        <f>Data!DM112-DL22-DK22</f>
        <v>585</v>
      </c>
      <c r="DN22" s="121">
        <f>Data!DN112-DM22-DL22-DK22</f>
        <v>185</v>
      </c>
      <c r="DO22" s="120">
        <f>SUM(DK22:DN22)</f>
        <v>724</v>
      </c>
      <c r="DP22" s="121">
        <f>Data!DP112</f>
        <v>1073</v>
      </c>
      <c r="DQ22" s="121">
        <f>Data!DQ112-DP22</f>
        <v>308</v>
      </c>
      <c r="DR22" s="184">
        <f>BS!DR27-BS!DQ27</f>
        <v>-2950.4444575556627</v>
      </c>
      <c r="DS22" s="184">
        <f>BS!DS27-BS!DR27</f>
        <v>665.94657259628184</v>
      </c>
      <c r="DT22" s="120">
        <f>SUM(DP22:DS22)</f>
        <v>-903.49788495938083</v>
      </c>
      <c r="DU22" s="184">
        <f>BS!DU27-BS!DT27</f>
        <v>11.645681452067947</v>
      </c>
      <c r="DV22" s="184">
        <f>BS!DV27-BS!DU27</f>
        <v>579.16851789838256</v>
      </c>
      <c r="DW22" s="184">
        <f>BS!DW27-BS!DV27</f>
        <v>473.39334652728212</v>
      </c>
      <c r="DX22" s="184">
        <f>BS!DX27-BS!DW27</f>
        <v>987.7239179622793</v>
      </c>
      <c r="DY22" s="120">
        <f>SUM(DU22:DX22)</f>
        <v>2051.9314638400119</v>
      </c>
      <c r="DZ22" s="185">
        <f>BS!DZ27-BS!DY27</f>
        <v>-422.35884081426229</v>
      </c>
      <c r="EA22" s="185">
        <f>BS!EA27-BS!DZ27</f>
        <v>994.65180933858937</v>
      </c>
      <c r="EB22" s="185">
        <f>BS!EB27-BS!EA27</f>
        <v>435.54155660780634</v>
      </c>
    </row>
    <row r="23" spans="2:132" s="68" customFormat="1" ht="12" customHeight="1">
      <c r="B23" s="536" t="s">
        <v>498</v>
      </c>
      <c r="C23" s="805">
        <v>0</v>
      </c>
      <c r="D23" s="805">
        <v>0</v>
      </c>
      <c r="E23" s="805">
        <v>0</v>
      </c>
      <c r="F23" s="805">
        <v>0</v>
      </c>
      <c r="G23" s="805">
        <v>0</v>
      </c>
      <c r="H23" s="805">
        <v>0</v>
      </c>
      <c r="I23" s="805">
        <v>0</v>
      </c>
      <c r="J23" s="68">
        <v>0</v>
      </c>
      <c r="K23" s="68">
        <v>0</v>
      </c>
      <c r="L23" s="68">
        <v>0</v>
      </c>
      <c r="M23" s="68">
        <v>0</v>
      </c>
      <c r="N23" s="805">
        <v>0</v>
      </c>
      <c r="O23" s="68">
        <v>0</v>
      </c>
      <c r="P23" s="68">
        <v>0</v>
      </c>
      <c r="Q23" s="68">
        <v>0</v>
      </c>
      <c r="R23" s="68">
        <v>0</v>
      </c>
      <c r="S23" s="805">
        <v>0</v>
      </c>
      <c r="T23" s="68">
        <v>0</v>
      </c>
      <c r="U23" s="68">
        <v>0</v>
      </c>
      <c r="V23" s="68">
        <v>0</v>
      </c>
      <c r="W23" s="68">
        <v>0</v>
      </c>
      <c r="X23" s="805">
        <v>0</v>
      </c>
      <c r="Y23" s="68">
        <v>0</v>
      </c>
      <c r="Z23" s="68">
        <v>0</v>
      </c>
      <c r="AA23" s="68">
        <v>0</v>
      </c>
      <c r="AB23" s="68">
        <v>0</v>
      </c>
      <c r="AC23" s="805">
        <v>0</v>
      </c>
      <c r="AD23" s="68">
        <v>0</v>
      </c>
      <c r="AE23" s="68">
        <v>0</v>
      </c>
      <c r="AF23" s="68">
        <v>0</v>
      </c>
      <c r="AG23" s="68">
        <v>0</v>
      </c>
      <c r="AH23" s="805">
        <v>0</v>
      </c>
      <c r="AI23" s="68">
        <v>0</v>
      </c>
      <c r="AJ23" s="68">
        <f>Data!AJ113</f>
        <v>262</v>
      </c>
      <c r="AK23" s="68">
        <f>Data!AK113-AJ23</f>
        <v>829</v>
      </c>
      <c r="AL23" s="68">
        <f>Data!AL113-AK23-AJ23</f>
        <v>236</v>
      </c>
      <c r="AM23" s="67">
        <f t="shared" si="46"/>
        <v>1327</v>
      </c>
      <c r="AN23" s="241">
        <f>Data!AN113</f>
        <v>-136</v>
      </c>
      <c r="AO23" s="68">
        <f>Data!AO113-AN23</f>
        <v>402</v>
      </c>
      <c r="AP23" s="68">
        <f>Data!AP113-AO23-AN23</f>
        <v>131</v>
      </c>
      <c r="AQ23" s="68">
        <f>Data!AQ113-AP23-AO23-AN23</f>
        <v>271</v>
      </c>
      <c r="AR23" s="67">
        <f>SUM(AN23:AQ23)</f>
        <v>668</v>
      </c>
      <c r="AS23" s="241">
        <f>Data!AS113</f>
        <v>-736</v>
      </c>
      <c r="AT23" s="68">
        <f>Data!AT113-AS23</f>
        <v>468</v>
      </c>
      <c r="AU23" s="68">
        <f>Data!AU113-AT23-AS23</f>
        <v>-181</v>
      </c>
      <c r="AV23" s="68">
        <f>Data!AV113-AU23-AT23-AS23</f>
        <v>686</v>
      </c>
      <c r="AW23" s="67">
        <f>SUM(AS23:AV23)</f>
        <v>237</v>
      </c>
      <c r="AX23" s="121">
        <f>Data!AX113</f>
        <v>-1032</v>
      </c>
      <c r="AY23" s="121">
        <f>Data!AY113-AX23</f>
        <v>438</v>
      </c>
      <c r="AZ23" s="121">
        <f>Data!AZ113-AY23-AX23</f>
        <v>471</v>
      </c>
      <c r="BA23" s="121">
        <f>Data!BA113-AZ23-AY23-AX23</f>
        <v>924</v>
      </c>
      <c r="BB23" s="67">
        <f>SUM(AX23:BA23)</f>
        <v>801</v>
      </c>
      <c r="BC23" s="121">
        <f>Data!BC113</f>
        <v>-1133</v>
      </c>
      <c r="BD23" s="121">
        <f>Data!BD113-BC23</f>
        <v>451</v>
      </c>
      <c r="BE23" s="121">
        <f>Data!BE113-BD23-BC23</f>
        <v>344</v>
      </c>
      <c r="BF23" s="121">
        <f>Data!BF113-BE23-BD23-BC23</f>
        <v>1221</v>
      </c>
      <c r="BG23" s="67">
        <f>SUM(BC23:BF23)</f>
        <v>883</v>
      </c>
      <c r="BH23" s="121">
        <f>Data!BH113</f>
        <v>-1385</v>
      </c>
      <c r="BI23" s="121">
        <f>Data!BI113-BH23</f>
        <v>472</v>
      </c>
      <c r="BJ23" s="121">
        <f>Data!BJ113-BI23-BH23</f>
        <v>-141</v>
      </c>
      <c r="BK23" s="121">
        <f>Data!BK113-BJ23-BI23-BH23</f>
        <v>-34</v>
      </c>
      <c r="BL23" s="67">
        <f>SUM(BH23:BK23)</f>
        <v>-1088</v>
      </c>
      <c r="BM23" s="121">
        <f>Data!BM113</f>
        <v>-900</v>
      </c>
      <c r="BN23" s="121">
        <f>Data!BN113-BM23</f>
        <v>723</v>
      </c>
      <c r="BO23" s="121">
        <f>Data!BO113-BN23-BM23</f>
        <v>-19</v>
      </c>
      <c r="BP23" s="121">
        <f>Data!BP113-BO23-BN23-BM23</f>
        <v>198</v>
      </c>
      <c r="BQ23" s="67">
        <f>SUM(BM23:BP23)</f>
        <v>2</v>
      </c>
      <c r="BR23" s="121">
        <f>Data!BR113</f>
        <v>-467</v>
      </c>
      <c r="BS23" s="121">
        <f>Data!BS113-BR23</f>
        <v>198</v>
      </c>
      <c r="BT23" s="121">
        <f>Data!BT113-BS23-BR23</f>
        <v>351</v>
      </c>
      <c r="BU23" s="121">
        <f>Data!BU113-BT23-BS23-BR23</f>
        <v>644</v>
      </c>
      <c r="BV23" s="67">
        <f>SUM(BR23:BU23)</f>
        <v>726</v>
      </c>
      <c r="BW23" s="121">
        <f>Data!BW113</f>
        <v>-613</v>
      </c>
      <c r="BX23" s="121">
        <f>Data!BX113-BW23</f>
        <v>-67</v>
      </c>
      <c r="BY23" s="121">
        <f>Data!BY113-BX23-BW23</f>
        <v>792</v>
      </c>
      <c r="BZ23" s="121">
        <f>Data!BZ113-BY23-BX23-BW23</f>
        <v>461</v>
      </c>
      <c r="CA23" s="67">
        <f>SUM(BW23:BZ23)</f>
        <v>573</v>
      </c>
      <c r="CB23" s="121">
        <f>Data!CB113</f>
        <v>-1337</v>
      </c>
      <c r="CC23" s="121">
        <f>Data!CC113-CB23</f>
        <v>415</v>
      </c>
      <c r="CD23" s="121">
        <f>Data!CD113-CC23-CB23</f>
        <v>1812</v>
      </c>
      <c r="CE23" s="121">
        <f>Data!CE113-CD23-CC23-CB23</f>
        <v>227</v>
      </c>
      <c r="CF23" s="67">
        <f>SUM(CB23:CE23)</f>
        <v>1117</v>
      </c>
      <c r="CG23" s="121">
        <f>Data!CG113</f>
        <v>-919</v>
      </c>
      <c r="CH23" s="121">
        <f>Data!CH113-CG23</f>
        <v>5878</v>
      </c>
      <c r="CI23" s="121">
        <f>Data!CI113-CH23-CG23</f>
        <v>536</v>
      </c>
      <c r="CJ23" s="121">
        <f>Data!CJ113-CI23-CH23-CG23</f>
        <v>2286</v>
      </c>
      <c r="CK23" s="120">
        <f>SUM(CG23:CJ23)</f>
        <v>7781</v>
      </c>
      <c r="CL23" s="121">
        <f>Data!CL113</f>
        <v>-583</v>
      </c>
      <c r="CM23" s="121">
        <f>Data!CM113-CL23</f>
        <v>1097</v>
      </c>
      <c r="CN23" s="121">
        <f>Data!CN113-CM23-CL23</f>
        <v>453</v>
      </c>
      <c r="CO23" s="121">
        <f>Data!CO113-CN23-CM23-CL23</f>
        <v>107</v>
      </c>
      <c r="CP23" s="120">
        <f>SUM(CL23:CO23)</f>
        <v>1074</v>
      </c>
      <c r="CQ23" s="121">
        <f>Data!CQ113</f>
        <v>-1615</v>
      </c>
      <c r="CR23" s="121">
        <f>Data!CR113-CQ23</f>
        <v>-998</v>
      </c>
      <c r="CS23" s="121">
        <f>Data!CS113-CR23-CQ23</f>
        <v>-555</v>
      </c>
      <c r="CT23" s="121">
        <f>Data!CT113-CS23-CR23-CQ23</f>
        <v>-519</v>
      </c>
      <c r="CU23" s="120">
        <f>SUM(CQ23:CT23)</f>
        <v>-3687</v>
      </c>
      <c r="CV23" s="121">
        <f>Data!CV113</f>
        <v>-594</v>
      </c>
      <c r="CW23" s="121">
        <f>Data!CW113-CV23</f>
        <v>-241</v>
      </c>
      <c r="CX23" s="121">
        <f>Data!CX113-CW23-CV23</f>
        <v>3251</v>
      </c>
      <c r="CY23" s="121">
        <f>Data!CY113-CX23-CW23-CV23</f>
        <v>540</v>
      </c>
      <c r="CZ23" s="120">
        <f>SUM(CV23:CY23)</f>
        <v>2956</v>
      </c>
      <c r="DA23" s="121">
        <f>Data!DA113</f>
        <v>-769</v>
      </c>
      <c r="DB23" s="121">
        <f>Data!DB113-DA23</f>
        <v>370</v>
      </c>
      <c r="DC23" s="121">
        <f>Data!DC113-DB23-DA23</f>
        <v>-175</v>
      </c>
      <c r="DD23" s="121">
        <f>Data!DD113-DC23-DB23-DA23</f>
        <v>1353</v>
      </c>
      <c r="DE23" s="120">
        <f>SUM(DA23:DD23)</f>
        <v>779</v>
      </c>
      <c r="DF23" s="121">
        <f>Data!DF113</f>
        <v>-666</v>
      </c>
      <c r="DG23" s="121">
        <f>Data!DG113-DF23</f>
        <v>223</v>
      </c>
      <c r="DH23" s="121">
        <f>Data!DH113-DG23-DF23</f>
        <v>770</v>
      </c>
      <c r="DI23" s="121">
        <f>Data!DI113-DH23-DG23-DF23</f>
        <v>1236</v>
      </c>
      <c r="DJ23" s="120">
        <f>SUM(DF23:DI23)</f>
        <v>1563</v>
      </c>
      <c r="DK23" s="121">
        <f>Data!DK113</f>
        <v>-386</v>
      </c>
      <c r="DL23" s="121">
        <f>Data!DL113-DK23</f>
        <v>138</v>
      </c>
      <c r="DM23" s="121">
        <f>Data!DM113-DL23-DK23</f>
        <v>822</v>
      </c>
      <c r="DN23" s="121">
        <f>Data!DN113-DM23-DL23-DK23</f>
        <v>767</v>
      </c>
      <c r="DO23" s="120">
        <f>SUM(DK23:DN23)</f>
        <v>1341</v>
      </c>
      <c r="DP23" s="121">
        <f>Data!DP113</f>
        <v>-1260</v>
      </c>
      <c r="DQ23" s="121">
        <f>Data!DQ113-DP23</f>
        <v>190</v>
      </c>
      <c r="DR23" s="122">
        <v>0</v>
      </c>
      <c r="DS23" s="122">
        <v>0</v>
      </c>
      <c r="DT23" s="120">
        <f>SUM(DP23:DS23)</f>
        <v>-1070</v>
      </c>
      <c r="DU23" s="122">
        <v>0</v>
      </c>
      <c r="DV23" s="122">
        <v>0</v>
      </c>
      <c r="DW23" s="122">
        <v>0</v>
      </c>
      <c r="DX23" s="122">
        <v>0</v>
      </c>
      <c r="DY23" s="120">
        <f>SUM(DU23:DX23)</f>
        <v>0</v>
      </c>
      <c r="DZ23" s="180">
        <v>0</v>
      </c>
      <c r="EA23" s="180">
        <v>0</v>
      </c>
      <c r="EB23" s="180">
        <v>0</v>
      </c>
    </row>
    <row r="24" spans="2:132" s="68" customFormat="1" ht="12" customHeight="1">
      <c r="B24" s="157" t="s">
        <v>65</v>
      </c>
      <c r="C24" s="67">
        <f>Data!C110</f>
        <v>-139</v>
      </c>
      <c r="D24" s="67">
        <f>Data!D110</f>
        <v>-324</v>
      </c>
      <c r="E24" s="67">
        <f>Data!E110</f>
        <v>-36</v>
      </c>
      <c r="F24" s="67">
        <f>Data!F110</f>
        <v>1387</v>
      </c>
      <c r="G24" s="67">
        <f>Data!G110</f>
        <v>789</v>
      </c>
      <c r="H24" s="67">
        <f>Data!H110</f>
        <v>-898</v>
      </c>
      <c r="I24" s="67">
        <f>Data!I110</f>
        <v>341</v>
      </c>
      <c r="J24" s="68">
        <f>Data!J110</f>
        <v>241</v>
      </c>
      <c r="K24" s="68">
        <f>Data!K110-J24</f>
        <v>-232</v>
      </c>
      <c r="L24" s="68">
        <f>Data!L110-K24-J24</f>
        <v>431</v>
      </c>
      <c r="M24" s="68">
        <f>Data!M110-L24-K24-J24</f>
        <v>219</v>
      </c>
      <c r="N24" s="67">
        <f t="shared" si="0"/>
        <v>659</v>
      </c>
      <c r="O24" s="68">
        <f>Data!O110</f>
        <v>101</v>
      </c>
      <c r="P24" s="68">
        <f>Data!P110-O24</f>
        <v>404</v>
      </c>
      <c r="Q24" s="68">
        <f>Data!Q110-P24-O24</f>
        <v>996</v>
      </c>
      <c r="R24" s="68">
        <f>Data!R110-Q24-P24-O24</f>
        <v>2061</v>
      </c>
      <c r="S24" s="67">
        <f t="shared" si="1"/>
        <v>3562</v>
      </c>
      <c r="T24" s="68">
        <f>Data!T110</f>
        <v>88</v>
      </c>
      <c r="U24" s="68">
        <f>Data!U110-T24</f>
        <v>250</v>
      </c>
      <c r="V24" s="68">
        <f>Data!V110-U24-T24</f>
        <v>318</v>
      </c>
      <c r="W24" s="68">
        <f>Data!W110-V24-U24-T24</f>
        <v>1083</v>
      </c>
      <c r="X24" s="67">
        <f t="shared" si="2"/>
        <v>1739</v>
      </c>
      <c r="Y24" s="68">
        <f>Data!Y110</f>
        <v>-330</v>
      </c>
      <c r="Z24" s="68">
        <f>Data!Z110-Y24</f>
        <v>398</v>
      </c>
      <c r="AA24" s="68">
        <f>Data!AA110-Z24-Y24</f>
        <v>679</v>
      </c>
      <c r="AB24" s="68">
        <f>Data!AB110-AA24-Z24-Y24</f>
        <v>1622</v>
      </c>
      <c r="AC24" s="67">
        <f t="shared" si="3"/>
        <v>2369</v>
      </c>
      <c r="AD24" s="68">
        <f>Data!AD110</f>
        <v>113</v>
      </c>
      <c r="AE24" s="68">
        <f>Data!AE110-AD24</f>
        <v>-1279</v>
      </c>
      <c r="AF24" s="68">
        <f>Data!AF110-AE24-AD24</f>
        <v>-895</v>
      </c>
      <c r="AG24" s="68">
        <f>Data!AG110-AF24-AE24-AD24</f>
        <v>941</v>
      </c>
      <c r="AH24" s="67">
        <f t="shared" si="4"/>
        <v>-1120</v>
      </c>
      <c r="AI24" s="68">
        <f>Data!AI110</f>
        <v>-1210</v>
      </c>
      <c r="AJ24" s="68">
        <f>Data!AJ110-AI24</f>
        <v>180</v>
      </c>
      <c r="AK24" s="68">
        <f>Data!AK110-AJ24-AI24</f>
        <v>69</v>
      </c>
      <c r="AL24" s="68">
        <f>Data!AL110-AK24-AJ24-AI24</f>
        <v>281</v>
      </c>
      <c r="AM24" s="67">
        <f t="shared" si="5"/>
        <v>-680</v>
      </c>
      <c r="AN24" s="241">
        <f>Data!AN110</f>
        <v>-221</v>
      </c>
      <c r="AO24" s="68">
        <f>Data!AO110-AN24</f>
        <v>155</v>
      </c>
      <c r="AP24" s="68">
        <f>Data!AP110-AO24-AN24</f>
        <v>-237</v>
      </c>
      <c r="AQ24" s="68">
        <f>Data!AQ110-AP24-AO24-AN24</f>
        <v>541</v>
      </c>
      <c r="AR24" s="67">
        <f t="shared" si="6"/>
        <v>238</v>
      </c>
      <c r="AS24" s="241">
        <f>Data!AS110</f>
        <v>40</v>
      </c>
      <c r="AT24" s="68">
        <f>Data!AT110-AS24</f>
        <v>586</v>
      </c>
      <c r="AU24" s="68">
        <f>Data!AU110-AT24-AS24</f>
        <v>1370</v>
      </c>
      <c r="AV24" s="68">
        <f>Data!AV110-AU24-AT24-AS24</f>
        <v>1177</v>
      </c>
      <c r="AW24" s="67">
        <f t="shared" si="7"/>
        <v>3173</v>
      </c>
      <c r="AX24" s="121">
        <f>Data!AX110</f>
        <v>-160</v>
      </c>
      <c r="AY24" s="121">
        <f>Data!AY110-AX24</f>
        <v>8</v>
      </c>
      <c r="AZ24" s="121">
        <f>Data!AZ110-AY24-AX24</f>
        <v>275</v>
      </c>
      <c r="BA24" s="121">
        <f>Data!BA110-AZ24-AY24-AX24</f>
        <v>1054</v>
      </c>
      <c r="BB24" s="67">
        <f t="shared" si="8"/>
        <v>1177</v>
      </c>
      <c r="BC24" s="121">
        <f>Data!BC110</f>
        <v>1833</v>
      </c>
      <c r="BD24" s="121">
        <f>Data!BD110-BC24</f>
        <v>-361</v>
      </c>
      <c r="BE24" s="121">
        <f>Data!BE110-BD24-BC24</f>
        <v>2071</v>
      </c>
      <c r="BF24" s="121">
        <f>Data!BF110-BE24-BD24-BC24</f>
        <v>-190</v>
      </c>
      <c r="BG24" s="67">
        <f t="shared" ref="BG24:BG26" si="47">SUM(BC24:BF24)</f>
        <v>3353</v>
      </c>
      <c r="BH24" s="121">
        <f>Data!BH110</f>
        <v>1085</v>
      </c>
      <c r="BI24" s="121">
        <f>Data!BI110-BH24</f>
        <v>132</v>
      </c>
      <c r="BJ24" s="121">
        <f>Data!BJ110-BI24-BH24</f>
        <v>-117</v>
      </c>
      <c r="BK24" s="121">
        <f>Data!BK110-BJ24-BI24-BH24</f>
        <v>2045</v>
      </c>
      <c r="BL24" s="67">
        <f t="shared" ref="BL24:BL26" si="48">SUM(BH24:BK24)</f>
        <v>3145</v>
      </c>
      <c r="BM24" s="121">
        <f>Data!BM110</f>
        <v>-422</v>
      </c>
      <c r="BN24" s="121">
        <f>Data!BN110-BM24</f>
        <v>617</v>
      </c>
      <c r="BO24" s="121">
        <f>Data!BO110-BN24-BM24</f>
        <v>75</v>
      </c>
      <c r="BP24" s="121">
        <f>Data!BP110-BO24-BN24-BM24</f>
        <v>922</v>
      </c>
      <c r="BQ24" s="67">
        <f t="shared" ref="BQ24:BQ26" si="49">SUM(BM24:BP24)</f>
        <v>1192</v>
      </c>
      <c r="BR24" s="121">
        <f>Data!BR110</f>
        <v>-435</v>
      </c>
      <c r="BS24" s="121">
        <f>Data!BS110-BR24</f>
        <v>-519</v>
      </c>
      <c r="BT24" s="121">
        <f>Data!BT110-BS24-BR24</f>
        <v>-763</v>
      </c>
      <c r="BU24" s="121">
        <f>Data!BU110-BT24-BS24-BR24</f>
        <v>1224</v>
      </c>
      <c r="BV24" s="67">
        <f t="shared" ref="BV24:BV26" si="50">SUM(BR24:BU24)</f>
        <v>-493</v>
      </c>
      <c r="BW24" s="121">
        <f>Data!BW110</f>
        <v>249</v>
      </c>
      <c r="BX24" s="121">
        <f>Data!BX110-BW24</f>
        <v>1685</v>
      </c>
      <c r="BY24" s="121">
        <f>Data!BY110-BX24-BW24</f>
        <v>894</v>
      </c>
      <c r="BZ24" s="121">
        <f>Data!BZ110-BY24-BX24-BW24</f>
        <v>742</v>
      </c>
      <c r="CA24" s="67">
        <f t="shared" ref="CA24" si="51">SUM(BW24:BZ24)</f>
        <v>3570</v>
      </c>
      <c r="CB24" s="121">
        <f>Data!CB110</f>
        <v>1917</v>
      </c>
      <c r="CC24" s="121">
        <f>Data!CC110-CB24</f>
        <v>1014</v>
      </c>
      <c r="CD24" s="121">
        <f>Data!CD110-CC24-CB24</f>
        <v>526</v>
      </c>
      <c r="CE24" s="121">
        <f>Data!CE110-CD24-CC24-CB24</f>
        <v>-821</v>
      </c>
      <c r="CF24" s="67">
        <f t="shared" ref="CF24" si="52">SUM(CB24:CE24)</f>
        <v>2636</v>
      </c>
      <c r="CG24" s="121">
        <f>Data!CG110</f>
        <v>1857</v>
      </c>
      <c r="CH24" s="121">
        <f>Data!CH110-CG24</f>
        <v>-15</v>
      </c>
      <c r="CI24" s="121">
        <f>Data!CI110-CH24-CG24</f>
        <v>513</v>
      </c>
      <c r="CJ24" s="121">
        <f>Data!CJ110-CI24-CH24-CG24</f>
        <v>-1618</v>
      </c>
      <c r="CK24" s="120">
        <f t="shared" ref="CK24" si="53">SUM(CG24:CJ24)</f>
        <v>737</v>
      </c>
      <c r="CL24" s="121">
        <f>Data!CL110</f>
        <v>1337</v>
      </c>
      <c r="CM24" s="121">
        <f>Data!CM110-CL24</f>
        <v>485</v>
      </c>
      <c r="CN24" s="121">
        <f>Data!CN110-CM24-CL24</f>
        <v>-1394</v>
      </c>
      <c r="CO24" s="121">
        <f>Data!CO110-CN24-CM24-CL24</f>
        <v>-1488</v>
      </c>
      <c r="CP24" s="120">
        <f t="shared" ref="CP24" si="54">SUM(CL24:CO24)</f>
        <v>-1060</v>
      </c>
      <c r="CQ24" s="121">
        <f>Data!CQ110</f>
        <v>421</v>
      </c>
      <c r="CR24" s="121">
        <f>Data!CR110-CQ24</f>
        <v>-170</v>
      </c>
      <c r="CS24" s="121">
        <f>Data!CS110-CR24-CQ24</f>
        <v>530</v>
      </c>
      <c r="CT24" s="121">
        <f>Data!CT110-CS24-CR24-CQ24</f>
        <v>1724</v>
      </c>
      <c r="CU24" s="120">
        <f t="shared" ref="CU24" si="55">SUM(CQ24:CT24)</f>
        <v>2505</v>
      </c>
      <c r="CV24" s="121">
        <f>Data!CV110</f>
        <v>-522</v>
      </c>
      <c r="CW24" s="121">
        <f>Data!CW110-CV24</f>
        <v>-385</v>
      </c>
      <c r="CX24" s="121">
        <f>Data!CX110-CW24-CV24</f>
        <v>1111</v>
      </c>
      <c r="CY24" s="121">
        <f>Data!CY110-CX24-CW24-CV24</f>
        <v>-96</v>
      </c>
      <c r="CZ24" s="120">
        <f t="shared" ref="CZ24" si="56">SUM(CV24:CY24)</f>
        <v>108</v>
      </c>
      <c r="DA24" s="121">
        <f>Data!DA110</f>
        <v>1417</v>
      </c>
      <c r="DB24" s="121">
        <f>Data!DB110-DA24</f>
        <v>811</v>
      </c>
      <c r="DC24" s="121">
        <f>Data!DC110-DB24-DA24</f>
        <v>735</v>
      </c>
      <c r="DD24" s="121">
        <f>Data!DD110-DC24-DB24-DA24</f>
        <v>402</v>
      </c>
      <c r="DE24" s="120">
        <f t="shared" ref="DE24" si="57">SUM(DA24:DD24)</f>
        <v>3365</v>
      </c>
      <c r="DF24" s="121">
        <f>Data!DF110</f>
        <v>2718</v>
      </c>
      <c r="DG24" s="121">
        <f>Data!DG110-DF24</f>
        <v>-832</v>
      </c>
      <c r="DH24" s="121">
        <f>Data!DH110-DG24-DF24</f>
        <v>-220</v>
      </c>
      <c r="DI24" s="121">
        <f>Data!DI110-DH24-DG24-DF24</f>
        <v>2403</v>
      </c>
      <c r="DJ24" s="120">
        <f t="shared" ref="DJ24" si="58">SUM(DF24:DI24)</f>
        <v>4069</v>
      </c>
      <c r="DK24" s="121">
        <f>Data!DK110</f>
        <v>781</v>
      </c>
      <c r="DL24" s="121">
        <f>Data!DL110-DK24</f>
        <v>-1397</v>
      </c>
      <c r="DM24" s="121">
        <f>Data!DM110-DL24-DK24</f>
        <v>-1449</v>
      </c>
      <c r="DN24" s="121">
        <f>Data!DN110-DM24-DL24-DK24</f>
        <v>1342</v>
      </c>
      <c r="DO24" s="120">
        <f t="shared" ref="DO24" si="59">SUM(DK24:DN24)</f>
        <v>-723</v>
      </c>
      <c r="DP24" s="121">
        <f>Data!DP110</f>
        <v>3181</v>
      </c>
      <c r="DQ24" s="121">
        <f>Data!DQ110-DP24</f>
        <v>1479</v>
      </c>
      <c r="DR24" s="122">
        <v>-587.5</v>
      </c>
      <c r="DS24" s="122">
        <v>-587.5</v>
      </c>
      <c r="DT24" s="120">
        <f t="shared" ref="DT24" si="60">SUM(DP24:DS24)</f>
        <v>3485</v>
      </c>
      <c r="DU24" s="122">
        <v>-587.5</v>
      </c>
      <c r="DV24" s="122">
        <v>-587.5</v>
      </c>
      <c r="DW24" s="122">
        <v>-587.5</v>
      </c>
      <c r="DX24" s="122">
        <v>-587.5</v>
      </c>
      <c r="DY24" s="120">
        <f t="shared" ref="DY24" si="61">SUM(DU24:DX24)</f>
        <v>-2350</v>
      </c>
      <c r="DZ24" s="180">
        <v>-2350</v>
      </c>
      <c r="EA24" s="180">
        <v>-2350</v>
      </c>
      <c r="EB24" s="180">
        <v>-2350</v>
      </c>
    </row>
    <row r="25" spans="2:132" s="68" customFormat="1" ht="12" customHeight="1">
      <c r="B25" s="157" t="s">
        <v>91</v>
      </c>
      <c r="C25" s="67">
        <f>Data!C114</f>
        <v>-451</v>
      </c>
      <c r="D25" s="67">
        <f>Data!D114</f>
        <v>145</v>
      </c>
      <c r="E25" s="67">
        <f>Data!E114</f>
        <v>462</v>
      </c>
      <c r="F25" s="67">
        <f>Data!F114</f>
        <v>421</v>
      </c>
      <c r="G25" s="67">
        <f>Data!G114</f>
        <v>-762</v>
      </c>
      <c r="H25" s="67">
        <f>Data!H114</f>
        <v>905</v>
      </c>
      <c r="I25" s="67">
        <f>Data!I114</f>
        <v>320</v>
      </c>
      <c r="J25" s="68">
        <f>Data!J114</f>
        <v>380</v>
      </c>
      <c r="K25" s="68">
        <f>Data!K114-J25</f>
        <v>103</v>
      </c>
      <c r="L25" s="68">
        <f>Data!L114-K25-J25</f>
        <v>666</v>
      </c>
      <c r="M25" s="68">
        <f>Data!M114-L25-K25-J25</f>
        <v>-63</v>
      </c>
      <c r="N25" s="67">
        <f t="shared" si="0"/>
        <v>1086</v>
      </c>
      <c r="O25" s="68">
        <f>Data!O114</f>
        <v>14</v>
      </c>
      <c r="P25" s="68">
        <f>Data!P114-O25</f>
        <v>284</v>
      </c>
      <c r="Q25" s="68">
        <f>Data!Q114-P25-O25</f>
        <v>250</v>
      </c>
      <c r="R25" s="68">
        <f>Data!R114-Q25-P25-O25</f>
        <v>80</v>
      </c>
      <c r="S25" s="67">
        <f t="shared" si="1"/>
        <v>628</v>
      </c>
      <c r="T25" s="68">
        <f>Data!T114</f>
        <v>310</v>
      </c>
      <c r="U25" s="68">
        <f>Data!U114-T25</f>
        <v>86</v>
      </c>
      <c r="V25" s="68">
        <f>Data!V114-U25-T25</f>
        <v>361</v>
      </c>
      <c r="W25" s="68">
        <f>Data!W114-V25-U25-T25</f>
        <v>176</v>
      </c>
      <c r="X25" s="67">
        <f t="shared" si="2"/>
        <v>933</v>
      </c>
      <c r="Y25" s="68">
        <f>Data!Y114</f>
        <v>359</v>
      </c>
      <c r="Z25" s="68">
        <f>Data!Z114-Y25</f>
        <v>462</v>
      </c>
      <c r="AA25" s="68">
        <f>Data!AA114-Z25-Y25</f>
        <v>374</v>
      </c>
      <c r="AB25" s="68">
        <f>Data!AB114-AA25-Z25-Y25</f>
        <v>95</v>
      </c>
      <c r="AC25" s="67">
        <f t="shared" si="3"/>
        <v>1290</v>
      </c>
      <c r="AD25" s="68">
        <f>Data!AD114</f>
        <v>502</v>
      </c>
      <c r="AE25" s="68">
        <f>Data!AE114-AD25</f>
        <v>-227</v>
      </c>
      <c r="AF25" s="68">
        <f>Data!AF114-AE25-AD25</f>
        <v>458</v>
      </c>
      <c r="AG25" s="68">
        <f>Data!AG114-AF25-AE25-AD25</f>
        <v>11</v>
      </c>
      <c r="AH25" s="67">
        <f t="shared" si="4"/>
        <v>744</v>
      </c>
      <c r="AI25" s="68">
        <f>Data!AI114</f>
        <v>534</v>
      </c>
      <c r="AJ25" s="68">
        <f>Data!AJ114-AI25</f>
        <v>387</v>
      </c>
      <c r="AK25" s="68">
        <f>Data!AK114-AJ25-AI25</f>
        <v>-788</v>
      </c>
      <c r="AL25" s="68">
        <f>Data!AL114-AK25-AJ25-AI25</f>
        <v>474</v>
      </c>
      <c r="AM25" s="67">
        <f t="shared" si="5"/>
        <v>607</v>
      </c>
      <c r="AN25" s="241">
        <f>Data!AN114</f>
        <v>429</v>
      </c>
      <c r="AO25" s="68">
        <f>Data!AO114-AN25</f>
        <v>331</v>
      </c>
      <c r="AP25" s="68">
        <f>Data!AP114-AO25-AN25</f>
        <v>373</v>
      </c>
      <c r="AQ25" s="68">
        <f>Data!AQ114-AP25-AO25-AN25</f>
        <v>-311</v>
      </c>
      <c r="AR25" s="67">
        <f t="shared" si="6"/>
        <v>822</v>
      </c>
      <c r="AS25" s="241">
        <f>Data!AS114</f>
        <v>217</v>
      </c>
      <c r="AT25" s="68">
        <f>Data!AT114-AS25</f>
        <v>468</v>
      </c>
      <c r="AU25" s="68">
        <f>Data!AU114-AT25-AS25</f>
        <v>629</v>
      </c>
      <c r="AV25" s="68">
        <f>Data!AV114-AU25-AT25-AS25</f>
        <v>-52</v>
      </c>
      <c r="AW25" s="67">
        <f t="shared" si="7"/>
        <v>1262</v>
      </c>
      <c r="AX25" s="121">
        <f>Data!AX114</f>
        <v>333</v>
      </c>
      <c r="AY25" s="121">
        <f>Data!AY114-AX25</f>
        <v>372</v>
      </c>
      <c r="AZ25" s="121">
        <f>Data!AZ114-AY25-AX25</f>
        <v>380</v>
      </c>
      <c r="BA25" s="121">
        <f>Data!BA114-AZ25-AY25-AX25</f>
        <v>520</v>
      </c>
      <c r="BB25" s="67">
        <f t="shared" si="8"/>
        <v>1605</v>
      </c>
      <c r="BC25" s="121">
        <f>Data!BC114</f>
        <v>214</v>
      </c>
      <c r="BD25" s="121">
        <f>Data!BD114-BC25</f>
        <v>394</v>
      </c>
      <c r="BE25" s="121">
        <f>Data!BE114-BD25-BC25</f>
        <v>728</v>
      </c>
      <c r="BF25" s="121">
        <f>Data!BF114-BE25-BD25-BC25</f>
        <v>109</v>
      </c>
      <c r="BG25" s="67">
        <f t="shared" si="47"/>
        <v>1445</v>
      </c>
      <c r="BH25" s="121">
        <f>Data!BH114</f>
        <v>455</v>
      </c>
      <c r="BI25" s="121">
        <f>Data!BI114-BH25</f>
        <v>-61</v>
      </c>
      <c r="BJ25" s="121">
        <f>Data!BJ114-BI25-BH25</f>
        <v>493</v>
      </c>
      <c r="BK25" s="121">
        <f>Data!BK114-BJ25-BI25-BH25</f>
        <v>438</v>
      </c>
      <c r="BL25" s="67">
        <f t="shared" si="48"/>
        <v>1325</v>
      </c>
      <c r="BM25" s="121">
        <f>Data!BM114</f>
        <v>443</v>
      </c>
      <c r="BN25" s="121">
        <f>Data!BN114-BM25</f>
        <v>39</v>
      </c>
      <c r="BO25" s="121">
        <f>Data!BO114-BN25-BM25</f>
        <v>342</v>
      </c>
      <c r="BP25" s="121">
        <f>Data!BP114-BO25-BN25-BM25</f>
        <v>-347</v>
      </c>
      <c r="BQ25" s="67">
        <f>SUM(BM25:BP25)</f>
        <v>477</v>
      </c>
      <c r="BR25" s="121">
        <f>Data!BR114</f>
        <v>273</v>
      </c>
      <c r="BS25" s="121">
        <f>Data!BS114-BR25</f>
        <v>-767</v>
      </c>
      <c r="BT25" s="121">
        <f>Data!BT114-BS25-BR25</f>
        <v>-231</v>
      </c>
      <c r="BU25" s="121">
        <f>Data!BU114-BT25-BS25-BR25</f>
        <v>-85</v>
      </c>
      <c r="BV25" s="67">
        <f>SUM(BR25:BU25)</f>
        <v>-810</v>
      </c>
      <c r="BW25" s="121">
        <f>Data!BW114</f>
        <v>495</v>
      </c>
      <c r="BX25" s="121">
        <f>Data!BX114-BW25</f>
        <v>217</v>
      </c>
      <c r="BY25" s="121">
        <f>Data!BY114-BX25-BW25</f>
        <v>753</v>
      </c>
      <c r="BZ25" s="121">
        <f>Data!BZ114-BY25-BX25-BW25</f>
        <v>-608</v>
      </c>
      <c r="CA25" s="67">
        <f>SUM(BW25:BZ25)</f>
        <v>857</v>
      </c>
      <c r="CB25" s="121">
        <f>Data!CB114</f>
        <v>348</v>
      </c>
      <c r="CC25" s="121">
        <f>Data!CC114-CB25</f>
        <v>-79</v>
      </c>
      <c r="CD25" s="121">
        <f>Data!CD114-CC25-CB25</f>
        <v>-521</v>
      </c>
      <c r="CE25" s="121">
        <f>Data!CE114-CD25-CC25-CB25</f>
        <v>72</v>
      </c>
      <c r="CF25" s="67">
        <f>SUM(CB25:CE25)</f>
        <v>-180</v>
      </c>
      <c r="CG25" s="121">
        <f>Data!CG114</f>
        <v>116</v>
      </c>
      <c r="CH25" s="121">
        <f>Data!CH114-CG25</f>
        <v>-1037</v>
      </c>
      <c r="CI25" s="121">
        <f>Data!CI114-CH25-CG25</f>
        <v>-68</v>
      </c>
      <c r="CJ25" s="121">
        <f>Data!CJ114-CI25-CH25-CG25</f>
        <v>-1487</v>
      </c>
      <c r="CK25" s="120">
        <f>SUM(CG25:CJ25)</f>
        <v>-2476</v>
      </c>
      <c r="CL25" s="121">
        <f>Data!CL114</f>
        <v>-892</v>
      </c>
      <c r="CM25" s="121">
        <f>Data!CM114-CL25</f>
        <v>-1002</v>
      </c>
      <c r="CN25" s="121">
        <f>Data!CN114-CM25-CL25</f>
        <v>-510</v>
      </c>
      <c r="CO25" s="121">
        <f>Data!CO114-CN25-CM25-CL25</f>
        <v>-172</v>
      </c>
      <c r="CP25" s="120">
        <f>SUM(CL25:CO25)</f>
        <v>-2576</v>
      </c>
      <c r="CQ25" s="121">
        <f>Data!CQ114</f>
        <v>-34</v>
      </c>
      <c r="CR25" s="121">
        <f>Data!CR114-CQ25</f>
        <v>-96</v>
      </c>
      <c r="CS25" s="121">
        <f>Data!CS114-CR25-CQ25</f>
        <v>1141</v>
      </c>
      <c r="CT25" s="121">
        <f>Data!CT114-CS25-CR25-CQ25</f>
        <v>-278</v>
      </c>
      <c r="CU25" s="120">
        <f>SUM(CQ25:CT25)</f>
        <v>733</v>
      </c>
      <c r="CV25" s="121">
        <f>Data!CV114</f>
        <v>-403</v>
      </c>
      <c r="CW25" s="121">
        <f>Data!CW114-CV25</f>
        <v>165</v>
      </c>
      <c r="CX25" s="121">
        <f>Data!CX114-CW25-CV25</f>
        <v>1620</v>
      </c>
      <c r="CY25" s="121">
        <f>Data!CY114-CX25-CW25-CV25</f>
        <v>-35</v>
      </c>
      <c r="CZ25" s="120">
        <f>SUM(CV25:CY25)</f>
        <v>1347</v>
      </c>
      <c r="DA25" s="121">
        <f>Data!DA114</f>
        <v>-122</v>
      </c>
      <c r="DB25" s="121">
        <f>Data!DB114-DA25</f>
        <v>-302</v>
      </c>
      <c r="DC25" s="121">
        <f>Data!DC114-DB25-DA25</f>
        <v>497</v>
      </c>
      <c r="DD25" s="121">
        <f>Data!DD114-DC25-DB25-DA25</f>
        <v>-29</v>
      </c>
      <c r="DE25" s="120">
        <f>SUM(DA25:DD25)</f>
        <v>44</v>
      </c>
      <c r="DF25" s="121">
        <f>Data!DF114</f>
        <v>-59</v>
      </c>
      <c r="DG25" s="121">
        <f>Data!DG114-DF25</f>
        <v>-129</v>
      </c>
      <c r="DH25" s="121">
        <f>Data!DH114-DG25-DF25</f>
        <v>-94</v>
      </c>
      <c r="DI25" s="121">
        <f>Data!DI114-DH25-DG25-DF25</f>
        <v>-285</v>
      </c>
      <c r="DJ25" s="120">
        <f>SUM(DF25:DI25)</f>
        <v>-567</v>
      </c>
      <c r="DK25" s="121">
        <f>Data!DK114</f>
        <v>26</v>
      </c>
      <c r="DL25" s="121">
        <f>Data!DL114-DK25</f>
        <v>-29</v>
      </c>
      <c r="DM25" s="121">
        <f>Data!DM114-DL25-DK25</f>
        <v>96</v>
      </c>
      <c r="DN25" s="121">
        <f>Data!DN114-DM25-DL25-DK25</f>
        <v>22</v>
      </c>
      <c r="DO25" s="120">
        <f>SUM(DK25:DN25)</f>
        <v>115</v>
      </c>
      <c r="DP25" s="121">
        <f>Data!DP114</f>
        <v>-16</v>
      </c>
      <c r="DQ25" s="121">
        <f>Data!DQ114-DP25</f>
        <v>-4</v>
      </c>
      <c r="DR25" s="179">
        <v>93.25</v>
      </c>
      <c r="DS25" s="179">
        <v>93.25</v>
      </c>
      <c r="DT25" s="120">
        <f>SUM(DP25:DS25)</f>
        <v>166.5</v>
      </c>
      <c r="DU25" s="179">
        <v>93.25</v>
      </c>
      <c r="DV25" s="179">
        <v>93.25</v>
      </c>
      <c r="DW25" s="179">
        <v>93.25</v>
      </c>
      <c r="DX25" s="179">
        <v>93.25</v>
      </c>
      <c r="DY25" s="120">
        <f>SUM(DU25:DX25)</f>
        <v>373</v>
      </c>
      <c r="DZ25" s="123">
        <v>373</v>
      </c>
      <c r="EA25" s="123">
        <v>373</v>
      </c>
      <c r="EB25" s="123">
        <v>373</v>
      </c>
    </row>
    <row r="26" spans="2:132" s="68" customFormat="1" ht="12" customHeight="1">
      <c r="B26" s="157" t="s">
        <v>72</v>
      </c>
      <c r="C26" s="67">
        <f>Data!C115</f>
        <v>0</v>
      </c>
      <c r="D26" s="67">
        <f>Data!D115</f>
        <v>0</v>
      </c>
      <c r="E26" s="67">
        <f>Data!E115</f>
        <v>0</v>
      </c>
      <c r="F26" s="67">
        <f>Data!F115</f>
        <v>0</v>
      </c>
      <c r="G26" s="67">
        <f>Data!G115</f>
        <v>0</v>
      </c>
      <c r="H26" s="67">
        <f>Data!H115</f>
        <v>0</v>
      </c>
      <c r="I26" s="67">
        <f>Data!I115</f>
        <v>0</v>
      </c>
      <c r="J26" s="68">
        <f>Data!J115</f>
        <v>0</v>
      </c>
      <c r="K26" s="68">
        <f>Data!K115-J26</f>
        <v>-1</v>
      </c>
      <c r="L26" s="68">
        <f>Data!L115-K26-J26</f>
        <v>0</v>
      </c>
      <c r="M26" s="68">
        <f>Data!M115-L26-K26-J26</f>
        <v>0</v>
      </c>
      <c r="N26" s="67">
        <f t="shared" si="0"/>
        <v>-1</v>
      </c>
      <c r="O26" s="68">
        <f>Data!O115</f>
        <v>-30</v>
      </c>
      <c r="P26" s="68">
        <f>Data!P115-O26</f>
        <v>-396</v>
      </c>
      <c r="Q26" s="68">
        <f>Data!Q115-P26-O26</f>
        <v>-26</v>
      </c>
      <c r="R26" s="68">
        <f>Data!R115-Q26-P26-O26</f>
        <v>-24</v>
      </c>
      <c r="S26" s="67">
        <f t="shared" si="1"/>
        <v>-476</v>
      </c>
      <c r="T26" s="68">
        <f>Data!T115</f>
        <v>-22</v>
      </c>
      <c r="U26" s="68">
        <f>Data!U115-T26</f>
        <v>6</v>
      </c>
      <c r="V26" s="68">
        <f>Data!V115-U26-T26</f>
        <v>-29</v>
      </c>
      <c r="W26" s="68">
        <f>Data!W115-V26-U26-T26</f>
        <v>-17</v>
      </c>
      <c r="X26" s="67">
        <f t="shared" si="2"/>
        <v>-62</v>
      </c>
      <c r="Y26" s="68">
        <f>Data!Y115</f>
        <v>-3</v>
      </c>
      <c r="Z26" s="68">
        <f>Data!Z115-Y26</f>
        <v>-1</v>
      </c>
      <c r="AA26" s="68">
        <f>Data!AA115-Z26-Y26</f>
        <v>5</v>
      </c>
      <c r="AB26" s="68">
        <f>Data!AB115-AA26-Z26-Y26</f>
        <v>70</v>
      </c>
      <c r="AC26" s="67">
        <f t="shared" si="3"/>
        <v>71</v>
      </c>
      <c r="AD26" s="68">
        <f>Data!AD115</f>
        <v>-127</v>
      </c>
      <c r="AE26" s="68">
        <f>Data!AE115-AD26</f>
        <v>-22</v>
      </c>
      <c r="AF26" s="68">
        <f>Data!AF115-AE26-AD26</f>
        <v>-8</v>
      </c>
      <c r="AG26" s="68">
        <f>Data!AG115-AF26-AE26-AD26</f>
        <v>-54</v>
      </c>
      <c r="AH26" s="67">
        <f t="shared" si="4"/>
        <v>-211</v>
      </c>
      <c r="AI26" s="68">
        <f>Data!AI115</f>
        <v>-51</v>
      </c>
      <c r="AJ26" s="68">
        <f>Data!AJ115-AI26</f>
        <v>31</v>
      </c>
      <c r="AK26" s="68">
        <f>Data!AK115-AJ26-AI26</f>
        <v>17</v>
      </c>
      <c r="AL26" s="68">
        <f>Data!AL115-AK26-AJ26-AI26</f>
        <v>-9</v>
      </c>
      <c r="AM26" s="67">
        <f t="shared" si="5"/>
        <v>-12</v>
      </c>
      <c r="AN26" s="241">
        <f>Data!AN115</f>
        <v>246</v>
      </c>
      <c r="AO26" s="68">
        <f>Data!AO115-AN26</f>
        <v>9</v>
      </c>
      <c r="AP26" s="68">
        <f>Data!AP115-AO26-AN26</f>
        <v>21</v>
      </c>
      <c r="AQ26" s="68">
        <f>Data!AQ115-AP26-AO26-AN26</f>
        <v>52</v>
      </c>
      <c r="AR26" s="67">
        <f t="shared" si="6"/>
        <v>328</v>
      </c>
      <c r="AS26" s="241">
        <f>Data!AS115</f>
        <v>-66</v>
      </c>
      <c r="AT26" s="68">
        <f>Data!AT115-AS26</f>
        <v>120</v>
      </c>
      <c r="AU26" s="68">
        <f>Data!AU115-AT26-AS26</f>
        <v>53</v>
      </c>
      <c r="AV26" s="68">
        <f>Data!AV115-AU26-AT26-AS26</f>
        <v>20</v>
      </c>
      <c r="AW26" s="67">
        <f t="shared" si="7"/>
        <v>127</v>
      </c>
      <c r="AX26" s="121">
        <f>Data!AX115</f>
        <v>-45</v>
      </c>
      <c r="AY26" s="121">
        <f>Data!AY115-AX26</f>
        <v>30</v>
      </c>
      <c r="AZ26" s="121">
        <f>Data!AZ115-AY26-AX26</f>
        <v>37</v>
      </c>
      <c r="BA26" s="121">
        <f>Data!BA115-AZ26-AY26-AX26</f>
        <v>135</v>
      </c>
      <c r="BB26" s="67">
        <f t="shared" si="8"/>
        <v>157</v>
      </c>
      <c r="BC26" s="121">
        <f>Data!BC115</f>
        <v>-73</v>
      </c>
      <c r="BD26" s="121">
        <f>Data!BD115-BC26</f>
        <v>13</v>
      </c>
      <c r="BE26" s="121">
        <f>Data!BE115-BD26-BC26</f>
        <v>8</v>
      </c>
      <c r="BF26" s="121">
        <f>Data!BF115-BE26-BD26-BC26</f>
        <v>54</v>
      </c>
      <c r="BG26" s="67">
        <f t="shared" si="47"/>
        <v>2</v>
      </c>
      <c r="BH26" s="121">
        <f>Data!BH115</f>
        <v>-124</v>
      </c>
      <c r="BI26" s="121">
        <f>Data!BI115-BH26</f>
        <v>36</v>
      </c>
      <c r="BJ26" s="121">
        <f>Data!BJ115-BI26-BH26</f>
        <v>46</v>
      </c>
      <c r="BK26" s="121">
        <f>Data!BK115-BJ26-BI26-BH26</f>
        <v>78</v>
      </c>
      <c r="BL26" s="67">
        <f t="shared" si="48"/>
        <v>36</v>
      </c>
      <c r="BM26" s="121">
        <f>Data!BM115</f>
        <v>-82</v>
      </c>
      <c r="BN26" s="121">
        <f>Data!BN115-BM26</f>
        <v>65</v>
      </c>
      <c r="BO26" s="121">
        <f>Data!BO115-BN26-BM26</f>
        <v>57</v>
      </c>
      <c r="BP26" s="121">
        <f>Data!BP115-BO26-BN26-BM26</f>
        <v>6</v>
      </c>
      <c r="BQ26" s="67">
        <f t="shared" si="49"/>
        <v>46</v>
      </c>
      <c r="BR26" s="121">
        <f>Data!BR115</f>
        <v>-116</v>
      </c>
      <c r="BS26" s="121">
        <f>Data!BS115-BR26</f>
        <v>13</v>
      </c>
      <c r="BT26" s="121">
        <f>Data!BT115-BS26-BR26</f>
        <v>36</v>
      </c>
      <c r="BU26" s="121">
        <f>Data!BU115-BT26-BS26-BR26</f>
        <v>-1</v>
      </c>
      <c r="BV26" s="67">
        <f t="shared" si="50"/>
        <v>-68</v>
      </c>
      <c r="BW26" s="121">
        <f>Data!BW115</f>
        <v>-72</v>
      </c>
      <c r="BX26" s="121">
        <f>Data!BX115-BW26</f>
        <v>54</v>
      </c>
      <c r="BY26" s="121">
        <f>Data!BY115-BX26-BW26</f>
        <v>43</v>
      </c>
      <c r="BZ26" s="121">
        <f>Data!BZ115-BY26-BX26-BW26</f>
        <v>69</v>
      </c>
      <c r="CA26" s="67">
        <f t="shared" ref="CA26" si="62">SUM(BW26:BZ26)</f>
        <v>94</v>
      </c>
      <c r="CB26" s="121">
        <f>Data!CB115</f>
        <v>-243</v>
      </c>
      <c r="CC26" s="121">
        <f>Data!CC115-CB26</f>
        <v>178</v>
      </c>
      <c r="CD26" s="121">
        <f>Data!CD115-CC26-CB26</f>
        <v>66</v>
      </c>
      <c r="CE26" s="121">
        <f>Data!CE115-CD26-CC26-CB26</f>
        <v>86</v>
      </c>
      <c r="CF26" s="67">
        <f t="shared" ref="CF26" si="63">SUM(CB26:CE26)</f>
        <v>87</v>
      </c>
      <c r="CG26" s="121">
        <f>Data!CG115</f>
        <v>-281</v>
      </c>
      <c r="CH26" s="121">
        <f>Data!CH115-CG26</f>
        <v>-228</v>
      </c>
      <c r="CI26" s="121">
        <f>Data!CI115-CH26-CG26</f>
        <v>-68</v>
      </c>
      <c r="CJ26" s="121">
        <f>Data!CJ115-CI26-CH26-CG26</f>
        <v>-44</v>
      </c>
      <c r="CK26" s="120">
        <f t="shared" ref="CK26" si="64">SUM(CG26:CJ26)</f>
        <v>-621</v>
      </c>
      <c r="CL26" s="121">
        <f>Data!CL115</f>
        <v>-69</v>
      </c>
      <c r="CM26" s="121">
        <f>Data!CM115-CL26</f>
        <v>-40</v>
      </c>
      <c r="CN26" s="121">
        <f>Data!CN115-CM26-CL26</f>
        <v>-40</v>
      </c>
      <c r="CO26" s="121">
        <f>Data!CO115-CN26-CM26-CL26</f>
        <v>-73</v>
      </c>
      <c r="CP26" s="120">
        <f t="shared" ref="CP26" si="65">SUM(CL26:CO26)</f>
        <v>-222</v>
      </c>
      <c r="CQ26" s="121">
        <f>Data!CQ115</f>
        <v>-84</v>
      </c>
      <c r="CR26" s="121">
        <f>Data!CR115-CQ26</f>
        <v>-43</v>
      </c>
      <c r="CS26" s="121">
        <f>Data!CS115-CR26-CQ26</f>
        <v>-41</v>
      </c>
      <c r="CT26" s="121">
        <f>Data!CT115-CS26-CR26-CQ26</f>
        <v>-38</v>
      </c>
      <c r="CU26" s="120">
        <f t="shared" ref="CU26" si="66">SUM(CQ26:CT26)</f>
        <v>-206</v>
      </c>
      <c r="CV26" s="121">
        <f>Data!CV115</f>
        <v>96</v>
      </c>
      <c r="CW26" s="121">
        <f>Data!CW115-CV26</f>
        <v>-160</v>
      </c>
      <c r="CX26" s="121">
        <f>Data!CX115-CW26-CV26</f>
        <v>-50</v>
      </c>
      <c r="CY26" s="121">
        <f>Data!CY115-CX26-CW26-CV26</f>
        <v>-44</v>
      </c>
      <c r="CZ26" s="120">
        <f t="shared" ref="CZ26" si="67">SUM(CV26:CY26)</f>
        <v>-158</v>
      </c>
      <c r="DA26" s="121">
        <f>Data!DA115</f>
        <v>-117</v>
      </c>
      <c r="DB26" s="121">
        <f>Data!DB115-DA26</f>
        <v>-63</v>
      </c>
      <c r="DC26" s="121">
        <f>Data!DC115-DB26-DA26</f>
        <v>-74</v>
      </c>
      <c r="DD26" s="121">
        <f>Data!DD115-DC26-DB26-DA26</f>
        <v>-59</v>
      </c>
      <c r="DE26" s="120">
        <f t="shared" ref="DE26" si="68">SUM(DA26:DD26)</f>
        <v>-313</v>
      </c>
      <c r="DF26" s="121">
        <f>Data!DF115</f>
        <v>-83</v>
      </c>
      <c r="DG26" s="121">
        <f>Data!DG115-DF26</f>
        <v>-65</v>
      </c>
      <c r="DH26" s="121">
        <f>Data!DH115-DG26-DF26</f>
        <v>-80</v>
      </c>
      <c r="DI26" s="121">
        <f>Data!DI115-DH26-DG26-DF26</f>
        <v>-101</v>
      </c>
      <c r="DJ26" s="120">
        <f t="shared" ref="DJ26" si="69">SUM(DF26:DI26)</f>
        <v>-329</v>
      </c>
      <c r="DK26" s="121">
        <f>Data!DK115</f>
        <v>-151</v>
      </c>
      <c r="DL26" s="121">
        <f>Data!DL115-DK26</f>
        <v>-61</v>
      </c>
      <c r="DM26" s="121">
        <f>Data!DM115-DL26-DK26</f>
        <v>-82</v>
      </c>
      <c r="DN26" s="121">
        <f>Data!DN115-DM26-DL26-DK26</f>
        <v>-52</v>
      </c>
      <c r="DO26" s="120">
        <f t="shared" ref="DO26:DO38" si="70">SUM(DK26:DN26)</f>
        <v>-346</v>
      </c>
      <c r="DP26" s="121">
        <f>Data!DP115</f>
        <v>-49</v>
      </c>
      <c r="DQ26" s="121">
        <f>Data!DQ115-DP26</f>
        <v>-43</v>
      </c>
      <c r="DR26" s="184">
        <f>BS!DR37-BS!DQ37</f>
        <v>38</v>
      </c>
      <c r="DS26" s="184">
        <f>BS!DS37-BS!DR37</f>
        <v>38</v>
      </c>
      <c r="DT26" s="120">
        <f t="shared" ref="DT26" si="71">SUM(DP26:DS26)</f>
        <v>-16</v>
      </c>
      <c r="DU26" s="184">
        <f>BS!DU37-BS!DT37</f>
        <v>38</v>
      </c>
      <c r="DV26" s="184">
        <f>BS!DV37-BS!DU37</f>
        <v>38</v>
      </c>
      <c r="DW26" s="184">
        <f>BS!DW37-BS!DV37</f>
        <v>38</v>
      </c>
      <c r="DX26" s="184">
        <f>BS!DX37-BS!DW37</f>
        <v>38</v>
      </c>
      <c r="DY26" s="120">
        <f t="shared" ref="DY26" si="72">SUM(DU26:DX26)</f>
        <v>152</v>
      </c>
      <c r="DZ26" s="185">
        <f>BS!DZ37-BS!DY37</f>
        <v>150</v>
      </c>
      <c r="EA26" s="185">
        <f>BS!EA37-BS!DZ37</f>
        <v>150</v>
      </c>
      <c r="EB26" s="185">
        <f>BS!EB37-BS!EA37</f>
        <v>150</v>
      </c>
    </row>
    <row r="27" spans="2:132" s="68" customFormat="1" ht="12" customHeight="1">
      <c r="B27" s="157" t="s">
        <v>92</v>
      </c>
      <c r="C27" s="67">
        <f>Data!C116</f>
        <v>-4</v>
      </c>
      <c r="D27" s="67">
        <f>Data!D116</f>
        <v>35</v>
      </c>
      <c r="E27" s="67">
        <f>Data!E116</f>
        <v>46</v>
      </c>
      <c r="F27" s="67">
        <f>Data!F116</f>
        <v>269</v>
      </c>
      <c r="G27" s="67">
        <f>Data!G116</f>
        <v>-766</v>
      </c>
      <c r="H27" s="67">
        <f>Data!H116</f>
        <v>-273</v>
      </c>
      <c r="I27" s="67">
        <f>Data!I116</f>
        <v>-1417</v>
      </c>
      <c r="J27" s="68">
        <f>Data!J116</f>
        <v>-945</v>
      </c>
      <c r="K27" s="68">
        <f>Data!K116-J27</f>
        <v>-966</v>
      </c>
      <c r="L27" s="68">
        <f>Data!L116-K27-J27</f>
        <v>-1536</v>
      </c>
      <c r="M27" s="68">
        <f>Data!M116-L27-K27-J27</f>
        <v>-694</v>
      </c>
      <c r="N27" s="67">
        <f t="shared" si="0"/>
        <v>-4141</v>
      </c>
      <c r="O27" s="68">
        <f>Data!O116</f>
        <v>-431</v>
      </c>
      <c r="P27" s="68">
        <f>Data!P116-O27</f>
        <v>17</v>
      </c>
      <c r="Q27" s="68">
        <f>Data!Q116-P27-O27</f>
        <v>-1407</v>
      </c>
      <c r="R27" s="68">
        <f>Data!R116-Q27-P27-O27</f>
        <v>-41</v>
      </c>
      <c r="S27" s="67">
        <f t="shared" si="1"/>
        <v>-1862</v>
      </c>
      <c r="T27" s="68">
        <f>Data!T116</f>
        <v>-470</v>
      </c>
      <c r="U27" s="68">
        <f>Data!U116-T27</f>
        <v>33</v>
      </c>
      <c r="V27" s="68">
        <f>Data!V116-U27-T27</f>
        <v>-10</v>
      </c>
      <c r="W27" s="68">
        <f>Data!W116-V27-U27-T27</f>
        <v>39</v>
      </c>
      <c r="X27" s="67">
        <f t="shared" si="2"/>
        <v>-408</v>
      </c>
      <c r="Y27" s="68">
        <f>Data!Y116</f>
        <v>-506</v>
      </c>
      <c r="Z27" s="68">
        <f>Data!Z116-Y27</f>
        <v>-4</v>
      </c>
      <c r="AA27" s="68">
        <f>Data!AA116-Z27-Y27</f>
        <v>-30</v>
      </c>
      <c r="AB27" s="68">
        <f>Data!AB116-AA27-Z27-Y27</f>
        <v>-704</v>
      </c>
      <c r="AC27" s="67">
        <f t="shared" si="3"/>
        <v>-1244</v>
      </c>
      <c r="AD27" s="68">
        <f>Data!AD116</f>
        <v>-419</v>
      </c>
      <c r="AE27" s="68">
        <f>Data!AE116-AD27</f>
        <v>138</v>
      </c>
      <c r="AF27" s="68">
        <f>Data!AF116-AE27-AD27</f>
        <v>122</v>
      </c>
      <c r="AG27" s="68">
        <f>Data!AG116-AF27-AE27-AD27</f>
        <v>173</v>
      </c>
      <c r="AH27" s="67">
        <f t="shared" si="4"/>
        <v>14</v>
      </c>
      <c r="AI27" s="68">
        <f>Data!AI116</f>
        <v>304</v>
      </c>
      <c r="AJ27" s="68">
        <f>Data!AJ116-AI27</f>
        <v>282</v>
      </c>
      <c r="AK27" s="68">
        <f>Data!AK116-AJ27-AI27</f>
        <v>233</v>
      </c>
      <c r="AL27" s="68">
        <f>Data!AL116-AK27-AJ27-AI27</f>
        <v>321</v>
      </c>
      <c r="AM27" s="67">
        <f t="shared" si="5"/>
        <v>1140</v>
      </c>
      <c r="AN27" s="241">
        <f>Data!AN116</f>
        <v>359</v>
      </c>
      <c r="AO27" s="68">
        <f>Data!AO116-AN27</f>
        <v>358</v>
      </c>
      <c r="AP27" s="68">
        <f>Data!AP116-AO27-AN27</f>
        <v>280</v>
      </c>
      <c r="AQ27" s="68">
        <f>Data!AQ116-AP27-AO27-AN27</f>
        <v>373</v>
      </c>
      <c r="AR27" s="67">
        <f t="shared" si="6"/>
        <v>1370</v>
      </c>
      <c r="AS27" s="241">
        <f>Data!AS116</f>
        <v>621</v>
      </c>
      <c r="AT27" s="68">
        <f>Data!AT116-AS27</f>
        <v>586</v>
      </c>
      <c r="AU27" s="68">
        <f>Data!AU116-AT27-AS27</f>
        <v>750</v>
      </c>
      <c r="AV27" s="68">
        <f>Data!AV116-AU27-AT27-AS27</f>
        <v>704</v>
      </c>
      <c r="AW27" s="67">
        <f t="shared" si="7"/>
        <v>2661</v>
      </c>
      <c r="AX27" s="121">
        <f>Data!AX116</f>
        <v>728</v>
      </c>
      <c r="AY27" s="121">
        <f>Data!AY116-AX27</f>
        <v>729</v>
      </c>
      <c r="AZ27" s="121">
        <f>Data!AZ116-AY27-AX27</f>
        <v>638</v>
      </c>
      <c r="BA27" s="121">
        <f>Data!BA116-AZ27-AY27-AX27</f>
        <v>743</v>
      </c>
      <c r="BB27" s="67">
        <f>SUM(AX27:BA27)</f>
        <v>2838</v>
      </c>
      <c r="BC27" s="121">
        <f>Data!BC116</f>
        <v>821</v>
      </c>
      <c r="BD27" s="121">
        <f>Data!BD116-BC27</f>
        <v>830</v>
      </c>
      <c r="BE27" s="121">
        <f>Data!BE116-BD27-BC27</f>
        <v>816</v>
      </c>
      <c r="BF27" s="121">
        <f>Data!BF116-BE27-BD27-BC27</f>
        <v>766</v>
      </c>
      <c r="BG27" s="67">
        <f>SUM(BC27:BF27)</f>
        <v>3233</v>
      </c>
      <c r="BH27" s="121">
        <f>Data!BH116</f>
        <v>733</v>
      </c>
      <c r="BI27" s="121">
        <f>Data!BI116-BH27</f>
        <v>385</v>
      </c>
      <c r="BJ27" s="121">
        <f>Data!BJ116-BI27-BH27</f>
        <v>378</v>
      </c>
      <c r="BK27" s="121">
        <f>Data!BK116-BJ27-BI27-BH27</f>
        <v>440</v>
      </c>
      <c r="BL27" s="67">
        <f>SUM(BH27:BK27)</f>
        <v>1936</v>
      </c>
      <c r="BM27" s="121">
        <f>Data!BM116</f>
        <v>608</v>
      </c>
      <c r="BN27" s="121">
        <f>Data!BN116-BM27</f>
        <v>636</v>
      </c>
      <c r="BO27" s="121">
        <f>Data!BO116-BN27-BM27</f>
        <v>593</v>
      </c>
      <c r="BP27" s="121">
        <f>Data!BP116-BO27-BN27-BM27</f>
        <v>633</v>
      </c>
      <c r="BQ27" s="67">
        <f>SUM(BM27:BP27)</f>
        <v>2470</v>
      </c>
      <c r="BR27" s="121">
        <f>Data!BR116</f>
        <v>79</v>
      </c>
      <c r="BS27" s="121">
        <f>Data!BS116-BR27</f>
        <v>102</v>
      </c>
      <c r="BT27" s="121">
        <f>Data!BT116-BS27-BR27</f>
        <v>-37</v>
      </c>
      <c r="BU27" s="121">
        <f>Data!BU116-BT27-BS27-BR27</f>
        <v>9</v>
      </c>
      <c r="BV27" s="67">
        <f>SUM(BR27:BU27)</f>
        <v>153</v>
      </c>
      <c r="BW27" s="121">
        <f>Data!BW116</f>
        <v>10</v>
      </c>
      <c r="BX27" s="121">
        <f>Data!BX116-BW27</f>
        <v>3</v>
      </c>
      <c r="BY27" s="121">
        <f>Data!BY116-BX27-BW27</f>
        <v>-563</v>
      </c>
      <c r="BZ27" s="121">
        <f>Data!BZ116-BY27-BX27-BW27</f>
        <v>-32</v>
      </c>
      <c r="CA27" s="67">
        <f>SUM(BW27:BZ27)</f>
        <v>-582</v>
      </c>
      <c r="CB27" s="121">
        <f>Data!CB116</f>
        <v>-50</v>
      </c>
      <c r="CC27" s="121">
        <f>Data!CC116-CB27</f>
        <v>-7</v>
      </c>
      <c r="CD27" s="121">
        <f>Data!CD116-CC27-CB27</f>
        <v>-32</v>
      </c>
      <c r="CE27" s="121">
        <f>Data!CE116-CD27-CC27-CB27</f>
        <v>-64</v>
      </c>
      <c r="CF27" s="67">
        <f t="shared" ref="CF27:CF33" si="73">SUM(CB27:CE27)</f>
        <v>-153</v>
      </c>
      <c r="CG27" s="121">
        <f>Data!CG116</f>
        <v>-188</v>
      </c>
      <c r="CH27" s="121">
        <f>Data!CH116-CG27</f>
        <v>-202</v>
      </c>
      <c r="CI27" s="121">
        <f>Data!CI116-CH27-CG27</f>
        <v>-180</v>
      </c>
      <c r="CJ27" s="121">
        <f>Data!CJ116-CI27-CH27-CG27</f>
        <v>-207</v>
      </c>
      <c r="CK27" s="120">
        <f t="shared" ref="CK27:CK38" si="74">SUM(CG27:CJ27)</f>
        <v>-777</v>
      </c>
      <c r="CL27" s="121">
        <f>Data!CL116</f>
        <v>-179</v>
      </c>
      <c r="CM27" s="121">
        <f>Data!CM116-CL27</f>
        <v>-178</v>
      </c>
      <c r="CN27" s="121">
        <f>Data!CN116-CM27-CL27</f>
        <v>-199</v>
      </c>
      <c r="CO27" s="121">
        <f>Data!CO116-CN27-CM27-CL27</f>
        <v>-238</v>
      </c>
      <c r="CP27" s="120">
        <f t="shared" ref="CP27:CP38" si="75">SUM(CL27:CO27)</f>
        <v>-794</v>
      </c>
      <c r="CQ27" s="121">
        <f>Data!CQ116</f>
        <v>-265</v>
      </c>
      <c r="CR27" s="121">
        <f>Data!CR116-CQ27</f>
        <v>-311</v>
      </c>
      <c r="CS27" s="121">
        <f>Data!CS116-CR27-CQ27</f>
        <v>-155</v>
      </c>
      <c r="CT27" s="121">
        <f>Data!CT116-CS27-CR27-CQ27</f>
        <v>-241</v>
      </c>
      <c r="CU27" s="120">
        <f t="shared" ref="CU27:CU38" si="76">SUM(CQ27:CT27)</f>
        <v>-972</v>
      </c>
      <c r="CV27" s="121">
        <f>Data!CV116</f>
        <v>-371</v>
      </c>
      <c r="CW27" s="121">
        <f>Data!CW116-CV27</f>
        <v>-324</v>
      </c>
      <c r="CX27" s="121">
        <f>Data!CX116-CW27-CV27</f>
        <v>-358</v>
      </c>
      <c r="CY27" s="121">
        <f>Data!CY116-CX27-CW27-CV27</f>
        <v>-325</v>
      </c>
      <c r="CZ27" s="120">
        <f t="shared" ref="CZ27:CZ38" si="77">SUM(CV27:CY27)</f>
        <v>-1378</v>
      </c>
      <c r="DA27" s="121">
        <f>Data!DA116</f>
        <v>-244</v>
      </c>
      <c r="DB27" s="121">
        <f>Data!DB116-DA27</f>
        <v>-276</v>
      </c>
      <c r="DC27" s="121">
        <f>Data!DC116-DB27-DA27</f>
        <v>-265</v>
      </c>
      <c r="DD27" s="121">
        <f>Data!DD116-DC27-DB27-DA27</f>
        <v>-264</v>
      </c>
      <c r="DE27" s="120">
        <f t="shared" ref="DE27:DE38" si="78">SUM(DA27:DD27)</f>
        <v>-1049</v>
      </c>
      <c r="DF27" s="121">
        <f>Data!DF116</f>
        <v>-261</v>
      </c>
      <c r="DG27" s="121">
        <f>Data!DG116-DF27</f>
        <v>-230</v>
      </c>
      <c r="DH27" s="121">
        <f>Data!DH116-DG27-DF27</f>
        <v>-245</v>
      </c>
      <c r="DI27" s="121">
        <f>Data!DI116-DH27-DG27-DF27</f>
        <v>-223</v>
      </c>
      <c r="DJ27" s="120">
        <f t="shared" ref="DJ27:DJ38" si="79">SUM(DF27:DI27)</f>
        <v>-959</v>
      </c>
      <c r="DK27" s="121">
        <f>Data!DK116</f>
        <v>-150</v>
      </c>
      <c r="DL27" s="121">
        <f>Data!DL116-DK27</f>
        <v>-142</v>
      </c>
      <c r="DM27" s="121">
        <f>Data!DM116-DL27-DK27</f>
        <v>-144</v>
      </c>
      <c r="DN27" s="121">
        <f>Data!DN116-DM27-DL27-DK27</f>
        <v>-157</v>
      </c>
      <c r="DO27" s="120">
        <f t="shared" si="70"/>
        <v>-593</v>
      </c>
      <c r="DP27" s="121">
        <f>Data!DP116</f>
        <v>-22</v>
      </c>
      <c r="DQ27" s="121">
        <f>Data!DQ116-DP27</f>
        <v>-33</v>
      </c>
      <c r="DR27" s="179">
        <v>-250</v>
      </c>
      <c r="DS27" s="179">
        <v>-250</v>
      </c>
      <c r="DT27" s="120">
        <f t="shared" ref="DT27:DT38" si="80">SUM(DP27:DS27)</f>
        <v>-555</v>
      </c>
      <c r="DU27" s="179">
        <v>-250</v>
      </c>
      <c r="DV27" s="179">
        <v>-250</v>
      </c>
      <c r="DW27" s="179">
        <v>-250</v>
      </c>
      <c r="DX27" s="179">
        <v>-250</v>
      </c>
      <c r="DY27" s="120">
        <f t="shared" ref="DY27:DY38" si="81">SUM(DU27:DX27)</f>
        <v>-1000</v>
      </c>
      <c r="DZ27" s="180">
        <v>-1000</v>
      </c>
      <c r="EA27" s="180">
        <v>-1000</v>
      </c>
      <c r="EB27" s="180">
        <v>-1000</v>
      </c>
    </row>
    <row r="28" spans="2:132" s="68" customFormat="1" ht="12" customHeight="1">
      <c r="B28" s="601" t="s">
        <v>457</v>
      </c>
      <c r="C28" s="67"/>
      <c r="D28" s="67"/>
      <c r="E28" s="67"/>
      <c r="F28" s="67"/>
      <c r="G28" s="67"/>
      <c r="H28" s="67"/>
      <c r="I28" s="67"/>
      <c r="N28" s="67"/>
      <c r="S28" s="67"/>
      <c r="X28" s="67"/>
      <c r="AC28" s="67"/>
      <c r="AH28" s="67"/>
      <c r="AM28" s="67"/>
      <c r="AN28" s="241">
        <f>Data!AN117</f>
        <v>-4</v>
      </c>
      <c r="AO28" s="68">
        <f>Data!AO117-AN28</f>
        <v>-4</v>
      </c>
      <c r="AP28" s="68">
        <f>Data!AP117-AO28-AN28</f>
        <v>-3</v>
      </c>
      <c r="AQ28" s="68">
        <f>Data!AQ117-AP28-AO28-AN28</f>
        <v>-3</v>
      </c>
      <c r="AR28" s="67">
        <f t="shared" ref="AR28:AR29" si="82">SUM(AN28:AQ28)</f>
        <v>-14</v>
      </c>
      <c r="AS28" s="241">
        <f>Data!AS117</f>
        <v>-4</v>
      </c>
      <c r="AT28" s="68">
        <f>Data!AT117-AS28</f>
        <v>-4</v>
      </c>
      <c r="AU28" s="68">
        <f>Data!AU117-AT28-AS28</f>
        <v>-4</v>
      </c>
      <c r="AV28" s="68">
        <f>Data!AV117-AU28-AT28-AS28</f>
        <v>-4</v>
      </c>
      <c r="AW28" s="67">
        <f>SUM(AS28:AV28)</f>
        <v>-16</v>
      </c>
      <c r="AX28" s="121">
        <f>Data!AX117</f>
        <v>-4</v>
      </c>
      <c r="AY28" s="121">
        <f>Data!AY117-AX28</f>
        <v>-4</v>
      </c>
      <c r="AZ28" s="121">
        <f>Data!AZ117-AY28-AX28</f>
        <v>-3</v>
      </c>
      <c r="BA28" s="121">
        <f>Data!BA117-AZ28-AY28-AX28</f>
        <v>-3</v>
      </c>
      <c r="BB28" s="67">
        <f>SUM(AX28:BA28)</f>
        <v>-14</v>
      </c>
      <c r="BC28" s="121">
        <f>Data!BC117</f>
        <v>0</v>
      </c>
      <c r="BD28" s="121">
        <f>Data!BD117-BC28</f>
        <v>0</v>
      </c>
      <c r="BE28" s="121">
        <f>Data!BE117-BD28-BC28</f>
        <v>0</v>
      </c>
      <c r="BF28" s="121">
        <f>Data!BF117-BE28-BD28-BC28</f>
        <v>0</v>
      </c>
      <c r="BG28" s="67">
        <f>SUM(BC28:BF28)</f>
        <v>0</v>
      </c>
      <c r="BH28" s="121">
        <f>Data!BH117</f>
        <v>0</v>
      </c>
      <c r="BI28" s="121">
        <f>Data!BI117-BH28</f>
        <v>0</v>
      </c>
      <c r="BJ28" s="121">
        <f>Data!BJ117-BI28-BH28</f>
        <v>0</v>
      </c>
      <c r="BK28" s="121">
        <f>Data!BK117-BJ28-BI28-BH28</f>
        <v>0</v>
      </c>
      <c r="BL28" s="67">
        <f>SUM(BH28:BK28)</f>
        <v>0</v>
      </c>
      <c r="BM28" s="121">
        <f>Data!BM117</f>
        <v>0</v>
      </c>
      <c r="BN28" s="121">
        <f>Data!BN117-BM28</f>
        <v>0</v>
      </c>
      <c r="BO28" s="121">
        <f>Data!BO117-BN28-BM28</f>
        <v>0</v>
      </c>
      <c r="BP28" s="121">
        <f>Data!BP117-BO28-BN28-BM28</f>
        <v>0</v>
      </c>
      <c r="BQ28" s="67">
        <f>SUM(BM28:BP28)</f>
        <v>0</v>
      </c>
      <c r="BR28" s="121">
        <f>Data!BR117</f>
        <v>0</v>
      </c>
      <c r="BS28" s="121">
        <f>Data!BS117-BR28</f>
        <v>0</v>
      </c>
      <c r="BT28" s="121">
        <f>Data!BT117-BS28-BR28</f>
        <v>0</v>
      </c>
      <c r="BU28" s="121">
        <f>Data!BU117-BT28-BS28-BR28</f>
        <v>0</v>
      </c>
      <c r="BV28" s="67">
        <f>SUM(BR28:BU28)</f>
        <v>0</v>
      </c>
      <c r="BW28" s="121">
        <f>Data!BW117</f>
        <v>0</v>
      </c>
      <c r="BX28" s="121">
        <f>Data!BX117-BW28</f>
        <v>0</v>
      </c>
      <c r="BY28" s="121">
        <f>Data!BY117-BX28-BW28</f>
        <v>0</v>
      </c>
      <c r="BZ28" s="121">
        <f>Data!BZ117-BY28-BX28-BW28</f>
        <v>0</v>
      </c>
      <c r="CA28" s="67">
        <f>SUM(BW28:BZ28)</f>
        <v>0</v>
      </c>
      <c r="CB28" s="121">
        <f>Data!CB117</f>
        <v>0</v>
      </c>
      <c r="CC28" s="121">
        <f>Data!CC117-CB28</f>
        <v>0</v>
      </c>
      <c r="CD28" s="121">
        <f>Data!CD117-CC28-CB28</f>
        <v>0</v>
      </c>
      <c r="CE28" s="121">
        <f>Data!CE117-CD28-CC28-CB28</f>
        <v>0</v>
      </c>
      <c r="CF28" s="67">
        <f t="shared" si="73"/>
        <v>0</v>
      </c>
      <c r="CG28" s="121">
        <f>Data!CG117</f>
        <v>0</v>
      </c>
      <c r="CH28" s="121">
        <f>Data!CH117-CG28</f>
        <v>0</v>
      </c>
      <c r="CI28" s="121">
        <f>Data!CI117-CH28-CG28</f>
        <v>0</v>
      </c>
      <c r="CJ28" s="121">
        <f>Data!CJ117-CI28-CH28-CG28</f>
        <v>0</v>
      </c>
      <c r="CK28" s="120">
        <f t="shared" si="74"/>
        <v>0</v>
      </c>
      <c r="CL28" s="121">
        <f>Data!CL117</f>
        <v>0</v>
      </c>
      <c r="CM28" s="121">
        <f>Data!CM117-CL28</f>
        <v>0</v>
      </c>
      <c r="CN28" s="121">
        <f>Data!CN117-CM28-CL28</f>
        <v>0</v>
      </c>
      <c r="CO28" s="121">
        <f>Data!CO117-CN28-CM28-CL28</f>
        <v>0</v>
      </c>
      <c r="CP28" s="120">
        <f t="shared" si="75"/>
        <v>0</v>
      </c>
      <c r="CQ28" s="121">
        <f>Data!CQ117</f>
        <v>0</v>
      </c>
      <c r="CR28" s="121">
        <f>Data!CR117-CQ28</f>
        <v>0</v>
      </c>
      <c r="CS28" s="121">
        <f>Data!CS117-CR28-CQ28</f>
        <v>0</v>
      </c>
      <c r="CT28" s="121">
        <f>Data!CT117-CS28-CR28-CQ28</f>
        <v>0</v>
      </c>
      <c r="CU28" s="120">
        <f t="shared" si="76"/>
        <v>0</v>
      </c>
      <c r="CV28" s="121">
        <f>Data!CV117</f>
        <v>0</v>
      </c>
      <c r="CW28" s="121">
        <f>Data!CW117-CV28</f>
        <v>0</v>
      </c>
      <c r="CX28" s="121">
        <f>Data!CX117-CW28-CV28</f>
        <v>0</v>
      </c>
      <c r="CY28" s="121">
        <f>Data!CY117-CX28-CW28-CV28</f>
        <v>0</v>
      </c>
      <c r="CZ28" s="120">
        <f t="shared" si="77"/>
        <v>0</v>
      </c>
      <c r="DA28" s="121">
        <f>Data!DA117</f>
        <v>0</v>
      </c>
      <c r="DB28" s="121">
        <f>Data!DB117-DA28</f>
        <v>0</v>
      </c>
      <c r="DC28" s="121">
        <f>Data!DC117-DB28-DA28</f>
        <v>0</v>
      </c>
      <c r="DD28" s="121">
        <f>Data!DD117-DC28-DB28-DA28</f>
        <v>0</v>
      </c>
      <c r="DE28" s="120">
        <f t="shared" si="78"/>
        <v>0</v>
      </c>
      <c r="DF28" s="121">
        <f>Data!DF117</f>
        <v>0</v>
      </c>
      <c r="DG28" s="121">
        <f>Data!DG117-DF28</f>
        <v>0</v>
      </c>
      <c r="DH28" s="121">
        <f>Data!DH117-DG28-DF28</f>
        <v>0</v>
      </c>
      <c r="DI28" s="121">
        <f>Data!DI117-DH28-DG28-DF28</f>
        <v>0</v>
      </c>
      <c r="DJ28" s="120">
        <f t="shared" si="79"/>
        <v>0</v>
      </c>
      <c r="DK28" s="121">
        <f>Data!DK117</f>
        <v>0</v>
      </c>
      <c r="DL28" s="121">
        <f>Data!DL117-DK28</f>
        <v>0</v>
      </c>
      <c r="DM28" s="121">
        <f>Data!DM117-DL28-DK28</f>
        <v>0</v>
      </c>
      <c r="DN28" s="121">
        <f>Data!DN117-DM28-DL28-DK28</f>
        <v>0</v>
      </c>
      <c r="DO28" s="120">
        <f t="shared" si="70"/>
        <v>0</v>
      </c>
      <c r="DP28" s="121">
        <f>Data!DP117</f>
        <v>0</v>
      </c>
      <c r="DQ28" s="121">
        <f>Data!DQ117-DP28</f>
        <v>0</v>
      </c>
      <c r="DR28" s="179">
        <v>0</v>
      </c>
      <c r="DS28" s="179">
        <v>0</v>
      </c>
      <c r="DT28" s="120">
        <f t="shared" si="80"/>
        <v>0</v>
      </c>
      <c r="DU28" s="179">
        <v>0</v>
      </c>
      <c r="DV28" s="179">
        <v>0</v>
      </c>
      <c r="DW28" s="179">
        <v>0</v>
      </c>
      <c r="DX28" s="179">
        <v>0</v>
      </c>
      <c r="DY28" s="120">
        <f t="shared" si="81"/>
        <v>0</v>
      </c>
      <c r="DZ28" s="180">
        <v>0</v>
      </c>
      <c r="EA28" s="180">
        <v>0</v>
      </c>
      <c r="EB28" s="180">
        <v>0</v>
      </c>
    </row>
    <row r="29" spans="2:132" s="68" customFormat="1" ht="12" customHeight="1">
      <c r="B29" s="601" t="s">
        <v>458</v>
      </c>
      <c r="C29" s="67"/>
      <c r="D29" s="67"/>
      <c r="E29" s="67"/>
      <c r="F29" s="67"/>
      <c r="G29" s="67"/>
      <c r="H29" s="67"/>
      <c r="I29" s="67"/>
      <c r="N29" s="67"/>
      <c r="S29" s="67"/>
      <c r="X29" s="67"/>
      <c r="AC29" s="67"/>
      <c r="AH29" s="67"/>
      <c r="AM29" s="67"/>
      <c r="AN29" s="241">
        <f>Data!AN118</f>
        <v>0</v>
      </c>
      <c r="AO29" s="68">
        <f>Data!AO118-AN29</f>
        <v>-4</v>
      </c>
      <c r="AP29" s="68">
        <f>Data!AP118-AO29-AN29</f>
        <v>-9</v>
      </c>
      <c r="AQ29" s="68">
        <f>Data!AQ118-AP29-AO29-AN29</f>
        <v>-8</v>
      </c>
      <c r="AR29" s="67">
        <f t="shared" si="82"/>
        <v>-21</v>
      </c>
      <c r="AS29" s="241">
        <f>Data!AS118</f>
        <v>0</v>
      </c>
      <c r="AT29" s="68">
        <f>Data!AT118-AS29</f>
        <v>0</v>
      </c>
      <c r="AU29" s="68">
        <f>Data!AU118-AT29-AS29</f>
        <v>-500</v>
      </c>
      <c r="AV29" s="68">
        <f>Data!AV118-AU29-AT29-AS29</f>
        <v>-19</v>
      </c>
      <c r="AW29" s="67">
        <f>SUM(AS29:AV29)</f>
        <v>-519</v>
      </c>
      <c r="AX29" s="121">
        <f>Data!AX118</f>
        <v>0</v>
      </c>
      <c r="AY29" s="121">
        <f>Data!AY118-AX29</f>
        <v>-763</v>
      </c>
      <c r="AZ29" s="121">
        <f>Data!AZ118-AY29-AX29</f>
        <v>-750</v>
      </c>
      <c r="BA29" s="121">
        <f>Data!BA118-AZ29-AY29-AX29</f>
        <v>-23</v>
      </c>
      <c r="BB29" s="67">
        <f>SUM(AX29:BA29)</f>
        <v>-1536</v>
      </c>
      <c r="BC29" s="121">
        <f>Data!BC118</f>
        <v>0</v>
      </c>
      <c r="BD29" s="121">
        <f>Data!BD118-BC29</f>
        <v>-13</v>
      </c>
      <c r="BE29" s="121">
        <f>Data!BE118-BD29-BC29</f>
        <v>-1500</v>
      </c>
      <c r="BF29" s="121">
        <f>Data!BF118-BE29-BD29-BC29</f>
        <v>0</v>
      </c>
      <c r="BG29" s="67">
        <f>SUM(BC29:BF29)</f>
        <v>-1513</v>
      </c>
      <c r="BH29" s="121">
        <f>Data!BH118</f>
        <v>0</v>
      </c>
      <c r="BI29" s="121">
        <f>Data!BI118-BH29</f>
        <v>0</v>
      </c>
      <c r="BJ29" s="121">
        <f>Data!BJ118-BI29-BH29</f>
        <v>-750</v>
      </c>
      <c r="BK29" s="121">
        <f>Data!BK118-BJ29-BI29-BH29</f>
        <v>0</v>
      </c>
      <c r="BL29" s="67">
        <f>SUM(BH29:BK29)</f>
        <v>-750</v>
      </c>
      <c r="BM29" s="121">
        <f>Data!BM118</f>
        <v>0</v>
      </c>
      <c r="BN29" s="121">
        <f>Data!BN118-BM29</f>
        <v>0</v>
      </c>
      <c r="BO29" s="121">
        <f>Data!BO118-BN29-BM29</f>
        <v>0</v>
      </c>
      <c r="BP29" s="121">
        <f>Data!BP118-BO29-BN29-BM29</f>
        <v>0</v>
      </c>
      <c r="BQ29" s="67">
        <f>SUM(BM29:BP29)</f>
        <v>0</v>
      </c>
      <c r="BR29" s="121">
        <f>Data!BR118</f>
        <v>0</v>
      </c>
      <c r="BS29" s="121">
        <f>Data!BS118-BR29</f>
        <v>0</v>
      </c>
      <c r="BT29" s="121">
        <f>Data!BT118-BS29-BR29</f>
        <v>0</v>
      </c>
      <c r="BU29" s="121">
        <f>Data!BU118-BT29-BS29-BR29</f>
        <v>0</v>
      </c>
      <c r="BV29" s="67">
        <f>SUM(BR29:BU29)</f>
        <v>0</v>
      </c>
      <c r="BW29" s="121">
        <f>Data!BW118</f>
        <v>0</v>
      </c>
      <c r="BX29" s="121">
        <f>Data!BX118-BW29</f>
        <v>0</v>
      </c>
      <c r="BY29" s="121">
        <f>Data!BY118-BX29-BW29</f>
        <v>0</v>
      </c>
      <c r="BZ29" s="121">
        <f>Data!BZ118-BY29-BX29-BW29</f>
        <v>0</v>
      </c>
      <c r="CA29" s="67">
        <f>SUM(BW29:BZ29)</f>
        <v>0</v>
      </c>
      <c r="CB29" s="121">
        <f>Data!CB118</f>
        <v>0</v>
      </c>
      <c r="CC29" s="121">
        <f>Data!CC118-CB29</f>
        <v>0</v>
      </c>
      <c r="CD29" s="121">
        <f>Data!CD118-CC29-CB29</f>
        <v>0</v>
      </c>
      <c r="CE29" s="121">
        <f>Data!CE118-CD29-CC29-CB29</f>
        <v>0</v>
      </c>
      <c r="CF29" s="67">
        <f t="shared" si="73"/>
        <v>0</v>
      </c>
      <c r="CG29" s="121">
        <f>Data!CG118</f>
        <v>0</v>
      </c>
      <c r="CH29" s="121">
        <f>Data!CH118-CG29</f>
        <v>0</v>
      </c>
      <c r="CI29" s="121">
        <f>Data!CI118-CH29-CG29</f>
        <v>0</v>
      </c>
      <c r="CJ29" s="121">
        <f>Data!CJ118-CI29-CH29-CG29</f>
        <v>0</v>
      </c>
      <c r="CK29" s="120">
        <f t="shared" si="74"/>
        <v>0</v>
      </c>
      <c r="CL29" s="121">
        <f>Data!CL118</f>
        <v>0</v>
      </c>
      <c r="CM29" s="121">
        <f>Data!CM118-CL29</f>
        <v>0</v>
      </c>
      <c r="CN29" s="121">
        <f>Data!CN118-CM29-CL29</f>
        <v>0</v>
      </c>
      <c r="CO29" s="121">
        <f>Data!CO118-CN29-CM29-CL29</f>
        <v>0</v>
      </c>
      <c r="CP29" s="120">
        <f t="shared" si="75"/>
        <v>0</v>
      </c>
      <c r="CQ29" s="121">
        <f>Data!CQ118</f>
        <v>0</v>
      </c>
      <c r="CR29" s="121">
        <f>Data!CR118-CQ29</f>
        <v>0</v>
      </c>
      <c r="CS29" s="121">
        <f>Data!CS118-CR29-CQ29</f>
        <v>0</v>
      </c>
      <c r="CT29" s="121">
        <f>Data!CT118-CS29-CR29-CQ29</f>
        <v>0</v>
      </c>
      <c r="CU29" s="120">
        <f t="shared" si="76"/>
        <v>0</v>
      </c>
      <c r="CV29" s="121">
        <f>Data!CV118</f>
        <v>0</v>
      </c>
      <c r="CW29" s="121">
        <f>Data!CW118-CV29</f>
        <v>0</v>
      </c>
      <c r="CX29" s="121">
        <f>Data!CX118-CW29-CV29</f>
        <v>0</v>
      </c>
      <c r="CY29" s="121">
        <f>Data!CY118-CX29-CW29-CV29</f>
        <v>0</v>
      </c>
      <c r="CZ29" s="120">
        <f t="shared" si="77"/>
        <v>0</v>
      </c>
      <c r="DA29" s="121">
        <f>Data!DA118</f>
        <v>0</v>
      </c>
      <c r="DB29" s="121">
        <f>Data!DB118-DA29</f>
        <v>0</v>
      </c>
      <c r="DC29" s="121">
        <f>Data!DC118-DB29-DA29</f>
        <v>0</v>
      </c>
      <c r="DD29" s="121">
        <f>Data!DD118-DC29-DB29-DA29</f>
        <v>0</v>
      </c>
      <c r="DE29" s="120">
        <f t="shared" si="78"/>
        <v>0</v>
      </c>
      <c r="DF29" s="121">
        <f>Data!DF118</f>
        <v>0</v>
      </c>
      <c r="DG29" s="121">
        <f>Data!DG118-DF29</f>
        <v>0</v>
      </c>
      <c r="DH29" s="121">
        <f>Data!DH118-DG29-DF29</f>
        <v>0</v>
      </c>
      <c r="DI29" s="121">
        <f>Data!DI118-DH29-DG29-DF29</f>
        <v>0</v>
      </c>
      <c r="DJ29" s="120">
        <f t="shared" si="79"/>
        <v>0</v>
      </c>
      <c r="DK29" s="121">
        <f>Data!DK118</f>
        <v>0</v>
      </c>
      <c r="DL29" s="121">
        <f>Data!DL118-DK29</f>
        <v>0</v>
      </c>
      <c r="DM29" s="121">
        <f>Data!DM118-DL29-DK29</f>
        <v>0</v>
      </c>
      <c r="DN29" s="121">
        <f>Data!DN118-DM29-DL29-DK29</f>
        <v>0</v>
      </c>
      <c r="DO29" s="120">
        <f t="shared" si="70"/>
        <v>0</v>
      </c>
      <c r="DP29" s="121">
        <f>Data!DP118</f>
        <v>0</v>
      </c>
      <c r="DQ29" s="121">
        <f>Data!DQ118-DP29</f>
        <v>0</v>
      </c>
      <c r="DR29" s="179">
        <v>0</v>
      </c>
      <c r="DS29" s="179">
        <v>0</v>
      </c>
      <c r="DT29" s="120">
        <f t="shared" si="80"/>
        <v>0</v>
      </c>
      <c r="DU29" s="179">
        <v>0</v>
      </c>
      <c r="DV29" s="179">
        <v>0</v>
      </c>
      <c r="DW29" s="179">
        <v>0</v>
      </c>
      <c r="DX29" s="179">
        <v>0</v>
      </c>
      <c r="DY29" s="120">
        <f t="shared" si="81"/>
        <v>0</v>
      </c>
      <c r="DZ29" s="180">
        <v>0</v>
      </c>
      <c r="EA29" s="180">
        <v>0</v>
      </c>
      <c r="EB29" s="180">
        <v>0</v>
      </c>
    </row>
    <row r="30" spans="2:132" s="68" customFormat="1" ht="12" customHeight="1">
      <c r="B30" s="157" t="s">
        <v>56</v>
      </c>
      <c r="C30" s="67">
        <f>Data!C119</f>
        <v>0</v>
      </c>
      <c r="D30" s="67">
        <f>Data!D119</f>
        <v>0</v>
      </c>
      <c r="E30" s="67">
        <f>Data!E119</f>
        <v>0</v>
      </c>
      <c r="F30" s="67">
        <f>Data!F119</f>
        <v>0</v>
      </c>
      <c r="G30" s="67">
        <f>Data!G119</f>
        <v>0</v>
      </c>
      <c r="H30" s="67">
        <f>Data!H119</f>
        <v>0</v>
      </c>
      <c r="I30" s="67">
        <f>Data!I119</f>
        <v>0</v>
      </c>
      <c r="J30" s="68">
        <f>Data!J119</f>
        <v>0</v>
      </c>
      <c r="K30" s="68">
        <f>Data!K119-J30</f>
        <v>0</v>
      </c>
      <c r="L30" s="68">
        <f>Data!L119-K30-J30</f>
        <v>0</v>
      </c>
      <c r="M30" s="68">
        <f>Data!M119-L30-K30-J30</f>
        <v>-421</v>
      </c>
      <c r="N30" s="67">
        <f t="shared" si="0"/>
        <v>-421</v>
      </c>
      <c r="O30" s="68">
        <f>Data!O119</f>
        <v>65</v>
      </c>
      <c r="P30" s="68">
        <f>Data!P119-O30</f>
        <v>436</v>
      </c>
      <c r="Q30" s="68">
        <f>Data!Q119-P30-O30</f>
        <v>9</v>
      </c>
      <c r="R30" s="68">
        <f>Data!R119-Q30-P30-O30</f>
        <v>109</v>
      </c>
      <c r="S30" s="67">
        <f t="shared" si="1"/>
        <v>619</v>
      </c>
      <c r="T30" s="68">
        <f>Data!T119</f>
        <v>-20</v>
      </c>
      <c r="U30" s="68">
        <f>Data!U119-T30</f>
        <v>418</v>
      </c>
      <c r="V30" s="68">
        <f>Data!V119-U30-T30</f>
        <v>117</v>
      </c>
      <c r="W30" s="68">
        <f>Data!W119-V30-U30-T30</f>
        <v>203</v>
      </c>
      <c r="X30" s="67">
        <f t="shared" si="2"/>
        <v>718</v>
      </c>
      <c r="Y30" s="68">
        <f>Data!Y119</f>
        <v>139</v>
      </c>
      <c r="Z30" s="68">
        <f>Data!Z119-Y30</f>
        <v>968</v>
      </c>
      <c r="AA30" s="68">
        <f>Data!AA119-Z30-Y30</f>
        <v>147</v>
      </c>
      <c r="AB30" s="68">
        <f>Data!AB119-AA30-Z30-Y30</f>
        <v>204</v>
      </c>
      <c r="AC30" s="67">
        <f t="shared" si="3"/>
        <v>1458</v>
      </c>
      <c r="AD30" s="68">
        <f>Data!AD119</f>
        <v>72</v>
      </c>
      <c r="AE30" s="68">
        <f>Data!AE119-AD30</f>
        <v>206</v>
      </c>
      <c r="AF30" s="68">
        <f>Data!AF119-AE30-AD30</f>
        <v>350</v>
      </c>
      <c r="AG30" s="68">
        <f>Data!AG119-AF30-AE30-AD30</f>
        <v>-196</v>
      </c>
      <c r="AH30" s="67">
        <f t="shared" si="4"/>
        <v>432</v>
      </c>
      <c r="AI30" s="68">
        <f>Data!AI119</f>
        <v>21</v>
      </c>
      <c r="AJ30" s="68">
        <f>Data!AJ119-AI30</f>
        <v>-283</v>
      </c>
      <c r="AK30" s="68">
        <f>Data!AK119-AJ30-AI30</f>
        <v>58</v>
      </c>
      <c r="AL30" s="68">
        <f>Data!AL119-AK30-AJ30-AI30</f>
        <v>308</v>
      </c>
      <c r="AM30" s="67">
        <f t="shared" si="5"/>
        <v>104</v>
      </c>
      <c r="AN30" s="241">
        <f>Data!AN119</f>
        <v>221</v>
      </c>
      <c r="AO30" s="68">
        <f>Data!AO119-AN30</f>
        <v>58</v>
      </c>
      <c r="AP30" s="68">
        <f>Data!AP119-AO30-AN30</f>
        <v>280</v>
      </c>
      <c r="AQ30" s="68">
        <f>Data!AQ119-AP30-AO30-AN30</f>
        <v>158</v>
      </c>
      <c r="AR30" s="67">
        <f t="shared" si="6"/>
        <v>717</v>
      </c>
      <c r="AS30" s="241">
        <f>Data!AS119</f>
        <v>102</v>
      </c>
      <c r="AT30" s="68">
        <f>Data!AT119-AS30</f>
        <v>108</v>
      </c>
      <c r="AU30" s="68">
        <f>Data!AU119-AT30-AS30</f>
        <v>-39</v>
      </c>
      <c r="AV30" s="68">
        <f>Data!AV119-AU30-AT30-AS30</f>
        <v>-177</v>
      </c>
      <c r="AW30" s="67">
        <f t="shared" si="7"/>
        <v>-6</v>
      </c>
      <c r="AX30" s="121">
        <f>Data!AX119</f>
        <v>196</v>
      </c>
      <c r="AY30" s="121">
        <f>Data!AY119-AX30</f>
        <v>20</v>
      </c>
      <c r="AZ30" s="121">
        <f>Data!AZ119-AY30-AX30</f>
        <v>38</v>
      </c>
      <c r="BA30" s="121">
        <f>Data!BA119-AZ30-AY30-AX30</f>
        <v>153</v>
      </c>
      <c r="BB30" s="67">
        <f>SUM(AX30:BA30)</f>
        <v>407</v>
      </c>
      <c r="BC30" s="121">
        <f>Data!BC119</f>
        <v>24</v>
      </c>
      <c r="BD30" s="121">
        <f>Data!BD119-BC30</f>
        <v>164</v>
      </c>
      <c r="BE30" s="121">
        <f>Data!BE119-BD30-BC30</f>
        <v>35</v>
      </c>
      <c r="BF30" s="121">
        <f>Data!BF119-BE30-BD30-BC30</f>
        <v>168</v>
      </c>
      <c r="BG30" s="67">
        <f>SUM(BC30:BF30)</f>
        <v>391</v>
      </c>
      <c r="BH30" s="121">
        <f>Data!BH119</f>
        <v>408</v>
      </c>
      <c r="BI30" s="121">
        <f>Data!BI119-BH30</f>
        <v>58</v>
      </c>
      <c r="BJ30" s="121">
        <f>Data!BJ119-BI30-BH30</f>
        <v>28</v>
      </c>
      <c r="BK30" s="121">
        <f>Data!BK119-BJ30-BI30-BH30</f>
        <v>84</v>
      </c>
      <c r="BL30" s="67">
        <f>SUM(BH30:BK30)</f>
        <v>578</v>
      </c>
      <c r="BM30" s="121">
        <f>Data!BM119</f>
        <v>31</v>
      </c>
      <c r="BN30" s="121">
        <f>Data!BN119-BM30</f>
        <v>-12</v>
      </c>
      <c r="BO30" s="121">
        <f>Data!BO119-BN30-BM30</f>
        <v>26</v>
      </c>
      <c r="BP30" s="121">
        <f>Data!BP119-BO30-BN30-BM30</f>
        <v>122</v>
      </c>
      <c r="BQ30" s="67">
        <f>SUM(BM30:BP30)</f>
        <v>167</v>
      </c>
      <c r="BR30" s="121">
        <f>Data!BR119</f>
        <v>276</v>
      </c>
      <c r="BS30" s="121">
        <f>Data!BS119-BR30</f>
        <v>-1</v>
      </c>
      <c r="BT30" s="121">
        <f>Data!BT119-BS30-BR30</f>
        <v>-470</v>
      </c>
      <c r="BU30" s="121">
        <f>Data!BU119-BT30-BS30-BR30</f>
        <v>-501</v>
      </c>
      <c r="BV30" s="67">
        <f>SUM(BR30:BU30)</f>
        <v>-696</v>
      </c>
      <c r="BW30" s="121">
        <f>Data!BW119</f>
        <v>232</v>
      </c>
      <c r="BX30" s="121">
        <f>Data!BX119-BW30</f>
        <v>111</v>
      </c>
      <c r="BY30" s="121">
        <f>Data!BY119-BX30-BW30</f>
        <v>292</v>
      </c>
      <c r="BZ30" s="121">
        <f>Data!BZ119-BY30-BX30-BW30</f>
        <v>382</v>
      </c>
      <c r="CA30" s="67">
        <f>SUM(BW30:BZ30)</f>
        <v>1017</v>
      </c>
      <c r="CB30" s="121">
        <f>Data!CB119</f>
        <v>44</v>
      </c>
      <c r="CC30" s="121">
        <f>Data!CC119-CB30</f>
        <v>-141</v>
      </c>
      <c r="CD30" s="121">
        <f>Data!CD119-CC30-CB30</f>
        <v>-78</v>
      </c>
      <c r="CE30" s="121">
        <f>Data!CE119-CD30-CC30-CB30</f>
        <v>295</v>
      </c>
      <c r="CF30" s="67">
        <f t="shared" si="73"/>
        <v>120</v>
      </c>
      <c r="CG30" s="121">
        <f>Data!CG119</f>
        <v>152</v>
      </c>
      <c r="CH30" s="121">
        <f>Data!CH119-CG30</f>
        <v>195</v>
      </c>
      <c r="CI30" s="121">
        <f>Data!CI119-CH30-CG30</f>
        <v>44</v>
      </c>
      <c r="CJ30" s="121">
        <f>Data!CJ119-CI30-CH30-CG30</f>
        <v>28</v>
      </c>
      <c r="CK30" s="120">
        <f t="shared" si="74"/>
        <v>419</v>
      </c>
      <c r="CL30" s="121">
        <f>Data!CL119</f>
        <v>23</v>
      </c>
      <c r="CM30" s="121">
        <f>Data!CM119-CL30</f>
        <v>39</v>
      </c>
      <c r="CN30" s="121">
        <f>Data!CN119-CM30-CL30</f>
        <v>46</v>
      </c>
      <c r="CO30" s="121">
        <f>Data!CO119-CN30-CM30-CL30</f>
        <v>65</v>
      </c>
      <c r="CP30" s="120">
        <f t="shared" si="75"/>
        <v>173</v>
      </c>
      <c r="CQ30" s="121">
        <f>Data!CQ119</f>
        <v>46</v>
      </c>
      <c r="CR30" s="121">
        <f>Data!CR119-CQ30</f>
        <v>37</v>
      </c>
      <c r="CS30" s="121">
        <f>Data!CS119-CR30-CQ30</f>
        <v>87</v>
      </c>
      <c r="CT30" s="121">
        <f>Data!CT119-CS30-CR30-CQ30</f>
        <v>40</v>
      </c>
      <c r="CU30" s="120">
        <f t="shared" si="76"/>
        <v>210</v>
      </c>
      <c r="CV30" s="121">
        <f>Data!CV119</f>
        <v>18</v>
      </c>
      <c r="CW30" s="121">
        <f>Data!CW119-CV30</f>
        <v>32</v>
      </c>
      <c r="CX30" s="121">
        <f>Data!CX119-CW30-CV30</f>
        <v>26</v>
      </c>
      <c r="CY30" s="121">
        <f>Data!CY119-CX30-CW30-CV30</f>
        <v>66</v>
      </c>
      <c r="CZ30" s="120">
        <f t="shared" si="77"/>
        <v>142</v>
      </c>
      <c r="DA30" s="121">
        <f>Data!DA119</f>
        <v>101</v>
      </c>
      <c r="DB30" s="121">
        <f>Data!DB119-DA30</f>
        <v>318</v>
      </c>
      <c r="DC30" s="121">
        <f>Data!DC119-DB30-DA30</f>
        <v>53</v>
      </c>
      <c r="DD30" s="121">
        <f>Data!DD119-DC30-DB30-DA30</f>
        <v>99</v>
      </c>
      <c r="DE30" s="120">
        <f t="shared" si="78"/>
        <v>571</v>
      </c>
      <c r="DF30" s="121">
        <f>Data!DF119</f>
        <v>79</v>
      </c>
      <c r="DG30" s="121">
        <f>Data!DG119-DF30</f>
        <v>70</v>
      </c>
      <c r="DH30" s="121">
        <f>Data!DH119-DG30-DF30</f>
        <v>109</v>
      </c>
      <c r="DI30" s="121">
        <f>Data!DI119-DH30-DG30-DF30</f>
        <v>254</v>
      </c>
      <c r="DJ30" s="120">
        <f t="shared" si="79"/>
        <v>512</v>
      </c>
      <c r="DK30" s="121">
        <f>Data!DK119</f>
        <v>12</v>
      </c>
      <c r="DL30" s="121">
        <f>Data!DL119-DK30</f>
        <v>173</v>
      </c>
      <c r="DM30" s="121">
        <f>Data!DM119-DL30-DK30</f>
        <v>89</v>
      </c>
      <c r="DN30" s="121">
        <f>Data!DN119-DM30-DL30-DK30</f>
        <v>0</v>
      </c>
      <c r="DO30" s="120">
        <f t="shared" si="70"/>
        <v>274</v>
      </c>
      <c r="DP30" s="121">
        <f>Data!DP119</f>
        <v>-156</v>
      </c>
      <c r="DQ30" s="121">
        <f>Data!DQ119-DP30</f>
        <v>19</v>
      </c>
      <c r="DR30" s="184">
        <f>BS!DQ11-BS!DR11</f>
        <v>0</v>
      </c>
      <c r="DS30" s="184">
        <f>BS!DR11-BS!DS11</f>
        <v>0</v>
      </c>
      <c r="DT30" s="120">
        <f t="shared" si="80"/>
        <v>-137</v>
      </c>
      <c r="DU30" s="184">
        <f>BS!DT11-BS!DU11</f>
        <v>0</v>
      </c>
      <c r="DV30" s="184">
        <f>BS!DU11-BS!DV11</f>
        <v>0</v>
      </c>
      <c r="DW30" s="184">
        <f>BS!DV11-BS!DW11</f>
        <v>0</v>
      </c>
      <c r="DX30" s="184">
        <f>BS!DW11-BS!DX11</f>
        <v>0</v>
      </c>
      <c r="DY30" s="120">
        <f t="shared" si="81"/>
        <v>0</v>
      </c>
      <c r="DZ30" s="185">
        <f>BS!DY11-BS!DZ11</f>
        <v>0</v>
      </c>
      <c r="EA30" s="185">
        <f>BS!DZ11-BS!EA11</f>
        <v>0</v>
      </c>
      <c r="EB30" s="185">
        <f>BS!EA11-BS!EB11</f>
        <v>0</v>
      </c>
    </row>
    <row r="31" spans="2:132" s="68" customFormat="1" ht="12" customHeight="1">
      <c r="B31" s="157" t="s">
        <v>93</v>
      </c>
      <c r="C31" s="67">
        <f>Data!C120</f>
        <v>-118</v>
      </c>
      <c r="D31" s="67">
        <f>Data!D120</f>
        <v>-29</v>
      </c>
      <c r="E31" s="67">
        <f>Data!E120</f>
        <v>-418</v>
      </c>
      <c r="F31" s="67">
        <f>Data!F120</f>
        <v>-612</v>
      </c>
      <c r="G31" s="67">
        <f>Data!G120</f>
        <v>-1235</v>
      </c>
      <c r="H31" s="67">
        <f>Data!H120</f>
        <v>-155</v>
      </c>
      <c r="I31" s="67">
        <f>Data!I120</f>
        <v>223</v>
      </c>
      <c r="J31" s="68">
        <f>Data!J120</f>
        <v>-12</v>
      </c>
      <c r="K31" s="68">
        <f>Data!K120-J31</f>
        <v>-63</v>
      </c>
      <c r="L31" s="68">
        <f>Data!L120-K31-J31</f>
        <v>-62</v>
      </c>
      <c r="M31" s="68">
        <f>Data!M120-L31-K31-J31</f>
        <v>239</v>
      </c>
      <c r="N31" s="67">
        <f t="shared" si="0"/>
        <v>102</v>
      </c>
      <c r="O31" s="68">
        <f>Data!O120</f>
        <v>74</v>
      </c>
      <c r="P31" s="68">
        <f>Data!P120-O31</f>
        <v>-138</v>
      </c>
      <c r="Q31" s="68">
        <f>Data!Q120-P31-O31</f>
        <v>-201</v>
      </c>
      <c r="R31" s="68">
        <f>Data!R120-Q31-P31-O31</f>
        <v>322</v>
      </c>
      <c r="S31" s="67">
        <f t="shared" si="1"/>
        <v>57</v>
      </c>
      <c r="T31" s="68">
        <f>Data!T120</f>
        <v>-24</v>
      </c>
      <c r="U31" s="68">
        <f>Data!U120-T31</f>
        <v>-45</v>
      </c>
      <c r="V31" s="68">
        <f>Data!V120-U31-T31</f>
        <v>-118</v>
      </c>
      <c r="W31" s="68">
        <f>Data!W120-V31-U31-T31</f>
        <v>-2</v>
      </c>
      <c r="X31" s="67">
        <f t="shared" si="2"/>
        <v>-189</v>
      </c>
      <c r="Y31" s="68">
        <f>Data!Y120</f>
        <v>-32</v>
      </c>
      <c r="Z31" s="68">
        <f>Data!Z120-Y31</f>
        <v>-96</v>
      </c>
      <c r="AA31" s="68">
        <f>Data!AA120-Z31-Y31</f>
        <v>26</v>
      </c>
      <c r="AB31" s="68">
        <f>Data!AB120-AA31-Z31-Y31</f>
        <v>-145</v>
      </c>
      <c r="AC31" s="67">
        <f t="shared" si="3"/>
        <v>-247</v>
      </c>
      <c r="AD31" s="68">
        <f>Data!AD120</f>
        <v>-48</v>
      </c>
      <c r="AE31" s="68">
        <f>Data!AE120-AD31</f>
        <v>-55</v>
      </c>
      <c r="AF31" s="68">
        <f>Data!AF120-AE31-AD31</f>
        <v>-44</v>
      </c>
      <c r="AG31" s="68">
        <f>Data!AG120-AF31-AE31-AD31</f>
        <v>118</v>
      </c>
      <c r="AH31" s="67">
        <f t="shared" si="4"/>
        <v>-29</v>
      </c>
      <c r="AI31" s="68">
        <f>Data!AI120</f>
        <v>-84</v>
      </c>
      <c r="AJ31" s="68">
        <f>Data!AJ120-AI31</f>
        <v>179</v>
      </c>
      <c r="AK31" s="68">
        <f>Data!AK120-AJ31-AI31</f>
        <v>-60</v>
      </c>
      <c r="AL31" s="68">
        <f>Data!AL120-AK31-AJ31-AI31</f>
        <v>164</v>
      </c>
      <c r="AM31" s="67">
        <f t="shared" si="5"/>
        <v>199</v>
      </c>
      <c r="AN31" s="241">
        <f>Data!AN120</f>
        <v>-47</v>
      </c>
      <c r="AO31" s="68">
        <f>Data!AO120-AN31</f>
        <v>-153</v>
      </c>
      <c r="AP31" s="68">
        <f>Data!AP120-AO31-AN31</f>
        <v>322</v>
      </c>
      <c r="AQ31" s="68">
        <f>Data!AQ120-AP31-AO31-AN31</f>
        <v>-198</v>
      </c>
      <c r="AR31" s="67">
        <f t="shared" si="6"/>
        <v>-76</v>
      </c>
      <c r="AS31" s="241">
        <f>Data!AS120</f>
        <v>49</v>
      </c>
      <c r="AT31" s="68">
        <f>Data!AT120-AS31</f>
        <v>25</v>
      </c>
      <c r="AU31" s="68">
        <f>Data!AU120-AT31-AS31</f>
        <v>8</v>
      </c>
      <c r="AV31" s="68">
        <f>Data!AV120-AU31-AT31-AS31</f>
        <v>4</v>
      </c>
      <c r="AW31" s="67">
        <f t="shared" si="7"/>
        <v>86</v>
      </c>
      <c r="AX31" s="121">
        <f>Data!AX120</f>
        <v>-6</v>
      </c>
      <c r="AY31" s="121">
        <f>Data!AY120-AX31</f>
        <v>3</v>
      </c>
      <c r="AZ31" s="121">
        <f>Data!AZ120-AY31-AX31</f>
        <v>31</v>
      </c>
      <c r="BA31" s="121">
        <f>Data!BA120-AZ31-AY31-AX31</f>
        <v>-74</v>
      </c>
      <c r="BB31" s="67">
        <f>SUM(AX31:BA31)</f>
        <v>-46</v>
      </c>
      <c r="BC31" s="121">
        <f>Data!BC120</f>
        <v>-3</v>
      </c>
      <c r="BD31" s="121">
        <f>Data!BD120-BC31</f>
        <v>-2</v>
      </c>
      <c r="BE31" s="121">
        <f>Data!BE120-BD31-BC31</f>
        <v>28</v>
      </c>
      <c r="BF31" s="121">
        <f>Data!BF120-BE31-BD31-BC31</f>
        <v>0</v>
      </c>
      <c r="BG31" s="67">
        <f>SUM(BC31:BF31)</f>
        <v>23</v>
      </c>
      <c r="BH31" s="121">
        <f>Data!BH120</f>
        <v>-18</v>
      </c>
      <c r="BI31" s="121">
        <f>Data!BI120-BH31</f>
        <v>33</v>
      </c>
      <c r="BJ31" s="121">
        <f>Data!BJ120-BI31-BH31</f>
        <v>42</v>
      </c>
      <c r="BK31" s="121">
        <f>Data!BK120-BJ31-BI31-BH31</f>
        <v>-23</v>
      </c>
      <c r="BL31" s="67">
        <f>SUM(BH31:BK31)</f>
        <v>34</v>
      </c>
      <c r="BM31" s="121">
        <f>Data!BM120</f>
        <v>-50</v>
      </c>
      <c r="BN31" s="121">
        <f>Data!BN120-BM31</f>
        <v>-27</v>
      </c>
      <c r="BO31" s="121">
        <f>Data!BO120-BN31-BM31</f>
        <v>-21</v>
      </c>
      <c r="BP31" s="121">
        <f>Data!BP120-BO31-BN31-BM31</f>
        <v>-44</v>
      </c>
      <c r="BQ31" s="67">
        <f>SUM(BM31:BP31)</f>
        <v>-142</v>
      </c>
      <c r="BR31" s="121">
        <f>Data!BR120</f>
        <v>-61</v>
      </c>
      <c r="BS31" s="121">
        <f>Data!BS120-BR31</f>
        <v>0</v>
      </c>
      <c r="BT31" s="121">
        <f>Data!BT120-BS31-BR31</f>
        <v>-34</v>
      </c>
      <c r="BU31" s="121">
        <f>Data!BU120-BT31-BS31-BR31</f>
        <v>-161</v>
      </c>
      <c r="BV31" s="67">
        <f>SUM(BR31:BU31)</f>
        <v>-256</v>
      </c>
      <c r="BW31" s="121">
        <f>Data!BW120</f>
        <v>-75</v>
      </c>
      <c r="BX31" s="121">
        <f>Data!BX120-BW31</f>
        <v>-24</v>
      </c>
      <c r="BY31" s="121">
        <f>Data!BY120-BX31-BW31</f>
        <v>3</v>
      </c>
      <c r="BZ31" s="121">
        <f>Data!BZ120-BY31-BX31-BW31</f>
        <v>-162</v>
      </c>
      <c r="CA31" s="67">
        <f>SUM(BW31:BZ31)</f>
        <v>-258</v>
      </c>
      <c r="CB31" s="121">
        <f>Data!CB120</f>
        <v>21</v>
      </c>
      <c r="CC31" s="121">
        <f>Data!CC120-CB31</f>
        <v>333</v>
      </c>
      <c r="CD31" s="121">
        <f>Data!CD120-CC31-CB31</f>
        <v>44</v>
      </c>
      <c r="CE31" s="121">
        <f>Data!CE120-CD31-CC31-CB31</f>
        <v>310</v>
      </c>
      <c r="CF31" s="67">
        <f t="shared" si="73"/>
        <v>708</v>
      </c>
      <c r="CG31" s="121">
        <f>Data!CG120</f>
        <v>163</v>
      </c>
      <c r="CH31" s="121">
        <f>Data!CH120-CG31</f>
        <v>-970</v>
      </c>
      <c r="CI31" s="121">
        <f>Data!CI120-CH31-CG31</f>
        <v>727</v>
      </c>
      <c r="CJ31" s="121">
        <f>Data!CJ120-CI31-CH31-CG31</f>
        <v>-406</v>
      </c>
      <c r="CK31" s="919">
        <f t="shared" si="74"/>
        <v>-486</v>
      </c>
      <c r="CL31" s="121">
        <f>Data!CL120</f>
        <v>481</v>
      </c>
      <c r="CM31" s="121">
        <f>Data!CM120-CL31</f>
        <v>199</v>
      </c>
      <c r="CN31" s="121">
        <f>Data!CN120-CM31-CL31</f>
        <v>-72</v>
      </c>
      <c r="CO31" s="121">
        <f>Data!CO120-CN31-CM31-CL31</f>
        <v>194</v>
      </c>
      <c r="CP31" s="919">
        <f t="shared" si="75"/>
        <v>802</v>
      </c>
      <c r="CQ31" s="121">
        <f>Data!CQ120</f>
        <v>176</v>
      </c>
      <c r="CR31" s="121">
        <f>Data!CR120-CQ31</f>
        <v>282</v>
      </c>
      <c r="CS31" s="121">
        <f>Data!CS120-CR31-CQ31</f>
        <v>46</v>
      </c>
      <c r="CT31" s="121">
        <f>Data!CT120-CS31-CR31-CQ31</f>
        <v>145</v>
      </c>
      <c r="CU31" s="919">
        <f t="shared" si="76"/>
        <v>649</v>
      </c>
      <c r="CV31" s="121">
        <f>Data!CV120</f>
        <v>181</v>
      </c>
      <c r="CW31" s="121">
        <f>Data!CW120-CV31</f>
        <v>108</v>
      </c>
      <c r="CX31" s="121">
        <f>Data!CX120-CW31-CV31</f>
        <v>-917</v>
      </c>
      <c r="CY31" s="121">
        <f>Data!CY120-CX31-CW31-CV31</f>
        <v>344</v>
      </c>
      <c r="CZ31" s="919">
        <f t="shared" si="77"/>
        <v>-284</v>
      </c>
      <c r="DA31" s="121">
        <f>Data!DA120</f>
        <v>120</v>
      </c>
      <c r="DB31" s="121">
        <f>Data!DB120-DA31</f>
        <v>233</v>
      </c>
      <c r="DC31" s="121">
        <f>Data!DC120-DB31-DA31</f>
        <v>453</v>
      </c>
      <c r="DD31" s="121">
        <f>Data!DD120-DC31-DB31-DA31</f>
        <v>-298</v>
      </c>
      <c r="DE31" s="919">
        <f t="shared" si="78"/>
        <v>508</v>
      </c>
      <c r="DF31" s="121">
        <f>Data!DF120</f>
        <v>-206</v>
      </c>
      <c r="DG31" s="121">
        <f>Data!DG120-DF31</f>
        <v>-63</v>
      </c>
      <c r="DH31" s="121">
        <f>Data!DH120-DG31-DF31</f>
        <v>380</v>
      </c>
      <c r="DI31" s="121">
        <f>Data!DI120-DH31-DG31-DF31</f>
        <v>75</v>
      </c>
      <c r="DJ31" s="919">
        <f t="shared" si="79"/>
        <v>186</v>
      </c>
      <c r="DK31" s="121">
        <f>Data!DK120</f>
        <v>12</v>
      </c>
      <c r="DL31" s="121">
        <f>Data!DL120-DK31</f>
        <v>338</v>
      </c>
      <c r="DM31" s="121">
        <f>Data!DM120-DL31-DK31</f>
        <v>53</v>
      </c>
      <c r="DN31" s="121">
        <f>Data!DN120-DM31-DL31-DK31</f>
        <v>76</v>
      </c>
      <c r="DO31" s="919">
        <f t="shared" si="70"/>
        <v>479</v>
      </c>
      <c r="DP31" s="121">
        <f>Data!DP120</f>
        <v>-387</v>
      </c>
      <c r="DQ31" s="121">
        <f>Data!DQ120-DP31</f>
        <v>-120</v>
      </c>
      <c r="DR31" s="184">
        <f>(BS!DQ14-BS!DR14)+(BS!DR31+BS!DR32-BS!DQ32-BS!DQ31)+(BS!DR36-BS!DQ36)</f>
        <v>175</v>
      </c>
      <c r="DS31" s="184">
        <f>(BS!DR14-BS!DS14)+(BS!DS31+BS!DS32-BS!DR32-BS!DR31)+(BS!DS36-BS!DR36)</f>
        <v>175</v>
      </c>
      <c r="DT31" s="919">
        <f t="shared" si="80"/>
        <v>-157</v>
      </c>
      <c r="DU31" s="184">
        <f>(BS!DT14-BS!DU14)+(BS!DU31+BS!DU32-BS!DT32-BS!DT31)+(BS!DU36-BS!DT36)</f>
        <v>175</v>
      </c>
      <c r="DV31" s="184">
        <f>(BS!DU14-BS!DV14)+(BS!DV31+BS!DV32-BS!DU32-BS!DU31)+(BS!DV36-BS!DU36)</f>
        <v>175</v>
      </c>
      <c r="DW31" s="184">
        <f>(BS!DV14-BS!DW14)+(BS!DW31+BS!DW32-BS!DV32-BS!DV31)+(BS!DW36-BS!DV36)</f>
        <v>175</v>
      </c>
      <c r="DX31" s="184">
        <f>(BS!DW14-BS!DX14)+(BS!DX31+BS!DX32-BS!DW32-BS!DW31)+(BS!DX36-BS!DW36)</f>
        <v>175</v>
      </c>
      <c r="DY31" s="919">
        <f t="shared" si="81"/>
        <v>700</v>
      </c>
      <c r="DZ31" s="27">
        <f>(BS!DY14-BS!DZ14)+(BS!DZ31+BS!DZ32-BS!DY32-BS!DY31)+(BS!DZ36-BS!DY36)</f>
        <v>700</v>
      </c>
      <c r="EA31" s="27">
        <f>(BS!DZ14-BS!EA14)+(BS!EA31+BS!EA32-BS!DZ32-BS!DZ31)+(BS!EA36-BS!DZ36)</f>
        <v>700</v>
      </c>
      <c r="EB31" s="27">
        <f>(BS!EA14-BS!EB14)+(BS!EB31+BS!EB32-BS!EA32-BS!EA31)+(BS!EB36-BS!EA36)</f>
        <v>700</v>
      </c>
    </row>
    <row r="32" spans="2:132" s="68" customFormat="1" ht="12" customHeight="1">
      <c r="B32" s="25" t="s">
        <v>342</v>
      </c>
      <c r="C32" s="26">
        <f>SUM(C7:C18)</f>
        <v>2100</v>
      </c>
      <c r="D32" s="26">
        <f t="shared" ref="D32:AM32" si="83">SUM(D7:D18)</f>
        <v>2367</v>
      </c>
      <c r="E32" s="26">
        <f t="shared" si="83"/>
        <v>6224</v>
      </c>
      <c r="F32" s="26">
        <f t="shared" si="83"/>
        <v>5942</v>
      </c>
      <c r="G32" s="26">
        <f t="shared" si="83"/>
        <v>3814</v>
      </c>
      <c r="H32" s="26">
        <f t="shared" si="83"/>
        <v>4375</v>
      </c>
      <c r="I32" s="26">
        <f t="shared" si="83"/>
        <v>3881</v>
      </c>
      <c r="J32" s="25">
        <f t="shared" si="83"/>
        <v>95</v>
      </c>
      <c r="K32" s="25">
        <f t="shared" si="83"/>
        <v>1449</v>
      </c>
      <c r="L32" s="25">
        <f t="shared" si="83"/>
        <v>675</v>
      </c>
      <c r="M32" s="25">
        <f t="shared" si="83"/>
        <v>1239</v>
      </c>
      <c r="N32" s="26">
        <f t="shared" si="83"/>
        <v>3458</v>
      </c>
      <c r="O32" s="25">
        <f t="shared" si="83"/>
        <v>1393</v>
      </c>
      <c r="P32" s="25">
        <f t="shared" si="83"/>
        <v>2657</v>
      </c>
      <c r="Q32" s="25">
        <f t="shared" si="83"/>
        <v>502</v>
      </c>
      <c r="R32" s="25">
        <f t="shared" si="83"/>
        <v>2448</v>
      </c>
      <c r="S32" s="26">
        <f t="shared" si="83"/>
        <v>7000</v>
      </c>
      <c r="T32" s="25">
        <f t="shared" si="83"/>
        <v>2055</v>
      </c>
      <c r="U32" s="25">
        <f t="shared" si="83"/>
        <v>2443</v>
      </c>
      <c r="V32" s="25">
        <f t="shared" si="83"/>
        <v>560</v>
      </c>
      <c r="W32" s="25">
        <f t="shared" si="83"/>
        <v>2441</v>
      </c>
      <c r="X32" s="26">
        <f t="shared" si="83"/>
        <v>7499</v>
      </c>
      <c r="Y32" s="25">
        <f t="shared" si="83"/>
        <v>728</v>
      </c>
      <c r="Z32" s="25">
        <f t="shared" si="83"/>
        <v>3634</v>
      </c>
      <c r="AA32" s="25">
        <f t="shared" si="83"/>
        <v>3329</v>
      </c>
      <c r="AB32" s="25">
        <f t="shared" si="83"/>
        <v>1893</v>
      </c>
      <c r="AC32" s="26">
        <f t="shared" si="83"/>
        <v>9584</v>
      </c>
      <c r="AD32" s="25">
        <f t="shared" si="83"/>
        <v>1933</v>
      </c>
      <c r="AE32" s="25">
        <f t="shared" si="83"/>
        <v>-251</v>
      </c>
      <c r="AF32" s="25">
        <f t="shared" si="83"/>
        <v>-442</v>
      </c>
      <c r="AG32" s="25">
        <f t="shared" si="83"/>
        <v>-1641</v>
      </c>
      <c r="AH32" s="26">
        <f t="shared" si="83"/>
        <v>-401</v>
      </c>
      <c r="AI32" s="25">
        <f t="shared" si="83"/>
        <v>193</v>
      </c>
      <c r="AJ32" s="25">
        <f t="shared" si="83"/>
        <v>1001</v>
      </c>
      <c r="AK32" s="25">
        <f t="shared" si="83"/>
        <v>1197</v>
      </c>
      <c r="AL32" s="25">
        <f>SUM(AL7:AL18)</f>
        <v>3212</v>
      </c>
      <c r="AM32" s="26">
        <f t="shared" si="83"/>
        <v>5603</v>
      </c>
      <c r="AN32" s="25">
        <f t="shared" ref="AN32:AU32" si="84">SUM(AN7:AN18)</f>
        <v>-285</v>
      </c>
      <c r="AO32" s="25">
        <f t="shared" si="84"/>
        <v>266</v>
      </c>
      <c r="AP32" s="25">
        <f t="shared" si="84"/>
        <v>1855</v>
      </c>
      <c r="AQ32" s="25">
        <f t="shared" si="84"/>
        <v>1116</v>
      </c>
      <c r="AR32" s="26">
        <f t="shared" si="84"/>
        <v>2952</v>
      </c>
      <c r="AS32" s="25">
        <f t="shared" si="84"/>
        <v>-953</v>
      </c>
      <c r="AT32" s="25">
        <f>SUM(AT7:AT18)</f>
        <v>1596</v>
      </c>
      <c r="AU32" s="25">
        <f t="shared" si="84"/>
        <v>449</v>
      </c>
      <c r="AV32" s="25">
        <f t="shared" ref="AV32:BB32" si="85">SUM(AV7:AV18)</f>
        <v>2931</v>
      </c>
      <c r="AW32" s="26">
        <f t="shared" si="85"/>
        <v>4023</v>
      </c>
      <c r="AX32" s="25">
        <f t="shared" si="85"/>
        <v>837</v>
      </c>
      <c r="AY32" s="25">
        <f t="shared" si="85"/>
        <v>908</v>
      </c>
      <c r="AZ32" s="25">
        <f t="shared" si="85"/>
        <v>1596</v>
      </c>
      <c r="BA32" s="25">
        <f t="shared" si="85"/>
        <v>4167</v>
      </c>
      <c r="BB32" s="26">
        <f t="shared" si="85"/>
        <v>7508</v>
      </c>
      <c r="BC32" s="25">
        <f>SUM(BC7:BC18)</f>
        <v>524</v>
      </c>
      <c r="BD32" s="25">
        <f t="shared" ref="BD32:BF32" si="86">SUM(BD7:BD18)</f>
        <v>3467</v>
      </c>
      <c r="BE32" s="25">
        <f t="shared" si="86"/>
        <v>2808</v>
      </c>
      <c r="BF32" s="25">
        <f t="shared" si="86"/>
        <v>1380</v>
      </c>
      <c r="BG32" s="26">
        <f>SUM(BG7:BG18)</f>
        <v>8179</v>
      </c>
      <c r="BH32" s="25">
        <f>SUM(BH7:BH18)</f>
        <v>1112</v>
      </c>
      <c r="BI32" s="25">
        <f t="shared" ref="BI32:BK32" si="87">SUM(BI7:BI18)</f>
        <v>1809</v>
      </c>
      <c r="BJ32" s="25">
        <f t="shared" si="87"/>
        <v>939</v>
      </c>
      <c r="BK32" s="25">
        <f t="shared" si="87"/>
        <v>4998</v>
      </c>
      <c r="BL32" s="26">
        <f>SUM(BL7:BL18)</f>
        <v>8858</v>
      </c>
      <c r="BM32" s="25">
        <f>SUM(BM7:BM18)</f>
        <v>88</v>
      </c>
      <c r="BN32" s="25">
        <f t="shared" ref="BN32:BP32" si="88">SUM(BN7:BN18)</f>
        <v>3297</v>
      </c>
      <c r="BO32" s="25">
        <f t="shared" si="88"/>
        <v>2859</v>
      </c>
      <c r="BP32" s="25">
        <f t="shared" si="88"/>
        <v>3119</v>
      </c>
      <c r="BQ32" s="26">
        <f>SUM(BQ7:BQ18)</f>
        <v>9363</v>
      </c>
      <c r="BR32" s="25">
        <f>SUM(BR7:BR18)</f>
        <v>1231</v>
      </c>
      <c r="BS32" s="25">
        <f t="shared" ref="BS32:BU32" si="89">SUM(BS7:BS18)</f>
        <v>3234</v>
      </c>
      <c r="BT32" s="25">
        <f t="shared" si="89"/>
        <v>3202</v>
      </c>
      <c r="BU32" s="25">
        <f t="shared" si="89"/>
        <v>2832</v>
      </c>
      <c r="BV32" s="26">
        <f>SUM(BV7:BV18)</f>
        <v>10499</v>
      </c>
      <c r="BW32" s="25">
        <f>SUM(BW7:BW18)</f>
        <v>2094</v>
      </c>
      <c r="BX32" s="25">
        <f t="shared" ref="BX32:BZ32" si="90">SUM(BX7:BX18)</f>
        <v>4950</v>
      </c>
      <c r="BY32" s="25">
        <f t="shared" si="90"/>
        <v>3396</v>
      </c>
      <c r="BZ32" s="25">
        <f t="shared" si="90"/>
        <v>2904</v>
      </c>
      <c r="CA32" s="26">
        <f>SUM(CA7:CA18)</f>
        <v>13344</v>
      </c>
      <c r="CB32" s="25">
        <f>SUM(CB7:CB18)</f>
        <v>3136</v>
      </c>
      <c r="CC32" s="25">
        <f t="shared" ref="CC32:CE32" si="91">SUM(CC7:CC18)</f>
        <v>4680</v>
      </c>
      <c r="CD32" s="25">
        <f t="shared" si="91"/>
        <v>4559</v>
      </c>
      <c r="CE32" s="25">
        <f t="shared" si="91"/>
        <v>2947</v>
      </c>
      <c r="CF32" s="26">
        <f t="shared" si="73"/>
        <v>15322</v>
      </c>
      <c r="CG32" s="25">
        <f>SUM(CG7:CG18)</f>
        <v>2788</v>
      </c>
      <c r="CH32" s="25">
        <f t="shared" ref="CH32:CJ32" si="92">SUM(CH7:CH18)</f>
        <v>-590</v>
      </c>
      <c r="CI32" s="25">
        <f t="shared" si="92"/>
        <v>-2424</v>
      </c>
      <c r="CJ32" s="25">
        <f t="shared" si="92"/>
        <v>-2220</v>
      </c>
      <c r="CK32" s="26">
        <f t="shared" si="74"/>
        <v>-2446</v>
      </c>
      <c r="CL32" s="25">
        <f>SUM(CL7:CL18)</f>
        <v>-4302</v>
      </c>
      <c r="CM32" s="25">
        <f t="shared" ref="CM32:CO32" si="93">SUM(CM7:CM18)</f>
        <v>-5280</v>
      </c>
      <c r="CN32" s="25">
        <f t="shared" si="93"/>
        <v>-4819</v>
      </c>
      <c r="CO32" s="25">
        <f t="shared" si="93"/>
        <v>-4009</v>
      </c>
      <c r="CP32" s="26">
        <f t="shared" si="75"/>
        <v>-18410</v>
      </c>
      <c r="CQ32" s="25">
        <f>SUM(CQ7:CQ18)</f>
        <v>-3387</v>
      </c>
      <c r="CR32" s="25">
        <f t="shared" ref="CR32:CT32" si="94">SUM(CR7:CR18)</f>
        <v>-483</v>
      </c>
      <c r="CS32" s="25">
        <f t="shared" si="94"/>
        <v>-262</v>
      </c>
      <c r="CT32" s="25">
        <f t="shared" si="94"/>
        <v>716</v>
      </c>
      <c r="CU32" s="26">
        <f t="shared" si="76"/>
        <v>-3416</v>
      </c>
      <c r="CV32" s="25">
        <f>SUM(CV7:CV18)</f>
        <v>-3216</v>
      </c>
      <c r="CW32" s="25">
        <f t="shared" ref="CW32:CY32" si="95">SUM(CW7:CW18)</f>
        <v>81</v>
      </c>
      <c r="CX32" s="25">
        <f t="shared" si="95"/>
        <v>3190</v>
      </c>
      <c r="CY32" s="25">
        <f t="shared" si="95"/>
        <v>3457</v>
      </c>
      <c r="CZ32" s="26">
        <f t="shared" si="77"/>
        <v>3512</v>
      </c>
      <c r="DA32" s="25">
        <f>SUM(DA7:DA18)</f>
        <v>-318</v>
      </c>
      <c r="DB32" s="25">
        <f t="shared" ref="DB32:DD32" si="96">SUM(DB7:DB18)</f>
        <v>2875</v>
      </c>
      <c r="DC32" s="25">
        <f t="shared" si="96"/>
        <v>22</v>
      </c>
      <c r="DD32" s="25">
        <f t="shared" si="96"/>
        <v>3381</v>
      </c>
      <c r="DE32" s="26">
        <f t="shared" si="78"/>
        <v>5960</v>
      </c>
      <c r="DF32" s="25">
        <f>SUM(DF7:DF18)</f>
        <v>-3362</v>
      </c>
      <c r="DG32" s="25">
        <f t="shared" ref="DG32:DI32" si="97">SUM(DG7:DG18)</f>
        <v>-3923</v>
      </c>
      <c r="DH32" s="25">
        <f t="shared" si="97"/>
        <v>-1345</v>
      </c>
      <c r="DI32" s="25">
        <f t="shared" si="97"/>
        <v>-3450</v>
      </c>
      <c r="DJ32" s="26">
        <f t="shared" si="79"/>
        <v>-12080</v>
      </c>
      <c r="DK32" s="25">
        <f>SUM(DK7:DK18)</f>
        <v>-1616</v>
      </c>
      <c r="DL32" s="25">
        <f t="shared" ref="DL32:DN32" si="98">SUM(DL7:DL18)</f>
        <v>227</v>
      </c>
      <c r="DM32" s="25">
        <f t="shared" si="98"/>
        <v>1123</v>
      </c>
      <c r="DN32" s="25">
        <f t="shared" si="98"/>
        <v>1331</v>
      </c>
      <c r="DO32" s="26">
        <f t="shared" si="70"/>
        <v>1065</v>
      </c>
      <c r="DP32" s="25">
        <f>SUM(DP7:DP18)</f>
        <v>-179</v>
      </c>
      <c r="DQ32" s="25">
        <f t="shared" ref="DQ32" si="99">SUM(DQ7:DQ18)</f>
        <v>1364</v>
      </c>
      <c r="DR32" s="24">
        <v>1300</v>
      </c>
      <c r="DS32" s="24">
        <v>3986</v>
      </c>
      <c r="DT32" s="26">
        <f t="shared" si="80"/>
        <v>6471</v>
      </c>
      <c r="DU32" s="24">
        <v>-900</v>
      </c>
      <c r="DV32" s="24">
        <v>2000</v>
      </c>
      <c r="DW32" s="24">
        <v>3650</v>
      </c>
      <c r="DX32" s="24">
        <v>4958</v>
      </c>
      <c r="DY32" s="26">
        <f t="shared" si="81"/>
        <v>9708</v>
      </c>
      <c r="DZ32" s="23">
        <v>13237</v>
      </c>
      <c r="EA32" s="23">
        <v>16435</v>
      </c>
      <c r="EB32" s="23">
        <v>19654</v>
      </c>
    </row>
    <row r="33" spans="2:132" s="68" customFormat="1" ht="12" customHeight="1">
      <c r="B33" s="68" t="s">
        <v>141</v>
      </c>
      <c r="C33" s="67">
        <f>Data!C122</f>
        <v>-1391</v>
      </c>
      <c r="D33" s="67">
        <f>Data!D122</f>
        <v>-1584</v>
      </c>
      <c r="E33" s="67">
        <f>Data!E122</f>
        <v>-1236</v>
      </c>
      <c r="F33" s="67">
        <f>Data!F122</f>
        <v>-932</v>
      </c>
      <c r="G33" s="67">
        <f>Data!G122</f>
        <v>-1068</v>
      </c>
      <c r="H33" s="67">
        <f>Data!H122</f>
        <v>-1001</v>
      </c>
      <c r="I33" s="67">
        <f>Data!I122</f>
        <v>-741</v>
      </c>
      <c r="J33" s="68">
        <f>Data!J122</f>
        <v>-182</v>
      </c>
      <c r="K33" s="68">
        <f>Data!K122-J33</f>
        <v>-112</v>
      </c>
      <c r="L33" s="68">
        <f>Data!L122-K33-J33</f>
        <v>-332</v>
      </c>
      <c r="M33" s="68">
        <f>Data!M122-L33-K33-J33</f>
        <v>-352</v>
      </c>
      <c r="N33" s="67">
        <f t="shared" si="0"/>
        <v>-978</v>
      </c>
      <c r="O33" s="68">
        <f>Data!O122</f>
        <v>-307</v>
      </c>
      <c r="P33" s="68">
        <f>Data!P122-O33</f>
        <v>-480</v>
      </c>
      <c r="Q33" s="68">
        <f>Data!Q122-P33-O33</f>
        <v>-287</v>
      </c>
      <c r="R33" s="68">
        <f>Data!R122-Q33-P33-O33</f>
        <v>-473</v>
      </c>
      <c r="S33" s="67">
        <f t="shared" si="1"/>
        <v>-1547</v>
      </c>
      <c r="T33" s="68">
        <f>Data!T122</f>
        <v>-412</v>
      </c>
      <c r="U33" s="68">
        <f>Data!U122-T33</f>
        <v>-333</v>
      </c>
      <c r="V33" s="68">
        <f>Data!V122-U33-T33</f>
        <v>-348</v>
      </c>
      <c r="W33" s="68">
        <f>Data!W122-V33-U33-T33</f>
        <v>-588</v>
      </c>
      <c r="X33" s="67">
        <f t="shared" si="2"/>
        <v>-1681</v>
      </c>
      <c r="Y33" s="68">
        <f>Data!Y122</f>
        <v>-451</v>
      </c>
      <c r="Z33" s="68">
        <f>Data!Z122-Y33</f>
        <v>-414</v>
      </c>
      <c r="AA33" s="68">
        <f>Data!AA122-Z33-Y33</f>
        <v>-417</v>
      </c>
      <c r="AB33" s="68">
        <f>Data!AB122-AA33-Z33-Y33</f>
        <v>-449</v>
      </c>
      <c r="AC33" s="67">
        <f t="shared" si="3"/>
        <v>-1731</v>
      </c>
      <c r="AD33" s="68">
        <f>Data!AD122</f>
        <v>-409</v>
      </c>
      <c r="AE33" s="68">
        <f>Data!AE122-AD33</f>
        <v>-398</v>
      </c>
      <c r="AF33" s="68">
        <f>Data!AF122-AE33-AD33</f>
        <v>-422</v>
      </c>
      <c r="AG33" s="68">
        <f>Data!AG122-AF33-AE33-AD33</f>
        <v>-445</v>
      </c>
      <c r="AH33" s="67">
        <f t="shared" si="4"/>
        <v>-1674</v>
      </c>
      <c r="AI33" s="68">
        <f>Data!AI122</f>
        <v>-442</v>
      </c>
      <c r="AJ33" s="68">
        <f>Data!AJ122-AI33</f>
        <v>-294</v>
      </c>
      <c r="AK33" s="68">
        <f>Data!AK122-AJ33-AI33</f>
        <v>-229</v>
      </c>
      <c r="AL33" s="68">
        <f>Data!AL122-AK33-AJ33-AI33</f>
        <v>-221</v>
      </c>
      <c r="AM33" s="67">
        <f t="shared" si="5"/>
        <v>-1186</v>
      </c>
      <c r="AN33" s="241">
        <f>Data!AN122</f>
        <v>-186</v>
      </c>
      <c r="AO33" s="68">
        <f>Data!AO122-AN33</f>
        <v>-257</v>
      </c>
      <c r="AP33" s="68">
        <f>Data!AP122-AO33-AN33</f>
        <v>-282</v>
      </c>
      <c r="AQ33" s="68">
        <f>Data!AQ122-AP33-AO33-AN33</f>
        <v>-400</v>
      </c>
      <c r="AR33" s="67">
        <f t="shared" si="6"/>
        <v>-1125</v>
      </c>
      <c r="AS33" s="241">
        <f>Data!AS122</f>
        <v>-417</v>
      </c>
      <c r="AT33" s="68">
        <f>Data!AT122-AS33</f>
        <v>-345</v>
      </c>
      <c r="AU33" s="121">
        <f>Data!AU122-AT33-AS33</f>
        <v>-380</v>
      </c>
      <c r="AV33" s="68">
        <f>Data!AV122-AU33-AT33-AS33</f>
        <v>-571</v>
      </c>
      <c r="AW33" s="67">
        <f t="shared" si="7"/>
        <v>-1713</v>
      </c>
      <c r="AX33" s="121">
        <f>Data!AX122</f>
        <v>-424</v>
      </c>
      <c r="AY33" s="121">
        <f>Data!AY122-AX33</f>
        <v>-356</v>
      </c>
      <c r="AZ33" s="121">
        <f>Data!AZ122-AY33-AX33</f>
        <v>-428</v>
      </c>
      <c r="BA33" s="121">
        <f>Data!BA122-AZ33-AY33-AX33</f>
        <v>-495</v>
      </c>
      <c r="BB33" s="67">
        <f t="shared" si="8"/>
        <v>-1703</v>
      </c>
      <c r="BC33" s="121">
        <f>Data!BC122</f>
        <v>-521</v>
      </c>
      <c r="BD33" s="121">
        <f>Data!BD122-BC33</f>
        <v>-455</v>
      </c>
      <c r="BE33" s="121">
        <f>Data!BE122-BD33-BC33</f>
        <v>-484</v>
      </c>
      <c r="BF33" s="121">
        <f>Data!BF122-BE33-BD33-BC33</f>
        <v>-638</v>
      </c>
      <c r="BG33" s="67">
        <f t="shared" ref="BG33:BG38" si="100">SUM(BC33:BF33)</f>
        <v>-2098</v>
      </c>
      <c r="BH33" s="121">
        <f>Data!BH122</f>
        <v>-497</v>
      </c>
      <c r="BI33" s="121">
        <f>Data!BI122-BH33</f>
        <v>-449</v>
      </c>
      <c r="BJ33" s="121">
        <f>Data!BJ122-BI33-BH33</f>
        <v>-622</v>
      </c>
      <c r="BK33" s="121">
        <f>Data!BK122-BJ33-BI33-BH33</f>
        <v>-668</v>
      </c>
      <c r="BL33" s="67">
        <f t="shared" ref="BL33:BL38" si="101">SUM(BH33:BK33)</f>
        <v>-2236</v>
      </c>
      <c r="BM33" s="121">
        <f>Data!BM122</f>
        <v>-574</v>
      </c>
      <c r="BN33" s="121">
        <f>Data!BN122-BM33</f>
        <v>-692</v>
      </c>
      <c r="BO33" s="121">
        <f>Data!BO122-BN33-BM33</f>
        <v>-561</v>
      </c>
      <c r="BP33" s="121">
        <f>Data!BP122-BO33-BN33-BM33</f>
        <v>-623</v>
      </c>
      <c r="BQ33" s="67">
        <f t="shared" ref="BQ33:BQ38" si="102">SUM(BM33:BP33)</f>
        <v>-2450</v>
      </c>
      <c r="BR33" s="121">
        <f>Data!BR122</f>
        <v>-748</v>
      </c>
      <c r="BS33" s="121">
        <f>Data!BS122-BR33</f>
        <v>-671</v>
      </c>
      <c r="BT33" s="121">
        <f>Data!BT122-BS33-BR33</f>
        <v>-595</v>
      </c>
      <c r="BU33" s="121">
        <f>Data!BU122-BT33-BS33-BR33</f>
        <v>-599</v>
      </c>
      <c r="BV33" s="67">
        <f t="shared" ref="BV33:BV38" si="103">SUM(BR33:BU33)</f>
        <v>-2613</v>
      </c>
      <c r="BW33" s="121">
        <f>Data!BW122</f>
        <v>-466</v>
      </c>
      <c r="BX33" s="121">
        <f>Data!BX122-BW33</f>
        <v>-439</v>
      </c>
      <c r="BY33" s="121">
        <f>Data!BY122-BX33-BW33</f>
        <v>-399</v>
      </c>
      <c r="BZ33" s="121">
        <f>Data!BZ122-BY33-BX33-BW33</f>
        <v>-435</v>
      </c>
      <c r="CA33" s="120">
        <f>SUM(BW33:BZ33)</f>
        <v>-1739</v>
      </c>
      <c r="CB33" s="121">
        <f>Data!CB122</f>
        <v>-394</v>
      </c>
      <c r="CC33" s="121">
        <f>Data!CC122-CB33</f>
        <v>-376</v>
      </c>
      <c r="CD33" s="121">
        <f>Data!CD122-CC33-CB33</f>
        <v>-457</v>
      </c>
      <c r="CE33" s="121">
        <f>Data!CE122-CD33-CC33-CB33</f>
        <v>-495</v>
      </c>
      <c r="CF33" s="120">
        <f t="shared" si="73"/>
        <v>-1722</v>
      </c>
      <c r="CG33" s="121">
        <f>Data!CG122</f>
        <v>-501</v>
      </c>
      <c r="CH33" s="121">
        <f>Data!CH122-CG33</f>
        <v>-421</v>
      </c>
      <c r="CI33" s="121">
        <f>Data!CI122-CH33-CG33</f>
        <v>-465</v>
      </c>
      <c r="CJ33" s="121">
        <f>Data!CJ122-CI33-CH33-CG33</f>
        <v>-447</v>
      </c>
      <c r="CK33" s="120">
        <f t="shared" si="74"/>
        <v>-1834</v>
      </c>
      <c r="CL33" s="121">
        <f>Data!CL122</f>
        <v>-428</v>
      </c>
      <c r="CM33" s="121">
        <f>Data!CM122-CL33</f>
        <v>-348</v>
      </c>
      <c r="CN33" s="121">
        <f>Data!CN122-CM33-CL33</f>
        <v>-262</v>
      </c>
      <c r="CO33" s="121">
        <f>Data!CO122-CN33-CM33-CL33</f>
        <v>-265</v>
      </c>
      <c r="CP33" s="120">
        <f t="shared" si="75"/>
        <v>-1303</v>
      </c>
      <c r="CQ33" s="121">
        <f>Data!CQ122</f>
        <v>-291</v>
      </c>
      <c r="CR33" s="121">
        <f>Data!CR122-CQ33</f>
        <v>-222</v>
      </c>
      <c r="CS33" s="121">
        <f>Data!CS122-CR33-CQ33</f>
        <v>-245</v>
      </c>
      <c r="CT33" s="121">
        <f>Data!CT122-CS33-CR33-CQ33</f>
        <v>-222</v>
      </c>
      <c r="CU33" s="120">
        <f t="shared" si="76"/>
        <v>-980</v>
      </c>
      <c r="CV33" s="121">
        <f>Data!CV122</f>
        <v>-349</v>
      </c>
      <c r="CW33" s="121">
        <f>Data!CW122-CV33</f>
        <v>-263</v>
      </c>
      <c r="CX33" s="121">
        <f>Data!CX122-CW33-CV33</f>
        <v>-284</v>
      </c>
      <c r="CY33" s="121">
        <f>Data!CY122-CX33-CW33-CV33</f>
        <v>-326</v>
      </c>
      <c r="CZ33" s="120">
        <f t="shared" si="77"/>
        <v>-1222</v>
      </c>
      <c r="DA33" s="121">
        <f>Data!DA122</f>
        <v>-468</v>
      </c>
      <c r="DB33" s="121">
        <f>Data!DB122-DA33</f>
        <v>-296</v>
      </c>
      <c r="DC33" s="121">
        <f>Data!DC122-DB33-DA33</f>
        <v>-332</v>
      </c>
      <c r="DD33" s="121">
        <f>Data!DD122-DC33-DB33-DA33</f>
        <v>-431</v>
      </c>
      <c r="DE33" s="120">
        <f t="shared" si="78"/>
        <v>-1527</v>
      </c>
      <c r="DF33" s="121">
        <f>Data!DF122</f>
        <v>-567</v>
      </c>
      <c r="DG33" s="121">
        <f>Data!DG122-DF33</f>
        <v>-404</v>
      </c>
      <c r="DH33" s="121">
        <f>Data!DH122-DG33-DF33</f>
        <v>-611</v>
      </c>
      <c r="DI33" s="121">
        <f>Data!DI122-DH33-DG33-DF33</f>
        <v>-648</v>
      </c>
      <c r="DJ33" s="120">
        <f t="shared" si="79"/>
        <v>-2230</v>
      </c>
      <c r="DK33" s="121">
        <f>Data!DK122</f>
        <v>-674</v>
      </c>
      <c r="DL33" s="121">
        <f>Data!DL122-DK33</f>
        <v>-427</v>
      </c>
      <c r="DM33" s="121">
        <f>Data!DM122-DL33-DK33</f>
        <v>-885</v>
      </c>
      <c r="DN33" s="121">
        <f>Data!DN122-DM33-DL33-DK33</f>
        <v>-956</v>
      </c>
      <c r="DO33" s="120">
        <f t="shared" si="70"/>
        <v>-2942</v>
      </c>
      <c r="DP33" s="121">
        <f>Data!DP122</f>
        <v>-1275</v>
      </c>
      <c r="DQ33" s="121">
        <f>Data!DQ122-DP33</f>
        <v>-733</v>
      </c>
      <c r="DR33" s="179">
        <v>-950</v>
      </c>
      <c r="DS33" s="179">
        <v>-1000</v>
      </c>
      <c r="DT33" s="120">
        <f t="shared" si="80"/>
        <v>-3958</v>
      </c>
      <c r="DU33" s="179">
        <v>-900</v>
      </c>
      <c r="DV33" s="179">
        <v>-800</v>
      </c>
      <c r="DW33" s="179">
        <v>-750</v>
      </c>
      <c r="DX33" s="179">
        <v>-750</v>
      </c>
      <c r="DY33" s="120">
        <f t="shared" si="81"/>
        <v>-3200</v>
      </c>
      <c r="DZ33" s="180">
        <v>-2700</v>
      </c>
      <c r="EA33" s="180">
        <v>-2800</v>
      </c>
      <c r="EB33" s="180">
        <v>-3000</v>
      </c>
    </row>
    <row r="34" spans="2:132" s="68" customFormat="1" ht="12" customHeight="1">
      <c r="B34" s="68" t="s">
        <v>142</v>
      </c>
      <c r="C34" s="67">
        <f>Data!C123</f>
        <v>0</v>
      </c>
      <c r="D34" s="67">
        <f>Data!D123</f>
        <v>0</v>
      </c>
      <c r="E34" s="67">
        <f>Data!E123</f>
        <v>0</v>
      </c>
      <c r="F34" s="67">
        <f>Data!F123</f>
        <v>0</v>
      </c>
      <c r="G34" s="67">
        <f>Data!G123</f>
        <v>0</v>
      </c>
      <c r="H34" s="67">
        <f>Data!H123</f>
        <v>0</v>
      </c>
      <c r="I34" s="67">
        <f>Data!I123</f>
        <v>0</v>
      </c>
      <c r="J34" s="68">
        <f>Data!J123</f>
        <v>0</v>
      </c>
      <c r="K34" s="68">
        <f>Data!K123-J34</f>
        <v>0</v>
      </c>
      <c r="L34" s="68">
        <f>Data!L123-K34-J34</f>
        <v>0</v>
      </c>
      <c r="M34" s="68">
        <f>Data!M123-L34-K34-J34</f>
        <v>0</v>
      </c>
      <c r="N34" s="67">
        <f t="shared" si="0"/>
        <v>0</v>
      </c>
      <c r="O34" s="68">
        <f>Data!O123</f>
        <v>29</v>
      </c>
      <c r="P34" s="68">
        <f>Data!P123-O34</f>
        <v>-10</v>
      </c>
      <c r="Q34" s="68">
        <f>Data!Q123-P34-O34</f>
        <v>-2</v>
      </c>
      <c r="R34" s="68">
        <f>Data!R123-Q34-P34-O34</f>
        <v>34</v>
      </c>
      <c r="S34" s="67">
        <f t="shared" si="1"/>
        <v>51</v>
      </c>
      <c r="T34" s="68">
        <f>Data!T123</f>
        <v>0</v>
      </c>
      <c r="U34" s="68">
        <f>Data!U123-T34</f>
        <v>23</v>
      </c>
      <c r="V34" s="68">
        <f>Data!V123-U34-T34</f>
        <v>63</v>
      </c>
      <c r="W34" s="68">
        <f>Data!W123-V34-U34-T34</f>
        <v>139</v>
      </c>
      <c r="X34" s="67">
        <f t="shared" si="2"/>
        <v>225</v>
      </c>
      <c r="Y34" s="68">
        <f>Data!Y123</f>
        <v>0</v>
      </c>
      <c r="Z34" s="68">
        <f>Data!Z123-Y34</f>
        <v>17</v>
      </c>
      <c r="AA34" s="68">
        <f>Data!AA123-Z34-Y34</f>
        <v>5</v>
      </c>
      <c r="AB34" s="68">
        <f>Data!AB123-AA34-Z34-Y34</f>
        <v>37</v>
      </c>
      <c r="AC34" s="67">
        <f t="shared" si="3"/>
        <v>59</v>
      </c>
      <c r="AD34" s="68">
        <f>Data!AD123</f>
        <v>9</v>
      </c>
      <c r="AE34" s="68">
        <f>Data!AE123-AD34</f>
        <v>7</v>
      </c>
      <c r="AF34" s="68">
        <f>Data!AF123-AE34-AD34</f>
        <v>0</v>
      </c>
      <c r="AG34" s="68">
        <f>Data!AG123-AF34-AE34-AD34</f>
        <v>18</v>
      </c>
      <c r="AH34" s="67">
        <f t="shared" si="4"/>
        <v>34</v>
      </c>
      <c r="AI34" s="68">
        <f>Data!AI123</f>
        <v>25</v>
      </c>
      <c r="AJ34" s="68">
        <f>Data!AJ123-AI34</f>
        <v>-2</v>
      </c>
      <c r="AK34" s="68">
        <f>Data!AK123-AJ34-AI34</f>
        <v>2</v>
      </c>
      <c r="AL34" s="68">
        <f>Data!AL123-AK34-AJ34-AI34</f>
        <v>2</v>
      </c>
      <c r="AM34" s="67">
        <f t="shared" si="5"/>
        <v>27</v>
      </c>
      <c r="AN34" s="241">
        <f>Data!AN123</f>
        <v>3</v>
      </c>
      <c r="AO34" s="68">
        <f>Data!AO123-AN34</f>
        <v>19</v>
      </c>
      <c r="AP34" s="68">
        <f>Data!AP123-AO34-AN34</f>
        <v>25</v>
      </c>
      <c r="AQ34" s="68">
        <f>Data!AQ123-AP34-AO34-AN34</f>
        <v>16</v>
      </c>
      <c r="AR34" s="67">
        <f t="shared" si="6"/>
        <v>63</v>
      </c>
      <c r="AS34" s="241">
        <f>Data!AS123</f>
        <v>14</v>
      </c>
      <c r="AT34" s="68">
        <f>Data!AT123-AS34</f>
        <v>5</v>
      </c>
      <c r="AU34" s="121">
        <f>Data!AU123-AT34-AS34</f>
        <v>35</v>
      </c>
      <c r="AV34" s="68">
        <f>Data!AV123-AU34-AT34-AS34</f>
        <v>40</v>
      </c>
      <c r="AW34" s="67">
        <f t="shared" si="7"/>
        <v>94</v>
      </c>
      <c r="AX34" s="121">
        <f>Data!AX123</f>
        <v>4</v>
      </c>
      <c r="AY34" s="121">
        <f>Data!AY123-AX34</f>
        <v>12</v>
      </c>
      <c r="AZ34" s="121">
        <f>Data!AZ123-AY34-AX34</f>
        <v>13</v>
      </c>
      <c r="BA34" s="121">
        <f>Data!BA123-AZ34-AY34-AX34</f>
        <v>68</v>
      </c>
      <c r="BB34" s="67">
        <f t="shared" si="8"/>
        <v>97</v>
      </c>
      <c r="BC34" s="121">
        <f>Data!BC123</f>
        <v>33</v>
      </c>
      <c r="BD34" s="121">
        <f>Data!BD123-BC34</f>
        <v>11</v>
      </c>
      <c r="BE34" s="121">
        <f>Data!BE123-BD34-BC34</f>
        <v>3</v>
      </c>
      <c r="BF34" s="121">
        <f>Data!BF123-BE34-BD34-BC34</f>
        <v>4</v>
      </c>
      <c r="BG34" s="67">
        <f t="shared" si="100"/>
        <v>51</v>
      </c>
      <c r="BH34" s="121">
        <f>Data!BH123</f>
        <v>15</v>
      </c>
      <c r="BI34" s="121">
        <f>Data!BI123-BH34</f>
        <v>2</v>
      </c>
      <c r="BJ34" s="121">
        <f>Data!BJ123-BI34-BH34</f>
        <v>10</v>
      </c>
      <c r="BK34" s="121">
        <f>Data!BK123-BJ34-BI34-BH34</f>
        <v>7</v>
      </c>
      <c r="BL34" s="67">
        <f t="shared" si="101"/>
        <v>34</v>
      </c>
      <c r="BM34" s="121">
        <f>Data!BM123</f>
        <v>0</v>
      </c>
      <c r="BN34" s="121">
        <f>Data!BN123-BM34</f>
        <v>20</v>
      </c>
      <c r="BO34" s="121">
        <f>Data!BO123-BN34-BM34</f>
        <v>4</v>
      </c>
      <c r="BP34" s="121">
        <f>Data!BP123-BO34-BN34-BM34</f>
        <v>18</v>
      </c>
      <c r="BQ34" s="67">
        <f t="shared" si="102"/>
        <v>42</v>
      </c>
      <c r="BR34" s="121">
        <f>Data!BR123</f>
        <v>11</v>
      </c>
      <c r="BS34" s="121">
        <f>Data!BS123-BR34</f>
        <v>2</v>
      </c>
      <c r="BT34" s="121">
        <f>Data!BT123-BS34-BR34</f>
        <v>1</v>
      </c>
      <c r="BU34" s="121">
        <f>Data!BU123-BT34-BS34-BR34</f>
        <v>24</v>
      </c>
      <c r="BV34" s="67">
        <f t="shared" si="103"/>
        <v>38</v>
      </c>
      <c r="BW34" s="121">
        <f>Data!BW123</f>
        <v>9</v>
      </c>
      <c r="BX34" s="121">
        <f>Data!BX123-BW34</f>
        <v>16</v>
      </c>
      <c r="BY34" s="121">
        <f>Data!BY123-BX34-BW34</f>
        <v>5</v>
      </c>
      <c r="BZ34" s="121">
        <f>Data!BZ123-BY34-BX34-BW34</f>
        <v>62</v>
      </c>
      <c r="CA34" s="67">
        <f t="shared" ref="CA34:CA38" si="104">SUM(BW34:BZ34)</f>
        <v>92</v>
      </c>
      <c r="CB34" s="121">
        <f>Data!CB123</f>
        <v>27</v>
      </c>
      <c r="CC34" s="121">
        <f>Data!CC123-CB34</f>
        <v>14</v>
      </c>
      <c r="CD34" s="121">
        <f>Data!CD123-CC34-CB34</f>
        <v>76</v>
      </c>
      <c r="CE34" s="121">
        <f>Data!CE123-CD34-CC34-CB34</f>
        <v>3</v>
      </c>
      <c r="CF34" s="67">
        <f t="shared" ref="CF34:CF38" si="105">SUM(CB34:CE34)</f>
        <v>120</v>
      </c>
      <c r="CG34" s="121">
        <f>Data!CG123</f>
        <v>110</v>
      </c>
      <c r="CH34" s="121">
        <f>Data!CH123-CG34</f>
        <v>221</v>
      </c>
      <c r="CI34" s="121">
        <f>Data!CI123-CH34-CG34</f>
        <v>3</v>
      </c>
      <c r="CJ34" s="121">
        <f>Data!CJ123-CI34-CH34-CG34</f>
        <v>0</v>
      </c>
      <c r="CK34" s="120">
        <f t="shared" si="74"/>
        <v>334</v>
      </c>
      <c r="CL34" s="121">
        <f>Data!CL123</f>
        <v>58</v>
      </c>
      <c r="CM34" s="121">
        <f>Data!CM123-CL34</f>
        <v>38</v>
      </c>
      <c r="CN34" s="121">
        <f>Data!CN123-CM34-CL34</f>
        <v>179</v>
      </c>
      <c r="CO34" s="121">
        <f>Data!CO123-CN34-CM34-CL34</f>
        <v>21</v>
      </c>
      <c r="CP34" s="120">
        <f t="shared" si="75"/>
        <v>296</v>
      </c>
      <c r="CQ34" s="121">
        <f>Data!CQ123</f>
        <v>2</v>
      </c>
      <c r="CR34" s="121">
        <f>Data!CR123-CQ34</f>
        <v>49</v>
      </c>
      <c r="CS34" s="121">
        <f>Data!CS123-CR34-CQ34</f>
        <v>334</v>
      </c>
      <c r="CT34" s="121">
        <f>Data!CT123-CS34-CR34-CQ34</f>
        <v>144</v>
      </c>
      <c r="CU34" s="120">
        <f t="shared" si="76"/>
        <v>529</v>
      </c>
      <c r="CV34" s="121">
        <f>Data!CV123</f>
        <v>8</v>
      </c>
      <c r="CW34" s="121">
        <f>Data!CW123-CV34</f>
        <v>8</v>
      </c>
      <c r="CX34" s="121">
        <f>Data!CX123-CW34-CV34</f>
        <v>3</v>
      </c>
      <c r="CY34" s="121">
        <f>Data!CY123-CX34-CW34-CV34</f>
        <v>16</v>
      </c>
      <c r="CZ34" s="120">
        <f t="shared" si="77"/>
        <v>35</v>
      </c>
      <c r="DA34" s="121">
        <f>Data!DA123</f>
        <v>5</v>
      </c>
      <c r="DB34" s="121">
        <f>Data!DB123-DA34</f>
        <v>8</v>
      </c>
      <c r="DC34" s="121">
        <f>Data!DC123-DB34-DA34</f>
        <v>6</v>
      </c>
      <c r="DD34" s="121">
        <f>Data!DD123-DC34-DB34-DA34</f>
        <v>8</v>
      </c>
      <c r="DE34" s="120">
        <f t="shared" si="78"/>
        <v>27</v>
      </c>
      <c r="DF34" s="121">
        <f>Data!DF123</f>
        <v>11</v>
      </c>
      <c r="DG34" s="121">
        <f>Data!DG123-DF34</f>
        <v>19</v>
      </c>
      <c r="DH34" s="121">
        <f>Data!DH123-DG34-DF34</f>
        <v>16</v>
      </c>
      <c r="DI34" s="121">
        <f>Data!DI123-DH34-DG34-DF34</f>
        <v>3</v>
      </c>
      <c r="DJ34" s="120">
        <f t="shared" si="79"/>
        <v>49</v>
      </c>
      <c r="DK34" s="121">
        <f>Data!DK123</f>
        <v>3</v>
      </c>
      <c r="DL34" s="121">
        <f>Data!DL123-DK34</f>
        <v>1</v>
      </c>
      <c r="DM34" s="121">
        <f>Data!DM123-DL34-DK34</f>
        <v>1</v>
      </c>
      <c r="DN34" s="121">
        <f>Data!DN123-DM34-DL34-DK34</f>
        <v>77</v>
      </c>
      <c r="DO34" s="120">
        <f t="shared" si="70"/>
        <v>82</v>
      </c>
      <c r="DP34" s="121">
        <f>Data!DP123</f>
        <v>2</v>
      </c>
      <c r="DQ34" s="121">
        <f>Data!DQ123-DP34</f>
        <v>1</v>
      </c>
      <c r="DR34" s="179">
        <v>5</v>
      </c>
      <c r="DS34" s="179">
        <v>5</v>
      </c>
      <c r="DT34" s="120">
        <f t="shared" si="80"/>
        <v>13</v>
      </c>
      <c r="DU34" s="179">
        <v>5</v>
      </c>
      <c r="DV34" s="179">
        <v>5</v>
      </c>
      <c r="DW34" s="179">
        <v>5</v>
      </c>
      <c r="DX34" s="179">
        <v>5</v>
      </c>
      <c r="DY34" s="120">
        <f t="shared" si="81"/>
        <v>20</v>
      </c>
      <c r="DZ34" s="180">
        <v>20</v>
      </c>
      <c r="EA34" s="180">
        <v>20</v>
      </c>
      <c r="EB34" s="180">
        <v>20</v>
      </c>
    </row>
    <row r="35" spans="2:132" s="68" customFormat="1" ht="12" customHeight="1">
      <c r="B35" s="68" t="s">
        <v>143</v>
      </c>
      <c r="C35" s="67">
        <f>Data!C124</f>
        <v>0</v>
      </c>
      <c r="D35" s="67">
        <f>Data!D124</f>
        <v>0</v>
      </c>
      <c r="E35" s="67">
        <f>Data!E124</f>
        <v>0</v>
      </c>
      <c r="F35" s="67">
        <f>Data!F124</f>
        <v>-5727</v>
      </c>
      <c r="G35" s="67">
        <f>Data!G124</f>
        <v>-22</v>
      </c>
      <c r="H35" s="67">
        <f>Data!H124</f>
        <v>-22</v>
      </c>
      <c r="I35" s="67">
        <f>Data!I124</f>
        <v>289</v>
      </c>
      <c r="J35" s="68">
        <f>Data!J124</f>
        <v>0</v>
      </c>
      <c r="K35" s="68">
        <f>Data!K124-J35</f>
        <v>-36</v>
      </c>
      <c r="L35" s="68">
        <f>Data!L124-K35-J35</f>
        <v>0</v>
      </c>
      <c r="M35" s="68">
        <f>Data!M124-L35-K35-J35</f>
        <v>2</v>
      </c>
      <c r="N35" s="67">
        <f t="shared" si="0"/>
        <v>-34</v>
      </c>
      <c r="O35" s="68">
        <f>Data!O124</f>
        <v>0</v>
      </c>
      <c r="P35" s="68">
        <f>Data!P124-O35</f>
        <v>0</v>
      </c>
      <c r="Q35" s="68">
        <f>Data!Q124-P35-O35</f>
        <v>-164</v>
      </c>
      <c r="R35" s="68">
        <f>Data!R124-Q35-P35-O35</f>
        <v>-8</v>
      </c>
      <c r="S35" s="67">
        <f t="shared" si="1"/>
        <v>-172</v>
      </c>
      <c r="T35" s="68">
        <f>Data!T124</f>
        <v>0</v>
      </c>
      <c r="U35" s="68">
        <f>Data!U124-T35</f>
        <v>-111</v>
      </c>
      <c r="V35" s="68">
        <f>Data!V124-U35-T35</f>
        <v>-1743</v>
      </c>
      <c r="W35" s="68">
        <f>Data!W124-V35-U35-T35</f>
        <v>0</v>
      </c>
      <c r="X35" s="67">
        <f t="shared" si="2"/>
        <v>-1854</v>
      </c>
      <c r="Y35" s="68">
        <f>Data!Y124</f>
        <v>-75</v>
      </c>
      <c r="Z35" s="68">
        <f>Data!Z124-Y35</f>
        <v>0</v>
      </c>
      <c r="AA35" s="68">
        <f>Data!AA124-Z35-Y35</f>
        <v>0</v>
      </c>
      <c r="AB35" s="68">
        <f>Data!AB124-AA35-Z35-Y35</f>
        <v>0</v>
      </c>
      <c r="AC35" s="67">
        <f t="shared" si="3"/>
        <v>-75</v>
      </c>
      <c r="AD35" s="68">
        <f>Data!AD124</f>
        <v>-40</v>
      </c>
      <c r="AE35" s="68">
        <f>Data!AE124-AD35</f>
        <v>-54</v>
      </c>
      <c r="AF35" s="68">
        <f>Data!AF124-AE35-AD35</f>
        <v>-396</v>
      </c>
      <c r="AG35" s="68">
        <f>Data!AG124-AF35-AE35-AD35</f>
        <v>-474</v>
      </c>
      <c r="AH35" s="67">
        <f t="shared" si="4"/>
        <v>-964</v>
      </c>
      <c r="AI35" s="68">
        <f>Data!AI124</f>
        <v>-30</v>
      </c>
      <c r="AJ35" s="68">
        <f>Data!AJ124-AI35</f>
        <v>-17</v>
      </c>
      <c r="AK35" s="68">
        <f>Data!AK124-AJ35-AI35</f>
        <v>-592</v>
      </c>
      <c r="AL35" s="68">
        <f>Data!AL124-AK35-AJ35-AI35</f>
        <v>0</v>
      </c>
      <c r="AM35" s="67">
        <f t="shared" si="5"/>
        <v>-639</v>
      </c>
      <c r="AN35" s="241">
        <f>Data!AN124</f>
        <v>-24</v>
      </c>
      <c r="AO35" s="68">
        <f>Data!AO124-AN35</f>
        <v>0</v>
      </c>
      <c r="AP35" s="68">
        <f>Data!AP124-AO35-AN35</f>
        <v>-843</v>
      </c>
      <c r="AQ35" s="68">
        <f>Data!AQ124-AP35-AO35-AN35</f>
        <v>-65</v>
      </c>
      <c r="AR35" s="67">
        <f t="shared" si="6"/>
        <v>-932</v>
      </c>
      <c r="AS35" s="241">
        <f>Data!AS124</f>
        <v>-16</v>
      </c>
      <c r="AT35" s="68">
        <f>Data!AT124-AS35</f>
        <v>0</v>
      </c>
      <c r="AU35" s="121">
        <f>Data!AU124-AT35-AS35</f>
        <v>-26</v>
      </c>
      <c r="AV35" s="68">
        <f>Data!AV124-AU35-AT35-AS35</f>
        <v>0</v>
      </c>
      <c r="AW35" s="67">
        <f t="shared" si="7"/>
        <v>-42</v>
      </c>
      <c r="AX35" s="121">
        <f>Data!AX124</f>
        <v>0</v>
      </c>
      <c r="AY35" s="121">
        <f>Data!AY124-AX35</f>
        <v>-18</v>
      </c>
      <c r="AZ35" s="121">
        <f>Data!AZ124-AY35-AX35</f>
        <v>0</v>
      </c>
      <c r="BA35" s="121">
        <f>Data!BA124-AZ35-AY35-AX35</f>
        <v>-106</v>
      </c>
      <c r="BB35" s="67">
        <f t="shared" si="8"/>
        <v>-124</v>
      </c>
      <c r="BC35" s="121">
        <f>Data!BC124</f>
        <v>-26</v>
      </c>
      <c r="BD35" s="121">
        <f>Data!BD124-BC35</f>
        <v>0</v>
      </c>
      <c r="BE35" s="121">
        <f>Data!BE124-BD35-BC35</f>
        <v>0</v>
      </c>
      <c r="BF35" s="121">
        <f>Data!BF124-BE35-BD35-BC35</f>
        <v>0</v>
      </c>
      <c r="BG35" s="67">
        <f t="shared" si="100"/>
        <v>-26</v>
      </c>
      <c r="BH35" s="121">
        <f>Data!BH124</f>
        <v>0</v>
      </c>
      <c r="BI35" s="121">
        <f>Data!BI124-BH35</f>
        <v>-163</v>
      </c>
      <c r="BJ35" s="121">
        <f>Data!BJ124-BI35-BH35</f>
        <v>0</v>
      </c>
      <c r="BK35" s="121">
        <f>Data!BK124-BJ35-BI35-BH35</f>
        <v>0</v>
      </c>
      <c r="BL35" s="67">
        <f t="shared" si="101"/>
        <v>-163</v>
      </c>
      <c r="BM35" s="121">
        <f>Data!BM124</f>
        <v>0</v>
      </c>
      <c r="BN35" s="121">
        <f>Data!BN124-BM35</f>
        <v>-23</v>
      </c>
      <c r="BO35" s="121">
        <f>Data!BO124-BN35-BM35</f>
        <v>0</v>
      </c>
      <c r="BP35" s="121">
        <f>Data!BP124-BO35-BN35-BM35</f>
        <v>-8</v>
      </c>
      <c r="BQ35" s="67">
        <f t="shared" si="102"/>
        <v>-31</v>
      </c>
      <c r="BR35" s="121">
        <f>Data!BR124</f>
        <v>0</v>
      </c>
      <c r="BS35" s="121">
        <f>Data!BS124-BR35</f>
        <v>0</v>
      </c>
      <c r="BT35" s="121">
        <f>Data!BT124-BS35-BR35</f>
        <v>0</v>
      </c>
      <c r="BU35" s="121">
        <f>Data!BU124-BT35-BS35-BR35</f>
        <v>-297</v>
      </c>
      <c r="BV35" s="67">
        <f t="shared" si="103"/>
        <v>-297</v>
      </c>
      <c r="BW35" s="121">
        <f>Data!BW124</f>
        <v>0</v>
      </c>
      <c r="BX35" s="121">
        <f>Data!BX124-BW35</f>
        <v>0</v>
      </c>
      <c r="BY35" s="121">
        <f>Data!BY124-BX35-BW35</f>
        <v>0</v>
      </c>
      <c r="BZ35" s="121">
        <f>Data!BZ124-BY35-BX35-BW35</f>
        <v>-324</v>
      </c>
      <c r="CA35" s="67">
        <f t="shared" si="104"/>
        <v>-324</v>
      </c>
      <c r="CB35" s="121">
        <f>Data!CB124</f>
        <v>0</v>
      </c>
      <c r="CC35" s="121">
        <f>Data!CC124-CB35</f>
        <v>0</v>
      </c>
      <c r="CD35" s="121">
        <f>Data!CD124-CC35-CB35</f>
        <v>-250</v>
      </c>
      <c r="CE35" s="121">
        <f>Data!CE124-CD35-CC35-CB35</f>
        <v>-2980</v>
      </c>
      <c r="CF35" s="67">
        <f t="shared" si="105"/>
        <v>-3230</v>
      </c>
      <c r="CG35" s="121">
        <f>Data!CG124</f>
        <v>-276</v>
      </c>
      <c r="CH35" s="121">
        <f>Data!CH124-CG35</f>
        <v>-216</v>
      </c>
      <c r="CI35" s="121">
        <f>Data!CI124-CH35-CG35</f>
        <v>0</v>
      </c>
      <c r="CJ35" s="121">
        <f>Data!CJ124-CI35-CH35-CG35</f>
        <v>501</v>
      </c>
      <c r="CK35" s="120">
        <f t="shared" si="74"/>
        <v>9</v>
      </c>
      <c r="CL35" s="121">
        <f>Data!CL124</f>
        <v>0</v>
      </c>
      <c r="CM35" s="121">
        <f>Data!CM124-CL35</f>
        <v>0</v>
      </c>
      <c r="CN35" s="121">
        <f>Data!CN124-CM35-CL35</f>
        <v>0</v>
      </c>
      <c r="CO35" s="121">
        <f>Data!CO124-CN35-CM35-CL35</f>
        <v>0</v>
      </c>
      <c r="CP35" s="120">
        <f t="shared" si="75"/>
        <v>0</v>
      </c>
      <c r="CQ35" s="121">
        <f>Data!CQ124</f>
        <v>0</v>
      </c>
      <c r="CR35" s="121">
        <f>Data!CR124-CQ35</f>
        <v>0</v>
      </c>
      <c r="CS35" s="121">
        <f>Data!CS124-CR35-CQ35</f>
        <v>-6</v>
      </c>
      <c r="CT35" s="121">
        <f>Data!CT124-CS35-CR35-CQ35</f>
        <v>0</v>
      </c>
      <c r="CU35" s="120">
        <f t="shared" si="76"/>
        <v>-6</v>
      </c>
      <c r="CV35" s="121">
        <f>Data!CV124</f>
        <v>0</v>
      </c>
      <c r="CW35" s="121">
        <f>Data!CW124-CV35</f>
        <v>0</v>
      </c>
      <c r="CX35" s="121">
        <f>Data!CX124-CW35-CV35</f>
        <v>0</v>
      </c>
      <c r="CY35" s="121">
        <f>Data!CY124-CX35-CW35-CV35</f>
        <v>0</v>
      </c>
      <c r="CZ35" s="120">
        <f t="shared" si="77"/>
        <v>0</v>
      </c>
      <c r="DA35" s="121">
        <f>Data!DA124</f>
        <v>0</v>
      </c>
      <c r="DB35" s="121">
        <f>Data!DB124-DA35</f>
        <v>0</v>
      </c>
      <c r="DC35" s="121">
        <f>Data!DC124-DB35-DA35</f>
        <v>-19</v>
      </c>
      <c r="DD35" s="121">
        <f>Data!DD124-DC35-DB35-DA35</f>
        <v>-51</v>
      </c>
      <c r="DE35" s="120">
        <f t="shared" si="78"/>
        <v>-70</v>
      </c>
      <c r="DF35" s="121">
        <f>Data!DF124</f>
        <v>0</v>
      </c>
      <c r="DG35" s="121">
        <f>Data!DG124-DF35</f>
        <v>0</v>
      </c>
      <c r="DH35" s="121">
        <f>Data!DH124-DG35-DF35</f>
        <v>-50</v>
      </c>
      <c r="DI35" s="121">
        <f>Data!DI124-DH35-DG35-DF35</f>
        <v>0</v>
      </c>
      <c r="DJ35" s="120">
        <f t="shared" si="79"/>
        <v>-50</v>
      </c>
      <c r="DK35" s="121">
        <f>Data!DK124</f>
        <v>0</v>
      </c>
      <c r="DL35" s="121">
        <f>Data!DL124-DK35</f>
        <v>0</v>
      </c>
      <c r="DM35" s="121">
        <f>Data!DM124-DL35-DK35</f>
        <v>35</v>
      </c>
      <c r="DN35" s="121">
        <f>Data!DN124-DM35-DL35-DK35</f>
        <v>-1283</v>
      </c>
      <c r="DO35" s="120">
        <f t="shared" si="70"/>
        <v>-1248</v>
      </c>
      <c r="DP35" s="121">
        <f>Data!DP124</f>
        <v>0</v>
      </c>
      <c r="DQ35" s="121">
        <f>Data!DQ124-DP35</f>
        <v>0</v>
      </c>
      <c r="DR35" s="179">
        <v>0</v>
      </c>
      <c r="DS35" s="179">
        <v>0</v>
      </c>
      <c r="DT35" s="120">
        <f t="shared" si="80"/>
        <v>0</v>
      </c>
      <c r="DU35" s="179">
        <v>0</v>
      </c>
      <c r="DV35" s="179">
        <v>0</v>
      </c>
      <c r="DW35" s="179">
        <v>0</v>
      </c>
      <c r="DX35" s="179">
        <v>0</v>
      </c>
      <c r="DY35" s="120">
        <f t="shared" si="81"/>
        <v>0</v>
      </c>
      <c r="DZ35" s="180">
        <v>0</v>
      </c>
      <c r="EA35" s="180">
        <v>0</v>
      </c>
      <c r="EB35" s="180">
        <v>0</v>
      </c>
    </row>
    <row r="36" spans="2:132" s="68" customFormat="1" ht="12" customHeight="1">
      <c r="B36" s="68" t="s">
        <v>94</v>
      </c>
      <c r="C36" s="67">
        <f>Data!C125</f>
        <v>0</v>
      </c>
      <c r="D36" s="67">
        <f>Data!D125</f>
        <v>0</v>
      </c>
      <c r="E36" s="67">
        <f>Data!E125</f>
        <v>0</v>
      </c>
      <c r="F36" s="67">
        <f>Data!F125</f>
        <v>0</v>
      </c>
      <c r="G36" s="67">
        <f>Data!G125</f>
        <v>0</v>
      </c>
      <c r="H36" s="67">
        <f>Data!H125</f>
        <v>-505</v>
      </c>
      <c r="I36" s="67">
        <f>Data!I125</f>
        <v>-102</v>
      </c>
      <c r="J36" s="68">
        <f>Data!J125</f>
        <v>-14</v>
      </c>
      <c r="K36" s="68">
        <f>Data!K125-J36</f>
        <v>-24</v>
      </c>
      <c r="L36" s="68">
        <f>Data!L125-K36-J36</f>
        <v>-1311</v>
      </c>
      <c r="M36" s="68">
        <f>Data!M125-L36-K36-J36</f>
        <v>-2793</v>
      </c>
      <c r="N36" s="67">
        <f t="shared" si="0"/>
        <v>-4142</v>
      </c>
      <c r="O36" s="68">
        <f>Data!O125</f>
        <v>-822</v>
      </c>
      <c r="P36" s="68">
        <f>Data!P125-O36</f>
        <v>-608</v>
      </c>
      <c r="Q36" s="68">
        <f>Data!Q125-P36-O36</f>
        <v>-732</v>
      </c>
      <c r="R36" s="68">
        <f>Data!R125-Q36-P36-O36</f>
        <v>-704</v>
      </c>
      <c r="S36" s="67">
        <f t="shared" si="1"/>
        <v>-2866</v>
      </c>
      <c r="T36" s="68">
        <f>Data!T125</f>
        <v>-542</v>
      </c>
      <c r="U36" s="68">
        <f>Data!U125-T36</f>
        <v>-505</v>
      </c>
      <c r="V36" s="68">
        <f>Data!V125-U36-T36</f>
        <v>-544</v>
      </c>
      <c r="W36" s="68">
        <f>Data!W125-V36-U36-T36</f>
        <v>-1224</v>
      </c>
      <c r="X36" s="67">
        <f t="shared" si="2"/>
        <v>-2815</v>
      </c>
      <c r="Y36" s="68">
        <f>Data!Y125</f>
        <v>-947</v>
      </c>
      <c r="Z36" s="68">
        <f>Data!Z125-Y36</f>
        <v>-891</v>
      </c>
      <c r="AA36" s="68">
        <f>Data!AA125-Z36-Y36</f>
        <v>-835</v>
      </c>
      <c r="AB36" s="68">
        <f>Data!AB125-AA36-Z36-Y36</f>
        <v>-3037</v>
      </c>
      <c r="AC36" s="67">
        <f t="shared" si="3"/>
        <v>-5710</v>
      </c>
      <c r="AD36" s="68">
        <f>Data!AD125</f>
        <v>-2958</v>
      </c>
      <c r="AE36" s="68">
        <f>Data!AE125-AD36</f>
        <v>-2648</v>
      </c>
      <c r="AF36" s="68">
        <f>Data!AF125-AE36-AD36</f>
        <v>-766</v>
      </c>
      <c r="AG36" s="68">
        <f>Data!AG125-AF36-AE36-AD36</f>
        <v>-301</v>
      </c>
      <c r="AH36" s="67">
        <f t="shared" si="4"/>
        <v>-6673</v>
      </c>
      <c r="AI36" s="68">
        <f>Data!AI125</f>
        <v>-200</v>
      </c>
      <c r="AJ36" s="68">
        <f>Data!AJ125-AI36</f>
        <v>-172</v>
      </c>
      <c r="AK36" s="68">
        <f>Data!AK125-AJ36-AI36</f>
        <v>-356</v>
      </c>
      <c r="AL36" s="68">
        <f>Data!AL125-AK36-AJ36-AI36</f>
        <v>-1901</v>
      </c>
      <c r="AM36" s="67">
        <f t="shared" si="5"/>
        <v>-2629</v>
      </c>
      <c r="AN36" s="241">
        <f>Data!AN125</f>
        <v>-4744</v>
      </c>
      <c r="AO36" s="68">
        <f>Data!AO125-AN36</f>
        <v>-2357</v>
      </c>
      <c r="AP36" s="68">
        <f>Data!AP125-AO36-AN36</f>
        <v>-5644</v>
      </c>
      <c r="AQ36" s="68">
        <f>Data!AQ125-AP36-AO36-AN36</f>
        <v>-2803</v>
      </c>
      <c r="AR36" s="67">
        <f t="shared" si="6"/>
        <v>-15548</v>
      </c>
      <c r="AS36" s="241">
        <f>Data!AS125</f>
        <v>-1644</v>
      </c>
      <c r="AT36" s="68">
        <f>Data!AT125-AS36</f>
        <v>-2810</v>
      </c>
      <c r="AU36" s="121">
        <f>Data!AU125-AT36-AS36</f>
        <v>-1635</v>
      </c>
      <c r="AV36" s="68">
        <f>Data!AV125-AU36-AT36-AS36</f>
        <v>-707</v>
      </c>
      <c r="AW36" s="67">
        <f t="shared" si="7"/>
        <v>-6796</v>
      </c>
      <c r="AX36" s="121">
        <f>Data!AX125</f>
        <v>-3718</v>
      </c>
      <c r="AY36" s="121">
        <f>Data!AY125-AX36</f>
        <v>-2678</v>
      </c>
      <c r="AZ36" s="121">
        <f>Data!AZ125-AY36-AX36</f>
        <v>-3935</v>
      </c>
      <c r="BA36" s="121">
        <f>Data!BA125-AZ36-AY36-AX36</f>
        <v>-2590</v>
      </c>
      <c r="BB36" s="67">
        <f t="shared" si="8"/>
        <v>-12921</v>
      </c>
      <c r="BC36" s="121">
        <f>Data!BC125</f>
        <v>-2955</v>
      </c>
      <c r="BD36" s="121">
        <f>Data!BD125-BC36</f>
        <v>-4090</v>
      </c>
      <c r="BE36" s="121">
        <f>Data!BE125-BD36-BC36</f>
        <v>-2595</v>
      </c>
      <c r="BF36" s="121">
        <f>Data!BF125-BE36-BD36-BC36</f>
        <v>-5754</v>
      </c>
      <c r="BG36" s="67">
        <f t="shared" si="100"/>
        <v>-15394</v>
      </c>
      <c r="BH36" s="121">
        <f>Data!BH125</f>
        <v>-2737</v>
      </c>
      <c r="BI36" s="121">
        <f>Data!BI125-BH36</f>
        <v>-2920</v>
      </c>
      <c r="BJ36" s="121">
        <f>Data!BJ125-BI36-BH36</f>
        <v>-2217</v>
      </c>
      <c r="BK36" s="121">
        <f>Data!BK125-BJ36-BI36-BH36</f>
        <v>-743</v>
      </c>
      <c r="BL36" s="67">
        <f t="shared" si="101"/>
        <v>-8617</v>
      </c>
      <c r="BM36" s="121">
        <f>Data!BM125</f>
        <v>-807</v>
      </c>
      <c r="BN36" s="121">
        <f>Data!BN125-BM36</f>
        <v>-398</v>
      </c>
      <c r="BO36" s="121">
        <f>Data!BO125-BN36-BM36</f>
        <v>-136</v>
      </c>
      <c r="BP36" s="121">
        <f>Data!BP125-BO36-BN36-BM36</f>
        <v>-695</v>
      </c>
      <c r="BQ36" s="67">
        <f t="shared" si="102"/>
        <v>-2036</v>
      </c>
      <c r="BR36" s="121">
        <f>Data!BR125</f>
        <v>-204</v>
      </c>
      <c r="BS36" s="121">
        <f>Data!BS125-BR36</f>
        <v>-453</v>
      </c>
      <c r="BT36" s="121">
        <f>Data!BT125-BS36-BR36</f>
        <v>-271</v>
      </c>
      <c r="BU36" s="121">
        <f>Data!BU125-BT36-BS36-BR36</f>
        <v>-791</v>
      </c>
      <c r="BV36" s="67">
        <f t="shared" si="103"/>
        <v>-1719</v>
      </c>
      <c r="BW36" s="121">
        <f>Data!BW125</f>
        <v>-605</v>
      </c>
      <c r="BX36" s="121">
        <f>Data!BX125-BW36</f>
        <v>-1215</v>
      </c>
      <c r="BY36" s="121">
        <f>Data!BY125-BX36-BW36</f>
        <v>-1027</v>
      </c>
      <c r="BZ36" s="121">
        <f>Data!BZ125-BY36-BX36-BW36</f>
        <v>-754</v>
      </c>
      <c r="CA36" s="67">
        <f t="shared" si="104"/>
        <v>-3601</v>
      </c>
      <c r="CB36" s="121">
        <f>Data!CB125</f>
        <v>-249</v>
      </c>
      <c r="CC36" s="121">
        <f>Data!CC125-CB36</f>
        <v>-1288</v>
      </c>
      <c r="CD36" s="121">
        <f>Data!CD125-CC36-CB36</f>
        <v>-608</v>
      </c>
      <c r="CE36" s="121">
        <f>Data!CE125-CD36-CC36-CB36</f>
        <v>-462</v>
      </c>
      <c r="CF36" s="67">
        <f t="shared" si="105"/>
        <v>-2607</v>
      </c>
      <c r="CG36" s="121">
        <f>Data!CG125</f>
        <v>-457</v>
      </c>
      <c r="CH36" s="121">
        <f>Data!CH125-CG36</f>
        <v>-39</v>
      </c>
      <c r="CI36" s="121">
        <f>Data!CI125-CH36-CG36</f>
        <v>-943</v>
      </c>
      <c r="CJ36" s="121">
        <f>Data!CJ125-CI36-CH36-CG36</f>
        <v>-219</v>
      </c>
      <c r="CK36" s="120">
        <f t="shared" si="74"/>
        <v>-1658</v>
      </c>
      <c r="CL36" s="121">
        <f>Data!CL125</f>
        <v>-244</v>
      </c>
      <c r="CM36" s="121">
        <f>Data!CM125-CL36</f>
        <v>-12313</v>
      </c>
      <c r="CN36" s="121">
        <f>Data!CN125-CM36-CL36</f>
        <v>-13289</v>
      </c>
      <c r="CO36" s="121">
        <f>Data!CO125-CN36-CM36-CL36</f>
        <v>-11770</v>
      </c>
      <c r="CP36" s="120">
        <f t="shared" si="75"/>
        <v>-37616</v>
      </c>
      <c r="CQ36" s="121">
        <f>Data!CQ125</f>
        <v>-9688</v>
      </c>
      <c r="CR36" s="121">
        <f>Data!CR125-CQ36</f>
        <v>-10420</v>
      </c>
      <c r="CS36" s="121">
        <f>Data!CS125-CR36-CQ36</f>
        <v>-7794</v>
      </c>
      <c r="CT36" s="121">
        <f>Data!CT125-CS36-CR36-CQ36</f>
        <v>-7811</v>
      </c>
      <c r="CU36" s="120">
        <f t="shared" si="76"/>
        <v>-35713</v>
      </c>
      <c r="CV36" s="121">
        <f>Data!CV125</f>
        <v>-1732</v>
      </c>
      <c r="CW36" s="121">
        <f>Data!CW125-CV36</f>
        <v>-739</v>
      </c>
      <c r="CX36" s="121">
        <f>Data!CX125-CW36-CV36</f>
        <v>-302</v>
      </c>
      <c r="CY36" s="121">
        <f>Data!CY125-CX36-CW36-CV36</f>
        <v>-2278</v>
      </c>
      <c r="CZ36" s="120">
        <f t="shared" si="77"/>
        <v>-5051</v>
      </c>
      <c r="DA36" s="121">
        <f>Data!DA125</f>
        <v>-3561</v>
      </c>
      <c r="DB36" s="121">
        <f>Data!DB125-DA36</f>
        <v>-5935</v>
      </c>
      <c r="DC36" s="121">
        <f>Data!DC125-DB36-DA36</f>
        <v>-4989</v>
      </c>
      <c r="DD36" s="121">
        <f>Data!DD125-DC36-DB36-DA36</f>
        <v>-1963</v>
      </c>
      <c r="DE36" s="120">
        <f t="shared" si="78"/>
        <v>-16448</v>
      </c>
      <c r="DF36" s="121">
        <f>Data!DF125</f>
        <v>-243</v>
      </c>
      <c r="DG36" s="121">
        <f>Data!DG125-DF36</f>
        <v>-1374</v>
      </c>
      <c r="DH36" s="121">
        <f>Data!DH125-DG36-DF36</f>
        <v>-134</v>
      </c>
      <c r="DI36" s="121">
        <f>Data!DI125-DH36-DG36-DF36</f>
        <v>-12105</v>
      </c>
      <c r="DJ36" s="120">
        <f t="shared" si="79"/>
        <v>-13856</v>
      </c>
      <c r="DK36" s="121">
        <f>Data!DK125</f>
        <v>-8797</v>
      </c>
      <c r="DL36" s="121">
        <f>Data!DL125-DK36</f>
        <v>-12784</v>
      </c>
      <c r="DM36" s="121">
        <f>Data!DM125-DL36-DK36</f>
        <v>-14756</v>
      </c>
      <c r="DN36" s="121">
        <f>Data!DN125-DM36-DL36-DK36</f>
        <v>-15601</v>
      </c>
      <c r="DO36" s="120">
        <f t="shared" si="70"/>
        <v>-51938</v>
      </c>
      <c r="DP36" s="121">
        <f>Data!DP125</f>
        <v>-9265</v>
      </c>
      <c r="DQ36" s="121">
        <f>Data!DQ125-DP36</f>
        <v>-10179</v>
      </c>
      <c r="DR36" s="179">
        <v>0</v>
      </c>
      <c r="DS36" s="179">
        <v>0</v>
      </c>
      <c r="DT36" s="120">
        <f t="shared" si="80"/>
        <v>-19444</v>
      </c>
      <c r="DU36" s="179">
        <v>0</v>
      </c>
      <c r="DV36" s="179">
        <v>0</v>
      </c>
      <c r="DW36" s="179">
        <v>0</v>
      </c>
      <c r="DX36" s="179">
        <v>0</v>
      </c>
      <c r="DY36" s="120">
        <f t="shared" si="81"/>
        <v>0</v>
      </c>
      <c r="DZ36" s="180">
        <v>0</v>
      </c>
      <c r="EA36" s="180">
        <v>0</v>
      </c>
      <c r="EB36" s="180">
        <v>0</v>
      </c>
    </row>
    <row r="37" spans="2:132" s="68" customFormat="1" ht="12" customHeight="1">
      <c r="B37" s="68" t="s">
        <v>95</v>
      </c>
      <c r="C37" s="67">
        <f>Data!C126</f>
        <v>0</v>
      </c>
      <c r="D37" s="67">
        <f>Data!D126</f>
        <v>0</v>
      </c>
      <c r="E37" s="67">
        <f>Data!E126</f>
        <v>0</v>
      </c>
      <c r="F37" s="67">
        <f>Data!F126</f>
        <v>0</v>
      </c>
      <c r="G37" s="67">
        <f>Data!G126</f>
        <v>0</v>
      </c>
      <c r="H37" s="67">
        <f>Data!H126</f>
        <v>140</v>
      </c>
      <c r="I37" s="67">
        <f>Data!I126</f>
        <v>255</v>
      </c>
      <c r="J37" s="68">
        <f>Data!J126</f>
        <v>75</v>
      </c>
      <c r="K37" s="68">
        <f>Data!K126-J37</f>
        <v>44</v>
      </c>
      <c r="L37" s="68">
        <f>Data!L126-K37-J37</f>
        <v>32</v>
      </c>
      <c r="M37" s="68">
        <f>Data!M126-L37-K37-J37</f>
        <v>1249</v>
      </c>
      <c r="N37" s="67">
        <f t="shared" si="0"/>
        <v>1400</v>
      </c>
      <c r="O37" s="68">
        <f>Data!O126</f>
        <v>748</v>
      </c>
      <c r="P37" s="68">
        <f>Data!P126-O37</f>
        <v>629</v>
      </c>
      <c r="Q37" s="68">
        <f>Data!Q126-P37-O37</f>
        <v>717</v>
      </c>
      <c r="R37" s="68">
        <f>Data!R126-Q37-P37-O37</f>
        <v>631</v>
      </c>
      <c r="S37" s="67">
        <f t="shared" si="1"/>
        <v>2725</v>
      </c>
      <c r="T37" s="68">
        <f>Data!T126</f>
        <v>641</v>
      </c>
      <c r="U37" s="68">
        <f>Data!U126-T37</f>
        <v>485</v>
      </c>
      <c r="V37" s="68">
        <f>Data!V126-U37-T37</f>
        <v>649</v>
      </c>
      <c r="W37" s="68">
        <f>Data!W126-V37-U37-T37</f>
        <v>1075</v>
      </c>
      <c r="X37" s="67">
        <f t="shared" si="2"/>
        <v>2850</v>
      </c>
      <c r="Y37" s="68">
        <f>Data!Y126</f>
        <v>848</v>
      </c>
      <c r="Z37" s="68">
        <f>Data!Z126-Y37</f>
        <v>763</v>
      </c>
      <c r="AA37" s="68">
        <f>Data!AA126-Z37-Y37</f>
        <v>952</v>
      </c>
      <c r="AB37" s="68">
        <f>Data!AB126-AA37-Z37-Y37</f>
        <v>1254</v>
      </c>
      <c r="AC37" s="67">
        <f t="shared" si="3"/>
        <v>3817</v>
      </c>
      <c r="AD37" s="68">
        <f>Data!AD126</f>
        <v>3630</v>
      </c>
      <c r="AE37" s="68">
        <f>Data!AE126-AD37</f>
        <v>2608</v>
      </c>
      <c r="AF37" s="68">
        <f>Data!AF126-AE37-AD37</f>
        <v>2161</v>
      </c>
      <c r="AG37" s="68">
        <f>Data!AG126-AF37-AE37-AD37</f>
        <v>2944</v>
      </c>
      <c r="AH37" s="67">
        <f t="shared" si="4"/>
        <v>11343</v>
      </c>
      <c r="AI37" s="68">
        <f>Data!AI126</f>
        <v>49</v>
      </c>
      <c r="AJ37" s="68">
        <f>Data!AJ126-AI37</f>
        <v>237</v>
      </c>
      <c r="AK37" s="68">
        <f>Data!AK126-AJ37-AI37</f>
        <v>320</v>
      </c>
      <c r="AL37" s="68">
        <f>Data!AL126-AK37-AJ37-AI37</f>
        <v>435</v>
      </c>
      <c r="AM37" s="67">
        <f t="shared" si="5"/>
        <v>1041</v>
      </c>
      <c r="AN37" s="241">
        <f>Data!AN126</f>
        <v>910</v>
      </c>
      <c r="AO37" s="68">
        <f>Data!AO126-AN37</f>
        <v>2647</v>
      </c>
      <c r="AP37" s="68">
        <f>Data!AP126-AO37-AN37</f>
        <v>4100</v>
      </c>
      <c r="AQ37" s="68">
        <f>Data!AQ126-AP37-AO37-AN37</f>
        <v>4768</v>
      </c>
      <c r="AR37" s="67">
        <f t="shared" si="6"/>
        <v>12425</v>
      </c>
      <c r="AS37" s="241">
        <f>Data!AS126</f>
        <v>4701</v>
      </c>
      <c r="AT37" s="68">
        <f>Data!AT126-AS37</f>
        <v>1201</v>
      </c>
      <c r="AU37" s="121">
        <f>Data!AU126-AT37-AS37</f>
        <v>2104</v>
      </c>
      <c r="AV37" s="68">
        <f>Data!AV126-AU37-AT37-AS37</f>
        <v>2751</v>
      </c>
      <c r="AW37" s="67">
        <f t="shared" si="7"/>
        <v>10757</v>
      </c>
      <c r="AX37" s="121">
        <f>Data!AX126</f>
        <v>1135</v>
      </c>
      <c r="AY37" s="121">
        <f>Data!AY126-AX37</f>
        <v>2461</v>
      </c>
      <c r="AZ37" s="121">
        <f>Data!AZ126-AY37-AX37</f>
        <v>3345</v>
      </c>
      <c r="BA37" s="121">
        <f>Data!BA126-AZ37-AY37-AX37</f>
        <v>3960</v>
      </c>
      <c r="BB37" s="67">
        <f t="shared" si="8"/>
        <v>10901</v>
      </c>
      <c r="BC37" s="121">
        <f>Data!BC126</f>
        <v>2655</v>
      </c>
      <c r="BD37" s="121">
        <f>Data!BD126-BC37</f>
        <v>1977</v>
      </c>
      <c r="BE37" s="121">
        <f>Data!BE126-BD37-BC37</f>
        <v>2365</v>
      </c>
      <c r="BF37" s="121">
        <f>Data!BF126-BE37-BD37-BC37</f>
        <v>5456</v>
      </c>
      <c r="BG37" s="67">
        <f t="shared" si="100"/>
        <v>12453</v>
      </c>
      <c r="BH37" s="121">
        <f>Data!BH126</f>
        <v>3625</v>
      </c>
      <c r="BI37" s="121">
        <f>Data!BI126-BH37</f>
        <v>4405</v>
      </c>
      <c r="BJ37" s="121">
        <f>Data!BJ126-BI37-BH37</f>
        <v>2578</v>
      </c>
      <c r="BK37" s="121">
        <f>Data!BK126-BJ37-BI37-BH37</f>
        <v>2808</v>
      </c>
      <c r="BL37" s="67">
        <f t="shared" si="101"/>
        <v>13416</v>
      </c>
      <c r="BM37" s="121">
        <f>Data!BM126</f>
        <v>1159</v>
      </c>
      <c r="BN37" s="121">
        <f>Data!BN126-BM37</f>
        <v>881</v>
      </c>
      <c r="BO37" s="121">
        <f>Data!BO126-BN37-BM37</f>
        <v>129</v>
      </c>
      <c r="BP37" s="121">
        <f>Data!BP126-BO37-BN37-BM37</f>
        <v>421</v>
      </c>
      <c r="BQ37" s="67">
        <f t="shared" si="102"/>
        <v>2590</v>
      </c>
      <c r="BR37" s="121">
        <f>Data!BR126</f>
        <v>493</v>
      </c>
      <c r="BS37" s="121">
        <f>Data!BS126-BR37</f>
        <v>212</v>
      </c>
      <c r="BT37" s="121">
        <f>Data!BT126-BS37-BR37</f>
        <v>251</v>
      </c>
      <c r="BU37" s="121">
        <f>Data!BU126-BT37-BS37-BR37</f>
        <v>253</v>
      </c>
      <c r="BV37" s="67">
        <f t="shared" si="103"/>
        <v>1209</v>
      </c>
      <c r="BW37" s="121">
        <f>Data!BW126</f>
        <v>803</v>
      </c>
      <c r="BX37" s="121">
        <f>Data!BX126-BW37</f>
        <v>638</v>
      </c>
      <c r="BY37" s="121">
        <f>Data!BY126-BX37-BW37</f>
        <v>1171</v>
      </c>
      <c r="BZ37" s="121">
        <f>Data!BZ126-BY37-BX37-BW37</f>
        <v>1027</v>
      </c>
      <c r="CA37" s="67">
        <f t="shared" si="104"/>
        <v>3639</v>
      </c>
      <c r="CB37" s="121">
        <f>Data!CB126</f>
        <v>752</v>
      </c>
      <c r="CC37" s="121">
        <f>Data!CC126-CB37</f>
        <v>276</v>
      </c>
      <c r="CD37" s="121">
        <f>Data!CD126-CC37-CB37</f>
        <v>341</v>
      </c>
      <c r="CE37" s="121">
        <f>Data!CE126-CD37-CC37-CB37</f>
        <v>1529</v>
      </c>
      <c r="CF37" s="67">
        <f t="shared" si="105"/>
        <v>2898</v>
      </c>
      <c r="CG37" s="121">
        <f>Data!CG126</f>
        <v>366</v>
      </c>
      <c r="CH37" s="121">
        <f>Data!CH126-CG37</f>
        <v>392</v>
      </c>
      <c r="CI37" s="121">
        <f>Data!CI126-CH37-CG37</f>
        <v>209</v>
      </c>
      <c r="CJ37" s="121">
        <f>Data!CJ126-CI37-CH37-CG37</f>
        <v>792</v>
      </c>
      <c r="CK37" s="120">
        <f t="shared" si="74"/>
        <v>1759</v>
      </c>
      <c r="CL37" s="121">
        <f>Data!CL126</f>
        <v>227</v>
      </c>
      <c r="CM37" s="121">
        <f>Data!CM126-CL37</f>
        <v>316</v>
      </c>
      <c r="CN37" s="121">
        <f>Data!CN126-CM37-CL37</f>
        <v>9229</v>
      </c>
      <c r="CO37" s="121">
        <f>Data!CO126-CN37-CM37-CL37</f>
        <v>10503</v>
      </c>
      <c r="CP37" s="120">
        <f t="shared" si="75"/>
        <v>20275</v>
      </c>
      <c r="CQ37" s="121">
        <f>Data!CQ126</f>
        <v>12738</v>
      </c>
      <c r="CR37" s="121">
        <f>Data!CR126-CQ37</f>
        <v>12251</v>
      </c>
      <c r="CS37" s="121">
        <f>Data!CS126-CR37-CQ37</f>
        <v>10675</v>
      </c>
      <c r="CT37" s="121">
        <f>Data!CT126-CS37-CR37-CQ37</f>
        <v>9825</v>
      </c>
      <c r="CU37" s="120">
        <f t="shared" si="76"/>
        <v>45489</v>
      </c>
      <c r="CV37" s="121">
        <f>Data!CV126</f>
        <v>5037</v>
      </c>
      <c r="CW37" s="121">
        <f>Data!CW126-CV37</f>
        <v>4259</v>
      </c>
      <c r="CX37" s="121">
        <f>Data!CX126-CW37-CV37</f>
        <v>886</v>
      </c>
      <c r="CY37" s="121">
        <f>Data!CY126-CX37-CW37-CV37</f>
        <v>437</v>
      </c>
      <c r="CZ37" s="120">
        <f t="shared" si="77"/>
        <v>10619</v>
      </c>
      <c r="DA37" s="121">
        <f>Data!DA126</f>
        <v>2203</v>
      </c>
      <c r="DB37" s="121">
        <f>Data!DB126-DA37</f>
        <v>3364</v>
      </c>
      <c r="DC37" s="121">
        <f>Data!DC126-DB37-DA37</f>
        <v>4930</v>
      </c>
      <c r="DD37" s="121">
        <f>Data!DD126-DC37-DB37-DA37</f>
        <v>5242</v>
      </c>
      <c r="DE37" s="120">
        <f t="shared" si="78"/>
        <v>15739</v>
      </c>
      <c r="DF37" s="121">
        <f>Data!DF126</f>
        <v>2907</v>
      </c>
      <c r="DG37" s="121">
        <f>Data!DG126-DF37</f>
        <v>266</v>
      </c>
      <c r="DH37" s="121">
        <f>Data!DH126-DG37-DF37</f>
        <v>1373</v>
      </c>
      <c r="DI37" s="121">
        <f>Data!DI126-DH37-DG37-DF37</f>
        <v>197</v>
      </c>
      <c r="DJ37" s="120">
        <f t="shared" si="79"/>
        <v>4743</v>
      </c>
      <c r="DK37" s="121">
        <f>Data!DK126</f>
        <v>7750</v>
      </c>
      <c r="DL37" s="121">
        <f>Data!DL126-DK37</f>
        <v>11097</v>
      </c>
      <c r="DM37" s="121">
        <f>Data!DM126-DL37-DK37</f>
        <v>13827</v>
      </c>
      <c r="DN37" s="121">
        <f>Data!DN126-DM37-DL37-DK37</f>
        <v>13954</v>
      </c>
      <c r="DO37" s="120">
        <f t="shared" si="70"/>
        <v>46628</v>
      </c>
      <c r="DP37" s="121">
        <f>Data!DP126</f>
        <v>16256</v>
      </c>
      <c r="DQ37" s="121">
        <f>Data!DQ126-DP37</f>
        <v>8834</v>
      </c>
      <c r="DR37" s="179">
        <v>0</v>
      </c>
      <c r="DS37" s="179">
        <v>0</v>
      </c>
      <c r="DT37" s="120">
        <f t="shared" si="80"/>
        <v>25090</v>
      </c>
      <c r="DU37" s="179">
        <v>6900</v>
      </c>
      <c r="DV37" s="179">
        <v>0</v>
      </c>
      <c r="DW37" s="179">
        <v>0</v>
      </c>
      <c r="DX37" s="179">
        <v>0</v>
      </c>
      <c r="DY37" s="120">
        <f t="shared" si="81"/>
        <v>6900</v>
      </c>
      <c r="DZ37" s="180">
        <v>0</v>
      </c>
      <c r="EA37" s="180">
        <v>0</v>
      </c>
      <c r="EB37" s="180">
        <v>0</v>
      </c>
    </row>
    <row r="38" spans="2:132" s="68" customFormat="1" ht="12" customHeight="1">
      <c r="B38" s="68" t="s">
        <v>93</v>
      </c>
      <c r="C38" s="67">
        <f>Data!C127</f>
        <v>-859</v>
      </c>
      <c r="D38" s="67">
        <f>Data!D127</f>
        <v>-1242</v>
      </c>
      <c r="E38" s="67">
        <f>Data!E127</f>
        <v>-197</v>
      </c>
      <c r="F38" s="67">
        <f>Data!F127</f>
        <v>-969</v>
      </c>
      <c r="G38" s="67">
        <f>Data!G127</f>
        <v>-3624</v>
      </c>
      <c r="H38" s="67">
        <f>Data!H127</f>
        <v>-2033</v>
      </c>
      <c r="I38" s="67">
        <f>Data!I127</f>
        <v>-761</v>
      </c>
      <c r="J38" s="68">
        <f>Data!J127</f>
        <v>-69</v>
      </c>
      <c r="K38" s="68">
        <f>Data!K127-J38</f>
        <v>1601</v>
      </c>
      <c r="L38" s="68">
        <f>Data!L127-K38-J38</f>
        <v>588</v>
      </c>
      <c r="M38" s="68">
        <f>Data!M127-L38-K38-J38</f>
        <v>265</v>
      </c>
      <c r="N38" s="67">
        <f t="shared" si="0"/>
        <v>2385</v>
      </c>
      <c r="O38" s="68">
        <f>Data!O127</f>
        <v>77</v>
      </c>
      <c r="P38" s="68">
        <f>Data!P127-O38</f>
        <v>951</v>
      </c>
      <c r="Q38" s="68">
        <f>Data!Q127-P38-O38</f>
        <v>667</v>
      </c>
      <c r="R38" s="68">
        <f>Data!R127-Q38-P38-O38</f>
        <v>16</v>
      </c>
      <c r="S38" s="67">
        <f t="shared" si="1"/>
        <v>1711</v>
      </c>
      <c r="T38" s="68">
        <f>Data!T127</f>
        <v>117</v>
      </c>
      <c r="U38" s="68">
        <f>Data!U127-T38</f>
        <v>-9</v>
      </c>
      <c r="V38" s="68">
        <f>Data!V127-U38-T38</f>
        <v>1</v>
      </c>
      <c r="W38" s="68">
        <f>Data!W127-V38-U38-T38</f>
        <v>-20</v>
      </c>
      <c r="X38" s="67">
        <f t="shared" si="2"/>
        <v>89</v>
      </c>
      <c r="Y38" s="68">
        <f>Data!Y127</f>
        <v>-56</v>
      </c>
      <c r="Z38" s="68">
        <f>Data!Z127-Y38</f>
        <v>-6</v>
      </c>
      <c r="AA38" s="68">
        <f>Data!AA127-Z38-Y38</f>
        <v>-90</v>
      </c>
      <c r="AB38" s="68">
        <f>Data!AB127-AA38-Z38-Y38</f>
        <v>-30</v>
      </c>
      <c r="AC38" s="67">
        <f t="shared" si="3"/>
        <v>-182</v>
      </c>
      <c r="AD38" s="68">
        <f>Data!AD127</f>
        <v>-95</v>
      </c>
      <c r="AE38" s="68">
        <f>Data!AE127-AD38</f>
        <v>-53</v>
      </c>
      <c r="AF38" s="68">
        <f>Data!AF127-AE38-AD38</f>
        <v>-3</v>
      </c>
      <c r="AG38" s="68">
        <f>Data!AG127-AF38-AE38-AD38</f>
        <v>-27</v>
      </c>
      <c r="AH38" s="67">
        <f t="shared" si="4"/>
        <v>-178</v>
      </c>
      <c r="AI38" s="68">
        <f>Data!AI127</f>
        <v>0</v>
      </c>
      <c r="AJ38" s="68">
        <f>Data!AJ127-AI38</f>
        <v>0</v>
      </c>
      <c r="AK38" s="68">
        <f>Data!AK127-AJ38-AI38</f>
        <v>-448</v>
      </c>
      <c r="AL38" s="68">
        <f>Data!AL127-AK38-AJ38-AI38</f>
        <v>40</v>
      </c>
      <c r="AM38" s="67">
        <f t="shared" si="5"/>
        <v>-408</v>
      </c>
      <c r="AN38" s="241">
        <f>Data!AN127</f>
        <v>0</v>
      </c>
      <c r="AO38" s="68">
        <f>Data!AO127-AN38</f>
        <v>97</v>
      </c>
      <c r="AP38" s="68">
        <f>Data!AP127-AO38-AN38</f>
        <v>56</v>
      </c>
      <c r="AQ38" s="68">
        <f>Data!AQ127-AP38-AO38-AN38</f>
        <v>133</v>
      </c>
      <c r="AR38" s="67">
        <f t="shared" si="6"/>
        <v>286</v>
      </c>
      <c r="AS38" s="241">
        <f>Data!AS127</f>
        <v>69</v>
      </c>
      <c r="AT38" s="68">
        <f>Data!AT127-AS38</f>
        <v>0</v>
      </c>
      <c r="AU38" s="121">
        <f>Data!AU127-AT38-AS38</f>
        <v>0</v>
      </c>
      <c r="AV38" s="68">
        <f>Data!AV127-AU38-AT38-AS38</f>
        <v>0</v>
      </c>
      <c r="AW38" s="67">
        <f t="shared" si="7"/>
        <v>69</v>
      </c>
      <c r="AX38" s="121">
        <f>Data!AX127</f>
        <v>0</v>
      </c>
      <c r="AY38" s="121">
        <f>Data!AY127-AX38</f>
        <v>-6</v>
      </c>
      <c r="AZ38" s="121">
        <f>Data!AZ127-AY38-AX38</f>
        <v>0</v>
      </c>
      <c r="BA38" s="121">
        <f>Data!BA127-AZ38-AY38-AX38</f>
        <v>-1</v>
      </c>
      <c r="BB38" s="67">
        <f t="shared" si="8"/>
        <v>-7</v>
      </c>
      <c r="BC38" s="121">
        <f>Data!BC127</f>
        <v>0</v>
      </c>
      <c r="BD38" s="121">
        <f>Data!BD127-BC38</f>
        <v>0</v>
      </c>
      <c r="BE38" s="121">
        <f>Data!BE127-BD38-BC38</f>
        <v>0</v>
      </c>
      <c r="BF38" s="121">
        <f>Data!BF127-BE38-BD38-BC38</f>
        <v>-140</v>
      </c>
      <c r="BG38" s="67">
        <f t="shared" si="100"/>
        <v>-140</v>
      </c>
      <c r="BH38" s="121">
        <f>Data!BH127</f>
        <v>0</v>
      </c>
      <c r="BI38" s="121">
        <f>Data!BI127-BH38</f>
        <v>0</v>
      </c>
      <c r="BJ38" s="121">
        <f>Data!BJ127-BI38-BH38</f>
        <v>4</v>
      </c>
      <c r="BK38" s="121">
        <f>Data!BK127-BJ38-BI38-BH38</f>
        <v>29</v>
      </c>
      <c r="BL38" s="67">
        <f t="shared" si="101"/>
        <v>33</v>
      </c>
      <c r="BM38" s="121">
        <f>Data!BM127</f>
        <v>8</v>
      </c>
      <c r="BN38" s="121">
        <f>Data!BN127-BM38</f>
        <v>14</v>
      </c>
      <c r="BO38" s="121">
        <f>Data!BO127-BN38-BM38</f>
        <v>11</v>
      </c>
      <c r="BP38" s="121">
        <f>Data!BP127-BO38-BN38-BM38</f>
        <v>6</v>
      </c>
      <c r="BQ38" s="67">
        <f t="shared" si="102"/>
        <v>39</v>
      </c>
      <c r="BR38" s="121">
        <f>Data!BR127</f>
        <v>10</v>
      </c>
      <c r="BS38" s="121">
        <f>Data!BS127-BR38</f>
        <v>-2</v>
      </c>
      <c r="BT38" s="121">
        <f>Data!BT127-BS38-BR38</f>
        <v>0</v>
      </c>
      <c r="BU38" s="121">
        <f>Data!BU127-BT38-BS38-BR38</f>
        <v>-6</v>
      </c>
      <c r="BV38" s="67">
        <f t="shared" si="103"/>
        <v>2</v>
      </c>
      <c r="BW38" s="121">
        <f>Data!BW127</f>
        <v>-3</v>
      </c>
      <c r="BX38" s="121">
        <f>Data!BX127-BW38</f>
        <v>-124</v>
      </c>
      <c r="BY38" s="121">
        <f>Data!BY127-BX38-BW38</f>
        <v>0</v>
      </c>
      <c r="BZ38" s="121">
        <f>Data!BZ127-BY38-BX38-BW38</f>
        <v>-2</v>
      </c>
      <c r="CA38" s="67">
        <f t="shared" si="104"/>
        <v>-129</v>
      </c>
      <c r="CB38" s="121">
        <f>Data!CB127</f>
        <v>-17</v>
      </c>
      <c r="CC38" s="121">
        <f>Data!CC127-CB38</f>
        <v>-40</v>
      </c>
      <c r="CD38" s="121">
        <f>Data!CD127-CC38-CB38</f>
        <v>-4</v>
      </c>
      <c r="CE38" s="121">
        <f>Data!CE127-CD38-CC38-CB38</f>
        <v>-19</v>
      </c>
      <c r="CF38" s="67">
        <f t="shared" si="105"/>
        <v>-80</v>
      </c>
      <c r="CG38" s="121">
        <f>Data!CG127</f>
        <v>-9</v>
      </c>
      <c r="CH38" s="121">
        <f>Data!CH127-CG38</f>
        <v>-23</v>
      </c>
      <c r="CI38" s="121">
        <f>Data!CI127-CH38-CG38</f>
        <v>2</v>
      </c>
      <c r="CJ38" s="121">
        <f>Data!CJ127-CI38-CH38-CG38</f>
        <v>-110</v>
      </c>
      <c r="CK38" s="120">
        <f t="shared" si="74"/>
        <v>-140</v>
      </c>
      <c r="CL38" s="121">
        <f>Data!CL127</f>
        <v>8</v>
      </c>
      <c r="CM38" s="121">
        <f>Data!CM127-CL38</f>
        <v>0</v>
      </c>
      <c r="CN38" s="121">
        <f>Data!CN127-CM38-CL38</f>
        <v>6</v>
      </c>
      <c r="CO38" s="121">
        <f>Data!CO127-CN38-CM38-CL38</f>
        <v>-32</v>
      </c>
      <c r="CP38" s="120">
        <f t="shared" si="75"/>
        <v>-18</v>
      </c>
      <c r="CQ38" s="121">
        <f>Data!CQ127</f>
        <v>3</v>
      </c>
      <c r="CR38" s="121">
        <f>Data!CR127-CQ38</f>
        <v>1</v>
      </c>
      <c r="CS38" s="121">
        <f>Data!CS127-CR38-CQ38</f>
        <v>2</v>
      </c>
      <c r="CT38" s="121">
        <f>Data!CT127-CS38-CR38-CQ38</f>
        <v>-1</v>
      </c>
      <c r="CU38" s="120">
        <f t="shared" si="76"/>
        <v>5</v>
      </c>
      <c r="CV38" s="121">
        <f>Data!CV127</f>
        <v>1</v>
      </c>
      <c r="CW38" s="121">
        <f>Data!CW127-CV38</f>
        <v>1</v>
      </c>
      <c r="CX38" s="121">
        <f>Data!CX127-CW38-CV38</f>
        <v>-13</v>
      </c>
      <c r="CY38" s="121">
        <f>Data!CY127-CX38-CW38-CV38</f>
        <v>0</v>
      </c>
      <c r="CZ38" s="120">
        <f t="shared" si="77"/>
        <v>-11</v>
      </c>
      <c r="DA38" s="121">
        <f>Data!DA127</f>
        <v>-2</v>
      </c>
      <c r="DB38" s="121">
        <f>Data!DB127-DA38</f>
        <v>-156</v>
      </c>
      <c r="DC38" s="121">
        <f>Data!DC127-DB38-DA38</f>
        <v>1</v>
      </c>
      <c r="DD38" s="121">
        <f>Data!DD127-DC38-DB38-DA38</f>
        <v>-1</v>
      </c>
      <c r="DE38" s="120">
        <f t="shared" si="78"/>
        <v>-158</v>
      </c>
      <c r="DF38" s="121">
        <f>Data!DF127</f>
        <v>-34</v>
      </c>
      <c r="DG38" s="121">
        <f>Data!DG127-DF38</f>
        <v>-607</v>
      </c>
      <c r="DH38" s="121">
        <f>Data!DH127-DG38-DF38</f>
        <v>85</v>
      </c>
      <c r="DI38" s="121">
        <f>Data!DI127-DH38-DG38-DF38</f>
        <v>-73</v>
      </c>
      <c r="DJ38" s="120">
        <f t="shared" si="79"/>
        <v>-629</v>
      </c>
      <c r="DK38" s="121">
        <f>Data!DK127</f>
        <v>1</v>
      </c>
      <c r="DL38" s="121">
        <f>Data!DL127-DK38</f>
        <v>-116</v>
      </c>
      <c r="DM38" s="121">
        <f>Data!DM127-DL38-DK38</f>
        <v>-177</v>
      </c>
      <c r="DN38" s="121">
        <f>Data!DN127-DM38-DL38-DK38</f>
        <v>10209</v>
      </c>
      <c r="DO38" s="120">
        <f t="shared" si="70"/>
        <v>9917</v>
      </c>
      <c r="DP38" s="121">
        <f>Data!DP127</f>
        <v>-7</v>
      </c>
      <c r="DQ38" s="121">
        <f>Data!DQ127-DP38</f>
        <v>-5</v>
      </c>
      <c r="DR38" s="179">
        <v>0</v>
      </c>
      <c r="DS38" s="179">
        <v>0</v>
      </c>
      <c r="DT38" s="120">
        <f t="shared" si="80"/>
        <v>-12</v>
      </c>
      <c r="DU38" s="179">
        <v>0</v>
      </c>
      <c r="DV38" s="179">
        <v>0</v>
      </c>
      <c r="DW38" s="179">
        <v>0</v>
      </c>
      <c r="DX38" s="179">
        <v>0</v>
      </c>
      <c r="DY38" s="120">
        <f t="shared" si="81"/>
        <v>0</v>
      </c>
      <c r="DZ38" s="180">
        <v>0</v>
      </c>
      <c r="EA38" s="180">
        <v>0</v>
      </c>
      <c r="EB38" s="180">
        <v>0</v>
      </c>
    </row>
    <row r="39" spans="2:132" s="68" customFormat="1" ht="12" customHeight="1">
      <c r="B39" s="25" t="s">
        <v>343</v>
      </c>
      <c r="C39" s="26">
        <f>SUM(C33:C38)</f>
        <v>-2250</v>
      </c>
      <c r="D39" s="26">
        <f t="shared" ref="D39:AW39" si="106">SUM(D33:D38)</f>
        <v>-2826</v>
      </c>
      <c r="E39" s="26">
        <f t="shared" si="106"/>
        <v>-1433</v>
      </c>
      <c r="F39" s="26">
        <f t="shared" si="106"/>
        <v>-7628</v>
      </c>
      <c r="G39" s="26">
        <f t="shared" si="106"/>
        <v>-4714</v>
      </c>
      <c r="H39" s="26">
        <f t="shared" si="106"/>
        <v>-3421</v>
      </c>
      <c r="I39" s="26">
        <f t="shared" si="106"/>
        <v>-1060</v>
      </c>
      <c r="J39" s="25">
        <f t="shared" si="106"/>
        <v>-190</v>
      </c>
      <c r="K39" s="25">
        <f t="shared" si="106"/>
        <v>1473</v>
      </c>
      <c r="L39" s="25">
        <f t="shared" si="106"/>
        <v>-1023</v>
      </c>
      <c r="M39" s="25">
        <f t="shared" si="106"/>
        <v>-1629</v>
      </c>
      <c r="N39" s="26">
        <f t="shared" si="106"/>
        <v>-1369</v>
      </c>
      <c r="O39" s="25">
        <f t="shared" si="106"/>
        <v>-275</v>
      </c>
      <c r="P39" s="25">
        <f t="shared" si="106"/>
        <v>482</v>
      </c>
      <c r="Q39" s="25">
        <f t="shared" si="106"/>
        <v>199</v>
      </c>
      <c r="R39" s="25">
        <f t="shared" si="106"/>
        <v>-504</v>
      </c>
      <c r="S39" s="26">
        <f t="shared" si="106"/>
        <v>-98</v>
      </c>
      <c r="T39" s="25">
        <f t="shared" si="106"/>
        <v>-196</v>
      </c>
      <c r="U39" s="25">
        <f t="shared" si="106"/>
        <v>-450</v>
      </c>
      <c r="V39" s="25">
        <f t="shared" si="106"/>
        <v>-1922</v>
      </c>
      <c r="W39" s="25">
        <f t="shared" si="106"/>
        <v>-618</v>
      </c>
      <c r="X39" s="26">
        <f t="shared" si="106"/>
        <v>-3186</v>
      </c>
      <c r="Y39" s="25">
        <f t="shared" si="106"/>
        <v>-681</v>
      </c>
      <c r="Z39" s="25">
        <f t="shared" si="106"/>
        <v>-531</v>
      </c>
      <c r="AA39" s="25">
        <f t="shared" si="106"/>
        <v>-385</v>
      </c>
      <c r="AB39" s="25">
        <f t="shared" si="106"/>
        <v>-2225</v>
      </c>
      <c r="AC39" s="26">
        <f t="shared" si="106"/>
        <v>-3822</v>
      </c>
      <c r="AD39" s="25">
        <f t="shared" si="106"/>
        <v>137</v>
      </c>
      <c r="AE39" s="25">
        <f t="shared" si="106"/>
        <v>-538</v>
      </c>
      <c r="AF39" s="25">
        <f t="shared" si="106"/>
        <v>574</v>
      </c>
      <c r="AG39" s="25">
        <f t="shared" si="106"/>
        <v>1715</v>
      </c>
      <c r="AH39" s="26">
        <f t="shared" si="106"/>
        <v>1888</v>
      </c>
      <c r="AI39" s="25">
        <f t="shared" si="106"/>
        <v>-598</v>
      </c>
      <c r="AJ39" s="25">
        <f t="shared" si="106"/>
        <v>-248</v>
      </c>
      <c r="AK39" s="25">
        <f t="shared" si="106"/>
        <v>-1303</v>
      </c>
      <c r="AL39" s="25">
        <f t="shared" si="106"/>
        <v>-1645</v>
      </c>
      <c r="AM39" s="26">
        <f t="shared" si="106"/>
        <v>-3794</v>
      </c>
      <c r="AN39" s="25">
        <f t="shared" si="106"/>
        <v>-4041</v>
      </c>
      <c r="AO39" s="25">
        <f>SUM(AO33:AO38)</f>
        <v>149</v>
      </c>
      <c r="AP39" s="25">
        <f>SUM(AP33:AP38)</f>
        <v>-2588</v>
      </c>
      <c r="AQ39" s="25">
        <f>SUM(AQ33:AQ38)</f>
        <v>1649</v>
      </c>
      <c r="AR39" s="26">
        <f t="shared" si="106"/>
        <v>-4831</v>
      </c>
      <c r="AS39" s="25">
        <f>SUM(AS33:AS38)</f>
        <v>2707</v>
      </c>
      <c r="AT39" s="25">
        <f>SUM(AT33:AT38)</f>
        <v>-1949</v>
      </c>
      <c r="AU39" s="25">
        <f>SUM(AU33:AU38)</f>
        <v>98</v>
      </c>
      <c r="AV39" s="25">
        <f>SUM(AV33:AV38)</f>
        <v>1513</v>
      </c>
      <c r="AW39" s="26">
        <f t="shared" si="106"/>
        <v>2369</v>
      </c>
      <c r="AX39" s="25">
        <f t="shared" ref="AX39:BQ39" si="107">SUM(AX33:AX38)</f>
        <v>-3003</v>
      </c>
      <c r="AY39" s="25">
        <f t="shared" si="107"/>
        <v>-585</v>
      </c>
      <c r="AZ39" s="25">
        <f t="shared" si="107"/>
        <v>-1005</v>
      </c>
      <c r="BA39" s="25">
        <f t="shared" si="107"/>
        <v>836</v>
      </c>
      <c r="BB39" s="26">
        <f t="shared" si="107"/>
        <v>-3757</v>
      </c>
      <c r="BC39" s="25">
        <f>SUM(BC33:BC38)</f>
        <v>-814</v>
      </c>
      <c r="BD39" s="25">
        <f t="shared" ref="BD39:BF39" si="108">SUM(BD33:BD38)</f>
        <v>-2557</v>
      </c>
      <c r="BE39" s="25">
        <f t="shared" si="108"/>
        <v>-711</v>
      </c>
      <c r="BF39" s="25">
        <f t="shared" si="108"/>
        <v>-1072</v>
      </c>
      <c r="BG39" s="26">
        <f t="shared" si="107"/>
        <v>-5154</v>
      </c>
      <c r="BH39" s="25">
        <f>SUM(BH33:BH38)</f>
        <v>406</v>
      </c>
      <c r="BI39" s="25">
        <f t="shared" ref="BI39:BK39" si="109">SUM(BI33:BI38)</f>
        <v>875</v>
      </c>
      <c r="BJ39" s="25">
        <f t="shared" si="109"/>
        <v>-247</v>
      </c>
      <c r="BK39" s="25">
        <f t="shared" si="109"/>
        <v>1433</v>
      </c>
      <c r="BL39" s="26">
        <f t="shared" ref="BL39" si="110">SUM(BL33:BL38)</f>
        <v>2467</v>
      </c>
      <c r="BM39" s="25">
        <f>SUM(BM33:BM38)</f>
        <v>-214</v>
      </c>
      <c r="BN39" s="25">
        <f t="shared" ref="BN39:BP39" si="111">SUM(BN33:BN38)</f>
        <v>-198</v>
      </c>
      <c r="BO39" s="25">
        <f t="shared" si="111"/>
        <v>-553</v>
      </c>
      <c r="BP39" s="25">
        <f t="shared" si="111"/>
        <v>-881</v>
      </c>
      <c r="BQ39" s="26">
        <f t="shared" si="107"/>
        <v>-1846</v>
      </c>
      <c r="BR39" s="25">
        <f>SUM(BR33:BR38)</f>
        <v>-438</v>
      </c>
      <c r="BS39" s="25">
        <f t="shared" ref="BS39:BU39" si="112">SUM(BS33:BS38)</f>
        <v>-912</v>
      </c>
      <c r="BT39" s="25">
        <f t="shared" si="112"/>
        <v>-614</v>
      </c>
      <c r="BU39" s="25">
        <f t="shared" si="112"/>
        <v>-1416</v>
      </c>
      <c r="BV39" s="26">
        <f t="shared" ref="BV39" si="113">SUM(BV33:BV38)</f>
        <v>-3380</v>
      </c>
      <c r="BW39" s="25">
        <f>SUM(BW33:BW38)</f>
        <v>-262</v>
      </c>
      <c r="BX39" s="25">
        <f t="shared" ref="BX39:BZ39" si="114">SUM(BX33:BX38)</f>
        <v>-1124</v>
      </c>
      <c r="BY39" s="25">
        <f t="shared" si="114"/>
        <v>-250</v>
      </c>
      <c r="BZ39" s="25">
        <f t="shared" si="114"/>
        <v>-426</v>
      </c>
      <c r="CA39" s="26">
        <f t="shared" ref="CA39" si="115">SUM(CA33:CA38)</f>
        <v>-2062</v>
      </c>
      <c r="CB39" s="25">
        <f>SUM(CB33:CB38)</f>
        <v>119</v>
      </c>
      <c r="CC39" s="25">
        <f t="shared" ref="CC39:CE39" si="116">SUM(CC33:CC38)</f>
        <v>-1414</v>
      </c>
      <c r="CD39" s="25">
        <f t="shared" si="116"/>
        <v>-902</v>
      </c>
      <c r="CE39" s="25">
        <f t="shared" si="116"/>
        <v>-2424</v>
      </c>
      <c r="CF39" s="26">
        <f t="shared" ref="CF39" si="117">SUM(CF33:CF38)</f>
        <v>-4621</v>
      </c>
      <c r="CG39" s="25">
        <f>SUM(CG33:CG38)</f>
        <v>-767</v>
      </c>
      <c r="CH39" s="25">
        <f t="shared" ref="CH39:CJ39" si="118">SUM(CH33:CH38)</f>
        <v>-86</v>
      </c>
      <c r="CI39" s="25">
        <f t="shared" si="118"/>
        <v>-1194</v>
      </c>
      <c r="CJ39" s="25">
        <f t="shared" si="118"/>
        <v>517</v>
      </c>
      <c r="CK39" s="26">
        <f t="shared" ref="CK39" si="119">SUM(CK33:CK38)</f>
        <v>-1530</v>
      </c>
      <c r="CL39" s="25">
        <f>SUM(CL33:CL38)</f>
        <v>-379</v>
      </c>
      <c r="CM39" s="25">
        <f t="shared" ref="CM39:CO39" si="120">SUM(CM33:CM38)</f>
        <v>-12307</v>
      </c>
      <c r="CN39" s="25">
        <f t="shared" si="120"/>
        <v>-4137</v>
      </c>
      <c r="CO39" s="25">
        <f t="shared" si="120"/>
        <v>-1543</v>
      </c>
      <c r="CP39" s="26">
        <f t="shared" ref="CP39" si="121">SUM(CP33:CP38)</f>
        <v>-18366</v>
      </c>
      <c r="CQ39" s="25">
        <f>SUM(CQ33:CQ38)</f>
        <v>2764</v>
      </c>
      <c r="CR39" s="25">
        <f t="shared" ref="CR39:CT39" si="122">SUM(CR33:CR38)</f>
        <v>1659</v>
      </c>
      <c r="CS39" s="25">
        <f t="shared" si="122"/>
        <v>2966</v>
      </c>
      <c r="CT39" s="25">
        <f t="shared" si="122"/>
        <v>1935</v>
      </c>
      <c r="CU39" s="26">
        <f t="shared" ref="CU39" si="123">SUM(CU33:CU38)</f>
        <v>9324</v>
      </c>
      <c r="CV39" s="25">
        <f>SUM(CV33:CV38)</f>
        <v>2965</v>
      </c>
      <c r="CW39" s="25">
        <f t="shared" ref="CW39:CY39" si="124">SUM(CW33:CW38)</f>
        <v>3266</v>
      </c>
      <c r="CX39" s="25">
        <f t="shared" si="124"/>
        <v>290</v>
      </c>
      <c r="CY39" s="25">
        <f t="shared" si="124"/>
        <v>-2151</v>
      </c>
      <c r="CZ39" s="26">
        <f t="shared" ref="CZ39" si="125">SUM(CZ33:CZ38)</f>
        <v>4370</v>
      </c>
      <c r="DA39" s="25">
        <f t="shared" ref="DA39:DE39" si="126">SUM(DA33:DA38)</f>
        <v>-1823</v>
      </c>
      <c r="DB39" s="25">
        <f t="shared" si="126"/>
        <v>-3015</v>
      </c>
      <c r="DC39" s="25">
        <f t="shared" si="126"/>
        <v>-403</v>
      </c>
      <c r="DD39" s="25">
        <f t="shared" si="126"/>
        <v>2804</v>
      </c>
      <c r="DE39" s="26">
        <f t="shared" si="126"/>
        <v>-2437</v>
      </c>
      <c r="DF39" s="25">
        <f t="shared" ref="DF39:DI39" si="127">SUM(DF33:DF38)</f>
        <v>2074</v>
      </c>
      <c r="DG39" s="25">
        <f t="shared" si="127"/>
        <v>-2100</v>
      </c>
      <c r="DH39" s="25">
        <f t="shared" si="127"/>
        <v>679</v>
      </c>
      <c r="DI39" s="25">
        <f t="shared" si="127"/>
        <v>-12626</v>
      </c>
      <c r="DJ39" s="26">
        <f t="shared" ref="DJ39:DN39" si="128">SUM(DJ33:DJ38)</f>
        <v>-11973</v>
      </c>
      <c r="DK39" s="25">
        <f t="shared" si="128"/>
        <v>-1717</v>
      </c>
      <c r="DL39" s="25">
        <f t="shared" si="128"/>
        <v>-2229</v>
      </c>
      <c r="DM39" s="25">
        <f t="shared" si="128"/>
        <v>-1955</v>
      </c>
      <c r="DN39" s="25">
        <f t="shared" si="128"/>
        <v>6400</v>
      </c>
      <c r="DO39" s="26">
        <f t="shared" ref="DO39:DQ39" si="129">SUM(DO33:DO38)</f>
        <v>499</v>
      </c>
      <c r="DP39" s="25">
        <f t="shared" si="129"/>
        <v>5711</v>
      </c>
      <c r="DQ39" s="25">
        <f t="shared" si="129"/>
        <v>-2082</v>
      </c>
      <c r="DR39" s="25">
        <f t="shared" ref="DR39:DU39" si="130">SUM(DR33:DR38)</f>
        <v>-945</v>
      </c>
      <c r="DS39" s="25">
        <f t="shared" si="130"/>
        <v>-995</v>
      </c>
      <c r="DT39" s="26">
        <f t="shared" si="130"/>
        <v>1689</v>
      </c>
      <c r="DU39" s="25">
        <f t="shared" si="130"/>
        <v>6005</v>
      </c>
      <c r="DV39" s="25">
        <f t="shared" ref="DV39:DY39" si="131">SUM(DV33:DV38)</f>
        <v>-795</v>
      </c>
      <c r="DW39" s="25">
        <f t="shared" si="131"/>
        <v>-745</v>
      </c>
      <c r="DX39" s="25">
        <f t="shared" si="131"/>
        <v>-745</v>
      </c>
      <c r="DY39" s="26">
        <f t="shared" si="131"/>
        <v>3720</v>
      </c>
      <c r="DZ39" s="26">
        <f t="shared" ref="DZ39:EB39" si="132">SUM(DZ33:DZ38)</f>
        <v>-2680</v>
      </c>
      <c r="EA39" s="26">
        <f t="shared" si="132"/>
        <v>-2780</v>
      </c>
      <c r="EB39" s="26">
        <f t="shared" si="132"/>
        <v>-2980</v>
      </c>
    </row>
    <row r="40" spans="2:132" s="68" customFormat="1" ht="12" customHeight="1">
      <c r="B40" s="68" t="s">
        <v>128</v>
      </c>
      <c r="C40" s="67">
        <f>Data!C129</f>
        <v>232</v>
      </c>
      <c r="D40" s="67">
        <f>Data!D129</f>
        <v>811</v>
      </c>
      <c r="E40" s="67">
        <f>Data!E129</f>
        <v>437</v>
      </c>
      <c r="F40" s="67">
        <f>Data!F129</f>
        <v>2687</v>
      </c>
      <c r="G40" s="67">
        <f>Data!G129</f>
        <v>4567</v>
      </c>
      <c r="H40" s="67">
        <f>Data!H129</f>
        <v>2814</v>
      </c>
      <c r="I40" s="67">
        <f>Data!I129</f>
        <v>2042</v>
      </c>
      <c r="J40" s="68">
        <f>Data!J129</f>
        <v>0</v>
      </c>
      <c r="K40" s="68">
        <f>Data!K129-J40</f>
        <v>0</v>
      </c>
      <c r="L40" s="68">
        <f>Data!L129-K40-J40</f>
        <v>0</v>
      </c>
      <c r="M40" s="68">
        <f>Data!M129-L40-K40-J40</f>
        <v>0</v>
      </c>
      <c r="N40" s="67">
        <f t="shared" si="0"/>
        <v>0</v>
      </c>
      <c r="O40" s="68">
        <f>Data!O129</f>
        <v>0</v>
      </c>
      <c r="P40" s="68">
        <f>Data!P129-O40</f>
        <v>0</v>
      </c>
      <c r="Q40" s="68">
        <f>Data!Q129-P40-O40</f>
        <v>0</v>
      </c>
      <c r="R40" s="68">
        <f>Data!R129-Q40-P40-O40</f>
        <v>0</v>
      </c>
      <c r="S40" s="67">
        <f t="shared" si="1"/>
        <v>0</v>
      </c>
      <c r="T40" s="68">
        <f>Data!T129</f>
        <v>0</v>
      </c>
      <c r="U40" s="68">
        <f>Data!U129-T40</f>
        <v>1</v>
      </c>
      <c r="V40" s="68">
        <f>Data!V129-U40-T40</f>
        <v>0</v>
      </c>
      <c r="W40" s="68">
        <f>Data!W129-V40-U40-T40</f>
        <v>0</v>
      </c>
      <c r="X40" s="67">
        <f t="shared" si="2"/>
        <v>1</v>
      </c>
      <c r="Y40" s="68">
        <f>Data!Y129</f>
        <v>0</v>
      </c>
      <c r="Z40" s="68">
        <f>Data!Z129-Y40</f>
        <v>10</v>
      </c>
      <c r="AA40" s="68">
        <f>Data!AA129-Z40-Y40</f>
        <v>18</v>
      </c>
      <c r="AB40" s="68">
        <f>Data!AB129-AA40-Z40-Y40</f>
        <v>12</v>
      </c>
      <c r="AC40" s="67">
        <f t="shared" si="3"/>
        <v>40</v>
      </c>
      <c r="AD40" s="68">
        <f>Data!AD129</f>
        <v>5</v>
      </c>
      <c r="AE40" s="68">
        <f>Data!AE129-AD40</f>
        <v>0</v>
      </c>
      <c r="AF40" s="68">
        <f>Data!AF129-AE40-AD40</f>
        <v>0</v>
      </c>
      <c r="AG40" s="68">
        <f>Data!AG129-AF40-AE40-AD40</f>
        <v>8</v>
      </c>
      <c r="AH40" s="67">
        <f t="shared" si="4"/>
        <v>13</v>
      </c>
      <c r="AI40" s="68">
        <f>Data!AI129</f>
        <v>1827</v>
      </c>
      <c r="AJ40" s="68">
        <f>Data!AJ129-AI40</f>
        <v>16</v>
      </c>
      <c r="AK40" s="68">
        <f>Data!AK129-AJ40-AI40</f>
        <v>1929</v>
      </c>
      <c r="AL40" s="68">
        <f>Data!AL129-AK40-AJ40-AI40</f>
        <v>2189</v>
      </c>
      <c r="AM40" s="67">
        <f t="shared" si="5"/>
        <v>5961</v>
      </c>
      <c r="AN40" s="241">
        <f>Data!AN129</f>
        <v>19</v>
      </c>
      <c r="AO40" s="68">
        <f>Data!AO129-AN40</f>
        <v>7</v>
      </c>
      <c r="AP40" s="68">
        <f>Data!AP129-AO40-AN40</f>
        <v>4</v>
      </c>
      <c r="AQ40" s="68">
        <f>Data!AQ129-AP40-AO40-AN40</f>
        <v>11</v>
      </c>
      <c r="AR40" s="67">
        <f t="shared" si="6"/>
        <v>41</v>
      </c>
      <c r="AS40" s="241">
        <f>Data!AS129</f>
        <v>14</v>
      </c>
      <c r="AT40" s="68">
        <f>Data!AT129-AS40</f>
        <v>22</v>
      </c>
      <c r="AU40" s="121">
        <f>Data!AU129-AT40-AS40</f>
        <v>753</v>
      </c>
      <c r="AV40" s="68">
        <f>Data!AV129-AU40-AT40-AS40</f>
        <v>10</v>
      </c>
      <c r="AW40" s="67">
        <f t="shared" si="7"/>
        <v>799</v>
      </c>
      <c r="AX40" s="121">
        <f>Data!AX129</f>
        <v>20</v>
      </c>
      <c r="AY40" s="121">
        <f>Data!AY129-AX40</f>
        <v>4</v>
      </c>
      <c r="AZ40" s="121">
        <f>Data!AZ129-AY40-AX40</f>
        <v>10</v>
      </c>
      <c r="BA40" s="121">
        <f>Data!BA129-AZ40-AY40-AX40</f>
        <v>26</v>
      </c>
      <c r="BB40" s="67">
        <f t="shared" si="8"/>
        <v>60</v>
      </c>
      <c r="BC40" s="121">
        <f>Data!BC129</f>
        <v>15</v>
      </c>
      <c r="BD40" s="121">
        <f>Data!BD129-BC40</f>
        <v>516</v>
      </c>
      <c r="BE40" s="121">
        <f>Data!BE129-BD40-BC40</f>
        <v>16</v>
      </c>
      <c r="BF40" s="121">
        <f>Data!BF129-BE40-BD40-BC40</f>
        <v>24</v>
      </c>
      <c r="BG40" s="67">
        <f>SUM(BC40:BF40)</f>
        <v>571</v>
      </c>
      <c r="BH40" s="121">
        <f>Data!BH129</f>
        <v>51</v>
      </c>
      <c r="BI40" s="121">
        <f>Data!BI129-BH40</f>
        <v>34</v>
      </c>
      <c r="BJ40" s="121">
        <f>Data!BJ129-BI40-BH40</f>
        <v>20</v>
      </c>
      <c r="BK40" s="121">
        <f>Data!BK129-BJ40-BI40-BH40</f>
        <v>857</v>
      </c>
      <c r="BL40" s="67">
        <f>SUM(BH40:BK40)</f>
        <v>962</v>
      </c>
      <c r="BM40" s="121">
        <f>Data!BM129</f>
        <v>761</v>
      </c>
      <c r="BN40" s="121">
        <f>Data!BN129-BM40</f>
        <v>0</v>
      </c>
      <c r="BO40" s="121">
        <f>Data!BO129-BN40-BM40</f>
        <v>0</v>
      </c>
      <c r="BP40" s="121">
        <f>Data!BP129-BO40-BN40-BM40</f>
        <v>985</v>
      </c>
      <c r="BQ40" s="67">
        <f>SUM(BM40:BP40)</f>
        <v>1746</v>
      </c>
      <c r="BR40" s="121">
        <f>Data!BR129</f>
        <v>115</v>
      </c>
      <c r="BS40" s="121">
        <f>Data!BS129-BR40</f>
        <v>1208</v>
      </c>
      <c r="BT40" s="121">
        <f>Data!BT129-BS40-BR40</f>
        <v>0</v>
      </c>
      <c r="BU40" s="121">
        <f>Data!BU129-BT40-BS40-BR40</f>
        <v>2</v>
      </c>
      <c r="BV40" s="67">
        <f>SUM(BR40:BU40)</f>
        <v>1325</v>
      </c>
      <c r="BW40" s="121">
        <f>Data!BW129</f>
        <v>872</v>
      </c>
      <c r="BX40" s="121">
        <f>Data!BX129-BW40</f>
        <v>2</v>
      </c>
      <c r="BY40" s="121">
        <f>Data!BY129-BX40-BW40</f>
        <v>2</v>
      </c>
      <c r="BZ40" s="121">
        <f>Data!BZ129-BY40-BX40-BW40</f>
        <v>1201</v>
      </c>
      <c r="CA40" s="67">
        <f>SUM(BW40:BZ40)</f>
        <v>2077</v>
      </c>
      <c r="CB40" s="121">
        <f>Data!CB129</f>
        <v>2687</v>
      </c>
      <c r="CC40" s="121">
        <f>Data!CC129-CB40</f>
        <v>961</v>
      </c>
      <c r="CD40" s="121">
        <f>Data!CD129-CC40-CB40</f>
        <v>1048</v>
      </c>
      <c r="CE40" s="121">
        <f>Data!CE129-CD40-CC40-CB40</f>
        <v>3852</v>
      </c>
      <c r="CF40" s="67">
        <f>SUM(CB40:CE40)</f>
        <v>8548</v>
      </c>
      <c r="CG40" s="121">
        <f>Data!CG129</f>
        <v>5237</v>
      </c>
      <c r="CH40" s="121">
        <f>Data!CH129-CG40</f>
        <v>6433</v>
      </c>
      <c r="CI40" s="121">
        <f>Data!CI129-CH40-CG40</f>
        <v>7951</v>
      </c>
      <c r="CJ40" s="121">
        <f>Data!CJ129-CI40-CH40-CG40</f>
        <v>5768</v>
      </c>
      <c r="CK40" s="920">
        <f>SUM(CG40:CJ40)</f>
        <v>25389</v>
      </c>
      <c r="CL40" s="121">
        <f>Data!CL129</f>
        <v>17433</v>
      </c>
      <c r="CM40" s="121">
        <f>Data!CM129-CL40</f>
        <v>24869</v>
      </c>
      <c r="CN40" s="121">
        <f>Data!CN129-CM40-CL40</f>
        <v>60</v>
      </c>
      <c r="CO40" s="121">
        <f>Data!CO129-CN40-CM40-CL40</f>
        <v>4886</v>
      </c>
      <c r="CP40" s="920">
        <f>SUM(CL40:CO40)</f>
        <v>47248</v>
      </c>
      <c r="CQ40" s="121">
        <f>Data!CQ129</f>
        <v>9814</v>
      </c>
      <c r="CR40" s="121">
        <f>Data!CR129-CQ40</f>
        <v>12</v>
      </c>
      <c r="CS40" s="121">
        <f>Data!CS129-CR40-CQ40</f>
        <v>-4</v>
      </c>
      <c r="CT40" s="121">
        <f>Data!CT129-CS40-CR40-CQ40</f>
        <v>-27</v>
      </c>
      <c r="CU40" s="920">
        <f>SUM(CQ40:CT40)</f>
        <v>9795</v>
      </c>
      <c r="CV40" s="121">
        <f>Data!CV129</f>
        <v>2</v>
      </c>
      <c r="CW40" s="121">
        <f>Data!CW129-CV40</f>
        <v>13</v>
      </c>
      <c r="CX40" s="121">
        <f>Data!CX129-CW40-CV40</f>
        <v>4</v>
      </c>
      <c r="CY40" s="121">
        <f>Data!CY129-CX40-CW40-CV40</f>
        <v>15</v>
      </c>
      <c r="CZ40" s="920">
        <f>SUM(CV40:CY40)</f>
        <v>34</v>
      </c>
      <c r="DA40" s="121">
        <f>Data!DA129</f>
        <v>17</v>
      </c>
      <c r="DB40" s="121">
        <f>Data!DB129-DA40</f>
        <v>21</v>
      </c>
      <c r="DC40" s="121">
        <f>Data!DC129-DB40-DA40</f>
        <v>17</v>
      </c>
      <c r="DD40" s="121">
        <f>Data!DD129-DC40-DB40-DA40</f>
        <v>20</v>
      </c>
      <c r="DE40" s="920">
        <f>SUM(DA40:DD40)</f>
        <v>75</v>
      </c>
      <c r="DF40" s="121">
        <f>Data!DF129</f>
        <v>27</v>
      </c>
      <c r="DG40" s="121">
        <f>Data!DG129-DF40</f>
        <v>10062</v>
      </c>
      <c r="DH40" s="121">
        <f>Data!DH129-DG40-DF40</f>
        <v>31</v>
      </c>
      <c r="DI40" s="121">
        <f>Data!DI129-DH40-DG40-DF40</f>
        <v>41</v>
      </c>
      <c r="DJ40" s="920">
        <f>SUM(DF40:DI40)</f>
        <v>10161</v>
      </c>
      <c r="DK40" s="121">
        <f>Data!DK129</f>
        <v>29</v>
      </c>
      <c r="DL40" s="121">
        <f>Data!DL129-DK40</f>
        <v>69</v>
      </c>
      <c r="DM40" s="121">
        <f>Data!DM129-DL40-DK40</f>
        <v>40</v>
      </c>
      <c r="DN40" s="121">
        <f>Data!DN129-DM40-DL40-DK40</f>
        <v>27</v>
      </c>
      <c r="DO40" s="920">
        <f>SUM(DK40:DN40)</f>
        <v>165</v>
      </c>
      <c r="DP40" s="121">
        <f>Data!DP129</f>
        <v>24</v>
      </c>
      <c r="DQ40" s="121">
        <f>Data!DQ129-DP40</f>
        <v>11</v>
      </c>
      <c r="DR40" s="179">
        <v>0</v>
      </c>
      <c r="DS40" s="179">
        <v>0</v>
      </c>
      <c r="DT40" s="920">
        <f>SUM(DP40:DS40)</f>
        <v>35</v>
      </c>
      <c r="DU40" s="179">
        <v>0</v>
      </c>
      <c r="DV40" s="179">
        <v>0</v>
      </c>
      <c r="DW40" s="179">
        <v>0</v>
      </c>
      <c r="DX40" s="179">
        <v>0</v>
      </c>
      <c r="DY40" s="920">
        <f>SUM(DU40:DX40)</f>
        <v>0</v>
      </c>
      <c r="DZ40" s="22">
        <v>0</v>
      </c>
      <c r="EA40" s="22">
        <v>0</v>
      </c>
      <c r="EB40" s="22">
        <v>0</v>
      </c>
    </row>
    <row r="41" spans="2:132" s="68" customFormat="1" ht="12" customHeight="1">
      <c r="B41" s="68" t="s">
        <v>96</v>
      </c>
      <c r="C41" s="67">
        <f>Data!C130</f>
        <v>-867</v>
      </c>
      <c r="D41" s="67">
        <f>Data!D130</f>
        <v>-693</v>
      </c>
      <c r="E41" s="67">
        <f>Data!E130</f>
        <v>-676</v>
      </c>
      <c r="F41" s="67">
        <f>Data!F130</f>
        <v>-620</v>
      </c>
      <c r="G41" s="67">
        <f>Data!G130</f>
        <v>-1124</v>
      </c>
      <c r="H41" s="67">
        <f>Data!H130</f>
        <v>-1564</v>
      </c>
      <c r="I41" s="67">
        <f>Data!I130</f>
        <v>-2024</v>
      </c>
      <c r="J41" s="68">
        <f>Data!J130</f>
        <v>-471</v>
      </c>
      <c r="K41" s="68">
        <f>Data!K130-J41</f>
        <v>-257</v>
      </c>
      <c r="L41" s="68">
        <f>Data!L130-K41-J41</f>
        <v>-1338</v>
      </c>
      <c r="M41" s="68">
        <f>Data!M130-L41-K41-J41</f>
        <v>-142</v>
      </c>
      <c r="N41" s="67">
        <f t="shared" si="0"/>
        <v>-2208</v>
      </c>
      <c r="O41" s="68">
        <f>Data!O130</f>
        <v>-372</v>
      </c>
      <c r="P41" s="68">
        <f>Data!P130-O41</f>
        <v>-788</v>
      </c>
      <c r="Q41" s="68">
        <f>Data!Q130-P41-O41</f>
        <v>-110</v>
      </c>
      <c r="R41" s="68">
        <f>Data!R130-Q41-P41-O41</f>
        <v>-108</v>
      </c>
      <c r="S41" s="67">
        <f t="shared" si="1"/>
        <v>-1378</v>
      </c>
      <c r="T41" s="68">
        <f>Data!T130</f>
        <v>-29</v>
      </c>
      <c r="U41" s="68">
        <f>Data!U130-T41</f>
        <v>-598</v>
      </c>
      <c r="V41" s="68">
        <f>Data!V130-U41-T41</f>
        <v>-471</v>
      </c>
      <c r="W41" s="68">
        <f>Data!W130-V41-U41-T41</f>
        <v>-583</v>
      </c>
      <c r="X41" s="67">
        <f t="shared" si="2"/>
        <v>-1681</v>
      </c>
      <c r="Y41" s="68">
        <f>Data!Y130</f>
        <v>-817</v>
      </c>
      <c r="Z41" s="68">
        <f>Data!Z130-Y41</f>
        <v>-76</v>
      </c>
      <c r="AA41" s="68">
        <f>Data!AA130-Z41-Y41</f>
        <v>-114</v>
      </c>
      <c r="AB41" s="68">
        <f>Data!AB130-AA41-Z41-Y41</f>
        <v>-399</v>
      </c>
      <c r="AC41" s="67">
        <f t="shared" si="3"/>
        <v>-1406</v>
      </c>
      <c r="AD41" s="68">
        <f>Data!AD130</f>
        <v>-32</v>
      </c>
      <c r="AE41" s="68">
        <f>Data!AE130-AD41</f>
        <v>-122</v>
      </c>
      <c r="AF41" s="68">
        <f>Data!AF130-AE41-AD41</f>
        <v>-462</v>
      </c>
      <c r="AG41" s="68">
        <f>Data!AG130-AF41-AE41-AD41</f>
        <v>-122</v>
      </c>
      <c r="AH41" s="67">
        <f t="shared" si="4"/>
        <v>-738</v>
      </c>
      <c r="AI41" s="68">
        <f>Data!AI130</f>
        <v>-71</v>
      </c>
      <c r="AJ41" s="68">
        <f>Data!AJ130-AI41</f>
        <v>-147</v>
      </c>
      <c r="AK41" s="68">
        <f>Data!AK130-AJ41-AI41</f>
        <v>-38</v>
      </c>
      <c r="AL41" s="68">
        <f>Data!AL130-AK41-AJ41-AI41</f>
        <v>-295</v>
      </c>
      <c r="AM41" s="67">
        <f t="shared" si="5"/>
        <v>-551</v>
      </c>
      <c r="AN41" s="241">
        <f>Data!AN130</f>
        <v>-51</v>
      </c>
      <c r="AO41" s="68">
        <f>Data!AO130-AN41</f>
        <v>-37</v>
      </c>
      <c r="AP41" s="68">
        <f>Data!AP130-AO41-AN41</f>
        <v>-567</v>
      </c>
      <c r="AQ41" s="68">
        <f>Data!AQ130-AP41-AO41-AN41</f>
        <v>-34</v>
      </c>
      <c r="AR41" s="67">
        <f t="shared" si="6"/>
        <v>-689</v>
      </c>
      <c r="AS41" s="241">
        <f>Data!AS130</f>
        <v>-812</v>
      </c>
      <c r="AT41" s="68">
        <f>Data!AT130-AS41</f>
        <v>-39</v>
      </c>
      <c r="AU41" s="121">
        <f>Data!AU130-AT41-AS41</f>
        <v>-44</v>
      </c>
      <c r="AV41" s="68">
        <f>Data!AV130-AU41-AT41-AS41</f>
        <v>-35</v>
      </c>
      <c r="AW41" s="67">
        <f t="shared" si="7"/>
        <v>-930</v>
      </c>
      <c r="AX41" s="121">
        <f>Data!AX130</f>
        <v>-811</v>
      </c>
      <c r="AY41" s="121">
        <f>Data!AY130-AX41</f>
        <v>-422</v>
      </c>
      <c r="AZ41" s="121">
        <f>Data!AZ130-AY41-AX41</f>
        <v>-40</v>
      </c>
      <c r="BA41" s="121">
        <f>Data!BA130-AZ41-AY41-AX41</f>
        <v>-803</v>
      </c>
      <c r="BB41" s="67">
        <f t="shared" si="8"/>
        <v>-2076</v>
      </c>
      <c r="BC41" s="121">
        <f>Data!BC130</f>
        <v>-1262</v>
      </c>
      <c r="BD41" s="121">
        <f>Data!BD130-BC41</f>
        <v>-99</v>
      </c>
      <c r="BE41" s="121">
        <f>Data!BE130-BD41-BC41</f>
        <v>-36</v>
      </c>
      <c r="BF41" s="121">
        <f>Data!BF130-BE41-BD41-BC41</f>
        <v>-37</v>
      </c>
      <c r="BG41" s="67">
        <f t="shared" ref="BG41:BG46" si="133">SUM(BC41:BF41)</f>
        <v>-1434</v>
      </c>
      <c r="BH41" s="121">
        <f>Data!BH130</f>
        <v>-757</v>
      </c>
      <c r="BI41" s="121">
        <f>Data!BI130-BH41</f>
        <v>-97</v>
      </c>
      <c r="BJ41" s="121">
        <f>Data!BJ130-BI41-BH41</f>
        <v>-56</v>
      </c>
      <c r="BK41" s="121">
        <f>Data!BK130-BJ41-BI41-BH41</f>
        <v>-691</v>
      </c>
      <c r="BL41" s="67">
        <f t="shared" ref="BL41:BL46" si="134">SUM(BH41:BK41)</f>
        <v>-1601</v>
      </c>
      <c r="BM41" s="121">
        <f>Data!BM130</f>
        <v>-813</v>
      </c>
      <c r="BN41" s="121">
        <f>Data!BN130-BM41</f>
        <v>-33</v>
      </c>
      <c r="BO41" s="121">
        <f>Data!BO130-BN41-BM41</f>
        <v>-18</v>
      </c>
      <c r="BP41" s="121">
        <f>Data!BP130-BO41-BN41-BM41</f>
        <v>-21</v>
      </c>
      <c r="BQ41" s="67">
        <f t="shared" ref="BQ41:BQ46" si="135">SUM(BM41:BP41)</f>
        <v>-885</v>
      </c>
      <c r="BR41" s="121">
        <f>Data!BR130</f>
        <v>-128</v>
      </c>
      <c r="BS41" s="121">
        <f>Data!BS130-BR41</f>
        <v>-139</v>
      </c>
      <c r="BT41" s="121">
        <f>Data!BT130-BS41-BR41</f>
        <v>-569</v>
      </c>
      <c r="BU41" s="121">
        <f>Data!BU130-BT41-BS41-BR41</f>
        <v>-523</v>
      </c>
      <c r="BV41" s="67">
        <f t="shared" ref="BV41:BV46" si="136">SUM(BR41:BU41)</f>
        <v>-1359</v>
      </c>
      <c r="BW41" s="121">
        <f>Data!BW130</f>
        <v>-34</v>
      </c>
      <c r="BX41" s="121">
        <f>Data!BX130-BW41</f>
        <v>-22</v>
      </c>
      <c r="BY41" s="121">
        <f>Data!BY130-BX41-BW41</f>
        <v>-27</v>
      </c>
      <c r="BZ41" s="121">
        <f>Data!BZ130-BY41-BX41-BW41</f>
        <v>-870</v>
      </c>
      <c r="CA41" s="67">
        <f t="shared" ref="CA41:CA45" si="137">SUM(BW41:BZ41)</f>
        <v>-953</v>
      </c>
      <c r="CB41" s="121">
        <f>Data!CB130</f>
        <v>-1371</v>
      </c>
      <c r="CC41" s="121">
        <f>Data!CC130-CB41</f>
        <v>-1337</v>
      </c>
      <c r="CD41" s="121">
        <f>Data!CD130-CC41-CB41</f>
        <v>-1321</v>
      </c>
      <c r="CE41" s="121">
        <f>Data!CE130-CD41-CC41-CB41</f>
        <v>-3154</v>
      </c>
      <c r="CF41" s="67">
        <f t="shared" ref="CF41:CF45" si="138">SUM(CB41:CE41)</f>
        <v>-7183</v>
      </c>
      <c r="CG41" s="121">
        <f>Data!CG130</f>
        <v>-4374</v>
      </c>
      <c r="CH41" s="121">
        <f>Data!CH130-CG41</f>
        <v>-2048</v>
      </c>
      <c r="CI41" s="121">
        <f>Data!CI130-CH41-CG41</f>
        <v>-2556</v>
      </c>
      <c r="CJ41" s="121">
        <f>Data!CJ130-CI41-CH41-CG41</f>
        <v>-3193</v>
      </c>
      <c r="CK41" s="120">
        <f t="shared" ref="CK41:CK45" si="139">SUM(CG41:CJ41)</f>
        <v>-12171</v>
      </c>
      <c r="CL41" s="121">
        <f>Data!CL130</f>
        <v>-5854</v>
      </c>
      <c r="CM41" s="121">
        <f>Data!CM130-CL41</f>
        <v>-2411</v>
      </c>
      <c r="CN41" s="121">
        <f>Data!CN130-CM41-CL41</f>
        <v>-527</v>
      </c>
      <c r="CO41" s="121">
        <f>Data!CO130-CN41-CM41-CL41</f>
        <v>-2206</v>
      </c>
      <c r="CP41" s="120">
        <f t="shared" ref="CP41:CP45" si="140">SUM(CL41:CO41)</f>
        <v>-10998</v>
      </c>
      <c r="CQ41" s="121">
        <f>Data!CQ130</f>
        <v>-9847</v>
      </c>
      <c r="CR41" s="121">
        <f>Data!CR130-CQ41</f>
        <v>-35</v>
      </c>
      <c r="CS41" s="121">
        <f>Data!CS130-CR41-CQ41</f>
        <v>-1167</v>
      </c>
      <c r="CT41" s="121">
        <f>Data!CT130-CS41-CR41-CQ41</f>
        <v>-4322</v>
      </c>
      <c r="CU41" s="120">
        <f t="shared" ref="CU41:CU45" si="141">SUM(CQ41:CT41)</f>
        <v>-15371</v>
      </c>
      <c r="CV41" s="121">
        <f>Data!CV130</f>
        <v>-396</v>
      </c>
      <c r="CW41" s="121">
        <f>Data!CW130-CV41</f>
        <v>-617</v>
      </c>
      <c r="CX41" s="121">
        <f>Data!CX130-CW41-CV41</f>
        <v>-25</v>
      </c>
      <c r="CY41" s="121">
        <f>Data!CY130-CX41-CW41-CV41</f>
        <v>-272</v>
      </c>
      <c r="CZ41" s="120">
        <f t="shared" ref="CZ41:CZ45" si="142">SUM(CV41:CY41)</f>
        <v>-1310</v>
      </c>
      <c r="DA41" s="121">
        <f>Data!DA130</f>
        <v>-1699</v>
      </c>
      <c r="DB41" s="121">
        <f>Data!DB130-DA41</f>
        <v>-3424</v>
      </c>
      <c r="DC41" s="121">
        <f>Data!DC130-DB41-DA41</f>
        <v>-58</v>
      </c>
      <c r="DD41" s="121">
        <f>Data!DD130-DC41-DB41-DA41</f>
        <v>-35</v>
      </c>
      <c r="DE41" s="120">
        <f t="shared" ref="DE41:DE45" si="143">SUM(DA41:DD41)</f>
        <v>-5216</v>
      </c>
      <c r="DF41" s="121">
        <f>Data!DF130</f>
        <v>-4442</v>
      </c>
      <c r="DG41" s="121">
        <f>Data!DG130-DF41</f>
        <v>-39</v>
      </c>
      <c r="DH41" s="121">
        <f>Data!DH130-DG41-DF41</f>
        <v>-343</v>
      </c>
      <c r="DI41" s="121">
        <f>Data!DI130-DH41-DG41-DF41</f>
        <v>-3849</v>
      </c>
      <c r="DJ41" s="120">
        <f t="shared" ref="DJ41:DJ45" si="144">SUM(DF41:DI41)</f>
        <v>-8673</v>
      </c>
      <c r="DK41" s="121">
        <f>Data!DK130</f>
        <v>-295</v>
      </c>
      <c r="DL41" s="121">
        <f>Data!DL130-DK41</f>
        <v>-382</v>
      </c>
      <c r="DM41" s="121">
        <f>Data!DM130-DL41-DK41</f>
        <v>-44</v>
      </c>
      <c r="DN41" s="121">
        <f>Data!DN130-DM41-DL41-DK41</f>
        <v>-2900</v>
      </c>
      <c r="DO41" s="120">
        <f t="shared" ref="DO41:DO46" si="145">SUM(DK41:DN41)</f>
        <v>-3621</v>
      </c>
      <c r="DP41" s="121">
        <f>Data!DP130</f>
        <v>-6950</v>
      </c>
      <c r="DQ41" s="121">
        <f>Data!DQ130-DP41</f>
        <v>-1426</v>
      </c>
      <c r="DR41" s="179">
        <v>0</v>
      </c>
      <c r="DS41" s="179">
        <v>0</v>
      </c>
      <c r="DT41" s="120">
        <f t="shared" ref="DT41:DT45" si="146">SUM(DP41:DS41)</f>
        <v>-8376</v>
      </c>
      <c r="DU41" s="179">
        <v>-4300</v>
      </c>
      <c r="DV41" s="179">
        <v>0</v>
      </c>
      <c r="DW41" s="179">
        <v>0</v>
      </c>
      <c r="DX41" s="179">
        <v>0</v>
      </c>
      <c r="DY41" s="120">
        <f t="shared" ref="DY41:DY45" si="147">SUM(DU41:DX41)</f>
        <v>-4300</v>
      </c>
      <c r="DZ41" s="180">
        <v>-2000</v>
      </c>
      <c r="EA41" s="180">
        <v>-1000</v>
      </c>
      <c r="EB41" s="180">
        <v>0</v>
      </c>
    </row>
    <row r="42" spans="2:132" s="68" customFormat="1" ht="12" customHeight="1">
      <c r="B42" s="68" t="s">
        <v>97</v>
      </c>
      <c r="C42" s="67">
        <f>Data!C131</f>
        <v>166</v>
      </c>
      <c r="D42" s="67">
        <f>Data!D131</f>
        <v>65</v>
      </c>
      <c r="E42" s="67">
        <f>Data!E131</f>
        <v>93</v>
      </c>
      <c r="F42" s="67">
        <f>Data!F131</f>
        <v>136</v>
      </c>
      <c r="G42" s="67">
        <f>Data!G131</f>
        <v>79</v>
      </c>
      <c r="H42" s="67">
        <f>Data!H131</f>
        <v>67</v>
      </c>
      <c r="I42" s="67">
        <f>Data!I131</f>
        <v>33</v>
      </c>
      <c r="J42" s="68">
        <f>Data!J131</f>
        <v>26</v>
      </c>
      <c r="K42" s="68">
        <f>Data!K131-J42</f>
        <v>-58</v>
      </c>
      <c r="L42" s="68">
        <f>Data!L131-K42-J42</f>
        <v>97</v>
      </c>
      <c r="M42" s="68">
        <f>Data!M131-L42-K42-J42</f>
        <v>25</v>
      </c>
      <c r="N42" s="67">
        <f t="shared" si="0"/>
        <v>90</v>
      </c>
      <c r="O42" s="68">
        <f>Data!O131</f>
        <v>61</v>
      </c>
      <c r="P42" s="68">
        <f>Data!P131-O42</f>
        <v>108</v>
      </c>
      <c r="Q42" s="68">
        <f>Data!Q131-P42-O42</f>
        <v>105</v>
      </c>
      <c r="R42" s="68">
        <f>Data!R131-Q42-P42-O42</f>
        <v>74</v>
      </c>
      <c r="S42" s="67">
        <f t="shared" si="1"/>
        <v>348</v>
      </c>
      <c r="T42" s="68">
        <f>Data!T131</f>
        <v>139</v>
      </c>
      <c r="U42" s="68">
        <f>Data!U131-T42</f>
        <v>64</v>
      </c>
      <c r="V42" s="68">
        <f>Data!V131-U42-T42</f>
        <v>24</v>
      </c>
      <c r="W42" s="68">
        <f>Data!W131-V42-U42-T42</f>
        <v>67</v>
      </c>
      <c r="X42" s="67">
        <f t="shared" si="2"/>
        <v>294</v>
      </c>
      <c r="Y42" s="68">
        <f>Data!Y131</f>
        <v>91</v>
      </c>
      <c r="Z42" s="68">
        <f>Data!Z131-Y42</f>
        <v>60</v>
      </c>
      <c r="AA42" s="68">
        <f>Data!AA131-Z42-Y42</f>
        <v>45</v>
      </c>
      <c r="AB42" s="68">
        <f>Data!AB131-AA42-Z42-Y42</f>
        <v>13</v>
      </c>
      <c r="AC42" s="67">
        <f t="shared" si="3"/>
        <v>209</v>
      </c>
      <c r="AD42" s="68">
        <f>Data!AD131</f>
        <v>15</v>
      </c>
      <c r="AE42" s="68">
        <f>Data!AE131-AD42</f>
        <v>26</v>
      </c>
      <c r="AF42" s="68">
        <f>Data!AF131-AE42-AD42</f>
        <v>2</v>
      </c>
      <c r="AG42" s="68">
        <f>Data!AG131-AF42-AE42-AD42</f>
        <v>1</v>
      </c>
      <c r="AH42" s="67">
        <f t="shared" si="4"/>
        <v>44</v>
      </c>
      <c r="AI42" s="68">
        <f>Data!AI131</f>
        <v>0</v>
      </c>
      <c r="AJ42" s="68">
        <f>Data!AJ131-AI42</f>
        <v>7</v>
      </c>
      <c r="AK42" s="68">
        <f>Data!AK131-AJ42-AI42</f>
        <v>1</v>
      </c>
      <c r="AL42" s="68">
        <f>Data!AL131-AK42-AJ42-AI42</f>
        <v>2</v>
      </c>
      <c r="AM42" s="67">
        <f t="shared" si="5"/>
        <v>10</v>
      </c>
      <c r="AN42" s="241">
        <f>Data!AN131</f>
        <v>23</v>
      </c>
      <c r="AO42" s="68">
        <f>Data!AO131-AN42</f>
        <v>38</v>
      </c>
      <c r="AP42" s="68">
        <f>Data!AP131-AO42-AN42</f>
        <v>10</v>
      </c>
      <c r="AQ42" s="68">
        <f>Data!AQ131-AP42-AO42-AN42</f>
        <v>16</v>
      </c>
      <c r="AR42" s="67">
        <f t="shared" si="6"/>
        <v>87</v>
      </c>
      <c r="AS42" s="241">
        <f>Data!AS131</f>
        <v>24</v>
      </c>
      <c r="AT42" s="68">
        <f>Data!AT131-AS42</f>
        <v>56</v>
      </c>
      <c r="AU42" s="121">
        <f>Data!AU131-AT42-AS42</f>
        <v>26</v>
      </c>
      <c r="AV42" s="68">
        <f>Data!AV131-AU42-AT42-AS42</f>
        <v>8</v>
      </c>
      <c r="AW42" s="67">
        <f t="shared" si="7"/>
        <v>114</v>
      </c>
      <c r="AX42" s="121">
        <f>Data!AX131</f>
        <v>28</v>
      </c>
      <c r="AY42" s="121">
        <f>Data!AY131-AX42</f>
        <v>43</v>
      </c>
      <c r="AZ42" s="121">
        <f>Data!AZ131-AY42-AX42</f>
        <v>25</v>
      </c>
      <c r="BA42" s="121">
        <f>Data!BA131-AZ42-AY42-AX42</f>
        <v>24</v>
      </c>
      <c r="BB42" s="67">
        <f t="shared" si="8"/>
        <v>120</v>
      </c>
      <c r="BC42" s="121">
        <f>Data!BC131</f>
        <v>76</v>
      </c>
      <c r="BD42" s="121">
        <f>Data!BD131-BC42</f>
        <v>408</v>
      </c>
      <c r="BE42" s="121">
        <f>Data!BE131-BD42-BC42</f>
        <v>387</v>
      </c>
      <c r="BF42" s="121">
        <f>Data!BF131-BE42-BD42-BC42</f>
        <v>226</v>
      </c>
      <c r="BG42" s="67">
        <f t="shared" si="133"/>
        <v>1097</v>
      </c>
      <c r="BH42" s="121">
        <f>Data!BH131</f>
        <v>109</v>
      </c>
      <c r="BI42" s="121">
        <f>Data!BI131-BH42</f>
        <v>152</v>
      </c>
      <c r="BJ42" s="121">
        <f>Data!BJ131-BI42-BH42</f>
        <v>32</v>
      </c>
      <c r="BK42" s="121">
        <f>Data!BK131-BJ42-BI42-BH42</f>
        <v>50</v>
      </c>
      <c r="BL42" s="67">
        <f t="shared" si="134"/>
        <v>343</v>
      </c>
      <c r="BM42" s="121">
        <f>Data!BM131</f>
        <v>231</v>
      </c>
      <c r="BN42" s="121">
        <f>Data!BN131-BM42</f>
        <v>45</v>
      </c>
      <c r="BO42" s="121">
        <f>Data!BO131-BN42-BM42</f>
        <v>55</v>
      </c>
      <c r="BP42" s="121">
        <f>Data!BP131-BO42-BN42-BM42</f>
        <v>68</v>
      </c>
      <c r="BQ42" s="67">
        <f t="shared" si="135"/>
        <v>399</v>
      </c>
      <c r="BR42" s="121">
        <f>Data!BR131</f>
        <v>42</v>
      </c>
      <c r="BS42" s="121">
        <f>Data!BS131-BR42</f>
        <v>105</v>
      </c>
      <c r="BT42" s="121">
        <f>Data!BT131-BS42-BR42</f>
        <v>45</v>
      </c>
      <c r="BU42" s="121">
        <f>Data!BU131-BT42-BS42-BR42</f>
        <v>129</v>
      </c>
      <c r="BV42" s="67">
        <f t="shared" si="136"/>
        <v>321</v>
      </c>
      <c r="BW42" s="121">
        <f>Data!BW131</f>
        <v>174</v>
      </c>
      <c r="BX42" s="121">
        <f>Data!BX131-BW42</f>
        <v>66</v>
      </c>
      <c r="BY42" s="121">
        <f>Data!BY131-BX42-BW42</f>
        <v>51</v>
      </c>
      <c r="BZ42" s="121">
        <f>Data!BZ131-BY42-BX42-BW42</f>
        <v>20</v>
      </c>
      <c r="CA42" s="67">
        <f t="shared" si="137"/>
        <v>311</v>
      </c>
      <c r="CB42" s="121">
        <f>Data!CB131</f>
        <v>51</v>
      </c>
      <c r="CC42" s="121">
        <f>Data!CC131-CB42</f>
        <v>10</v>
      </c>
      <c r="CD42" s="121">
        <f>Data!CD131-CC42-CB42</f>
        <v>9</v>
      </c>
      <c r="CE42" s="121">
        <f>Data!CE131-CD42-CC42-CB42</f>
        <v>11</v>
      </c>
      <c r="CF42" s="67">
        <f t="shared" si="138"/>
        <v>81</v>
      </c>
      <c r="CG42" s="121">
        <f>Data!CG131</f>
        <v>42</v>
      </c>
      <c r="CH42" s="121">
        <f>Data!CH131-CG42</f>
        <v>5</v>
      </c>
      <c r="CI42" s="121">
        <f>Data!CI131-CH42-CG42</f>
        <v>4</v>
      </c>
      <c r="CJ42" s="121">
        <f>Data!CJ131-CI42-CH42-CG42</f>
        <v>7</v>
      </c>
      <c r="CK42" s="120">
        <f t="shared" si="139"/>
        <v>58</v>
      </c>
      <c r="CL42" s="121">
        <f>Data!CL131</f>
        <v>21</v>
      </c>
      <c r="CM42" s="121">
        <f>Data!CM131-CL42</f>
        <v>6</v>
      </c>
      <c r="CN42" s="121">
        <f>Data!CN131-CM42-CL42</f>
        <v>4</v>
      </c>
      <c r="CO42" s="121">
        <f>Data!CO131-CN42-CM42-CL42</f>
        <v>5</v>
      </c>
      <c r="CP42" s="120">
        <f t="shared" si="140"/>
        <v>36</v>
      </c>
      <c r="CQ42" s="121">
        <f>Data!CQ131</f>
        <v>23</v>
      </c>
      <c r="CR42" s="121">
        <f>Data!CR131-CQ42</f>
        <v>6</v>
      </c>
      <c r="CS42" s="121">
        <f>Data!CS131-CR42-CQ42</f>
        <v>7</v>
      </c>
      <c r="CT42" s="121">
        <f>Data!CT131-CS42-CR42-CQ42</f>
        <v>6</v>
      </c>
      <c r="CU42" s="120">
        <f t="shared" si="141"/>
        <v>42</v>
      </c>
      <c r="CV42" s="121">
        <f>Data!CV131</f>
        <v>30</v>
      </c>
      <c r="CW42" s="121">
        <f>Data!CW131-CV42</f>
        <v>4</v>
      </c>
      <c r="CX42" s="121">
        <f>Data!CX131-CW42-CV42</f>
        <v>5</v>
      </c>
      <c r="CY42" s="121">
        <f>Data!CY131-CX42-CW42-CV42</f>
        <v>11</v>
      </c>
      <c r="CZ42" s="120">
        <f t="shared" si="142"/>
        <v>50</v>
      </c>
      <c r="DA42" s="121">
        <f>Data!DA131</f>
        <v>44</v>
      </c>
      <c r="DB42" s="121">
        <f>Data!DB131-DA42</f>
        <v>0</v>
      </c>
      <c r="DC42" s="121">
        <f>Data!DC131-DB42-DA42</f>
        <v>1</v>
      </c>
      <c r="DD42" s="121">
        <f>Data!DD131-DC42-DB42-DA42</f>
        <v>0</v>
      </c>
      <c r="DE42" s="120">
        <f t="shared" si="143"/>
        <v>45</v>
      </c>
      <c r="DF42" s="121">
        <f>Data!DF131</f>
        <v>0</v>
      </c>
      <c r="DG42" s="121">
        <f>Data!DG131-DF42</f>
        <v>0</v>
      </c>
      <c r="DH42" s="121">
        <f>Data!DH131-DG42-DF42</f>
        <v>0</v>
      </c>
      <c r="DI42" s="121">
        <f>Data!DI131-DH42-DG42-DF42</f>
        <v>0</v>
      </c>
      <c r="DJ42" s="120">
        <f t="shared" si="144"/>
        <v>0</v>
      </c>
      <c r="DK42" s="121">
        <f>Data!DK131</f>
        <v>0</v>
      </c>
      <c r="DL42" s="121">
        <f>Data!DL131-DK42</f>
        <v>0</v>
      </c>
      <c r="DM42" s="121">
        <f>Data!DM131-DL42-DK42</f>
        <v>0</v>
      </c>
      <c r="DN42" s="121">
        <f>Data!DN131-DM42-DL42-DK42</f>
        <v>0</v>
      </c>
      <c r="DO42" s="120">
        <f t="shared" si="145"/>
        <v>0</v>
      </c>
      <c r="DP42" s="121">
        <f>Data!DP131</f>
        <v>0</v>
      </c>
      <c r="DQ42" s="121">
        <f>Data!DQ131-DP42</f>
        <v>0</v>
      </c>
      <c r="DR42" s="179">
        <v>0</v>
      </c>
      <c r="DS42" s="179">
        <v>0</v>
      </c>
      <c r="DT42" s="120">
        <f t="shared" si="146"/>
        <v>0</v>
      </c>
      <c r="DU42" s="179">
        <v>0</v>
      </c>
      <c r="DV42" s="179">
        <v>0</v>
      </c>
      <c r="DW42" s="179">
        <v>0</v>
      </c>
      <c r="DX42" s="179">
        <v>0</v>
      </c>
      <c r="DY42" s="120">
        <f t="shared" si="147"/>
        <v>0</v>
      </c>
      <c r="DZ42" s="180">
        <v>0</v>
      </c>
      <c r="EA42" s="180">
        <v>0</v>
      </c>
      <c r="EB42" s="180">
        <v>0</v>
      </c>
    </row>
    <row r="43" spans="2:132" s="68" customFormat="1" ht="12" customHeight="1">
      <c r="B43" s="68" t="s">
        <v>340</v>
      </c>
      <c r="C43" s="67">
        <f>Data!C132</f>
        <v>0</v>
      </c>
      <c r="D43" s="67">
        <f>Data!D132</f>
        <v>0</v>
      </c>
      <c r="E43" s="67">
        <f>Data!E132</f>
        <v>0</v>
      </c>
      <c r="F43" s="67">
        <f>Data!F132</f>
        <v>0</v>
      </c>
      <c r="G43" s="67">
        <f>Data!G132</f>
        <v>0</v>
      </c>
      <c r="H43" s="67">
        <f>Data!H132</f>
        <v>0</v>
      </c>
      <c r="I43" s="67">
        <f>Data!I132</f>
        <v>0</v>
      </c>
      <c r="J43" s="68">
        <f>Data!J132</f>
        <v>0</v>
      </c>
      <c r="K43" s="68">
        <f>Data!K132-J43</f>
        <v>0</v>
      </c>
      <c r="L43" s="68">
        <f>Data!L132-K43-J43</f>
        <v>0</v>
      </c>
      <c r="M43" s="68">
        <f>Data!M132-L43-K43-J43</f>
        <v>0</v>
      </c>
      <c r="N43" s="67">
        <f t="shared" si="0"/>
        <v>0</v>
      </c>
      <c r="O43" s="68">
        <f>Data!O132</f>
        <v>22</v>
      </c>
      <c r="P43" s="68">
        <f>Data!P132-O43</f>
        <v>24</v>
      </c>
      <c r="Q43" s="68">
        <f>Data!Q132-P43-O43</f>
        <v>0</v>
      </c>
      <c r="R43" s="68">
        <f>Data!R132-Q43-P43-O43</f>
        <v>24</v>
      </c>
      <c r="S43" s="67">
        <f t="shared" si="1"/>
        <v>70</v>
      </c>
      <c r="T43" s="68">
        <f>Data!T132</f>
        <v>41</v>
      </c>
      <c r="U43" s="68">
        <f>Data!U132-T43</f>
        <v>77</v>
      </c>
      <c r="V43" s="68">
        <f>Data!V132-U43-T43</f>
        <v>0</v>
      </c>
      <c r="W43" s="68">
        <f>Data!W132-V43-U43-T43</f>
        <v>277</v>
      </c>
      <c r="X43" s="67">
        <f t="shared" si="2"/>
        <v>395</v>
      </c>
      <c r="Y43" s="68">
        <f>Data!Y132</f>
        <v>31</v>
      </c>
      <c r="Z43" s="68">
        <f>Data!Z132-Y43</f>
        <v>76</v>
      </c>
      <c r="AA43" s="68">
        <f>Data!AA132-Z43-Y43</f>
        <v>34</v>
      </c>
      <c r="AB43" s="68">
        <f>Data!AB132-AA43-Z43-Y43</f>
        <v>3</v>
      </c>
      <c r="AC43" s="67">
        <f t="shared" si="3"/>
        <v>144</v>
      </c>
      <c r="AD43" s="68">
        <f>Data!AD132</f>
        <v>43</v>
      </c>
      <c r="AE43" s="68">
        <f>Data!AE132-AD43</f>
        <v>2</v>
      </c>
      <c r="AF43" s="68">
        <f>Data!AF132-AE43-AD43</f>
        <v>55</v>
      </c>
      <c r="AG43" s="68">
        <f>Data!AG132-AF43-AE43-AD43</f>
        <v>0</v>
      </c>
      <c r="AH43" s="67">
        <f t="shared" si="4"/>
        <v>100</v>
      </c>
      <c r="AI43" s="68">
        <f>Data!AI132</f>
        <v>5</v>
      </c>
      <c r="AJ43" s="68">
        <f>Data!AJ132-AI43</f>
        <v>0</v>
      </c>
      <c r="AK43" s="68">
        <f>Data!AK132-AJ43-AI43</f>
        <v>0</v>
      </c>
      <c r="AL43" s="68">
        <f>Data!AL132-AK43-AJ43-AI43</f>
        <v>0</v>
      </c>
      <c r="AM43" s="67">
        <f t="shared" si="5"/>
        <v>5</v>
      </c>
      <c r="AN43" s="241">
        <f>Data!AN132</f>
        <v>8</v>
      </c>
      <c r="AO43" s="68">
        <f>Data!AO132-AN43</f>
        <v>7</v>
      </c>
      <c r="AP43" s="68">
        <f>Data!AP132-AO43-AN43</f>
        <v>2</v>
      </c>
      <c r="AQ43" s="68">
        <f>Data!AQ132-AP43-AO43-AN43</f>
        <v>2</v>
      </c>
      <c r="AR43" s="67">
        <f t="shared" si="6"/>
        <v>19</v>
      </c>
      <c r="AS43" s="241">
        <f>Data!AS132</f>
        <v>22</v>
      </c>
      <c r="AT43" s="68">
        <f>Data!AT132-AS43</f>
        <v>10</v>
      </c>
      <c r="AU43" s="121">
        <f>Data!AU132-AT43-AS43</f>
        <v>3</v>
      </c>
      <c r="AV43" s="68">
        <f>Data!AV132-AU43-AT43-AS43</f>
        <v>1</v>
      </c>
      <c r="AW43" s="67">
        <f t="shared" si="7"/>
        <v>36</v>
      </c>
      <c r="AX43" s="121">
        <f>Data!AX132</f>
        <v>40</v>
      </c>
      <c r="AY43" s="121">
        <f>Data!AY132-AX43</f>
        <v>-1</v>
      </c>
      <c r="AZ43" s="121">
        <f>Data!AZ132-AY43-AX43</f>
        <v>4</v>
      </c>
      <c r="BA43" s="121">
        <f>Data!BA132-AZ43-AY43-AX43</f>
        <v>2</v>
      </c>
      <c r="BB43" s="67">
        <f t="shared" si="8"/>
        <v>45</v>
      </c>
      <c r="BC43" s="121">
        <f>Data!BC132</f>
        <v>23</v>
      </c>
      <c r="BD43" s="121">
        <f>Data!BD132-BC43</f>
        <v>24</v>
      </c>
      <c r="BE43" s="121">
        <f>Data!BE132-BD43-BC43</f>
        <v>39</v>
      </c>
      <c r="BF43" s="121">
        <f>Data!BF132-BE43-BD43-BC43</f>
        <v>42</v>
      </c>
      <c r="BG43" s="67">
        <f t="shared" si="133"/>
        <v>128</v>
      </c>
      <c r="BH43" s="121">
        <f>Data!BH132</f>
        <v>68</v>
      </c>
      <c r="BI43" s="121">
        <f>Data!BI132-BH43</f>
        <v>29</v>
      </c>
      <c r="BJ43" s="121">
        <f>Data!BJ132-BI43-BH43</f>
        <v>7</v>
      </c>
      <c r="BK43" s="121">
        <f>Data!BK132-BJ43-BI43-BH43</f>
        <v>10</v>
      </c>
      <c r="BL43" s="67">
        <f t="shared" si="134"/>
        <v>114</v>
      </c>
      <c r="BM43" s="121">
        <f>Data!BM132</f>
        <v>112</v>
      </c>
      <c r="BN43" s="121">
        <f>Data!BN132-BM43</f>
        <v>12</v>
      </c>
      <c r="BO43" s="121">
        <f>Data!BO132-BN43-BM43</f>
        <v>15</v>
      </c>
      <c r="BP43" s="121">
        <f>Data!BP132-BO43-BN43-BM43</f>
        <v>18</v>
      </c>
      <c r="BQ43" s="67">
        <f t="shared" si="135"/>
        <v>157</v>
      </c>
      <c r="BR43" s="121">
        <f>Data!BR132</f>
        <v>44</v>
      </c>
      <c r="BS43" s="121">
        <f>Data!BS132-BR43</f>
        <v>-44</v>
      </c>
      <c r="BT43" s="121">
        <f>Data!BT132-BS43-BR43</f>
        <v>0</v>
      </c>
      <c r="BU43" s="121">
        <f>Data!BU132-BT43-BS43-BR43</f>
        <v>0</v>
      </c>
      <c r="BV43" s="67">
        <f t="shared" si="136"/>
        <v>0</v>
      </c>
      <c r="BW43" s="121">
        <f>Data!BW132</f>
        <v>0</v>
      </c>
      <c r="BX43" s="121">
        <f>Data!BX132-BW43</f>
        <v>0</v>
      </c>
      <c r="BY43" s="121">
        <f>Data!BY132-BX43-BW43</f>
        <v>0</v>
      </c>
      <c r="BZ43" s="121">
        <f>Data!BZ132-BY43-BX43-BW43</f>
        <v>0</v>
      </c>
      <c r="CA43" s="67">
        <f t="shared" si="137"/>
        <v>0</v>
      </c>
      <c r="CB43" s="121">
        <f>Data!CB132</f>
        <v>0</v>
      </c>
      <c r="CC43" s="121">
        <f>Data!CC132-CB43</f>
        <v>0</v>
      </c>
      <c r="CD43" s="121">
        <f>Data!CD132-CC43-CB43</f>
        <v>0</v>
      </c>
      <c r="CE43" s="121">
        <f>Data!CE132-CD43-CC43-CB43</f>
        <v>0</v>
      </c>
      <c r="CF43" s="67">
        <f t="shared" si="138"/>
        <v>0</v>
      </c>
      <c r="CG43" s="121">
        <f>Data!CG132</f>
        <v>0</v>
      </c>
      <c r="CH43" s="121">
        <f>Data!CH132-CG43</f>
        <v>0</v>
      </c>
      <c r="CI43" s="121">
        <f>Data!CI132-CH43-CG43</f>
        <v>0</v>
      </c>
      <c r="CJ43" s="121">
        <f>Data!CJ132-CI43-CH43-CG43</f>
        <v>0</v>
      </c>
      <c r="CK43" s="120">
        <f t="shared" si="139"/>
        <v>0</v>
      </c>
      <c r="CL43" s="121">
        <f>Data!CL132</f>
        <v>0</v>
      </c>
      <c r="CM43" s="121">
        <f>Data!CM132-CL43</f>
        <v>0</v>
      </c>
      <c r="CN43" s="121">
        <f>Data!CN132-CM43-CL43</f>
        <v>0</v>
      </c>
      <c r="CO43" s="121">
        <f>Data!CO132-CN43-CM43-CL43</f>
        <v>0</v>
      </c>
      <c r="CP43" s="120">
        <f t="shared" si="140"/>
        <v>0</v>
      </c>
      <c r="CQ43" s="121">
        <f>Data!CQ132</f>
        <v>0</v>
      </c>
      <c r="CR43" s="121">
        <f>Data!CR132-CQ43</f>
        <v>0</v>
      </c>
      <c r="CS43" s="121">
        <f>Data!CS132-CR43-CQ43</f>
        <v>0</v>
      </c>
      <c r="CT43" s="121">
        <f>Data!CT132-CS43-CR43-CQ43</f>
        <v>0</v>
      </c>
      <c r="CU43" s="120">
        <f t="shared" si="141"/>
        <v>0</v>
      </c>
      <c r="CV43" s="121">
        <f>Data!CV132</f>
        <v>0</v>
      </c>
      <c r="CW43" s="121">
        <f>Data!CW132-CV43</f>
        <v>0</v>
      </c>
      <c r="CX43" s="121">
        <f>Data!CX132-CW43-CV43</f>
        <v>0</v>
      </c>
      <c r="CY43" s="121">
        <f>Data!CY132-CX43-CW43-CV43</f>
        <v>0</v>
      </c>
      <c r="CZ43" s="120">
        <f t="shared" si="142"/>
        <v>0</v>
      </c>
      <c r="DA43" s="121">
        <f>Data!DA132</f>
        <v>0</v>
      </c>
      <c r="DB43" s="121">
        <f>Data!DB132-DA43</f>
        <v>0</v>
      </c>
      <c r="DC43" s="121">
        <f>Data!DC132-DB43-DA43</f>
        <v>0</v>
      </c>
      <c r="DD43" s="121">
        <f>Data!DD132-DC43-DB43-DA43</f>
        <v>0</v>
      </c>
      <c r="DE43" s="120">
        <f t="shared" si="143"/>
        <v>0</v>
      </c>
      <c r="DF43" s="121">
        <f>Data!DF132</f>
        <v>0</v>
      </c>
      <c r="DG43" s="121">
        <f>Data!DG132-DF43</f>
        <v>0</v>
      </c>
      <c r="DH43" s="121">
        <f>Data!DH132-DG43-DF43</f>
        <v>0</v>
      </c>
      <c r="DI43" s="121">
        <f>Data!DI132-DH43-DG43-DF43</f>
        <v>0</v>
      </c>
      <c r="DJ43" s="120">
        <f t="shared" si="144"/>
        <v>0</v>
      </c>
      <c r="DK43" s="121">
        <f>Data!DK132</f>
        <v>0</v>
      </c>
      <c r="DL43" s="121">
        <f>Data!DL132-DK43</f>
        <v>0</v>
      </c>
      <c r="DM43" s="121">
        <f>Data!DM132-DL43-DK43</f>
        <v>0</v>
      </c>
      <c r="DN43" s="121">
        <f>Data!DN132-DM43-DL43-DK43</f>
        <v>0</v>
      </c>
      <c r="DO43" s="120">
        <f t="shared" si="145"/>
        <v>0</v>
      </c>
      <c r="DP43" s="121">
        <f>Data!DP132</f>
        <v>0</v>
      </c>
      <c r="DQ43" s="121">
        <f>Data!DQ132-DP43</f>
        <v>0</v>
      </c>
      <c r="DR43" s="179">
        <v>0</v>
      </c>
      <c r="DS43" s="179">
        <v>0</v>
      </c>
      <c r="DT43" s="120">
        <f t="shared" si="146"/>
        <v>0</v>
      </c>
      <c r="DU43" s="179">
        <v>0</v>
      </c>
      <c r="DV43" s="179">
        <v>0</v>
      </c>
      <c r="DW43" s="179">
        <v>0</v>
      </c>
      <c r="DX43" s="179">
        <v>0</v>
      </c>
      <c r="DY43" s="120">
        <f t="shared" si="147"/>
        <v>0</v>
      </c>
      <c r="DZ43" s="180">
        <v>0</v>
      </c>
      <c r="EA43" s="180">
        <v>0</v>
      </c>
      <c r="EB43" s="180">
        <v>0</v>
      </c>
    </row>
    <row r="44" spans="2:132" s="68" customFormat="1" ht="12" customHeight="1">
      <c r="B44" s="68" t="s">
        <v>341</v>
      </c>
      <c r="C44" s="67">
        <f>Data!C133</f>
        <v>0</v>
      </c>
      <c r="D44" s="67">
        <f>Data!D133</f>
        <v>0</v>
      </c>
      <c r="E44" s="67">
        <f>Data!E133</f>
        <v>0</v>
      </c>
      <c r="F44" s="67">
        <f>Data!F133</f>
        <v>0</v>
      </c>
      <c r="G44" s="67">
        <f>Data!G133</f>
        <v>0</v>
      </c>
      <c r="H44" s="67">
        <f>Data!H133</f>
        <v>0</v>
      </c>
      <c r="I44" s="67">
        <f>Data!I133</f>
        <v>0</v>
      </c>
      <c r="J44" s="68">
        <f>Data!J133</f>
        <v>0</v>
      </c>
      <c r="K44" s="68">
        <f>Data!K133-J44</f>
        <v>0</v>
      </c>
      <c r="L44" s="68">
        <f>Data!L133-K44-J44</f>
        <v>0</v>
      </c>
      <c r="M44" s="68">
        <f>Data!M133-L44-K44-J44</f>
        <v>0</v>
      </c>
      <c r="N44" s="67">
        <f t="shared" si="0"/>
        <v>0</v>
      </c>
      <c r="O44" s="68">
        <f>Data!O133</f>
        <v>0</v>
      </c>
      <c r="P44" s="68">
        <f>Data!P133-O44</f>
        <v>0</v>
      </c>
      <c r="Q44" s="68">
        <f>Data!Q133-P44-O44</f>
        <v>0</v>
      </c>
      <c r="R44" s="68">
        <f>Data!R133-Q44-P44-O44</f>
        <v>0</v>
      </c>
      <c r="S44" s="67">
        <f t="shared" si="1"/>
        <v>0</v>
      </c>
      <c r="T44" s="68">
        <f>Data!T133</f>
        <v>0</v>
      </c>
      <c r="U44" s="68">
        <f>Data!U133-T44</f>
        <v>0</v>
      </c>
      <c r="V44" s="68">
        <f>Data!V133-U44-T44</f>
        <v>0</v>
      </c>
      <c r="W44" s="68">
        <f>Data!W133-V44-U44-T44</f>
        <v>0</v>
      </c>
      <c r="X44" s="67">
        <f t="shared" si="2"/>
        <v>0</v>
      </c>
      <c r="Y44" s="68">
        <f>Data!Y133</f>
        <v>0</v>
      </c>
      <c r="Z44" s="68">
        <f>Data!Z133-Y44</f>
        <v>0</v>
      </c>
      <c r="AA44" s="68">
        <f>Data!AA133-Z44-Y44</f>
        <v>0</v>
      </c>
      <c r="AB44" s="68">
        <f>Data!AB133-AA44-Z44-Y44</f>
        <v>0</v>
      </c>
      <c r="AC44" s="67">
        <f t="shared" si="3"/>
        <v>0</v>
      </c>
      <c r="AD44" s="68">
        <f>Data!AD133</f>
        <v>0</v>
      </c>
      <c r="AE44" s="68">
        <f>Data!AE133-AD44</f>
        <v>0</v>
      </c>
      <c r="AF44" s="68">
        <f>Data!AF133-AE44-AD44</f>
        <v>-81</v>
      </c>
      <c r="AG44" s="68">
        <f>Data!AG133-AF44-AE44-AD44</f>
        <v>-54</v>
      </c>
      <c r="AH44" s="67">
        <f t="shared" si="4"/>
        <v>-135</v>
      </c>
      <c r="AI44" s="68">
        <f>Data!AI133</f>
        <v>-15</v>
      </c>
      <c r="AJ44" s="68">
        <f>Data!AJ133-AI44</f>
        <v>-2</v>
      </c>
      <c r="AK44" s="68">
        <f>Data!AK133-AJ44-AI44</f>
        <v>-2</v>
      </c>
      <c r="AL44" s="68">
        <f>Data!AL133-AK44-AJ44-AI44</f>
        <v>-2</v>
      </c>
      <c r="AM44" s="67">
        <f t="shared" si="5"/>
        <v>-21</v>
      </c>
      <c r="AN44" s="241">
        <f>Data!AN133</f>
        <v>-15</v>
      </c>
      <c r="AO44" s="68">
        <f>Data!AO133-AN44</f>
        <v>-3</v>
      </c>
      <c r="AP44" s="68">
        <f>Data!AP133-AO44-AN44</f>
        <v>-8</v>
      </c>
      <c r="AQ44" s="68">
        <f>Data!AQ133-AP44-AO44-AN44</f>
        <v>-4</v>
      </c>
      <c r="AR44" s="67">
        <f t="shared" si="6"/>
        <v>-30</v>
      </c>
      <c r="AS44" s="241">
        <f>Data!AS133</f>
        <v>-15</v>
      </c>
      <c r="AT44" s="68">
        <f>Data!AT133-AS44</f>
        <v>-3</v>
      </c>
      <c r="AU44" s="121">
        <f>Data!AU133-AT44-AS44</f>
        <v>-3</v>
      </c>
      <c r="AV44" s="68">
        <f>Data!AV133-AU44-AT44-AS44</f>
        <v>-3</v>
      </c>
      <c r="AW44" s="67">
        <f t="shared" si="7"/>
        <v>-24</v>
      </c>
      <c r="AX44" s="121">
        <f>Data!AX133</f>
        <v>-64</v>
      </c>
      <c r="AY44" s="121">
        <f>Data!AY133-AX44</f>
        <v>-4</v>
      </c>
      <c r="AZ44" s="121">
        <f>Data!AZ133-AY44-AX44</f>
        <v>-4</v>
      </c>
      <c r="BA44" s="121">
        <f>Data!BA133-AZ44-AY44-AX44</f>
        <v>-4</v>
      </c>
      <c r="BB44" s="67">
        <f t="shared" si="8"/>
        <v>-76</v>
      </c>
      <c r="BC44" s="121">
        <f>Data!BC133</f>
        <v>-52</v>
      </c>
      <c r="BD44" s="121">
        <f>Data!BD133-BC44</f>
        <v>-5</v>
      </c>
      <c r="BE44" s="121">
        <f>Data!BE133-BD44-BC44</f>
        <v>-3</v>
      </c>
      <c r="BF44" s="121">
        <f>Data!BF133-BE44-BD44-BC44</f>
        <v>-3</v>
      </c>
      <c r="BG44" s="67">
        <f t="shared" si="133"/>
        <v>-63</v>
      </c>
      <c r="BH44" s="121">
        <f>Data!BH133</f>
        <v>-84</v>
      </c>
      <c r="BI44" s="121">
        <f>Data!BI133-BH44</f>
        <v>-4</v>
      </c>
      <c r="BJ44" s="121">
        <f>Data!BJ133-BI44-BH44</f>
        <v>-6</v>
      </c>
      <c r="BK44" s="121">
        <f>Data!BK133-BJ44-BI44-BH44</f>
        <v>-4</v>
      </c>
      <c r="BL44" s="67">
        <f t="shared" si="134"/>
        <v>-98</v>
      </c>
      <c r="BM44" s="121">
        <f>Data!BM133</f>
        <v>-87</v>
      </c>
      <c r="BN44" s="121">
        <f>Data!BN133-BM44</f>
        <v>-3</v>
      </c>
      <c r="BO44" s="121">
        <f>Data!BO133-BN44-BM44</f>
        <v>-3</v>
      </c>
      <c r="BP44" s="121">
        <f>Data!BP133-BO44-BN44-BM44</f>
        <v>-3</v>
      </c>
      <c r="BQ44" s="67">
        <f t="shared" si="135"/>
        <v>-96</v>
      </c>
      <c r="BR44" s="121">
        <f>Data!BR133</f>
        <v>-76</v>
      </c>
      <c r="BS44" s="121">
        <f>Data!BS133-BR44</f>
        <v>-3</v>
      </c>
      <c r="BT44" s="121">
        <f>Data!BT133-BS44-BR44</f>
        <v>-4</v>
      </c>
      <c r="BU44" s="121">
        <f>Data!BU133-BT44-BS44-BR44</f>
        <v>-10</v>
      </c>
      <c r="BV44" s="67">
        <f t="shared" si="136"/>
        <v>-93</v>
      </c>
      <c r="BW44" s="121">
        <f>Data!BW133</f>
        <v>-107</v>
      </c>
      <c r="BX44" s="121">
        <f>Data!BX133-BW44</f>
        <v>-5</v>
      </c>
      <c r="BY44" s="121">
        <f>Data!BY133-BX44-BW44</f>
        <v>-6</v>
      </c>
      <c r="BZ44" s="121">
        <f>Data!BZ133-BY44-BX44-BW44</f>
        <v>-14</v>
      </c>
      <c r="CA44" s="67">
        <f t="shared" si="137"/>
        <v>-132</v>
      </c>
      <c r="CB44" s="121">
        <f>Data!CB133</f>
        <v>-226</v>
      </c>
      <c r="CC44" s="121">
        <f>Data!CC133-CB44</f>
        <v>-10</v>
      </c>
      <c r="CD44" s="121">
        <f>Data!CD133-CC44-CB44</f>
        <v>-11</v>
      </c>
      <c r="CE44" s="121">
        <f>Data!CE133-CD44-CC44-CB44</f>
        <v>-10</v>
      </c>
      <c r="CF44" s="67">
        <f t="shared" si="138"/>
        <v>-257</v>
      </c>
      <c r="CG44" s="121">
        <f>Data!CG133</f>
        <v>-233</v>
      </c>
      <c r="CH44" s="121">
        <f>Data!CH133-CG44</f>
        <v>-5</v>
      </c>
      <c r="CI44" s="121">
        <f>Data!CI133-CH44-CG44</f>
        <v>-3</v>
      </c>
      <c r="CJ44" s="121">
        <f>Data!CJ133-CI44-CH44-CG44</f>
        <v>-7</v>
      </c>
      <c r="CK44" s="120">
        <f t="shared" si="139"/>
        <v>-248</v>
      </c>
      <c r="CL44" s="121">
        <f>Data!CL133</f>
        <v>-162</v>
      </c>
      <c r="CM44" s="121">
        <f>Data!CM133-CL44</f>
        <v>-2</v>
      </c>
      <c r="CN44" s="121">
        <f>Data!CN133-CM44-CL44</f>
        <v>-5</v>
      </c>
      <c r="CO44" s="121">
        <f>Data!CO133-CN44-CM44-CL44</f>
        <v>-4</v>
      </c>
      <c r="CP44" s="120">
        <f t="shared" si="140"/>
        <v>-173</v>
      </c>
      <c r="CQ44" s="121">
        <f>Data!CQ133</f>
        <v>-38</v>
      </c>
      <c r="CR44" s="121">
        <f>Data!CR133-CQ44</f>
        <v>-2</v>
      </c>
      <c r="CS44" s="121">
        <f>Data!CS133-CR44-CQ44</f>
        <v>-7</v>
      </c>
      <c r="CT44" s="121">
        <f>Data!CT133-CS44-CR44-CQ44</f>
        <v>-19</v>
      </c>
      <c r="CU44" s="120">
        <f t="shared" si="141"/>
        <v>-66</v>
      </c>
      <c r="CV44" s="121">
        <f>Data!CV133</f>
        <v>-2</v>
      </c>
      <c r="CW44" s="121">
        <f>Data!CW133-CV44</f>
        <v>-32</v>
      </c>
      <c r="CX44" s="121">
        <f>Data!CX133-CW44-CV44</f>
        <v>-2</v>
      </c>
      <c r="CY44" s="121">
        <f>Data!CY133-CX44-CW44-CV44</f>
        <v>-4</v>
      </c>
      <c r="CZ44" s="120">
        <f t="shared" si="142"/>
        <v>-40</v>
      </c>
      <c r="DA44" s="121">
        <f>Data!DA133</f>
        <v>-42</v>
      </c>
      <c r="DB44" s="121">
        <f>Data!DB133-DA44</f>
        <v>-6</v>
      </c>
      <c r="DC44" s="121">
        <f>Data!DC133-DB44-DA44</f>
        <v>-4</v>
      </c>
      <c r="DD44" s="121">
        <f>Data!DD133-DC44-DB44-DA44</f>
        <v>-356</v>
      </c>
      <c r="DE44" s="120">
        <f t="shared" si="143"/>
        <v>-408</v>
      </c>
      <c r="DF44" s="121">
        <f>Data!DF133</f>
        <v>-65</v>
      </c>
      <c r="DG44" s="121">
        <f>Data!DG133-DF44</f>
        <v>-2</v>
      </c>
      <c r="DH44" s="121">
        <f>Data!DH133-DG44-DF44</f>
        <v>-6</v>
      </c>
      <c r="DI44" s="121">
        <f>Data!DI133-DH44-DG44-DF44</f>
        <v>-10</v>
      </c>
      <c r="DJ44" s="120">
        <f t="shared" si="144"/>
        <v>-83</v>
      </c>
      <c r="DK44" s="121">
        <f>Data!DK133</f>
        <v>-14</v>
      </c>
      <c r="DL44" s="121">
        <f>Data!DL133-DK44</f>
        <v>-4</v>
      </c>
      <c r="DM44" s="121">
        <f>Data!DM133-DL44-DK44</f>
        <v>-10</v>
      </c>
      <c r="DN44" s="121">
        <f>Data!DN133-DM44-DL44-DK44</f>
        <v>-6</v>
      </c>
      <c r="DO44" s="120">
        <f t="shared" si="145"/>
        <v>-34</v>
      </c>
      <c r="DP44" s="121">
        <f>Data!DP133</f>
        <v>-31</v>
      </c>
      <c r="DQ44" s="121">
        <f>Data!DQ133-DP44</f>
        <v>-1</v>
      </c>
      <c r="DR44" s="179">
        <v>-10</v>
      </c>
      <c r="DS44" s="179">
        <v>-10</v>
      </c>
      <c r="DT44" s="120">
        <f t="shared" si="146"/>
        <v>-52</v>
      </c>
      <c r="DU44" s="179">
        <v>-10</v>
      </c>
      <c r="DV44" s="179">
        <v>-10</v>
      </c>
      <c r="DW44" s="179">
        <v>-15</v>
      </c>
      <c r="DX44" s="179">
        <v>-15</v>
      </c>
      <c r="DY44" s="120">
        <f t="shared" si="147"/>
        <v>-50</v>
      </c>
      <c r="DZ44" s="180">
        <v>-60</v>
      </c>
      <c r="EA44" s="180">
        <v>-60</v>
      </c>
      <c r="EB44" s="180">
        <v>-60</v>
      </c>
    </row>
    <row r="45" spans="2:132" s="68" customFormat="1" ht="12" customHeight="1">
      <c r="B45" s="68" t="s">
        <v>98</v>
      </c>
      <c r="C45" s="67">
        <f>Data!C134</f>
        <v>-141</v>
      </c>
      <c r="D45" s="67">
        <f>Data!D134</f>
        <v>-1397</v>
      </c>
      <c r="E45" s="67">
        <f>Data!E134</f>
        <v>-2937</v>
      </c>
      <c r="F45" s="67">
        <f>Data!F134</f>
        <v>-2357</v>
      </c>
      <c r="G45" s="67">
        <f>Data!G134</f>
        <v>-2417</v>
      </c>
      <c r="H45" s="67">
        <f>Data!H134</f>
        <v>0</v>
      </c>
      <c r="I45" s="67">
        <f>Data!I134</f>
        <v>0</v>
      </c>
      <c r="J45" s="68">
        <f>Data!J134</f>
        <v>0</v>
      </c>
      <c r="K45" s="68">
        <f>Data!K134-J45</f>
        <v>-204</v>
      </c>
      <c r="L45" s="68">
        <f>Data!L134-K45-J45</f>
        <v>-115</v>
      </c>
      <c r="M45" s="68">
        <f>Data!M134-L45-K45-J45</f>
        <v>-433</v>
      </c>
      <c r="N45" s="67">
        <f t="shared" si="0"/>
        <v>-752</v>
      </c>
      <c r="O45" s="68">
        <f>Data!O134</f>
        <v>-495</v>
      </c>
      <c r="P45" s="68">
        <f>Data!P134-O45</f>
        <v>-645</v>
      </c>
      <c r="Q45" s="68">
        <f>Data!Q134-P45-O45</f>
        <v>-905</v>
      </c>
      <c r="R45" s="68">
        <f>Data!R134-Q45-P45-O45</f>
        <v>-832</v>
      </c>
      <c r="S45" s="67">
        <f t="shared" si="1"/>
        <v>-2877</v>
      </c>
      <c r="T45" s="68">
        <f>Data!T134</f>
        <v>-404</v>
      </c>
      <c r="U45" s="68">
        <f>Data!U134-T45</f>
        <v>-525</v>
      </c>
      <c r="V45" s="68">
        <f>Data!V134-U45-T45</f>
        <v>-325</v>
      </c>
      <c r="W45" s="68">
        <f>Data!W134-V45-U45-T45</f>
        <v>-444</v>
      </c>
      <c r="X45" s="67">
        <f t="shared" si="2"/>
        <v>-1698</v>
      </c>
      <c r="Y45" s="68">
        <f>Data!Y134</f>
        <v>-360</v>
      </c>
      <c r="Z45" s="68">
        <f>Data!Z134-Y45</f>
        <v>-586</v>
      </c>
      <c r="AA45" s="68">
        <f>Data!AA134-Z45-Y45</f>
        <v>-871</v>
      </c>
      <c r="AB45" s="68">
        <f>Data!AB134-AA45-Z45-Y45</f>
        <v>-958</v>
      </c>
      <c r="AC45" s="67">
        <f t="shared" si="3"/>
        <v>-2775</v>
      </c>
      <c r="AD45" s="68">
        <f>Data!AD134</f>
        <v>-1158</v>
      </c>
      <c r="AE45" s="68">
        <f>Data!AE134-AD45</f>
        <v>-906</v>
      </c>
      <c r="AF45" s="68">
        <f>Data!AF134-AE45-AD45</f>
        <v>-519</v>
      </c>
      <c r="AG45" s="68">
        <f>Data!AG134-AF45-AE45-AD45</f>
        <v>-354</v>
      </c>
      <c r="AH45" s="67">
        <f t="shared" si="4"/>
        <v>-2937</v>
      </c>
      <c r="AI45" s="68">
        <f>Data!AI134</f>
        <v>-50</v>
      </c>
      <c r="AJ45" s="68">
        <f>Data!AJ134-AI45</f>
        <v>0</v>
      </c>
      <c r="AK45" s="68">
        <f>Data!AK134-AJ45-AI45</f>
        <v>0</v>
      </c>
      <c r="AL45" s="68">
        <f>Data!AL134-AK45-AJ45-AI45</f>
        <v>0</v>
      </c>
      <c r="AM45" s="67">
        <f t="shared" si="5"/>
        <v>-50</v>
      </c>
      <c r="AN45" s="241">
        <f>Data!AN134</f>
        <v>0</v>
      </c>
      <c r="AO45" s="68">
        <f>Data!AO134-AN45</f>
        <v>0</v>
      </c>
      <c r="AP45" s="68">
        <f>Data!AP134-AO45-AN45</f>
        <v>0</v>
      </c>
      <c r="AQ45" s="68">
        <f>Data!AQ134-AP45-AO45-AN45</f>
        <v>0</v>
      </c>
      <c r="AR45" s="67">
        <f t="shared" si="6"/>
        <v>0</v>
      </c>
      <c r="AS45" s="241">
        <f>Data!AS134</f>
        <v>0</v>
      </c>
      <c r="AT45" s="68">
        <f>Data!AT134-AS45</f>
        <v>0</v>
      </c>
      <c r="AU45" s="121">
        <f>Data!AU134-AT45-AS45</f>
        <v>0</v>
      </c>
      <c r="AV45" s="68">
        <f>Data!AV134-AU45-AT45-AS45</f>
        <v>0</v>
      </c>
      <c r="AW45" s="67">
        <f t="shared" si="7"/>
        <v>0</v>
      </c>
      <c r="AX45" s="121">
        <f>Data!AX134</f>
        <v>0</v>
      </c>
      <c r="AY45" s="121">
        <f>Data!AY134-AX45</f>
        <v>0</v>
      </c>
      <c r="AZ45" s="121">
        <f>Data!AZ134-AY45-AX45</f>
        <v>0</v>
      </c>
      <c r="BA45" s="121">
        <f>Data!BA134-AZ45-AY45-AX45</f>
        <v>0</v>
      </c>
      <c r="BB45" s="67">
        <f t="shared" si="8"/>
        <v>0</v>
      </c>
      <c r="BC45" s="121">
        <f>Data!BC134</f>
        <v>0</v>
      </c>
      <c r="BD45" s="121">
        <f>Data!BD134-BC45</f>
        <v>-1000</v>
      </c>
      <c r="BE45" s="121">
        <f>Data!BE134-BD45-BC45</f>
        <v>-799</v>
      </c>
      <c r="BF45" s="121">
        <f>Data!BF134-BE45-BD45-BC45</f>
        <v>-1002</v>
      </c>
      <c r="BG45" s="67">
        <f t="shared" si="133"/>
        <v>-2801</v>
      </c>
      <c r="BH45" s="121">
        <f>Data!BH134</f>
        <v>-2500</v>
      </c>
      <c r="BI45" s="121">
        <f>Data!BI134-BH45</f>
        <v>-1498</v>
      </c>
      <c r="BJ45" s="121">
        <f>Data!BJ134-BI45-BH45</f>
        <v>-1002</v>
      </c>
      <c r="BK45" s="121">
        <f>Data!BK134-BJ45-BI45-BH45</f>
        <v>-1001</v>
      </c>
      <c r="BL45" s="67">
        <f t="shared" si="134"/>
        <v>-6001</v>
      </c>
      <c r="BM45" s="121">
        <f>Data!BM134</f>
        <v>-2500</v>
      </c>
      <c r="BN45" s="121">
        <f>Data!BN134-BM45</f>
        <v>-2001</v>
      </c>
      <c r="BO45" s="121">
        <f>Data!BO134-BN45-BM45</f>
        <v>-1500</v>
      </c>
      <c r="BP45" s="121">
        <f>Data!BP134-BO45-BN45-BM45</f>
        <v>-750</v>
      </c>
      <c r="BQ45" s="67">
        <f t="shared" si="135"/>
        <v>-6751</v>
      </c>
      <c r="BR45" s="121">
        <f>Data!BR134</f>
        <v>-3501</v>
      </c>
      <c r="BS45" s="121">
        <f>Data!BS134-BR45</f>
        <v>-2000</v>
      </c>
      <c r="BT45" s="121">
        <f>Data!BT134-BS45-BR45</f>
        <v>-1000</v>
      </c>
      <c r="BU45" s="121">
        <f>Data!BU134-BT45-BS45-BR45</f>
        <v>-500</v>
      </c>
      <c r="BV45" s="67">
        <f t="shared" si="136"/>
        <v>-7001</v>
      </c>
      <c r="BW45" s="121">
        <f>Data!BW134</f>
        <v>-2500</v>
      </c>
      <c r="BX45" s="121">
        <f>Data!BX134-BW45</f>
        <v>-2500</v>
      </c>
      <c r="BY45" s="121">
        <f>Data!BY134-BX45-BW45</f>
        <v>-2500</v>
      </c>
      <c r="BZ45" s="121">
        <f>Data!BZ134-BY45-BX45-BW45</f>
        <v>-1736</v>
      </c>
      <c r="CA45" s="67">
        <f t="shared" si="137"/>
        <v>-9236</v>
      </c>
      <c r="CB45" s="121">
        <f>Data!CB134</f>
        <v>-3000</v>
      </c>
      <c r="CC45" s="121">
        <f>Data!CC134-CB45</f>
        <v>-2965</v>
      </c>
      <c r="CD45" s="121">
        <f>Data!CD134-CC45-CB45</f>
        <v>-2450</v>
      </c>
      <c r="CE45" s="121">
        <f>Data!CE134-CD45-CC45-CB45</f>
        <v>-585</v>
      </c>
      <c r="CF45" s="67">
        <f t="shared" si="138"/>
        <v>-9000</v>
      </c>
      <c r="CG45" s="121">
        <f>Data!CG134</f>
        <v>-2341</v>
      </c>
      <c r="CH45" s="121">
        <f>Data!CH134-CG45</f>
        <v>-310</v>
      </c>
      <c r="CI45" s="121">
        <f>Data!CI134-CH45-CG45</f>
        <v>0</v>
      </c>
      <c r="CJ45" s="121">
        <f>Data!CJ134-CI45-CH45-CG45</f>
        <v>0</v>
      </c>
      <c r="CK45" s="120">
        <f t="shared" si="139"/>
        <v>-2651</v>
      </c>
      <c r="CL45" s="121">
        <f>Data!CL134</f>
        <v>0</v>
      </c>
      <c r="CM45" s="121">
        <f>Data!CM134-CL45</f>
        <v>0</v>
      </c>
      <c r="CN45" s="121">
        <f>Data!CN134-CM45-CL45</f>
        <v>0</v>
      </c>
      <c r="CO45" s="121">
        <f>Data!CO134-CN45-CM45-CL45</f>
        <v>0</v>
      </c>
      <c r="CP45" s="120">
        <f t="shared" si="140"/>
        <v>0</v>
      </c>
      <c r="CQ45" s="121">
        <f>Data!CQ134</f>
        <v>0</v>
      </c>
      <c r="CR45" s="121">
        <f>Data!CR134-CQ45</f>
        <v>0</v>
      </c>
      <c r="CS45" s="121">
        <f>Data!CS134-CR45-CQ45</f>
        <v>0</v>
      </c>
      <c r="CT45" s="121">
        <f>Data!CT134-CS45-CR45-CQ45</f>
        <v>0</v>
      </c>
      <c r="CU45" s="120">
        <f t="shared" si="141"/>
        <v>0</v>
      </c>
      <c r="CV45" s="121">
        <f>Data!CV134</f>
        <v>0</v>
      </c>
      <c r="CW45" s="121">
        <f>Data!CW134-CV45</f>
        <v>0</v>
      </c>
      <c r="CX45" s="121">
        <f>Data!CX134-CW45-CV45</f>
        <v>0</v>
      </c>
      <c r="CY45" s="121">
        <f>Data!CY134-CX45-CW45-CV45</f>
        <v>0</v>
      </c>
      <c r="CZ45" s="120">
        <f t="shared" si="142"/>
        <v>0</v>
      </c>
      <c r="DA45" s="121">
        <f>Data!DA134</f>
        <v>0</v>
      </c>
      <c r="DB45" s="121">
        <f>Data!DB134-DA45</f>
        <v>0</v>
      </c>
      <c r="DC45" s="121">
        <f>Data!DC134-DB45-DA45</f>
        <v>0</v>
      </c>
      <c r="DD45" s="121">
        <f>Data!DD134-DC45-DB45-DA45</f>
        <v>0</v>
      </c>
      <c r="DE45" s="120">
        <f t="shared" si="143"/>
        <v>0</v>
      </c>
      <c r="DF45" s="121">
        <f>Data!DF134</f>
        <v>0</v>
      </c>
      <c r="DG45" s="121">
        <f>Data!DG134-DF45</f>
        <v>0</v>
      </c>
      <c r="DH45" s="121">
        <f>Data!DH134-DG45-DF45</f>
        <v>0</v>
      </c>
      <c r="DI45" s="121">
        <f>Data!DI134-DH45-DG45-DF45</f>
        <v>23857</v>
      </c>
      <c r="DJ45" s="120">
        <f t="shared" si="144"/>
        <v>23857</v>
      </c>
      <c r="DK45" s="121">
        <f>Data!DK134</f>
        <v>0</v>
      </c>
      <c r="DL45" s="121">
        <f>Data!DL134-DK45</f>
        <v>0</v>
      </c>
      <c r="DM45" s="121">
        <f>Data!DM134-DL45-DK45</f>
        <v>0</v>
      </c>
      <c r="DN45" s="121">
        <f>Data!DN134-DM45-DL45-DK45</f>
        <v>0</v>
      </c>
      <c r="DO45" s="120">
        <f t="shared" si="145"/>
        <v>0</v>
      </c>
      <c r="DP45" s="121">
        <f>Data!DP134</f>
        <v>0</v>
      </c>
      <c r="DQ45" s="121">
        <f>Data!DQ134-DP45</f>
        <v>0</v>
      </c>
      <c r="DR45" s="179">
        <v>0</v>
      </c>
      <c r="DS45" s="179">
        <v>0</v>
      </c>
      <c r="DT45" s="120">
        <f t="shared" si="146"/>
        <v>0</v>
      </c>
      <c r="DU45" s="179">
        <v>-1000</v>
      </c>
      <c r="DV45" s="179">
        <v>-1000</v>
      </c>
      <c r="DW45" s="179">
        <v>-1500</v>
      </c>
      <c r="DX45" s="179">
        <v>-1500</v>
      </c>
      <c r="DY45" s="120">
        <f t="shared" si="147"/>
        <v>-5000</v>
      </c>
      <c r="DZ45" s="180">
        <v>-10000</v>
      </c>
      <c r="EA45" s="180">
        <v>-12000</v>
      </c>
      <c r="EB45" s="180">
        <v>-15000</v>
      </c>
    </row>
    <row r="46" spans="2:132" s="68" customFormat="1" ht="12" customHeight="1">
      <c r="B46" s="68" t="s">
        <v>99</v>
      </c>
      <c r="C46" s="67">
        <f>Data!C135</f>
        <v>-557</v>
      </c>
      <c r="D46" s="67">
        <f>Data!D135</f>
        <v>-564</v>
      </c>
      <c r="E46" s="67">
        <f>Data!E135</f>
        <v>-537</v>
      </c>
      <c r="F46" s="67">
        <f>Data!F135</f>
        <v>-504</v>
      </c>
      <c r="G46" s="67">
        <f>Data!G135</f>
        <v>-582</v>
      </c>
      <c r="H46" s="67">
        <f>Data!H135</f>
        <v>-571</v>
      </c>
      <c r="I46" s="67">
        <f>Data!I135</f>
        <v>-572</v>
      </c>
      <c r="J46" s="68">
        <f>Data!J135</f>
        <v>-143</v>
      </c>
      <c r="K46" s="68">
        <f>Data!K135-J46</f>
        <v>-169</v>
      </c>
      <c r="L46" s="68">
        <f>Data!L135-K46-J46</f>
        <v>-168</v>
      </c>
      <c r="M46" s="68">
        <f>Data!M135-L46-K46-J46</f>
        <v>-168</v>
      </c>
      <c r="N46" s="67">
        <f t="shared" si="0"/>
        <v>-648</v>
      </c>
      <c r="O46" s="68">
        <f>Data!O135</f>
        <v>-208</v>
      </c>
      <c r="P46" s="68">
        <f>Data!P135-O46</f>
        <v>-207</v>
      </c>
      <c r="Q46" s="68">
        <f>Data!Q135-P46-O46</f>
        <v>-205</v>
      </c>
      <c r="R46" s="68">
        <f>Data!R135-Q46-P46-O46</f>
        <v>-200</v>
      </c>
      <c r="S46" s="67">
        <f t="shared" si="1"/>
        <v>-820</v>
      </c>
      <c r="T46" s="68">
        <f>Data!T135</f>
        <v>-240</v>
      </c>
      <c r="U46" s="68">
        <f>Data!U135-T46</f>
        <v>-241</v>
      </c>
      <c r="V46" s="68">
        <f>Data!V135-U46-T46</f>
        <v>-238</v>
      </c>
      <c r="W46" s="68">
        <f>Data!W135-V46-U46-T46</f>
        <v>-237</v>
      </c>
      <c r="X46" s="67">
        <f t="shared" si="2"/>
        <v>-956</v>
      </c>
      <c r="Y46" s="68">
        <f>Data!Y135</f>
        <v>-276</v>
      </c>
      <c r="Z46" s="68">
        <f>Data!Z135-Y46</f>
        <v>-276</v>
      </c>
      <c r="AA46" s="68">
        <f>Data!AA135-Z46-Y46</f>
        <v>-274</v>
      </c>
      <c r="AB46" s="68">
        <f>Data!AB135-AA46-Z46-Y46</f>
        <v>-270</v>
      </c>
      <c r="AC46" s="67">
        <f t="shared" si="3"/>
        <v>-1096</v>
      </c>
      <c r="AD46" s="68">
        <f>Data!AD135</f>
        <v>-306</v>
      </c>
      <c r="AE46" s="68">
        <f>Data!AE135-AD46</f>
        <v>-300</v>
      </c>
      <c r="AF46" s="68">
        <f>Data!AF135-AE46-AD46</f>
        <v>-295</v>
      </c>
      <c r="AG46" s="68">
        <f>Data!AG135-AF46-AE46-AD46</f>
        <v>-291</v>
      </c>
      <c r="AH46" s="67">
        <f t="shared" si="4"/>
        <v>-1192</v>
      </c>
      <c r="AI46" s="68">
        <f>Data!AI135</f>
        <v>-305</v>
      </c>
      <c r="AJ46" s="68">
        <f>Data!AJ135-AI46</f>
        <v>-305</v>
      </c>
      <c r="AK46" s="68">
        <f>Data!AK135-AJ46-AI46</f>
        <v>-305</v>
      </c>
      <c r="AL46" s="68">
        <f>Data!AL135-AK46-AJ46-AI46</f>
        <v>-305</v>
      </c>
      <c r="AM46" s="67">
        <f t="shared" si="5"/>
        <v>-1220</v>
      </c>
      <c r="AN46" s="241">
        <f>Data!AN135</f>
        <v>-318</v>
      </c>
      <c r="AO46" s="68">
        <f>Data!AO135-AN46</f>
        <v>-319</v>
      </c>
      <c r="AP46" s="68">
        <f>Data!AP135-AO46-AN46</f>
        <v>-308</v>
      </c>
      <c r="AQ46" s="68">
        <f>Data!AQ135-AP46-AO46-AN46</f>
        <v>-308</v>
      </c>
      <c r="AR46" s="67">
        <f t="shared" si="6"/>
        <v>-1253</v>
      </c>
      <c r="AS46" s="241">
        <f>Data!AS135</f>
        <v>-309</v>
      </c>
      <c r="AT46" s="68">
        <f>Data!AT135-AS46</f>
        <v>-311</v>
      </c>
      <c r="AU46" s="121">
        <f>Data!AU135-AT46-AS46</f>
        <v>-312</v>
      </c>
      <c r="AV46" s="68">
        <f>Data!AV135-AU46-AT46-AS46</f>
        <v>-312</v>
      </c>
      <c r="AW46" s="67">
        <f t="shared" si="7"/>
        <v>-1244</v>
      </c>
      <c r="AX46" s="121">
        <f>Data!AX135</f>
        <v>-328</v>
      </c>
      <c r="AY46" s="121">
        <f>Data!AY135-AX46</f>
        <v>-330</v>
      </c>
      <c r="AZ46" s="121">
        <f>Data!AZ135-AY46-AX46</f>
        <v>-332</v>
      </c>
      <c r="BA46" s="121">
        <f>Data!BA135-AZ46-AY46-AX46</f>
        <v>-332</v>
      </c>
      <c r="BB46" s="67">
        <f t="shared" si="8"/>
        <v>-1322</v>
      </c>
      <c r="BC46" s="121">
        <f>Data!BC135</f>
        <v>-367</v>
      </c>
      <c r="BD46" s="121">
        <f>Data!BD135-BC46</f>
        <v>-368</v>
      </c>
      <c r="BE46" s="121">
        <f>Data!BE135-BD46-BC46</f>
        <v>-367</v>
      </c>
      <c r="BF46" s="121">
        <f>Data!BF135-BE46-BD46-BC46</f>
        <v>-365</v>
      </c>
      <c r="BG46" s="67">
        <f t="shared" si="133"/>
        <v>-1467</v>
      </c>
      <c r="BH46" s="121">
        <f>Data!BH135</f>
        <v>-540</v>
      </c>
      <c r="BI46" s="121">
        <f>Data!BI135-BH46</f>
        <v>-531</v>
      </c>
      <c r="BJ46" s="121">
        <f>Data!BJ135-BI46-BH46</f>
        <v>-525</v>
      </c>
      <c r="BK46" s="121">
        <f>Data!BK135-BJ46-BI46-BH46</f>
        <v>-519</v>
      </c>
      <c r="BL46" s="67">
        <f t="shared" si="134"/>
        <v>-2115</v>
      </c>
      <c r="BM46" s="121">
        <f>Data!BM135</f>
        <v>-639</v>
      </c>
      <c r="BN46" s="121">
        <f>Data!BN135-BM46</f>
        <v>-625</v>
      </c>
      <c r="BO46" s="121">
        <f>Data!BO135-BN46-BM46</f>
        <v>-618</v>
      </c>
      <c r="BP46" s="121">
        <f>Data!BP135-BO46-BN46-BM46</f>
        <v>-608</v>
      </c>
      <c r="BQ46" s="67">
        <f t="shared" si="135"/>
        <v>-2490</v>
      </c>
      <c r="BR46" s="121">
        <f>Data!BR135</f>
        <v>-717</v>
      </c>
      <c r="BS46" s="121">
        <f>Data!BS135-BR46</f>
        <v>-691</v>
      </c>
      <c r="BT46" s="121">
        <f>Data!BT135-BS46-BR46</f>
        <v>-676</v>
      </c>
      <c r="BU46" s="121">
        <f>Data!BU135-BT46-BS46-BR46</f>
        <v>-672</v>
      </c>
      <c r="BV46" s="67">
        <f t="shared" si="136"/>
        <v>-2756</v>
      </c>
      <c r="BW46" s="121">
        <f>Data!BW135</f>
        <v>-868</v>
      </c>
      <c r="BX46" s="121">
        <f>Data!BX135-BW46</f>
        <v>-852</v>
      </c>
      <c r="BY46" s="121">
        <f>Data!BY135-BX46-BW46</f>
        <v>-855</v>
      </c>
      <c r="BZ46" s="121">
        <f>Data!BZ135-BY46-BX46-BW46</f>
        <v>-842</v>
      </c>
      <c r="CA46" s="67">
        <f t="shared" ref="CA46" si="148">SUM(BW46:BZ46)</f>
        <v>-3417</v>
      </c>
      <c r="CB46" s="121">
        <f>Data!CB135</f>
        <v>-1006</v>
      </c>
      <c r="CC46" s="121">
        <f>Data!CC135-CB46</f>
        <v>-991</v>
      </c>
      <c r="CD46" s="121">
        <f>Data!CD135-CC46-CB46</f>
        <v>-979</v>
      </c>
      <c r="CE46" s="121">
        <f>Data!CE135-CD46-CC46-CB46</f>
        <v>-970</v>
      </c>
      <c r="CF46" s="67">
        <f t="shared" ref="CF46" si="149">SUM(CB46:CE46)</f>
        <v>-3946</v>
      </c>
      <c r="CG46" s="121">
        <f>Data!CG135</f>
        <v>-1161</v>
      </c>
      <c r="CH46" s="121">
        <f>Data!CH135-CG46</f>
        <v>-1156</v>
      </c>
      <c r="CI46" s="121">
        <f>Data!CI135-CH46-CG46</f>
        <v>-1156</v>
      </c>
      <c r="CJ46" s="121">
        <f>Data!CJ135-CI46-CH46-CG46</f>
        <v>-1157</v>
      </c>
      <c r="CK46" s="120">
        <f t="shared" ref="CK46" si="150">SUM(CG46:CJ46)</f>
        <v>-4630</v>
      </c>
      <c r="CL46" s="121">
        <f>Data!CL135</f>
        <v>-1158</v>
      </c>
      <c r="CM46" s="121">
        <f>Data!CM135-CL46</f>
        <v>0</v>
      </c>
      <c r="CN46" s="121">
        <f>Data!CN135-CM46-CL46</f>
        <v>0</v>
      </c>
      <c r="CO46" s="121">
        <f>Data!CO135-CN46-CM46-CL46</f>
        <v>0</v>
      </c>
      <c r="CP46" s="120">
        <f t="shared" ref="CP46" si="151">SUM(CL46:CO46)</f>
        <v>-1158</v>
      </c>
      <c r="CQ46" s="121">
        <f>Data!CQ135</f>
        <v>0</v>
      </c>
      <c r="CR46" s="121">
        <f>Data!CR135-CQ46</f>
        <v>0</v>
      </c>
      <c r="CS46" s="121">
        <f>Data!CS135-CR46-CQ46</f>
        <v>0</v>
      </c>
      <c r="CT46" s="121">
        <f>Data!CT135-CS46-CR46-CQ46</f>
        <v>0</v>
      </c>
      <c r="CU46" s="120">
        <f t="shared" ref="CU46" si="152">SUM(CQ46:CT46)</f>
        <v>0</v>
      </c>
      <c r="CV46" s="121">
        <f>Data!CV135</f>
        <v>0</v>
      </c>
      <c r="CW46" s="121">
        <f>Data!CW135-CV46</f>
        <v>0</v>
      </c>
      <c r="CX46" s="121">
        <f>Data!CX135-CW46-CV46</f>
        <v>0</v>
      </c>
      <c r="CY46" s="121">
        <f>Data!CY135-CX46-CW46-CV46</f>
        <v>0</v>
      </c>
      <c r="CZ46" s="120">
        <f t="shared" ref="CZ46" si="153">SUM(CV46:CY46)</f>
        <v>0</v>
      </c>
      <c r="DA46" s="121">
        <f>Data!DA135</f>
        <v>0</v>
      </c>
      <c r="DB46" s="121">
        <f>Data!DB135-DA46</f>
        <v>0</v>
      </c>
      <c r="DC46" s="121">
        <f>Data!DC135-DB46-DA46</f>
        <v>0</v>
      </c>
      <c r="DD46" s="121">
        <f>Data!DD135-DC46-DB46-DA46</f>
        <v>0</v>
      </c>
      <c r="DE46" s="120">
        <f t="shared" ref="DE46" si="154">SUM(DA46:DD46)</f>
        <v>0</v>
      </c>
      <c r="DF46" s="121">
        <f>Data!DF135</f>
        <v>0</v>
      </c>
      <c r="DG46" s="121">
        <f>Data!DG135-DF46</f>
        <v>0</v>
      </c>
      <c r="DH46" s="121">
        <f>Data!DH135-DG46-DF46</f>
        <v>0</v>
      </c>
      <c r="DI46" s="121">
        <f>Data!DI135-DH46-DG46-DF46</f>
        <v>0</v>
      </c>
      <c r="DJ46" s="120">
        <f t="shared" ref="DJ46" si="155">SUM(DF46:DI46)</f>
        <v>0</v>
      </c>
      <c r="DK46" s="121">
        <f>Data!DK135</f>
        <v>-72</v>
      </c>
      <c r="DL46" s="121">
        <f>Data!DL135-DK46</f>
        <v>-86</v>
      </c>
      <c r="DM46" s="121">
        <f>Data!DM135-DL46-DK46</f>
        <v>-86</v>
      </c>
      <c r="DN46" s="121">
        <f>Data!DN135-DM46-DL46-DK46</f>
        <v>-87</v>
      </c>
      <c r="DO46" s="120">
        <f t="shared" si="145"/>
        <v>-331</v>
      </c>
      <c r="DP46" s="121">
        <f>Data!DP135</f>
        <v>-86</v>
      </c>
      <c r="DQ46" s="121">
        <f>Data!DQ135-DP46</f>
        <v>-86</v>
      </c>
      <c r="DR46" s="184">
        <f>-IS!DR42*IS!DR40</f>
        <v>0</v>
      </c>
      <c r="DS46" s="184">
        <f>-IS!DS42*IS!DS40</f>
        <v>0</v>
      </c>
      <c r="DT46" s="120">
        <f t="shared" ref="DT46" si="156">SUM(DP46:DS46)</f>
        <v>-172</v>
      </c>
      <c r="DU46" s="184">
        <f>-IS!DU42*IS!DU40</f>
        <v>0</v>
      </c>
      <c r="DV46" s="184">
        <f>-IS!DV42*IS!DV40</f>
        <v>0</v>
      </c>
      <c r="DW46" s="184">
        <f>-IS!DW42*IS!DW40</f>
        <v>0</v>
      </c>
      <c r="DX46" s="184">
        <f>-IS!DX42*IS!DX40</f>
        <v>0</v>
      </c>
      <c r="DY46" s="120">
        <f t="shared" ref="DY46" si="157">SUM(DU46:DX46)</f>
        <v>0</v>
      </c>
      <c r="DZ46" s="185">
        <f>-IS!DZ42*IS!DZ40</f>
        <v>0</v>
      </c>
      <c r="EA46" s="185">
        <f>-IS!EA42*IS!EA40</f>
        <v>0</v>
      </c>
      <c r="EB46" s="185">
        <f>-IS!EB42*IS!EB40</f>
        <v>0</v>
      </c>
    </row>
    <row r="47" spans="2:132" s="68" customFormat="1" ht="12" customHeight="1">
      <c r="B47" s="68" t="s">
        <v>100</v>
      </c>
      <c r="C47" s="67">
        <f>Data!C136</f>
        <v>268</v>
      </c>
      <c r="D47" s="67">
        <f>Data!D136</f>
        <v>0</v>
      </c>
      <c r="E47" s="67">
        <f>Data!E136</f>
        <v>0</v>
      </c>
      <c r="F47" s="67">
        <f>Data!F136</f>
        <v>0</v>
      </c>
      <c r="G47" s="67">
        <f>Data!G136</f>
        <v>0</v>
      </c>
      <c r="H47" s="67">
        <f>Data!H136</f>
        <v>0</v>
      </c>
      <c r="I47" s="67">
        <f>Data!I136</f>
        <v>0</v>
      </c>
      <c r="J47" s="68">
        <f>Data!J136</f>
        <v>0</v>
      </c>
      <c r="K47" s="68">
        <f>Data!K136-J47</f>
        <v>0</v>
      </c>
      <c r="L47" s="68">
        <f>Data!L136-K47-J47</f>
        <v>0</v>
      </c>
      <c r="M47" s="68">
        <f>Data!M136-L47-K47-J47</f>
        <v>0</v>
      </c>
      <c r="N47" s="67">
        <f t="shared" si="0"/>
        <v>0</v>
      </c>
      <c r="O47" s="68">
        <f>Data!O136</f>
        <v>0</v>
      </c>
      <c r="P47" s="68">
        <f>Data!P136-O47</f>
        <v>0</v>
      </c>
      <c r="Q47" s="68">
        <f>Data!Q136-P47-O47</f>
        <v>0</v>
      </c>
      <c r="R47" s="68">
        <f>Data!R136-Q47-P47-O47</f>
        <v>0</v>
      </c>
      <c r="S47" s="67">
        <f t="shared" si="1"/>
        <v>0</v>
      </c>
      <c r="T47" s="68">
        <f>Data!T136</f>
        <v>0</v>
      </c>
      <c r="U47" s="68">
        <f>Data!U136-T47</f>
        <v>0</v>
      </c>
      <c r="V47" s="68">
        <f>Data!V136-U47-T47</f>
        <v>0</v>
      </c>
      <c r="W47" s="68">
        <f>Data!W136-V47-U47-T47</f>
        <v>0</v>
      </c>
      <c r="X47" s="67">
        <f t="shared" si="2"/>
        <v>0</v>
      </c>
      <c r="Y47" s="68">
        <f>Data!Y136</f>
        <v>0</v>
      </c>
      <c r="Z47" s="68">
        <f>Data!Z136-Y47</f>
        <v>0</v>
      </c>
      <c r="AA47" s="68">
        <f>Data!AA136-Z47-Y47</f>
        <v>0</v>
      </c>
      <c r="AB47" s="68">
        <f>Data!AB136-AA47-Z47-Y47</f>
        <v>0</v>
      </c>
      <c r="AC47" s="67">
        <f t="shared" si="3"/>
        <v>0</v>
      </c>
      <c r="AD47" s="68">
        <f>Data!AD136</f>
        <v>0</v>
      </c>
      <c r="AE47" s="68">
        <f>Data!AE136-AD47</f>
        <v>0</v>
      </c>
      <c r="AF47" s="68">
        <f>Data!AF136-AE47-AD47</f>
        <v>-210</v>
      </c>
      <c r="AG47" s="68">
        <f>Data!AG136-AF47-AE47-AD47</f>
        <v>-147</v>
      </c>
      <c r="AH47" s="67">
        <f t="shared" si="4"/>
        <v>-357</v>
      </c>
      <c r="AI47" s="68">
        <f>Data!AI136</f>
        <v>0</v>
      </c>
      <c r="AJ47" s="68">
        <f>Data!AJ136-AI47</f>
        <v>0</v>
      </c>
      <c r="AK47" s="68">
        <f>Data!AK136-AJ47-AI47</f>
        <v>0</v>
      </c>
      <c r="AL47" s="68">
        <f>Data!AL136-AK47-AJ47-AI47</f>
        <v>-40</v>
      </c>
      <c r="AM47" s="67">
        <f t="shared" si="5"/>
        <v>-40</v>
      </c>
      <c r="AN47" s="241">
        <f>Data!AN136</f>
        <v>-13</v>
      </c>
      <c r="AO47" s="68">
        <f>Data!AO136-AN47</f>
        <v>-124</v>
      </c>
      <c r="AP47" s="68">
        <f>Data!AP136-AO47-AN47</f>
        <v>0</v>
      </c>
      <c r="AQ47" s="68">
        <f>Data!AQ136-AP47-AO47-AN47</f>
        <v>0</v>
      </c>
      <c r="AR47" s="67">
        <f t="shared" si="6"/>
        <v>-137</v>
      </c>
      <c r="AS47" s="241">
        <f>Data!AS136</f>
        <v>-392</v>
      </c>
      <c r="AT47" s="68">
        <f>Data!AT136-AS47</f>
        <v>-14</v>
      </c>
      <c r="AU47" s="121">
        <f>Data!AU136-AT47-AS47</f>
        <v>-30</v>
      </c>
      <c r="AV47" s="68">
        <f>Data!AV136-AU47-AT47-AS47</f>
        <v>-15</v>
      </c>
      <c r="AW47" s="67">
        <f t="shared" si="7"/>
        <v>-451</v>
      </c>
      <c r="AX47" s="121">
        <f>Data!AX136</f>
        <v>-72</v>
      </c>
      <c r="AY47" s="121">
        <f>Data!AY136-AX47</f>
        <v>0</v>
      </c>
      <c r="AZ47" s="121">
        <f>Data!AZ136-AY47-AX47</f>
        <v>0</v>
      </c>
      <c r="BA47" s="121">
        <f>Data!BA136-AZ47-AY47-AX47</f>
        <v>-156</v>
      </c>
      <c r="BB47" s="67">
        <f t="shared" si="8"/>
        <v>-228</v>
      </c>
      <c r="BC47" s="121">
        <f>Data!BC136</f>
        <v>-138</v>
      </c>
      <c r="BD47" s="121">
        <f>Data!BD136-BC47</f>
        <v>-1</v>
      </c>
      <c r="BE47" s="121">
        <f>Data!BE136-BD47-BC47</f>
        <v>0</v>
      </c>
      <c r="BF47" s="121">
        <f>Data!BF136-BE47-BD47-BC47</f>
        <v>-141</v>
      </c>
      <c r="BG47" s="67">
        <f>SUM(BC47:BF47)</f>
        <v>-280</v>
      </c>
      <c r="BH47" s="121">
        <f>Data!BH136</f>
        <v>-15</v>
      </c>
      <c r="BI47" s="121">
        <f>Data!BI136-BH47</f>
        <v>-181</v>
      </c>
      <c r="BJ47" s="121">
        <f>Data!BJ136-BI47-BH47</f>
        <v>0</v>
      </c>
      <c r="BK47" s="121">
        <f>Data!BK136-BJ47-BI47-BH47</f>
        <v>-1</v>
      </c>
      <c r="BL47" s="67">
        <f>SUM(BH47:BK47)</f>
        <v>-197</v>
      </c>
      <c r="BM47" s="121">
        <f>Data!BM136</f>
        <v>0</v>
      </c>
      <c r="BN47" s="121">
        <f>Data!BN136-BM47</f>
        <v>0</v>
      </c>
      <c r="BO47" s="121">
        <f>Data!BO136-BN47-BM47</f>
        <v>0</v>
      </c>
      <c r="BP47" s="121">
        <f>Data!BP136-BO47-BN47-BM47</f>
        <v>0</v>
      </c>
      <c r="BQ47" s="67">
        <f>SUM(BM47:BP47)</f>
        <v>0</v>
      </c>
      <c r="BR47" s="121">
        <f>Data!BR136</f>
        <v>0</v>
      </c>
      <c r="BS47" s="121">
        <f>Data!BS136-BR47</f>
        <v>-24</v>
      </c>
      <c r="BT47" s="121">
        <f>Data!BT136-BS47-BR47</f>
        <v>0</v>
      </c>
      <c r="BU47" s="121">
        <f>Data!BU136-BT47-BS47-BR47</f>
        <v>0</v>
      </c>
      <c r="BV47" s="67">
        <f>SUM(BR47:BU47)</f>
        <v>-24</v>
      </c>
      <c r="BW47" s="121">
        <f>Data!BW136</f>
        <v>0</v>
      </c>
      <c r="BX47" s="121">
        <f>Data!BX136-BW47</f>
        <v>0</v>
      </c>
      <c r="BY47" s="121">
        <f>Data!BY136-BX47-BW47</f>
        <v>0</v>
      </c>
      <c r="BZ47" s="121">
        <f>Data!BZ136-BY47-BX47-BW47</f>
        <v>0</v>
      </c>
      <c r="CA47" s="67">
        <f>SUM(BW47:BZ47)</f>
        <v>0</v>
      </c>
      <c r="CB47" s="121">
        <f>Data!CB136</f>
        <v>20</v>
      </c>
      <c r="CC47" s="121">
        <f>Data!CC136-CB47</f>
        <v>0</v>
      </c>
      <c r="CD47" s="121">
        <f>Data!CD136-CC47-CB47</f>
        <v>15</v>
      </c>
      <c r="CE47" s="121">
        <f>Data!CE136-CD47-CC47-CB47</f>
        <v>0</v>
      </c>
      <c r="CF47" s="67">
        <f>SUM(CB47:CE47)</f>
        <v>35</v>
      </c>
      <c r="CG47" s="121">
        <f>Data!CG136</f>
        <v>7</v>
      </c>
      <c r="CH47" s="121">
        <f>Data!CH136-CG47</f>
        <v>0</v>
      </c>
      <c r="CI47" s="121">
        <f>Data!CI136-CH47-CG47</f>
        <v>0</v>
      </c>
      <c r="CJ47" s="121">
        <f>Data!CJ136-CI47-CH47-CG47</f>
        <v>-15</v>
      </c>
      <c r="CK47" s="120">
        <f>SUM(CG47:CJ47)</f>
        <v>-8</v>
      </c>
      <c r="CL47" s="121">
        <f>Data!CL136</f>
        <v>0</v>
      </c>
      <c r="CM47" s="121">
        <f>Data!CM136-CL47</f>
        <v>0</v>
      </c>
      <c r="CN47" s="121">
        <f>Data!CN136-CM47-CL47</f>
        <v>0</v>
      </c>
      <c r="CO47" s="121">
        <f>Data!CO136-CN47-CM47-CL47</f>
        <v>0</v>
      </c>
      <c r="CP47" s="120">
        <f>SUM(CL47:CO47)</f>
        <v>0</v>
      </c>
      <c r="CQ47" s="121">
        <f>Data!CQ136</f>
        <v>0</v>
      </c>
      <c r="CR47" s="121">
        <f>Data!CR136-CQ47</f>
        <v>0</v>
      </c>
      <c r="CS47" s="121">
        <f>Data!CS136-CR47-CQ47</f>
        <v>0</v>
      </c>
      <c r="CT47" s="121">
        <f>Data!CT136-CS47-CR47-CQ47</f>
        <v>0</v>
      </c>
      <c r="CU47" s="120">
        <f>SUM(CQ47:CT47)</f>
        <v>0</v>
      </c>
      <c r="CV47" s="121">
        <f>Data!CV136</f>
        <v>0</v>
      </c>
      <c r="CW47" s="121">
        <f>Data!CW136-CV47</f>
        <v>0</v>
      </c>
      <c r="CX47" s="121">
        <f>Data!CX136-CW47-CV47</f>
        <v>0</v>
      </c>
      <c r="CY47" s="121">
        <f>Data!CY136-CX47-CW47-CV47</f>
        <v>0</v>
      </c>
      <c r="CZ47" s="120">
        <f>SUM(CV47:CY47)</f>
        <v>0</v>
      </c>
      <c r="DA47" s="121">
        <f>Data!DA136</f>
        <v>0</v>
      </c>
      <c r="DB47" s="121">
        <f>Data!DB136-DA47</f>
        <v>-1</v>
      </c>
      <c r="DC47" s="121">
        <f>Data!DC136-DB47-DA47</f>
        <v>6</v>
      </c>
      <c r="DD47" s="121">
        <f>Data!DD136-DC47-DB47-DA47</f>
        <v>12</v>
      </c>
      <c r="DE47" s="120">
        <f>SUM(DA47:DD47)</f>
        <v>17</v>
      </c>
      <c r="DF47" s="121">
        <f>Data!DF136</f>
        <v>18</v>
      </c>
      <c r="DG47" s="121">
        <f>Data!DG136-DF47</f>
        <v>-21</v>
      </c>
      <c r="DH47" s="121">
        <f>Data!DH136-DG47-DF47</f>
        <v>18</v>
      </c>
      <c r="DI47" s="121">
        <f>Data!DI136-DH47-DG47-DF47</f>
        <v>-68</v>
      </c>
      <c r="DJ47" s="120">
        <f>SUM(DF47:DI47)</f>
        <v>-53</v>
      </c>
      <c r="DK47" s="121">
        <f>Data!DK136</f>
        <v>14</v>
      </c>
      <c r="DL47" s="121">
        <f>Data!DL136-DK47</f>
        <v>16</v>
      </c>
      <c r="DM47" s="121">
        <f>Data!DM136-DL47-DK47</f>
        <v>13</v>
      </c>
      <c r="DN47" s="121">
        <f>Data!DN136-DM47-DL47-DK47</f>
        <v>15</v>
      </c>
      <c r="DO47" s="120">
        <f>SUM(DK47:DN47)</f>
        <v>58</v>
      </c>
      <c r="DP47" s="121">
        <f>Data!DP136</f>
        <v>15</v>
      </c>
      <c r="DQ47" s="121">
        <f>Data!DQ136-DP47</f>
        <v>17</v>
      </c>
      <c r="DR47" s="179">
        <v>0</v>
      </c>
      <c r="DS47" s="179">
        <v>0</v>
      </c>
      <c r="DT47" s="120">
        <f>SUM(DP47:DS47)</f>
        <v>32</v>
      </c>
      <c r="DU47" s="179">
        <v>0</v>
      </c>
      <c r="DV47" s="179">
        <v>0</v>
      </c>
      <c r="DW47" s="179">
        <v>0</v>
      </c>
      <c r="DX47" s="179">
        <v>0</v>
      </c>
      <c r="DY47" s="120">
        <f>SUM(DU47:DX47)</f>
        <v>0</v>
      </c>
      <c r="DZ47" s="180">
        <v>0</v>
      </c>
      <c r="EA47" s="180">
        <v>0</v>
      </c>
      <c r="EB47" s="180">
        <v>0</v>
      </c>
    </row>
    <row r="48" spans="2:132" s="68" customFormat="1" ht="12" customHeight="1">
      <c r="B48" s="25" t="s">
        <v>344</v>
      </c>
      <c r="C48" s="26">
        <f>SUM(C40:C47)</f>
        <v>-899</v>
      </c>
      <c r="D48" s="26">
        <f t="shared" ref="D48:AW48" si="158">SUM(D40:D47)</f>
        <v>-1778</v>
      </c>
      <c r="E48" s="26">
        <f t="shared" si="158"/>
        <v>-3620</v>
      </c>
      <c r="F48" s="26">
        <f t="shared" si="158"/>
        <v>-658</v>
      </c>
      <c r="G48" s="26">
        <f t="shared" si="158"/>
        <v>523</v>
      </c>
      <c r="H48" s="26">
        <f t="shared" si="158"/>
        <v>746</v>
      </c>
      <c r="I48" s="26">
        <f t="shared" si="158"/>
        <v>-521</v>
      </c>
      <c r="J48" s="25">
        <f t="shared" si="158"/>
        <v>-588</v>
      </c>
      <c r="K48" s="25">
        <f t="shared" si="158"/>
        <v>-688</v>
      </c>
      <c r="L48" s="25">
        <f t="shared" si="158"/>
        <v>-1524</v>
      </c>
      <c r="M48" s="25">
        <f t="shared" si="158"/>
        <v>-718</v>
      </c>
      <c r="N48" s="26">
        <f t="shared" si="158"/>
        <v>-3518</v>
      </c>
      <c r="O48" s="25">
        <f t="shared" si="158"/>
        <v>-992</v>
      </c>
      <c r="P48" s="25">
        <f t="shared" si="158"/>
        <v>-1508</v>
      </c>
      <c r="Q48" s="25">
        <f t="shared" si="158"/>
        <v>-1115</v>
      </c>
      <c r="R48" s="25">
        <f t="shared" si="158"/>
        <v>-1042</v>
      </c>
      <c r="S48" s="26">
        <f t="shared" si="158"/>
        <v>-4657</v>
      </c>
      <c r="T48" s="25">
        <f t="shared" si="158"/>
        <v>-493</v>
      </c>
      <c r="U48" s="25">
        <f t="shared" si="158"/>
        <v>-1222</v>
      </c>
      <c r="V48" s="25">
        <f t="shared" si="158"/>
        <v>-1010</v>
      </c>
      <c r="W48" s="25">
        <f t="shared" si="158"/>
        <v>-920</v>
      </c>
      <c r="X48" s="26">
        <f t="shared" si="158"/>
        <v>-3645</v>
      </c>
      <c r="Y48" s="25">
        <f t="shared" si="158"/>
        <v>-1331</v>
      </c>
      <c r="Z48" s="25">
        <f t="shared" si="158"/>
        <v>-792</v>
      </c>
      <c r="AA48" s="25">
        <f t="shared" si="158"/>
        <v>-1162</v>
      </c>
      <c r="AB48" s="25">
        <f t="shared" si="158"/>
        <v>-1599</v>
      </c>
      <c r="AC48" s="26">
        <f t="shared" si="158"/>
        <v>-4884</v>
      </c>
      <c r="AD48" s="25">
        <f t="shared" si="158"/>
        <v>-1433</v>
      </c>
      <c r="AE48" s="25">
        <f t="shared" si="158"/>
        <v>-1300</v>
      </c>
      <c r="AF48" s="25">
        <f t="shared" si="158"/>
        <v>-1510</v>
      </c>
      <c r="AG48" s="25">
        <f t="shared" si="158"/>
        <v>-959</v>
      </c>
      <c r="AH48" s="26">
        <f t="shared" si="158"/>
        <v>-5202</v>
      </c>
      <c r="AI48" s="25">
        <f t="shared" si="158"/>
        <v>1391</v>
      </c>
      <c r="AJ48" s="25">
        <f t="shared" si="158"/>
        <v>-431</v>
      </c>
      <c r="AK48" s="25">
        <f t="shared" si="158"/>
        <v>1585</v>
      </c>
      <c r="AL48" s="25">
        <f t="shared" si="158"/>
        <v>1549</v>
      </c>
      <c r="AM48" s="26">
        <f t="shared" si="158"/>
        <v>4094</v>
      </c>
      <c r="AN48" s="25">
        <f t="shared" si="158"/>
        <v>-347</v>
      </c>
      <c r="AO48" s="25">
        <f>SUM(AO40:AO47)</f>
        <v>-431</v>
      </c>
      <c r="AP48" s="25">
        <f>SUM(AP40:AP47)</f>
        <v>-867</v>
      </c>
      <c r="AQ48" s="25">
        <f>SUM(AQ40:AQ47)</f>
        <v>-317</v>
      </c>
      <c r="AR48" s="26">
        <f t="shared" si="158"/>
        <v>-1962</v>
      </c>
      <c r="AS48" s="25">
        <f>SUM(AS40:AS47)</f>
        <v>-1468</v>
      </c>
      <c r="AT48" s="25">
        <f>SUM(AT40:AT47)</f>
        <v>-279</v>
      </c>
      <c r="AU48" s="25">
        <f>SUM(AU40:AU47)</f>
        <v>393</v>
      </c>
      <c r="AV48" s="25">
        <f>SUM(AV40:AV47)</f>
        <v>-346</v>
      </c>
      <c r="AW48" s="26">
        <f t="shared" si="158"/>
        <v>-1700</v>
      </c>
      <c r="AX48" s="25">
        <f t="shared" ref="AX48:CA48" si="159">SUM(AX40:AX47)</f>
        <v>-1187</v>
      </c>
      <c r="AY48" s="25">
        <f t="shared" si="159"/>
        <v>-710</v>
      </c>
      <c r="AZ48" s="25">
        <f t="shared" si="159"/>
        <v>-337</v>
      </c>
      <c r="BA48" s="25">
        <f t="shared" si="159"/>
        <v>-1243</v>
      </c>
      <c r="BB48" s="26">
        <f t="shared" si="159"/>
        <v>-3477</v>
      </c>
      <c r="BC48" s="25">
        <f>SUM(BC40:BC47)</f>
        <v>-1705</v>
      </c>
      <c r="BD48" s="25">
        <f t="shared" ref="BD48:BF48" si="160">SUM(BD40:BD47)</f>
        <v>-525</v>
      </c>
      <c r="BE48" s="25">
        <f t="shared" si="160"/>
        <v>-763</v>
      </c>
      <c r="BF48" s="25">
        <f t="shared" si="160"/>
        <v>-1256</v>
      </c>
      <c r="BG48" s="26">
        <f t="shared" si="159"/>
        <v>-4249</v>
      </c>
      <c r="BH48" s="25">
        <f>SUM(BH40:BH47)</f>
        <v>-3668</v>
      </c>
      <c r="BI48" s="25">
        <f t="shared" ref="BI48:BK48" si="161">SUM(BI40:BI47)</f>
        <v>-2096</v>
      </c>
      <c r="BJ48" s="25">
        <f t="shared" si="161"/>
        <v>-1530</v>
      </c>
      <c r="BK48" s="25">
        <f t="shared" si="161"/>
        <v>-1299</v>
      </c>
      <c r="BL48" s="26">
        <f t="shared" ref="BL48" si="162">SUM(BL40:BL47)</f>
        <v>-8593</v>
      </c>
      <c r="BM48" s="25">
        <f>SUM(BM40:BM47)</f>
        <v>-2935</v>
      </c>
      <c r="BN48" s="25">
        <f t="shared" ref="BN48:BP48" si="163">SUM(BN40:BN47)</f>
        <v>-2605</v>
      </c>
      <c r="BO48" s="25">
        <f t="shared" si="163"/>
        <v>-2069</v>
      </c>
      <c r="BP48" s="25">
        <f t="shared" si="163"/>
        <v>-311</v>
      </c>
      <c r="BQ48" s="26">
        <f t="shared" si="159"/>
        <v>-7920</v>
      </c>
      <c r="BR48" s="25">
        <f>SUM(BR40:BR47)</f>
        <v>-4221</v>
      </c>
      <c r="BS48" s="25">
        <f t="shared" ref="BS48:BU48" si="164">SUM(BS40:BS47)</f>
        <v>-1588</v>
      </c>
      <c r="BT48" s="25">
        <f t="shared" si="164"/>
        <v>-2204</v>
      </c>
      <c r="BU48" s="25">
        <f t="shared" si="164"/>
        <v>-1574</v>
      </c>
      <c r="BV48" s="26">
        <f t="shared" ref="BV48" si="165">SUM(BV40:BV47)</f>
        <v>-9587</v>
      </c>
      <c r="BW48" s="25">
        <f>SUM(BW40:BW47)</f>
        <v>-2463</v>
      </c>
      <c r="BX48" s="25">
        <f t="shared" ref="BX48:BZ48" si="166">SUM(BX40:BX47)</f>
        <v>-3311</v>
      </c>
      <c r="BY48" s="25">
        <f t="shared" si="166"/>
        <v>-3335</v>
      </c>
      <c r="BZ48" s="25">
        <f t="shared" si="166"/>
        <v>-2241</v>
      </c>
      <c r="CA48" s="26">
        <f t="shared" si="159"/>
        <v>-11350</v>
      </c>
      <c r="CB48" s="25">
        <f>SUM(CB40:CB47)</f>
        <v>-2845</v>
      </c>
      <c r="CC48" s="25">
        <f t="shared" ref="CC48:CE48" si="167">SUM(CC40:CC47)</f>
        <v>-4332</v>
      </c>
      <c r="CD48" s="25">
        <f t="shared" si="167"/>
        <v>-3689</v>
      </c>
      <c r="CE48" s="25">
        <f t="shared" si="167"/>
        <v>-856</v>
      </c>
      <c r="CF48" s="26">
        <f t="shared" ref="CF48" si="168">SUM(CF40:CF47)</f>
        <v>-11722</v>
      </c>
      <c r="CG48" s="25">
        <f>SUM(CG40:CG47)</f>
        <v>-2823</v>
      </c>
      <c r="CH48" s="25">
        <f t="shared" ref="CH48:CJ48" si="169">SUM(CH40:CH47)</f>
        <v>2919</v>
      </c>
      <c r="CI48" s="25">
        <f t="shared" si="169"/>
        <v>4240</v>
      </c>
      <c r="CJ48" s="25">
        <f t="shared" si="169"/>
        <v>1403</v>
      </c>
      <c r="CK48" s="26">
        <f t="shared" ref="CK48" si="170">SUM(CK40:CK47)</f>
        <v>5739</v>
      </c>
      <c r="CL48" s="25">
        <f>SUM(CL40:CL47)</f>
        <v>10280</v>
      </c>
      <c r="CM48" s="25">
        <f t="shared" ref="CM48:CO48" si="171">SUM(CM40:CM47)</f>
        <v>22462</v>
      </c>
      <c r="CN48" s="25">
        <f t="shared" si="171"/>
        <v>-468</v>
      </c>
      <c r="CO48" s="25">
        <f t="shared" si="171"/>
        <v>2681</v>
      </c>
      <c r="CP48" s="26">
        <f t="shared" ref="CP48" si="172">SUM(CP40:CP47)</f>
        <v>34955</v>
      </c>
      <c r="CQ48" s="25">
        <f>SUM(CQ40:CQ47)</f>
        <v>-48</v>
      </c>
      <c r="CR48" s="25">
        <f t="shared" ref="CR48:CT48" si="173">SUM(CR40:CR47)</f>
        <v>-19</v>
      </c>
      <c r="CS48" s="25">
        <f t="shared" si="173"/>
        <v>-1171</v>
      </c>
      <c r="CT48" s="25">
        <f t="shared" si="173"/>
        <v>-4362</v>
      </c>
      <c r="CU48" s="26">
        <f t="shared" ref="CU48" si="174">SUM(CU40:CU47)</f>
        <v>-5600</v>
      </c>
      <c r="CV48" s="25">
        <f>SUM(CV40:CV47)</f>
        <v>-366</v>
      </c>
      <c r="CW48" s="25">
        <f t="shared" ref="CW48:CY48" si="175">SUM(CW40:CW47)</f>
        <v>-632</v>
      </c>
      <c r="CX48" s="25">
        <f t="shared" si="175"/>
        <v>-18</v>
      </c>
      <c r="CY48" s="25">
        <f t="shared" si="175"/>
        <v>-250</v>
      </c>
      <c r="CZ48" s="26">
        <f t="shared" ref="CZ48" si="176">SUM(CZ40:CZ47)</f>
        <v>-1266</v>
      </c>
      <c r="DA48" s="25">
        <f t="shared" ref="DA48:DE48" si="177">SUM(DA40:DA47)</f>
        <v>-1680</v>
      </c>
      <c r="DB48" s="25">
        <f t="shared" si="177"/>
        <v>-3410</v>
      </c>
      <c r="DC48" s="25">
        <f t="shared" si="177"/>
        <v>-38</v>
      </c>
      <c r="DD48" s="25">
        <f t="shared" si="177"/>
        <v>-359</v>
      </c>
      <c r="DE48" s="26">
        <f t="shared" si="177"/>
        <v>-5487</v>
      </c>
      <c r="DF48" s="25">
        <f t="shared" ref="DF48:DI48" si="178">SUM(DF40:DF47)</f>
        <v>-4462</v>
      </c>
      <c r="DG48" s="25">
        <f t="shared" si="178"/>
        <v>10000</v>
      </c>
      <c r="DH48" s="25">
        <f t="shared" si="178"/>
        <v>-300</v>
      </c>
      <c r="DI48" s="25">
        <f t="shared" si="178"/>
        <v>19971</v>
      </c>
      <c r="DJ48" s="26">
        <f t="shared" ref="DJ48:DN48" si="179">SUM(DJ40:DJ47)</f>
        <v>25209</v>
      </c>
      <c r="DK48" s="25">
        <f t="shared" si="179"/>
        <v>-338</v>
      </c>
      <c r="DL48" s="25">
        <f t="shared" si="179"/>
        <v>-387</v>
      </c>
      <c r="DM48" s="25">
        <f t="shared" si="179"/>
        <v>-87</v>
      </c>
      <c r="DN48" s="25">
        <f t="shared" si="179"/>
        <v>-2951</v>
      </c>
      <c r="DO48" s="26">
        <f t="shared" ref="DO48:DQ48" si="180">SUM(DO40:DO47)</f>
        <v>-3763</v>
      </c>
      <c r="DP48" s="25">
        <f t="shared" si="180"/>
        <v>-7028</v>
      </c>
      <c r="DQ48" s="25">
        <f t="shared" si="180"/>
        <v>-1485</v>
      </c>
      <c r="DR48" s="25">
        <f t="shared" ref="DR48:DU48" si="181">SUM(DR40:DR47)</f>
        <v>-10</v>
      </c>
      <c r="DS48" s="25">
        <f t="shared" si="181"/>
        <v>-10</v>
      </c>
      <c r="DT48" s="26">
        <f t="shared" si="181"/>
        <v>-8533</v>
      </c>
      <c r="DU48" s="25">
        <f t="shared" si="181"/>
        <v>-5310</v>
      </c>
      <c r="DV48" s="25">
        <f t="shared" ref="DV48:DY48" si="182">SUM(DV40:DV47)</f>
        <v>-1010</v>
      </c>
      <c r="DW48" s="25">
        <f t="shared" si="182"/>
        <v>-1515</v>
      </c>
      <c r="DX48" s="25">
        <f t="shared" si="182"/>
        <v>-1515</v>
      </c>
      <c r="DY48" s="26">
        <f t="shared" si="182"/>
        <v>-9350</v>
      </c>
      <c r="DZ48" s="26">
        <f t="shared" ref="DZ48:EB48" si="183">SUM(DZ40:DZ47)</f>
        <v>-12060</v>
      </c>
      <c r="EA48" s="26">
        <f t="shared" si="183"/>
        <v>-13060</v>
      </c>
      <c r="EB48" s="26">
        <f t="shared" si="183"/>
        <v>-15060</v>
      </c>
    </row>
    <row r="49" spans="2:132" s="68" customFormat="1" ht="12" customHeight="1">
      <c r="B49" s="68" t="s">
        <v>129</v>
      </c>
      <c r="C49" s="67">
        <f>Data!C138</f>
        <v>0</v>
      </c>
      <c r="D49" s="67">
        <f>Data!D138</f>
        <v>0</v>
      </c>
      <c r="E49" s="67">
        <f>Data!E138</f>
        <v>0</v>
      </c>
      <c r="F49" s="67">
        <f>Data!F138</f>
        <v>0</v>
      </c>
      <c r="G49" s="67">
        <f>Data!G138</f>
        <v>0</v>
      </c>
      <c r="H49" s="67">
        <f>Data!H138</f>
        <v>0</v>
      </c>
      <c r="I49" s="67">
        <f>Data!I138</f>
        <v>0</v>
      </c>
      <c r="J49" s="68">
        <f>Data!J138</f>
        <v>0</v>
      </c>
      <c r="K49" s="68">
        <f>Data!K138-J49</f>
        <v>0</v>
      </c>
      <c r="L49" s="68">
        <f>Data!L138-K49-J49</f>
        <v>0</v>
      </c>
      <c r="M49" s="68">
        <f>Data!M138-L49-K49-J49</f>
        <v>0</v>
      </c>
      <c r="N49" s="67">
        <f t="shared" si="0"/>
        <v>0</v>
      </c>
      <c r="O49" s="68">
        <f>Data!O138</f>
        <v>0</v>
      </c>
      <c r="P49" s="68">
        <f>Data!P138-O49</f>
        <v>0</v>
      </c>
      <c r="Q49" s="68">
        <f>Data!Q138-P49-O49</f>
        <v>0</v>
      </c>
      <c r="R49" s="68">
        <f>Data!R138-Q49-P49-O49</f>
        <v>-37</v>
      </c>
      <c r="S49" s="67">
        <f t="shared" si="1"/>
        <v>-37</v>
      </c>
      <c r="T49" s="68">
        <f>Data!T138</f>
        <v>3</v>
      </c>
      <c r="U49" s="68">
        <f>Data!U138-T49</f>
        <v>15</v>
      </c>
      <c r="V49" s="68">
        <f>Data!V138-U49-T49</f>
        <v>3</v>
      </c>
      <c r="W49" s="68">
        <f>Data!W138-V49-U49-T49</f>
        <v>17</v>
      </c>
      <c r="X49" s="67">
        <f t="shared" si="2"/>
        <v>38</v>
      </c>
      <c r="Y49" s="68">
        <f>Data!Y138</f>
        <v>2</v>
      </c>
      <c r="Z49" s="68">
        <f>Data!Z138-Y49</f>
        <v>9</v>
      </c>
      <c r="AA49" s="68">
        <f>Data!AA138-Z49-Y49</f>
        <v>10</v>
      </c>
      <c r="AB49" s="68">
        <f>Data!AB138-AA49-Z49-Y49</f>
        <v>25</v>
      </c>
      <c r="AC49" s="67">
        <f t="shared" si="3"/>
        <v>46</v>
      </c>
      <c r="AD49" s="68">
        <f>Data!AD138</f>
        <v>28</v>
      </c>
      <c r="AE49" s="68">
        <f>Data!AE138-AD49</f>
        <v>1</v>
      </c>
      <c r="AF49" s="68">
        <f>Data!AF138-AE49-AD49</f>
        <v>-55</v>
      </c>
      <c r="AG49" s="68">
        <f>Data!AG138-AF49-AE49-AD49</f>
        <v>-33</v>
      </c>
      <c r="AH49" s="67">
        <f t="shared" si="4"/>
        <v>-59</v>
      </c>
      <c r="AI49" s="68">
        <f>Data!AI138</f>
        <v>-17</v>
      </c>
      <c r="AJ49" s="68">
        <f>Data!AJ138-AI49</f>
        <v>40</v>
      </c>
      <c r="AK49" s="68">
        <f>Data!AK138-AJ49-AI49</f>
        <v>17</v>
      </c>
      <c r="AL49" s="68">
        <f>Data!AL138-AK49-AJ49-AI49</f>
        <v>4</v>
      </c>
      <c r="AM49" s="67">
        <f t="shared" si="5"/>
        <v>44</v>
      </c>
      <c r="AN49" s="241">
        <f>Data!AN138</f>
        <v>-25</v>
      </c>
      <c r="AO49" s="68">
        <f>Data!AO138-AN49</f>
        <v>-33</v>
      </c>
      <c r="AP49" s="68">
        <f>Data!AP138-AO49-AN49</f>
        <v>-4</v>
      </c>
      <c r="AQ49" s="68">
        <f>Data!AQ138-AP49-AO49-AN49</f>
        <v>47</v>
      </c>
      <c r="AR49" s="67">
        <f t="shared" si="6"/>
        <v>-15</v>
      </c>
      <c r="AS49" s="241">
        <f>Data!AS138</f>
        <v>25</v>
      </c>
      <c r="AT49" s="68">
        <f>Data!AT138-AS49</f>
        <v>12</v>
      </c>
      <c r="AU49" s="121">
        <f>Data!AU138-AT49-AS49</f>
        <v>-36</v>
      </c>
      <c r="AV49" s="68">
        <f>Data!AV138-AU49-AT49-AS49</f>
        <v>-3</v>
      </c>
      <c r="AW49" s="67">
        <f t="shared" si="7"/>
        <v>-2</v>
      </c>
      <c r="AX49" s="121">
        <f>Data!AX138</f>
        <v>22</v>
      </c>
      <c r="AY49" s="121">
        <f>Data!AY138-AX49</f>
        <v>-26</v>
      </c>
      <c r="AZ49" s="121">
        <f>Data!AZ138-AY49-AX49</f>
        <v>23</v>
      </c>
      <c r="BA49" s="121">
        <f>Data!BA138-AZ49-AY49-AX49</f>
        <v>-1</v>
      </c>
      <c r="BB49" s="67">
        <f t="shared" si="8"/>
        <v>18</v>
      </c>
      <c r="BC49" s="121">
        <f>Data!BC138</f>
        <v>-11</v>
      </c>
      <c r="BD49" s="121">
        <f>Data!BD138-BC49</f>
        <v>-26</v>
      </c>
      <c r="BE49" s="121">
        <f>Data!BE138-BD49-BC49</f>
        <v>13</v>
      </c>
      <c r="BF49" s="121">
        <f>Data!BF138-BE49-BD49-BC49</f>
        <v>-5</v>
      </c>
      <c r="BG49" s="67">
        <f>SUM(BC49:BF49)</f>
        <v>-29</v>
      </c>
      <c r="BH49" s="121">
        <f>Data!BH138</f>
        <v>4</v>
      </c>
      <c r="BI49" s="121">
        <f>Data!BI138-BH49</f>
        <v>3</v>
      </c>
      <c r="BJ49" s="121">
        <f>Data!BJ138-BI49-BH49</f>
        <v>-40</v>
      </c>
      <c r="BK49" s="121">
        <f>Data!BK138-BJ49-BI49-BH49</f>
        <v>-54</v>
      </c>
      <c r="BL49" s="67">
        <f>SUM(BH49:BK49)</f>
        <v>-87</v>
      </c>
      <c r="BM49" s="121">
        <f>Data!BM138</f>
        <v>-17</v>
      </c>
      <c r="BN49" s="121">
        <f>Data!BN138-BM49</f>
        <v>8</v>
      </c>
      <c r="BO49" s="121">
        <f>Data!BO138-BN49-BM49</f>
        <v>-11</v>
      </c>
      <c r="BP49" s="121">
        <f>Data!BP138-BO49-BN49-BM49</f>
        <v>-8</v>
      </c>
      <c r="BQ49" s="67">
        <f>SUM(BM49:BP49)</f>
        <v>-28</v>
      </c>
      <c r="BR49" s="121">
        <f>Data!BR138</f>
        <v>12</v>
      </c>
      <c r="BS49" s="121">
        <f>Data!BS138-BR49</f>
        <v>-15</v>
      </c>
      <c r="BT49" s="121">
        <f>Data!BT138-BS49-BR49</f>
        <v>-3</v>
      </c>
      <c r="BU49" s="121">
        <f>Data!BU138-BT49-BS49-BR49</f>
        <v>-27</v>
      </c>
      <c r="BV49" s="67">
        <f>SUM(BR49:BU49)</f>
        <v>-33</v>
      </c>
      <c r="BW49" s="121">
        <f>Data!BW138</f>
        <v>20</v>
      </c>
      <c r="BX49" s="121">
        <f>Data!BX138-BW49</f>
        <v>32</v>
      </c>
      <c r="BY49" s="121">
        <f>Data!BY138-BX49-BW49</f>
        <v>21</v>
      </c>
      <c r="BZ49" s="121">
        <f>Data!BZ138-BY49-BX49-BW49</f>
        <v>7</v>
      </c>
      <c r="CA49" s="67">
        <f>SUM(BW49:BZ49)</f>
        <v>80</v>
      </c>
      <c r="CB49" s="121">
        <f>Data!CB138</f>
        <v>8</v>
      </c>
      <c r="CC49" s="121">
        <f>Data!CC138-CB49</f>
        <v>-44</v>
      </c>
      <c r="CD49" s="121">
        <f>Data!CD138-CC49-CB49</f>
        <v>-55</v>
      </c>
      <c r="CE49" s="121">
        <f>Data!CE138-CD49-CC49-CB49</f>
        <v>38</v>
      </c>
      <c r="CF49" s="67">
        <f>SUM(CB49:CE49)</f>
        <v>-53</v>
      </c>
      <c r="CG49" s="121">
        <f>Data!CG138</f>
        <v>1</v>
      </c>
      <c r="CH49" s="121">
        <f>Data!CH138-CG49</f>
        <v>88</v>
      </c>
      <c r="CI49" s="121">
        <f>Data!CI138-CH49-CG49</f>
        <v>-25</v>
      </c>
      <c r="CJ49" s="121">
        <f>Data!CJ138-CI49-CH49-CG49</f>
        <v>17</v>
      </c>
      <c r="CK49" s="120">
        <f>SUM(CG49:CJ49)</f>
        <v>81</v>
      </c>
      <c r="CL49" s="121">
        <f>Data!CL138</f>
        <v>-47</v>
      </c>
      <c r="CM49" s="121">
        <f>Data!CM138-CL49</f>
        <v>80</v>
      </c>
      <c r="CN49" s="121">
        <f>Data!CN138-CM49-CL49</f>
        <v>-7</v>
      </c>
      <c r="CO49" s="121">
        <f>Data!CO138-CN49-CM49-CL49</f>
        <v>59</v>
      </c>
      <c r="CP49" s="120">
        <f>SUM(CL49:CO49)</f>
        <v>85</v>
      </c>
      <c r="CQ49" s="121">
        <f>Data!CQ138</f>
        <v>-22</v>
      </c>
      <c r="CR49" s="121">
        <f>Data!CR138-CQ49</f>
        <v>55</v>
      </c>
      <c r="CS49" s="121">
        <f>Data!CS138-CR49-CQ49</f>
        <v>-40</v>
      </c>
      <c r="CT49" s="121">
        <f>Data!CT138-CS49-CR49-CQ49</f>
        <v>-32</v>
      </c>
      <c r="CU49" s="120">
        <f>SUM(CQ49:CT49)</f>
        <v>-39</v>
      </c>
      <c r="CV49" s="121">
        <f>Data!CV138</f>
        <v>-26</v>
      </c>
      <c r="CW49" s="121">
        <f>Data!CW138-CV49</f>
        <v>-45</v>
      </c>
      <c r="CX49" s="121">
        <f>Data!CX138-CW49-CV49</f>
        <v>-63</v>
      </c>
      <c r="CY49" s="121">
        <f>Data!CY138-CX49-CW49-CV49</f>
        <v>61</v>
      </c>
      <c r="CZ49" s="120">
        <f>SUM(CV49:CY49)</f>
        <v>-73</v>
      </c>
      <c r="DA49" s="121">
        <f>Data!DA138</f>
        <v>10</v>
      </c>
      <c r="DB49" s="121">
        <f>Data!DB138-DA49</f>
        <v>-8</v>
      </c>
      <c r="DC49" s="121">
        <f>Data!DC138-DB49-DA49</f>
        <v>-24</v>
      </c>
      <c r="DD49" s="121">
        <f>Data!DD138-DC49-DB49-DA49</f>
        <v>52</v>
      </c>
      <c r="DE49" s="120">
        <f>SUM(DA49:DD49)</f>
        <v>30</v>
      </c>
      <c r="DF49" s="121">
        <f>Data!DF138</f>
        <v>-28</v>
      </c>
      <c r="DG49" s="121">
        <f>Data!DG138-DF49</f>
        <v>3</v>
      </c>
      <c r="DH49" s="121">
        <f>Data!DH138-DG49-DF49</f>
        <v>33</v>
      </c>
      <c r="DI49" s="121">
        <f>Data!DI138-DH49-DG49-DF49</f>
        <v>-55</v>
      </c>
      <c r="DJ49" s="120">
        <f>SUM(DF49:DI49)</f>
        <v>-47</v>
      </c>
      <c r="DK49" s="121">
        <f>Data!DK138</f>
        <v>12</v>
      </c>
      <c r="DL49" s="121">
        <f>Data!DL138-DK49-688</f>
        <v>-666</v>
      </c>
      <c r="DM49" s="121">
        <f>Data!DM138-DL49-DK49-688</f>
        <v>5</v>
      </c>
      <c r="DN49" s="121">
        <f>Data!DN138-DM49-DL49-DK49</f>
        <v>689</v>
      </c>
      <c r="DO49" s="120">
        <f>SUM(DK49:DN49)</f>
        <v>40</v>
      </c>
      <c r="DP49" s="121">
        <f>Data!DP138</f>
        <v>1</v>
      </c>
      <c r="DQ49" s="121">
        <f>Data!DQ138-DP49+15</f>
        <v>16</v>
      </c>
      <c r="DR49" s="179">
        <v>0</v>
      </c>
      <c r="DS49" s="179">
        <v>0</v>
      </c>
      <c r="DT49" s="120">
        <f>SUM(DP49:DS49)</f>
        <v>17</v>
      </c>
      <c r="DU49" s="179">
        <v>0</v>
      </c>
      <c r="DV49" s="179">
        <v>0</v>
      </c>
      <c r="DW49" s="179">
        <v>0</v>
      </c>
      <c r="DX49" s="179">
        <v>0</v>
      </c>
      <c r="DY49" s="120">
        <f>SUM(DU49:DX49)</f>
        <v>0</v>
      </c>
      <c r="DZ49" s="180">
        <v>0</v>
      </c>
      <c r="EA49" s="180">
        <v>0</v>
      </c>
      <c r="EB49" s="180">
        <v>0</v>
      </c>
    </row>
    <row r="50" spans="2:132" s="68" customFormat="1" ht="12" customHeight="1">
      <c r="B50" s="74" t="s">
        <v>101</v>
      </c>
      <c r="C50" s="193">
        <f>+C32+C39+C48+C49</f>
        <v>-1049</v>
      </c>
      <c r="D50" s="193">
        <f t="shared" ref="D50:AW50" si="184">+D32+D39+D48+D49</f>
        <v>-2237</v>
      </c>
      <c r="E50" s="193">
        <f t="shared" si="184"/>
        <v>1171</v>
      </c>
      <c r="F50" s="193">
        <f t="shared" si="184"/>
        <v>-2344</v>
      </c>
      <c r="G50" s="193">
        <f t="shared" si="184"/>
        <v>-377</v>
      </c>
      <c r="H50" s="193">
        <f t="shared" si="184"/>
        <v>1700</v>
      </c>
      <c r="I50" s="193">
        <f t="shared" si="184"/>
        <v>2300</v>
      </c>
      <c r="J50" s="74">
        <f t="shared" si="184"/>
        <v>-683</v>
      </c>
      <c r="K50" s="74">
        <f t="shared" si="184"/>
        <v>2234</v>
      </c>
      <c r="L50" s="74">
        <f t="shared" si="184"/>
        <v>-1872</v>
      </c>
      <c r="M50" s="74">
        <f t="shared" si="184"/>
        <v>-1108</v>
      </c>
      <c r="N50" s="193">
        <f t="shared" si="184"/>
        <v>-1429</v>
      </c>
      <c r="O50" s="74">
        <f t="shared" si="184"/>
        <v>126</v>
      </c>
      <c r="P50" s="74">
        <f t="shared" si="184"/>
        <v>1631</v>
      </c>
      <c r="Q50" s="74">
        <f t="shared" si="184"/>
        <v>-414</v>
      </c>
      <c r="R50" s="74">
        <f t="shared" si="184"/>
        <v>865</v>
      </c>
      <c r="S50" s="193">
        <f t="shared" si="184"/>
        <v>2208</v>
      </c>
      <c r="T50" s="74">
        <f t="shared" si="184"/>
        <v>1369</v>
      </c>
      <c r="U50" s="74">
        <f t="shared" si="184"/>
        <v>786</v>
      </c>
      <c r="V50" s="74">
        <f t="shared" si="184"/>
        <v>-2369</v>
      </c>
      <c r="W50" s="74">
        <f t="shared" si="184"/>
        <v>920</v>
      </c>
      <c r="X50" s="193">
        <f t="shared" si="184"/>
        <v>706</v>
      </c>
      <c r="Y50" s="74">
        <f t="shared" si="184"/>
        <v>-1282</v>
      </c>
      <c r="Z50" s="74">
        <f t="shared" si="184"/>
        <v>2320</v>
      </c>
      <c r="AA50" s="74">
        <f t="shared" si="184"/>
        <v>1792</v>
      </c>
      <c r="AB50" s="74">
        <f t="shared" si="184"/>
        <v>-1906</v>
      </c>
      <c r="AC50" s="193">
        <f t="shared" si="184"/>
        <v>924</v>
      </c>
      <c r="AD50" s="74">
        <f t="shared" si="184"/>
        <v>665</v>
      </c>
      <c r="AE50" s="74">
        <f t="shared" si="184"/>
        <v>-2088</v>
      </c>
      <c r="AF50" s="74">
        <f t="shared" si="184"/>
        <v>-1433</v>
      </c>
      <c r="AG50" s="74">
        <f t="shared" si="184"/>
        <v>-918</v>
      </c>
      <c r="AH50" s="193">
        <f t="shared" si="184"/>
        <v>-3774</v>
      </c>
      <c r="AI50" s="74">
        <f t="shared" si="184"/>
        <v>969</v>
      </c>
      <c r="AJ50" s="74">
        <f t="shared" si="184"/>
        <v>362</v>
      </c>
      <c r="AK50" s="74">
        <f t="shared" si="184"/>
        <v>1496</v>
      </c>
      <c r="AL50" s="74">
        <f t="shared" si="184"/>
        <v>3120</v>
      </c>
      <c r="AM50" s="193">
        <f t="shared" si="184"/>
        <v>5947</v>
      </c>
      <c r="AN50" s="74">
        <f t="shared" si="184"/>
        <v>-4698</v>
      </c>
      <c r="AO50" s="74">
        <f>+AO32+AO39+AO48+AO49</f>
        <v>-49</v>
      </c>
      <c r="AP50" s="74">
        <f>+AP32+AP39+AP48+AP49</f>
        <v>-1604</v>
      </c>
      <c r="AQ50" s="74">
        <f>+AQ32+AQ39+AQ48+AQ49</f>
        <v>2495</v>
      </c>
      <c r="AR50" s="193">
        <f t="shared" si="184"/>
        <v>-3856</v>
      </c>
      <c r="AS50" s="74">
        <f>+AS32+AS39+AS48+AS49</f>
        <v>311</v>
      </c>
      <c r="AT50" s="74">
        <f>+AT32+AT39+AT48+AT49</f>
        <v>-620</v>
      </c>
      <c r="AU50" s="74">
        <f t="shared" si="184"/>
        <v>904</v>
      </c>
      <c r="AV50" s="74">
        <f>+AV32+AV39+AV48+AV49</f>
        <v>4095</v>
      </c>
      <c r="AW50" s="193">
        <f t="shared" si="184"/>
        <v>4690</v>
      </c>
      <c r="AX50" s="74">
        <f t="shared" ref="AX50:BU50" si="185">+AX32+AX39+AX48+AX49</f>
        <v>-3331</v>
      </c>
      <c r="AY50" s="74">
        <f t="shared" si="185"/>
        <v>-413</v>
      </c>
      <c r="AZ50" s="74">
        <f t="shared" si="185"/>
        <v>277</v>
      </c>
      <c r="BA50" s="74">
        <f t="shared" si="185"/>
        <v>3759</v>
      </c>
      <c r="BB50" s="193">
        <f t="shared" si="185"/>
        <v>292</v>
      </c>
      <c r="BC50" s="74">
        <f>+BC32+BC39+BC48+BC49</f>
        <v>-2006</v>
      </c>
      <c r="BD50" s="74">
        <f t="shared" ref="BD50:BF50" si="186">+BD32+BD39+BD48+BD49</f>
        <v>359</v>
      </c>
      <c r="BE50" s="74">
        <f t="shared" si="186"/>
        <v>1347</v>
      </c>
      <c r="BF50" s="74">
        <f t="shared" si="186"/>
        <v>-953</v>
      </c>
      <c r="BG50" s="193">
        <f t="shared" si="185"/>
        <v>-1253</v>
      </c>
      <c r="BH50" s="74">
        <f t="shared" ref="BH50:BN50" si="187">+BH32+BH39+BH48+BH49</f>
        <v>-2146</v>
      </c>
      <c r="BI50" s="74">
        <f t="shared" si="187"/>
        <v>591</v>
      </c>
      <c r="BJ50" s="74">
        <f t="shared" si="187"/>
        <v>-878</v>
      </c>
      <c r="BK50" s="74">
        <f t="shared" si="187"/>
        <v>5078</v>
      </c>
      <c r="BL50" s="193">
        <f t="shared" si="187"/>
        <v>2645</v>
      </c>
      <c r="BM50" s="74">
        <f t="shared" ref="BM50" si="188">+BM32+BM39+BM48+BM49</f>
        <v>-3078</v>
      </c>
      <c r="BN50" s="74">
        <f t="shared" si="187"/>
        <v>502</v>
      </c>
      <c r="BO50" s="74">
        <f t="shared" ref="BO50:BP50" si="189">+BO32+BO39+BO48+BO49</f>
        <v>226</v>
      </c>
      <c r="BP50" s="74">
        <f t="shared" si="189"/>
        <v>1919</v>
      </c>
      <c r="BQ50" s="193">
        <f t="shared" si="185"/>
        <v>-431</v>
      </c>
      <c r="BR50" s="74">
        <f t="shared" si="185"/>
        <v>-3416</v>
      </c>
      <c r="BS50" s="74">
        <f t="shared" si="185"/>
        <v>719</v>
      </c>
      <c r="BT50" s="74">
        <f t="shared" si="185"/>
        <v>381</v>
      </c>
      <c r="BU50" s="74">
        <f t="shared" si="185"/>
        <v>-185</v>
      </c>
      <c r="BV50" s="193">
        <f t="shared" ref="BV50:BZ50" si="190">+BV32+BV39+BV48+BV49</f>
        <v>-2501</v>
      </c>
      <c r="BW50" s="74">
        <f t="shared" si="190"/>
        <v>-611</v>
      </c>
      <c r="BX50" s="74">
        <f t="shared" si="190"/>
        <v>547</v>
      </c>
      <c r="BY50" s="74">
        <f t="shared" si="190"/>
        <v>-168</v>
      </c>
      <c r="BZ50" s="74">
        <f t="shared" si="190"/>
        <v>244</v>
      </c>
      <c r="CA50" s="193">
        <f t="shared" ref="CA50:CE50" si="191">+CA32+CA39+CA48+CA49</f>
        <v>12</v>
      </c>
      <c r="CB50" s="74">
        <f t="shared" si="191"/>
        <v>418</v>
      </c>
      <c r="CC50" s="74">
        <f t="shared" si="191"/>
        <v>-1110</v>
      </c>
      <c r="CD50" s="74">
        <f t="shared" si="191"/>
        <v>-87</v>
      </c>
      <c r="CE50" s="74">
        <f t="shared" si="191"/>
        <v>-295</v>
      </c>
      <c r="CF50" s="193">
        <f t="shared" ref="CF50:CJ50" si="192">+CF32+CF39+CF48+CF49</f>
        <v>-1074</v>
      </c>
      <c r="CG50" s="74">
        <f t="shared" si="192"/>
        <v>-801</v>
      </c>
      <c r="CH50" s="74">
        <f t="shared" si="192"/>
        <v>2331</v>
      </c>
      <c r="CI50" s="74">
        <f t="shared" si="192"/>
        <v>597</v>
      </c>
      <c r="CJ50" s="74">
        <f t="shared" si="192"/>
        <v>-283</v>
      </c>
      <c r="CK50" s="193">
        <f t="shared" ref="CK50:CO50" si="193">+CK32+CK39+CK48+CK49</f>
        <v>1844</v>
      </c>
      <c r="CL50" s="74">
        <f t="shared" si="193"/>
        <v>5552</v>
      </c>
      <c r="CM50" s="74">
        <f t="shared" si="193"/>
        <v>4955</v>
      </c>
      <c r="CN50" s="74">
        <f t="shared" si="193"/>
        <v>-9431</v>
      </c>
      <c r="CO50" s="74">
        <f t="shared" si="193"/>
        <v>-2812</v>
      </c>
      <c r="CP50" s="193">
        <f t="shared" ref="CP50:CT50" si="194">+CP32+CP39+CP48+CP49</f>
        <v>-1736</v>
      </c>
      <c r="CQ50" s="74">
        <f t="shared" si="194"/>
        <v>-693</v>
      </c>
      <c r="CR50" s="74">
        <f t="shared" si="194"/>
        <v>1212</v>
      </c>
      <c r="CS50" s="74">
        <f t="shared" si="194"/>
        <v>1493</v>
      </c>
      <c r="CT50" s="74">
        <f t="shared" si="194"/>
        <v>-1743</v>
      </c>
      <c r="CU50" s="193">
        <f t="shared" ref="CU50:CY50" si="195">+CU32+CU39+CU48+CU49</f>
        <v>269</v>
      </c>
      <c r="CV50" s="74">
        <f t="shared" si="195"/>
        <v>-643</v>
      </c>
      <c r="CW50" s="74">
        <f t="shared" si="195"/>
        <v>2670</v>
      </c>
      <c r="CX50" s="74">
        <f t="shared" si="195"/>
        <v>3399</v>
      </c>
      <c r="CY50" s="74">
        <f t="shared" si="195"/>
        <v>1117</v>
      </c>
      <c r="CZ50" s="193">
        <f t="shared" ref="CZ50" si="196">+CZ32+CZ39+CZ48+CZ49</f>
        <v>6543</v>
      </c>
      <c r="DA50" s="74">
        <f t="shared" ref="DA50:DE50" si="197">+DA32+DA39+DA48+DA49</f>
        <v>-3811</v>
      </c>
      <c r="DB50" s="74">
        <f t="shared" si="197"/>
        <v>-3558</v>
      </c>
      <c r="DC50" s="74">
        <f t="shared" si="197"/>
        <v>-443</v>
      </c>
      <c r="DD50" s="74">
        <f t="shared" si="197"/>
        <v>5878</v>
      </c>
      <c r="DE50" s="193">
        <f t="shared" si="197"/>
        <v>-1934</v>
      </c>
      <c r="DF50" s="74">
        <f t="shared" ref="DF50:DI50" si="198">+DF32+DF39+DF48+DF49</f>
        <v>-5778</v>
      </c>
      <c r="DG50" s="74">
        <f t="shared" si="198"/>
        <v>3980</v>
      </c>
      <c r="DH50" s="74">
        <f t="shared" si="198"/>
        <v>-933</v>
      </c>
      <c r="DI50" s="74">
        <f t="shared" si="198"/>
        <v>3840</v>
      </c>
      <c r="DJ50" s="193">
        <f t="shared" ref="DJ50:DN50" si="199">+DJ32+DJ39+DJ48+DJ49</f>
        <v>1109</v>
      </c>
      <c r="DK50" s="74">
        <f t="shared" si="199"/>
        <v>-3659</v>
      </c>
      <c r="DL50" s="74">
        <f t="shared" si="199"/>
        <v>-3055</v>
      </c>
      <c r="DM50" s="74">
        <f t="shared" si="199"/>
        <v>-914</v>
      </c>
      <c r="DN50" s="74">
        <f t="shared" si="199"/>
        <v>5469</v>
      </c>
      <c r="DO50" s="193">
        <f t="shared" ref="DO50:DQ50" si="200">+DO32+DO39+DO48+DO49</f>
        <v>-2159</v>
      </c>
      <c r="DP50" s="74">
        <f t="shared" si="200"/>
        <v>-1495</v>
      </c>
      <c r="DQ50" s="74">
        <f t="shared" si="200"/>
        <v>-2187</v>
      </c>
      <c r="DR50" s="74">
        <f t="shared" ref="DR50:DU50" si="201">+DR32+DR39+DR48+DR49</f>
        <v>345</v>
      </c>
      <c r="DS50" s="74">
        <f t="shared" si="201"/>
        <v>2981</v>
      </c>
      <c r="DT50" s="193">
        <f t="shared" si="201"/>
        <v>-356</v>
      </c>
      <c r="DU50" s="74">
        <f t="shared" si="201"/>
        <v>-205</v>
      </c>
      <c r="DV50" s="74">
        <f t="shared" ref="DV50:DY50" si="202">+DV32+DV39+DV48+DV49</f>
        <v>195</v>
      </c>
      <c r="DW50" s="74">
        <f t="shared" si="202"/>
        <v>1390</v>
      </c>
      <c r="DX50" s="74">
        <f t="shared" si="202"/>
        <v>2698</v>
      </c>
      <c r="DY50" s="193">
        <f t="shared" si="202"/>
        <v>4078</v>
      </c>
      <c r="DZ50" s="193">
        <f t="shared" ref="DZ50:EB50" si="203">+DZ32+DZ39+DZ48+DZ49</f>
        <v>-1503</v>
      </c>
      <c r="EA50" s="193">
        <f t="shared" si="203"/>
        <v>595</v>
      </c>
      <c r="EB50" s="193">
        <f t="shared" si="203"/>
        <v>1614</v>
      </c>
    </row>
    <row r="51" spans="2:132" s="68" customFormat="1" ht="12" customHeight="1">
      <c r="B51" s="68" t="s">
        <v>102</v>
      </c>
      <c r="C51" s="67">
        <f>Data!C140</f>
        <v>5469</v>
      </c>
      <c r="D51" s="67">
        <f>C52</f>
        <v>4420</v>
      </c>
      <c r="E51" s="67">
        <f t="shared" ref="E51:BF51" si="204">D52</f>
        <v>2183</v>
      </c>
      <c r="F51" s="67">
        <f t="shared" si="204"/>
        <v>3354</v>
      </c>
      <c r="G51" s="67">
        <f t="shared" si="204"/>
        <v>1010</v>
      </c>
      <c r="H51" s="67">
        <f t="shared" si="204"/>
        <v>633</v>
      </c>
      <c r="I51" s="67">
        <f t="shared" si="204"/>
        <v>2333</v>
      </c>
      <c r="J51" s="68">
        <f t="shared" si="204"/>
        <v>4633</v>
      </c>
      <c r="K51" s="68">
        <f t="shared" si="204"/>
        <v>3950</v>
      </c>
      <c r="L51" s="68">
        <f t="shared" si="204"/>
        <v>6184</v>
      </c>
      <c r="M51" s="68">
        <f t="shared" si="204"/>
        <v>4312</v>
      </c>
      <c r="N51" s="67">
        <f>I52</f>
        <v>4633</v>
      </c>
      <c r="O51" s="68">
        <f t="shared" si="204"/>
        <v>3204</v>
      </c>
      <c r="P51" s="68">
        <f t="shared" si="204"/>
        <v>3330</v>
      </c>
      <c r="Q51" s="68">
        <f t="shared" si="204"/>
        <v>4961</v>
      </c>
      <c r="R51" s="68">
        <f t="shared" si="204"/>
        <v>4547</v>
      </c>
      <c r="S51" s="67">
        <f>N52</f>
        <v>3204</v>
      </c>
      <c r="T51" s="68">
        <f t="shared" si="204"/>
        <v>5412</v>
      </c>
      <c r="U51" s="68">
        <f t="shared" si="204"/>
        <v>6781</v>
      </c>
      <c r="V51" s="68">
        <f t="shared" si="204"/>
        <v>7567</v>
      </c>
      <c r="W51" s="68">
        <f t="shared" si="204"/>
        <v>5198</v>
      </c>
      <c r="X51" s="67">
        <f>S52</f>
        <v>5412</v>
      </c>
      <c r="Y51" s="68">
        <f t="shared" si="204"/>
        <v>6118</v>
      </c>
      <c r="Z51" s="68">
        <f t="shared" si="204"/>
        <v>4836</v>
      </c>
      <c r="AA51" s="68">
        <f t="shared" si="204"/>
        <v>7156</v>
      </c>
      <c r="AB51" s="68">
        <f t="shared" si="204"/>
        <v>8948</v>
      </c>
      <c r="AC51" s="67">
        <f>X52</f>
        <v>6118</v>
      </c>
      <c r="AD51" s="68">
        <f t="shared" si="204"/>
        <v>7042</v>
      </c>
      <c r="AE51" s="68">
        <f t="shared" si="204"/>
        <v>7707</v>
      </c>
      <c r="AF51" s="68">
        <f t="shared" si="204"/>
        <v>5619</v>
      </c>
      <c r="AG51" s="68">
        <f t="shared" si="204"/>
        <v>4186</v>
      </c>
      <c r="AH51" s="67">
        <f>AC52</f>
        <v>7042</v>
      </c>
      <c r="AI51" s="68">
        <f t="shared" si="204"/>
        <v>3268</v>
      </c>
      <c r="AJ51" s="68">
        <f t="shared" si="204"/>
        <v>4237</v>
      </c>
      <c r="AK51" s="68">
        <f t="shared" si="204"/>
        <v>4599</v>
      </c>
      <c r="AL51" s="68">
        <f t="shared" si="204"/>
        <v>6095</v>
      </c>
      <c r="AM51" s="67">
        <f>AH52</f>
        <v>3268</v>
      </c>
      <c r="AN51" s="241">
        <f t="shared" si="204"/>
        <v>9215</v>
      </c>
      <c r="AO51" s="68">
        <f t="shared" si="204"/>
        <v>4517</v>
      </c>
      <c r="AP51" s="68">
        <f t="shared" si="204"/>
        <v>4468</v>
      </c>
      <c r="AQ51" s="68">
        <f t="shared" si="204"/>
        <v>2864</v>
      </c>
      <c r="AR51" s="67">
        <f>AM52</f>
        <v>9215</v>
      </c>
      <c r="AS51" s="241">
        <f t="shared" si="204"/>
        <v>5359</v>
      </c>
      <c r="AT51" s="68">
        <f t="shared" si="204"/>
        <v>5670</v>
      </c>
      <c r="AU51" s="68">
        <f t="shared" si="204"/>
        <v>5050</v>
      </c>
      <c r="AV51" s="68">
        <f t="shared" si="204"/>
        <v>5954</v>
      </c>
      <c r="AW51" s="67">
        <f>AR52</f>
        <v>5359</v>
      </c>
      <c r="AX51" s="121">
        <f t="shared" si="204"/>
        <v>10049</v>
      </c>
      <c r="AY51" s="121">
        <f t="shared" si="204"/>
        <v>6718</v>
      </c>
      <c r="AZ51" s="121">
        <f t="shared" si="204"/>
        <v>6305</v>
      </c>
      <c r="BA51" s="121">
        <f t="shared" si="204"/>
        <v>6582</v>
      </c>
      <c r="BB51" s="67">
        <f>AW52</f>
        <v>10049</v>
      </c>
      <c r="BC51" s="121">
        <f t="shared" si="204"/>
        <v>10341</v>
      </c>
      <c r="BD51" s="121">
        <f t="shared" si="204"/>
        <v>8335</v>
      </c>
      <c r="BE51" s="121">
        <f t="shared" si="204"/>
        <v>8694</v>
      </c>
      <c r="BF51" s="121">
        <f t="shared" si="204"/>
        <v>10041</v>
      </c>
      <c r="BG51" s="67">
        <f>BB52</f>
        <v>10341</v>
      </c>
      <c r="BH51" s="68">
        <f>BG52</f>
        <v>9088</v>
      </c>
      <c r="BI51" s="121">
        <f t="shared" ref="BI51:BK51" si="205">BH52</f>
        <v>6942</v>
      </c>
      <c r="BJ51" s="121">
        <f t="shared" si="205"/>
        <v>7533</v>
      </c>
      <c r="BK51" s="121">
        <f t="shared" si="205"/>
        <v>6655</v>
      </c>
      <c r="BL51" s="67">
        <f>BG52</f>
        <v>9088</v>
      </c>
      <c r="BM51" s="68">
        <f>BL52</f>
        <v>11733</v>
      </c>
      <c r="BN51" s="68">
        <f>BM52</f>
        <v>8655</v>
      </c>
      <c r="BO51" s="121">
        <f t="shared" ref="BO51:BP51" si="206">BN52</f>
        <v>9157</v>
      </c>
      <c r="BP51" s="121">
        <f t="shared" si="206"/>
        <v>9383</v>
      </c>
      <c r="BQ51" s="67">
        <f>BL52</f>
        <v>11733</v>
      </c>
      <c r="BR51" s="68">
        <f>BQ52</f>
        <v>11302</v>
      </c>
      <c r="BS51" s="68">
        <f>BR52</f>
        <v>7886</v>
      </c>
      <c r="BT51" s="121">
        <f t="shared" ref="BT51:BU51" si="207">BS52</f>
        <v>8605</v>
      </c>
      <c r="BU51" s="121">
        <f t="shared" si="207"/>
        <v>8986</v>
      </c>
      <c r="BV51" s="67">
        <f>BQ52</f>
        <v>11302</v>
      </c>
      <c r="BW51" s="121">
        <f>BV52</f>
        <v>8801</v>
      </c>
      <c r="BX51" s="121">
        <f>BW52</f>
        <v>8190</v>
      </c>
      <c r="BY51" s="68">
        <f>BX52</f>
        <v>8737</v>
      </c>
      <c r="BZ51" s="68">
        <f>BY52</f>
        <v>8569</v>
      </c>
      <c r="CA51" s="67">
        <f>BV52</f>
        <v>8801</v>
      </c>
      <c r="CB51" s="121">
        <f>CA52</f>
        <v>8813</v>
      </c>
      <c r="CC51" s="121">
        <f>CB52</f>
        <v>9231</v>
      </c>
      <c r="CD51" s="121">
        <f>CC52</f>
        <v>8121</v>
      </c>
      <c r="CE51" s="68">
        <f>CD52</f>
        <v>8034</v>
      </c>
      <c r="CF51" s="67">
        <f>CA52</f>
        <v>8813</v>
      </c>
      <c r="CG51" s="121">
        <f>CF52</f>
        <v>7739</v>
      </c>
      <c r="CH51" s="121">
        <f>CG52</f>
        <v>6938</v>
      </c>
      <c r="CI51" s="121">
        <f>CH52</f>
        <v>9269</v>
      </c>
      <c r="CJ51" s="121">
        <f>CI52</f>
        <v>9866</v>
      </c>
      <c r="CK51" s="120">
        <f>CF52</f>
        <v>7739</v>
      </c>
      <c r="CL51" s="121">
        <f>CK52</f>
        <v>9583</v>
      </c>
      <c r="CM51" s="121">
        <f>CL52</f>
        <v>15135</v>
      </c>
      <c r="CN51" s="121">
        <f>CM52</f>
        <v>20090</v>
      </c>
      <c r="CO51" s="121">
        <f>CN52</f>
        <v>10659</v>
      </c>
      <c r="CP51" s="120">
        <f>CK52</f>
        <v>9583</v>
      </c>
      <c r="CQ51" s="121">
        <f>CP52</f>
        <v>7847</v>
      </c>
      <c r="CR51" s="121">
        <f>CQ52</f>
        <v>7154</v>
      </c>
      <c r="CS51" s="121">
        <f>CR52</f>
        <v>8366</v>
      </c>
      <c r="CT51" s="121">
        <f>CS52</f>
        <v>9859</v>
      </c>
      <c r="CU51" s="120">
        <f>CP52</f>
        <v>7847</v>
      </c>
      <c r="CV51" s="121">
        <f>CU52</f>
        <v>8116</v>
      </c>
      <c r="CW51" s="121">
        <f>CV52</f>
        <v>7473</v>
      </c>
      <c r="CX51" s="121">
        <f>CW52</f>
        <v>10143</v>
      </c>
      <c r="CY51" s="121">
        <f>CX52</f>
        <v>13542</v>
      </c>
      <c r="CZ51" s="120">
        <f>CU52</f>
        <v>8116</v>
      </c>
      <c r="DA51" s="68">
        <f t="shared" ref="DA51" si="208">CZ52</f>
        <v>14659</v>
      </c>
      <c r="DB51" s="121">
        <f>DA52</f>
        <v>10848</v>
      </c>
      <c r="DC51" s="121">
        <f>DB52</f>
        <v>7290</v>
      </c>
      <c r="DD51" s="68">
        <f t="shared" ref="DD51" si="209">DC52</f>
        <v>6847</v>
      </c>
      <c r="DE51" s="120">
        <f>CZ52</f>
        <v>14659</v>
      </c>
      <c r="DF51" s="121">
        <f t="shared" ref="DF51" si="210">DE52</f>
        <v>12725</v>
      </c>
      <c r="DG51" s="121">
        <f>DF52</f>
        <v>6947</v>
      </c>
      <c r="DH51" s="121">
        <f>DG52</f>
        <v>10927</v>
      </c>
      <c r="DI51" s="68">
        <f t="shared" ref="DI51" si="211">DH52</f>
        <v>9994</v>
      </c>
      <c r="DJ51" s="120">
        <f>DE52</f>
        <v>12725</v>
      </c>
      <c r="DK51" s="121">
        <f t="shared" ref="DK51" si="212">DJ52</f>
        <v>13834</v>
      </c>
      <c r="DL51" s="121">
        <f>DK52</f>
        <v>10175</v>
      </c>
      <c r="DM51" s="121">
        <f>DL52</f>
        <v>7120</v>
      </c>
      <c r="DN51" s="68">
        <f t="shared" ref="DN51" si="213">DM52</f>
        <v>6206</v>
      </c>
      <c r="DO51" s="120">
        <f>DJ52</f>
        <v>13834</v>
      </c>
      <c r="DP51" s="121">
        <f t="shared" ref="DP51" si="214">DO52</f>
        <v>11675</v>
      </c>
      <c r="DQ51" s="121">
        <f>DP52</f>
        <v>10180</v>
      </c>
      <c r="DR51" s="68">
        <f t="shared" ref="DR51" si="215">DQ52</f>
        <v>7993</v>
      </c>
      <c r="DS51" s="68">
        <f t="shared" ref="DS51" si="216">DR52</f>
        <v>8338</v>
      </c>
      <c r="DT51" s="120">
        <f>DO52</f>
        <v>11675</v>
      </c>
      <c r="DU51" s="68">
        <f t="shared" ref="DU51" si="217">DT52</f>
        <v>11319</v>
      </c>
      <c r="DV51" s="68">
        <f t="shared" ref="DV51" si="218">DU52</f>
        <v>11114</v>
      </c>
      <c r="DW51" s="68">
        <f t="shared" ref="DW51" si="219">DV52</f>
        <v>11309</v>
      </c>
      <c r="DX51" s="68">
        <f t="shared" ref="DX51" si="220">DW52</f>
        <v>12699</v>
      </c>
      <c r="DY51" s="120">
        <f>DT52</f>
        <v>11319</v>
      </c>
      <c r="DZ51" s="67">
        <f t="shared" ref="DZ51" si="221">DY52</f>
        <v>15397</v>
      </c>
      <c r="EA51" s="67">
        <f t="shared" ref="EA51" si="222">DZ52</f>
        <v>13894</v>
      </c>
      <c r="EB51" s="67">
        <f t="shared" ref="EB51" si="223">EA52</f>
        <v>14489</v>
      </c>
    </row>
    <row r="52" spans="2:132" s="68" customFormat="1" ht="12" customHeight="1">
      <c r="B52" s="68" t="s">
        <v>103</v>
      </c>
      <c r="C52" s="67">
        <f>Data!C141</f>
        <v>4420</v>
      </c>
      <c r="D52" s="67">
        <f t="shared" ref="D52:J52" si="224">D51+D50</f>
        <v>2183</v>
      </c>
      <c r="E52" s="67">
        <f t="shared" si="224"/>
        <v>3354</v>
      </c>
      <c r="F52" s="67">
        <f t="shared" si="224"/>
        <v>1010</v>
      </c>
      <c r="G52" s="67">
        <f t="shared" si="224"/>
        <v>633</v>
      </c>
      <c r="H52" s="67">
        <f t="shared" si="224"/>
        <v>2333</v>
      </c>
      <c r="I52" s="67">
        <f t="shared" si="224"/>
        <v>4633</v>
      </c>
      <c r="J52" s="68">
        <f t="shared" si="224"/>
        <v>3950</v>
      </c>
      <c r="K52" s="68">
        <f t="shared" ref="K52:AW52" si="225">K51+K50</f>
        <v>6184</v>
      </c>
      <c r="L52" s="68">
        <f t="shared" si="225"/>
        <v>4312</v>
      </c>
      <c r="M52" s="68">
        <f t="shared" si="225"/>
        <v>3204</v>
      </c>
      <c r="N52" s="67">
        <f t="shared" si="225"/>
        <v>3204</v>
      </c>
      <c r="O52" s="68">
        <f t="shared" si="225"/>
        <v>3330</v>
      </c>
      <c r="P52" s="68">
        <f t="shared" si="225"/>
        <v>4961</v>
      </c>
      <c r="Q52" s="68">
        <f t="shared" si="225"/>
        <v>4547</v>
      </c>
      <c r="R52" s="68">
        <f t="shared" si="225"/>
        <v>5412</v>
      </c>
      <c r="S52" s="67">
        <f t="shared" si="225"/>
        <v>5412</v>
      </c>
      <c r="T52" s="68">
        <f t="shared" si="225"/>
        <v>6781</v>
      </c>
      <c r="U52" s="68">
        <f t="shared" si="225"/>
        <v>7567</v>
      </c>
      <c r="V52" s="68">
        <f t="shared" si="225"/>
        <v>5198</v>
      </c>
      <c r="W52" s="68">
        <f t="shared" si="225"/>
        <v>6118</v>
      </c>
      <c r="X52" s="67">
        <f t="shared" si="225"/>
        <v>6118</v>
      </c>
      <c r="Y52" s="68">
        <f t="shared" si="225"/>
        <v>4836</v>
      </c>
      <c r="Z52" s="68">
        <f t="shared" si="225"/>
        <v>7156</v>
      </c>
      <c r="AA52" s="68">
        <f t="shared" si="225"/>
        <v>8948</v>
      </c>
      <c r="AB52" s="68">
        <f t="shared" si="225"/>
        <v>7042</v>
      </c>
      <c r="AC52" s="67">
        <f t="shared" si="225"/>
        <v>7042</v>
      </c>
      <c r="AD52" s="68">
        <f t="shared" si="225"/>
        <v>7707</v>
      </c>
      <c r="AE52" s="68">
        <f t="shared" si="225"/>
        <v>5619</v>
      </c>
      <c r="AF52" s="68">
        <f t="shared" si="225"/>
        <v>4186</v>
      </c>
      <c r="AG52" s="68">
        <f t="shared" si="225"/>
        <v>3268</v>
      </c>
      <c r="AH52" s="67">
        <f t="shared" si="225"/>
        <v>3268</v>
      </c>
      <c r="AI52" s="68">
        <f t="shared" si="225"/>
        <v>4237</v>
      </c>
      <c r="AJ52" s="68">
        <f t="shared" si="225"/>
        <v>4599</v>
      </c>
      <c r="AK52" s="68">
        <f t="shared" si="225"/>
        <v>6095</v>
      </c>
      <c r="AL52" s="68">
        <f t="shared" si="225"/>
        <v>9215</v>
      </c>
      <c r="AM52" s="67">
        <f t="shared" si="225"/>
        <v>9215</v>
      </c>
      <c r="AN52" s="241">
        <f t="shared" si="225"/>
        <v>4517</v>
      </c>
      <c r="AO52" s="68">
        <f>AO51+AO50</f>
        <v>4468</v>
      </c>
      <c r="AP52" s="68">
        <f>AP51+AP50</f>
        <v>2864</v>
      </c>
      <c r="AQ52" s="68">
        <f>AQ51+AQ50</f>
        <v>5359</v>
      </c>
      <c r="AR52" s="67">
        <f t="shared" si="225"/>
        <v>5359</v>
      </c>
      <c r="AS52" s="241">
        <f>AS51+AS50</f>
        <v>5670</v>
      </c>
      <c r="AT52" s="68">
        <f>AT51+AT50</f>
        <v>5050</v>
      </c>
      <c r="AU52" s="68">
        <f>AU51+AU50</f>
        <v>5954</v>
      </c>
      <c r="AV52" s="68">
        <f>AV51+AV50</f>
        <v>10049</v>
      </c>
      <c r="AW52" s="67">
        <f t="shared" si="225"/>
        <v>10049</v>
      </c>
      <c r="AX52" s="121">
        <f t="shared" ref="AX52:BU52" si="226">AX51+AX50</f>
        <v>6718</v>
      </c>
      <c r="AY52" s="121">
        <f t="shared" si="226"/>
        <v>6305</v>
      </c>
      <c r="AZ52" s="121">
        <f t="shared" si="226"/>
        <v>6582</v>
      </c>
      <c r="BA52" s="121">
        <f t="shared" si="226"/>
        <v>10341</v>
      </c>
      <c r="BB52" s="67">
        <f t="shared" si="226"/>
        <v>10341</v>
      </c>
      <c r="BC52" s="121">
        <f>BC51+BC50</f>
        <v>8335</v>
      </c>
      <c r="BD52" s="121">
        <f t="shared" ref="BD52:BF52" si="227">BD51+BD50</f>
        <v>8694</v>
      </c>
      <c r="BE52" s="121">
        <f t="shared" si="227"/>
        <v>10041</v>
      </c>
      <c r="BF52" s="121">
        <f t="shared" si="227"/>
        <v>9088</v>
      </c>
      <c r="BG52" s="67">
        <f t="shared" si="226"/>
        <v>9088</v>
      </c>
      <c r="BH52" s="68">
        <f t="shared" ref="BH52:BN52" si="228">BH51+BH50</f>
        <v>6942</v>
      </c>
      <c r="BI52" s="121">
        <f t="shared" si="228"/>
        <v>7533</v>
      </c>
      <c r="BJ52" s="121">
        <f t="shared" si="228"/>
        <v>6655</v>
      </c>
      <c r="BK52" s="121">
        <f t="shared" si="228"/>
        <v>11733</v>
      </c>
      <c r="BL52" s="67">
        <f t="shared" si="228"/>
        <v>11733</v>
      </c>
      <c r="BM52" s="68">
        <f t="shared" ref="BM52" si="229">BM51+BM50</f>
        <v>8655</v>
      </c>
      <c r="BN52" s="68">
        <f t="shared" si="228"/>
        <v>9157</v>
      </c>
      <c r="BO52" s="121">
        <f t="shared" ref="BO52:BP52" si="230">BO51+BO50</f>
        <v>9383</v>
      </c>
      <c r="BP52" s="121">
        <f t="shared" si="230"/>
        <v>11302</v>
      </c>
      <c r="BQ52" s="67">
        <f t="shared" si="226"/>
        <v>11302</v>
      </c>
      <c r="BR52" s="68">
        <f t="shared" si="226"/>
        <v>7886</v>
      </c>
      <c r="BS52" s="68">
        <f t="shared" si="226"/>
        <v>8605</v>
      </c>
      <c r="BT52" s="121">
        <f t="shared" si="226"/>
        <v>8986</v>
      </c>
      <c r="BU52" s="121">
        <f t="shared" si="226"/>
        <v>8801</v>
      </c>
      <c r="BV52" s="67">
        <f t="shared" ref="BV52:BZ52" si="231">BV51+BV50</f>
        <v>8801</v>
      </c>
      <c r="BW52" s="121">
        <f t="shared" si="231"/>
        <v>8190</v>
      </c>
      <c r="BX52" s="121">
        <f t="shared" si="231"/>
        <v>8737</v>
      </c>
      <c r="BY52" s="68">
        <f t="shared" si="231"/>
        <v>8569</v>
      </c>
      <c r="BZ52" s="68">
        <f t="shared" si="231"/>
        <v>8813</v>
      </c>
      <c r="CA52" s="67">
        <f t="shared" ref="CA52:CE52" si="232">CA51+CA50</f>
        <v>8813</v>
      </c>
      <c r="CB52" s="121">
        <f t="shared" si="232"/>
        <v>9231</v>
      </c>
      <c r="CC52" s="121">
        <f t="shared" si="232"/>
        <v>8121</v>
      </c>
      <c r="CD52" s="121">
        <f t="shared" si="232"/>
        <v>8034</v>
      </c>
      <c r="CE52" s="68">
        <f t="shared" si="232"/>
        <v>7739</v>
      </c>
      <c r="CF52" s="67">
        <f t="shared" ref="CF52:CJ52" si="233">CF51+CF50</f>
        <v>7739</v>
      </c>
      <c r="CG52" s="121">
        <f t="shared" si="233"/>
        <v>6938</v>
      </c>
      <c r="CH52" s="121">
        <f t="shared" si="233"/>
        <v>9269</v>
      </c>
      <c r="CI52" s="121">
        <f t="shared" si="233"/>
        <v>9866</v>
      </c>
      <c r="CJ52" s="121">
        <f t="shared" si="233"/>
        <v>9583</v>
      </c>
      <c r="CK52" s="120">
        <f t="shared" ref="CK52:CO52" si="234">CK51+CK50</f>
        <v>9583</v>
      </c>
      <c r="CL52" s="121">
        <f t="shared" si="234"/>
        <v>15135</v>
      </c>
      <c r="CM52" s="121">
        <f t="shared" si="234"/>
        <v>20090</v>
      </c>
      <c r="CN52" s="121">
        <f t="shared" si="234"/>
        <v>10659</v>
      </c>
      <c r="CO52" s="121">
        <f t="shared" si="234"/>
        <v>7847</v>
      </c>
      <c r="CP52" s="120">
        <f t="shared" ref="CP52:CT52" si="235">CP51+CP50</f>
        <v>7847</v>
      </c>
      <c r="CQ52" s="121">
        <f t="shared" si="235"/>
        <v>7154</v>
      </c>
      <c r="CR52" s="121">
        <f t="shared" si="235"/>
        <v>8366</v>
      </c>
      <c r="CS52" s="121">
        <f t="shared" si="235"/>
        <v>9859</v>
      </c>
      <c r="CT52" s="121">
        <f t="shared" si="235"/>
        <v>8116</v>
      </c>
      <c r="CU52" s="120">
        <f t="shared" ref="CU52:CY52" si="236">CU51+CU50</f>
        <v>8116</v>
      </c>
      <c r="CV52" s="121">
        <f t="shared" si="236"/>
        <v>7473</v>
      </c>
      <c r="CW52" s="121">
        <f t="shared" si="236"/>
        <v>10143</v>
      </c>
      <c r="CX52" s="121">
        <f t="shared" si="236"/>
        <v>13542</v>
      </c>
      <c r="CY52" s="121">
        <f t="shared" si="236"/>
        <v>14659</v>
      </c>
      <c r="CZ52" s="120">
        <f t="shared" ref="CZ52" si="237">CZ51+CZ50</f>
        <v>14659</v>
      </c>
      <c r="DA52" s="68">
        <f t="shared" ref="DA52:DE52" si="238">DA51+DA50</f>
        <v>10848</v>
      </c>
      <c r="DB52" s="121">
        <f t="shared" si="238"/>
        <v>7290</v>
      </c>
      <c r="DC52" s="121">
        <f t="shared" si="238"/>
        <v>6847</v>
      </c>
      <c r="DD52" s="68">
        <f t="shared" si="238"/>
        <v>12725</v>
      </c>
      <c r="DE52" s="120">
        <f t="shared" si="238"/>
        <v>12725</v>
      </c>
      <c r="DF52" s="121">
        <f t="shared" ref="DF52:DI52" si="239">DF51+DF50</f>
        <v>6947</v>
      </c>
      <c r="DG52" s="121">
        <f t="shared" si="239"/>
        <v>10927</v>
      </c>
      <c r="DH52" s="121">
        <f t="shared" si="239"/>
        <v>9994</v>
      </c>
      <c r="DI52" s="68">
        <f t="shared" si="239"/>
        <v>13834</v>
      </c>
      <c r="DJ52" s="120">
        <f t="shared" ref="DJ52:DN52" si="240">DJ51+DJ50</f>
        <v>13834</v>
      </c>
      <c r="DK52" s="121">
        <f t="shared" si="240"/>
        <v>10175</v>
      </c>
      <c r="DL52" s="121">
        <f t="shared" si="240"/>
        <v>7120</v>
      </c>
      <c r="DM52" s="121">
        <f t="shared" si="240"/>
        <v>6206</v>
      </c>
      <c r="DN52" s="68">
        <f t="shared" si="240"/>
        <v>11675</v>
      </c>
      <c r="DO52" s="120">
        <f t="shared" ref="DO52:DQ52" si="241">DO51+DO50</f>
        <v>11675</v>
      </c>
      <c r="DP52" s="121">
        <f t="shared" si="241"/>
        <v>10180</v>
      </c>
      <c r="DQ52" s="121">
        <f t="shared" si="241"/>
        <v>7993</v>
      </c>
      <c r="DR52" s="68">
        <f t="shared" ref="DR52:DU52" si="242">DR51+DR50</f>
        <v>8338</v>
      </c>
      <c r="DS52" s="68">
        <f t="shared" si="242"/>
        <v>11319</v>
      </c>
      <c r="DT52" s="120">
        <f t="shared" si="242"/>
        <v>11319</v>
      </c>
      <c r="DU52" s="68">
        <f t="shared" si="242"/>
        <v>11114</v>
      </c>
      <c r="DV52" s="68">
        <f t="shared" ref="DV52:DY52" si="243">DV51+DV50</f>
        <v>11309</v>
      </c>
      <c r="DW52" s="68">
        <f t="shared" si="243"/>
        <v>12699</v>
      </c>
      <c r="DX52" s="68">
        <f t="shared" si="243"/>
        <v>15397</v>
      </c>
      <c r="DY52" s="120">
        <f t="shared" si="243"/>
        <v>15397</v>
      </c>
      <c r="DZ52" s="67">
        <f t="shared" ref="DZ52:EB52" si="244">DZ51+DZ50</f>
        <v>13894</v>
      </c>
      <c r="EA52" s="67">
        <f t="shared" si="244"/>
        <v>14489</v>
      </c>
      <c r="EB52" s="67">
        <f t="shared" si="244"/>
        <v>16103</v>
      </c>
    </row>
    <row r="53" spans="2:132" s="68" customFormat="1" ht="12" customHeight="1">
      <c r="C53" s="112"/>
      <c r="D53" s="112"/>
      <c r="E53" s="112"/>
      <c r="F53" s="112"/>
      <c r="G53" s="112"/>
      <c r="H53" s="112"/>
      <c r="I53" s="112"/>
      <c r="J53" s="169"/>
      <c r="K53" s="169"/>
      <c r="L53" s="169"/>
      <c r="M53" s="169"/>
      <c r="N53" s="112"/>
      <c r="O53" s="169"/>
      <c r="P53" s="169"/>
      <c r="Q53" s="169"/>
      <c r="R53" s="169"/>
      <c r="S53" s="112"/>
      <c r="T53" s="169"/>
      <c r="U53" s="169"/>
      <c r="V53" s="169"/>
      <c r="W53" s="169"/>
      <c r="X53" s="112"/>
      <c r="Y53" s="169"/>
      <c r="Z53" s="169"/>
      <c r="AA53" s="169"/>
      <c r="AB53" s="169"/>
      <c r="AC53" s="112"/>
      <c r="AD53" s="169"/>
      <c r="AE53" s="169"/>
      <c r="AF53" s="169"/>
      <c r="AG53" s="169"/>
      <c r="AH53" s="112"/>
      <c r="AI53" s="169"/>
      <c r="AJ53" s="169"/>
      <c r="AK53" s="169"/>
      <c r="AL53" s="169"/>
      <c r="AM53" s="112"/>
      <c r="AN53" s="403"/>
      <c r="AO53" s="169"/>
      <c r="AP53" s="169"/>
      <c r="AQ53" s="169"/>
      <c r="AR53" s="112"/>
      <c r="AS53" s="403"/>
      <c r="AT53" s="169"/>
      <c r="AU53" s="169"/>
      <c r="AV53" s="169"/>
      <c r="AW53" s="112"/>
      <c r="AX53" s="567"/>
      <c r="AY53" s="567"/>
      <c r="AZ53" s="567"/>
      <c r="BA53" s="567"/>
      <c r="BB53" s="112"/>
      <c r="BC53" s="567"/>
      <c r="BD53" s="567"/>
      <c r="BE53" s="567"/>
      <c r="BF53" s="567"/>
      <c r="BG53" s="112"/>
      <c r="BH53" s="169"/>
      <c r="BI53" s="567"/>
      <c r="BJ53" s="169"/>
      <c r="BK53" s="567"/>
      <c r="BL53" s="112"/>
      <c r="BM53" s="169"/>
      <c r="BN53" s="169"/>
      <c r="BO53" s="169"/>
      <c r="BP53" s="169"/>
      <c r="BQ53" s="112"/>
      <c r="BR53" s="169"/>
      <c r="BS53" s="169"/>
      <c r="BT53" s="169"/>
      <c r="BU53" s="169"/>
      <c r="BV53" s="112"/>
      <c r="BW53" s="169"/>
      <c r="BX53" s="169"/>
      <c r="BY53" s="169"/>
      <c r="BZ53" s="169"/>
      <c r="CA53" s="112"/>
      <c r="CB53" s="169"/>
      <c r="CC53" s="169"/>
      <c r="CD53" s="169"/>
      <c r="CE53" s="169"/>
      <c r="CF53" s="112"/>
      <c r="CG53" s="169"/>
      <c r="CH53" s="169"/>
      <c r="CI53" s="169"/>
      <c r="CJ53" s="169"/>
      <c r="CK53" s="921"/>
      <c r="CL53" s="169"/>
      <c r="CM53" s="169"/>
      <c r="CN53" s="169"/>
      <c r="CO53" s="169"/>
      <c r="CP53" s="921"/>
      <c r="CQ53" s="169"/>
      <c r="CR53" s="169"/>
      <c r="CS53" s="169"/>
      <c r="CT53" s="169"/>
      <c r="CU53" s="921"/>
      <c r="CV53" s="169"/>
      <c r="CW53" s="169"/>
      <c r="CX53" s="169"/>
      <c r="CY53" s="169"/>
      <c r="CZ53" s="921"/>
      <c r="DA53" s="169"/>
      <c r="DB53" s="169"/>
      <c r="DC53" s="169"/>
      <c r="DD53" s="169"/>
      <c r="DE53" s="921"/>
      <c r="DF53" s="169"/>
      <c r="DG53" s="169"/>
      <c r="DH53" s="169"/>
      <c r="DI53" s="169"/>
      <c r="DJ53" s="921"/>
      <c r="DK53" s="169"/>
      <c r="DL53" s="169"/>
      <c r="DM53" s="169"/>
      <c r="DN53" s="169"/>
      <c r="DO53" s="921"/>
      <c r="DP53" s="169"/>
      <c r="DQ53" s="169"/>
      <c r="DR53" s="169"/>
      <c r="DS53" s="169"/>
      <c r="DT53" s="921"/>
      <c r="DU53" s="169"/>
      <c r="DV53" s="169"/>
      <c r="DW53" s="169"/>
      <c r="DX53" s="169"/>
      <c r="DY53" s="921"/>
      <c r="DZ53" s="112"/>
      <c r="EA53" s="112"/>
      <c r="EB53" s="112"/>
    </row>
    <row r="54" spans="2:132" s="68" customFormat="1" ht="12" customHeight="1">
      <c r="B54" s="68" t="s">
        <v>256</v>
      </c>
      <c r="C54" s="67">
        <f>C32</f>
        <v>2100</v>
      </c>
      <c r="D54" s="67">
        <f t="shared" ref="D54:AW54" si="245">D32</f>
        <v>2367</v>
      </c>
      <c r="E54" s="67">
        <f t="shared" si="245"/>
        <v>6224</v>
      </c>
      <c r="F54" s="67">
        <f>F32</f>
        <v>5942</v>
      </c>
      <c r="G54" s="67">
        <f t="shared" si="245"/>
        <v>3814</v>
      </c>
      <c r="H54" s="67">
        <f t="shared" si="245"/>
        <v>4375</v>
      </c>
      <c r="I54" s="67">
        <f t="shared" si="245"/>
        <v>3881</v>
      </c>
      <c r="J54" s="68">
        <f t="shared" si="245"/>
        <v>95</v>
      </c>
      <c r="K54" s="68">
        <f t="shared" si="245"/>
        <v>1449</v>
      </c>
      <c r="L54" s="68">
        <f t="shared" si="245"/>
        <v>675</v>
      </c>
      <c r="M54" s="68">
        <f t="shared" si="245"/>
        <v>1239</v>
      </c>
      <c r="N54" s="67">
        <f t="shared" si="245"/>
        <v>3458</v>
      </c>
      <c r="O54" s="68">
        <f t="shared" si="245"/>
        <v>1393</v>
      </c>
      <c r="P54" s="68">
        <f t="shared" si="245"/>
        <v>2657</v>
      </c>
      <c r="Q54" s="68">
        <f t="shared" si="245"/>
        <v>502</v>
      </c>
      <c r="R54" s="68">
        <f t="shared" si="245"/>
        <v>2448</v>
      </c>
      <c r="S54" s="67">
        <f t="shared" si="245"/>
        <v>7000</v>
      </c>
      <c r="T54" s="68">
        <f t="shared" si="245"/>
        <v>2055</v>
      </c>
      <c r="U54" s="68">
        <f t="shared" si="245"/>
        <v>2443</v>
      </c>
      <c r="V54" s="68">
        <f t="shared" si="245"/>
        <v>560</v>
      </c>
      <c r="W54" s="68">
        <f t="shared" si="245"/>
        <v>2441</v>
      </c>
      <c r="X54" s="67">
        <f t="shared" si="245"/>
        <v>7499</v>
      </c>
      <c r="Y54" s="68">
        <f t="shared" si="245"/>
        <v>728</v>
      </c>
      <c r="Z54" s="68">
        <f t="shared" si="245"/>
        <v>3634</v>
      </c>
      <c r="AA54" s="68">
        <f t="shared" si="245"/>
        <v>3329</v>
      </c>
      <c r="AB54" s="68">
        <f t="shared" si="245"/>
        <v>1893</v>
      </c>
      <c r="AC54" s="67">
        <f t="shared" si="245"/>
        <v>9584</v>
      </c>
      <c r="AD54" s="68">
        <f t="shared" si="245"/>
        <v>1933</v>
      </c>
      <c r="AE54" s="68">
        <f t="shared" si="245"/>
        <v>-251</v>
      </c>
      <c r="AF54" s="68">
        <f t="shared" si="245"/>
        <v>-442</v>
      </c>
      <c r="AG54" s="68">
        <f t="shared" si="245"/>
        <v>-1641</v>
      </c>
      <c r="AH54" s="67">
        <f t="shared" si="245"/>
        <v>-401</v>
      </c>
      <c r="AI54" s="68">
        <f t="shared" si="245"/>
        <v>193</v>
      </c>
      <c r="AJ54" s="68">
        <f>AJ32</f>
        <v>1001</v>
      </c>
      <c r="AK54" s="68">
        <f>AK32</f>
        <v>1197</v>
      </c>
      <c r="AL54" s="68">
        <f>AL32</f>
        <v>3212</v>
      </c>
      <c r="AM54" s="67">
        <f t="shared" si="245"/>
        <v>5603</v>
      </c>
      <c r="AN54" s="241">
        <f>AN32</f>
        <v>-285</v>
      </c>
      <c r="AO54" s="68">
        <f>AO32</f>
        <v>266</v>
      </c>
      <c r="AP54" s="68">
        <f>AP32</f>
        <v>1855</v>
      </c>
      <c r="AQ54" s="68">
        <f t="shared" si="245"/>
        <v>1116</v>
      </c>
      <c r="AR54" s="67">
        <f t="shared" si="245"/>
        <v>2952</v>
      </c>
      <c r="AS54" s="241">
        <f>AS32</f>
        <v>-953</v>
      </c>
      <c r="AT54" s="68">
        <f>AT32</f>
        <v>1596</v>
      </c>
      <c r="AU54" s="68">
        <f>AU32</f>
        <v>449</v>
      </c>
      <c r="AV54" s="68">
        <f>AV32</f>
        <v>2931</v>
      </c>
      <c r="AW54" s="67">
        <f t="shared" si="245"/>
        <v>4023</v>
      </c>
      <c r="AX54" s="121">
        <f t="shared" ref="AX54:BU54" si="246">AX32</f>
        <v>837</v>
      </c>
      <c r="AY54" s="121">
        <f t="shared" si="246"/>
        <v>908</v>
      </c>
      <c r="AZ54" s="121">
        <f t="shared" si="246"/>
        <v>1596</v>
      </c>
      <c r="BA54" s="121">
        <f>BA32</f>
        <v>4167</v>
      </c>
      <c r="BB54" s="67">
        <f t="shared" si="246"/>
        <v>7508</v>
      </c>
      <c r="BC54" s="121">
        <f>BC32</f>
        <v>524</v>
      </c>
      <c r="BD54" s="121">
        <f t="shared" ref="BD54:BE54" si="247">BD32</f>
        <v>3467</v>
      </c>
      <c r="BE54" s="121">
        <f t="shared" si="247"/>
        <v>2808</v>
      </c>
      <c r="BF54" s="121">
        <f>BF32</f>
        <v>1380</v>
      </c>
      <c r="BG54" s="67">
        <f t="shared" si="246"/>
        <v>8179</v>
      </c>
      <c r="BH54" s="68">
        <f t="shared" ref="BH54:BP54" si="248">BH32</f>
        <v>1112</v>
      </c>
      <c r="BI54" s="121">
        <f t="shared" si="248"/>
        <v>1809</v>
      </c>
      <c r="BJ54" s="68">
        <f t="shared" si="248"/>
        <v>939</v>
      </c>
      <c r="BK54" s="121">
        <f>BK32</f>
        <v>4998</v>
      </c>
      <c r="BL54" s="67">
        <f t="shared" si="248"/>
        <v>8858</v>
      </c>
      <c r="BM54" s="68">
        <f t="shared" si="248"/>
        <v>88</v>
      </c>
      <c r="BN54" s="68">
        <f t="shared" si="248"/>
        <v>3297</v>
      </c>
      <c r="BO54" s="68">
        <f t="shared" si="248"/>
        <v>2859</v>
      </c>
      <c r="BP54" s="68">
        <f t="shared" si="248"/>
        <v>3119</v>
      </c>
      <c r="BQ54" s="67">
        <f t="shared" si="246"/>
        <v>9363</v>
      </c>
      <c r="BR54" s="68">
        <f t="shared" si="246"/>
        <v>1231</v>
      </c>
      <c r="BS54" s="68">
        <f t="shared" si="246"/>
        <v>3234</v>
      </c>
      <c r="BT54" s="68">
        <f t="shared" si="246"/>
        <v>3202</v>
      </c>
      <c r="BU54" s="68">
        <f t="shared" si="246"/>
        <v>2832</v>
      </c>
      <c r="BV54" s="67">
        <f t="shared" ref="BV54:BZ54" si="249">BV32</f>
        <v>10499</v>
      </c>
      <c r="BW54" s="68">
        <f t="shared" si="249"/>
        <v>2094</v>
      </c>
      <c r="BX54" s="68">
        <f t="shared" si="249"/>
        <v>4950</v>
      </c>
      <c r="BY54" s="68">
        <f t="shared" si="249"/>
        <v>3396</v>
      </c>
      <c r="BZ54" s="68">
        <f t="shared" si="249"/>
        <v>2904</v>
      </c>
      <c r="CA54" s="67">
        <f t="shared" ref="CA54:CE54" si="250">CA32</f>
        <v>13344</v>
      </c>
      <c r="CB54" s="68">
        <f t="shared" si="250"/>
        <v>3136</v>
      </c>
      <c r="CC54" s="68">
        <f t="shared" si="250"/>
        <v>4680</v>
      </c>
      <c r="CD54" s="68">
        <f t="shared" si="250"/>
        <v>4559</v>
      </c>
      <c r="CE54" s="68">
        <f t="shared" si="250"/>
        <v>2947</v>
      </c>
      <c r="CF54" s="67">
        <f t="shared" ref="CF54:CJ54" si="251">CF32</f>
        <v>15322</v>
      </c>
      <c r="CG54" s="68">
        <f t="shared" si="251"/>
        <v>2788</v>
      </c>
      <c r="CH54" s="68">
        <f t="shared" si="251"/>
        <v>-590</v>
      </c>
      <c r="CI54" s="68">
        <f t="shared" si="251"/>
        <v>-2424</v>
      </c>
      <c r="CJ54" s="68">
        <f t="shared" si="251"/>
        <v>-2220</v>
      </c>
      <c r="CK54" s="120">
        <f t="shared" ref="CK54:CO54" si="252">CK32</f>
        <v>-2446</v>
      </c>
      <c r="CL54" s="68">
        <f t="shared" si="252"/>
        <v>-4302</v>
      </c>
      <c r="CM54" s="68">
        <f t="shared" si="252"/>
        <v>-5280</v>
      </c>
      <c r="CN54" s="68">
        <f t="shared" si="252"/>
        <v>-4819</v>
      </c>
      <c r="CO54" s="68">
        <f t="shared" si="252"/>
        <v>-4009</v>
      </c>
      <c r="CP54" s="120">
        <f t="shared" ref="CP54:CT54" si="253">CP32</f>
        <v>-18410</v>
      </c>
      <c r="CQ54" s="68">
        <f t="shared" si="253"/>
        <v>-3387</v>
      </c>
      <c r="CR54" s="68">
        <f t="shared" si="253"/>
        <v>-483</v>
      </c>
      <c r="CS54" s="68">
        <f t="shared" si="253"/>
        <v>-262</v>
      </c>
      <c r="CT54" s="68">
        <f t="shared" si="253"/>
        <v>716</v>
      </c>
      <c r="CU54" s="120">
        <f t="shared" ref="CU54:CV54" si="254">CU32</f>
        <v>-3416</v>
      </c>
      <c r="CV54" s="68">
        <f t="shared" si="254"/>
        <v>-3216</v>
      </c>
      <c r="CW54" s="68">
        <f t="shared" ref="CW54:CZ54" si="255">CW32</f>
        <v>81</v>
      </c>
      <c r="CX54" s="68">
        <f t="shared" si="255"/>
        <v>3190</v>
      </c>
      <c r="CY54" s="68">
        <f t="shared" si="255"/>
        <v>3457</v>
      </c>
      <c r="CZ54" s="120">
        <f t="shared" si="255"/>
        <v>3512</v>
      </c>
      <c r="DA54" s="68">
        <f t="shared" ref="DA54:DE54" si="256">DA32</f>
        <v>-318</v>
      </c>
      <c r="DB54" s="68">
        <f t="shared" si="256"/>
        <v>2875</v>
      </c>
      <c r="DC54" s="68">
        <f t="shared" si="256"/>
        <v>22</v>
      </c>
      <c r="DD54" s="68">
        <f t="shared" si="256"/>
        <v>3381</v>
      </c>
      <c r="DE54" s="120">
        <f t="shared" si="256"/>
        <v>5960</v>
      </c>
      <c r="DF54" s="68">
        <f t="shared" ref="DF54:DJ54" si="257">DF32</f>
        <v>-3362</v>
      </c>
      <c r="DG54" s="68">
        <f t="shared" si="257"/>
        <v>-3923</v>
      </c>
      <c r="DH54" s="68">
        <f t="shared" si="257"/>
        <v>-1345</v>
      </c>
      <c r="DI54" s="68">
        <f t="shared" si="257"/>
        <v>-3450</v>
      </c>
      <c r="DJ54" s="120">
        <f t="shared" si="257"/>
        <v>-12080</v>
      </c>
      <c r="DK54" s="68">
        <f t="shared" ref="DK54:DO54" si="258">DK32</f>
        <v>-1616</v>
      </c>
      <c r="DL54" s="68">
        <f t="shared" si="258"/>
        <v>227</v>
      </c>
      <c r="DM54" s="68">
        <f t="shared" si="258"/>
        <v>1123</v>
      </c>
      <c r="DN54" s="68">
        <f t="shared" si="258"/>
        <v>1331</v>
      </c>
      <c r="DO54" s="120">
        <f t="shared" si="258"/>
        <v>1065</v>
      </c>
      <c r="DP54" s="68">
        <f t="shared" ref="DP54:DQ54" si="259">DP32</f>
        <v>-179</v>
      </c>
      <c r="DQ54" s="68">
        <f t="shared" si="259"/>
        <v>1364</v>
      </c>
      <c r="DR54" s="68">
        <f t="shared" ref="DR54:DY55" si="260">DR32</f>
        <v>1300</v>
      </c>
      <c r="DS54" s="68">
        <f t="shared" si="260"/>
        <v>3986</v>
      </c>
      <c r="DT54" s="120">
        <f t="shared" si="260"/>
        <v>6471</v>
      </c>
      <c r="DU54" s="68">
        <f t="shared" si="260"/>
        <v>-900</v>
      </c>
      <c r="DV54" s="68">
        <f t="shared" ref="DV54:DY54" si="261">DV32</f>
        <v>2000</v>
      </c>
      <c r="DW54" s="68">
        <f t="shared" si="261"/>
        <v>3650</v>
      </c>
      <c r="DX54" s="68">
        <f t="shared" si="261"/>
        <v>4958</v>
      </c>
      <c r="DY54" s="120">
        <f t="shared" si="261"/>
        <v>9708</v>
      </c>
      <c r="DZ54" s="67">
        <f t="shared" ref="DZ54:EB54" si="262">DZ32</f>
        <v>13237</v>
      </c>
      <c r="EA54" s="67">
        <f t="shared" si="262"/>
        <v>16435</v>
      </c>
      <c r="EB54" s="67">
        <f t="shared" si="262"/>
        <v>19654</v>
      </c>
    </row>
    <row r="55" spans="2:132" s="68" customFormat="1" ht="12" customHeight="1">
      <c r="B55" s="68" t="s">
        <v>257</v>
      </c>
      <c r="C55" s="67">
        <f>C33+C34</f>
        <v>-1391</v>
      </c>
      <c r="D55" s="67">
        <f t="shared" ref="D55:BB55" si="263">D33+D34</f>
        <v>-1584</v>
      </c>
      <c r="E55" s="67">
        <f t="shared" si="263"/>
        <v>-1236</v>
      </c>
      <c r="F55" s="67">
        <f t="shared" si="263"/>
        <v>-932</v>
      </c>
      <c r="G55" s="67">
        <f t="shared" si="263"/>
        <v>-1068</v>
      </c>
      <c r="H55" s="67">
        <f t="shared" si="263"/>
        <v>-1001</v>
      </c>
      <c r="I55" s="67">
        <f t="shared" si="263"/>
        <v>-741</v>
      </c>
      <c r="J55" s="68">
        <f t="shared" si="263"/>
        <v>-182</v>
      </c>
      <c r="K55" s="68">
        <f t="shared" si="263"/>
        <v>-112</v>
      </c>
      <c r="L55" s="68">
        <f t="shared" si="263"/>
        <v>-332</v>
      </c>
      <c r="M55" s="68">
        <f t="shared" si="263"/>
        <v>-352</v>
      </c>
      <c r="N55" s="67">
        <f t="shared" si="263"/>
        <v>-978</v>
      </c>
      <c r="O55" s="68">
        <f t="shared" si="263"/>
        <v>-278</v>
      </c>
      <c r="P55" s="68">
        <f t="shared" si="263"/>
        <v>-490</v>
      </c>
      <c r="Q55" s="68">
        <f t="shared" si="263"/>
        <v>-289</v>
      </c>
      <c r="R55" s="68">
        <f t="shared" si="263"/>
        <v>-439</v>
      </c>
      <c r="S55" s="67">
        <f t="shared" si="263"/>
        <v>-1496</v>
      </c>
      <c r="T55" s="68">
        <f t="shared" si="263"/>
        <v>-412</v>
      </c>
      <c r="U55" s="68">
        <f t="shared" si="263"/>
        <v>-310</v>
      </c>
      <c r="V55" s="68">
        <f t="shared" si="263"/>
        <v>-285</v>
      </c>
      <c r="W55" s="68">
        <f t="shared" si="263"/>
        <v>-449</v>
      </c>
      <c r="X55" s="67">
        <f t="shared" si="263"/>
        <v>-1456</v>
      </c>
      <c r="Y55" s="68">
        <f t="shared" si="263"/>
        <v>-451</v>
      </c>
      <c r="Z55" s="68">
        <f t="shared" si="263"/>
        <v>-397</v>
      </c>
      <c r="AA55" s="68">
        <f t="shared" si="263"/>
        <v>-412</v>
      </c>
      <c r="AB55" s="68">
        <f t="shared" si="263"/>
        <v>-412</v>
      </c>
      <c r="AC55" s="67">
        <f t="shared" si="263"/>
        <v>-1672</v>
      </c>
      <c r="AD55" s="68">
        <f t="shared" si="263"/>
        <v>-400</v>
      </c>
      <c r="AE55" s="68">
        <f t="shared" si="263"/>
        <v>-391</v>
      </c>
      <c r="AF55" s="68">
        <f t="shared" si="263"/>
        <v>-422</v>
      </c>
      <c r="AG55" s="68">
        <f t="shared" si="263"/>
        <v>-427</v>
      </c>
      <c r="AH55" s="67">
        <f t="shared" si="263"/>
        <v>-1640</v>
      </c>
      <c r="AI55" s="68">
        <f t="shared" si="263"/>
        <v>-417</v>
      </c>
      <c r="AJ55" s="68">
        <f t="shared" si="263"/>
        <v>-296</v>
      </c>
      <c r="AK55" s="68">
        <f t="shared" si="263"/>
        <v>-227</v>
      </c>
      <c r="AL55" s="68">
        <f>AL33+AL34</f>
        <v>-219</v>
      </c>
      <c r="AM55" s="67">
        <f t="shared" si="263"/>
        <v>-1159</v>
      </c>
      <c r="AN55" s="241">
        <f>AN33+AN34</f>
        <v>-183</v>
      </c>
      <c r="AO55" s="68">
        <f>AO33+AO34</f>
        <v>-238</v>
      </c>
      <c r="AP55" s="68">
        <f>AP33+AP34</f>
        <v>-257</v>
      </c>
      <c r="AQ55" s="68">
        <f t="shared" si="263"/>
        <v>-384</v>
      </c>
      <c r="AR55" s="67">
        <f t="shared" si="263"/>
        <v>-1062</v>
      </c>
      <c r="AS55" s="241">
        <f>AS33+AS34</f>
        <v>-403</v>
      </c>
      <c r="AT55" s="68">
        <f>AT33+AT34</f>
        <v>-340</v>
      </c>
      <c r="AU55" s="68">
        <f t="shared" si="263"/>
        <v>-345</v>
      </c>
      <c r="AV55" s="68">
        <f>AV33+AV34</f>
        <v>-531</v>
      </c>
      <c r="AW55" s="67">
        <f t="shared" si="263"/>
        <v>-1619</v>
      </c>
      <c r="AX55" s="121">
        <f>AX33+AX34</f>
        <v>-420</v>
      </c>
      <c r="AY55" s="121">
        <f>AY33+AY34</f>
        <v>-344</v>
      </c>
      <c r="AZ55" s="121">
        <f>AZ33+AZ34</f>
        <v>-415</v>
      </c>
      <c r="BA55" s="121">
        <f>BA33+BA34</f>
        <v>-427</v>
      </c>
      <c r="BB55" s="67">
        <f t="shared" si="263"/>
        <v>-1606</v>
      </c>
      <c r="BC55" s="121">
        <f>BC33</f>
        <v>-521</v>
      </c>
      <c r="BD55" s="121">
        <f>BD33</f>
        <v>-455</v>
      </c>
      <c r="BE55" s="121">
        <f>BE33</f>
        <v>-484</v>
      </c>
      <c r="BF55" s="121">
        <f>BF33</f>
        <v>-638</v>
      </c>
      <c r="BG55" s="67">
        <f t="shared" ref="BG55:BQ55" si="264">BG33</f>
        <v>-2098</v>
      </c>
      <c r="BH55" s="121">
        <f t="shared" si="264"/>
        <v>-497</v>
      </c>
      <c r="BI55" s="121">
        <f t="shared" si="264"/>
        <v>-449</v>
      </c>
      <c r="BJ55" s="121">
        <f t="shared" si="264"/>
        <v>-622</v>
      </c>
      <c r="BK55" s="121">
        <f>BK33</f>
        <v>-668</v>
      </c>
      <c r="BL55" s="67">
        <f t="shared" si="264"/>
        <v>-2236</v>
      </c>
      <c r="BM55" s="121">
        <f t="shared" si="264"/>
        <v>-574</v>
      </c>
      <c r="BN55" s="121">
        <f t="shared" si="264"/>
        <v>-692</v>
      </c>
      <c r="BO55" s="121">
        <f t="shared" si="264"/>
        <v>-561</v>
      </c>
      <c r="BP55" s="121">
        <f t="shared" si="264"/>
        <v>-623</v>
      </c>
      <c r="BQ55" s="67">
        <f t="shared" si="264"/>
        <v>-2450</v>
      </c>
      <c r="BR55" s="121">
        <f t="shared" ref="BR55" si="265">BR33</f>
        <v>-748</v>
      </c>
      <c r="BS55" s="121">
        <f t="shared" ref="BS55:BV55" si="266">BS33</f>
        <v>-671</v>
      </c>
      <c r="BT55" s="121">
        <f t="shared" si="266"/>
        <v>-595</v>
      </c>
      <c r="BU55" s="121">
        <f t="shared" si="266"/>
        <v>-599</v>
      </c>
      <c r="BV55" s="67">
        <f t="shared" si="266"/>
        <v>-2613</v>
      </c>
      <c r="BW55" s="121">
        <f t="shared" ref="BW55:CA55" si="267">BW33</f>
        <v>-466</v>
      </c>
      <c r="BX55" s="121">
        <f t="shared" si="267"/>
        <v>-439</v>
      </c>
      <c r="BY55" s="121">
        <f t="shared" si="267"/>
        <v>-399</v>
      </c>
      <c r="BZ55" s="121">
        <f t="shared" si="267"/>
        <v>-435</v>
      </c>
      <c r="CA55" s="67">
        <f t="shared" si="267"/>
        <v>-1739</v>
      </c>
      <c r="CB55" s="121">
        <f t="shared" ref="CB55:CE55" si="268">CB33</f>
        <v>-394</v>
      </c>
      <c r="CC55" s="121">
        <f t="shared" si="268"/>
        <v>-376</v>
      </c>
      <c r="CD55" s="121">
        <f t="shared" si="268"/>
        <v>-457</v>
      </c>
      <c r="CE55" s="121">
        <f t="shared" si="268"/>
        <v>-495</v>
      </c>
      <c r="CF55" s="67">
        <f t="shared" ref="CF55:CJ55" si="269">CF33</f>
        <v>-1722</v>
      </c>
      <c r="CG55" s="121">
        <f t="shared" si="269"/>
        <v>-501</v>
      </c>
      <c r="CH55" s="121">
        <f t="shared" si="269"/>
        <v>-421</v>
      </c>
      <c r="CI55" s="121">
        <f t="shared" si="269"/>
        <v>-465</v>
      </c>
      <c r="CJ55" s="121">
        <f t="shared" si="269"/>
        <v>-447</v>
      </c>
      <c r="CK55" s="120">
        <f t="shared" ref="CK55:CO55" si="270">CK33</f>
        <v>-1834</v>
      </c>
      <c r="CL55" s="121">
        <f t="shared" si="270"/>
        <v>-428</v>
      </c>
      <c r="CM55" s="121">
        <f t="shared" si="270"/>
        <v>-348</v>
      </c>
      <c r="CN55" s="121">
        <f t="shared" si="270"/>
        <v>-262</v>
      </c>
      <c r="CO55" s="121">
        <f t="shared" si="270"/>
        <v>-265</v>
      </c>
      <c r="CP55" s="120">
        <f t="shared" ref="CP55:CT55" si="271">CP33</f>
        <v>-1303</v>
      </c>
      <c r="CQ55" s="121">
        <f t="shared" si="271"/>
        <v>-291</v>
      </c>
      <c r="CR55" s="121">
        <f t="shared" si="271"/>
        <v>-222</v>
      </c>
      <c r="CS55" s="121">
        <f t="shared" si="271"/>
        <v>-245</v>
      </c>
      <c r="CT55" s="121">
        <f t="shared" si="271"/>
        <v>-222</v>
      </c>
      <c r="CU55" s="120">
        <f t="shared" ref="CU55:CV55" si="272">CU33</f>
        <v>-980</v>
      </c>
      <c r="CV55" s="121">
        <f t="shared" si="272"/>
        <v>-349</v>
      </c>
      <c r="CW55" s="121">
        <f t="shared" ref="CW55:CZ55" si="273">CW33</f>
        <v>-263</v>
      </c>
      <c r="CX55" s="121">
        <f t="shared" si="273"/>
        <v>-284</v>
      </c>
      <c r="CY55" s="121">
        <f t="shared" si="273"/>
        <v>-326</v>
      </c>
      <c r="CZ55" s="120">
        <f t="shared" si="273"/>
        <v>-1222</v>
      </c>
      <c r="DA55" s="121">
        <f t="shared" ref="DA55:DE55" si="274">DA33</f>
        <v>-468</v>
      </c>
      <c r="DB55" s="121">
        <f t="shared" si="274"/>
        <v>-296</v>
      </c>
      <c r="DC55" s="121">
        <f t="shared" si="274"/>
        <v>-332</v>
      </c>
      <c r="DD55" s="121">
        <f t="shared" si="274"/>
        <v>-431</v>
      </c>
      <c r="DE55" s="120">
        <f t="shared" si="274"/>
        <v>-1527</v>
      </c>
      <c r="DF55" s="121">
        <f t="shared" ref="DF55:DJ55" si="275">DF33</f>
        <v>-567</v>
      </c>
      <c r="DG55" s="121">
        <f t="shared" si="275"/>
        <v>-404</v>
      </c>
      <c r="DH55" s="121">
        <f t="shared" si="275"/>
        <v>-611</v>
      </c>
      <c r="DI55" s="121">
        <f t="shared" si="275"/>
        <v>-648</v>
      </c>
      <c r="DJ55" s="120">
        <f t="shared" si="275"/>
        <v>-2230</v>
      </c>
      <c r="DK55" s="121">
        <f t="shared" ref="DK55:DO55" si="276">DK33</f>
        <v>-674</v>
      </c>
      <c r="DL55" s="121">
        <f t="shared" si="276"/>
        <v>-427</v>
      </c>
      <c r="DM55" s="121">
        <f t="shared" si="276"/>
        <v>-885</v>
      </c>
      <c r="DN55" s="121">
        <f t="shared" si="276"/>
        <v>-956</v>
      </c>
      <c r="DO55" s="120">
        <f t="shared" si="276"/>
        <v>-2942</v>
      </c>
      <c r="DP55" s="121">
        <f t="shared" ref="DP55:DQ55" si="277">DP33</f>
        <v>-1275</v>
      </c>
      <c r="DQ55" s="121">
        <f t="shared" si="277"/>
        <v>-733</v>
      </c>
      <c r="DR55" s="121">
        <f t="shared" ref="DR55:DT55" si="278">DR33</f>
        <v>-950</v>
      </c>
      <c r="DS55" s="121">
        <f t="shared" si="278"/>
        <v>-1000</v>
      </c>
      <c r="DT55" s="120">
        <f t="shared" si="278"/>
        <v>-3958</v>
      </c>
      <c r="DU55" s="121">
        <f t="shared" si="260"/>
        <v>-900</v>
      </c>
      <c r="DV55" s="121">
        <f t="shared" si="260"/>
        <v>-800</v>
      </c>
      <c r="DW55" s="121">
        <f t="shared" si="260"/>
        <v>-750</v>
      </c>
      <c r="DX55" s="121">
        <f t="shared" si="260"/>
        <v>-750</v>
      </c>
      <c r="DY55" s="120">
        <f t="shared" si="260"/>
        <v>-3200</v>
      </c>
      <c r="DZ55" s="67">
        <f t="shared" ref="DZ55:EB55" si="279">DZ33</f>
        <v>-2700</v>
      </c>
      <c r="EA55" s="67">
        <f t="shared" si="279"/>
        <v>-2800</v>
      </c>
      <c r="EB55" s="67">
        <f t="shared" si="279"/>
        <v>-3000</v>
      </c>
    </row>
    <row r="56" spans="2:132" s="68" customFormat="1" ht="12" customHeight="1">
      <c r="B56" s="165" t="s">
        <v>258</v>
      </c>
      <c r="C56" s="186">
        <f t="shared" ref="C56:BB56" si="280">SUM(C54:C55)</f>
        <v>709</v>
      </c>
      <c r="D56" s="186">
        <f t="shared" si="280"/>
        <v>783</v>
      </c>
      <c r="E56" s="186">
        <f t="shared" si="280"/>
        <v>4988</v>
      </c>
      <c r="F56" s="186">
        <f t="shared" si="280"/>
        <v>5010</v>
      </c>
      <c r="G56" s="186">
        <f t="shared" si="280"/>
        <v>2746</v>
      </c>
      <c r="H56" s="186">
        <f t="shared" si="280"/>
        <v>3374</v>
      </c>
      <c r="I56" s="186">
        <f t="shared" si="280"/>
        <v>3140</v>
      </c>
      <c r="J56" s="165">
        <f t="shared" si="280"/>
        <v>-87</v>
      </c>
      <c r="K56" s="165">
        <f t="shared" si="280"/>
        <v>1337</v>
      </c>
      <c r="L56" s="165">
        <f t="shared" si="280"/>
        <v>343</v>
      </c>
      <c r="M56" s="165">
        <f t="shared" si="280"/>
        <v>887</v>
      </c>
      <c r="N56" s="186">
        <f t="shared" si="280"/>
        <v>2480</v>
      </c>
      <c r="O56" s="165">
        <f t="shared" si="280"/>
        <v>1115</v>
      </c>
      <c r="P56" s="165">
        <f t="shared" si="280"/>
        <v>2167</v>
      </c>
      <c r="Q56" s="165">
        <f t="shared" si="280"/>
        <v>213</v>
      </c>
      <c r="R56" s="165">
        <f t="shared" si="280"/>
        <v>2009</v>
      </c>
      <c r="S56" s="186">
        <f t="shared" si="280"/>
        <v>5504</v>
      </c>
      <c r="T56" s="165">
        <f t="shared" si="280"/>
        <v>1643</v>
      </c>
      <c r="U56" s="165">
        <f t="shared" si="280"/>
        <v>2133</v>
      </c>
      <c r="V56" s="165">
        <f t="shared" si="280"/>
        <v>275</v>
      </c>
      <c r="W56" s="165">
        <f t="shared" si="280"/>
        <v>1992</v>
      </c>
      <c r="X56" s="186">
        <f t="shared" si="280"/>
        <v>6043</v>
      </c>
      <c r="Y56" s="165">
        <f t="shared" si="280"/>
        <v>277</v>
      </c>
      <c r="Z56" s="165">
        <f t="shared" si="280"/>
        <v>3237</v>
      </c>
      <c r="AA56" s="165">
        <f t="shared" si="280"/>
        <v>2917</v>
      </c>
      <c r="AB56" s="165">
        <f t="shared" si="280"/>
        <v>1481</v>
      </c>
      <c r="AC56" s="186">
        <f t="shared" si="280"/>
        <v>7912</v>
      </c>
      <c r="AD56" s="165">
        <f t="shared" si="280"/>
        <v>1533</v>
      </c>
      <c r="AE56" s="165">
        <f t="shared" si="280"/>
        <v>-642</v>
      </c>
      <c r="AF56" s="165">
        <f t="shared" si="280"/>
        <v>-864</v>
      </c>
      <c r="AG56" s="165">
        <f t="shared" si="280"/>
        <v>-2068</v>
      </c>
      <c r="AH56" s="186">
        <f t="shared" si="280"/>
        <v>-2041</v>
      </c>
      <c r="AI56" s="165">
        <f t="shared" si="280"/>
        <v>-224</v>
      </c>
      <c r="AJ56" s="165">
        <f t="shared" si="280"/>
        <v>705</v>
      </c>
      <c r="AK56" s="165">
        <f t="shared" si="280"/>
        <v>970</v>
      </c>
      <c r="AL56" s="165">
        <f t="shared" si="280"/>
        <v>2993</v>
      </c>
      <c r="AM56" s="186">
        <f t="shared" si="280"/>
        <v>4444</v>
      </c>
      <c r="AN56" s="165">
        <f t="shared" si="280"/>
        <v>-468</v>
      </c>
      <c r="AO56" s="165">
        <f>SUM(AO54:AO55)</f>
        <v>28</v>
      </c>
      <c r="AP56" s="165">
        <f>SUM(AP54:AP55)</f>
        <v>1598</v>
      </c>
      <c r="AQ56" s="165">
        <f t="shared" si="280"/>
        <v>732</v>
      </c>
      <c r="AR56" s="186">
        <f t="shared" si="280"/>
        <v>1890</v>
      </c>
      <c r="AS56" s="165">
        <f>SUM(AS54:AS55)</f>
        <v>-1356</v>
      </c>
      <c r="AT56" s="165">
        <f>SUM(AT54:AT55)</f>
        <v>1256</v>
      </c>
      <c r="AU56" s="165">
        <f>SUM(AU54:AU55)</f>
        <v>104</v>
      </c>
      <c r="AV56" s="165">
        <f>SUM(AV54:AV55)</f>
        <v>2400</v>
      </c>
      <c r="AW56" s="186">
        <f t="shared" si="280"/>
        <v>2404</v>
      </c>
      <c r="AX56" s="165">
        <f>SUM(AX54:AX55)</f>
        <v>417</v>
      </c>
      <c r="AY56" s="165">
        <f>SUM(AY54:AY55)</f>
        <v>564</v>
      </c>
      <c r="AZ56" s="165">
        <f>SUM(AZ54:AZ55)</f>
        <v>1181</v>
      </c>
      <c r="BA56" s="165">
        <f>SUM(BA54:BA55)</f>
        <v>3740</v>
      </c>
      <c r="BB56" s="186">
        <f t="shared" si="280"/>
        <v>5902</v>
      </c>
      <c r="BC56" s="165">
        <f>SUM(BC54:BC55)</f>
        <v>3</v>
      </c>
      <c r="BD56" s="165">
        <f>SUM(BD54:BD55)</f>
        <v>3012</v>
      </c>
      <c r="BE56" s="165">
        <f>SUM(BE54:BE55)</f>
        <v>2324</v>
      </c>
      <c r="BF56" s="165">
        <f>SUM(BF54:BF55)</f>
        <v>742</v>
      </c>
      <c r="BG56" s="186">
        <f>SUM(BG54:BG55)</f>
        <v>6081</v>
      </c>
      <c r="BH56" s="165">
        <f t="shared" ref="BH56:BU56" si="281">SUM(BH54:BH55)</f>
        <v>615</v>
      </c>
      <c r="BI56" s="165">
        <f>SUM(BI54:BI55)</f>
        <v>1360</v>
      </c>
      <c r="BJ56" s="165">
        <f t="shared" si="281"/>
        <v>317</v>
      </c>
      <c r="BK56" s="165">
        <f>SUM(BK54:BK55)</f>
        <v>4330</v>
      </c>
      <c r="BL56" s="186">
        <f t="shared" si="281"/>
        <v>6622</v>
      </c>
      <c r="BM56" s="165">
        <f t="shared" ref="BM56:BP56" si="282">SUM(BM54:BM55)</f>
        <v>-486</v>
      </c>
      <c r="BN56" s="165">
        <f t="shared" si="282"/>
        <v>2605</v>
      </c>
      <c r="BO56" s="165">
        <f t="shared" si="282"/>
        <v>2298</v>
      </c>
      <c r="BP56" s="165">
        <f t="shared" si="282"/>
        <v>2496</v>
      </c>
      <c r="BQ56" s="186">
        <f t="shared" si="281"/>
        <v>6913</v>
      </c>
      <c r="BR56" s="165">
        <f t="shared" si="281"/>
        <v>483</v>
      </c>
      <c r="BS56" s="165">
        <f t="shared" si="281"/>
        <v>2563</v>
      </c>
      <c r="BT56" s="165">
        <f t="shared" si="281"/>
        <v>2607</v>
      </c>
      <c r="BU56" s="165">
        <f t="shared" si="281"/>
        <v>2233</v>
      </c>
      <c r="BV56" s="186">
        <f t="shared" ref="BV56:BZ56" si="283">SUM(BV54:BV55)</f>
        <v>7886</v>
      </c>
      <c r="BW56" s="165">
        <f t="shared" si="283"/>
        <v>1628</v>
      </c>
      <c r="BX56" s="165">
        <f t="shared" si="283"/>
        <v>4511</v>
      </c>
      <c r="BY56" s="165">
        <f t="shared" si="283"/>
        <v>2997</v>
      </c>
      <c r="BZ56" s="165">
        <f t="shared" si="283"/>
        <v>2469</v>
      </c>
      <c r="CA56" s="186">
        <f t="shared" ref="CA56:CE56" si="284">SUM(CA54:CA55)</f>
        <v>11605</v>
      </c>
      <c r="CB56" s="165">
        <f t="shared" si="284"/>
        <v>2742</v>
      </c>
      <c r="CC56" s="165">
        <f t="shared" si="284"/>
        <v>4304</v>
      </c>
      <c r="CD56" s="165">
        <f t="shared" si="284"/>
        <v>4102</v>
      </c>
      <c r="CE56" s="165">
        <f t="shared" si="284"/>
        <v>2452</v>
      </c>
      <c r="CF56" s="186">
        <f t="shared" ref="CF56:CJ56" si="285">SUM(CF54:CF55)</f>
        <v>13600</v>
      </c>
      <c r="CG56" s="165">
        <f t="shared" si="285"/>
        <v>2287</v>
      </c>
      <c r="CH56" s="165">
        <f t="shared" si="285"/>
        <v>-1011</v>
      </c>
      <c r="CI56" s="165">
        <f t="shared" si="285"/>
        <v>-2889</v>
      </c>
      <c r="CJ56" s="165">
        <f t="shared" si="285"/>
        <v>-2667</v>
      </c>
      <c r="CK56" s="186">
        <f t="shared" ref="CK56:CO56" si="286">SUM(CK54:CK55)</f>
        <v>-4280</v>
      </c>
      <c r="CL56" s="165">
        <f t="shared" si="286"/>
        <v>-4730</v>
      </c>
      <c r="CM56" s="165">
        <f t="shared" si="286"/>
        <v>-5628</v>
      </c>
      <c r="CN56" s="165">
        <f t="shared" si="286"/>
        <v>-5081</v>
      </c>
      <c r="CO56" s="165">
        <f t="shared" si="286"/>
        <v>-4274</v>
      </c>
      <c r="CP56" s="186">
        <f t="shared" ref="CP56:CT56" si="287">SUM(CP54:CP55)</f>
        <v>-19713</v>
      </c>
      <c r="CQ56" s="165">
        <f t="shared" si="287"/>
        <v>-3678</v>
      </c>
      <c r="CR56" s="165">
        <f t="shared" si="287"/>
        <v>-705</v>
      </c>
      <c r="CS56" s="165">
        <f t="shared" si="287"/>
        <v>-507</v>
      </c>
      <c r="CT56" s="165">
        <f t="shared" si="287"/>
        <v>494</v>
      </c>
      <c r="CU56" s="186">
        <f t="shared" ref="CU56:CV56" si="288">SUM(CU54:CU55)</f>
        <v>-4396</v>
      </c>
      <c r="CV56" s="165">
        <f t="shared" si="288"/>
        <v>-3565</v>
      </c>
      <c r="CW56" s="165">
        <f t="shared" ref="CW56:CZ56" si="289">SUM(CW54:CW55)</f>
        <v>-182</v>
      </c>
      <c r="CX56" s="165">
        <f t="shared" si="289"/>
        <v>2906</v>
      </c>
      <c r="CY56" s="165">
        <f t="shared" si="289"/>
        <v>3131</v>
      </c>
      <c r="CZ56" s="186">
        <f t="shared" si="289"/>
        <v>2290</v>
      </c>
      <c r="DA56" s="165">
        <f t="shared" ref="DA56:DE56" si="290">SUM(DA54:DA55)</f>
        <v>-786</v>
      </c>
      <c r="DB56" s="165">
        <f t="shared" si="290"/>
        <v>2579</v>
      </c>
      <c r="DC56" s="165">
        <f t="shared" si="290"/>
        <v>-310</v>
      </c>
      <c r="DD56" s="165">
        <f t="shared" si="290"/>
        <v>2950</v>
      </c>
      <c r="DE56" s="186">
        <f t="shared" si="290"/>
        <v>4433</v>
      </c>
      <c r="DF56" s="165">
        <f t="shared" ref="DF56:DI56" si="291">SUM(DF54:DF55)</f>
        <v>-3929</v>
      </c>
      <c r="DG56" s="165">
        <f t="shared" si="291"/>
        <v>-4327</v>
      </c>
      <c r="DH56" s="165">
        <f t="shared" si="291"/>
        <v>-1956</v>
      </c>
      <c r="DI56" s="165">
        <f t="shared" si="291"/>
        <v>-4098</v>
      </c>
      <c r="DJ56" s="186">
        <f>SUM(DJ54:DJ55)</f>
        <v>-14310</v>
      </c>
      <c r="DK56" s="165">
        <f t="shared" ref="DK56:DN56" si="292">SUM(DK54:DK55)</f>
        <v>-2290</v>
      </c>
      <c r="DL56" s="165">
        <f t="shared" si="292"/>
        <v>-200</v>
      </c>
      <c r="DM56" s="165">
        <f t="shared" si="292"/>
        <v>238</v>
      </c>
      <c r="DN56" s="165">
        <f t="shared" si="292"/>
        <v>375</v>
      </c>
      <c r="DO56" s="186">
        <f>SUM(DO54:DO55)</f>
        <v>-1877</v>
      </c>
      <c r="DP56" s="165">
        <f t="shared" ref="DP56:DQ56" si="293">SUM(DP54:DP55)</f>
        <v>-1454</v>
      </c>
      <c r="DQ56" s="165">
        <f t="shared" si="293"/>
        <v>631</v>
      </c>
      <c r="DR56" s="165">
        <f t="shared" ref="DR56:DU56" si="294">SUM(DR54:DR55)</f>
        <v>350</v>
      </c>
      <c r="DS56" s="165">
        <f t="shared" si="294"/>
        <v>2986</v>
      </c>
      <c r="DT56" s="186">
        <f t="shared" si="294"/>
        <v>2513</v>
      </c>
      <c r="DU56" s="165">
        <f t="shared" si="294"/>
        <v>-1800</v>
      </c>
      <c r="DV56" s="165">
        <f t="shared" ref="DV56:DY56" si="295">SUM(DV54:DV55)</f>
        <v>1200</v>
      </c>
      <c r="DW56" s="165">
        <f t="shared" si="295"/>
        <v>2900</v>
      </c>
      <c r="DX56" s="165">
        <f t="shared" si="295"/>
        <v>4208</v>
      </c>
      <c r="DY56" s="186">
        <f t="shared" si="295"/>
        <v>6508</v>
      </c>
      <c r="DZ56" s="186">
        <f t="shared" ref="DZ56:EB56" si="296">SUM(DZ54:DZ55)</f>
        <v>10537</v>
      </c>
      <c r="EA56" s="186">
        <f t="shared" si="296"/>
        <v>13635</v>
      </c>
      <c r="EB56" s="186">
        <f t="shared" si="296"/>
        <v>16654</v>
      </c>
    </row>
    <row r="57" spans="2:132" s="68" customFormat="1" ht="12" customHeight="1">
      <c r="B57" s="32" t="s">
        <v>259</v>
      </c>
      <c r="C57" s="21">
        <f>C56/IS!C24</f>
        <v>-3.9831460674157304</v>
      </c>
      <c r="D57" s="21">
        <f>D56/IS!D24</f>
        <v>0.69910714285714282</v>
      </c>
      <c r="E57" s="21">
        <f>E56/IS!E24</f>
        <v>2.1602425292334342</v>
      </c>
      <c r="F57" s="21">
        <f>F56/IS!F24</f>
        <v>2.3543233082706765</v>
      </c>
      <c r="G57" s="21">
        <f>G56/IS!G24</f>
        <v>0.97169143665958957</v>
      </c>
      <c r="H57" s="21">
        <f>H56/IS!H24</f>
        <v>1.4549374730487279</v>
      </c>
      <c r="I57" s="21">
        <f>I56/IS!I24</f>
        <v>4.3732590529247908</v>
      </c>
      <c r="J57" s="20">
        <f>J56/IS!J24</f>
        <v>-0.13964686998394862</v>
      </c>
      <c r="K57" s="20">
        <f>K56/IS!K24</f>
        <v>2.281569965870307</v>
      </c>
      <c r="L57" s="20">
        <f>L56/IS!L24</f>
        <v>0.78310502283105021</v>
      </c>
      <c r="M57" s="20">
        <f>M56/IS!M24</f>
        <v>5.1271676300578033</v>
      </c>
      <c r="N57" s="21">
        <f>N56/IS!N24</f>
        <v>1.3626373626373627</v>
      </c>
      <c r="O57" s="20">
        <f>O56/IS!O24</f>
        <v>2.1692607003891049</v>
      </c>
      <c r="P57" s="20">
        <f>P56/IS!P24</f>
        <v>3.8286219081272086</v>
      </c>
      <c r="Q57" s="20">
        <f>Q56/IS!Q24</f>
        <v>0.2102665350444225</v>
      </c>
      <c r="R57" s="20">
        <f>R56/IS!R24</f>
        <v>4.2835820895522385</v>
      </c>
      <c r="S57" s="21">
        <f>S56/IS!S24</f>
        <v>2.14832162373146</v>
      </c>
      <c r="T57" s="20">
        <f>T56/IS!T24</f>
        <v>2.3742774566473988</v>
      </c>
      <c r="U57" s="20">
        <f>U56/IS!U24</f>
        <v>-13.331250000000001</v>
      </c>
      <c r="V57" s="20">
        <f>V56/IS!V24</f>
        <v>0.39625360230547552</v>
      </c>
      <c r="W57" s="20">
        <f>W56/IS!W24</f>
        <v>2.0326530612244897</v>
      </c>
      <c r="X57" s="21">
        <f>X56/IS!X24</f>
        <v>2.7393472348141432</v>
      </c>
      <c r="Y57" s="20">
        <f>Y56/IS!Y24</f>
        <v>0.31729667812142037</v>
      </c>
      <c r="Z57" s="20">
        <f>Z56/IS!Z24</f>
        <v>3.0857959961868446</v>
      </c>
      <c r="AA57" s="20">
        <f>AA56/IS!AA24</f>
        <v>2.6302975653742111</v>
      </c>
      <c r="AB57" s="20">
        <f>AB56/IS!AB24</f>
        <v>1.4420642648490749</v>
      </c>
      <c r="AC57" s="21">
        <f>AC56/IS!AC24</f>
        <v>1.9497289305076393</v>
      </c>
      <c r="AD57" s="20">
        <f>AD56/IS!AD24</f>
        <v>1.2711442786069651</v>
      </c>
      <c r="AE57" s="20">
        <f>AE56/IS!AE24</f>
        <v>-0.75440658049353704</v>
      </c>
      <c r="AF57" s="20">
        <f>AF56/IS!AF24</f>
        <v>-1.2650073206442167</v>
      </c>
      <c r="AG57" s="20">
        <f>AG56/IS!AG24</f>
        <v>24.046511627906977</v>
      </c>
      <c r="AH57" s="21">
        <f>AH56/IS!AH24</f>
        <v>-0.76902788244159759</v>
      </c>
      <c r="AI57" s="20">
        <f>AI56/IS!AI24</f>
        <v>-0.36422764227642279</v>
      </c>
      <c r="AJ57" s="20">
        <f>AJ56/IS!AJ24</f>
        <v>0.70712136409227688</v>
      </c>
      <c r="AK57" s="20">
        <f>AK56/IS!AK24</f>
        <v>-0.62179487179487181</v>
      </c>
      <c r="AL57" s="20">
        <f>AL56/IS!AL24</f>
        <v>2.3328137178487918</v>
      </c>
      <c r="AM57" s="21">
        <f>AM56/IS!AM24</f>
        <v>3.3288389513108614</v>
      </c>
      <c r="AN57" s="20">
        <f>AN56/IS!AN24</f>
        <v>-0.90173410404624277</v>
      </c>
      <c r="AO57" s="20">
        <f>AO56/IS!AO24</f>
        <v>3.5487959442332066E-2</v>
      </c>
      <c r="AP57" s="20">
        <f>AP56/IS!AP24</f>
        <v>1.909199522102748</v>
      </c>
      <c r="AQ57" s="20">
        <f>AQ56/IS!AQ24</f>
        <v>0.62778730703259</v>
      </c>
      <c r="AR57" s="21">
        <f>AR56/IS!AR24</f>
        <v>0.57082452431289643</v>
      </c>
      <c r="AS57" s="20">
        <f>AS56/IS!AS24</f>
        <v>-2.3069071112623343</v>
      </c>
      <c r="AT57" s="20">
        <f>AT56/IS!AT24</f>
        <v>1.3333333333333333</v>
      </c>
      <c r="AU57" s="20">
        <f>AU56/IS!AU24</f>
        <v>9.5063985374771481E-2</v>
      </c>
      <c r="AV57" s="20">
        <f>AV56/IS!AV24</f>
        <v>1.7301038062283736</v>
      </c>
      <c r="AW57" s="21">
        <f>AW56/IS!AW24</f>
        <v>0.59935178259785593</v>
      </c>
      <c r="AX57" s="20">
        <f>AX56/IS!AX24</f>
        <v>0.45129870129870131</v>
      </c>
      <c r="AY57" s="20">
        <f>AY56/IS!AY24</f>
        <v>0.58324715615305067</v>
      </c>
      <c r="AZ57" s="20">
        <f>AZ56/IS!AZ24</f>
        <v>1.1439364587369241</v>
      </c>
      <c r="BA57" s="20">
        <f>BA56/IS!BA24</f>
        <v>3.8241308793456033</v>
      </c>
      <c r="BB57" s="21">
        <f>BB56/IS!BB24</f>
        <v>1.5127902804121598</v>
      </c>
      <c r="BC57" s="20">
        <f>BC56/IS!BC24</f>
        <v>2.7124773960216998E-3</v>
      </c>
      <c r="BD57" s="20">
        <f>BD56/IS!BD24</f>
        <v>2.7709291628334864</v>
      </c>
      <c r="BE57" s="20">
        <f>BE56/IS!BE24</f>
        <v>2.0034482758620689</v>
      </c>
      <c r="BF57" s="20">
        <f>BF56/IS!BF24</f>
        <v>0.60158910329171322</v>
      </c>
      <c r="BG57" s="21">
        <f>BG56/IS!BG24</f>
        <v>1.3258765044479326</v>
      </c>
      <c r="BH57" s="20">
        <f>BH56/IS!BH24</f>
        <v>0.63730569948186533</v>
      </c>
      <c r="BI57" s="20">
        <f>BI56/IS!BI24</f>
        <v>0.82274652147610405</v>
      </c>
      <c r="BJ57" s="20">
        <f>BJ56/IS!BJ24</f>
        <v>0.23274596182085169</v>
      </c>
      <c r="BK57" s="20">
        <f>BK56/IS!BK24</f>
        <v>2.9536152796725785</v>
      </c>
      <c r="BL57" s="21">
        <f>BL56/IS!BL24</f>
        <v>1.2159383033419022</v>
      </c>
      <c r="BM57" s="20">
        <f>BM56/IS!BM24</f>
        <v>-0.36377245508982037</v>
      </c>
      <c r="BN57" s="20">
        <f>BN56/IS!BN24</f>
        <v>2.3468468468468466</v>
      </c>
      <c r="BO57" s="20">
        <f>BO56/IS!BO24</f>
        <v>1.3485915492957747</v>
      </c>
      <c r="BP57" s="20">
        <f>BP56/IS!BP24</f>
        <v>2.4327485380116958</v>
      </c>
      <c r="BQ57" s="21">
        <f>BQ56/IS!BQ24</f>
        <v>1.3355873261205564</v>
      </c>
      <c r="BR57" s="20">
        <f>BR56/IS!BR24</f>
        <v>0.39622641509433965</v>
      </c>
      <c r="BS57" s="20">
        <f>BS56/IS!BS24</f>
        <v>-10.952991452991453</v>
      </c>
      <c r="BT57" s="20">
        <f>BT56/IS!BT24</f>
        <v>1.1439227731461168</v>
      </c>
      <c r="BU57" s="20">
        <f>BU56/IS!BU24</f>
        <v>1.3690987124463518</v>
      </c>
      <c r="BV57" s="21">
        <f>BV56/IS!BV24</f>
        <v>1.6110316649642493</v>
      </c>
      <c r="BW57" s="20">
        <f>BW56/IS!BW24</f>
        <v>1.0310322989233691</v>
      </c>
      <c r="BX57" s="20">
        <f>BX56/IS!BX24</f>
        <v>2.5791881074899945</v>
      </c>
      <c r="BY57" s="20">
        <f>BY56/IS!BY24</f>
        <v>1.6558011049723758</v>
      </c>
      <c r="BZ57" s="20">
        <f>BZ56/IS!BZ24</f>
        <v>0.74367469879518078</v>
      </c>
      <c r="CA57" s="21">
        <f>CA56/IS!CA24</f>
        <v>1.3720737763064554</v>
      </c>
      <c r="CB57" s="20">
        <f>CB56/IS!CB24</f>
        <v>1.1069842551473557</v>
      </c>
      <c r="CC57" s="20">
        <f>CC56/IS!CC24</f>
        <v>1.9599271402550091</v>
      </c>
      <c r="CD57" s="20">
        <f>CD56/IS!CD24</f>
        <v>1.7359289039356749</v>
      </c>
      <c r="CE57" s="20">
        <f>CE56/IS!CE24</f>
        <v>0.71612149532710279</v>
      </c>
      <c r="CF57" s="21">
        <f>CF56/IS!CF24</f>
        <v>1.3001912045889101</v>
      </c>
      <c r="CG57" s="20">
        <f>CG56/IS!CG24</f>
        <v>1.0642159143787808</v>
      </c>
      <c r="CH57" s="20">
        <f>CH56/IS!CH24</f>
        <v>0.34364377974167232</v>
      </c>
      <c r="CI57" s="20">
        <f>CI56/IS!CI24</f>
        <v>-2.475578406169666</v>
      </c>
      <c r="CJ57" s="20">
        <f>CJ56/IS!CJ24</f>
        <v>2.6405940594059407</v>
      </c>
      <c r="CK57" s="21">
        <f>CK56/IS!CK24</f>
        <v>6.7295597484276728</v>
      </c>
      <c r="CL57" s="20">
        <f>CL56/IS!CL24</f>
        <v>7.531847133757962</v>
      </c>
      <c r="CM57" s="20">
        <f>CM56/IS!CM24</f>
        <v>2.3686868686868685</v>
      </c>
      <c r="CN57" s="20">
        <f>CN56/IS!CN24</f>
        <v>11.316258351893095</v>
      </c>
      <c r="CO57" s="20">
        <f>CO56/IS!CO24</f>
        <v>0.50760095011876483</v>
      </c>
      <c r="CP57" s="21">
        <f>CP56/IS!CP24</f>
        <v>1.660321738398046</v>
      </c>
      <c r="CQ57" s="20">
        <f>CQ56/IS!CQ24</f>
        <v>6.8491620111731848</v>
      </c>
      <c r="CR57" s="20">
        <f>CR56/IS!CR24</f>
        <v>-1.201022146507666</v>
      </c>
      <c r="CS57" s="20">
        <f>CS56/IS!CS24</f>
        <v>4.6513761467889907</v>
      </c>
      <c r="CT57" s="20">
        <f>CT56/IS!CT24</f>
        <v>-0.11923726768042481</v>
      </c>
      <c r="CU57" s="21">
        <f>CU56/IS!CU24</f>
        <v>1.0461684911946691</v>
      </c>
      <c r="CV57" s="20">
        <f>CV56/IS!CV24</f>
        <v>2.9245283018867925</v>
      </c>
      <c r="CW57" s="20">
        <f>CW56/IS!CW24</f>
        <v>-0.94300518134715028</v>
      </c>
      <c r="CX57" s="20">
        <f>CX56/IS!CX24</f>
        <v>-0.88732824427480916</v>
      </c>
      <c r="CY57" s="20">
        <f>CY56/IS!CY24</f>
        <v>-4.9384858044164037</v>
      </c>
      <c r="CZ57" s="21">
        <f>CZ56/IS!CZ24</f>
        <v>-0.46403242147923002</v>
      </c>
      <c r="DA57" s="20">
        <f>DA56/IS!DA24</f>
        <v>1.8985507246376812</v>
      </c>
      <c r="DB57" s="20">
        <f>DB56/IS!DB24</f>
        <v>-17.308724832214764</v>
      </c>
      <c r="DC57" s="20">
        <f>DC56/IS!DC24</f>
        <v>0.18948655256723718</v>
      </c>
      <c r="DD57" s="20">
        <f>DD56/IS!DD24</f>
        <v>-128.2608695652174</v>
      </c>
      <c r="DE57" s="21">
        <f>DE56/IS!DE24</f>
        <v>-1.995049504950495</v>
      </c>
      <c r="DF57" s="20">
        <f>DF56/IS!DF24</f>
        <v>11.454810495626822</v>
      </c>
      <c r="DG57" s="20">
        <f>DG56/IS!DG24</f>
        <v>3.0069492703266159</v>
      </c>
      <c r="DH57" s="20">
        <f>DH56/IS!DH24</f>
        <v>0.31701782820097246</v>
      </c>
      <c r="DI57" s="20">
        <f>DI56/IS!DI24</f>
        <v>1.0624837956961368</v>
      </c>
      <c r="DJ57" s="21">
        <f>DJ56/IS!DJ24</f>
        <v>1.2117876196121602</v>
      </c>
      <c r="DK57" s="20">
        <f>DK56/IS!DK24</f>
        <v>61.891891891891895</v>
      </c>
      <c r="DL57" s="20">
        <f>DL56/IS!DL24</f>
        <v>0.32733224222585927</v>
      </c>
      <c r="DM57" s="20">
        <f>DM56/IS!DM24</f>
        <v>-4.4594341390294175E-2</v>
      </c>
      <c r="DN57" s="20">
        <f>DN56/IS!DN24</f>
        <v>4.5620437956204379E-2</v>
      </c>
      <c r="DO57" s="21">
        <f>DO56/IS!DO24</f>
        <v>-0.83982102908277401</v>
      </c>
      <c r="DP57" s="20">
        <f>DP56/IS!DP24</f>
        <v>363.5</v>
      </c>
      <c r="DQ57" s="20">
        <f>DQ56/IS!DQ24</f>
        <v>-1.4211711711711712</v>
      </c>
      <c r="DR57" s="20">
        <f>DR56/IS!DR24</f>
        <v>2.4246778170883054</v>
      </c>
      <c r="DS57" s="20">
        <f>DS56/IS!DS24</f>
        <v>5.013650768762461</v>
      </c>
      <c r="DT57" s="21">
        <f>DT56/IS!DT24</f>
        <v>8.6084324577667797</v>
      </c>
      <c r="DU57" s="20">
        <f>DU56/IS!DU24</f>
        <v>-9.2614895884803499</v>
      </c>
      <c r="DV57" s="20">
        <f>DV56/IS!DV24</f>
        <v>1.4637279498204319</v>
      </c>
      <c r="DW57" s="20">
        <f>DW56/IS!DW24</f>
        <v>2.2487658335857477</v>
      </c>
      <c r="DX57" s="20">
        <f>DX56/IS!DX24</f>
        <v>2.4828655578776426</v>
      </c>
      <c r="DY57" s="21">
        <f>DY56/IS!DY24</f>
        <v>1.6275737980853107</v>
      </c>
      <c r="DZ57" s="21">
        <f>DZ56/IS!DZ24</f>
        <v>1.3981372386679523</v>
      </c>
      <c r="EA57" s="21">
        <f>EA56/IS!EA24</f>
        <v>1.2184434098191514</v>
      </c>
      <c r="EB57" s="21">
        <f>EB56/IS!EB24</f>
        <v>1.1097207170002419</v>
      </c>
    </row>
    <row r="58" spans="2:132" s="407" customFormat="1" ht="12" customHeight="1">
      <c r="B58" s="264" t="s">
        <v>653</v>
      </c>
      <c r="C58" s="992">
        <f>C56/SEG!C82</f>
        <v>1.5480349344978167E-2</v>
      </c>
      <c r="D58" s="992">
        <f>D56/SEG!D82</f>
        <v>1.394379741425366E-2</v>
      </c>
      <c r="E58" s="992">
        <f>E56/SEG!E82</f>
        <v>8.6010380563171424E-2</v>
      </c>
      <c r="F58" s="992">
        <f>F56/SEG!F82</f>
        <v>9.7620856959139538E-2</v>
      </c>
      <c r="G58" s="992">
        <f>G56/SEG!G82</f>
        <v>4.7183752018969724E-2</v>
      </c>
      <c r="H58" s="992">
        <f>H56/SEG!H82</f>
        <v>6.2401745917253879E-2</v>
      </c>
      <c r="I58" s="992">
        <f>I56/SEG!I82</f>
        <v>6.2196692086758446E-2</v>
      </c>
      <c r="J58" s="993"/>
      <c r="K58" s="993"/>
      <c r="L58" s="993"/>
      <c r="M58" s="993"/>
      <c r="N58" s="992">
        <f>N56/SEG!N82</f>
        <v>4.7276817202661227E-2</v>
      </c>
      <c r="O58" s="993"/>
      <c r="P58" s="993"/>
      <c r="Q58" s="993"/>
      <c r="R58" s="993"/>
      <c r="S58" s="992">
        <f>S56/SEG!S82</f>
        <v>0.10035554745190993</v>
      </c>
      <c r="T58" s="993"/>
      <c r="U58" s="993"/>
      <c r="V58" s="993"/>
      <c r="W58" s="993"/>
      <c r="X58" s="992">
        <f>X56/SEG!X82</f>
        <v>9.8212254184950429E-2</v>
      </c>
      <c r="Y58" s="993"/>
      <c r="Z58" s="993"/>
      <c r="AA58" s="993"/>
      <c r="AB58" s="993"/>
      <c r="AC58" s="992">
        <f>AC56/SEG!AC82</f>
        <v>0.11917995993191438</v>
      </c>
      <c r="AD58" s="993"/>
      <c r="AE58" s="993"/>
      <c r="AF58" s="993"/>
      <c r="AG58" s="993"/>
      <c r="AH58" s="992">
        <f>AH56/SEG!AH82</f>
        <v>-3.3503504653720512E-2</v>
      </c>
      <c r="AI58" s="993"/>
      <c r="AJ58" s="993"/>
      <c r="AK58" s="993"/>
      <c r="AL58" s="993"/>
      <c r="AM58" s="992">
        <f>AM56/SEG!AM82</f>
        <v>6.5083991154201021E-2</v>
      </c>
      <c r="AN58" s="993"/>
      <c r="AO58" s="993"/>
      <c r="AP58" s="993"/>
      <c r="AQ58" s="993"/>
      <c r="AR58" s="992">
        <f>AR56/SEG!AR82</f>
        <v>2.9390725593257238E-2</v>
      </c>
      <c r="AS58" s="993"/>
      <c r="AT58" s="993"/>
      <c r="AU58" s="993"/>
      <c r="AV58" s="993"/>
      <c r="AW58" s="992">
        <f>AW56/SEG!AW82</f>
        <v>3.4974903615334257E-2</v>
      </c>
      <c r="AX58" s="993"/>
      <c r="AY58" s="993"/>
      <c r="AZ58" s="993"/>
      <c r="BA58" s="993"/>
      <c r="BB58" s="992">
        <f>BB56/SEG!BB82</f>
        <v>7.2241670542730549E-2</v>
      </c>
      <c r="BC58" s="993"/>
      <c r="BD58" s="993"/>
      <c r="BE58" s="993"/>
      <c r="BF58" s="993"/>
      <c r="BG58" s="992">
        <f>BG56/SEG!BG82</f>
        <v>7.020051187151724E-2</v>
      </c>
      <c r="BH58" s="993"/>
      <c r="BI58" s="993"/>
      <c r="BJ58" s="993"/>
      <c r="BK58" s="993"/>
      <c r="BL58" s="992">
        <f>BL56/SEG!BL82</f>
        <v>7.2960049359864262E-2</v>
      </c>
      <c r="BM58" s="993"/>
      <c r="BN58" s="993"/>
      <c r="BO58" s="993"/>
      <c r="BP58" s="993"/>
      <c r="BQ58" s="992">
        <f>BQ56/SEG!BQ82</f>
        <v>7.1925005722371357E-2</v>
      </c>
      <c r="BR58" s="993"/>
      <c r="BS58" s="993"/>
      <c r="BT58" s="993"/>
      <c r="BU58" s="993"/>
      <c r="BV58" s="992">
        <f>BV56/SEG!BV82</f>
        <v>8.3387084835731887E-2</v>
      </c>
      <c r="BW58" s="993"/>
      <c r="BX58" s="993"/>
      <c r="BY58" s="993"/>
      <c r="BZ58" s="993"/>
      <c r="CA58" s="992">
        <f>CA56/SEG!CA82</f>
        <v>0.12345088027232594</v>
      </c>
      <c r="CB58" s="993"/>
      <c r="CC58" s="993"/>
      <c r="CD58" s="993"/>
      <c r="CE58" s="993"/>
      <c r="CF58" s="992">
        <f>CF56/SEG!CF82</f>
        <v>0.13448436124872684</v>
      </c>
      <c r="CG58" s="993"/>
      <c r="CH58" s="993"/>
      <c r="CI58" s="993"/>
      <c r="CJ58" s="993"/>
      <c r="CK58" s="992">
        <f>CK56/SEG!CK82</f>
        <v>-5.5904596455021618E-2</v>
      </c>
      <c r="CL58" s="993"/>
      <c r="CM58" s="993"/>
      <c r="CN58" s="993"/>
      <c r="CO58" s="993"/>
      <c r="CP58" s="992">
        <f>CP56/SEG!CP82</f>
        <v>-0.33895594759104508</v>
      </c>
      <c r="CQ58" s="993"/>
      <c r="CR58" s="993"/>
      <c r="CS58" s="993"/>
      <c r="CT58" s="993"/>
      <c r="CU58" s="992">
        <f>CU56/SEG!CU82</f>
        <v>-7.0577657900651833E-2</v>
      </c>
      <c r="CV58" s="993"/>
      <c r="CW58" s="993"/>
      <c r="CX58" s="993"/>
      <c r="CY58" s="993"/>
      <c r="CZ58" s="992">
        <f>CZ56/SEG!CZ82</f>
        <v>3.4380254624069184E-2</v>
      </c>
      <c r="DA58" s="993"/>
      <c r="DB58" s="993"/>
      <c r="DC58" s="993"/>
      <c r="DD58" s="993"/>
      <c r="DE58" s="992">
        <f>DE56/SEG!DE82</f>
        <v>5.6983829087076124E-2</v>
      </c>
      <c r="DF58" s="993"/>
      <c r="DG58" s="993"/>
      <c r="DH58" s="993"/>
      <c r="DI58" s="993"/>
      <c r="DJ58" s="992">
        <f>DJ56/SEG!DJ82</f>
        <v>-0.2151329735255649</v>
      </c>
      <c r="DK58" s="993"/>
      <c r="DL58" s="993"/>
      <c r="DM58" s="993"/>
      <c r="DN58" s="993"/>
      <c r="DO58" s="992">
        <f>DO56/SEG!DO82</f>
        <v>-2.0980740641382473E-2</v>
      </c>
      <c r="DP58" s="993"/>
      <c r="DQ58" s="993"/>
      <c r="DR58" s="993"/>
      <c r="DS58" s="993"/>
      <c r="DT58" s="992">
        <f>DT56/SEG!DT82</f>
        <v>2.5861961984098996E-2</v>
      </c>
      <c r="DU58" s="993"/>
      <c r="DV58" s="993"/>
      <c r="DW58" s="993"/>
      <c r="DX58" s="993"/>
      <c r="DY58" s="992">
        <f>DY56/SEG!DY82</f>
        <v>5.6914654942530396E-2</v>
      </c>
      <c r="DZ58" s="992">
        <f>DZ56/SEG!DZ82</f>
        <v>8.3662950530308575E-2</v>
      </c>
      <c r="EA58" s="992">
        <f>EA56/SEG!EA82</f>
        <v>9.8170951841224721E-2</v>
      </c>
      <c r="EB58" s="992">
        <f>EB56/SEG!EB82</f>
        <v>0.11308542886696024</v>
      </c>
    </row>
    <row r="59" spans="2:132" s="68" customFormat="1" ht="12" customHeight="1">
      <c r="B59" s="32" t="s">
        <v>384</v>
      </c>
      <c r="C59" s="509">
        <f>1/IS!C40*CFLO!C56</f>
        <v>0.73085248943407899</v>
      </c>
      <c r="D59" s="509">
        <f>1/IS!D40*CFLO!D56</f>
        <v>0.80980452994104868</v>
      </c>
      <c r="E59" s="509">
        <f>1/IS!E40*CFLO!E56</f>
        <v>5.387190841343557</v>
      </c>
      <c r="F59" s="509">
        <f>1/IS!F40*CFLO!F56</f>
        <v>5.7500286927579483</v>
      </c>
      <c r="G59" s="509">
        <f>1/IS!G40*CFLO!G56</f>
        <v>3.311226335463644</v>
      </c>
      <c r="H59" s="509">
        <f>1/IS!H40*CFLO!H56</f>
        <v>4.1736763978228604</v>
      </c>
      <c r="I59" s="509">
        <f>1/IS!I40*CFLO!I56</f>
        <v>3.881814810236123</v>
      </c>
      <c r="J59" s="510">
        <f>1/IS!J40*CFLO!J56</f>
        <v>-0.1072881982981872</v>
      </c>
      <c r="K59" s="510">
        <f>1/IS!K40*CFLO!K56</f>
        <v>1.6459436168903117</v>
      </c>
      <c r="L59" s="510">
        <f>1/IS!L40*CFLO!L56</f>
        <v>0.42096219931271478</v>
      </c>
      <c r="M59" s="510">
        <f>1/IS!M40*CFLO!M56</f>
        <v>1.0896805896805897</v>
      </c>
      <c r="N59" s="509">
        <f>1/IS!N40*CFLO!N56</f>
        <v>3.050430504305043</v>
      </c>
      <c r="O59" s="510">
        <f>1/IS!O40*CFLO!O56</f>
        <v>1.3820029747149232</v>
      </c>
      <c r="P59" s="510">
        <f>1/IS!P40*CFLO!P56</f>
        <v>2.6839237057220706</v>
      </c>
      <c r="Q59" s="510">
        <f>1/IS!Q40*CFLO!Q56</f>
        <v>0.26532137518684606</v>
      </c>
      <c r="R59" s="510">
        <f>1/IS!R40*CFLO!R56</f>
        <v>2.5283161339038505</v>
      </c>
      <c r="S59" s="509">
        <f>1/IS!S40*CFLO!S56</f>
        <v>6.8551500809565313</v>
      </c>
      <c r="T59" s="510">
        <f>1/IS!T40*CFLO!T56</f>
        <v>2.0750189441778226</v>
      </c>
      <c r="U59" s="510">
        <f>1/IS!U40*CFLO!U56</f>
        <v>2.8017864179692635</v>
      </c>
      <c r="V59" s="510">
        <f>1/IS!V40*CFLO!V56</f>
        <v>0.35076530612244894</v>
      </c>
      <c r="W59" s="510">
        <f>1/IS!W40*CFLO!W56</f>
        <v>2.449280708225746</v>
      </c>
      <c r="X59" s="509">
        <f>1/IS!X40*CFLO!X56</f>
        <v>7.6726764855256464</v>
      </c>
      <c r="Y59" s="510">
        <f>1/IS!Y40*CFLO!Y56</f>
        <v>0.35631592487779778</v>
      </c>
      <c r="Z59" s="510">
        <f>1/IS!Z40*CFLO!Z56</f>
        <v>4.1660231660231659</v>
      </c>
      <c r="AA59" s="510">
        <f>1/IS!AA40*CFLO!AA56</f>
        <v>3.7716576157227824</v>
      </c>
      <c r="AB59" s="510">
        <f>1/IS!AB40*CFLO!AB56</f>
        <v>1.9430595644187878</v>
      </c>
      <c r="AC59" s="509">
        <f>1/IS!AC40*CFLO!AC56</f>
        <v>10.242071197411004</v>
      </c>
      <c r="AD59" s="510">
        <f>1/IS!AD40*CFLO!AD56</f>
        <v>2.0511105164570513</v>
      </c>
      <c r="AE59" s="510">
        <f>1/IS!AE40*CFLO!AE56</f>
        <v>-0.87609170305676864</v>
      </c>
      <c r="AF59" s="510">
        <f>1/IS!AF40*CFLO!AF56</f>
        <v>-1.1968416678210279</v>
      </c>
      <c r="AG59" s="510">
        <f>1/IS!AG40*CFLO!AG56</f>
        <v>-2.8967642526964563</v>
      </c>
      <c r="AH59" s="509">
        <f>1/IS!AH40*CFLO!AH56</f>
        <v>-2.7997256515775031</v>
      </c>
      <c r="AI59" s="510">
        <f>1/IS!AI40*CFLO!AI56</f>
        <v>-0.31665253039298841</v>
      </c>
      <c r="AJ59" s="510">
        <f>1/IS!AJ40*CFLO!AJ56</f>
        <v>0.99604408024865798</v>
      </c>
      <c r="AK59" s="510">
        <f>1/IS!AK40*CFLO!AK56</f>
        <v>1.3831455867674318</v>
      </c>
      <c r="AL59" s="510">
        <f>1/IS!AL40*CFLO!AL56</f>
        <v>4.134548970852328</v>
      </c>
      <c r="AM59" s="509">
        <f>1/IS!AM40*CFLO!AM56</f>
        <v>6.2293243622091401</v>
      </c>
      <c r="AN59" s="510">
        <f>1/IS!AN40*CFLO!AN56</f>
        <v>-0.6323469801378192</v>
      </c>
      <c r="AO59" s="510">
        <f>1/IS!AO40*CFLO!AO56</f>
        <v>3.7690133261542601E-2</v>
      </c>
      <c r="AP59" s="510">
        <f>1/IS!AP40*CFLO!AP56</f>
        <v>2.1461187214611872</v>
      </c>
      <c r="AQ59" s="510">
        <f>1/IS!AQ40*CFLO!AQ56</f>
        <v>0.97991967871485941</v>
      </c>
      <c r="AR59" s="509">
        <f>1/IS!AR40*CFLO!AR56</f>
        <v>2.5415181873193036</v>
      </c>
      <c r="AS59" s="510">
        <f>1/IS!AS40*CFLO!AS56</f>
        <v>-1.8104138851802403</v>
      </c>
      <c r="AT59" s="510">
        <f>1/IS!AT40*CFLO!AT56</f>
        <v>1.6688812117990965</v>
      </c>
      <c r="AU59" s="510">
        <f>1/IS!AU40*CFLO!AU56</f>
        <v>0.13794933014988725</v>
      </c>
      <c r="AV59" s="510">
        <f>1/IS!AV40*CFLO!AV56</f>
        <v>3.1699907541936336</v>
      </c>
      <c r="AW59" s="509">
        <f>1/IS!AW40*CFLO!AW56</f>
        <v>3.1921391581463285</v>
      </c>
      <c r="AX59" s="510">
        <f>1/IS!AX40*CFLO!AX56</f>
        <v>0.54897314375987361</v>
      </c>
      <c r="AY59" s="510">
        <f>1/IS!AY40*CFLO!AY56</f>
        <v>0.74015748031496065</v>
      </c>
      <c r="AZ59" s="510">
        <f>1/IS!AZ40*CFLO!AZ56</f>
        <v>1.5433873497124935</v>
      </c>
      <c r="BA59" s="510">
        <f>1/IS!BA40*CFLO!BA56</f>
        <v>4.8805950672060554</v>
      </c>
      <c r="BB59" s="509">
        <f>1/IS!BB40*CFLO!BB56</f>
        <v>7.7271537051584192</v>
      </c>
      <c r="BC59" s="510">
        <f>1/IS!BC40*CFLO!BC56</f>
        <v>3.9026928580720693E-3</v>
      </c>
      <c r="BD59" s="510">
        <f>1/IS!BD40*CFLO!BD56</f>
        <v>3.9025654314589273</v>
      </c>
      <c r="BE59" s="510">
        <f>1/IS!BE40*CFLO!BE56</f>
        <v>3.021713691327526</v>
      </c>
      <c r="BF59" s="510">
        <f>1/IS!BF40*CFLO!BF56</f>
        <v>0.96564289432587191</v>
      </c>
      <c r="BG59" s="509">
        <f>1/IS!BG40*CFLO!BG56</f>
        <v>7.9025341130604287</v>
      </c>
      <c r="BH59" s="510">
        <f>1/IS!BH40*CFLO!BH56</f>
        <v>0.81554170534411874</v>
      </c>
      <c r="BI59" s="510">
        <f>1/IS!BI40*CFLO!BI56</f>
        <v>1.8375895149304147</v>
      </c>
      <c r="BJ59" s="510">
        <f>1/IS!BJ40*CFLO!BJ56</f>
        <v>0.43311927858997135</v>
      </c>
      <c r="BK59" s="510">
        <f>1/IS!BK40*CFLO!BK56</f>
        <v>5.9740618101545255</v>
      </c>
      <c r="BL59" s="509">
        <f>1/IS!BL40*CFLO!BL56</f>
        <v>8.9762445355654226</v>
      </c>
      <c r="BM59" s="510">
        <f>1/IS!BM40*CFLO!BM56</f>
        <v>-0.68048165779893588</v>
      </c>
      <c r="BN59" s="510">
        <f>1/IS!BN40*CFLO!BN56</f>
        <v>3.727285734725998</v>
      </c>
      <c r="BO59" s="510">
        <f>1/IS!BO40*CFLO!BO56</f>
        <v>3.3352685050798256</v>
      </c>
      <c r="BP59" s="510">
        <f>1/IS!BP40*CFLO!BP56</f>
        <v>3.66412213740458</v>
      </c>
      <c r="BQ59" s="509">
        <f>1/IS!BQ40*CFLO!BQ56</f>
        <v>9.9349692810692343</v>
      </c>
      <c r="BR59" s="510">
        <f>1/IS!BR40*CFLO!BR56</f>
        <v>0.72544307599879854</v>
      </c>
      <c r="BS59" s="510">
        <f>1/IS!BS40*CFLO!BS56</f>
        <v>4.0279742259940283</v>
      </c>
      <c r="BT59" s="510">
        <f>1/IS!BT40*CFLO!BT56</f>
        <v>4.1204362256993834</v>
      </c>
      <c r="BU59" s="510">
        <f>1/IS!BU40*CFLO!BU56</f>
        <v>3.5427574171029672</v>
      </c>
      <c r="BV59" s="509">
        <f>1/IS!BV40*CFLO!BV56</f>
        <v>12.297376320611283</v>
      </c>
      <c r="BW59" s="510">
        <f>1/IS!BW40*CFLO!BW56</f>
        <v>2.62073406310367</v>
      </c>
      <c r="BX59" s="510">
        <f>1/IS!BX40*CFLO!BX56</f>
        <v>7.3999343832020994</v>
      </c>
      <c r="BY59" s="510">
        <f>1/IS!BY40*CFLO!BY56</f>
        <v>4.9430974764967841</v>
      </c>
      <c r="BZ59" s="510">
        <f>1/IS!BZ40*CFLO!BZ56</f>
        <v>4.0803173029251365</v>
      </c>
      <c r="CA59" s="509">
        <f>1/IS!CA40*CFLO!CA56</f>
        <v>19.00278369084657</v>
      </c>
      <c r="CB59" s="510">
        <f>1/IS!CB40*CFLO!CB56</f>
        <v>4.5914266577361014</v>
      </c>
      <c r="CC59" s="510">
        <f>1/IS!CC40*CFLO!CC56</f>
        <v>7.3110242908102592</v>
      </c>
      <c r="CD59" s="510">
        <f>1/IS!CD40*CFLO!CD56</f>
        <v>7.0626721763085403</v>
      </c>
      <c r="CE59" s="510">
        <f>1/IS!CE40*CFLO!CE56</f>
        <v>4.2458874458874458</v>
      </c>
      <c r="CF59" s="509">
        <f>1/IS!CF40*CFLO!CF56</f>
        <v>23.206211074140434</v>
      </c>
      <c r="CG59" s="510">
        <f>1/IS!CG40*CFLO!CG56</f>
        <v>3.9954577218728162</v>
      </c>
      <c r="CH59" s="510">
        <f>1/IS!CH40*CFLO!CH56</f>
        <v>-1.7884309216345304</v>
      </c>
      <c r="CI59" s="510">
        <f>1/IS!CI40*CFLO!CI56</f>
        <v>-5.0755446240337312</v>
      </c>
      <c r="CJ59" s="510">
        <f>1/IS!CJ40*CFLO!CJ56</f>
        <v>-4.7170145030067214</v>
      </c>
      <c r="CK59" s="509">
        <f>1/IS!CK40*CFLO!CK56</f>
        <v>-7.5342164326893464</v>
      </c>
      <c r="CL59" s="510">
        <f>1/IS!CL40*CFLO!CL56</f>
        <v>-8.3583672026859865</v>
      </c>
      <c r="CM59" s="510">
        <f>1/IS!CM40*CFLO!CM56</f>
        <v>-9.9364406779661021</v>
      </c>
      <c r="CN59" s="510">
        <f>1/IS!CN40*CFLO!CN56</f>
        <v>-8.9675255912460283</v>
      </c>
      <c r="CO59" s="510">
        <f>1/IS!CO40*CFLO!CO56</f>
        <v>-7.4278762599930488</v>
      </c>
      <c r="CP59" s="509">
        <f>1/IS!CP40*CFLO!CP56</f>
        <v>-34.670887745679984</v>
      </c>
      <c r="CQ59" s="510">
        <f>1/IS!CQ40*CFLO!CQ56</f>
        <v>-6.2828834984625903</v>
      </c>
      <c r="CR59" s="510">
        <f>1/IS!CR40*CFLO!CR56</f>
        <v>-1.1945103354794984</v>
      </c>
      <c r="CS59" s="510">
        <f>1/IS!CS40*CFLO!CS56</f>
        <v>-0.8607809847198642</v>
      </c>
      <c r="CT59" s="510">
        <f>1/IS!CT40*CFLO!CT56</f>
        <v>0.83686261223106906</v>
      </c>
      <c r="CU59" s="509">
        <f>1/IS!CU40*CFLO!CU56</f>
        <v>-7.4669837360397482</v>
      </c>
      <c r="CV59" s="510">
        <f>1/IS!CV40*CFLO!CV56</f>
        <v>-6.0250126753422339</v>
      </c>
      <c r="CW59" s="510">
        <f>1/IS!CW40*CFLO!CW56</f>
        <v>-0.30516431924882631</v>
      </c>
      <c r="CX59" s="510">
        <f>1/IS!CX40*CFLO!CX56</f>
        <v>4.8733858795908107</v>
      </c>
      <c r="CY59" s="510">
        <f>1/IS!CY40*CFLO!CY56</f>
        <v>5.2279178493905496</v>
      </c>
      <c r="CZ59" s="509">
        <f>1/IS!CZ40*CFLO!CZ56</f>
        <v>3.8434103973482152</v>
      </c>
      <c r="DA59" s="510">
        <f>1/IS!DA40*CFLO!DA56</f>
        <v>-1.3045643153526971</v>
      </c>
      <c r="DB59" s="510">
        <f>1/IS!DB40*CFLO!DB56</f>
        <v>4.259289843104872</v>
      </c>
      <c r="DC59" s="510">
        <f>1/IS!DC40*CFLO!DC56</f>
        <v>-0.51054018445322791</v>
      </c>
      <c r="DD59" s="510">
        <f>1/IS!DD40*CFLO!DD56</f>
        <v>4.8671836330638509</v>
      </c>
      <c r="DE59" s="509">
        <f>1/IS!DE40*CFLO!DE56</f>
        <v>7.323338702349977</v>
      </c>
      <c r="DF59" s="510">
        <f>1/IS!DF40*CFLO!DF56</f>
        <v>-6.4073711676451399</v>
      </c>
      <c r="DG59" s="510">
        <f>1/IS!DG40*CFLO!DG56</f>
        <v>-7.017515407071035</v>
      </c>
      <c r="DH59" s="510">
        <f>1/IS!DH40*CFLO!DH56</f>
        <v>-3.1609566903684554</v>
      </c>
      <c r="DI59" s="510">
        <f>1/IS!DI40*CFLO!DI56</f>
        <v>-5.7067260827182835</v>
      </c>
      <c r="DJ59" s="509">
        <f>1/IS!DJ40*CFLO!DJ56</f>
        <v>-22.110630407911</v>
      </c>
      <c r="DK59" s="510">
        <f>1/IS!DK40*CFLO!DK56</f>
        <v>-3.0395540217679851</v>
      </c>
      <c r="DL59" s="510">
        <f>1/IS!DL40*CFLO!DL56</f>
        <v>-0.26434047052603749</v>
      </c>
      <c r="DM59" s="510">
        <f>1/IS!DM40*CFLO!DM56</f>
        <v>0.31319910514541388</v>
      </c>
      <c r="DN59" s="510">
        <f>1/IS!DN40*CFLO!DN56</f>
        <v>0.47169811320754712</v>
      </c>
      <c r="DO59" s="509">
        <f>1/IS!DO40*CFLO!DO56</f>
        <v>-2.4496720937061567</v>
      </c>
      <c r="DP59" s="510">
        <f>1/IS!DP40*CFLO!DP56</f>
        <v>-1.8451776649746192</v>
      </c>
      <c r="DQ59" s="510">
        <f>1/IS!DQ40*CFLO!DQ56</f>
        <v>0.79812800404755879</v>
      </c>
      <c r="DR59" s="510">
        <f>1/IS!DR40*CFLO!DR56</f>
        <v>0.44242194412842878</v>
      </c>
      <c r="DS59" s="510">
        <f>1/IS!DS40*CFLO!DS56</f>
        <v>3.7732987932014908</v>
      </c>
      <c r="DT59" s="509">
        <f>1/IS!DT40*CFLO!DT56</f>
        <v>3.1799560272694203</v>
      </c>
      <c r="DU59" s="510">
        <f>1/IS!DU40*CFLO!DU56</f>
        <v>-2.280357255970102</v>
      </c>
      <c r="DV59" s="510">
        <f>1/IS!DV40*CFLO!DV56</f>
        <v>1.5279811548990896</v>
      </c>
      <c r="DW59" s="510">
        <f>1/IS!DW40*CFLO!DW56</f>
        <v>3.7020488925767538</v>
      </c>
      <c r="DX59" s="510">
        <f>1/IS!DX40*CFLO!DX56</f>
        <v>5.4272264138776043</v>
      </c>
      <c r="DY59" s="509">
        <f>1/IS!DY40*CFLO!DY56</f>
        <v>8.3079083423756952</v>
      </c>
      <c r="DZ59" s="509">
        <f>1/IS!DZ40*CFLO!DZ56</f>
        <v>13.767557326713268</v>
      </c>
      <c r="EA59" s="509">
        <f>1/IS!EA40*CFLO!EA56</f>
        <v>18.416964949010602</v>
      </c>
      <c r="EB59" s="509">
        <f>1/IS!EB40*CFLO!EB56</f>
        <v>23.444780741887801</v>
      </c>
    </row>
    <row r="60" spans="2:132" s="68" customFormat="1" ht="6" customHeight="1" thickBot="1">
      <c r="C60" s="208"/>
      <c r="D60" s="208"/>
      <c r="E60" s="208"/>
      <c r="F60" s="208"/>
      <c r="G60" s="208"/>
      <c r="H60" s="208"/>
      <c r="I60" s="208"/>
      <c r="N60" s="208"/>
      <c r="S60" s="208"/>
      <c r="X60" s="208"/>
      <c r="AC60" s="208"/>
      <c r="AH60" s="208"/>
      <c r="AM60" s="208"/>
      <c r="AN60" s="241"/>
      <c r="AR60" s="208"/>
      <c r="AS60" s="241"/>
      <c r="AW60" s="208"/>
      <c r="BB60" s="208"/>
      <c r="BG60" s="208"/>
      <c r="BL60" s="208"/>
      <c r="BQ60" s="208"/>
      <c r="BV60" s="208"/>
      <c r="CA60" s="208"/>
      <c r="CF60" s="208"/>
      <c r="CK60" s="208"/>
      <c r="CP60" s="146"/>
      <c r="CU60" s="146"/>
      <c r="CZ60" s="146"/>
      <c r="DE60" s="146"/>
      <c r="DJ60" s="208"/>
      <c r="DO60" s="208"/>
      <c r="DT60" s="208"/>
      <c r="DY60" s="208"/>
      <c r="DZ60" s="208"/>
      <c r="EA60" s="208"/>
      <c r="EB60" s="208"/>
    </row>
  </sheetData>
  <phoneticPr fontId="6" type="noConversion"/>
  <printOptions horizontalCentered="1" verticalCentered="1"/>
  <pageMargins left="0.8" right="0.3" top="0.7" bottom="0.5" header="0.5" footer="0.5"/>
  <pageSetup scale="24" orientation="landscape" r:id="rId1"/>
  <headerFooter alignWithMargins="0"/>
  <customProperties>
    <customPr name="Qube.Worksheet.Visibility" r:id="rId2"/>
  </customProperties>
  <ignoredErrors>
    <ignoredError sqref="N49:R49 AR16:AR18 N30:AI39 N40:AK46 AI47:AK47 AM30:AM47 S48:AM50 N51:AM57 AW16:AW18 AW11:AW15 AX16:AX18 N60:AM60 AQ54:AR54 AQ56:AR57 AN51:AO57 AN60:AO60 AN48:AO50 AN33:AO33 AN40:AP42 AN34:AO37 AN32:AO32 AN38:AO38 AN59:AR59 AP50 AP60 AP51:AP53 AX60:BB60 AP56:AP57 BB56:BB57 AP55:AR55 AP54 BB54 AN47:AP47 AN46:AP46 BB46 AP48 BB48 BB47 AN43:AP45 BB43:BB44 BB40 AP49 BB49 BB51:BB53 BB50 AN39:AO39 AU54 AQ60:AR60 AT60:AU60 AT59:AW59 AU55 AW9 BB9 AW10 BB10 AU56:AU57 BB45 AW54 AW60 AW55 AW56:AW57 BB42 BB41 BB11:BB15 BB59 BB55 BB16:BB17 AM24:AM27 N24:AI27 N21:AI21 AM21 N22:AH22 AM16:AM19 N16:AI19" formula="1"/>
    <ignoredError sqref="AJ30:AK39 AQ53:AR53 AR49 AR40:AR42 AR43:AR48 AW43:AW44 AW46:AW48 AR50 BB39 BB38 AP38 AP32 BB34:BB37 AP34:AP37 AP39 AP33 AW32 AR32 AR33:AR37 AR38 AW30:AW31 AR30:AR31 AR39 AR51:AR52 AU53 AV40:AW42 AU50 AV34:AW37 AU51:AU52 BB32 AW49 AW38 AW39 AW33 BB33 AW45 AW53 AW50 AW51:AW52 AR24:AR26 AW24:AW27 BB24:BB26 AJ24:AK27 AJ21:AK21 BB21:BB22 AW21:AW22 AR21:AR22 AR19 AW19 BB19 AJ16:AK19" formula="1" formulaRange="1"/>
    <ignoredError sqref="AJ11:AK15 AP30:AP31 BG39 AP24:AP26 AP21:AP22 AP19" formulaRange="1"/>
  </ignoredErrors>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pageSetUpPr autoPageBreaks="0" fitToPage="1"/>
  </sheetPr>
  <dimension ref="A4:BH87"/>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RowHeight="12"/>
  <cols>
    <col min="2" max="2" width="55.28515625" bestFit="1" customWidth="1"/>
    <col min="3" max="13" width="9.140625" customWidth="1"/>
    <col min="18" max="19" width="9.42578125" customWidth="1"/>
    <col min="20" max="20" width="10" customWidth="1"/>
    <col min="28" max="28" width="9.7109375" bestFit="1" customWidth="1"/>
    <col min="31" max="31" width="9.140625" customWidth="1"/>
    <col min="32" max="34" width="9.28515625" bestFit="1" customWidth="1"/>
    <col min="35" max="35" width="11" bestFit="1" customWidth="1"/>
    <col min="36" max="37" width="9.42578125" bestFit="1" customWidth="1"/>
    <col min="38" max="41" width="9.42578125" customWidth="1"/>
    <col min="42" max="42" width="9.42578125" bestFit="1" customWidth="1"/>
    <col min="43" max="46" width="9.42578125" customWidth="1"/>
    <col min="47" max="47" width="9.42578125" bestFit="1" customWidth="1"/>
    <col min="48" max="51" width="9.42578125" customWidth="1"/>
    <col min="52" max="52" width="9.42578125" bestFit="1" customWidth="1"/>
    <col min="53" max="59" width="9.28515625" bestFit="1" customWidth="1"/>
  </cols>
  <sheetData>
    <row r="4" spans="2:43" ht="12.75">
      <c r="B4" s="751"/>
      <c r="C4" s="752">
        <v>2004</v>
      </c>
      <c r="D4" s="752">
        <v>2005</v>
      </c>
      <c r="E4" s="752">
        <v>2006</v>
      </c>
      <c r="F4" s="752">
        <v>2007</v>
      </c>
      <c r="G4" s="752">
        <v>2008</v>
      </c>
      <c r="H4" s="752">
        <v>2009</v>
      </c>
      <c r="I4" s="752">
        <v>2010</v>
      </c>
      <c r="J4" s="752">
        <v>2011</v>
      </c>
      <c r="K4" s="752">
        <v>2012</v>
      </c>
      <c r="L4" s="752">
        <v>2013</v>
      </c>
      <c r="M4" s="752">
        <v>2014</v>
      </c>
      <c r="N4" s="752">
        <v>2015</v>
      </c>
      <c r="O4" s="752">
        <v>2016</v>
      </c>
      <c r="P4" s="752">
        <v>2017</v>
      </c>
      <c r="Q4" s="752">
        <v>2018</v>
      </c>
      <c r="R4" s="752">
        <v>2019</v>
      </c>
      <c r="S4" s="752">
        <f>R4+1</f>
        <v>2020</v>
      </c>
      <c r="T4" s="752">
        <f>S4+1</f>
        <v>2021</v>
      </c>
      <c r="U4" s="752">
        <v>2022</v>
      </c>
      <c r="V4" s="752">
        <v>2023</v>
      </c>
      <c r="W4" s="752">
        <v>2024</v>
      </c>
      <c r="X4" s="752">
        <v>2025</v>
      </c>
      <c r="Y4" s="752" t="s">
        <v>688</v>
      </c>
      <c r="Z4" s="752" t="s">
        <v>689</v>
      </c>
      <c r="AA4" s="1096" t="s">
        <v>691</v>
      </c>
      <c r="AB4" s="1096" t="s">
        <v>692</v>
      </c>
      <c r="AC4" s="986" t="s">
        <v>693</v>
      </c>
    </row>
    <row r="5" spans="2:43" ht="12.75">
      <c r="B5" s="753" t="s">
        <v>482</v>
      </c>
      <c r="C5" s="754">
        <v>0</v>
      </c>
      <c r="D5" s="754">
        <v>0</v>
      </c>
      <c r="E5" s="754">
        <v>0</v>
      </c>
      <c r="F5" s="754">
        <v>0</v>
      </c>
      <c r="G5" s="754">
        <v>0</v>
      </c>
      <c r="H5" s="754">
        <v>0</v>
      </c>
      <c r="I5" s="754">
        <v>0</v>
      </c>
      <c r="J5" s="754">
        <v>10753</v>
      </c>
      <c r="K5" s="754">
        <v>15929</v>
      </c>
      <c r="L5" s="754">
        <v>21620</v>
      </c>
      <c r="M5" s="754">
        <v>26149</v>
      </c>
      <c r="N5" s="754">
        <v>28510</v>
      </c>
      <c r="O5" s="754">
        <f>W42</f>
        <v>27308</v>
      </c>
      <c r="P5" s="754">
        <f>AA42</f>
        <v>25358</v>
      </c>
      <c r="Q5" s="754">
        <f t="shared" ref="Q5" si="0">AF42</f>
        <v>22967</v>
      </c>
      <c r="R5" s="827">
        <f t="shared" ref="R5" si="1">AK42</f>
        <v>18716</v>
      </c>
      <c r="S5" s="827">
        <f t="shared" ref="S5" si="2">AP42</f>
        <v>14976</v>
      </c>
      <c r="T5" s="827">
        <f>AU42</f>
        <v>11693</v>
      </c>
      <c r="U5" s="827">
        <f t="shared" ref="U5:AC5" si="3">AZ42</f>
        <v>12689</v>
      </c>
      <c r="V5" s="827">
        <f t="shared" si="3"/>
        <v>12384</v>
      </c>
      <c r="W5" s="827">
        <f t="shared" si="3"/>
        <v>12251.145069368871</v>
      </c>
      <c r="X5" s="827">
        <f t="shared" si="3"/>
        <v>11642.313902882488</v>
      </c>
      <c r="Y5" s="827">
        <f t="shared" si="3"/>
        <v>10455.625902882488</v>
      </c>
      <c r="Z5" s="827">
        <f t="shared" si="3"/>
        <v>8075.5219028824886</v>
      </c>
      <c r="AA5" s="1097">
        <f t="shared" si="3"/>
        <v>4679.5219028824886</v>
      </c>
      <c r="AB5" s="1119">
        <f t="shared" si="3"/>
        <v>1355.7719028824881</v>
      </c>
      <c r="AC5" s="1120">
        <f t="shared" si="3"/>
        <v>-1502.7280971175114</v>
      </c>
    </row>
    <row r="6" spans="2:43" ht="12.75">
      <c r="B6" s="755" t="s">
        <v>483</v>
      </c>
      <c r="C6" s="754">
        <v>0</v>
      </c>
      <c r="D6" s="754">
        <v>0</v>
      </c>
      <c r="E6" s="754">
        <v>0</v>
      </c>
      <c r="F6" s="754">
        <v>0</v>
      </c>
      <c r="G6" s="754">
        <v>0</v>
      </c>
      <c r="H6" s="754">
        <v>0</v>
      </c>
      <c r="I6" s="754">
        <f t="shared" ref="I6:AC6" si="4">H5-I5</f>
        <v>0</v>
      </c>
      <c r="J6" s="754">
        <f t="shared" si="4"/>
        <v>-10753</v>
      </c>
      <c r="K6" s="754">
        <f t="shared" si="4"/>
        <v>-5176</v>
      </c>
      <c r="L6" s="754">
        <f t="shared" si="4"/>
        <v>-5691</v>
      </c>
      <c r="M6" s="754">
        <f t="shared" si="4"/>
        <v>-4529</v>
      </c>
      <c r="N6" s="754">
        <f t="shared" si="4"/>
        <v>-2361</v>
      </c>
      <c r="O6" s="754">
        <f>N5-O5-1011</f>
        <v>191</v>
      </c>
      <c r="P6" s="754">
        <f t="shared" si="4"/>
        <v>1950</v>
      </c>
      <c r="Q6" s="754">
        <f t="shared" si="4"/>
        <v>2391</v>
      </c>
      <c r="R6" s="754">
        <f t="shared" si="4"/>
        <v>4251</v>
      </c>
      <c r="S6" s="997">
        <f>-SUMPRODUCT(AL44:AO44,AL45:AO45)</f>
        <v>2349.0504451038578</v>
      </c>
      <c r="T6" s="997">
        <f>-SUMPRODUCT(AQ44:AT44,AQ45:AT45)</f>
        <v>-177</v>
      </c>
      <c r="U6" s="754">
        <f t="shared" si="4"/>
        <v>-996</v>
      </c>
      <c r="V6" s="754">
        <f t="shared" si="4"/>
        <v>305</v>
      </c>
      <c r="W6" s="754">
        <f t="shared" si="4"/>
        <v>132.85493063112881</v>
      </c>
      <c r="X6" s="754">
        <f t="shared" si="4"/>
        <v>608.83116648638315</v>
      </c>
      <c r="Y6" s="754">
        <f t="shared" si="4"/>
        <v>1186.6880000000001</v>
      </c>
      <c r="Z6" s="754">
        <f t="shared" si="4"/>
        <v>2380.1039999999994</v>
      </c>
      <c r="AA6" s="1093">
        <f t="shared" si="4"/>
        <v>3396</v>
      </c>
      <c r="AB6" s="1121">
        <f t="shared" si="4"/>
        <v>3323.7500000000005</v>
      </c>
      <c r="AC6" s="1120">
        <f t="shared" si="4"/>
        <v>2858.4999999999995</v>
      </c>
    </row>
    <row r="7" spans="2:43" ht="12.75">
      <c r="B7" s="755" t="s">
        <v>663</v>
      </c>
      <c r="C7" s="754"/>
      <c r="D7" s="754"/>
      <c r="E7" s="754"/>
      <c r="F7" s="754"/>
      <c r="G7" s="754"/>
      <c r="H7" s="754"/>
      <c r="I7" s="754"/>
      <c r="J7" s="754"/>
      <c r="K7" s="754"/>
      <c r="L7" s="754"/>
      <c r="M7" s="754"/>
      <c r="N7" s="754"/>
      <c r="O7" s="754"/>
      <c r="P7" s="754"/>
      <c r="Q7" s="754"/>
      <c r="R7" s="754"/>
      <c r="S7" s="997"/>
      <c r="T7" s="754"/>
      <c r="U7" s="754"/>
      <c r="V7" s="754">
        <f t="shared" ref="V7:AC7" si="5">BA53</f>
        <v>0</v>
      </c>
      <c r="W7" s="754">
        <f t="shared" si="5"/>
        <v>0</v>
      </c>
      <c r="X7" s="754">
        <f t="shared" si="5"/>
        <v>0</v>
      </c>
      <c r="Y7" s="754">
        <f t="shared" si="5"/>
        <v>0</v>
      </c>
      <c r="Z7" s="754">
        <f t="shared" si="5"/>
        <v>286.43999999999994</v>
      </c>
      <c r="AA7" s="754">
        <f t="shared" si="5"/>
        <v>473.76</v>
      </c>
      <c r="AB7" s="1122">
        <f t="shared" si="5"/>
        <v>478.79999999999995</v>
      </c>
      <c r="AC7" s="1123">
        <f t="shared" si="5"/>
        <v>172.79999999999995</v>
      </c>
    </row>
    <row r="8" spans="2:43" ht="15">
      <c r="B8" s="753" t="s">
        <v>484</v>
      </c>
      <c r="C8" s="756">
        <v>2480</v>
      </c>
      <c r="D8" s="756">
        <v>5504</v>
      </c>
      <c r="E8" s="756">
        <v>6043</v>
      </c>
      <c r="F8" s="756">
        <v>7912</v>
      </c>
      <c r="G8" s="756">
        <v>-2041</v>
      </c>
      <c r="H8" s="756">
        <v>4444</v>
      </c>
      <c r="I8" s="756">
        <v>1890</v>
      </c>
      <c r="J8" s="756">
        <v>2404</v>
      </c>
      <c r="K8" s="756">
        <v>5902</v>
      </c>
      <c r="L8" s="756">
        <v>6081</v>
      </c>
      <c r="M8" s="756">
        <v>6622</v>
      </c>
      <c r="N8" s="756">
        <v>6913</v>
      </c>
      <c r="O8" s="756">
        <v>7886</v>
      </c>
      <c r="P8" s="756">
        <v>11605</v>
      </c>
      <c r="Q8" s="756">
        <v>13600</v>
      </c>
      <c r="R8" s="756">
        <v>-4280</v>
      </c>
      <c r="S8" s="756">
        <v>-19713</v>
      </c>
      <c r="T8" s="756">
        <v>-4396</v>
      </c>
      <c r="U8" s="756">
        <v>2290</v>
      </c>
      <c r="V8" s="756">
        <f t="shared" ref="V8:AC8" si="6">V27</f>
        <v>4433.2000000000007</v>
      </c>
      <c r="W8" s="756">
        <f t="shared" si="6"/>
        <v>-14310.401858269852</v>
      </c>
      <c r="X8" s="756">
        <f t="shared" si="6"/>
        <v>-1876.5818201514376</v>
      </c>
      <c r="Y8" s="756">
        <f t="shared" si="6"/>
        <v>2512.7409864036508</v>
      </c>
      <c r="Z8" s="756">
        <f t="shared" si="6"/>
        <v>6508.4867675135247</v>
      </c>
      <c r="AA8" s="1094">
        <f t="shared" si="6"/>
        <v>10537.054556506439</v>
      </c>
      <c r="AB8" s="1124">
        <f t="shared" si="6"/>
        <v>13634.649404873064</v>
      </c>
      <c r="AC8" s="1125">
        <f t="shared" si="6"/>
        <v>16653.671554937486</v>
      </c>
    </row>
    <row r="9" spans="2:43" ht="12.75">
      <c r="B9" s="757" t="s">
        <v>485</v>
      </c>
      <c r="C9" s="758">
        <f t="shared" ref="C9:R9" si="7">C8-C6</f>
        <v>2480</v>
      </c>
      <c r="D9" s="758">
        <f t="shared" si="7"/>
        <v>5504</v>
      </c>
      <c r="E9" s="758">
        <f t="shared" si="7"/>
        <v>6043</v>
      </c>
      <c r="F9" s="758">
        <f t="shared" si="7"/>
        <v>7912</v>
      </c>
      <c r="G9" s="758">
        <f t="shared" si="7"/>
        <v>-2041</v>
      </c>
      <c r="H9" s="758">
        <f t="shared" si="7"/>
        <v>4444</v>
      </c>
      <c r="I9" s="758">
        <f t="shared" si="7"/>
        <v>1890</v>
      </c>
      <c r="J9" s="758">
        <f t="shared" si="7"/>
        <v>13157</v>
      </c>
      <c r="K9" s="758">
        <f t="shared" si="7"/>
        <v>11078</v>
      </c>
      <c r="L9" s="758">
        <f t="shared" si="7"/>
        <v>11772</v>
      </c>
      <c r="M9" s="758">
        <f t="shared" si="7"/>
        <v>11151</v>
      </c>
      <c r="N9" s="758">
        <f t="shared" si="7"/>
        <v>9274</v>
      </c>
      <c r="O9" s="758">
        <f t="shared" si="7"/>
        <v>7695</v>
      </c>
      <c r="P9" s="758">
        <f t="shared" si="7"/>
        <v>9655</v>
      </c>
      <c r="Q9" s="758">
        <f t="shared" si="7"/>
        <v>11209</v>
      </c>
      <c r="R9" s="758">
        <f t="shared" si="7"/>
        <v>-8531</v>
      </c>
      <c r="S9" s="758">
        <f t="shared" ref="S9:T9" si="8">S8-S6</f>
        <v>-22062.050445103858</v>
      </c>
      <c r="T9" s="758">
        <f t="shared" si="8"/>
        <v>-4219</v>
      </c>
      <c r="U9" s="758">
        <f t="shared" ref="U9:X9" si="9">U8-U6</f>
        <v>3286</v>
      </c>
      <c r="V9" s="758">
        <f t="shared" si="9"/>
        <v>4128.2000000000007</v>
      </c>
      <c r="W9" s="758">
        <f t="shared" si="9"/>
        <v>-14443.256788900981</v>
      </c>
      <c r="X9" s="758">
        <f t="shared" si="9"/>
        <v>-2485.4129866378207</v>
      </c>
      <c r="Y9" s="758">
        <f t="shared" ref="Y9:Z9" si="10">Y8-Y6</f>
        <v>1326.0529864036507</v>
      </c>
      <c r="Z9" s="758">
        <f t="shared" si="10"/>
        <v>4128.3827675135253</v>
      </c>
      <c r="AA9" s="1098">
        <f t="shared" ref="AA9:AC9" si="11">AA8-AA6</f>
        <v>7141.0545565064385</v>
      </c>
      <c r="AB9" s="1098">
        <f t="shared" si="11"/>
        <v>10310.899404873064</v>
      </c>
      <c r="AC9" s="1126">
        <f t="shared" si="11"/>
        <v>13795.171554937486</v>
      </c>
      <c r="AE9" s="1127">
        <f>5500/2</f>
        <v>2750</v>
      </c>
    </row>
    <row r="10" spans="2:43" ht="12.75">
      <c r="B10" s="759"/>
      <c r="C10" s="759"/>
      <c r="D10" s="759"/>
      <c r="E10" s="759"/>
      <c r="F10" s="759"/>
      <c r="G10" s="759"/>
      <c r="H10" s="759"/>
      <c r="I10" s="759"/>
      <c r="J10" s="759"/>
      <c r="K10" s="759"/>
      <c r="L10" s="759"/>
      <c r="M10" s="759"/>
      <c r="N10" s="759"/>
      <c r="O10" s="759"/>
      <c r="P10" s="759"/>
      <c r="Q10" s="759"/>
      <c r="R10" s="66"/>
      <c r="X10" s="121"/>
      <c r="Y10" s="121"/>
      <c r="Z10" s="121"/>
      <c r="AA10" s="437"/>
      <c r="AB10" s="121"/>
      <c r="AC10" s="121"/>
      <c r="AF10" s="1128"/>
      <c r="AG10" s="1129"/>
      <c r="AH10" s="1129"/>
      <c r="AI10" s="1129"/>
      <c r="AJ10" s="1129"/>
      <c r="AK10" s="1129"/>
      <c r="AL10" s="1129"/>
      <c r="AM10" s="1129"/>
      <c r="AN10" s="1129"/>
      <c r="AO10" s="1129"/>
    </row>
    <row r="11" spans="2:43" ht="12.75">
      <c r="B11" s="759"/>
      <c r="C11" s="759"/>
      <c r="D11" s="759"/>
      <c r="E11" s="759"/>
      <c r="F11" s="759"/>
      <c r="G11" s="759"/>
      <c r="H11" s="759"/>
      <c r="I11" s="759"/>
      <c r="J11" s="759"/>
      <c r="K11" s="759"/>
      <c r="L11" s="759"/>
      <c r="M11" s="759"/>
      <c r="N11" s="759"/>
      <c r="O11" s="759"/>
      <c r="P11" s="759"/>
      <c r="Q11" s="759"/>
      <c r="R11" s="66"/>
      <c r="X11" s="121"/>
      <c r="Y11" s="121"/>
      <c r="Z11" s="121"/>
      <c r="AA11" s="437"/>
      <c r="AB11" s="121"/>
      <c r="AC11" s="121"/>
    </row>
    <row r="12" spans="2:43" ht="14.25">
      <c r="B12" s="779"/>
      <c r="C12" s="779"/>
      <c r="D12" s="779"/>
      <c r="E12" s="779"/>
      <c r="F12" s="779"/>
      <c r="G12" s="779"/>
      <c r="H12" s="779"/>
      <c r="I12" s="779"/>
      <c r="J12" s="779"/>
      <c r="K12" s="779"/>
      <c r="L12" s="779"/>
      <c r="M12" s="779"/>
      <c r="N12" s="779"/>
      <c r="O12" s="812" t="s">
        <v>595</v>
      </c>
      <c r="P12" s="908">
        <f t="shared" ref="P12:X12" si="12">P27-P25</f>
        <v>13344</v>
      </c>
      <c r="Q12" s="812">
        <f t="shared" si="12"/>
        <v>15322</v>
      </c>
      <c r="R12" s="812">
        <f t="shared" si="12"/>
        <v>-2446</v>
      </c>
      <c r="S12" s="812">
        <f t="shared" si="12"/>
        <v>-18410</v>
      </c>
      <c r="T12" s="812">
        <f t="shared" si="12"/>
        <v>-3416</v>
      </c>
      <c r="U12" s="812">
        <f t="shared" si="12"/>
        <v>3511.9999999999995</v>
      </c>
      <c r="V12" s="812">
        <f t="shared" si="12"/>
        <v>5960.2000000000007</v>
      </c>
      <c r="W12" s="812">
        <f t="shared" si="12"/>
        <v>-12080.401858269852</v>
      </c>
      <c r="X12" s="987">
        <f t="shared" si="12"/>
        <v>1065.4181798485624</v>
      </c>
      <c r="Y12" s="987">
        <f t="shared" ref="Y12:Z12" si="13">Y27-Y25</f>
        <v>6470.7409864036508</v>
      </c>
      <c r="Z12" s="987">
        <f t="shared" si="13"/>
        <v>9708.4867675135247</v>
      </c>
      <c r="AA12" s="1099">
        <f t="shared" ref="AA12:AC12" si="14">AA27-AA25</f>
        <v>13237.054556506439</v>
      </c>
      <c r="AB12" s="987">
        <f t="shared" si="14"/>
        <v>16434.649404873064</v>
      </c>
      <c r="AC12" s="987">
        <f t="shared" si="14"/>
        <v>19653.671554937486</v>
      </c>
      <c r="AE12" s="121"/>
    </row>
    <row r="13" spans="2:43" ht="15">
      <c r="B13" s="760"/>
      <c r="C13" s="780">
        <v>2004</v>
      </c>
      <c r="D13" s="781">
        <v>2005</v>
      </c>
      <c r="E13" s="781">
        <v>2006</v>
      </c>
      <c r="F13" s="781">
        <v>2007</v>
      </c>
      <c r="G13" s="781">
        <v>2008</v>
      </c>
      <c r="H13" s="781">
        <v>2009</v>
      </c>
      <c r="I13" s="781">
        <v>2010</v>
      </c>
      <c r="J13" s="781">
        <v>2011</v>
      </c>
      <c r="K13" s="781">
        <v>2012</v>
      </c>
      <c r="L13" s="781">
        <v>2013</v>
      </c>
      <c r="M13" s="781">
        <v>2014</v>
      </c>
      <c r="N13" s="781">
        <v>2015</v>
      </c>
      <c r="O13" s="781">
        <v>2016</v>
      </c>
      <c r="P13" s="781">
        <v>2017</v>
      </c>
      <c r="Q13" s="781">
        <v>2018</v>
      </c>
      <c r="R13" s="781">
        <v>2019</v>
      </c>
      <c r="S13" s="781">
        <f>R13+1</f>
        <v>2020</v>
      </c>
      <c r="T13" s="781">
        <f>S13+1</f>
        <v>2021</v>
      </c>
      <c r="U13" s="781">
        <f>T13+1</f>
        <v>2022</v>
      </c>
      <c r="V13" s="781">
        <v>2023</v>
      </c>
      <c r="W13" s="781">
        <v>2024</v>
      </c>
      <c r="X13" s="781">
        <v>2025</v>
      </c>
      <c r="Y13" s="781" t="s">
        <v>688</v>
      </c>
      <c r="Z13" s="781" t="s">
        <v>689</v>
      </c>
      <c r="AA13" s="1100" t="s">
        <v>691</v>
      </c>
      <c r="AB13" s="1100" t="s">
        <v>692</v>
      </c>
      <c r="AC13" s="1130" t="s">
        <v>693</v>
      </c>
      <c r="AE13" s="795" t="s">
        <v>742</v>
      </c>
      <c r="AF13" s="1131"/>
      <c r="AH13" s="1131"/>
      <c r="AI13" s="1131"/>
      <c r="AJ13" s="1131"/>
      <c r="AK13" s="1131"/>
      <c r="AL13" s="1131"/>
      <c r="AQ13" s="1131"/>
    </row>
    <row r="14" spans="2:43" ht="14.25">
      <c r="B14" s="761" t="s">
        <v>84</v>
      </c>
      <c r="C14" s="762">
        <v>1872</v>
      </c>
      <c r="D14" s="763">
        <v>2572</v>
      </c>
      <c r="E14" s="763">
        <v>2215</v>
      </c>
      <c r="F14" s="763">
        <v>4074</v>
      </c>
      <c r="G14" s="763">
        <v>2672</v>
      </c>
      <c r="H14" s="763">
        <v>1312</v>
      </c>
      <c r="I14" s="763">
        <v>3307</v>
      </c>
      <c r="J14" s="763">
        <v>4018</v>
      </c>
      <c r="K14" s="763">
        <v>3900</v>
      </c>
      <c r="L14" s="763">
        <v>4585</v>
      </c>
      <c r="M14" s="763">
        <v>5446</v>
      </c>
      <c r="N14" s="766">
        <f>CFLO!$BQ$7</f>
        <v>5176</v>
      </c>
      <c r="O14" s="907">
        <f>CFLO!$BV$7</f>
        <v>4895</v>
      </c>
      <c r="P14" s="766">
        <f>CFLO!CA7</f>
        <v>8197</v>
      </c>
      <c r="Q14" s="763">
        <f>CFLO!CF7</f>
        <v>10460</v>
      </c>
      <c r="R14" s="763">
        <f>CFLO!CK7</f>
        <v>-636</v>
      </c>
      <c r="S14" s="763">
        <f>CFLO!CP7</f>
        <v>-11941</v>
      </c>
      <c r="T14" s="763">
        <f>CFLO!CU7</f>
        <v>-4290</v>
      </c>
      <c r="U14" s="763">
        <f>CFLO!CZ7</f>
        <v>-5053</v>
      </c>
      <c r="V14" s="763">
        <f>CFLO!DE7</f>
        <v>-2242</v>
      </c>
      <c r="W14" s="763">
        <f>CFLO!DJ7</f>
        <v>-11829</v>
      </c>
      <c r="X14" s="763">
        <f>CFLO!DO7</f>
        <v>2238</v>
      </c>
      <c r="Y14" s="763">
        <f>CFLO!DT7</f>
        <v>304.92306640365143</v>
      </c>
      <c r="Z14" s="763">
        <f>CFLO!DY7</f>
        <v>3998.5898075135256</v>
      </c>
      <c r="AA14" s="1101">
        <f>CFLO!DZ7</f>
        <v>7536.4561565064378</v>
      </c>
      <c r="AB14" s="1101">
        <f>[1]CFLO!EA7</f>
        <v>11190.507404873064</v>
      </c>
      <c r="AC14" s="988">
        <f>[1]CFLO!EB7</f>
        <v>15007.379554937488</v>
      </c>
      <c r="AE14" s="795">
        <f>100*150*0.75</f>
        <v>11250</v>
      </c>
      <c r="AF14" s="292"/>
      <c r="AG14" s="294"/>
      <c r="AH14" s="294"/>
      <c r="AI14" s="294"/>
      <c r="AJ14" s="294"/>
      <c r="AK14" s="294"/>
      <c r="AL14" s="294"/>
      <c r="AQ14" s="773"/>
    </row>
    <row r="15" spans="2:43" ht="14.25">
      <c r="B15" s="764" t="s">
        <v>217</v>
      </c>
      <c r="C15" s="765">
        <v>1412</v>
      </c>
      <c r="D15" s="766">
        <v>1412</v>
      </c>
      <c r="E15" s="766">
        <v>1445</v>
      </c>
      <c r="F15" s="766">
        <v>1334</v>
      </c>
      <c r="G15" s="766">
        <v>1325</v>
      </c>
      <c r="H15" s="766">
        <v>1459</v>
      </c>
      <c r="I15" s="766">
        <v>1510</v>
      </c>
      <c r="J15" s="766">
        <v>1457</v>
      </c>
      <c r="K15" s="766">
        <v>1811</v>
      </c>
      <c r="L15" s="766">
        <v>1844</v>
      </c>
      <c r="M15" s="766">
        <v>1906</v>
      </c>
      <c r="N15" s="766">
        <f>CFLO!BQ9</f>
        <v>1833</v>
      </c>
      <c r="O15" s="766">
        <f>CFLO!BV9</f>
        <v>1910</v>
      </c>
      <c r="P15" s="766">
        <f>CFLO!CA9</f>
        <v>2069</v>
      </c>
      <c r="Q15" s="766">
        <f>CFLO!CF9</f>
        <v>2114</v>
      </c>
      <c r="R15" s="766">
        <f>CFLO!CK9</f>
        <v>2271</v>
      </c>
      <c r="S15" s="766">
        <f>CFLO!CP9</f>
        <v>2246</v>
      </c>
      <c r="T15" s="766">
        <f>CFLO!CU9</f>
        <v>2144</v>
      </c>
      <c r="U15" s="766">
        <f>CFLO!CZ9</f>
        <v>1979</v>
      </c>
      <c r="V15" s="766">
        <f>CFLO!DE9</f>
        <v>1861</v>
      </c>
      <c r="W15" s="766">
        <f>CFLO!DJ9</f>
        <v>1836</v>
      </c>
      <c r="X15" s="766">
        <f>CFLO!DO9</f>
        <v>1953</v>
      </c>
      <c r="Y15" s="766">
        <f>CFLO!DT9</f>
        <v>2389</v>
      </c>
      <c r="Z15" s="766">
        <f>CFLO!DY9</f>
        <v>2470</v>
      </c>
      <c r="AA15" s="909">
        <f>CFLO!DZ9</f>
        <v>2500</v>
      </c>
      <c r="AB15" s="909">
        <f>[1]CFLO!EA9</f>
        <v>2550</v>
      </c>
      <c r="AC15" s="1132">
        <f>[1]CFLO!EB9</f>
        <v>2600</v>
      </c>
      <c r="AE15" s="795">
        <f>450*55*0.8</f>
        <v>19800</v>
      </c>
      <c r="AH15" s="294"/>
      <c r="AI15" s="294"/>
      <c r="AJ15" s="294"/>
      <c r="AK15" s="294"/>
      <c r="AL15" s="294"/>
      <c r="AQ15" s="773"/>
    </row>
    <row r="16" spans="2:43" ht="15">
      <c r="B16" s="764" t="s">
        <v>496</v>
      </c>
      <c r="C16" s="765">
        <v>0</v>
      </c>
      <c r="D16" s="766">
        <v>0</v>
      </c>
      <c r="E16" s="766">
        <v>0</v>
      </c>
      <c r="F16" s="766">
        <v>0</v>
      </c>
      <c r="G16" s="766">
        <v>0</v>
      </c>
      <c r="H16" s="766">
        <v>0</v>
      </c>
      <c r="I16" s="766">
        <v>0</v>
      </c>
      <c r="J16" s="766">
        <v>-10753</v>
      </c>
      <c r="K16" s="766">
        <v>-5176</v>
      </c>
      <c r="L16" s="766">
        <v>-5691</v>
      </c>
      <c r="M16" s="766">
        <f t="shared" ref="M16:U16" si="15">M6</f>
        <v>-4529</v>
      </c>
      <c r="N16" s="766">
        <f t="shared" si="15"/>
        <v>-2361</v>
      </c>
      <c r="O16" s="766">
        <f t="shared" si="15"/>
        <v>191</v>
      </c>
      <c r="P16" s="766">
        <f t="shared" si="15"/>
        <v>1950</v>
      </c>
      <c r="Q16" s="766">
        <f t="shared" si="15"/>
        <v>2391</v>
      </c>
      <c r="R16" s="766">
        <f t="shared" si="15"/>
        <v>4251</v>
      </c>
      <c r="S16" s="766">
        <f t="shared" si="15"/>
        <v>2349.0504451038578</v>
      </c>
      <c r="T16" s="766">
        <f t="shared" si="15"/>
        <v>-177</v>
      </c>
      <c r="U16" s="766">
        <f t="shared" si="15"/>
        <v>-996</v>
      </c>
      <c r="V16" s="782">
        <f t="shared" ref="V16:X16" si="16">V6+V7</f>
        <v>305</v>
      </c>
      <c r="W16" s="782">
        <f t="shared" si="16"/>
        <v>132.85493063112881</v>
      </c>
      <c r="X16" s="782">
        <f t="shared" si="16"/>
        <v>608.83116648638315</v>
      </c>
      <c r="Y16" s="782">
        <f t="shared" ref="Y16:Z16" si="17">Y6+Y7</f>
        <v>1186.6880000000001</v>
      </c>
      <c r="Z16" s="782">
        <f t="shared" si="17"/>
        <v>2666.5439999999994</v>
      </c>
      <c r="AA16" s="1095">
        <f t="shared" ref="AA16:AC16" si="18">AA6+AA7</f>
        <v>3869.76</v>
      </c>
      <c r="AB16" s="1095">
        <f t="shared" si="18"/>
        <v>3802.55</v>
      </c>
      <c r="AC16" s="1133">
        <f t="shared" si="18"/>
        <v>3031.2999999999993</v>
      </c>
      <c r="AF16" s="1134" t="s">
        <v>743</v>
      </c>
      <c r="AG16" s="1135">
        <v>2020</v>
      </c>
      <c r="AH16" s="1135">
        <f t="shared" ref="AH16:AM16" si="19">AG16+1</f>
        <v>2021</v>
      </c>
      <c r="AI16" s="1136">
        <f t="shared" si="19"/>
        <v>2022</v>
      </c>
      <c r="AJ16" s="1135">
        <f t="shared" si="19"/>
        <v>2023</v>
      </c>
      <c r="AK16" s="1135">
        <f t="shared" si="19"/>
        <v>2024</v>
      </c>
      <c r="AL16" s="1135">
        <f t="shared" si="19"/>
        <v>2025</v>
      </c>
      <c r="AM16" s="1135">
        <f t="shared" si="19"/>
        <v>2026</v>
      </c>
      <c r="AQ16" s="773"/>
    </row>
    <row r="17" spans="2:43" ht="15">
      <c r="B17" s="764" t="s">
        <v>486</v>
      </c>
      <c r="C17" s="765">
        <v>611</v>
      </c>
      <c r="D17" s="766">
        <v>-1965</v>
      </c>
      <c r="E17" s="766">
        <v>444</v>
      </c>
      <c r="F17" s="766">
        <v>-1558</v>
      </c>
      <c r="G17" s="766">
        <v>-6168</v>
      </c>
      <c r="H17" s="766">
        <v>-1525</v>
      </c>
      <c r="I17" s="766">
        <v>-7387</v>
      </c>
      <c r="J17" s="766">
        <f>-10012-J16</f>
        <v>741</v>
      </c>
      <c r="K17" s="766">
        <f>-5681-K16</f>
        <v>-505</v>
      </c>
      <c r="L17" s="766">
        <f>-5562-L16</f>
        <v>129</v>
      </c>
      <c r="M17" s="766">
        <f>-4330-M16</f>
        <v>199</v>
      </c>
      <c r="N17" s="766">
        <f>-1110-N16</f>
        <v>1251</v>
      </c>
      <c r="O17" s="766">
        <f>3755-O16</f>
        <v>3564</v>
      </c>
      <c r="P17" s="766">
        <f>-1085-P16</f>
        <v>-3035</v>
      </c>
      <c r="Q17" s="766">
        <f>568-Q16</f>
        <v>-1823</v>
      </c>
      <c r="R17" s="766">
        <f>-12391-R16</f>
        <v>-16642</v>
      </c>
      <c r="S17" s="766">
        <f>-11002-S16</f>
        <v>-13351.050445103858</v>
      </c>
      <c r="T17" s="766">
        <f>-1127-T16</f>
        <v>-950</v>
      </c>
      <c r="U17" s="766">
        <f>420-U16</f>
        <v>1416</v>
      </c>
      <c r="V17" s="782">
        <f>750+4000-300</f>
        <v>4450</v>
      </c>
      <c r="W17" s="782">
        <f>4700+2900-300</f>
        <v>7300</v>
      </c>
      <c r="X17" s="782">
        <v>5000</v>
      </c>
      <c r="Y17" s="782">
        <v>6000</v>
      </c>
      <c r="Z17" s="782">
        <v>3000</v>
      </c>
      <c r="AA17" s="1095">
        <v>1000</v>
      </c>
      <c r="AB17" s="1095">
        <v>0</v>
      </c>
      <c r="AC17" s="1133">
        <v>0</v>
      </c>
      <c r="AE17" s="795">
        <f>SUM(R17:X17)</f>
        <v>-12777.050445103858</v>
      </c>
      <c r="AF17" s="1137" t="s">
        <v>744</v>
      </c>
      <c r="AG17" s="1138">
        <f>J78*2</f>
        <v>-1368.9674021779147</v>
      </c>
      <c r="AH17" s="1138">
        <f>N78*2</f>
        <v>4754.6351048796714</v>
      </c>
      <c r="AI17" s="1139">
        <f>R78*2</f>
        <v>4224.0453902771569</v>
      </c>
      <c r="AJ17" s="1138">
        <f>V78*2</f>
        <v>4984.3276220236157</v>
      </c>
      <c r="AK17" s="1138">
        <f>Z78*2</f>
        <v>4513.4579618785283</v>
      </c>
      <c r="AL17" s="1138">
        <f>AD78*2</f>
        <v>3553.343240216836</v>
      </c>
      <c r="AM17" s="1138">
        <f>AH78*2</f>
        <v>1395.3820416494686</v>
      </c>
      <c r="AO17">
        <f>+SUM(AK17:AK19)</f>
        <v>6717.3254490030113</v>
      </c>
      <c r="AP17">
        <f t="shared" ref="AP17:AQ17" si="20">+SUM(AL17:AL19)</f>
        <v>6212.4593613639518</v>
      </c>
      <c r="AQ17">
        <f t="shared" si="20"/>
        <v>3861.0174933369653</v>
      </c>
    </row>
    <row r="18" spans="2:43" ht="15">
      <c r="B18" s="764" t="s">
        <v>90</v>
      </c>
      <c r="C18" s="765">
        <v>-241</v>
      </c>
      <c r="D18" s="766">
        <v>-592</v>
      </c>
      <c r="E18" s="766">
        <v>-244</v>
      </c>
      <c r="F18" s="766">
        <v>-392</v>
      </c>
      <c r="G18" s="766">
        <v>564</v>
      </c>
      <c r="H18" s="766">
        <v>-391</v>
      </c>
      <c r="I18" s="766">
        <v>8</v>
      </c>
      <c r="J18" s="766">
        <v>-292</v>
      </c>
      <c r="K18" s="766">
        <v>-27</v>
      </c>
      <c r="L18" s="766">
        <v>-879</v>
      </c>
      <c r="M18" s="766">
        <v>-1328</v>
      </c>
      <c r="N18" s="766">
        <v>-1069</v>
      </c>
      <c r="O18" s="766">
        <v>112</v>
      </c>
      <c r="P18" s="766">
        <v>-1821</v>
      </c>
      <c r="Q18" s="766">
        <v>-2621</v>
      </c>
      <c r="R18" s="766">
        <v>1585</v>
      </c>
      <c r="S18" s="766">
        <v>909</v>
      </c>
      <c r="T18" s="766">
        <v>-713</v>
      </c>
      <c r="U18" s="766">
        <v>142</v>
      </c>
      <c r="V18" s="782">
        <v>0</v>
      </c>
      <c r="W18" s="782">
        <v>0</v>
      </c>
      <c r="X18" s="782">
        <v>0</v>
      </c>
      <c r="Y18" s="782">
        <v>0</v>
      </c>
      <c r="Z18" s="782">
        <v>0</v>
      </c>
      <c r="AA18" s="1095">
        <v>0</v>
      </c>
      <c r="AB18" s="1095">
        <v>0</v>
      </c>
      <c r="AC18" s="1133">
        <v>0</v>
      </c>
      <c r="AF18" s="1134">
        <v>787</v>
      </c>
      <c r="AG18" s="1138">
        <f>SUM(G87:J87)</f>
        <v>-2964.8067290723989</v>
      </c>
      <c r="AH18" s="1138">
        <f>SUM(K87:N87)*2</f>
        <v>-3027.4034162505109</v>
      </c>
      <c r="AI18" s="1139">
        <f>SUM(O87:R87)*2</f>
        <v>1217.7900960105439</v>
      </c>
      <c r="AJ18" s="1138">
        <f>SUM(S87:V87)*2</f>
        <v>4842.7073444157613</v>
      </c>
      <c r="AK18" s="1138">
        <f>SUM(W87:Z87)*2</f>
        <v>2503.867487124483</v>
      </c>
      <c r="AL18" s="1138">
        <f>SUM(AA87:AD87)*2</f>
        <v>2959.1161211471158</v>
      </c>
      <c r="AM18" s="1138">
        <f>SUM(AB87:AE87)*2</f>
        <v>2765.6354516874967</v>
      </c>
      <c r="AQ18" s="773"/>
    </row>
    <row r="19" spans="2:43" ht="15">
      <c r="B19" s="764" t="s">
        <v>263</v>
      </c>
      <c r="C19" s="765">
        <v>862</v>
      </c>
      <c r="D19" s="766">
        <v>1147</v>
      </c>
      <c r="E19" s="766">
        <v>-744</v>
      </c>
      <c r="F19" s="766">
        <v>928</v>
      </c>
      <c r="G19" s="766">
        <v>872</v>
      </c>
      <c r="H19" s="766">
        <v>2468</v>
      </c>
      <c r="I19" s="766">
        <v>981</v>
      </c>
      <c r="J19" s="766">
        <v>1401</v>
      </c>
      <c r="K19" s="766">
        <v>2000</v>
      </c>
      <c r="L19" s="766">
        <v>585</v>
      </c>
      <c r="M19" s="766">
        <v>251</v>
      </c>
      <c r="N19" s="766">
        <v>-236</v>
      </c>
      <c r="O19" s="766">
        <v>622</v>
      </c>
      <c r="P19" s="766">
        <v>130</v>
      </c>
      <c r="Q19" s="766">
        <v>2</v>
      </c>
      <c r="R19" s="766">
        <v>1600</v>
      </c>
      <c r="S19" s="766">
        <v>-5363</v>
      </c>
      <c r="T19" s="766">
        <v>-3783</v>
      </c>
      <c r="U19" s="766">
        <v>838</v>
      </c>
      <c r="V19" s="782">
        <v>4421</v>
      </c>
      <c r="W19" s="782">
        <v>0</v>
      </c>
      <c r="X19" s="782">
        <v>0</v>
      </c>
      <c r="Y19" s="782">
        <v>0</v>
      </c>
      <c r="Z19" s="782">
        <v>0</v>
      </c>
      <c r="AA19" s="1095">
        <v>0</v>
      </c>
      <c r="AB19" s="1095">
        <v>0</v>
      </c>
      <c r="AC19" s="1133">
        <v>0</v>
      </c>
      <c r="AF19" s="1137" t="s">
        <v>664</v>
      </c>
      <c r="AG19" s="1140"/>
      <c r="AH19" s="1138">
        <v>-900</v>
      </c>
      <c r="AI19" s="1139">
        <v>-100</v>
      </c>
      <c r="AJ19" s="1140">
        <v>-300</v>
      </c>
      <c r="AK19" s="1140">
        <v>-300</v>
      </c>
      <c r="AL19" s="1140">
        <v>-300</v>
      </c>
      <c r="AM19" s="1140">
        <v>-300</v>
      </c>
      <c r="AQ19" s="773"/>
    </row>
    <row r="20" spans="2:43" ht="15">
      <c r="B20" s="764" t="s">
        <v>481</v>
      </c>
      <c r="C20" s="765">
        <v>659</v>
      </c>
      <c r="D20" s="766">
        <v>3562</v>
      </c>
      <c r="E20" s="766">
        <v>1739</v>
      </c>
      <c r="F20" s="766">
        <v>2369</v>
      </c>
      <c r="G20" s="766">
        <v>-1120</v>
      </c>
      <c r="H20" s="766">
        <v>-680</v>
      </c>
      <c r="I20" s="766">
        <v>238</v>
      </c>
      <c r="J20" s="766">
        <v>3137</v>
      </c>
      <c r="K20" s="766">
        <v>1177</v>
      </c>
      <c r="L20" s="766">
        <v>3353</v>
      </c>
      <c r="M20" s="766">
        <v>3145</v>
      </c>
      <c r="N20" s="766">
        <v>1192</v>
      </c>
      <c r="O20" s="766">
        <v>-493</v>
      </c>
      <c r="P20" s="766">
        <v>3570</v>
      </c>
      <c r="Q20" s="766">
        <v>2636</v>
      </c>
      <c r="R20" s="766">
        <v>737</v>
      </c>
      <c r="S20" s="766">
        <v>-1060</v>
      </c>
      <c r="T20" s="766">
        <v>2505</v>
      </c>
      <c r="U20" s="766">
        <v>108</v>
      </c>
      <c r="V20" s="782">
        <f>130-400+1020-1980+3400</f>
        <v>2170</v>
      </c>
      <c r="W20" s="782">
        <f>600-2300+300-1500+3327-72</f>
        <v>355</v>
      </c>
      <c r="X20" s="782">
        <f>400-700+500-1100+7200-5000</f>
        <v>1300</v>
      </c>
      <c r="Y20" s="782">
        <v>3000</v>
      </c>
      <c r="Z20" s="782">
        <v>1000</v>
      </c>
      <c r="AA20" s="1095">
        <v>500</v>
      </c>
      <c r="AB20" s="1095">
        <v>0</v>
      </c>
      <c r="AC20" s="1133">
        <v>0</v>
      </c>
      <c r="AE20" s="1141"/>
      <c r="AF20" s="1142" t="s">
        <v>481</v>
      </c>
      <c r="AG20" s="1143">
        <v>2020</v>
      </c>
      <c r="AH20" s="1143">
        <f t="shared" ref="AH20:AM20" si="21">AG20+1</f>
        <v>2021</v>
      </c>
      <c r="AI20" s="1144">
        <f t="shared" si="21"/>
        <v>2022</v>
      </c>
      <c r="AJ20" s="1143">
        <f t="shared" si="21"/>
        <v>2023</v>
      </c>
      <c r="AK20" s="1143">
        <f t="shared" si="21"/>
        <v>2024</v>
      </c>
      <c r="AL20" s="1143">
        <f t="shared" si="21"/>
        <v>2025</v>
      </c>
      <c r="AM20" s="1143">
        <f t="shared" si="21"/>
        <v>2026</v>
      </c>
      <c r="AO20" s="1145">
        <f>(7*11.5*[1]Commercial!CK80+26*11.5*[1]Commercial!CU34)*0.4</f>
        <v>11503.079739544521</v>
      </c>
      <c r="AQ20" s="773"/>
    </row>
    <row r="21" spans="2:43" ht="15">
      <c r="B21" s="764" t="s">
        <v>662</v>
      </c>
      <c r="C21" s="765">
        <v>1086</v>
      </c>
      <c r="D21" s="766">
        <v>628</v>
      </c>
      <c r="E21" s="766">
        <v>933</v>
      </c>
      <c r="F21" s="766">
        <v>1290</v>
      </c>
      <c r="G21" s="766">
        <v>744</v>
      </c>
      <c r="H21" s="766">
        <v>607</v>
      </c>
      <c r="I21" s="766">
        <v>822</v>
      </c>
      <c r="J21" s="766">
        <v>1262</v>
      </c>
      <c r="K21" s="766">
        <v>1605</v>
      </c>
      <c r="L21" s="766">
        <v>1445</v>
      </c>
      <c r="M21" s="766">
        <v>1325</v>
      </c>
      <c r="N21" s="766">
        <v>477</v>
      </c>
      <c r="O21" s="766">
        <v>-810</v>
      </c>
      <c r="P21" s="909">
        <v>857</v>
      </c>
      <c r="Q21" s="909">
        <f t="shared" ref="Q21:X21" si="22">-0.16*Q16</f>
        <v>-382.56</v>
      </c>
      <c r="R21" s="909">
        <f t="shared" si="22"/>
        <v>-680.16</v>
      </c>
      <c r="S21" s="909">
        <f t="shared" si="22"/>
        <v>-375.84807121661726</v>
      </c>
      <c r="T21" s="909">
        <f t="shared" si="22"/>
        <v>28.32</v>
      </c>
      <c r="U21" s="909">
        <f t="shared" si="22"/>
        <v>159.36000000000001</v>
      </c>
      <c r="V21" s="782">
        <f t="shared" si="22"/>
        <v>-48.800000000000004</v>
      </c>
      <c r="W21" s="782">
        <f t="shared" si="22"/>
        <v>-21.256788900980609</v>
      </c>
      <c r="X21" s="782">
        <f t="shared" si="22"/>
        <v>-97.412986637821305</v>
      </c>
      <c r="Y21" s="782">
        <f t="shared" ref="Y21:Z21" si="23">-0.16*Y16</f>
        <v>-189.87008000000003</v>
      </c>
      <c r="Z21" s="782">
        <f t="shared" si="23"/>
        <v>-426.64703999999989</v>
      </c>
      <c r="AA21" s="1095">
        <f t="shared" ref="AA21:AC21" si="24">-0.16*AA16</f>
        <v>-619.16160000000002</v>
      </c>
      <c r="AB21" s="1095">
        <f t="shared" si="24"/>
        <v>-608.40800000000002</v>
      </c>
      <c r="AC21" s="1133">
        <f t="shared" si="24"/>
        <v>-485.00799999999987</v>
      </c>
      <c r="AF21" s="1146" t="s">
        <v>745</v>
      </c>
      <c r="AG21" s="1147">
        <f>([1]Commercial!CP35-[1]Commercial!CF35)*0.4*0.05</f>
        <v>-565.95135240000013</v>
      </c>
      <c r="AH21" s="1148">
        <f>SUM(K67:N67)*[1]Commercial!$DE$34*0.4</f>
        <v>-2377.0699427821005</v>
      </c>
      <c r="AI21" s="1149">
        <f>((34*11.5*[1]Commercial!$DE$34)-(44*11.5*[1]Commercial!$DE$34))*0.4</f>
        <v>-2641.1888253134457</v>
      </c>
      <c r="AJ21" s="1147">
        <f>((35*11.5*[1]Commercial!$DE$34)-(34*11.5*[1]Commercial!$DE$34))*0.2</f>
        <v>132.05944126567266</v>
      </c>
      <c r="AK21" s="1147">
        <f>((40*11.5*[1]Commercial!$DE$34)-(35*11.5*[1]Commercial!$DE$34))*0.2</f>
        <v>660.29720632836109</v>
      </c>
      <c r="AL21" s="1147">
        <f>((47*11.5*[1]Commercial!$DE$34)-(44*11.5*[1]Commercial!$DE$34))*0.2</f>
        <v>396.1783237970165</v>
      </c>
      <c r="AM21" s="1147">
        <f>((47*11.5*[1]Commercial!$DE$34)-(44*11.5*[1]Commercial!$DE$34))*0.2</f>
        <v>396.1783237970165</v>
      </c>
      <c r="AQ21" s="773"/>
    </row>
    <row r="22" spans="2:43" ht="15">
      <c r="B22" s="764" t="s">
        <v>574</v>
      </c>
      <c r="C22" s="765"/>
      <c r="D22" s="766"/>
      <c r="E22" s="766"/>
      <c r="F22" s="766"/>
      <c r="G22" s="766"/>
      <c r="H22" s="766"/>
      <c r="I22" s="766"/>
      <c r="J22" s="766"/>
      <c r="K22" s="766"/>
      <c r="L22" s="766"/>
      <c r="M22" s="766"/>
      <c r="N22" s="766"/>
      <c r="O22" s="766"/>
      <c r="P22" s="766">
        <v>700</v>
      </c>
      <c r="Q22" s="766">
        <v>700</v>
      </c>
      <c r="R22" s="766">
        <v>700</v>
      </c>
      <c r="S22" s="766">
        <v>700</v>
      </c>
      <c r="T22" s="766">
        <f>700+1300</f>
        <v>2000</v>
      </c>
      <c r="U22" s="766">
        <f>700+1500</f>
        <v>2200</v>
      </c>
      <c r="V22" s="782">
        <v>0</v>
      </c>
      <c r="W22" s="782">
        <v>0</v>
      </c>
      <c r="X22" s="782">
        <v>0</v>
      </c>
      <c r="Y22" s="782">
        <v>0</v>
      </c>
      <c r="Z22" s="782">
        <v>0</v>
      </c>
      <c r="AA22" s="1095">
        <v>0</v>
      </c>
      <c r="AB22" s="1095">
        <v>0</v>
      </c>
      <c r="AC22" s="1133">
        <v>0</v>
      </c>
      <c r="AE22" s="1150" t="s">
        <v>746</v>
      </c>
      <c r="AF22" s="1146" t="s">
        <v>747</v>
      </c>
      <c r="AG22" s="1151"/>
      <c r="AH22" s="1147">
        <f>-N78</f>
        <v>-2377.3175524398357</v>
      </c>
      <c r="AI22" s="1152">
        <f>-R78</f>
        <v>-2112.0226951385785</v>
      </c>
      <c r="AJ22" s="1147">
        <f>-V78</f>
        <v>-2492.1638110118079</v>
      </c>
      <c r="AK22" s="1147">
        <f>-Z78</f>
        <v>-2256.7289809392641</v>
      </c>
      <c r="AL22" s="1147">
        <f>-AD78</f>
        <v>-1776.671620108418</v>
      </c>
      <c r="AM22" s="1147">
        <f>-AE78</f>
        <v>0</v>
      </c>
      <c r="AQ22" s="773"/>
    </row>
    <row r="23" spans="2:43" ht="15">
      <c r="B23" s="764" t="s">
        <v>672</v>
      </c>
      <c r="C23" s="765"/>
      <c r="D23" s="766"/>
      <c r="E23" s="766"/>
      <c r="F23" s="766"/>
      <c r="G23" s="766"/>
      <c r="H23" s="766"/>
      <c r="I23" s="766"/>
      <c r="J23" s="766"/>
      <c r="K23" s="766"/>
      <c r="L23" s="766"/>
      <c r="M23" s="766"/>
      <c r="N23" s="766"/>
      <c r="O23" s="766"/>
      <c r="P23" s="974"/>
      <c r="Q23" s="974"/>
      <c r="R23" s="974">
        <v>-1400</v>
      </c>
      <c r="S23" s="766">
        <f>-2188-162</f>
        <v>-2350</v>
      </c>
      <c r="T23" s="766">
        <f>2940-5537</f>
        <v>-2597</v>
      </c>
      <c r="U23" s="1009">
        <f>-1400-3000*1/4</f>
        <v>-2150</v>
      </c>
      <c r="V23" s="782">
        <f>-1400-3000*2/4</f>
        <v>-2900</v>
      </c>
      <c r="W23" s="782">
        <f>-3000*1/4-2000</f>
        <v>-2750</v>
      </c>
      <c r="X23" s="782">
        <v>-2900</v>
      </c>
      <c r="Y23" s="782">
        <v>0</v>
      </c>
      <c r="Z23" s="782">
        <v>0</v>
      </c>
      <c r="AA23" s="1095">
        <v>0</v>
      </c>
      <c r="AB23" s="1095">
        <v>0</v>
      </c>
      <c r="AC23" s="1133">
        <v>0</v>
      </c>
      <c r="AE23" s="1153">
        <f>SUM(R23:X23)</f>
        <v>-17047</v>
      </c>
      <c r="AF23" s="1146" t="s">
        <v>748</v>
      </c>
      <c r="AG23" s="1147">
        <f>([1]Commercial!CU81-[1]Commercial!CK81)*0.4</f>
        <v>-8177.0766321600013</v>
      </c>
      <c r="AH23" s="1147">
        <f>((4*11.5*[1]Commercial!$DE$80)-(9*11.5*[1]Commercial!$DE$80))*0.4</f>
        <v>-3410.8514319881551</v>
      </c>
      <c r="AI23" s="1152">
        <f>((1*11.5*[1]Commercial!$DE$80)-(4*11.5*[1]Commercial!$DE$80))*0.4</f>
        <v>-2046.5108591928929</v>
      </c>
      <c r="AJ23" s="1147">
        <f>((4*11.5*[1]Commercial!$DE$80)-(1*11.5*[1]Commercial!$DE$80))*0.2</f>
        <v>1023.2554295964464</v>
      </c>
      <c r="AK23" s="1147">
        <f>((5*11.5*[1]Commercial!$DE$80)-(4*11.5*[1]Commercial!$DE$80))*0.2</f>
        <v>341.08514319881562</v>
      </c>
      <c r="AL23" s="1147">
        <f>((7*11.5*[1]Commercial!$DE$80)-(5.5*11.5*[1]Commercial!$DE$80))*0.2</f>
        <v>511.62771479822334</v>
      </c>
      <c r="AM23" s="1147">
        <f>((7*11.5*[1]Commercial!$DE$80)-(5.5*11.5*[1]Commercial!$DE$80))*0.2</f>
        <v>511.62771479822334</v>
      </c>
      <c r="AQ23" s="773"/>
    </row>
    <row r="24" spans="2:43" ht="15">
      <c r="B24" s="764" t="s">
        <v>287</v>
      </c>
      <c r="C24" s="765">
        <v>-4141</v>
      </c>
      <c r="D24" s="766">
        <v>-1862</v>
      </c>
      <c r="E24" s="766">
        <v>-408</v>
      </c>
      <c r="F24" s="766">
        <v>-1244</v>
      </c>
      <c r="G24" s="766">
        <v>14</v>
      </c>
      <c r="H24" s="766">
        <v>1140</v>
      </c>
      <c r="I24" s="766">
        <v>1370</v>
      </c>
      <c r="J24" s="766">
        <v>2661</v>
      </c>
      <c r="K24" s="766">
        <v>2838</v>
      </c>
      <c r="L24" s="766">
        <v>3233</v>
      </c>
      <c r="M24" s="766">
        <v>1936</v>
      </c>
      <c r="N24" s="766">
        <v>2470</v>
      </c>
      <c r="O24" s="766">
        <v>153</v>
      </c>
      <c r="P24" s="766">
        <v>-582</v>
      </c>
      <c r="Q24" s="766">
        <v>-153</v>
      </c>
      <c r="R24" s="766">
        <v>-777</v>
      </c>
      <c r="S24" s="766">
        <v>-794</v>
      </c>
      <c r="T24" s="766">
        <v>-972</v>
      </c>
      <c r="U24" s="766">
        <v>-1378</v>
      </c>
      <c r="V24" s="782">
        <f>-SEG!DE187</f>
        <v>-1056</v>
      </c>
      <c r="W24" s="782">
        <f>-SEG!DJ187</f>
        <v>-1104</v>
      </c>
      <c r="X24" s="782">
        <v>-1037</v>
      </c>
      <c r="Y24" s="782">
        <f>-SEG!DT187</f>
        <v>-620</v>
      </c>
      <c r="Z24" s="782">
        <f>-SEG!DY187</f>
        <v>-600</v>
      </c>
      <c r="AA24" s="782">
        <f>-SEG!DZ187</f>
        <v>-550</v>
      </c>
      <c r="AB24" s="782">
        <f>-[1]SEG!EA187</f>
        <v>-500</v>
      </c>
      <c r="AC24" s="1154">
        <f>-[1]SEG!EB187</f>
        <v>-500</v>
      </c>
      <c r="AE24">
        <f>3443-3964</f>
        <v>-521</v>
      </c>
      <c r="AF24" s="1146" t="s">
        <v>749</v>
      </c>
      <c r="AG24" s="1155"/>
      <c r="AH24" s="1147">
        <f>-SUM(K87:N87)</f>
        <v>1513.7017081252554</v>
      </c>
      <c r="AI24" s="1152">
        <f>-SUM(O87:R87)</f>
        <v>-608.89504800527197</v>
      </c>
      <c r="AJ24" s="1147">
        <f>-SUM(S87:V87)</f>
        <v>-2421.3536722078807</v>
      </c>
      <c r="AK24" s="1147">
        <f>-SUM(W87:Z87)</f>
        <v>-1251.9337435622415</v>
      </c>
      <c r="AL24" s="1147">
        <f>-SUM(AA87:AD87)</f>
        <v>-1479.5580605735579</v>
      </c>
      <c r="AM24" s="1147">
        <f>-SUM(AB87:AE87)</f>
        <v>-1382.8177258437483</v>
      </c>
      <c r="AQ24" s="773"/>
    </row>
    <row r="25" spans="2:43" ht="14.25">
      <c r="B25" s="764" t="s">
        <v>257</v>
      </c>
      <c r="C25" s="765">
        <v>-978</v>
      </c>
      <c r="D25" s="766">
        <v>-1547</v>
      </c>
      <c r="E25" s="766">
        <v>-1681</v>
      </c>
      <c r="F25" s="766">
        <v>-1731</v>
      </c>
      <c r="G25" s="766">
        <v>-1674</v>
      </c>
      <c r="H25" s="766">
        <v>-1186</v>
      </c>
      <c r="I25" s="766">
        <v>-1125</v>
      </c>
      <c r="J25" s="766">
        <v>-1713</v>
      </c>
      <c r="K25" s="766">
        <v>-1703</v>
      </c>
      <c r="L25" s="766">
        <v>-2098</v>
      </c>
      <c r="M25" s="766">
        <v>-2236</v>
      </c>
      <c r="N25" s="766">
        <v>-2450</v>
      </c>
      <c r="O25" s="766">
        <v>-2613</v>
      </c>
      <c r="P25" s="766">
        <f>CFLO!CA33</f>
        <v>-1739</v>
      </c>
      <c r="Q25" s="766">
        <f>CFLO!CF33</f>
        <v>-1722</v>
      </c>
      <c r="R25" s="766">
        <f>CFLO!CK33</f>
        <v>-1834</v>
      </c>
      <c r="S25" s="766">
        <f>CFLO!CP33</f>
        <v>-1303</v>
      </c>
      <c r="T25" s="766">
        <f>CFLO!CU33</f>
        <v>-980</v>
      </c>
      <c r="U25" s="766">
        <f>CFLO!CZ33</f>
        <v>-1222</v>
      </c>
      <c r="V25" s="766">
        <f>CFLO!DE33</f>
        <v>-1527</v>
      </c>
      <c r="W25" s="766">
        <f>CFLO!DJ33</f>
        <v>-2230</v>
      </c>
      <c r="X25" s="766">
        <f>CFLO!DO33</f>
        <v>-2942</v>
      </c>
      <c r="Y25" s="766">
        <f>CFLO!DT33</f>
        <v>-3958</v>
      </c>
      <c r="Z25" s="766">
        <f>CFLO!DY33</f>
        <v>-3200</v>
      </c>
      <c r="AA25" s="909">
        <f>CFLO!DZ33</f>
        <v>-2700</v>
      </c>
      <c r="AB25" s="909">
        <f>[1]CFLO!EA33</f>
        <v>-2800</v>
      </c>
      <c r="AC25" s="1132">
        <f>[1]CFLO!EB33</f>
        <v>-3000</v>
      </c>
      <c r="AI25">
        <f>SUM(AI21:AI24)</f>
        <v>-7408.6174276501888</v>
      </c>
      <c r="AJ25">
        <f>SUM(AJ21:AJ24)</f>
        <v>-3758.2026123575693</v>
      </c>
      <c r="AK25">
        <f>SUM(AK21:AK24)</f>
        <v>-2507.2803749743289</v>
      </c>
      <c r="AL25">
        <f>SUM(AL21:AL24)</f>
        <v>-2348.423642086736</v>
      </c>
      <c r="AM25">
        <f>SUM(AM21:AM24)</f>
        <v>-475.01168724850845</v>
      </c>
      <c r="AQ25" s="773"/>
    </row>
    <row r="26" spans="2:43" ht="15" customHeight="1" thickBot="1">
      <c r="B26" s="764" t="s">
        <v>93</v>
      </c>
      <c r="C26" s="765">
        <f>C8-SUM(C14:C25)</f>
        <v>1338</v>
      </c>
      <c r="D26" s="766">
        <f t="shared" ref="D26:U26" si="25">D8-SUM(D14:D25)</f>
        <v>2149</v>
      </c>
      <c r="E26" s="766">
        <f t="shared" si="25"/>
        <v>2344</v>
      </c>
      <c r="F26" s="766">
        <f t="shared" si="25"/>
        <v>2842</v>
      </c>
      <c r="G26" s="766">
        <f t="shared" si="25"/>
        <v>730</v>
      </c>
      <c r="H26" s="766">
        <f t="shared" si="25"/>
        <v>1240</v>
      </c>
      <c r="I26" s="766">
        <f t="shared" si="25"/>
        <v>2166</v>
      </c>
      <c r="J26" s="766">
        <f t="shared" si="25"/>
        <v>485</v>
      </c>
      <c r="K26" s="766">
        <f t="shared" si="25"/>
        <v>-18</v>
      </c>
      <c r="L26" s="766">
        <f t="shared" si="25"/>
        <v>-425</v>
      </c>
      <c r="M26" s="766">
        <f t="shared" si="25"/>
        <v>507</v>
      </c>
      <c r="N26" s="766">
        <f t="shared" si="25"/>
        <v>630</v>
      </c>
      <c r="O26" s="766">
        <f t="shared" si="25"/>
        <v>355</v>
      </c>
      <c r="P26" s="766">
        <f t="shared" si="25"/>
        <v>1309</v>
      </c>
      <c r="Q26" s="766">
        <f t="shared" si="25"/>
        <v>1998.5599999999995</v>
      </c>
      <c r="R26" s="766">
        <f t="shared" si="25"/>
        <v>6545.16</v>
      </c>
      <c r="S26" s="766">
        <f t="shared" si="25"/>
        <v>10620.848071216617</v>
      </c>
      <c r="T26" s="766">
        <f t="shared" si="25"/>
        <v>3388.6800000000003</v>
      </c>
      <c r="U26" s="766">
        <f t="shared" si="25"/>
        <v>6246.6399999999994</v>
      </c>
      <c r="V26" s="782">
        <v>-1000</v>
      </c>
      <c r="W26" s="782">
        <f>-3000-3000</f>
        <v>-6000</v>
      </c>
      <c r="X26" s="782">
        <f>-3000-3000</f>
        <v>-6000</v>
      </c>
      <c r="Y26" s="782">
        <f>+-3800-1800</f>
        <v>-5600</v>
      </c>
      <c r="Z26" s="782">
        <f>-1400-1000</f>
        <v>-2400</v>
      </c>
      <c r="AA26" s="782">
        <f>0-1000</f>
        <v>-1000</v>
      </c>
      <c r="AB26" s="1156">
        <v>0</v>
      </c>
      <c r="AC26" s="1154">
        <v>0</v>
      </c>
      <c r="AK26" s="773"/>
      <c r="AL26" s="294"/>
      <c r="AQ26" s="773"/>
    </row>
    <row r="27" spans="2:43" ht="15" customHeight="1" thickBot="1">
      <c r="B27" s="767" t="s">
        <v>487</v>
      </c>
      <c r="C27" s="766">
        <f t="shared" ref="C27:X27" si="26">SUM(C14:C26)</f>
        <v>2480</v>
      </c>
      <c r="D27" s="766">
        <f t="shared" si="26"/>
        <v>5504</v>
      </c>
      <c r="E27" s="766">
        <f t="shared" si="26"/>
        <v>6043</v>
      </c>
      <c r="F27" s="766">
        <f t="shared" si="26"/>
        <v>7912</v>
      </c>
      <c r="G27" s="766">
        <f t="shared" si="26"/>
        <v>-2041</v>
      </c>
      <c r="H27" s="766">
        <f t="shared" si="26"/>
        <v>4444</v>
      </c>
      <c r="I27" s="766">
        <f t="shared" si="26"/>
        <v>1890</v>
      </c>
      <c r="J27" s="766">
        <f t="shared" si="26"/>
        <v>2404</v>
      </c>
      <c r="K27" s="766">
        <f t="shared" si="26"/>
        <v>5902</v>
      </c>
      <c r="L27" s="766">
        <f t="shared" si="26"/>
        <v>6081</v>
      </c>
      <c r="M27" s="766">
        <f t="shared" si="26"/>
        <v>6622</v>
      </c>
      <c r="N27" s="766">
        <f t="shared" si="26"/>
        <v>6913</v>
      </c>
      <c r="O27" s="766">
        <f t="shared" si="26"/>
        <v>7886</v>
      </c>
      <c r="P27" s="766">
        <f t="shared" si="26"/>
        <v>11605</v>
      </c>
      <c r="Q27" s="766">
        <f t="shared" si="26"/>
        <v>13600</v>
      </c>
      <c r="R27" s="766">
        <f t="shared" si="26"/>
        <v>-4280</v>
      </c>
      <c r="S27" s="766">
        <f t="shared" si="26"/>
        <v>-19713</v>
      </c>
      <c r="T27" s="766">
        <f t="shared" si="26"/>
        <v>-4396</v>
      </c>
      <c r="U27" s="766">
        <f t="shared" si="26"/>
        <v>2289.9999999999995</v>
      </c>
      <c r="V27" s="768">
        <f t="shared" si="26"/>
        <v>4433.2000000000007</v>
      </c>
      <c r="W27" s="769">
        <f>SUM(W14:W26)</f>
        <v>-14310.401858269852</v>
      </c>
      <c r="X27" s="769">
        <f t="shared" si="26"/>
        <v>-1876.5818201514376</v>
      </c>
      <c r="Y27" s="769">
        <f t="shared" ref="Y27:Z27" si="27">SUM(Y14:Y26)</f>
        <v>2512.7409864036508</v>
      </c>
      <c r="Z27" s="769">
        <f t="shared" si="27"/>
        <v>6508.4867675135247</v>
      </c>
      <c r="AA27" s="1102">
        <f t="shared" ref="AA27:AC27" si="28">SUM(AA14:AA26)</f>
        <v>10537.054556506439</v>
      </c>
      <c r="AB27" s="1102">
        <f t="shared" si="28"/>
        <v>13634.649404873064</v>
      </c>
      <c r="AC27" s="1157">
        <f t="shared" si="28"/>
        <v>16653.671554937486</v>
      </c>
      <c r="AE27" t="s">
        <v>750</v>
      </c>
      <c r="AF27">
        <v>2600</v>
      </c>
      <c r="AG27" t="s">
        <v>751</v>
      </c>
      <c r="AH27" t="s">
        <v>752</v>
      </c>
      <c r="AK27" s="1158"/>
      <c r="AL27" s="294"/>
      <c r="AQ27" s="1158"/>
    </row>
    <row r="28" spans="2:43" ht="15.75" customHeight="1">
      <c r="B28" s="770" t="s">
        <v>488</v>
      </c>
      <c r="C28" s="771">
        <f>C27/IS!$N$40</f>
        <v>3.050430504305043</v>
      </c>
      <c r="D28" s="771">
        <f>D27/IS!$S$40</f>
        <v>6.8551500809565322</v>
      </c>
      <c r="E28" s="771">
        <f>E27/IS!$X$40</f>
        <v>7.6726764855256464</v>
      </c>
      <c r="F28" s="771">
        <f>F27/IS!$AC$40</f>
        <v>10.242071197411002</v>
      </c>
      <c r="G28" s="771">
        <f>G27/IS!$AH$40</f>
        <v>-2.7997256515775035</v>
      </c>
      <c r="H28" s="771">
        <f>H27/IS!$AM$40</f>
        <v>6.2293243622091392</v>
      </c>
      <c r="I28" s="771">
        <f>I27/IS!$AR$40</f>
        <v>2.5415181873193036</v>
      </c>
      <c r="J28" s="771">
        <f>J27/IS!$AW$40</f>
        <v>3.1921391581463285</v>
      </c>
      <c r="K28" s="771">
        <f>K27/IS!$BB$40</f>
        <v>7.7271537051584192</v>
      </c>
      <c r="L28" s="771">
        <f>L27/IS!$BG$40</f>
        <v>7.9025341130604287</v>
      </c>
      <c r="M28" s="771">
        <f>M27/IS!$BL$40</f>
        <v>8.9762445355654226</v>
      </c>
      <c r="N28" s="771">
        <f>N27/IS!$BQ$40</f>
        <v>9.9349692810692343</v>
      </c>
      <c r="O28" s="771">
        <f>O27/IS!$BV$40</f>
        <v>12.297376320611283</v>
      </c>
      <c r="P28" s="771">
        <f>P27/IS!CA40</f>
        <v>19.002783690846567</v>
      </c>
      <c r="Q28" s="771">
        <f>Q27/IS!CF40</f>
        <v>23.206211074140434</v>
      </c>
      <c r="R28" s="771">
        <f>R27/IS!CK40</f>
        <v>-7.5342164326893464</v>
      </c>
      <c r="S28" s="775">
        <f>S27/IS!CP40</f>
        <v>-34.670887745679984</v>
      </c>
      <c r="T28" s="775">
        <f>T27/IS!CU40</f>
        <v>-7.4669837360397482</v>
      </c>
      <c r="U28" s="775">
        <f>U27/IS!CZ40</f>
        <v>3.8434103973482143</v>
      </c>
      <c r="V28" s="775">
        <f>V27/IS!DE40</f>
        <v>7.3236691033742209</v>
      </c>
      <c r="W28" s="775">
        <f>W27/IS!DJ40</f>
        <v>-22.111251326127704</v>
      </c>
      <c r="X28" s="775">
        <f>X27/IS!DO40</f>
        <v>-2.449126327320875</v>
      </c>
      <c r="Y28" s="775">
        <f>Y27/IS!DT40</f>
        <v>3.1796282708639865</v>
      </c>
      <c r="Z28" s="775">
        <f>Z27/IS!DY40</f>
        <v>8.3085297344909996</v>
      </c>
      <c r="AA28" s="1103">
        <f>AA27/IS!DZ40</f>
        <v>13.767628609794784</v>
      </c>
      <c r="AB28" s="1159">
        <f>AB27/[1]IS!EA40</f>
        <v>18.416491395789915</v>
      </c>
      <c r="AC28" s="1160">
        <f>AC27/[1]IS!EB40</f>
        <v>23.444318371137445</v>
      </c>
      <c r="AE28" t="s">
        <v>753</v>
      </c>
      <c r="AF28" t="s">
        <v>754</v>
      </c>
      <c r="AH28" s="294"/>
      <c r="AI28" s="294"/>
      <c r="AJ28" s="294"/>
      <c r="AK28" s="294"/>
      <c r="AL28" s="294"/>
      <c r="AM28" s="1161"/>
      <c r="AN28" s="294"/>
      <c r="AO28" s="294"/>
      <c r="AP28" s="294"/>
      <c r="AQ28" s="294"/>
    </row>
    <row r="29" spans="2:43" ht="14.25">
      <c r="B29" s="772"/>
      <c r="C29" s="773"/>
      <c r="D29" s="773"/>
      <c r="E29" s="773"/>
      <c r="F29" s="773"/>
      <c r="G29" s="773"/>
      <c r="H29" s="773"/>
      <c r="I29" s="773"/>
      <c r="J29" s="773"/>
      <c r="K29" s="773"/>
      <c r="L29" s="773"/>
      <c r="M29" s="773"/>
      <c r="N29" s="915"/>
      <c r="O29" s="915"/>
      <c r="P29" s="915"/>
      <c r="Q29" s="915"/>
      <c r="R29" s="915"/>
      <c r="S29" s="915"/>
      <c r="T29" s="1001"/>
      <c r="U29" s="801"/>
      <c r="V29" s="801"/>
      <c r="W29" s="801"/>
      <c r="X29" s="989"/>
      <c r="Y29" s="989"/>
      <c r="Z29" s="989"/>
      <c r="AA29" s="989"/>
      <c r="AB29" s="1162"/>
      <c r="AC29" s="1162"/>
      <c r="AK29" s="1163"/>
      <c r="AL29" s="1163"/>
      <c r="AM29" s="1163"/>
      <c r="AN29" s="1163"/>
      <c r="AO29" s="1163"/>
      <c r="AP29" s="1163"/>
      <c r="AQ29" s="1163"/>
    </row>
    <row r="30" spans="2:43" ht="15" thickBot="1">
      <c r="B30" s="761" t="s">
        <v>260</v>
      </c>
      <c r="C30" s="762">
        <f t="shared" ref="C30:S30" si="29">C8</f>
        <v>2480</v>
      </c>
      <c r="D30" s="763">
        <f t="shared" si="29"/>
        <v>5504</v>
      </c>
      <c r="E30" s="763">
        <f t="shared" si="29"/>
        <v>6043</v>
      </c>
      <c r="F30" s="763">
        <f t="shared" si="29"/>
        <v>7912</v>
      </c>
      <c r="G30" s="763">
        <f t="shared" si="29"/>
        <v>-2041</v>
      </c>
      <c r="H30" s="763">
        <f t="shared" si="29"/>
        <v>4444</v>
      </c>
      <c r="I30" s="763">
        <f t="shared" si="29"/>
        <v>1890</v>
      </c>
      <c r="J30" s="763">
        <f t="shared" si="29"/>
        <v>2404</v>
      </c>
      <c r="K30" s="763">
        <f t="shared" si="29"/>
        <v>5902</v>
      </c>
      <c r="L30" s="763">
        <f t="shared" si="29"/>
        <v>6081</v>
      </c>
      <c r="M30" s="763">
        <f t="shared" si="29"/>
        <v>6622</v>
      </c>
      <c r="N30" s="763">
        <f t="shared" si="29"/>
        <v>6913</v>
      </c>
      <c r="O30" s="763">
        <f t="shared" si="29"/>
        <v>7886</v>
      </c>
      <c r="P30" s="763">
        <f t="shared" si="29"/>
        <v>11605</v>
      </c>
      <c r="Q30" s="763">
        <f t="shared" si="29"/>
        <v>13600</v>
      </c>
      <c r="R30" s="763">
        <f t="shared" si="29"/>
        <v>-4280</v>
      </c>
      <c r="S30" s="763">
        <f t="shared" si="29"/>
        <v>-19713</v>
      </c>
      <c r="T30" s="763">
        <f t="shared" ref="T30:U30" si="30">T8</f>
        <v>-4396</v>
      </c>
      <c r="U30" s="763">
        <f t="shared" si="30"/>
        <v>2290</v>
      </c>
      <c r="V30" s="763"/>
      <c r="W30" s="763"/>
      <c r="X30" s="988"/>
      <c r="Y30" s="988"/>
      <c r="Z30" s="988"/>
      <c r="AA30" s="988"/>
      <c r="AB30" s="988"/>
      <c r="AC30" s="988"/>
      <c r="AK30" s="294"/>
      <c r="AL30" s="294"/>
      <c r="AM30" s="294"/>
      <c r="AN30" s="294"/>
      <c r="AO30" s="294"/>
      <c r="AP30" s="294"/>
      <c r="AQ30" s="294"/>
    </row>
    <row r="31" spans="2:43" ht="15.75" thickBot="1">
      <c r="B31" s="767" t="s">
        <v>489</v>
      </c>
      <c r="C31" s="774">
        <f t="shared" ref="C31:S31" si="31">C9</f>
        <v>2480</v>
      </c>
      <c r="D31" s="774">
        <f t="shared" si="31"/>
        <v>5504</v>
      </c>
      <c r="E31" s="774">
        <f t="shared" si="31"/>
        <v>6043</v>
      </c>
      <c r="F31" s="774">
        <f t="shared" si="31"/>
        <v>7912</v>
      </c>
      <c r="G31" s="774">
        <f t="shared" si="31"/>
        <v>-2041</v>
      </c>
      <c r="H31" s="774">
        <f t="shared" si="31"/>
        <v>4444</v>
      </c>
      <c r="I31" s="774">
        <f t="shared" si="31"/>
        <v>1890</v>
      </c>
      <c r="J31" s="774">
        <f t="shared" si="31"/>
        <v>13157</v>
      </c>
      <c r="K31" s="774">
        <f t="shared" si="31"/>
        <v>11078</v>
      </c>
      <c r="L31" s="774">
        <f t="shared" si="31"/>
        <v>11772</v>
      </c>
      <c r="M31" s="774">
        <f t="shared" si="31"/>
        <v>11151</v>
      </c>
      <c r="N31" s="774">
        <f t="shared" si="31"/>
        <v>9274</v>
      </c>
      <c r="O31" s="774">
        <f t="shared" si="31"/>
        <v>7695</v>
      </c>
      <c r="P31" s="774">
        <f t="shared" si="31"/>
        <v>9655</v>
      </c>
      <c r="Q31" s="774">
        <f t="shared" si="31"/>
        <v>11209</v>
      </c>
      <c r="R31" s="774">
        <f t="shared" si="31"/>
        <v>-8531</v>
      </c>
      <c r="S31" s="774">
        <f t="shared" si="31"/>
        <v>-22062.050445103858</v>
      </c>
      <c r="T31" s="774">
        <f t="shared" ref="T31:U31" si="32">T9</f>
        <v>-4219</v>
      </c>
      <c r="U31" s="774">
        <f t="shared" si="32"/>
        <v>3286</v>
      </c>
      <c r="V31" s="1010">
        <f t="shared" ref="V31:AC31" si="33">V27-V16</f>
        <v>4128.2000000000007</v>
      </c>
      <c r="W31" s="1011">
        <f t="shared" si="33"/>
        <v>-14443.256788900981</v>
      </c>
      <c r="X31" s="1012">
        <f>X27-X16</f>
        <v>-2485.4129866378207</v>
      </c>
      <c r="Y31" s="1012">
        <f t="shared" si="33"/>
        <v>1326.0529864036507</v>
      </c>
      <c r="Z31" s="1012">
        <f t="shared" si="33"/>
        <v>3841.9427675135253</v>
      </c>
      <c r="AA31" s="1012">
        <f t="shared" si="33"/>
        <v>6667.2945565064383</v>
      </c>
      <c r="AB31" s="1012">
        <f t="shared" si="33"/>
        <v>9832.0994048730645</v>
      </c>
      <c r="AC31" s="1012">
        <f t="shared" si="33"/>
        <v>13622.371554937487</v>
      </c>
      <c r="AK31" s="294"/>
      <c r="AL31" s="294"/>
      <c r="AM31" s="294"/>
      <c r="AN31" s="294"/>
      <c r="AO31" s="294"/>
      <c r="AP31" s="294"/>
      <c r="AQ31" s="294"/>
    </row>
    <row r="32" spans="2:43" ht="14.25">
      <c r="B32" s="772"/>
      <c r="C32" s="773"/>
      <c r="D32" s="773"/>
      <c r="E32" s="773"/>
      <c r="F32" s="773"/>
      <c r="G32" s="773"/>
      <c r="H32" s="773"/>
      <c r="I32" s="773"/>
      <c r="J32" s="773"/>
      <c r="K32" s="773"/>
      <c r="L32" s="773"/>
      <c r="M32" s="773"/>
      <c r="N32" s="773"/>
      <c r="O32" s="773"/>
      <c r="P32" s="773"/>
      <c r="Q32" s="773"/>
      <c r="R32" s="773"/>
      <c r="S32" s="773"/>
      <c r="T32" s="773"/>
      <c r="U32" s="773"/>
      <c r="V32" s="773"/>
      <c r="W32" s="773"/>
      <c r="X32" s="990"/>
      <c r="Y32" s="990"/>
      <c r="Z32" s="990"/>
      <c r="AA32" s="990"/>
      <c r="AB32" s="990"/>
      <c r="AC32" s="990"/>
      <c r="AM32" s="294"/>
      <c r="AN32" s="294"/>
      <c r="AO32" s="294"/>
      <c r="AP32" s="294"/>
      <c r="AQ32" s="294"/>
    </row>
    <row r="33" spans="2:60" ht="14.25">
      <c r="B33" s="761" t="s">
        <v>490</v>
      </c>
      <c r="C33" s="1002">
        <f t="shared" ref="C33:X33" si="34">C31/C14</f>
        <v>1.3247863247863247</v>
      </c>
      <c r="D33" s="1003">
        <f t="shared" si="34"/>
        <v>2.1399688958009331</v>
      </c>
      <c r="E33" s="1003">
        <f t="shared" si="34"/>
        <v>2.7282167042889389</v>
      </c>
      <c r="F33" s="1003">
        <f t="shared" si="34"/>
        <v>1.9420716740304369</v>
      </c>
      <c r="G33" s="1003">
        <f t="shared" si="34"/>
        <v>-0.76384730538922152</v>
      </c>
      <c r="H33" s="1003">
        <f t="shared" si="34"/>
        <v>3.3871951219512195</v>
      </c>
      <c r="I33" s="1003">
        <f t="shared" si="34"/>
        <v>0.57151496824916848</v>
      </c>
      <c r="J33" s="1003">
        <f t="shared" si="34"/>
        <v>3.2745146839223493</v>
      </c>
      <c r="K33" s="1003">
        <f t="shared" si="34"/>
        <v>2.8405128205128207</v>
      </c>
      <c r="L33" s="1003">
        <f t="shared" si="34"/>
        <v>2.5675027262813521</v>
      </c>
      <c r="M33" s="1003">
        <f t="shared" si="34"/>
        <v>2.0475578406169666</v>
      </c>
      <c r="N33" s="1003">
        <f t="shared" si="34"/>
        <v>1.7917310664605872</v>
      </c>
      <c r="O33" s="1004">
        <f t="shared" si="34"/>
        <v>1.5720122574055158</v>
      </c>
      <c r="P33" s="1004">
        <f t="shared" si="34"/>
        <v>1.1778699524216176</v>
      </c>
      <c r="Q33" s="1003">
        <f t="shared" si="34"/>
        <v>1.0716061185468451</v>
      </c>
      <c r="R33" s="1003">
        <f t="shared" si="34"/>
        <v>13.413522012578616</v>
      </c>
      <c r="S33" s="1003">
        <f t="shared" si="34"/>
        <v>1.8475881789719335</v>
      </c>
      <c r="T33" s="1003">
        <f t="shared" si="34"/>
        <v>0.98344988344988349</v>
      </c>
      <c r="U33" s="1003">
        <f t="shared" si="34"/>
        <v>-0.65030674846625769</v>
      </c>
      <c r="V33" s="1003">
        <f t="shared" si="34"/>
        <v>-1.8413024085637826</v>
      </c>
      <c r="W33" s="1003">
        <f t="shared" si="34"/>
        <v>1.221004039978103</v>
      </c>
      <c r="X33" s="1005">
        <f t="shared" si="34"/>
        <v>-1.110550932367212</v>
      </c>
      <c r="Y33" s="1005">
        <f t="shared" ref="Y33:Z33" si="35">Y31/Y14</f>
        <v>4.3488116594244355</v>
      </c>
      <c r="Z33" s="1005">
        <f t="shared" si="35"/>
        <v>0.96082442872593388</v>
      </c>
      <c r="AA33" s="1005">
        <f t="shared" ref="AA33:AC33" si="36">AA31/AA14</f>
        <v>0.88467237359967554</v>
      </c>
      <c r="AB33" s="1005">
        <f t="shared" si="36"/>
        <v>0.8786106875360753</v>
      </c>
      <c r="AC33" s="1005">
        <f t="shared" si="36"/>
        <v>0.90771153651909009</v>
      </c>
      <c r="AF33" s="294"/>
      <c r="AG33" s="294"/>
      <c r="AH33" s="294"/>
      <c r="AI33" s="294">
        <f>AI21+AI22</f>
        <v>-4753.2115204520242</v>
      </c>
      <c r="AJ33" s="294">
        <f>AJ21+AJ22</f>
        <v>-2360.104369746135</v>
      </c>
      <c r="AK33" s="294">
        <f>AK21+AK22</f>
        <v>-1596.4317746109032</v>
      </c>
      <c r="AL33" s="294">
        <f>AL21+AL22</f>
        <v>-1380.4932963114015</v>
      </c>
      <c r="AM33" s="294"/>
      <c r="AN33" s="294"/>
      <c r="AO33" s="294"/>
      <c r="AP33" s="294"/>
      <c r="AQ33" s="294"/>
    </row>
    <row r="34" spans="2:60" ht="14.25">
      <c r="B34" s="770" t="s">
        <v>491</v>
      </c>
      <c r="C34" s="1006">
        <f t="shared" ref="C34:X34" si="37">C31/(C14+C24)</f>
        <v>-1.0929925077126488</v>
      </c>
      <c r="D34" s="1007">
        <f t="shared" si="37"/>
        <v>7.7521126760563384</v>
      </c>
      <c r="E34" s="1007">
        <f t="shared" si="37"/>
        <v>3.3442169341449919</v>
      </c>
      <c r="F34" s="1007">
        <f t="shared" si="37"/>
        <v>2.7957597173144877</v>
      </c>
      <c r="G34" s="1007">
        <f t="shared" si="37"/>
        <v>-0.7598659717051377</v>
      </c>
      <c r="H34" s="1007">
        <f t="shared" si="37"/>
        <v>1.8123980424143555</v>
      </c>
      <c r="I34" s="1007">
        <f t="shared" si="37"/>
        <v>0.40410519563822961</v>
      </c>
      <c r="J34" s="1007">
        <f t="shared" si="37"/>
        <v>1.969905674502171</v>
      </c>
      <c r="K34" s="1007">
        <f t="shared" si="37"/>
        <v>1.6441080439299496</v>
      </c>
      <c r="L34" s="1007">
        <f t="shared" si="37"/>
        <v>1.5057559478127398</v>
      </c>
      <c r="M34" s="1007">
        <f t="shared" si="37"/>
        <v>1.5105662422107831</v>
      </c>
      <c r="N34" s="1007">
        <f t="shared" si="37"/>
        <v>1.2129217891708082</v>
      </c>
      <c r="O34" s="1007">
        <f t="shared" si="37"/>
        <v>1.5243660855784469</v>
      </c>
      <c r="P34" s="1007">
        <f t="shared" si="37"/>
        <v>1.2678923177938279</v>
      </c>
      <c r="Q34" s="1007">
        <f t="shared" si="37"/>
        <v>1.0875133404482391</v>
      </c>
      <c r="R34" s="1007">
        <f t="shared" si="37"/>
        <v>6.0375088464260438</v>
      </c>
      <c r="S34" s="1007">
        <f t="shared" si="37"/>
        <v>1.7323950094310057</v>
      </c>
      <c r="T34" s="1007">
        <f t="shared" si="37"/>
        <v>0.80178639300646137</v>
      </c>
      <c r="U34" s="1007">
        <f t="shared" si="37"/>
        <v>-0.51096252526823205</v>
      </c>
      <c r="V34" s="1007">
        <f t="shared" si="37"/>
        <v>-1.2517283201940572</v>
      </c>
      <c r="W34" s="1007">
        <f t="shared" si="37"/>
        <v>1.1167754418078544</v>
      </c>
      <c r="X34" s="1008">
        <f t="shared" si="37"/>
        <v>-2.0694529447442305</v>
      </c>
      <c r="Y34" s="1008">
        <f t="shared" ref="Y34:Z34" si="38">Y31/(Y14+Y24)</f>
        <v>-4.2086641229741177</v>
      </c>
      <c r="Z34" s="1008">
        <f t="shared" si="38"/>
        <v>1.130452036023837</v>
      </c>
      <c r="AA34" s="1008">
        <f t="shared" ref="AA34:AC34" si="39">AA31/(AA14+AA24)</f>
        <v>0.95431709684418953</v>
      </c>
      <c r="AB34" s="1008">
        <f t="shared" si="39"/>
        <v>0.91970371774788628</v>
      </c>
      <c r="AC34" s="1008">
        <f t="shared" si="39"/>
        <v>0.93899601257080267</v>
      </c>
      <c r="AF34" s="294"/>
      <c r="AG34" s="294"/>
      <c r="AH34" s="294"/>
      <c r="AI34" s="294">
        <f>AI23+AI24</f>
        <v>-2655.4059071981646</v>
      </c>
      <c r="AJ34" s="294">
        <f>AJ23+AJ24</f>
        <v>-1398.0982426114342</v>
      </c>
      <c r="AK34" s="294">
        <f>AK23+AK24</f>
        <v>-910.84860036342593</v>
      </c>
      <c r="AL34" s="294">
        <f>AL23+AL24</f>
        <v>-967.93034577533456</v>
      </c>
      <c r="AM34" s="294"/>
      <c r="AN34" s="294"/>
      <c r="AO34" s="294"/>
      <c r="AP34" s="294"/>
      <c r="AQ34" s="294"/>
    </row>
    <row r="35" spans="2:60" ht="14.25">
      <c r="B35" s="772"/>
      <c r="C35" s="773"/>
      <c r="D35" s="773"/>
      <c r="E35" s="773"/>
      <c r="F35" s="773"/>
      <c r="G35" s="773"/>
      <c r="H35" s="773"/>
      <c r="I35" s="773"/>
      <c r="J35" s="773"/>
      <c r="K35" s="773"/>
      <c r="L35" s="773"/>
      <c r="M35" s="773"/>
      <c r="N35" s="773"/>
      <c r="O35" s="773"/>
      <c r="P35" s="773"/>
      <c r="Q35" s="773"/>
      <c r="R35" s="773"/>
      <c r="S35" s="773"/>
      <c r="T35" s="773"/>
      <c r="U35" s="773"/>
      <c r="V35" s="773"/>
      <c r="W35" s="773"/>
      <c r="X35" s="990"/>
      <c r="Y35" s="990"/>
      <c r="Z35" s="990"/>
      <c r="AA35" s="990"/>
      <c r="AB35" s="990"/>
      <c r="AC35" s="990"/>
      <c r="AF35" s="294"/>
      <c r="AG35" s="294"/>
      <c r="AH35" s="294"/>
      <c r="AI35" s="294"/>
      <c r="AJ35" s="294"/>
      <c r="AK35" s="294"/>
      <c r="AL35" s="294"/>
      <c r="AM35" s="294"/>
      <c r="AN35" s="294"/>
      <c r="AO35" s="294"/>
      <c r="AP35" s="294"/>
      <c r="AQ35" s="294"/>
    </row>
    <row r="36" spans="2:60" ht="14.25">
      <c r="B36" s="776" t="s">
        <v>492</v>
      </c>
      <c r="C36" s="777">
        <f t="shared" ref="C36:X36" si="40">C17+C19+C20+C26+C18</f>
        <v>3229</v>
      </c>
      <c r="D36" s="778">
        <f t="shared" si="40"/>
        <v>4301</v>
      </c>
      <c r="E36" s="778">
        <f t="shared" si="40"/>
        <v>3539</v>
      </c>
      <c r="F36" s="778">
        <f t="shared" si="40"/>
        <v>4189</v>
      </c>
      <c r="G36" s="778">
        <f t="shared" si="40"/>
        <v>-5122</v>
      </c>
      <c r="H36" s="778">
        <f t="shared" si="40"/>
        <v>1112</v>
      </c>
      <c r="I36" s="778">
        <f t="shared" si="40"/>
        <v>-3994</v>
      </c>
      <c r="J36" s="778">
        <f t="shared" si="40"/>
        <v>5472</v>
      </c>
      <c r="K36" s="778">
        <f t="shared" si="40"/>
        <v>2627</v>
      </c>
      <c r="L36" s="778">
        <f t="shared" si="40"/>
        <v>2763</v>
      </c>
      <c r="M36" s="778">
        <f t="shared" si="40"/>
        <v>2774</v>
      </c>
      <c r="N36" s="778">
        <f t="shared" si="40"/>
        <v>1768</v>
      </c>
      <c r="O36" s="778">
        <f t="shared" si="40"/>
        <v>4160</v>
      </c>
      <c r="P36" s="778">
        <f t="shared" si="40"/>
        <v>153</v>
      </c>
      <c r="Q36" s="778">
        <f t="shared" si="40"/>
        <v>192.55999999999949</v>
      </c>
      <c r="R36" s="778">
        <f t="shared" si="40"/>
        <v>-6174.84</v>
      </c>
      <c r="S36" s="778">
        <f t="shared" si="40"/>
        <v>-8244.2023738872413</v>
      </c>
      <c r="T36" s="778">
        <f t="shared" si="40"/>
        <v>447.68000000000029</v>
      </c>
      <c r="U36" s="778">
        <f t="shared" si="40"/>
        <v>8750.64</v>
      </c>
      <c r="V36" s="778">
        <f t="shared" si="40"/>
        <v>10041</v>
      </c>
      <c r="W36" s="778">
        <f t="shared" si="40"/>
        <v>1655</v>
      </c>
      <c r="X36" s="991">
        <f t="shared" si="40"/>
        <v>300</v>
      </c>
      <c r="Y36" s="991">
        <f t="shared" ref="Y36:Z36" si="41">Y17+Y19+Y20+Y26+Y18</f>
        <v>3400</v>
      </c>
      <c r="Z36" s="991">
        <f t="shared" si="41"/>
        <v>1600</v>
      </c>
      <c r="AA36" s="991">
        <f t="shared" ref="AA36:AC36" si="42">AA17+AA19+AA20+AA26+AA18</f>
        <v>500</v>
      </c>
      <c r="AB36" s="991">
        <f t="shared" si="42"/>
        <v>0</v>
      </c>
      <c r="AC36" s="991">
        <f t="shared" si="42"/>
        <v>0</v>
      </c>
      <c r="AF36" s="294"/>
      <c r="AG36" s="294"/>
      <c r="AH36" s="294"/>
      <c r="AI36" s="294"/>
      <c r="AJ36" s="294"/>
      <c r="AK36" s="294"/>
      <c r="AL36" s="294"/>
      <c r="AM36" s="294"/>
      <c r="AN36" s="294"/>
      <c r="AO36" s="294"/>
      <c r="AP36" s="294"/>
      <c r="AQ36" s="294"/>
    </row>
    <row r="37" spans="2:60" ht="14.25">
      <c r="B37" s="779"/>
      <c r="C37" s="773"/>
      <c r="D37" s="773"/>
      <c r="E37" s="773"/>
      <c r="F37" s="773"/>
      <c r="G37" s="773"/>
      <c r="H37" s="773"/>
      <c r="I37" s="773"/>
      <c r="J37" s="773"/>
      <c r="K37" s="773"/>
      <c r="L37" s="773"/>
      <c r="M37" s="773"/>
      <c r="N37" s="773"/>
      <c r="O37" s="773"/>
      <c r="P37" s="773"/>
      <c r="Q37" s="773"/>
      <c r="R37" s="773"/>
      <c r="S37" s="773"/>
      <c r="T37" s="773"/>
      <c r="U37" s="773"/>
      <c r="V37" s="773"/>
      <c r="W37" s="773"/>
      <c r="X37" s="990"/>
      <c r="Y37" s="990"/>
      <c r="Z37" s="990"/>
      <c r="AA37" s="990"/>
      <c r="AB37" s="990"/>
      <c r="AC37" s="990"/>
      <c r="AF37" s="766"/>
      <c r="AG37" s="294"/>
      <c r="AH37" s="294"/>
      <c r="AI37" s="294"/>
      <c r="AJ37" s="294"/>
      <c r="AK37" s="294"/>
      <c r="AL37" s="294"/>
      <c r="AM37" s="294"/>
      <c r="AN37" s="294"/>
      <c r="AO37" s="294"/>
      <c r="AP37" s="294"/>
      <c r="AQ37" s="294"/>
    </row>
    <row r="38" spans="2:60" ht="14.25">
      <c r="B38" s="761" t="s">
        <v>493</v>
      </c>
      <c r="C38" s="1002">
        <f t="shared" ref="C38:X38" si="43">(C31-C36)/C14</f>
        <v>-0.40010683760683763</v>
      </c>
      <c r="D38" s="1003">
        <f t="shared" si="43"/>
        <v>0.4677293934681182</v>
      </c>
      <c r="E38" s="1003">
        <f t="shared" si="43"/>
        <v>1.1304740406320541</v>
      </c>
      <c r="F38" s="1003">
        <f t="shared" si="43"/>
        <v>0.91384388807069217</v>
      </c>
      <c r="G38" s="1003">
        <f t="shared" si="43"/>
        <v>1.153068862275449</v>
      </c>
      <c r="H38" s="1003">
        <f t="shared" si="43"/>
        <v>2.5396341463414633</v>
      </c>
      <c r="I38" s="1003">
        <f t="shared" si="43"/>
        <v>1.7792561233746598</v>
      </c>
      <c r="J38" s="1003">
        <f t="shared" si="43"/>
        <v>1.912643106022897</v>
      </c>
      <c r="K38" s="1003">
        <f t="shared" si="43"/>
        <v>2.166923076923077</v>
      </c>
      <c r="L38" s="1003">
        <f t="shared" si="43"/>
        <v>1.9648854961832061</v>
      </c>
      <c r="M38" s="1003">
        <f t="shared" si="43"/>
        <v>1.5381931692985678</v>
      </c>
      <c r="N38" s="1003">
        <f t="shared" si="43"/>
        <v>1.4501545595054095</v>
      </c>
      <c r="O38" s="1004">
        <f t="shared" si="43"/>
        <v>0.72216547497446371</v>
      </c>
      <c r="P38" s="1004">
        <f t="shared" si="43"/>
        <v>1.1592045870440406</v>
      </c>
      <c r="Q38" s="1003">
        <f t="shared" si="43"/>
        <v>1.0531969407265775</v>
      </c>
      <c r="R38" s="1003">
        <f t="shared" si="43"/>
        <v>3.7046540880503143</v>
      </c>
      <c r="S38" s="1003">
        <f t="shared" si="43"/>
        <v>1.1571767918278717</v>
      </c>
      <c r="T38" s="1003">
        <f t="shared" si="43"/>
        <v>1.087804195804196</v>
      </c>
      <c r="U38" s="1003">
        <f t="shared" si="43"/>
        <v>1.0814644765485848</v>
      </c>
      <c r="V38" s="1003">
        <f t="shared" si="43"/>
        <v>2.6372881355932201</v>
      </c>
      <c r="W38" s="1003">
        <f t="shared" si="43"/>
        <v>1.3609144296982822</v>
      </c>
      <c r="X38" s="1005">
        <f t="shared" si="43"/>
        <v>-1.2445991897398663</v>
      </c>
      <c r="Y38" s="1005">
        <f t="shared" ref="Y38:Z38" si="44">(Y31-Y36)/Y14</f>
        <v>-6.8015419038548472</v>
      </c>
      <c r="Z38" s="1005">
        <f t="shared" si="44"/>
        <v>0.56068335974368178</v>
      </c>
      <c r="AA38" s="1005">
        <f t="shared" ref="AA38:AC38" si="45">(AA31-AA36)/AA14</f>
        <v>0.8183281941051348</v>
      </c>
      <c r="AB38" s="1005">
        <f t="shared" si="45"/>
        <v>0.8786106875360753</v>
      </c>
      <c r="AC38" s="1005">
        <f t="shared" si="45"/>
        <v>0.90771153651909009</v>
      </c>
      <c r="AF38" s="1162"/>
      <c r="AG38" s="1164"/>
      <c r="AH38" s="1162"/>
      <c r="AI38" s="294"/>
      <c r="AJ38" s="294"/>
      <c r="AK38" s="294"/>
      <c r="AL38" s="294"/>
      <c r="AM38" s="294"/>
      <c r="AN38" s="294"/>
      <c r="AO38" s="294"/>
      <c r="AP38" s="294"/>
      <c r="AQ38" s="294"/>
    </row>
    <row r="39" spans="2:60" ht="14.25">
      <c r="B39" s="770" t="s">
        <v>494</v>
      </c>
      <c r="C39" s="1006">
        <f t="shared" ref="C39:X39" si="46">(C31-C36)/(C14+C24)</f>
        <v>0.33010136624063463</v>
      </c>
      <c r="D39" s="1007">
        <f t="shared" si="46"/>
        <v>1.6943661971830986</v>
      </c>
      <c r="E39" s="1007">
        <f t="shared" si="46"/>
        <v>1.3857221914775872</v>
      </c>
      <c r="F39" s="1007">
        <f t="shared" si="46"/>
        <v>1.3155477031802121</v>
      </c>
      <c r="G39" s="1007">
        <f t="shared" si="46"/>
        <v>1.1470588235294117</v>
      </c>
      <c r="H39" s="1007">
        <f t="shared" si="46"/>
        <v>1.3588907014681892</v>
      </c>
      <c r="I39" s="1007">
        <f t="shared" si="46"/>
        <v>1.2580714132991233</v>
      </c>
      <c r="J39" s="1007">
        <f t="shared" si="46"/>
        <v>1.1506213505015721</v>
      </c>
      <c r="K39" s="1007">
        <f t="shared" si="46"/>
        <v>1.2542297417631345</v>
      </c>
      <c r="L39" s="1007">
        <f t="shared" si="46"/>
        <v>1.1523407521105142</v>
      </c>
      <c r="M39" s="1007">
        <f t="shared" si="46"/>
        <v>1.1347873205093471</v>
      </c>
      <c r="N39" s="1007">
        <f t="shared" si="46"/>
        <v>0.98168977243002875</v>
      </c>
      <c r="O39" s="1007">
        <f t="shared" si="46"/>
        <v>0.70027733755942945</v>
      </c>
      <c r="P39" s="1007">
        <f t="shared" si="46"/>
        <v>1.2478003939592908</v>
      </c>
      <c r="Q39" s="1007">
        <f t="shared" si="46"/>
        <v>1.0688308916270497</v>
      </c>
      <c r="R39" s="1007">
        <f t="shared" si="46"/>
        <v>1.6674876150035385</v>
      </c>
      <c r="S39" s="1007">
        <f t="shared" si="46"/>
        <v>1.0850292949522276</v>
      </c>
      <c r="T39" s="1007">
        <f t="shared" si="46"/>
        <v>0.88686431014823264</v>
      </c>
      <c r="U39" s="1007">
        <f t="shared" si="46"/>
        <v>0.84973410045094067</v>
      </c>
      <c r="V39" s="1007">
        <f t="shared" si="46"/>
        <v>1.7928441479684656</v>
      </c>
      <c r="W39" s="1007">
        <f t="shared" si="46"/>
        <v>1.2447426574577423</v>
      </c>
      <c r="X39" s="1008">
        <f t="shared" si="46"/>
        <v>-2.3192447848774527</v>
      </c>
      <c r="Y39" s="1008">
        <f t="shared" ref="Y39:Z39" si="47">(Y31-Y36)/(Y14+Y24)</f>
        <v>6.5823511417478908</v>
      </c>
      <c r="Z39" s="1008">
        <f t="shared" si="47"/>
        <v>0.65966853739074038</v>
      </c>
      <c r="AA39" s="1008">
        <f t="shared" ref="AA39:AC39" si="48">(AA31-AA36)/(AA14+AA24)</f>
        <v>0.88275005501363946</v>
      </c>
      <c r="AB39" s="1008">
        <f t="shared" si="48"/>
        <v>0.91970371774788628</v>
      </c>
      <c r="AC39" s="1008">
        <f t="shared" si="48"/>
        <v>0.93899601257080267</v>
      </c>
      <c r="AF39" s="294"/>
      <c r="AG39" s="294"/>
      <c r="AH39" s="294"/>
      <c r="AI39" s="294"/>
      <c r="AJ39" s="294"/>
      <c r="AK39" s="294"/>
      <c r="AL39" s="294"/>
      <c r="AM39" s="294"/>
      <c r="AN39" s="294"/>
      <c r="AO39" s="294"/>
      <c r="AP39" s="294"/>
      <c r="AQ39" s="294"/>
    </row>
    <row r="40" spans="2:60" ht="14.25">
      <c r="B40" s="772"/>
      <c r="C40" s="1165"/>
      <c r="D40" s="1165"/>
      <c r="E40" s="1165"/>
      <c r="F40" s="1165"/>
      <c r="G40" s="1165"/>
      <c r="H40" s="1165"/>
      <c r="I40" s="1165"/>
      <c r="J40" s="1165"/>
      <c r="K40" s="1165"/>
      <c r="L40" s="1165"/>
      <c r="M40" s="1165"/>
      <c r="N40" s="1165"/>
      <c r="O40" s="1165"/>
      <c r="P40" s="1165"/>
      <c r="Q40" s="1165"/>
      <c r="R40" s="1165"/>
      <c r="S40" s="1165"/>
      <c r="T40" s="1165"/>
      <c r="U40" s="1165"/>
      <c r="V40" s="1165"/>
      <c r="W40" s="1165"/>
      <c r="X40" s="1166"/>
      <c r="Y40" s="1166"/>
      <c r="Z40" s="1166"/>
      <c r="AA40" s="1166"/>
      <c r="AD40" s="294"/>
      <c r="AE40" s="294"/>
      <c r="AF40" s="294"/>
      <c r="AG40" s="294"/>
      <c r="AH40" s="294"/>
      <c r="AI40" s="294"/>
      <c r="AJ40" s="294"/>
      <c r="AK40" s="294"/>
      <c r="AL40" s="294"/>
      <c r="AM40" s="294"/>
      <c r="AN40" s="294"/>
      <c r="AO40" s="294"/>
      <c r="AP40" s="294"/>
      <c r="AQ40" s="294"/>
    </row>
    <row r="41" spans="2:60" s="783" customFormat="1" ht="15">
      <c r="B41" s="787"/>
      <c r="C41" s="787" t="s">
        <v>315</v>
      </c>
      <c r="D41" s="787" t="s">
        <v>395</v>
      </c>
      <c r="E41" s="787" t="s">
        <v>396</v>
      </c>
      <c r="F41" s="787" t="s">
        <v>397</v>
      </c>
      <c r="G41" s="787" t="s">
        <v>398</v>
      </c>
      <c r="H41" s="787" t="s">
        <v>411</v>
      </c>
      <c r="I41" s="787" t="s">
        <v>412</v>
      </c>
      <c r="J41" s="787" t="s">
        <v>413</v>
      </c>
      <c r="K41" s="787" t="s">
        <v>414</v>
      </c>
      <c r="L41" s="787" t="s">
        <v>464</v>
      </c>
      <c r="M41" s="787" t="s">
        <v>465</v>
      </c>
      <c r="N41" s="787" t="s">
        <v>466</v>
      </c>
      <c r="O41" s="787" t="s">
        <v>467</v>
      </c>
      <c r="P41" s="787" t="s">
        <v>468</v>
      </c>
      <c r="Q41" s="787" t="s">
        <v>469</v>
      </c>
      <c r="R41" s="787" t="s">
        <v>470</v>
      </c>
      <c r="S41" s="787" t="s">
        <v>471</v>
      </c>
      <c r="T41" s="787" t="s">
        <v>472</v>
      </c>
      <c r="U41" s="787" t="s">
        <v>473</v>
      </c>
      <c r="V41" s="787" t="s">
        <v>474</v>
      </c>
      <c r="W41" s="787" t="s">
        <v>475</v>
      </c>
      <c r="X41" s="787" t="s">
        <v>476</v>
      </c>
      <c r="Y41" s="787" t="s">
        <v>477</v>
      </c>
      <c r="Z41" s="787" t="s">
        <v>478</v>
      </c>
      <c r="AA41" s="787" t="s">
        <v>479</v>
      </c>
      <c r="AB41" s="787" t="s">
        <v>549</v>
      </c>
      <c r="AC41" s="787" t="s">
        <v>550</v>
      </c>
      <c r="AD41" s="787" t="s">
        <v>551</v>
      </c>
      <c r="AE41" s="787" t="s">
        <v>552</v>
      </c>
      <c r="AF41" s="954">
        <v>2018</v>
      </c>
      <c r="AG41" s="787" t="s">
        <v>597</v>
      </c>
      <c r="AH41" s="787" t="s">
        <v>598</v>
      </c>
      <c r="AI41" s="787" t="s">
        <v>599</v>
      </c>
      <c r="AJ41" s="787" t="s">
        <v>600</v>
      </c>
      <c r="AK41" s="800">
        <v>2019</v>
      </c>
      <c r="AL41" s="787" t="s">
        <v>605</v>
      </c>
      <c r="AM41" s="787" t="s">
        <v>606</v>
      </c>
      <c r="AN41" s="787" t="s">
        <v>607</v>
      </c>
      <c r="AO41" s="787" t="s">
        <v>608</v>
      </c>
      <c r="AP41" s="979">
        <v>2020</v>
      </c>
      <c r="AQ41" s="1000" t="s">
        <v>649</v>
      </c>
      <c r="AR41" s="1000" t="s">
        <v>650</v>
      </c>
      <c r="AS41" s="1000" t="s">
        <v>651</v>
      </c>
      <c r="AT41" s="1000" t="s">
        <v>652</v>
      </c>
      <c r="AU41" s="979">
        <v>2021</v>
      </c>
      <c r="AV41" s="979" t="s">
        <v>667</v>
      </c>
      <c r="AW41" s="979" t="s">
        <v>668</v>
      </c>
      <c r="AX41" s="979" t="s">
        <v>669</v>
      </c>
      <c r="AY41" s="979" t="s">
        <v>670</v>
      </c>
      <c r="AZ41" s="979">
        <v>2022</v>
      </c>
      <c r="BA41" s="979">
        <v>2023</v>
      </c>
      <c r="BB41" s="979">
        <v>2024</v>
      </c>
      <c r="BC41" s="979" t="s">
        <v>596</v>
      </c>
      <c r="BD41" s="979" t="s">
        <v>688</v>
      </c>
      <c r="BE41" s="979" t="s">
        <v>689</v>
      </c>
      <c r="BF41" s="979" t="s">
        <v>691</v>
      </c>
      <c r="BG41" s="979" t="s">
        <v>692</v>
      </c>
      <c r="BH41" s="979" t="s">
        <v>693</v>
      </c>
    </row>
    <row r="42" spans="2:60" s="783" customFormat="1" ht="14.25">
      <c r="B42" s="750" t="s">
        <v>657</v>
      </c>
      <c r="C42" s="784">
        <v>10753</v>
      </c>
      <c r="D42" s="784">
        <v>11949</v>
      </c>
      <c r="E42" s="784">
        <v>13184</v>
      </c>
      <c r="F42" s="784">
        <v>14275</v>
      </c>
      <c r="G42" s="784">
        <v>15929</v>
      </c>
      <c r="H42" s="784">
        <v>17095</v>
      </c>
      <c r="I42" s="784">
        <v>18733</v>
      </c>
      <c r="J42" s="784">
        <v>20189</v>
      </c>
      <c r="K42" s="784">
        <v>21620</v>
      </c>
      <c r="L42" s="784">
        <v>23123</v>
      </c>
      <c r="M42" s="784">
        <v>24242</v>
      </c>
      <c r="N42" s="784">
        <v>25189</v>
      </c>
      <c r="O42" s="784">
        <v>26149</v>
      </c>
      <c r="P42" s="784">
        <v>26942</v>
      </c>
      <c r="Q42" s="784">
        <v>27732</v>
      </c>
      <c r="R42" s="784">
        <v>28309</v>
      </c>
      <c r="S42" s="784">
        <v>28510</v>
      </c>
      <c r="T42" s="784">
        <v>28651</v>
      </c>
      <c r="U42" s="784">
        <v>27673</v>
      </c>
      <c r="V42" s="784">
        <v>27523</v>
      </c>
      <c r="W42" s="784">
        <v>27308</v>
      </c>
      <c r="X42" s="784">
        <v>26992</v>
      </c>
      <c r="Y42" s="784">
        <v>26461</v>
      </c>
      <c r="Z42" s="784">
        <v>25948</v>
      </c>
      <c r="AA42" s="784">
        <v>25358</v>
      </c>
      <c r="AB42" s="783">
        <v>24690</v>
      </c>
      <c r="AC42" s="783">
        <v>24241</v>
      </c>
      <c r="AD42" s="783">
        <v>23584</v>
      </c>
      <c r="AE42" s="783">
        <v>22967</v>
      </c>
      <c r="AF42" s="784">
        <f>AE42</f>
        <v>22967</v>
      </c>
      <c r="AG42" s="783">
        <v>22029</v>
      </c>
      <c r="AH42" s="783">
        <v>20969</v>
      </c>
      <c r="AI42" s="783">
        <v>19825</v>
      </c>
      <c r="AJ42" s="783">
        <v>18716</v>
      </c>
      <c r="AK42" s="784">
        <f>AJ42</f>
        <v>18716</v>
      </c>
      <c r="AL42" s="980">
        <v>16841</v>
      </c>
      <c r="AM42" s="980">
        <v>16035</v>
      </c>
      <c r="AN42" s="783">
        <v>15432</v>
      </c>
      <c r="AO42" s="783">
        <v>14976</v>
      </c>
      <c r="AP42" s="784">
        <f>AO42</f>
        <v>14976</v>
      </c>
      <c r="AQ42" s="783">
        <v>14803</v>
      </c>
      <c r="AR42" s="783">
        <v>14927</v>
      </c>
      <c r="AS42" s="783">
        <v>15153</v>
      </c>
      <c r="AT42" s="980">
        <v>11693</v>
      </c>
      <c r="AU42" s="784">
        <f>AT42</f>
        <v>11693</v>
      </c>
      <c r="AV42" s="784">
        <v>11753</v>
      </c>
      <c r="AW42" s="783">
        <v>12056</v>
      </c>
      <c r="AX42" s="783">
        <v>11868</v>
      </c>
      <c r="AY42" s="783">
        <v>12689</v>
      </c>
      <c r="AZ42" s="783">
        <f>AY42</f>
        <v>12689</v>
      </c>
      <c r="BA42" s="783">
        <v>12384</v>
      </c>
      <c r="BB42" s="783">
        <f t="shared" ref="BB42:BH42" si="49">BA42+BB43</f>
        <v>12251.145069368871</v>
      </c>
      <c r="BC42" s="783">
        <f t="shared" si="49"/>
        <v>11642.313902882488</v>
      </c>
      <c r="BD42" s="783">
        <f t="shared" si="49"/>
        <v>10455.625902882488</v>
      </c>
      <c r="BE42" s="783">
        <f t="shared" si="49"/>
        <v>8075.5219028824886</v>
      </c>
      <c r="BF42" s="783">
        <f t="shared" si="49"/>
        <v>4679.5219028824886</v>
      </c>
      <c r="BG42" s="783">
        <f t="shared" si="49"/>
        <v>1355.7719028824881</v>
      </c>
      <c r="BH42" s="783">
        <f t="shared" si="49"/>
        <v>-1502.7280971175114</v>
      </c>
    </row>
    <row r="43" spans="2:60" s="783" customFormat="1" ht="14.25">
      <c r="B43" s="783" t="s">
        <v>594</v>
      </c>
      <c r="D43" s="785">
        <f t="shared" ref="D43:T43" si="50">D42-C42</f>
        <v>1196</v>
      </c>
      <c r="E43" s="785">
        <f t="shared" si="50"/>
        <v>1235</v>
      </c>
      <c r="F43" s="785">
        <f t="shared" si="50"/>
        <v>1091</v>
      </c>
      <c r="G43" s="785">
        <f t="shared" si="50"/>
        <v>1654</v>
      </c>
      <c r="H43" s="785">
        <f t="shared" si="50"/>
        <v>1166</v>
      </c>
      <c r="I43" s="785">
        <f t="shared" si="50"/>
        <v>1638</v>
      </c>
      <c r="J43" s="785">
        <f t="shared" si="50"/>
        <v>1456</v>
      </c>
      <c r="K43" s="785">
        <f t="shared" si="50"/>
        <v>1431</v>
      </c>
      <c r="L43" s="785">
        <f t="shared" si="50"/>
        <v>1503</v>
      </c>
      <c r="M43" s="785">
        <f t="shared" si="50"/>
        <v>1119</v>
      </c>
      <c r="N43" s="785">
        <f t="shared" si="50"/>
        <v>947</v>
      </c>
      <c r="O43" s="785">
        <f t="shared" si="50"/>
        <v>960</v>
      </c>
      <c r="P43" s="785">
        <f t="shared" si="50"/>
        <v>793</v>
      </c>
      <c r="Q43" s="785">
        <f t="shared" si="50"/>
        <v>790</v>
      </c>
      <c r="R43" s="785">
        <f t="shared" si="50"/>
        <v>577</v>
      </c>
      <c r="S43" s="785">
        <f t="shared" si="50"/>
        <v>201</v>
      </c>
      <c r="T43" s="785">
        <f t="shared" si="50"/>
        <v>141</v>
      </c>
      <c r="U43" s="785">
        <f>U42-T42+1011</f>
        <v>33</v>
      </c>
      <c r="V43" s="785">
        <f t="shared" ref="V43:AA43" si="51">V42-U42</f>
        <v>-150</v>
      </c>
      <c r="W43" s="785">
        <f t="shared" si="51"/>
        <v>-215</v>
      </c>
      <c r="X43" s="785">
        <f t="shared" si="51"/>
        <v>-316</v>
      </c>
      <c r="Y43" s="785">
        <f t="shared" si="51"/>
        <v>-531</v>
      </c>
      <c r="Z43" s="785">
        <f t="shared" si="51"/>
        <v>-513</v>
      </c>
      <c r="AA43" s="785">
        <f t="shared" si="51"/>
        <v>-590</v>
      </c>
      <c r="AB43" s="785">
        <f t="shared" ref="AB43" si="52">AB42-AA42</f>
        <v>-668</v>
      </c>
      <c r="AC43" s="785">
        <f t="shared" ref="AC43:AS43" si="53">AC42-AB42</f>
        <v>-449</v>
      </c>
      <c r="AD43" s="785">
        <f t="shared" si="53"/>
        <v>-657</v>
      </c>
      <c r="AE43" s="785">
        <f t="shared" si="53"/>
        <v>-617</v>
      </c>
      <c r="AF43" s="785">
        <f>SUM(AB43:AE43)</f>
        <v>-2391</v>
      </c>
      <c r="AG43" s="785">
        <f t="shared" si="53"/>
        <v>-938</v>
      </c>
      <c r="AH43" s="785">
        <f t="shared" si="53"/>
        <v>-1060</v>
      </c>
      <c r="AI43" s="785">
        <f t="shared" si="53"/>
        <v>-1144</v>
      </c>
      <c r="AJ43" s="785">
        <f t="shared" si="53"/>
        <v>-1109</v>
      </c>
      <c r="AK43" s="785">
        <f>SUM(AG43:AJ43)</f>
        <v>-4251</v>
      </c>
      <c r="AL43" s="785">
        <f t="shared" si="53"/>
        <v>-1875</v>
      </c>
      <c r="AM43" s="785">
        <f t="shared" si="53"/>
        <v>-806</v>
      </c>
      <c r="AN43" s="785">
        <f t="shared" si="53"/>
        <v>-603</v>
      </c>
      <c r="AO43" s="785">
        <f t="shared" si="53"/>
        <v>-456</v>
      </c>
      <c r="AP43" s="785">
        <f>SUM(AL43:AO43)</f>
        <v>-3740</v>
      </c>
      <c r="AQ43" s="785">
        <f t="shared" si="53"/>
        <v>-173</v>
      </c>
      <c r="AR43" s="785">
        <f t="shared" si="53"/>
        <v>124</v>
      </c>
      <c r="AS43" s="785">
        <f t="shared" si="53"/>
        <v>226</v>
      </c>
      <c r="AT43" s="785">
        <f>AT42-AS42+3460</f>
        <v>0</v>
      </c>
      <c r="AU43" s="785">
        <f>SUM(AQ43:AT43)</f>
        <v>177</v>
      </c>
      <c r="AV43" s="785">
        <f t="shared" ref="AV43:BA43" si="54">AV42-AU42</f>
        <v>60</v>
      </c>
      <c r="AW43" s="785">
        <f t="shared" si="54"/>
        <v>303</v>
      </c>
      <c r="AX43" s="785">
        <f t="shared" si="54"/>
        <v>-188</v>
      </c>
      <c r="AY43" s="785">
        <f t="shared" si="54"/>
        <v>821</v>
      </c>
      <c r="AZ43" s="785">
        <f>SUM(AV43:AY43)</f>
        <v>996</v>
      </c>
      <c r="BA43" s="785">
        <f t="shared" si="54"/>
        <v>-305</v>
      </c>
      <c r="BB43" s="785">
        <f t="shared" ref="BB43:BC43" si="55">BB44*BB45</f>
        <v>-132.85493063112966</v>
      </c>
      <c r="BC43" s="785">
        <f t="shared" si="55"/>
        <v>-608.83116648638259</v>
      </c>
      <c r="BD43" s="785">
        <f t="shared" ref="BD43:BE43" si="56">BD44*BD45</f>
        <v>-1186.6879999999996</v>
      </c>
      <c r="BE43" s="785">
        <f t="shared" si="56"/>
        <v>-2380.1039999999998</v>
      </c>
      <c r="BF43" s="785">
        <f t="shared" ref="BF43:BH43" si="57">BF44*BF45</f>
        <v>-3396</v>
      </c>
      <c r="BG43" s="785">
        <f t="shared" si="57"/>
        <v>-3323.7500000000005</v>
      </c>
      <c r="BH43" s="785">
        <f t="shared" si="57"/>
        <v>-2858.4999999999995</v>
      </c>
    </row>
    <row r="44" spans="2:60" s="783" customFormat="1" ht="14.25">
      <c r="B44" s="783" t="s">
        <v>641</v>
      </c>
      <c r="D44" s="783">
        <v>5</v>
      </c>
      <c r="E44" s="783">
        <v>5</v>
      </c>
      <c r="F44" s="783">
        <v>12</v>
      </c>
      <c r="G44" s="783">
        <v>23</v>
      </c>
      <c r="H44" s="783">
        <v>1</v>
      </c>
      <c r="I44" s="783">
        <v>16</v>
      </c>
      <c r="J44" s="783">
        <v>23</v>
      </c>
      <c r="K44" s="783">
        <v>25</v>
      </c>
      <c r="L44" s="783">
        <v>18</v>
      </c>
      <c r="M44" s="783">
        <v>30</v>
      </c>
      <c r="N44" s="783">
        <v>31</v>
      </c>
      <c r="O44" s="783">
        <v>35</v>
      </c>
      <c r="P44" s="783">
        <v>30</v>
      </c>
      <c r="Q44" s="783">
        <v>34</v>
      </c>
      <c r="R44" s="783">
        <v>37</v>
      </c>
      <c r="S44" s="783">
        <f>Commercial!BP78</f>
        <v>34</v>
      </c>
      <c r="T44" s="783">
        <f>Commercial!BR78</f>
        <v>30</v>
      </c>
      <c r="U44" s="783">
        <f>Commercial!BS78</f>
        <v>38</v>
      </c>
      <c r="V44" s="783">
        <f>Commercial!BT78</f>
        <v>36</v>
      </c>
      <c r="W44" s="783">
        <f>Commercial!BU78</f>
        <v>33</v>
      </c>
      <c r="X44" s="783">
        <f>Commercial!BW78</f>
        <v>32</v>
      </c>
      <c r="Y44" s="783">
        <f>Commercial!BX78</f>
        <v>33</v>
      </c>
      <c r="Z44" s="783">
        <f>Commercial!BY78</f>
        <v>35</v>
      </c>
      <c r="AA44" s="783">
        <f>Commercial!BZ78</f>
        <v>36</v>
      </c>
      <c r="AB44" s="783">
        <f>Commercial!CB78</f>
        <v>34</v>
      </c>
      <c r="AC44" s="783">
        <f>Commercial!CC78</f>
        <v>38</v>
      </c>
      <c r="AD44" s="783">
        <f>Commercial!CD78</f>
        <v>34</v>
      </c>
      <c r="AE44" s="783">
        <f>Commercial!CE78</f>
        <v>39</v>
      </c>
      <c r="AF44" s="783">
        <f>Commercial!CF78</f>
        <v>145</v>
      </c>
      <c r="AG44" s="783">
        <f>Commercial!CG78</f>
        <v>36</v>
      </c>
      <c r="AH44" s="783">
        <f>Commercial!CH78</f>
        <v>42</v>
      </c>
      <c r="AI44" s="980">
        <v>40</v>
      </c>
      <c r="AJ44" s="980">
        <v>40</v>
      </c>
      <c r="AK44" s="783">
        <f>Commercial!CK78</f>
        <v>158</v>
      </c>
      <c r="AL44" s="783">
        <f>G83</f>
        <v>34.799999999999997</v>
      </c>
      <c r="AM44" s="980">
        <f>H83</f>
        <v>25</v>
      </c>
      <c r="AN44" s="980">
        <f t="shared" ref="AN44:AO44" si="58">I83</f>
        <v>25</v>
      </c>
      <c r="AO44" s="980">
        <f t="shared" si="58"/>
        <v>20.3</v>
      </c>
      <c r="AP44" s="783">
        <f>SUM(AL44:AO44)</f>
        <v>105.1</v>
      </c>
      <c r="AQ44" s="996">
        <f>K83</f>
        <v>17.399999999999999</v>
      </c>
      <c r="AR44" s="996">
        <f t="shared" ref="AR44:AT44" si="59">L83</f>
        <v>14.5</v>
      </c>
      <c r="AS44" s="996">
        <f t="shared" si="59"/>
        <v>5.8</v>
      </c>
      <c r="AT44" s="996">
        <f t="shared" si="59"/>
        <v>2.9</v>
      </c>
      <c r="AU44" s="783">
        <f>SUM(AQ44:AT44)</f>
        <v>40.599999999999994</v>
      </c>
      <c r="AV44" s="996">
        <f>O83</f>
        <v>4.3499999999999996</v>
      </c>
      <c r="AW44" s="996">
        <f t="shared" ref="AW44:AY44" si="60">P83</f>
        <v>4.3499999999999996</v>
      </c>
      <c r="AX44" s="996">
        <f t="shared" si="60"/>
        <v>5.8</v>
      </c>
      <c r="AY44" s="996">
        <f t="shared" si="60"/>
        <v>5.8</v>
      </c>
      <c r="AZ44" s="783">
        <f>SUM(O83:R83)</f>
        <v>20.3</v>
      </c>
      <c r="BA44" s="783">
        <f>SUM(S83:V83)</f>
        <v>30.449999999999996</v>
      </c>
      <c r="BB44" s="783">
        <f>SUM(W83:Z83)</f>
        <v>29</v>
      </c>
      <c r="BC44" s="783">
        <f>SUM(AA83:AD83)</f>
        <v>58</v>
      </c>
      <c r="BD44" s="980">
        <f>Commercial!DT78</f>
        <v>98</v>
      </c>
      <c r="BE44" s="980">
        <f>Commercial!DY78</f>
        <v>127</v>
      </c>
      <c r="BF44" s="980">
        <f>Commercial!DZ78</f>
        <v>142</v>
      </c>
      <c r="BG44" s="980">
        <f>Commercial!EA78</f>
        <v>165</v>
      </c>
      <c r="BH44" s="980">
        <f>Commercial!EB78</f>
        <v>175</v>
      </c>
    </row>
    <row r="45" spans="2:60" s="783" customFormat="1" ht="14.25">
      <c r="B45" s="783" t="s">
        <v>564</v>
      </c>
      <c r="D45" s="786">
        <f t="shared" ref="D45:T45" si="61">D43/D44</f>
        <v>239.2</v>
      </c>
      <c r="E45" s="786">
        <f t="shared" si="61"/>
        <v>247</v>
      </c>
      <c r="F45" s="786">
        <f t="shared" si="61"/>
        <v>90.916666666666671</v>
      </c>
      <c r="G45" s="786">
        <f t="shared" si="61"/>
        <v>71.913043478260875</v>
      </c>
      <c r="H45" s="786">
        <f t="shared" si="61"/>
        <v>1166</v>
      </c>
      <c r="I45" s="786">
        <f t="shared" si="61"/>
        <v>102.375</v>
      </c>
      <c r="J45" s="786">
        <f t="shared" si="61"/>
        <v>63.304347826086953</v>
      </c>
      <c r="K45" s="786">
        <f t="shared" si="61"/>
        <v>57.24</v>
      </c>
      <c r="L45" s="786">
        <f t="shared" si="61"/>
        <v>83.5</v>
      </c>
      <c r="M45" s="786">
        <f t="shared" si="61"/>
        <v>37.299999999999997</v>
      </c>
      <c r="N45" s="786">
        <f t="shared" si="61"/>
        <v>30.548387096774192</v>
      </c>
      <c r="O45" s="786">
        <f t="shared" si="61"/>
        <v>27.428571428571427</v>
      </c>
      <c r="P45" s="786">
        <f t="shared" si="61"/>
        <v>26.433333333333334</v>
      </c>
      <c r="Q45" s="786">
        <f t="shared" si="61"/>
        <v>23.235294117647058</v>
      </c>
      <c r="R45" s="786">
        <f t="shared" si="61"/>
        <v>15.594594594594595</v>
      </c>
      <c r="S45" s="786">
        <f t="shared" si="61"/>
        <v>5.9117647058823533</v>
      </c>
      <c r="T45" s="786">
        <f t="shared" si="61"/>
        <v>4.7</v>
      </c>
      <c r="U45" s="786">
        <f>U43/U44</f>
        <v>0.86842105263157898</v>
      </c>
      <c r="V45" s="786">
        <f>V43/V44</f>
        <v>-4.166666666666667</v>
      </c>
      <c r="W45" s="786">
        <f>W43/W44</f>
        <v>-6.5151515151515156</v>
      </c>
      <c r="X45" s="786">
        <f>X43/X44</f>
        <v>-9.875</v>
      </c>
      <c r="Y45" s="786">
        <f t="shared" ref="Y45:Z45" si="62">Y43/Y44</f>
        <v>-16.09090909090909</v>
      </c>
      <c r="Z45" s="786">
        <f t="shared" si="62"/>
        <v>-14.657142857142857</v>
      </c>
      <c r="AA45" s="786">
        <f t="shared" ref="AA45:AJ45" si="63">AA43/AA44</f>
        <v>-16.388888888888889</v>
      </c>
      <c r="AB45" s="786">
        <f t="shared" si="63"/>
        <v>-19.647058823529413</v>
      </c>
      <c r="AC45" s="786">
        <f t="shared" si="63"/>
        <v>-11.815789473684211</v>
      </c>
      <c r="AD45" s="786">
        <f t="shared" si="63"/>
        <v>-19.323529411764707</v>
      </c>
      <c r="AE45" s="786">
        <f t="shared" si="63"/>
        <v>-15.820512820512821</v>
      </c>
      <c r="AF45" s="786">
        <f t="shared" si="63"/>
        <v>-16.489655172413794</v>
      </c>
      <c r="AG45" s="786">
        <f t="shared" si="63"/>
        <v>-26.055555555555557</v>
      </c>
      <c r="AH45" s="786">
        <f t="shared" si="63"/>
        <v>-25.238095238095237</v>
      </c>
      <c r="AI45" s="786">
        <f t="shared" si="63"/>
        <v>-28.6</v>
      </c>
      <c r="AJ45" s="786">
        <f t="shared" si="63"/>
        <v>-27.725000000000001</v>
      </c>
      <c r="AK45" s="786">
        <f t="shared" ref="AK45" si="64">AK43/AK44</f>
        <v>-26.905063291139239</v>
      </c>
      <c r="AL45" s="984">
        <f>AL43/(AL44+100)</f>
        <v>-13.909495548961424</v>
      </c>
      <c r="AM45" s="786">
        <f t="shared" ref="AM45:AQ45" si="65">AM43/AM44</f>
        <v>-32.24</v>
      </c>
      <c r="AN45" s="786">
        <f t="shared" si="65"/>
        <v>-24.12</v>
      </c>
      <c r="AO45" s="786">
        <f t="shared" si="65"/>
        <v>-22.463054187192117</v>
      </c>
      <c r="AP45" s="786">
        <f>AP43/(AP44+100)</f>
        <v>-18.235007313505609</v>
      </c>
      <c r="AQ45" s="786">
        <f t="shared" si="65"/>
        <v>-9.9425287356321839</v>
      </c>
      <c r="AR45" s="786">
        <f t="shared" ref="AR45:BA45" si="66">AR43/AR44</f>
        <v>8.5517241379310338</v>
      </c>
      <c r="AS45" s="786">
        <f t="shared" si="66"/>
        <v>38.96551724137931</v>
      </c>
      <c r="AT45" s="786">
        <f t="shared" si="66"/>
        <v>0</v>
      </c>
      <c r="AU45" s="786">
        <f t="shared" si="66"/>
        <v>4.3596059113300498</v>
      </c>
      <c r="AV45" s="786">
        <f t="shared" si="66"/>
        <v>13.793103448275863</v>
      </c>
      <c r="AW45" s="786">
        <f t="shared" si="66"/>
        <v>69.65517241379311</v>
      </c>
      <c r="AX45" s="786">
        <f t="shared" si="66"/>
        <v>-32.413793103448278</v>
      </c>
      <c r="AY45" s="786">
        <f t="shared" si="66"/>
        <v>141.55172413793105</v>
      </c>
      <c r="AZ45" s="786">
        <f t="shared" si="66"/>
        <v>49.064039408866996</v>
      </c>
      <c r="BA45" s="786">
        <f t="shared" si="66"/>
        <v>-10.016420361247949</v>
      </c>
      <c r="BB45" s="998">
        <f>-((BB46*'BCA margin'!DJ31)-('BCA margin'!DJ31*'BCA margin'!DJ33))</f>
        <v>-4.5812045045217129</v>
      </c>
      <c r="BC45" s="998">
        <f>-((BC46*'BCA margin'!DO31)-('BCA margin'!DO31*'BCA margin'!DO33))</f>
        <v>-10.497089077351424</v>
      </c>
      <c r="BD45" s="998">
        <f>-((BD46*'BCA margin'!DT31)-('BCA margin'!DT31*'BCA margin'!DT33))</f>
        <v>-12.109061224489793</v>
      </c>
      <c r="BE45" s="998">
        <f>-((BE46*'BCA margin'!DY31)-('BCA margin'!DY31*'BCA margin'!DY33))</f>
        <v>-18.740976377952755</v>
      </c>
      <c r="BF45" s="998">
        <f>-((BF46*'BCA margin'!DZ31)-('BCA margin'!DZ31*'BCA margin'!DZ33))</f>
        <v>-23.91549295774648</v>
      </c>
      <c r="BG45" s="998">
        <f>-((BG46*'BCA margin'!EA31)-('BCA margin'!EA31*'BCA margin'!EA33))</f>
        <v>-20.143939393939398</v>
      </c>
      <c r="BH45" s="998">
        <f>-((BH46*'BCA margin'!EB31)-('BCA margin'!EB31*'BCA margin'!EB33))</f>
        <v>-16.334285714285713</v>
      </c>
    </row>
    <row r="46" spans="2:60" s="783" customFormat="1" ht="14.25">
      <c r="D46" s="266">
        <f>-D45/Commercial!AX80+0.02</f>
        <v>-2.3483168316831682</v>
      </c>
      <c r="E46" s="266">
        <f>-E45/Commercial!AY80+0.02</f>
        <v>-2.4255445544554455</v>
      </c>
      <c r="F46" s="266">
        <f>-F45/Commercial!AZ80+0.02</f>
        <v>-0.88016501650165024</v>
      </c>
      <c r="G46" s="266">
        <f>-G45/Commercial!BA80+0.02</f>
        <v>-0.69201033146792945</v>
      </c>
      <c r="H46" s="266">
        <f>-H45/Commercial!BC80+0.02</f>
        <v>-11.524554455445545</v>
      </c>
      <c r="I46" s="266">
        <f>-I45/Commercial!BD80+0.02</f>
        <v>-0.9936138613861385</v>
      </c>
      <c r="J46" s="266">
        <f>-J45/Commercial!BE80+0.02</f>
        <v>-0.60677572105036581</v>
      </c>
      <c r="K46" s="266">
        <f>-K45/Commercial!BF80+0.02</f>
        <v>-0.54673267326732677</v>
      </c>
      <c r="L46" s="266">
        <f>-L45/Commercial!BH80+0.02</f>
        <v>-0.83000254491779901</v>
      </c>
      <c r="M46" s="266">
        <f>-M45/Commercial!BI80+0.02</f>
        <v>-0.35583568020716294</v>
      </c>
      <c r="N46" s="266">
        <f>-N45/Commercial!BJ80+0.02</f>
        <v>-0.2790641219373165</v>
      </c>
      <c r="O46" s="266">
        <f>-O45/Commercial!BK80+0.02</f>
        <v>-0.24742436904562928</v>
      </c>
      <c r="P46" s="266">
        <f>-P45/Commercial!BM80+0.02</f>
        <v>-0.2171127855519675</v>
      </c>
      <c r="Q46" s="266">
        <f>-Q45/Commercial!BN80+0.02</f>
        <v>-0.18394465097067325</v>
      </c>
      <c r="R46" s="266">
        <f>-R45/Commercial!BO80+0.02</f>
        <v>-0.11221239221940384</v>
      </c>
      <c r="S46" s="266">
        <f>-S45/Commercial!BP80+0.02</f>
        <v>-2.9495441986909569E-2</v>
      </c>
      <c r="T46" s="266">
        <f>-T45/Commercial!BQ80+0.02</f>
        <v>-2.0560832618964065E-2</v>
      </c>
      <c r="U46" s="266">
        <f>-U45/Commercial!BS80+0.02</f>
        <v>1.2860395858596895E-2</v>
      </c>
      <c r="V46" s="266">
        <f>-V45/Commercial!BT80+0.02</f>
        <v>5.3850913805418177E-2</v>
      </c>
      <c r="W46" s="266">
        <f>-W45/Commercial!BU80+0.02</f>
        <v>7.3293078468480863E-2</v>
      </c>
      <c r="X46" s="266">
        <f>-X45/Commercial!BW80+0.02</f>
        <v>9.8507366276614258E-2</v>
      </c>
      <c r="Y46" s="266">
        <f>-Y45/Commercial!BX80+0.02</f>
        <v>0.1476350263202173</v>
      </c>
      <c r="Z46" s="266">
        <f>-Z45/Commercial!BY80+0.04</f>
        <v>0.1538475707524925</v>
      </c>
      <c r="AA46" s="266">
        <f>-AA45/Commercial!BZ80+0.04</f>
        <v>0.16509143335700888</v>
      </c>
      <c r="AB46" s="266">
        <f>(-AB45/Commercial!CB80)+0.04</f>
        <v>0.17913318774336592</v>
      </c>
      <c r="AC46" s="266">
        <f>(-AC45/Commercial!CC80)+0.08</f>
        <v>0.16496425918829802</v>
      </c>
      <c r="AD46" s="266">
        <f>(-AD45/Commercial!CD80)+0.08</f>
        <v>0.22262764848905869</v>
      </c>
      <c r="AE46" s="266">
        <f>(-AE45/Commercial!CE80)+0.09</f>
        <v>0.20256669394174082</v>
      </c>
      <c r="AF46" s="266">
        <f>(-AF45/Commercial!CF80)+0.09</f>
        <v>0.20852285133957837</v>
      </c>
      <c r="AG46" s="266">
        <f>(-AG45/Commercial!CG80)+0.12</f>
        <v>0.30353149941537</v>
      </c>
      <c r="AH46" s="266">
        <f>(-AH45/Commercial!CH80)+0.12</f>
        <v>0.29512038431919541</v>
      </c>
      <c r="AI46" s="266">
        <f>(-AI45/Commercial!CI80)+0.12</f>
        <v>0.32279094430454086</v>
      </c>
      <c r="AJ46" s="266">
        <f>(-AJ45/Commercial!CJ80)+0.12</f>
        <v>0.31883255785381986</v>
      </c>
      <c r="AK46" s="266">
        <f>(-AK45/Commercial!CK80)+0.12</f>
        <v>0.30999147480855505</v>
      </c>
      <c r="AL46" s="266">
        <f>(-AL45/Commercial!CL80)+0.08</f>
        <v>0.17788691045952171</v>
      </c>
      <c r="AM46" s="266">
        <f>(-AM45/Commercial!CM80)+0.08</f>
        <v>0.30566037510698824</v>
      </c>
      <c r="AN46" s="266">
        <f>(-AN45/Commercial!CN80)+0.08</f>
        <v>0.24666077260182234</v>
      </c>
      <c r="AO46" s="266">
        <f>(-AO45/Commercial!CO80)+0.08</f>
        <v>0.24190719590783177</v>
      </c>
      <c r="AP46" s="266">
        <f>(-AP45/Commercial!CP80)+0.08</f>
        <v>0.20788359760742281</v>
      </c>
      <c r="AQ46" s="266">
        <f>(-AQ45/Commercial!CQ80)</f>
        <v>6.8537787189574539E-2</v>
      </c>
      <c r="AR46" s="266">
        <f>(-AR45/Commercial!CR80)</f>
        <v>-6.2502559076551861E-2</v>
      </c>
      <c r="AS46" s="266">
        <f>(-AS45/Commercial!CS80)</f>
        <v>-0.27326835913967479</v>
      </c>
      <c r="AT46" s="266">
        <f>(-AT45/Commercial!CT80)</f>
        <v>0</v>
      </c>
      <c r="AU46" s="266">
        <f>(-AU45/Commercial!CU80)+'BCA margin'!CU33</f>
        <v>-3.1591403276278719E-2</v>
      </c>
      <c r="AV46" s="266">
        <f>(-AV45/Commercial!CV80)</f>
        <v>-9.3681515294880516E-2</v>
      </c>
      <c r="AW46" s="266">
        <f>(-AW45/Commercial!CW80)</f>
        <v>-0.47309165223914662</v>
      </c>
      <c r="AX46" s="266">
        <f>(-AX45/Commercial!CX80)</f>
        <v>0.22496045943768816</v>
      </c>
      <c r="AY46" s="266">
        <f>(-AY45/Commercial!CY80)</f>
        <v>-1.0215086460682909</v>
      </c>
      <c r="AZ46" s="266">
        <f>(-AZ45/Commercial!CZ80)+'BCA margin'!CZ33</f>
        <v>-0.35002618328839868</v>
      </c>
      <c r="BA46" s="266">
        <f>(-BA45/Commercial!DE80)</f>
        <v>6.7542569033684871E-2</v>
      </c>
      <c r="BB46" s="266">
        <v>0.05</v>
      </c>
      <c r="BC46" s="266">
        <v>0.1</v>
      </c>
      <c r="BD46" s="266">
        <v>0.15</v>
      </c>
      <c r="BE46" s="266">
        <v>0.2</v>
      </c>
      <c r="BF46" s="266">
        <v>0.25</v>
      </c>
      <c r="BG46" s="266">
        <v>0.27500000000000002</v>
      </c>
      <c r="BH46" s="266">
        <v>0.3</v>
      </c>
    </row>
    <row r="47" spans="2:60" s="783" customFormat="1" ht="14.25">
      <c r="AC47" s="922"/>
      <c r="AD47" s="923"/>
      <c r="AE47" s="923"/>
      <c r="AF47" s="923"/>
      <c r="AG47" s="923"/>
      <c r="AH47" s="923"/>
      <c r="AI47" s="923"/>
      <c r="AJ47" s="923"/>
      <c r="AK47" s="923"/>
      <c r="AL47" s="923"/>
      <c r="AM47" s="923"/>
      <c r="AN47" s="923"/>
      <c r="AO47" s="923"/>
      <c r="AP47" s="923"/>
      <c r="AQ47" s="923"/>
      <c r="AR47" s="923"/>
      <c r="AS47" s="923"/>
      <c r="AT47" s="923"/>
      <c r="AU47" s="923"/>
      <c r="AV47" s="923"/>
      <c r="AW47" s="923"/>
      <c r="AX47" s="923"/>
      <c r="AY47" s="923"/>
      <c r="AZ47" s="923"/>
      <c r="BA47" s="923"/>
      <c r="BB47" s="923"/>
      <c r="BC47" s="923"/>
    </row>
    <row r="48" spans="2:60" s="783" customFormat="1" ht="14.25">
      <c r="B48" s="783" t="s">
        <v>661</v>
      </c>
      <c r="AP48" s="976"/>
      <c r="AQ48" s="976"/>
      <c r="AR48" s="976"/>
      <c r="AS48" s="976"/>
      <c r="AT48" s="976"/>
    </row>
    <row r="49" spans="2:60" s="783" customFormat="1" ht="14.25">
      <c r="B49" s="783" t="s">
        <v>115</v>
      </c>
      <c r="AP49" s="976"/>
      <c r="AQ49" s="976"/>
      <c r="AR49" s="976"/>
      <c r="AS49" s="976"/>
      <c r="AT49" s="976"/>
      <c r="BA49" s="783">
        <f>Commercial!DE65</f>
        <v>0</v>
      </c>
      <c r="BB49" s="783">
        <f>Commercial!DJ65</f>
        <v>0</v>
      </c>
      <c r="BC49" s="783">
        <f>Commercial!DO65</f>
        <v>0</v>
      </c>
      <c r="BD49" s="783">
        <f>Commercial!DT65</f>
        <v>0</v>
      </c>
      <c r="BE49" s="783">
        <f>Commercial!DY65</f>
        <v>14</v>
      </c>
      <c r="BF49" s="783">
        <f>Commercial!DZ65</f>
        <v>28</v>
      </c>
      <c r="BG49" s="783">
        <f>Commercial!EA65</f>
        <v>42</v>
      </c>
      <c r="BH49" s="783">
        <f>Commercial!EB65</f>
        <v>45</v>
      </c>
    </row>
    <row r="50" spans="2:60" s="783" customFormat="1" ht="14.25">
      <c r="B50" s="783" t="s">
        <v>660</v>
      </c>
      <c r="AP50" s="976"/>
      <c r="AQ50" s="976"/>
      <c r="AR50" s="976"/>
      <c r="AS50" s="976"/>
      <c r="AT50" s="976"/>
      <c r="BA50" s="999">
        <f>Commercial!DE66</f>
        <v>186</v>
      </c>
      <c r="BB50" s="999">
        <f>Commercial!DJ66</f>
        <v>186</v>
      </c>
      <c r="BC50" s="999">
        <f>Commercial!DO66</f>
        <v>186</v>
      </c>
      <c r="BD50" s="999">
        <f>Commercial!DT66</f>
        <v>186</v>
      </c>
      <c r="BE50" s="999">
        <f>Commercial!DY66</f>
        <v>186</v>
      </c>
      <c r="BF50" s="999">
        <f>Commercial!DZ66</f>
        <v>188</v>
      </c>
      <c r="BG50" s="999">
        <f>Commercial!EA66</f>
        <v>190</v>
      </c>
      <c r="BH50" s="999">
        <f>Commercial!EB66</f>
        <v>192</v>
      </c>
    </row>
    <row r="51" spans="2:60" ht="14.25">
      <c r="B51" s="783" t="s">
        <v>658</v>
      </c>
      <c r="BA51" s="12">
        <v>0</v>
      </c>
      <c r="BB51" s="12">
        <f>'BCA margin'!DJ45</f>
        <v>0.05</v>
      </c>
      <c r="BC51" s="12">
        <f>'BCA margin'!DO45</f>
        <v>0</v>
      </c>
      <c r="BD51" s="12">
        <f>'BCA margin'!DT45</f>
        <v>5.0000000000000001E-3</v>
      </c>
      <c r="BE51" s="12">
        <f>'BCA margin'!DY45</f>
        <v>0.01</v>
      </c>
      <c r="BF51" s="12">
        <f>'BCA margin'!DZ45</f>
        <v>0.03</v>
      </c>
      <c r="BG51" s="12">
        <f>'BCA margin'!EA45</f>
        <v>0.06</v>
      </c>
      <c r="BH51" s="12">
        <f>'BCA margin'!EB45</f>
        <v>0.1</v>
      </c>
    </row>
    <row r="52" spans="2:60" ht="14.25">
      <c r="B52" s="783" t="s">
        <v>659</v>
      </c>
      <c r="BA52" s="12">
        <v>-0.1</v>
      </c>
      <c r="BB52" s="12">
        <v>-0.05</v>
      </c>
      <c r="BC52" s="12">
        <v>0.01</v>
      </c>
      <c r="BD52" s="12">
        <v>0.06</v>
      </c>
      <c r="BE52" s="12">
        <v>0.12</v>
      </c>
      <c r="BF52" s="12">
        <v>0.12</v>
      </c>
      <c r="BG52" s="12">
        <v>0.12</v>
      </c>
      <c r="BH52" s="12">
        <v>0.12</v>
      </c>
    </row>
    <row r="53" spans="2:60" ht="14.25">
      <c r="B53" s="783" t="s">
        <v>581</v>
      </c>
      <c r="BA53">
        <f t="shared" ref="BA53:BF53" si="67">(BA49*BA50*BA52)-(BA49*BA50*BA51)</f>
        <v>0</v>
      </c>
      <c r="BB53">
        <f t="shared" si="67"/>
        <v>0</v>
      </c>
      <c r="BC53">
        <f t="shared" si="67"/>
        <v>0</v>
      </c>
      <c r="BD53">
        <f t="shared" si="67"/>
        <v>0</v>
      </c>
      <c r="BE53">
        <f t="shared" si="67"/>
        <v>286.43999999999994</v>
      </c>
      <c r="BF53">
        <f t="shared" si="67"/>
        <v>473.76</v>
      </c>
      <c r="BG53">
        <f t="shared" ref="BG53:BH53" si="68">(BG49*BG50*BG52)-(BG49*BG50*BG51)</f>
        <v>478.79999999999995</v>
      </c>
      <c r="BH53">
        <f t="shared" si="68"/>
        <v>172.79999999999995</v>
      </c>
    </row>
    <row r="59" spans="2:60">
      <c r="N59">
        <f t="shared" ref="N59:AD59" si="69">N66-N65</f>
        <v>26</v>
      </c>
      <c r="O59">
        <f t="shared" si="69"/>
        <v>19.299999999999997</v>
      </c>
      <c r="P59">
        <f t="shared" si="69"/>
        <v>33.400000000000006</v>
      </c>
      <c r="Q59">
        <f t="shared" si="69"/>
        <v>15.5</v>
      </c>
      <c r="R59">
        <f t="shared" si="69"/>
        <v>23.75</v>
      </c>
      <c r="S59">
        <f t="shared" si="69"/>
        <v>41.125</v>
      </c>
      <c r="T59">
        <f t="shared" si="69"/>
        <v>31.125</v>
      </c>
      <c r="U59">
        <f t="shared" si="69"/>
        <v>26.875</v>
      </c>
      <c r="V59">
        <f t="shared" si="69"/>
        <v>9.375</v>
      </c>
      <c r="W59">
        <f t="shared" si="69"/>
        <v>29.625</v>
      </c>
      <c r="X59">
        <f t="shared" si="69"/>
        <v>21.125</v>
      </c>
      <c r="Y59">
        <f t="shared" si="69"/>
        <v>40.25</v>
      </c>
      <c r="Z59">
        <f t="shared" si="69"/>
        <v>7.25</v>
      </c>
      <c r="AA59">
        <f t="shared" si="69"/>
        <v>24.5</v>
      </c>
      <c r="AB59">
        <f t="shared" si="69"/>
        <v>23.5</v>
      </c>
      <c r="AC59">
        <f t="shared" si="69"/>
        <v>18.25</v>
      </c>
      <c r="AD59">
        <f t="shared" si="69"/>
        <v>11.099999999999994</v>
      </c>
    </row>
    <row r="62" spans="2:60">
      <c r="B62" s="121" t="s">
        <v>644</v>
      </c>
      <c r="J62">
        <f>SUM(G66:J66)</f>
        <v>43</v>
      </c>
      <c r="N62">
        <f>SUM(K66:N66)</f>
        <v>263</v>
      </c>
      <c r="R62">
        <f>SUM(O66:R66)</f>
        <v>387</v>
      </c>
      <c r="V62">
        <f>SUM(S66:V66)</f>
        <v>396</v>
      </c>
      <c r="Z62">
        <f>SUM(W66:Z66)</f>
        <v>265</v>
      </c>
      <c r="AD62">
        <f>SUM(AA66:AD66)</f>
        <v>445.35</v>
      </c>
      <c r="BA62" s="74" t="s">
        <v>712</v>
      </c>
    </row>
    <row r="63" spans="2:60">
      <c r="N63">
        <f>SUM(K65:N65)/11.5</f>
        <v>13.869565217391305</v>
      </c>
      <c r="R63">
        <f>SUM(O65:R65)/11.5</f>
        <v>25.656521739130437</v>
      </c>
      <c r="V63">
        <f>SUM(S65:V65)/11.5</f>
        <v>25</v>
      </c>
      <c r="Z63" s="794">
        <f>SUM(W65:Z65)/11.5</f>
        <v>14.5</v>
      </c>
      <c r="AD63" s="794">
        <f>SUM(AA65:AD65)/11.5</f>
        <v>32</v>
      </c>
    </row>
    <row r="64" spans="2:60" s="74" customFormat="1">
      <c r="B64" s="74" t="s">
        <v>654</v>
      </c>
      <c r="C64" s="74" t="s">
        <v>597</v>
      </c>
      <c r="D64" s="74" t="s">
        <v>598</v>
      </c>
      <c r="E64" s="74" t="s">
        <v>599</v>
      </c>
      <c r="F64" s="74" t="s">
        <v>600</v>
      </c>
      <c r="G64" s="74" t="s">
        <v>605</v>
      </c>
      <c r="H64" s="74" t="s">
        <v>606</v>
      </c>
      <c r="I64" s="74" t="s">
        <v>607</v>
      </c>
      <c r="J64" s="74" t="s">
        <v>608</v>
      </c>
      <c r="K64" s="74" t="s">
        <v>649</v>
      </c>
      <c r="L64" s="74" t="s">
        <v>650</v>
      </c>
      <c r="M64" s="74" t="s">
        <v>651</v>
      </c>
      <c r="N64" s="74" t="s">
        <v>652</v>
      </c>
      <c r="O64" s="74" t="s">
        <v>667</v>
      </c>
      <c r="P64" s="74" t="s">
        <v>668</v>
      </c>
      <c r="Q64" s="74" t="s">
        <v>669</v>
      </c>
      <c r="R64" s="74" t="s">
        <v>670</v>
      </c>
      <c r="S64" s="74" t="s">
        <v>674</v>
      </c>
      <c r="T64" s="74" t="s">
        <v>675</v>
      </c>
      <c r="U64" s="74" t="s">
        <v>676</v>
      </c>
      <c r="V64" s="74" t="s">
        <v>677</v>
      </c>
      <c r="W64" s="74" t="s">
        <v>684</v>
      </c>
      <c r="X64" s="74" t="s">
        <v>685</v>
      </c>
      <c r="Y64" s="74" t="s">
        <v>686</v>
      </c>
      <c r="Z64" s="74" t="s">
        <v>687</v>
      </c>
      <c r="AA64" s="74" t="s">
        <v>695</v>
      </c>
      <c r="AB64" s="74" t="s">
        <v>679</v>
      </c>
      <c r="AC64" s="74" t="s">
        <v>680</v>
      </c>
      <c r="AD64" s="74" t="s">
        <v>681</v>
      </c>
      <c r="AE64" s="74" t="s">
        <v>722</v>
      </c>
      <c r="AF64" s="74" t="s">
        <v>719</v>
      </c>
      <c r="AG64" s="74" t="s">
        <v>720</v>
      </c>
      <c r="AH64" s="74" t="s">
        <v>721</v>
      </c>
      <c r="AN64" s="1063"/>
      <c r="AO64" s="1063" t="s">
        <v>684</v>
      </c>
      <c r="AP64" s="1063" t="s">
        <v>685</v>
      </c>
      <c r="AQ64" s="1063" t="s">
        <v>665</v>
      </c>
      <c r="AR64" s="1063" t="s">
        <v>666</v>
      </c>
      <c r="AS64" s="1063" t="s">
        <v>678</v>
      </c>
      <c r="AT64" s="1063" t="s">
        <v>679</v>
      </c>
      <c r="AU64" s="1063" t="s">
        <v>680</v>
      </c>
      <c r="AV64" s="1063" t="s">
        <v>681</v>
      </c>
      <c r="AW64" s="1063" t="s">
        <v>694</v>
      </c>
      <c r="AX64" s="1063" t="s">
        <v>714</v>
      </c>
    </row>
    <row r="65" spans="2:50">
      <c r="B65" s="121" t="s">
        <v>632</v>
      </c>
      <c r="C65">
        <f>(52)*2.9</f>
        <v>150.79999999999998</v>
      </c>
      <c r="D65">
        <f>(48)*2.9</f>
        <v>139.19999999999999</v>
      </c>
      <c r="E65">
        <f>(45)*2.9</f>
        <v>130.5</v>
      </c>
      <c r="F65">
        <f>(42)*2.9</f>
        <v>121.8</v>
      </c>
      <c r="G65">
        <f>(12)*2.9+5</f>
        <v>39.799999999999997</v>
      </c>
      <c r="H65">
        <v>4</v>
      </c>
      <c r="I65">
        <f>(5)*2.9</f>
        <v>14.5</v>
      </c>
      <c r="J65">
        <f>(5)*2.9</f>
        <v>14.5</v>
      </c>
      <c r="K65">
        <f>(6)*2.9</f>
        <v>17.399999999999999</v>
      </c>
      <c r="L65">
        <f>(12)*2.9</f>
        <v>34.799999999999997</v>
      </c>
      <c r="M65">
        <f>(17)*2.9</f>
        <v>49.3</v>
      </c>
      <c r="N65">
        <f>(20)*2.9</f>
        <v>58</v>
      </c>
      <c r="O65">
        <f>(23)*2.9</f>
        <v>66.7</v>
      </c>
      <c r="P65">
        <f>(24)*2.9</f>
        <v>69.599999999999994</v>
      </c>
      <c r="Q65">
        <f>(25)*2.9</f>
        <v>72.5</v>
      </c>
      <c r="R65">
        <f>(30)*11.5/4</f>
        <v>86.25</v>
      </c>
      <c r="S65">
        <f>(25)*11.5/4</f>
        <v>71.875</v>
      </c>
      <c r="T65">
        <f>(25)*11.5/4</f>
        <v>71.875</v>
      </c>
      <c r="U65">
        <f>(15)*11.5/4</f>
        <v>43.125</v>
      </c>
      <c r="V65">
        <f>(35)*11.5/4</f>
        <v>100.625</v>
      </c>
      <c r="W65">
        <f>(13)*11.5/4</f>
        <v>37.375</v>
      </c>
      <c r="X65">
        <f>(17)*11.5/4</f>
        <v>48.875</v>
      </c>
      <c r="Y65">
        <f>(18)*11.5/4</f>
        <v>51.75</v>
      </c>
      <c r="Z65">
        <f>(10)*11.5/4</f>
        <v>28.75</v>
      </c>
      <c r="AA65">
        <f>(28)*11.5/4</f>
        <v>80.5</v>
      </c>
      <c r="AB65">
        <f>(28)*11.5/4</f>
        <v>80.5</v>
      </c>
      <c r="AC65">
        <f>(34)*11.5/4</f>
        <v>97.75</v>
      </c>
      <c r="AD65">
        <f>(38)*11.5/4</f>
        <v>109.25</v>
      </c>
      <c r="AE65">
        <f>(40)*11.5/4</f>
        <v>115</v>
      </c>
      <c r="AF65">
        <f>(42)*11.5/4</f>
        <v>120.75</v>
      </c>
      <c r="AG65">
        <f>(44)*11.5/4</f>
        <v>126.5</v>
      </c>
      <c r="AH65">
        <f>(45)*11.5/4</f>
        <v>129.375</v>
      </c>
      <c r="AN65" s="924" t="s">
        <v>708</v>
      </c>
      <c r="AO65" s="924"/>
      <c r="AP65" s="924"/>
      <c r="AQ65" s="924"/>
      <c r="AR65" s="924"/>
      <c r="AS65" s="924"/>
      <c r="AT65" s="924"/>
      <c r="AU65" s="924"/>
      <c r="AV65" s="924"/>
      <c r="AW65" s="924"/>
      <c r="AX65" s="924"/>
    </row>
    <row r="66" spans="2:50">
      <c r="B66" s="121" t="s">
        <v>633</v>
      </c>
      <c r="C66">
        <f>Commercial!CG32</f>
        <v>89</v>
      </c>
      <c r="D66">
        <f>Commercial!CH32</f>
        <v>24</v>
      </c>
      <c r="E66">
        <f>Commercial!CI32</f>
        <v>5</v>
      </c>
      <c r="F66">
        <f>Commercial!CJ32</f>
        <v>9</v>
      </c>
      <c r="G66">
        <f>Commercial!CL32</f>
        <v>5</v>
      </c>
      <c r="H66">
        <f>Commercial!CM32</f>
        <v>4</v>
      </c>
      <c r="I66">
        <f>Commercial!CN32</f>
        <v>3</v>
      </c>
      <c r="J66">
        <f>Commercial!CO32</f>
        <v>31</v>
      </c>
      <c r="K66">
        <f>Commercial!CQ32</f>
        <v>63</v>
      </c>
      <c r="L66">
        <f>Commercial!CR32</f>
        <v>50</v>
      </c>
      <c r="M66">
        <f>Commercial!CS32</f>
        <v>66</v>
      </c>
      <c r="N66">
        <f>Commercial!CT32</f>
        <v>84</v>
      </c>
      <c r="O66">
        <f>Commercial!CV32</f>
        <v>86</v>
      </c>
      <c r="P66">
        <f>Commercial!CW32</f>
        <v>103</v>
      </c>
      <c r="Q66">
        <f>Commercial!CX32</f>
        <v>88</v>
      </c>
      <c r="R66">
        <f>Commercial!CY32</f>
        <v>110</v>
      </c>
      <c r="S66">
        <f>Commercial!DA32</f>
        <v>113</v>
      </c>
      <c r="T66">
        <f>Commercial!DB32</f>
        <v>103</v>
      </c>
      <c r="U66">
        <f>Commercial!DC32</f>
        <v>70</v>
      </c>
      <c r="V66">
        <f>Commercial!DD32</f>
        <v>110</v>
      </c>
      <c r="W66">
        <f>Commercial!DF32</f>
        <v>67</v>
      </c>
      <c r="X66">
        <f>Commercial!DG32</f>
        <v>70</v>
      </c>
      <c r="Y66">
        <f>Commercial!DH32</f>
        <v>92</v>
      </c>
      <c r="Z66">
        <f>Commercial!DI32</f>
        <v>36</v>
      </c>
      <c r="AA66">
        <f>+Commercial!DK32</f>
        <v>105</v>
      </c>
      <c r="AB66">
        <f>+Commercial!DL32</f>
        <v>104</v>
      </c>
      <c r="AC66">
        <f>40*2.9</f>
        <v>116</v>
      </c>
      <c r="AD66">
        <f>41.5*2.9</f>
        <v>120.35</v>
      </c>
      <c r="AE66">
        <f>+Commercial!DP32</f>
        <v>114</v>
      </c>
      <c r="AF66">
        <f>+Commercial!DQ32</f>
        <v>129</v>
      </c>
      <c r="AG66">
        <f>+Commercial!DR32</f>
        <v>137</v>
      </c>
      <c r="AH66">
        <f>+Commercial!DS32</f>
        <v>142</v>
      </c>
      <c r="AN66" s="121" t="s">
        <v>709</v>
      </c>
      <c r="AO66" s="121">
        <f t="shared" ref="AO66:AV67" si="70">+W71</f>
        <v>12.88793103448276</v>
      </c>
      <c r="AP66" s="121">
        <f t="shared" si="70"/>
        <v>16.853448275862071</v>
      </c>
      <c r="AQ66" s="121">
        <f t="shared" si="70"/>
        <v>17.844827586206897</v>
      </c>
      <c r="AR66" s="121">
        <f t="shared" si="70"/>
        <v>9.9137931034482758</v>
      </c>
      <c r="AS66" s="121">
        <f t="shared" si="70"/>
        <v>27.758620689655174</v>
      </c>
      <c r="AT66" s="121">
        <f t="shared" si="70"/>
        <v>27.758620689655174</v>
      </c>
      <c r="AU66" s="121">
        <f t="shared" si="70"/>
        <v>33.706896551724142</v>
      </c>
      <c r="AV66" s="121">
        <f t="shared" si="70"/>
        <v>37.672413793103452</v>
      </c>
      <c r="AW66" s="121">
        <f>Commercial!DT33</f>
        <v>45.391304347826086</v>
      </c>
      <c r="AX66" s="121">
        <f>Commercial!DY33</f>
        <v>53.391304347826086</v>
      </c>
    </row>
    <row r="67" spans="2:50">
      <c r="B67" s="121" t="s">
        <v>563</v>
      </c>
      <c r="C67">
        <f t="shared" ref="C67:Z67" si="71">C65-C66</f>
        <v>61.799999999999983</v>
      </c>
      <c r="D67">
        <f t="shared" si="71"/>
        <v>115.19999999999999</v>
      </c>
      <c r="E67">
        <f t="shared" si="71"/>
        <v>125.5</v>
      </c>
      <c r="F67">
        <f t="shared" si="71"/>
        <v>112.8</v>
      </c>
      <c r="G67">
        <f t="shared" si="71"/>
        <v>34.799999999999997</v>
      </c>
      <c r="H67">
        <f t="shared" si="71"/>
        <v>0</v>
      </c>
      <c r="I67">
        <f t="shared" si="71"/>
        <v>11.5</v>
      </c>
      <c r="J67">
        <f t="shared" si="71"/>
        <v>-16.5</v>
      </c>
      <c r="K67">
        <f t="shared" si="71"/>
        <v>-45.6</v>
      </c>
      <c r="L67">
        <f t="shared" si="71"/>
        <v>-15.200000000000003</v>
      </c>
      <c r="M67">
        <f t="shared" si="71"/>
        <v>-16.700000000000003</v>
      </c>
      <c r="N67">
        <f t="shared" si="71"/>
        <v>-26</v>
      </c>
      <c r="O67">
        <f t="shared" si="71"/>
        <v>-19.299999999999997</v>
      </c>
      <c r="P67">
        <f t="shared" si="71"/>
        <v>-33.400000000000006</v>
      </c>
      <c r="Q67">
        <f t="shared" si="71"/>
        <v>-15.5</v>
      </c>
      <c r="R67">
        <f t="shared" si="71"/>
        <v>-23.75</v>
      </c>
      <c r="S67">
        <f t="shared" si="71"/>
        <v>-41.125</v>
      </c>
      <c r="T67">
        <f t="shared" si="71"/>
        <v>-31.125</v>
      </c>
      <c r="U67">
        <f t="shared" si="71"/>
        <v>-26.875</v>
      </c>
      <c r="V67">
        <f t="shared" si="71"/>
        <v>-9.375</v>
      </c>
      <c r="W67">
        <f t="shared" si="71"/>
        <v>-29.625</v>
      </c>
      <c r="X67">
        <f t="shared" si="71"/>
        <v>-21.125</v>
      </c>
      <c r="Y67">
        <f t="shared" si="71"/>
        <v>-40.25</v>
      </c>
      <c r="Z67">
        <f t="shared" si="71"/>
        <v>-7.25</v>
      </c>
      <c r="AA67">
        <f t="shared" ref="AA67:AD67" si="72">AA65-AA66</f>
        <v>-24.5</v>
      </c>
      <c r="AB67">
        <f t="shared" si="72"/>
        <v>-23.5</v>
      </c>
      <c r="AC67">
        <f t="shared" si="72"/>
        <v>-18.25</v>
      </c>
      <c r="AD67">
        <f t="shared" si="72"/>
        <v>-11.099999999999994</v>
      </c>
      <c r="AE67">
        <f t="shared" ref="AE67:AH67" si="73">AE65-AE66</f>
        <v>1</v>
      </c>
      <c r="AF67">
        <f t="shared" si="73"/>
        <v>-8.25</v>
      </c>
      <c r="AG67">
        <f t="shared" si="73"/>
        <v>-10.5</v>
      </c>
      <c r="AH67">
        <f t="shared" si="73"/>
        <v>-12.625</v>
      </c>
      <c r="AN67" s="121" t="s">
        <v>710</v>
      </c>
      <c r="AO67">
        <f t="shared" si="70"/>
        <v>10.215517241379311</v>
      </c>
      <c r="AP67">
        <f t="shared" si="70"/>
        <v>7.2844827586206895</v>
      </c>
      <c r="AQ67">
        <f t="shared" si="70"/>
        <v>13.879310344827587</v>
      </c>
      <c r="AR67">
        <f t="shared" si="70"/>
        <v>2.5</v>
      </c>
      <c r="AS67">
        <f t="shared" si="70"/>
        <v>8.4482758620689662</v>
      </c>
      <c r="AT67">
        <f t="shared" si="70"/>
        <v>8.1034482758620694</v>
      </c>
      <c r="AU67">
        <f t="shared" si="70"/>
        <v>6.2931034482758621</v>
      </c>
      <c r="AV67">
        <f t="shared" si="70"/>
        <v>3.8275862068965498</v>
      </c>
      <c r="AW67" s="534">
        <v>0</v>
      </c>
      <c r="AX67" s="534">
        <v>0</v>
      </c>
    </row>
    <row r="68" spans="2:50">
      <c r="B68" s="121" t="s">
        <v>634</v>
      </c>
      <c r="C68">
        <f>C67</f>
        <v>61.799999999999983</v>
      </c>
      <c r="D68">
        <f t="shared" ref="D68:Z68" si="74">C68+D67</f>
        <v>176.99999999999997</v>
      </c>
      <c r="E68">
        <f t="shared" si="74"/>
        <v>302.5</v>
      </c>
      <c r="F68">
        <f t="shared" si="74"/>
        <v>415.3</v>
      </c>
      <c r="G68">
        <f t="shared" si="74"/>
        <v>450.1</v>
      </c>
      <c r="H68" s="121">
        <f>G68+H67</f>
        <v>450.1</v>
      </c>
      <c r="I68">
        <f t="shared" si="74"/>
        <v>461.6</v>
      </c>
      <c r="J68">
        <f t="shared" si="74"/>
        <v>445.1</v>
      </c>
      <c r="K68">
        <f t="shared" si="74"/>
        <v>399.5</v>
      </c>
      <c r="L68">
        <f t="shared" si="74"/>
        <v>384.3</v>
      </c>
      <c r="M68">
        <f t="shared" si="74"/>
        <v>367.6</v>
      </c>
      <c r="N68">
        <f t="shared" si="74"/>
        <v>341.6</v>
      </c>
      <c r="O68">
        <f t="shared" si="74"/>
        <v>322.3</v>
      </c>
      <c r="P68">
        <f t="shared" si="74"/>
        <v>288.89999999999998</v>
      </c>
      <c r="Q68">
        <f t="shared" si="74"/>
        <v>273.39999999999998</v>
      </c>
      <c r="R68">
        <f t="shared" si="74"/>
        <v>249.64999999999998</v>
      </c>
      <c r="S68">
        <f t="shared" si="74"/>
        <v>208.52499999999998</v>
      </c>
      <c r="T68">
        <f t="shared" si="74"/>
        <v>177.39999999999998</v>
      </c>
      <c r="U68">
        <f t="shared" si="74"/>
        <v>150.52499999999998</v>
      </c>
      <c r="V68">
        <f t="shared" si="74"/>
        <v>141.14999999999998</v>
      </c>
      <c r="W68">
        <f t="shared" si="74"/>
        <v>111.52499999999998</v>
      </c>
      <c r="X68">
        <f t="shared" si="74"/>
        <v>90.399999999999977</v>
      </c>
      <c r="Y68">
        <f t="shared" si="74"/>
        <v>50.149999999999977</v>
      </c>
      <c r="Z68">
        <f t="shared" si="74"/>
        <v>42.899999999999977</v>
      </c>
      <c r="AA68">
        <f t="shared" ref="AA68" si="75">Z68+AA67</f>
        <v>18.399999999999977</v>
      </c>
      <c r="AB68">
        <f t="shared" ref="AB68" si="76">AA68+AB67</f>
        <v>-5.1000000000000227</v>
      </c>
      <c r="AC68">
        <f t="shared" ref="AC68" si="77">AB68+AC67</f>
        <v>-23.350000000000023</v>
      </c>
      <c r="AD68">
        <f t="shared" ref="AD68" si="78">AC68+AD67</f>
        <v>-34.450000000000017</v>
      </c>
      <c r="AE68">
        <f t="shared" ref="AE68" si="79">AD68+AE67</f>
        <v>-33.450000000000017</v>
      </c>
      <c r="AF68">
        <f t="shared" ref="AF68" si="80">AE68+AF67</f>
        <v>-41.700000000000017</v>
      </c>
      <c r="AG68">
        <f t="shared" ref="AG68" si="81">AF68+AG67</f>
        <v>-52.200000000000017</v>
      </c>
      <c r="AH68">
        <f t="shared" ref="AH68" si="82">AG68+AH67</f>
        <v>-64.825000000000017</v>
      </c>
      <c r="AN68" s="121" t="s">
        <v>711</v>
      </c>
      <c r="AO68">
        <f>+SUM(AO66:AO67)</f>
        <v>23.103448275862071</v>
      </c>
      <c r="AP68">
        <f t="shared" ref="AP68:AX68" si="83">+SUM(AP66:AP67)</f>
        <v>24.137931034482762</v>
      </c>
      <c r="AQ68">
        <f t="shared" si="83"/>
        <v>31.724137931034484</v>
      </c>
      <c r="AR68">
        <f t="shared" si="83"/>
        <v>12.413793103448276</v>
      </c>
      <c r="AS68">
        <f t="shared" si="83"/>
        <v>36.206896551724142</v>
      </c>
      <c r="AT68">
        <f t="shared" si="83"/>
        <v>35.862068965517246</v>
      </c>
      <c r="AU68">
        <f t="shared" si="83"/>
        <v>40.000000000000007</v>
      </c>
      <c r="AV68">
        <f t="shared" si="83"/>
        <v>41.5</v>
      </c>
      <c r="AW68">
        <f t="shared" si="83"/>
        <v>45.391304347826086</v>
      </c>
      <c r="AX68">
        <f t="shared" si="83"/>
        <v>53.391304347826086</v>
      </c>
    </row>
    <row r="69" spans="2:50">
      <c r="B69" s="121"/>
      <c r="T69">
        <f>AVERAGE(J67:T67)</f>
        <v>-25.83636363636364</v>
      </c>
    </row>
    <row r="70" spans="2:50">
      <c r="B70" s="121" t="s">
        <v>640</v>
      </c>
      <c r="AN70" s="1063"/>
      <c r="AO70" s="1063" t="s">
        <v>684</v>
      </c>
      <c r="AP70" s="1063" t="s">
        <v>685</v>
      </c>
      <c r="AQ70" s="1063" t="s">
        <v>665</v>
      </c>
      <c r="AR70" s="1063" t="s">
        <v>666</v>
      </c>
      <c r="AS70" s="1063" t="s">
        <v>678</v>
      </c>
      <c r="AT70" s="1063" t="s">
        <v>679</v>
      </c>
      <c r="AU70" s="1063" t="s">
        <v>680</v>
      </c>
      <c r="AV70" s="1063" t="s">
        <v>681</v>
      </c>
      <c r="AW70" s="1063" t="s">
        <v>694</v>
      </c>
      <c r="AX70" s="1063" t="s">
        <v>714</v>
      </c>
    </row>
    <row r="71" spans="2:50">
      <c r="B71" s="121" t="s">
        <v>641</v>
      </c>
      <c r="G71" s="794">
        <f>G65/2.9</f>
        <v>13.724137931034482</v>
      </c>
      <c r="H71" s="794">
        <f>H65/2.9</f>
        <v>1.3793103448275863</v>
      </c>
      <c r="I71" s="794">
        <f>I65/2.9</f>
        <v>5</v>
      </c>
      <c r="J71" s="794">
        <f t="shared" ref="J71:V71" si="84">J65/2.9</f>
        <v>5</v>
      </c>
      <c r="K71" s="794">
        <f t="shared" si="84"/>
        <v>6</v>
      </c>
      <c r="L71" s="794">
        <f t="shared" si="84"/>
        <v>12</v>
      </c>
      <c r="M71" s="794">
        <f t="shared" si="84"/>
        <v>17</v>
      </c>
      <c r="N71" s="794">
        <f t="shared" si="84"/>
        <v>20</v>
      </c>
      <c r="O71" s="794">
        <f t="shared" si="84"/>
        <v>23</v>
      </c>
      <c r="P71" s="794">
        <f t="shared" si="84"/>
        <v>24</v>
      </c>
      <c r="Q71" s="794">
        <f t="shared" si="84"/>
        <v>25</v>
      </c>
      <c r="R71" s="794">
        <f t="shared" si="84"/>
        <v>29.741379310344829</v>
      </c>
      <c r="S71" s="794">
        <f t="shared" si="84"/>
        <v>24.78448275862069</v>
      </c>
      <c r="T71" s="794">
        <f t="shared" si="84"/>
        <v>24.78448275862069</v>
      </c>
      <c r="U71" s="794">
        <f t="shared" si="84"/>
        <v>14.870689655172415</v>
      </c>
      <c r="V71" s="794">
        <f t="shared" si="84"/>
        <v>34.698275862068968</v>
      </c>
      <c r="W71" s="794">
        <f t="shared" ref="W71:Z71" si="85">W65/2.9</f>
        <v>12.88793103448276</v>
      </c>
      <c r="X71" s="794">
        <f t="shared" si="85"/>
        <v>16.853448275862071</v>
      </c>
      <c r="Y71" s="794">
        <f t="shared" si="85"/>
        <v>17.844827586206897</v>
      </c>
      <c r="Z71" s="794">
        <f t="shared" si="85"/>
        <v>9.9137931034482758</v>
      </c>
      <c r="AA71" s="794">
        <f t="shared" ref="AA71:AD71" si="86">AA65/2.9</f>
        <v>27.758620689655174</v>
      </c>
      <c r="AB71" s="794">
        <f t="shared" si="86"/>
        <v>27.758620689655174</v>
      </c>
      <c r="AC71" s="794">
        <f t="shared" si="86"/>
        <v>33.706896551724142</v>
      </c>
      <c r="AD71" s="794">
        <f t="shared" si="86"/>
        <v>37.672413793103452</v>
      </c>
      <c r="AE71" s="794">
        <f t="shared" ref="AE71:AH71" si="87">AE65/2.9</f>
        <v>39.655172413793103</v>
      </c>
      <c r="AF71" s="794">
        <f t="shared" si="87"/>
        <v>41.637931034482762</v>
      </c>
      <c r="AG71" s="794">
        <f t="shared" si="87"/>
        <v>43.620689655172413</v>
      </c>
      <c r="AH71" s="794">
        <f t="shared" si="87"/>
        <v>44.612068965517246</v>
      </c>
      <c r="AN71" s="1064">
        <v>787</v>
      </c>
      <c r="AO71" s="924"/>
      <c r="AP71" s="924"/>
      <c r="AQ71" s="924"/>
      <c r="AR71" s="924"/>
      <c r="AS71" s="924"/>
      <c r="AT71" s="924"/>
      <c r="AU71" s="924"/>
      <c r="AV71" s="924"/>
      <c r="AW71" s="924"/>
      <c r="AX71" s="924"/>
    </row>
    <row r="72" spans="2:50">
      <c r="B72" s="121" t="s">
        <v>643</v>
      </c>
      <c r="G72" s="794">
        <f>-G67/2.9</f>
        <v>-12</v>
      </c>
      <c r="H72" s="794">
        <f>-H67/2.9</f>
        <v>0</v>
      </c>
      <c r="I72" s="794">
        <f>-I67/2.9</f>
        <v>-3.9655172413793105</v>
      </c>
      <c r="J72" s="794">
        <f>-J67/2.9</f>
        <v>5.6896551724137936</v>
      </c>
      <c r="K72" s="794">
        <f t="shared" ref="K72:V72" si="88">-K67/2.9</f>
        <v>15.724137931034484</v>
      </c>
      <c r="L72" s="794">
        <f t="shared" si="88"/>
        <v>5.2413793103448283</v>
      </c>
      <c r="M72" s="794">
        <f t="shared" si="88"/>
        <v>5.7586206896551735</v>
      </c>
      <c r="N72" s="794">
        <f t="shared" si="88"/>
        <v>8.9655172413793114</v>
      </c>
      <c r="O72" s="794">
        <f t="shared" si="88"/>
        <v>6.6551724137931023</v>
      </c>
      <c r="P72" s="794">
        <f t="shared" si="88"/>
        <v>11.517241379310347</v>
      </c>
      <c r="Q72" s="794">
        <f t="shared" si="88"/>
        <v>5.3448275862068968</v>
      </c>
      <c r="R72" s="794">
        <f t="shared" si="88"/>
        <v>8.1896551724137936</v>
      </c>
      <c r="S72" s="794">
        <f t="shared" si="88"/>
        <v>14.181034482758621</v>
      </c>
      <c r="T72" s="794">
        <f t="shared" si="88"/>
        <v>10.732758620689655</v>
      </c>
      <c r="U72" s="794">
        <f t="shared" si="88"/>
        <v>9.2672413793103452</v>
      </c>
      <c r="V72" s="794">
        <f t="shared" si="88"/>
        <v>3.2327586206896552</v>
      </c>
      <c r="W72" s="794">
        <f t="shared" ref="W72:Z72" si="89">-W67/2.9</f>
        <v>10.215517241379311</v>
      </c>
      <c r="X72" s="794">
        <f t="shared" si="89"/>
        <v>7.2844827586206895</v>
      </c>
      <c r="Y72" s="794">
        <f t="shared" si="89"/>
        <v>13.879310344827587</v>
      </c>
      <c r="Z72" s="794">
        <f t="shared" si="89"/>
        <v>2.5</v>
      </c>
      <c r="AA72" s="794">
        <f t="shared" ref="AA72:AD72" si="90">-AA67/2.9</f>
        <v>8.4482758620689662</v>
      </c>
      <c r="AB72" s="794">
        <f t="shared" si="90"/>
        <v>8.1034482758620694</v>
      </c>
      <c r="AC72" s="794">
        <f t="shared" si="90"/>
        <v>6.2931034482758621</v>
      </c>
      <c r="AD72" s="794">
        <f t="shared" si="90"/>
        <v>3.8275862068965498</v>
      </c>
      <c r="AE72" s="794">
        <f t="shared" ref="AE72:AH72" si="91">-AE67/2.9</f>
        <v>-0.34482758620689657</v>
      </c>
      <c r="AF72" s="794">
        <f t="shared" si="91"/>
        <v>2.8448275862068968</v>
      </c>
      <c r="AG72" s="794">
        <f t="shared" si="91"/>
        <v>3.6206896551724137</v>
      </c>
      <c r="AH72" s="794">
        <f t="shared" si="91"/>
        <v>4.3534482758620694</v>
      </c>
      <c r="AN72" s="121" t="s">
        <v>709</v>
      </c>
      <c r="AO72" s="121">
        <f t="shared" ref="AO72:AV72" si="92">+W83/3</f>
        <v>0.96666666666666667</v>
      </c>
      <c r="AP72" s="121">
        <f t="shared" si="92"/>
        <v>1.9333333333333333</v>
      </c>
      <c r="AQ72" s="121">
        <f t="shared" si="92"/>
        <v>2.9</v>
      </c>
      <c r="AR72" s="121">
        <f t="shared" si="92"/>
        <v>3.8666666666666667</v>
      </c>
      <c r="AS72" s="121">
        <f t="shared" si="92"/>
        <v>3.8666666666666667</v>
      </c>
      <c r="AT72" s="121">
        <f t="shared" si="92"/>
        <v>3.8666666666666667</v>
      </c>
      <c r="AU72" s="121">
        <f t="shared" si="92"/>
        <v>4.833333333333333</v>
      </c>
      <c r="AV72" s="121">
        <f t="shared" si="92"/>
        <v>6.7666666666666666</v>
      </c>
      <c r="AW72" s="121">
        <f>Commercial!DT79</f>
        <v>8.5217391304347831</v>
      </c>
      <c r="AX72" s="121">
        <f>Commercial!DY79</f>
        <v>11.043478260869565</v>
      </c>
    </row>
    <row r="73" spans="2:50">
      <c r="B73" s="121" t="s">
        <v>642</v>
      </c>
      <c r="G73" s="794">
        <f>G66/2.9</f>
        <v>1.7241379310344829</v>
      </c>
      <c r="H73" s="794">
        <f>H66/2.9</f>
        <v>1.3793103448275863</v>
      </c>
      <c r="I73" s="794">
        <f>I66/2.9</f>
        <v>1.0344827586206897</v>
      </c>
      <c r="J73" s="794">
        <f t="shared" ref="J73:V73" si="93">J66/2.9</f>
        <v>10.689655172413794</v>
      </c>
      <c r="K73" s="794">
        <f t="shared" si="93"/>
        <v>21.724137931034484</v>
      </c>
      <c r="L73" s="794">
        <f t="shared" si="93"/>
        <v>17.241379310344829</v>
      </c>
      <c r="M73" s="794">
        <f t="shared" si="93"/>
        <v>22.758620689655174</v>
      </c>
      <c r="N73" s="794">
        <f t="shared" si="93"/>
        <v>28.96551724137931</v>
      </c>
      <c r="O73" s="794">
        <f t="shared" si="93"/>
        <v>29.655172413793103</v>
      </c>
      <c r="P73" s="794">
        <f t="shared" si="93"/>
        <v>35.517241379310349</v>
      </c>
      <c r="Q73" s="794">
        <f t="shared" si="93"/>
        <v>30.344827586206897</v>
      </c>
      <c r="R73" s="794">
        <f t="shared" si="93"/>
        <v>37.931034482758619</v>
      </c>
      <c r="S73" s="794">
        <f t="shared" si="93"/>
        <v>38.96551724137931</v>
      </c>
      <c r="T73" s="794">
        <f t="shared" si="93"/>
        <v>35.517241379310349</v>
      </c>
      <c r="U73" s="794">
        <f t="shared" si="93"/>
        <v>24.137931034482758</v>
      </c>
      <c r="V73" s="794">
        <f t="shared" si="93"/>
        <v>37.931034482758619</v>
      </c>
      <c r="W73" s="794">
        <f t="shared" ref="W73:Z73" si="94">W66/2.9</f>
        <v>23.103448275862071</v>
      </c>
      <c r="X73" s="794">
        <f t="shared" si="94"/>
        <v>24.137931034482758</v>
      </c>
      <c r="Y73" s="794">
        <f t="shared" si="94"/>
        <v>31.724137931034484</v>
      </c>
      <c r="Z73" s="794">
        <f t="shared" si="94"/>
        <v>12.413793103448276</v>
      </c>
      <c r="AA73" s="794">
        <f t="shared" ref="AA73:AD73" si="95">AA66/2.9</f>
        <v>36.206896551724142</v>
      </c>
      <c r="AB73" s="794">
        <f t="shared" si="95"/>
        <v>35.862068965517246</v>
      </c>
      <c r="AC73" s="794">
        <f t="shared" si="95"/>
        <v>40</v>
      </c>
      <c r="AD73" s="794">
        <f t="shared" si="95"/>
        <v>41.5</v>
      </c>
      <c r="AE73" s="794">
        <f t="shared" ref="AE73:AH73" si="96">AE66/2.9</f>
        <v>39.310344827586206</v>
      </c>
      <c r="AF73" s="794">
        <f t="shared" si="96"/>
        <v>44.482758620689658</v>
      </c>
      <c r="AG73" s="794">
        <f t="shared" si="96"/>
        <v>47.241379310344826</v>
      </c>
      <c r="AH73" s="794">
        <f t="shared" si="96"/>
        <v>48.96551724137931</v>
      </c>
      <c r="AN73" s="121" t="s">
        <v>710</v>
      </c>
      <c r="AO73">
        <f>+AO74-AO72</f>
        <v>3.3666666666666663</v>
      </c>
      <c r="AP73">
        <f t="shared" ref="AP73:AV73" si="97">+AP74-AP72</f>
        <v>1.0666666666666667</v>
      </c>
      <c r="AQ73">
        <f t="shared" si="97"/>
        <v>1.7666666666666671</v>
      </c>
      <c r="AR73">
        <f t="shared" si="97"/>
        <v>1.1333333333333333</v>
      </c>
      <c r="AS73">
        <f t="shared" si="97"/>
        <v>0.46666666666666634</v>
      </c>
      <c r="AT73">
        <f t="shared" si="97"/>
        <v>4.1333333333333329</v>
      </c>
      <c r="AU73">
        <f t="shared" si="97"/>
        <v>2.166666666666667</v>
      </c>
      <c r="AV73">
        <f t="shared" si="97"/>
        <v>1.8999999999999995</v>
      </c>
      <c r="AW73" s="534">
        <v>0</v>
      </c>
      <c r="AX73" s="534">
        <v>0</v>
      </c>
    </row>
    <row r="74" spans="2:50">
      <c r="B74" s="121"/>
      <c r="AN74" s="121" t="s">
        <v>711</v>
      </c>
      <c r="AO74">
        <f t="shared" ref="AO74:AV74" si="98">+W84/3</f>
        <v>4.333333333333333</v>
      </c>
      <c r="AP74">
        <f t="shared" si="98"/>
        <v>3</v>
      </c>
      <c r="AQ74">
        <f t="shared" si="98"/>
        <v>4.666666666666667</v>
      </c>
      <c r="AR74">
        <f t="shared" si="98"/>
        <v>5</v>
      </c>
      <c r="AS74">
        <f t="shared" si="98"/>
        <v>4.333333333333333</v>
      </c>
      <c r="AT74">
        <f t="shared" si="98"/>
        <v>8</v>
      </c>
      <c r="AU74">
        <f t="shared" si="98"/>
        <v>7</v>
      </c>
      <c r="AV74">
        <f t="shared" si="98"/>
        <v>8.6666666666666661</v>
      </c>
      <c r="AW74">
        <f>AW72+AW73</f>
        <v>8.5217391304347831</v>
      </c>
      <c r="AX74">
        <f>AX72+AX73</f>
        <v>11.043478260869565</v>
      </c>
    </row>
    <row r="75" spans="2:50">
      <c r="B75" s="121"/>
    </row>
    <row r="76" spans="2:50">
      <c r="B76" s="121" t="s">
        <v>635</v>
      </c>
    </row>
    <row r="77" spans="2:50">
      <c r="B77" s="973">
        <f>AVERAGE(Commercial!CP34,Commercial!CU34,Commercial!CZ34,Commercial!DE34)*0.4</f>
        <v>22.969251714394545</v>
      </c>
      <c r="C77" s="972">
        <f>$B$77*-C67</f>
        <v>-1419.4997559495825</v>
      </c>
      <c r="D77" s="972">
        <f t="shared" ref="D77:V77" si="99">$B$77*-D67</f>
        <v>-2646.0577974982511</v>
      </c>
      <c r="E77" s="972">
        <f t="shared" si="99"/>
        <v>-2882.6410901565155</v>
      </c>
      <c r="F77" s="972">
        <f t="shared" si="99"/>
        <v>-2590.9315933837047</v>
      </c>
      <c r="G77" s="972">
        <f t="shared" si="99"/>
        <v>-799.32995966093006</v>
      </c>
      <c r="H77" s="972">
        <f t="shared" si="99"/>
        <v>0</v>
      </c>
      <c r="I77" s="972">
        <f t="shared" si="99"/>
        <v>-264.14639471553727</v>
      </c>
      <c r="J77" s="972">
        <f t="shared" si="99"/>
        <v>378.99265328751</v>
      </c>
      <c r="K77" s="972">
        <f t="shared" si="99"/>
        <v>1047.3978781763913</v>
      </c>
      <c r="L77" s="972">
        <f t="shared" si="99"/>
        <v>349.13262605879714</v>
      </c>
      <c r="M77" s="972">
        <f t="shared" si="99"/>
        <v>383.58650363038896</v>
      </c>
      <c r="N77" s="972">
        <f t="shared" si="99"/>
        <v>597.20054457425817</v>
      </c>
      <c r="O77" s="972">
        <f t="shared" si="99"/>
        <v>443.30655808781466</v>
      </c>
      <c r="P77" s="972">
        <f t="shared" si="99"/>
        <v>767.17300726077792</v>
      </c>
      <c r="Q77" s="972">
        <f t="shared" si="99"/>
        <v>356.02340157311545</v>
      </c>
      <c r="R77" s="972">
        <f t="shared" si="99"/>
        <v>545.51972821687048</v>
      </c>
      <c r="S77" s="972">
        <f t="shared" si="99"/>
        <v>944.61047675447571</v>
      </c>
      <c r="T77" s="972">
        <f t="shared" si="99"/>
        <v>714.91795961053026</v>
      </c>
      <c r="U77" s="972">
        <f t="shared" si="99"/>
        <v>617.29863982435336</v>
      </c>
      <c r="V77" s="972">
        <f t="shared" si="99"/>
        <v>215.33673482244888</v>
      </c>
      <c r="W77" s="972">
        <f t="shared" ref="W77:Z77" si="100">$B$77*-W67</f>
        <v>680.46408203893839</v>
      </c>
      <c r="X77" s="972">
        <f t="shared" si="100"/>
        <v>485.22544246658475</v>
      </c>
      <c r="Y77" s="972">
        <f t="shared" si="100"/>
        <v>924.51238150438041</v>
      </c>
      <c r="Z77" s="972">
        <f t="shared" si="100"/>
        <v>166.52707492936045</v>
      </c>
      <c r="AA77" s="972">
        <f t="shared" ref="AA77:AD77" si="101">$B$77*-AA67</f>
        <v>562.7466670026663</v>
      </c>
      <c r="AB77" s="972">
        <f t="shared" si="101"/>
        <v>539.77741528827187</v>
      </c>
      <c r="AC77" s="972">
        <f t="shared" si="101"/>
        <v>419.18884378770042</v>
      </c>
      <c r="AD77" s="972">
        <f t="shared" si="101"/>
        <v>254.95869402977931</v>
      </c>
      <c r="AE77" s="972">
        <f t="shared" ref="AE77:AH77" si="102">$B$77*-AE67</f>
        <v>-22.969251714394545</v>
      </c>
      <c r="AF77" s="972">
        <f t="shared" si="102"/>
        <v>189.496326643755</v>
      </c>
      <c r="AG77" s="972">
        <f t="shared" si="102"/>
        <v>241.17714300114272</v>
      </c>
      <c r="AH77" s="972">
        <f t="shared" si="102"/>
        <v>289.98680289423112</v>
      </c>
    </row>
    <row r="78" spans="2:50">
      <c r="B78" s="121" t="s">
        <v>639</v>
      </c>
      <c r="J78">
        <f>SUM(G77:J77)</f>
        <v>-684.48370108895733</v>
      </c>
      <c r="N78">
        <f>SUM(K77:N77)</f>
        <v>2377.3175524398357</v>
      </c>
      <c r="R78">
        <f>SUM(O77:R77)</f>
        <v>2112.0226951385785</v>
      </c>
      <c r="V78">
        <f>SUM(S77:V77)</f>
        <v>2492.1638110118079</v>
      </c>
      <c r="Z78">
        <f>SUM(W77:Z77)</f>
        <v>2256.7289809392641</v>
      </c>
      <c r="AD78">
        <f>SUM(AA77:AD77)</f>
        <v>1776.671620108418</v>
      </c>
      <c r="AH78">
        <f>SUM(AE77:AH77)</f>
        <v>697.69102082473432</v>
      </c>
    </row>
    <row r="79" spans="2:50">
      <c r="C79" s="121"/>
      <c r="AN79" t="s">
        <v>620</v>
      </c>
    </row>
    <row r="80" spans="2:50">
      <c r="C80" s="121"/>
      <c r="J80">
        <f>SUM(G84:J84)</f>
        <v>53</v>
      </c>
      <c r="N80">
        <f>SUM(K84:N84)</f>
        <v>14</v>
      </c>
      <c r="R80">
        <f>SUM(O84:R84)</f>
        <v>31</v>
      </c>
      <c r="V80">
        <f>SUM(S84:V84)</f>
        <v>73</v>
      </c>
      <c r="Z80">
        <f>SUM(W84:Z84)</f>
        <v>51</v>
      </c>
      <c r="AD80">
        <f>SUM(AA84:AD84)</f>
        <v>84</v>
      </c>
      <c r="AH80">
        <f>SUM(AE84:AH84)</f>
        <v>97</v>
      </c>
      <c r="AN80" t="s">
        <v>707</v>
      </c>
    </row>
    <row r="81" spans="1:54">
      <c r="C81" s="121"/>
      <c r="J81">
        <f>SUM(G83:J83)/11.5</f>
        <v>9.1391304347826079</v>
      </c>
      <c r="N81">
        <f>SUM(K83:N83)/11.5</f>
        <v>3.5304347826086953</v>
      </c>
      <c r="R81">
        <f>SUM(O83:R83)/11.5</f>
        <v>1.7652173913043478</v>
      </c>
      <c r="V81">
        <f>SUM(S83:V83)/11.5</f>
        <v>2.6478260869565213</v>
      </c>
      <c r="Z81" s="794">
        <f>SUM(W83:Z83)/11.5</f>
        <v>2.5217391304347827</v>
      </c>
      <c r="AD81" s="794">
        <f>SUM(AA83:AD83)/11.5</f>
        <v>5.0434782608695654</v>
      </c>
      <c r="AH81" s="794">
        <f>SUM(AE83:AH83)/11.5</f>
        <v>8.4478260869565229</v>
      </c>
      <c r="AN81" s="1062" t="s">
        <v>706</v>
      </c>
    </row>
    <row r="82" spans="1:54">
      <c r="B82" s="994">
        <v>787</v>
      </c>
      <c r="C82" s="74" t="s">
        <v>597</v>
      </c>
      <c r="D82" s="74" t="s">
        <v>598</v>
      </c>
      <c r="E82" s="74" t="s">
        <v>599</v>
      </c>
      <c r="F82" s="74" t="s">
        <v>600</v>
      </c>
      <c r="G82" s="74" t="s">
        <v>605</v>
      </c>
      <c r="H82" s="74" t="str">
        <f>H64</f>
        <v>2Q20</v>
      </c>
      <c r="I82" s="74" t="str">
        <f t="shared" ref="I82:Z82" si="103">I64</f>
        <v>3Q20</v>
      </c>
      <c r="J82" s="74" t="str">
        <f t="shared" si="103"/>
        <v>4Q20</v>
      </c>
      <c r="K82" s="74" t="str">
        <f t="shared" si="103"/>
        <v>1Q21</v>
      </c>
      <c r="L82" s="74" t="str">
        <f t="shared" si="103"/>
        <v>2Q21</v>
      </c>
      <c r="M82" s="74" t="str">
        <f t="shared" si="103"/>
        <v>3Q21</v>
      </c>
      <c r="N82" s="74" t="str">
        <f t="shared" si="103"/>
        <v>4Q21</v>
      </c>
      <c r="O82" s="74" t="str">
        <f t="shared" si="103"/>
        <v>1Q22</v>
      </c>
      <c r="P82" s="74" t="str">
        <f t="shared" si="103"/>
        <v>2Q22</v>
      </c>
      <c r="Q82" s="74" t="str">
        <f t="shared" si="103"/>
        <v>3Q22</v>
      </c>
      <c r="R82" s="74" t="str">
        <f t="shared" si="103"/>
        <v>4Q22</v>
      </c>
      <c r="S82" s="74" t="str">
        <f t="shared" si="103"/>
        <v>1Q23</v>
      </c>
      <c r="T82" s="74" t="str">
        <f t="shared" si="103"/>
        <v>2Q23</v>
      </c>
      <c r="U82" s="74" t="str">
        <f t="shared" si="103"/>
        <v>3Q23</v>
      </c>
      <c r="V82" s="74" t="str">
        <f t="shared" si="103"/>
        <v>4Q23</v>
      </c>
      <c r="W82" s="74" t="str">
        <f t="shared" si="103"/>
        <v>1Q24</v>
      </c>
      <c r="X82" s="74" t="str">
        <f t="shared" si="103"/>
        <v>2Q24</v>
      </c>
      <c r="Y82" s="74" t="str">
        <f t="shared" si="103"/>
        <v>3Q24</v>
      </c>
      <c r="Z82" s="74" t="str">
        <f t="shared" si="103"/>
        <v>4Q24</v>
      </c>
      <c r="AA82" s="74" t="str">
        <f t="shared" ref="AA82:AH82" si="104">AA64</f>
        <v>1Q25</v>
      </c>
      <c r="AB82" s="74" t="str">
        <f t="shared" si="104"/>
        <v>2Q25E</v>
      </c>
      <c r="AC82" s="74" t="str">
        <f t="shared" si="104"/>
        <v>3Q25E</v>
      </c>
      <c r="AD82" s="74" t="str">
        <f t="shared" si="104"/>
        <v>4Q25E</v>
      </c>
      <c r="AE82" s="74" t="str">
        <f t="shared" si="104"/>
        <v>1Q26E</v>
      </c>
      <c r="AF82" s="74" t="str">
        <f t="shared" si="104"/>
        <v>2Q26E</v>
      </c>
      <c r="AG82" s="74" t="str">
        <f t="shared" si="104"/>
        <v>3Q26E</v>
      </c>
      <c r="AH82" s="74" t="str">
        <f t="shared" si="104"/>
        <v>4Q26E</v>
      </c>
      <c r="AN82" t="s">
        <v>703</v>
      </c>
    </row>
    <row r="83" spans="1:54">
      <c r="B83" s="121" t="s">
        <v>632</v>
      </c>
      <c r="C83" s="121"/>
      <c r="G83">
        <f>12*2.9</f>
        <v>34.799999999999997</v>
      </c>
      <c r="H83">
        <f>10*2.9-4</f>
        <v>25</v>
      </c>
      <c r="I83">
        <f>10*2.9-4</f>
        <v>25</v>
      </c>
      <c r="J83">
        <f>2.9*7</f>
        <v>20.3</v>
      </c>
      <c r="K83">
        <f>2.9*6</f>
        <v>17.399999999999999</v>
      </c>
      <c r="L83">
        <f t="shared" ref="L83" si="105">2.9*5</f>
        <v>14.5</v>
      </c>
      <c r="M83">
        <f>2.9*2</f>
        <v>5.8</v>
      </c>
      <c r="N83">
        <f>2.9*1</f>
        <v>2.9</v>
      </c>
      <c r="O83">
        <f>2.9*1.5</f>
        <v>4.3499999999999996</v>
      </c>
      <c r="P83">
        <f>2.9*1.5</f>
        <v>4.3499999999999996</v>
      </c>
      <c r="Q83">
        <f>2.9*2</f>
        <v>5.8</v>
      </c>
      <c r="R83">
        <f>2.9*2</f>
        <v>5.8</v>
      </c>
      <c r="S83">
        <f>2.9*1.5</f>
        <v>4.3499999999999996</v>
      </c>
      <c r="T83">
        <f>2.9*2</f>
        <v>5.8</v>
      </c>
      <c r="U83">
        <f>2.9*3</f>
        <v>8.6999999999999993</v>
      </c>
      <c r="V83">
        <f>2.9*4</f>
        <v>11.6</v>
      </c>
      <c r="W83">
        <f>2.9*1</f>
        <v>2.9</v>
      </c>
      <c r="X83">
        <f>2.9*2</f>
        <v>5.8</v>
      </c>
      <c r="Y83">
        <f>2.9*3</f>
        <v>8.6999999999999993</v>
      </c>
      <c r="Z83">
        <f>2.9*4</f>
        <v>11.6</v>
      </c>
      <c r="AA83">
        <f>2.9*4</f>
        <v>11.6</v>
      </c>
      <c r="AB83">
        <f>2.9*4</f>
        <v>11.6</v>
      </c>
      <c r="AC83">
        <f>2.9*5</f>
        <v>14.5</v>
      </c>
      <c r="AD83">
        <f>2.9*7</f>
        <v>20.3</v>
      </c>
      <c r="AE83">
        <f t="shared" ref="AE83" si="106">2.9*7</f>
        <v>20.3</v>
      </c>
      <c r="AF83">
        <f>2.9*8</f>
        <v>23.2</v>
      </c>
      <c r="AG83">
        <f>2.9*8.5</f>
        <v>24.65</v>
      </c>
      <c r="AH83">
        <f>2.9*10</f>
        <v>29</v>
      </c>
      <c r="AN83" t="s">
        <v>704</v>
      </c>
    </row>
    <row r="84" spans="1:54">
      <c r="B84" s="121" t="s">
        <v>633</v>
      </c>
      <c r="C84" s="121"/>
      <c r="G84">
        <f>Commercial!CL78</f>
        <v>29</v>
      </c>
      <c r="H84">
        <f>Commercial!CM78</f>
        <v>7</v>
      </c>
      <c r="I84">
        <f>Commercial!CN78</f>
        <v>13</v>
      </c>
      <c r="J84">
        <f>Commercial!CO78</f>
        <v>4</v>
      </c>
      <c r="K84">
        <f>Commercial!CQ78</f>
        <v>2</v>
      </c>
      <c r="L84">
        <f>Commercial!CR78</f>
        <v>12</v>
      </c>
      <c r="M84">
        <f>Commercial!CS78</f>
        <v>0</v>
      </c>
      <c r="N84">
        <v>0</v>
      </c>
      <c r="O84">
        <f>Commercial!CV78</f>
        <v>0</v>
      </c>
      <c r="P84">
        <f>Commercial!CW78</f>
        <v>0</v>
      </c>
      <c r="Q84">
        <f>Commercial!CX78</f>
        <v>9</v>
      </c>
      <c r="R84">
        <f>Commercial!CY78</f>
        <v>22</v>
      </c>
      <c r="S84">
        <f>Commercial!DA78</f>
        <v>11</v>
      </c>
      <c r="T84">
        <f>Commercial!DB78</f>
        <v>20</v>
      </c>
      <c r="U84">
        <f>Commercial!DC78</f>
        <v>19</v>
      </c>
      <c r="V84">
        <f>Commercial!DD78</f>
        <v>23</v>
      </c>
      <c r="W84">
        <f>Commercial!DF78</f>
        <v>13</v>
      </c>
      <c r="X84">
        <f>Commercial!DG78</f>
        <v>9</v>
      </c>
      <c r="Y84">
        <f>Commercial!DH78</f>
        <v>14</v>
      </c>
      <c r="Z84">
        <f>Commercial!DI78</f>
        <v>15</v>
      </c>
      <c r="AA84">
        <f>Commercial!DK78</f>
        <v>13</v>
      </c>
      <c r="AB84">
        <f>Commercial!DL78</f>
        <v>24</v>
      </c>
      <c r="AC84">
        <v>21</v>
      </c>
      <c r="AD84">
        <v>26</v>
      </c>
      <c r="AE84">
        <v>20</v>
      </c>
      <c r="AF84">
        <v>23</v>
      </c>
      <c r="AG84">
        <v>26</v>
      </c>
      <c r="AH84">
        <v>28</v>
      </c>
      <c r="AN84" s="1061" t="s">
        <v>705</v>
      </c>
    </row>
    <row r="85" spans="1:54">
      <c r="B85" s="121" t="s">
        <v>563</v>
      </c>
      <c r="C85" s="121"/>
      <c r="G85">
        <f>G83-G84</f>
        <v>5.7999999999999972</v>
      </c>
      <c r="H85">
        <f t="shared" ref="H85:V85" si="107">H83-H84</f>
        <v>18</v>
      </c>
      <c r="I85">
        <f t="shared" si="107"/>
        <v>12</v>
      </c>
      <c r="J85">
        <f t="shared" si="107"/>
        <v>16.3</v>
      </c>
      <c r="K85">
        <f t="shared" si="107"/>
        <v>15.399999999999999</v>
      </c>
      <c r="L85">
        <f t="shared" si="107"/>
        <v>2.5</v>
      </c>
      <c r="M85">
        <f t="shared" si="107"/>
        <v>5.8</v>
      </c>
      <c r="N85">
        <f t="shared" si="107"/>
        <v>2.9</v>
      </c>
      <c r="O85">
        <f t="shared" si="107"/>
        <v>4.3499999999999996</v>
      </c>
      <c r="P85">
        <f t="shared" si="107"/>
        <v>4.3499999999999996</v>
      </c>
      <c r="Q85">
        <f t="shared" si="107"/>
        <v>-3.2</v>
      </c>
      <c r="R85">
        <f t="shared" si="107"/>
        <v>-16.2</v>
      </c>
      <c r="S85">
        <f t="shared" si="107"/>
        <v>-6.65</v>
      </c>
      <c r="T85">
        <f t="shared" si="107"/>
        <v>-14.2</v>
      </c>
      <c r="U85">
        <f t="shared" si="107"/>
        <v>-10.3</v>
      </c>
      <c r="V85">
        <f t="shared" si="107"/>
        <v>-11.4</v>
      </c>
      <c r="W85">
        <f t="shared" ref="W85:Z85" si="108">W83-W84</f>
        <v>-10.1</v>
      </c>
      <c r="X85">
        <f t="shared" si="108"/>
        <v>-3.2</v>
      </c>
      <c r="Y85">
        <f t="shared" si="108"/>
        <v>-5.3000000000000007</v>
      </c>
      <c r="Z85">
        <f t="shared" si="108"/>
        <v>-3.4000000000000004</v>
      </c>
      <c r="AA85">
        <f t="shared" ref="AA85:AD85" si="109">AA83-AA84</f>
        <v>-1.4000000000000004</v>
      </c>
      <c r="AB85">
        <f t="shared" si="109"/>
        <v>-12.4</v>
      </c>
      <c r="AC85">
        <f t="shared" si="109"/>
        <v>-6.5</v>
      </c>
      <c r="AD85">
        <f t="shared" si="109"/>
        <v>-5.6999999999999993</v>
      </c>
      <c r="AE85">
        <f t="shared" ref="AE85:AH85" si="110">AE83-AE84</f>
        <v>0.30000000000000071</v>
      </c>
      <c r="AF85">
        <f t="shared" si="110"/>
        <v>0.19999999999999929</v>
      </c>
      <c r="AG85">
        <f t="shared" si="110"/>
        <v>-1.3500000000000014</v>
      </c>
      <c r="AH85">
        <f t="shared" si="110"/>
        <v>1</v>
      </c>
      <c r="BB85" s="74" t="s">
        <v>713</v>
      </c>
    </row>
    <row r="86" spans="1:54">
      <c r="B86" s="121" t="s">
        <v>634</v>
      </c>
      <c r="C86" s="121"/>
      <c r="F86" s="995">
        <v>30</v>
      </c>
      <c r="G86">
        <f t="shared" ref="G86" si="111">F86+G85</f>
        <v>35.799999999999997</v>
      </c>
      <c r="H86">
        <f t="shared" ref="H86" si="112">G86+H85</f>
        <v>53.8</v>
      </c>
      <c r="I86">
        <f t="shared" ref="I86" si="113">H86+I85</f>
        <v>65.8</v>
      </c>
      <c r="J86">
        <f t="shared" ref="J86" si="114">I86+J85</f>
        <v>82.1</v>
      </c>
      <c r="K86">
        <f t="shared" ref="K86" si="115">J86+K85</f>
        <v>97.5</v>
      </c>
      <c r="L86">
        <f t="shared" ref="L86" si="116">K86+L85</f>
        <v>100</v>
      </c>
      <c r="M86">
        <f t="shared" ref="M86" si="117">L86+M85</f>
        <v>105.8</v>
      </c>
      <c r="N86">
        <f t="shared" ref="N86" si="118">M86+N85</f>
        <v>108.7</v>
      </c>
      <c r="O86">
        <f t="shared" ref="O86" si="119">N86+O85</f>
        <v>113.05</v>
      </c>
      <c r="P86">
        <f t="shared" ref="P86" si="120">O86+P85</f>
        <v>117.39999999999999</v>
      </c>
      <c r="Q86">
        <f t="shared" ref="Q86" si="121">P86+Q85</f>
        <v>114.19999999999999</v>
      </c>
      <c r="R86">
        <f t="shared" ref="R86" si="122">Q86+R85</f>
        <v>97.999999999999986</v>
      </c>
      <c r="S86">
        <f t="shared" ref="S86" si="123">R86+S85</f>
        <v>91.34999999999998</v>
      </c>
      <c r="T86">
        <f t="shared" ref="T86" si="124">S86+T85</f>
        <v>77.149999999999977</v>
      </c>
      <c r="U86">
        <f t="shared" ref="U86" si="125">T86+U85</f>
        <v>66.84999999999998</v>
      </c>
      <c r="V86">
        <f t="shared" ref="V86" si="126">U86+V85</f>
        <v>55.449999999999982</v>
      </c>
      <c r="W86">
        <f t="shared" ref="W86" si="127">V86+W85</f>
        <v>45.34999999999998</v>
      </c>
      <c r="X86">
        <f t="shared" ref="X86" si="128">W86+X85</f>
        <v>42.149999999999977</v>
      </c>
      <c r="Y86">
        <f t="shared" ref="Y86" si="129">X86+Y85</f>
        <v>36.84999999999998</v>
      </c>
      <c r="Z86">
        <f t="shared" ref="Z86" si="130">Y86+Z85</f>
        <v>33.449999999999982</v>
      </c>
      <c r="AA86">
        <f t="shared" ref="AA86" si="131">Z86+AA85</f>
        <v>32.049999999999983</v>
      </c>
      <c r="AB86">
        <f t="shared" ref="AB86" si="132">AA86+AB85</f>
        <v>19.649999999999984</v>
      </c>
      <c r="AC86">
        <f t="shared" ref="AC86" si="133">AB86+AC85</f>
        <v>13.149999999999984</v>
      </c>
      <c r="AD86">
        <f t="shared" ref="AD86" si="134">AC86+AD85</f>
        <v>7.4499999999999851</v>
      </c>
      <c r="AE86">
        <f t="shared" ref="AE86" si="135">AD86+AE85</f>
        <v>7.7499999999999858</v>
      </c>
      <c r="AF86">
        <f t="shared" ref="AF86" si="136">AE86+AF85</f>
        <v>7.9499999999999851</v>
      </c>
      <c r="AG86">
        <f t="shared" ref="AG86" si="137">AF86+AG85</f>
        <v>6.5999999999999837</v>
      </c>
      <c r="AH86">
        <f t="shared" ref="AH86" si="138">AG86+AH85</f>
        <v>7.5999999999999837</v>
      </c>
    </row>
    <row r="87" spans="1:54">
      <c r="A87" s="121" t="s">
        <v>655</v>
      </c>
      <c r="B87" s="973">
        <f>AVERAGE(Commercial!CP80,Commercial!CU80,Commercial!CZ80,Commercial!DE80)*0.4</f>
        <v>56.906079252829151</v>
      </c>
      <c r="C87" s="121"/>
      <c r="G87" s="972">
        <f t="shared" ref="G87:J87" si="139">$B$87*-G85</f>
        <v>-330.05525966640892</v>
      </c>
      <c r="H87" s="972">
        <f t="shared" si="139"/>
        <v>-1024.3094265509246</v>
      </c>
      <c r="I87" s="972">
        <f t="shared" si="139"/>
        <v>-682.87295103394979</v>
      </c>
      <c r="J87" s="972">
        <f t="shared" si="139"/>
        <v>-927.56909182111519</v>
      </c>
      <c r="K87" s="972">
        <f>$B$87*-K85</f>
        <v>-876.35362049356888</v>
      </c>
      <c r="L87" s="972">
        <f>$B$87*-L85</f>
        <v>-142.26519813207287</v>
      </c>
      <c r="M87" s="972">
        <f>$B$87*-M85</f>
        <v>-330.05525966640909</v>
      </c>
      <c r="N87" s="972">
        <f>$B$87*-N85</f>
        <v>-165.02762983320454</v>
      </c>
      <c r="O87" s="972">
        <f t="shared" ref="O87:V87" si="140">$B$87*-O85</f>
        <v>-247.5414447498068</v>
      </c>
      <c r="P87" s="972">
        <f t="shared" si="140"/>
        <v>-247.5414447498068</v>
      </c>
      <c r="Q87" s="972">
        <f t="shared" si="140"/>
        <v>182.09945360905328</v>
      </c>
      <c r="R87" s="972">
        <f t="shared" si="140"/>
        <v>921.87848389583223</v>
      </c>
      <c r="S87" s="972">
        <f t="shared" si="140"/>
        <v>378.42542703131386</v>
      </c>
      <c r="T87" s="972">
        <f t="shared" si="140"/>
        <v>808.06632539017392</v>
      </c>
      <c r="U87" s="972">
        <f t="shared" si="140"/>
        <v>586.13261630414036</v>
      </c>
      <c r="V87" s="972">
        <f t="shared" si="140"/>
        <v>648.72930348225236</v>
      </c>
      <c r="W87" s="972">
        <f t="shared" ref="W87:AD87" si="141">$B$87*-W85</f>
        <v>574.75140045357443</v>
      </c>
      <c r="X87" s="972">
        <f t="shared" si="141"/>
        <v>182.09945360905328</v>
      </c>
      <c r="Y87" s="972">
        <f t="shared" si="141"/>
        <v>301.60222003999456</v>
      </c>
      <c r="Z87" s="972">
        <f t="shared" si="141"/>
        <v>193.48066945961912</v>
      </c>
      <c r="AA87" s="972">
        <f t="shared" si="141"/>
        <v>79.668510953960833</v>
      </c>
      <c r="AB87" s="972">
        <f t="shared" si="141"/>
        <v>705.63538273508152</v>
      </c>
      <c r="AC87" s="972">
        <f t="shared" si="141"/>
        <v>369.88951514338947</v>
      </c>
      <c r="AD87" s="972">
        <f t="shared" si="141"/>
        <v>324.36465174112612</v>
      </c>
      <c r="AE87" s="972">
        <f t="shared" ref="AE87:AH87" si="142">$B$87*-AE85</f>
        <v>-17.071823775848785</v>
      </c>
      <c r="AF87" s="972">
        <f t="shared" si="142"/>
        <v>-11.381215850565789</v>
      </c>
      <c r="AG87" s="972">
        <f t="shared" si="142"/>
        <v>76.823206991319438</v>
      </c>
      <c r="AH87" s="972">
        <f t="shared" si="142"/>
        <v>-56.906079252829151</v>
      </c>
    </row>
  </sheetData>
  <printOptions horizontalCentered="1" verticalCentered="1"/>
  <pageMargins left="0.7" right="0.7" top="0.75" bottom="0.75" header="0.3" footer="0.3"/>
  <pageSetup scale="39" orientation="portrait" r:id="rId1"/>
  <colBreaks count="1" manualBreakCount="1">
    <brk id="24" max="1048575" man="1"/>
  </colBreaks>
  <customProperties>
    <customPr name="Qube.Worksheet.Visibility" r:id="rId2"/>
  </customProperties>
  <drawing r:id="rId3"/>
  <legacyDrawing r:id="rId4"/>
</worksheet>
</file>

<file path=docMetadata/LabelInfo.xml><?xml version="1.0" encoding="utf-8"?>
<clbl:labelList xmlns:clbl="http://schemas.microsoft.com/office/2020/mipLabelMetadata">
  <clbl:label id="{38ade803-c9f2-458b-bd92-85e1ed493d50}" enabled="1" method="Privileged" siteId="{38651f6f-836b-4bdf-9615-4e255c290f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354</vt:i4>
      </vt:variant>
    </vt:vector>
  </HeadingPairs>
  <TitlesOfParts>
    <vt:vector size="363" baseType="lpstr">
      <vt:lpstr>Cover</vt:lpstr>
      <vt:lpstr>Data</vt:lpstr>
      <vt:lpstr>BCA margin</vt:lpstr>
      <vt:lpstr>Commercial</vt:lpstr>
      <vt:lpstr>SEG</vt:lpstr>
      <vt:lpstr>IS</vt:lpstr>
      <vt:lpstr>BS</vt:lpstr>
      <vt:lpstr>CFLO</vt:lpstr>
      <vt:lpstr>FCF build</vt:lpstr>
      <vt:lpstr>accumotherinc</vt:lpstr>
      <vt:lpstr>acq</vt:lpstr>
      <vt:lpstr>ap</vt:lpstr>
      <vt:lpstr>ar</vt:lpstr>
      <vt:lpstr>book</vt:lpstr>
      <vt:lpstr>by.00</vt:lpstr>
      <vt:lpstr>by.01</vt:lpstr>
      <vt:lpstr>by.02</vt:lpstr>
      <vt:lpstr>by.03</vt:lpstr>
      <vt:lpstr>by.04</vt:lpstr>
      <vt:lpstr>by.05</vt:lpstr>
      <vt:lpstr>by.06</vt:lpstr>
      <vt:lpstr>by.07</vt:lpstr>
      <vt:lpstr>by.08</vt:lpstr>
      <vt:lpstr>by.09</vt:lpstr>
      <vt:lpstr>by.10</vt:lpstr>
      <vt:lpstr>by.11</vt:lpstr>
      <vt:lpstr>by.12</vt:lpstr>
      <vt:lpstr>by.13</vt:lpstr>
      <vt:lpstr>by.14</vt:lpstr>
      <vt:lpstr>by.15</vt:lpstr>
      <vt:lpstr>by.16</vt:lpstr>
      <vt:lpstr>by.17</vt:lpstr>
      <vt:lpstr>by.18</vt:lpstr>
      <vt:lpstr>by.19</vt:lpstr>
      <vt:lpstr>by.1q04</vt:lpstr>
      <vt:lpstr>by.1q05</vt:lpstr>
      <vt:lpstr>by.1q06</vt:lpstr>
      <vt:lpstr>by.1q07</vt:lpstr>
      <vt:lpstr>by.1q08</vt:lpstr>
      <vt:lpstr>by.1q09</vt:lpstr>
      <vt:lpstr>by.1q10</vt:lpstr>
      <vt:lpstr>by.1q11</vt:lpstr>
      <vt:lpstr>by.1q12</vt:lpstr>
      <vt:lpstr>by.1q13</vt:lpstr>
      <vt:lpstr>by.1q14</vt:lpstr>
      <vt:lpstr>by.20</vt:lpstr>
      <vt:lpstr>by.21</vt:lpstr>
      <vt:lpstr>by.22</vt:lpstr>
      <vt:lpstr>by.23</vt:lpstr>
      <vt:lpstr>by.24</vt:lpstr>
      <vt:lpstr>by.25</vt:lpstr>
      <vt:lpstr>by.26</vt:lpstr>
      <vt:lpstr>by.27</vt:lpstr>
      <vt:lpstr>by.28</vt:lpstr>
      <vt:lpstr>by.29</vt:lpstr>
      <vt:lpstr>by.2q04</vt:lpstr>
      <vt:lpstr>by.2q05</vt:lpstr>
      <vt:lpstr>by.2q06</vt:lpstr>
      <vt:lpstr>by.2q07</vt:lpstr>
      <vt:lpstr>by.2q08</vt:lpstr>
      <vt:lpstr>by.2q09</vt:lpstr>
      <vt:lpstr>by.2q10</vt:lpstr>
      <vt:lpstr>by.2q11</vt:lpstr>
      <vt:lpstr>by.2q12</vt:lpstr>
      <vt:lpstr>by.2q13</vt:lpstr>
      <vt:lpstr>by.2q14</vt:lpstr>
      <vt:lpstr>by.30</vt:lpstr>
      <vt:lpstr>by.3q04</vt:lpstr>
      <vt:lpstr>by.3q05</vt:lpstr>
      <vt:lpstr>by.3q06</vt:lpstr>
      <vt:lpstr>by.3q07</vt:lpstr>
      <vt:lpstr>by.3q08</vt:lpstr>
      <vt:lpstr>by.3q09</vt:lpstr>
      <vt:lpstr>by.3q10</vt:lpstr>
      <vt:lpstr>by.3q11</vt:lpstr>
      <vt:lpstr>by.3q12</vt:lpstr>
      <vt:lpstr>by.3q13</vt:lpstr>
      <vt:lpstr>by.3q14</vt:lpstr>
      <vt:lpstr>by.4q04</vt:lpstr>
      <vt:lpstr>by.4q05</vt:lpstr>
      <vt:lpstr>by.4q06</vt:lpstr>
      <vt:lpstr>by.4q07</vt:lpstr>
      <vt:lpstr>by.4q08</vt:lpstr>
      <vt:lpstr>by.4q09</vt:lpstr>
      <vt:lpstr>by.4q10</vt:lpstr>
      <vt:lpstr>by.4q11</vt:lpstr>
      <vt:lpstr>by.4q12</vt:lpstr>
      <vt:lpstr>by.4q13</vt:lpstr>
      <vt:lpstr>by.4q14</vt:lpstr>
      <vt:lpstr>by.97</vt:lpstr>
      <vt:lpstr>by.98</vt:lpstr>
      <vt:lpstr>by.99</vt:lpstr>
      <vt:lpstr>ca</vt:lpstr>
      <vt:lpstr>capex</vt:lpstr>
      <vt:lpstr>cash</vt:lpstr>
      <vt:lpstr>cashequiv</vt:lpstr>
      <vt:lpstr>cff</vt:lpstr>
      <vt:lpstr>cfi</vt:lpstr>
      <vt:lpstr>cfo</vt:lpstr>
      <vt:lpstr>cl</vt:lpstr>
      <vt:lpstr>cogs</vt:lpstr>
      <vt:lpstr>common</vt:lpstr>
      <vt:lpstr>cy.00</vt:lpstr>
      <vt:lpstr>cy.01</vt:lpstr>
      <vt:lpstr>cy.02</vt:lpstr>
      <vt:lpstr>cy.03</vt:lpstr>
      <vt:lpstr>cy.04</vt:lpstr>
      <vt:lpstr>cy.05</vt:lpstr>
      <vt:lpstr>cy.06</vt:lpstr>
      <vt:lpstr>cy.07</vt:lpstr>
      <vt:lpstr>cy.08</vt:lpstr>
      <vt:lpstr>cy.09</vt:lpstr>
      <vt:lpstr>cy.10</vt:lpstr>
      <vt:lpstr>cy.11</vt:lpstr>
      <vt:lpstr>cy.12</vt:lpstr>
      <vt:lpstr>cy.13</vt:lpstr>
      <vt:lpstr>cy.14</vt:lpstr>
      <vt:lpstr>cy.15</vt:lpstr>
      <vt:lpstr>cy.16</vt:lpstr>
      <vt:lpstr>cy.17</vt:lpstr>
      <vt:lpstr>cy.18</vt:lpstr>
      <vt:lpstr>cy.19</vt:lpstr>
      <vt:lpstr>cy.1q04</vt:lpstr>
      <vt:lpstr>cy.1q05</vt:lpstr>
      <vt:lpstr>cy.1q06</vt:lpstr>
      <vt:lpstr>cy.1q07</vt:lpstr>
      <vt:lpstr>cy.1q08</vt:lpstr>
      <vt:lpstr>cy.1q09</vt:lpstr>
      <vt:lpstr>cy.1q10</vt:lpstr>
      <vt:lpstr>cy.1q11</vt:lpstr>
      <vt:lpstr>cy.1q12</vt:lpstr>
      <vt:lpstr>cy.1q13</vt:lpstr>
      <vt:lpstr>cy.1q14</vt:lpstr>
      <vt:lpstr>cy.20</vt:lpstr>
      <vt:lpstr>cy.21</vt:lpstr>
      <vt:lpstr>cy.22</vt:lpstr>
      <vt:lpstr>cy.23</vt:lpstr>
      <vt:lpstr>cy.24</vt:lpstr>
      <vt:lpstr>cy.25</vt:lpstr>
      <vt:lpstr>cy.26</vt:lpstr>
      <vt:lpstr>cy.27</vt:lpstr>
      <vt:lpstr>cy.28</vt:lpstr>
      <vt:lpstr>cy.29</vt:lpstr>
      <vt:lpstr>cy.2q04</vt:lpstr>
      <vt:lpstr>cy.2q05</vt:lpstr>
      <vt:lpstr>cy.2q06</vt:lpstr>
      <vt:lpstr>cy.2q07</vt:lpstr>
      <vt:lpstr>cy.2q08</vt:lpstr>
      <vt:lpstr>cy.2q09</vt:lpstr>
      <vt:lpstr>cy.2q10</vt:lpstr>
      <vt:lpstr>cy.2q11</vt:lpstr>
      <vt:lpstr>cy.2q12</vt:lpstr>
      <vt:lpstr>cy.2q13</vt:lpstr>
      <vt:lpstr>cy.2q14</vt:lpstr>
      <vt:lpstr>cy.30</vt:lpstr>
      <vt:lpstr>cy.3q04</vt:lpstr>
      <vt:lpstr>cy.3q05</vt:lpstr>
      <vt:lpstr>cy.3q06</vt:lpstr>
      <vt:lpstr>cy.3q07</vt:lpstr>
      <vt:lpstr>cy.3q08</vt:lpstr>
      <vt:lpstr>cy.3q09</vt:lpstr>
      <vt:lpstr>cy.3q10</vt:lpstr>
      <vt:lpstr>cy.3q11</vt:lpstr>
      <vt:lpstr>cy.3q12</vt:lpstr>
      <vt:lpstr>cy.3q13</vt:lpstr>
      <vt:lpstr>cy.3q14</vt:lpstr>
      <vt:lpstr>cy.4q04</vt:lpstr>
      <vt:lpstr>cy.4q05</vt:lpstr>
      <vt:lpstr>cy.4q06</vt:lpstr>
      <vt:lpstr>cy.4q07</vt:lpstr>
      <vt:lpstr>cy.4q08</vt:lpstr>
      <vt:lpstr>cy.4q09</vt:lpstr>
      <vt:lpstr>cy.4q10</vt:lpstr>
      <vt:lpstr>cy.4q11</vt:lpstr>
      <vt:lpstr>cy.4q12</vt:lpstr>
      <vt:lpstr>cy.4q13</vt:lpstr>
      <vt:lpstr>cy.4q14</vt:lpstr>
      <vt:lpstr>cy.97</vt:lpstr>
      <vt:lpstr>cy.98</vt:lpstr>
      <vt:lpstr>cy.99</vt:lpstr>
      <vt:lpstr>da</vt:lpstr>
      <vt:lpstr>date</vt:lpstr>
      <vt:lpstr>debt</vt:lpstr>
      <vt:lpstr>debttocap</vt:lpstr>
      <vt:lpstr>deftax</vt:lpstr>
      <vt:lpstr>div</vt:lpstr>
      <vt:lpstr>divcf</vt:lpstr>
      <vt:lpstr>ebitda</vt:lpstr>
      <vt:lpstr>eps</vt:lpstr>
      <vt:lpstr>epsbas</vt:lpstr>
      <vt:lpstr>epsbasop</vt:lpstr>
      <vt:lpstr>epscore</vt:lpstr>
      <vt:lpstr>epsop</vt:lpstr>
      <vt:lpstr>espcore</vt:lpstr>
      <vt:lpstr>fcf</vt:lpstr>
      <vt:lpstr>fcfni</vt:lpstr>
      <vt:lpstr>fcfsh</vt:lpstr>
      <vt:lpstr>fy.00</vt:lpstr>
      <vt:lpstr>fy.01</vt:lpstr>
      <vt:lpstr>fy.02</vt:lpstr>
      <vt:lpstr>fy.03</vt:lpstr>
      <vt:lpstr>fy.04</vt:lpstr>
      <vt:lpstr>fy.05</vt:lpstr>
      <vt:lpstr>fy.06</vt:lpstr>
      <vt:lpstr>fy.07</vt:lpstr>
      <vt:lpstr>fy.08</vt:lpstr>
      <vt:lpstr>fy.09</vt:lpstr>
      <vt:lpstr>fy.10</vt:lpstr>
      <vt:lpstr>fy.11</vt:lpstr>
      <vt:lpstr>fy.12</vt:lpstr>
      <vt:lpstr>fy.13</vt:lpstr>
      <vt:lpstr>fy.14</vt:lpstr>
      <vt:lpstr>fy.15</vt:lpstr>
      <vt:lpstr>fy.16</vt:lpstr>
      <vt:lpstr>fy.17</vt:lpstr>
      <vt:lpstr>fy.18</vt:lpstr>
      <vt:lpstr>fy.19</vt:lpstr>
      <vt:lpstr>fy.20</vt:lpstr>
      <vt:lpstr>fy.21</vt:lpstr>
      <vt:lpstr>fy.22</vt:lpstr>
      <vt:lpstr>fy.23</vt:lpstr>
      <vt:lpstr>fy.24</vt:lpstr>
      <vt:lpstr>fy.25</vt:lpstr>
      <vt:lpstr>fy.26</vt:lpstr>
      <vt:lpstr>fy.27</vt:lpstr>
      <vt:lpstr>fy.28</vt:lpstr>
      <vt:lpstr>fy.29</vt:lpstr>
      <vt:lpstr>fy.30</vt:lpstr>
      <vt:lpstr>fy.97</vt:lpstr>
      <vt:lpstr>fy.98</vt:lpstr>
      <vt:lpstr>fy.99</vt:lpstr>
      <vt:lpstr>goodwill</vt:lpstr>
      <vt:lpstr>grossprofit</vt:lpstr>
      <vt:lpstr>intexp</vt:lpstr>
      <vt:lpstr>inv</vt:lpstr>
      <vt:lpstr>lands</vt:lpstr>
      <vt:lpstr>leverage</vt:lpstr>
      <vt:lpstr>ltdebt</vt:lpstr>
      <vt:lpstr>ltdefinc</vt:lpstr>
      <vt:lpstr>netdebt</vt:lpstr>
      <vt:lpstr>netdebttocap</vt:lpstr>
      <vt:lpstr>netinc</vt:lpstr>
      <vt:lpstr>opinc</vt:lpstr>
      <vt:lpstr>pension</vt:lpstr>
      <vt:lpstr>pensionadj</vt:lpstr>
      <vt:lpstr>pensionequity</vt:lpstr>
      <vt:lpstr>pensionexpense</vt:lpstr>
      <vt:lpstr>pensionshare</vt:lpstr>
      <vt:lpstr>pensionstatus</vt:lpstr>
      <vt:lpstr>pic</vt:lpstr>
      <vt:lpstr>ppe</vt:lpstr>
      <vt:lpstr>pretax</vt:lpstr>
      <vt:lpstr>'BCA margin'!Print_Area</vt:lpstr>
      <vt:lpstr>BS!Print_Area</vt:lpstr>
      <vt:lpstr>CFLO!Print_Area</vt:lpstr>
      <vt:lpstr>Commercial!Print_Area</vt:lpstr>
      <vt:lpstr>Data!Print_Area</vt:lpstr>
      <vt:lpstr>'FCF build'!Print_Area</vt:lpstr>
      <vt:lpstr>IS!Print_Area</vt:lpstr>
      <vt:lpstr>SEG!Print_Area</vt:lpstr>
      <vt:lpstr>Data!Print_Titles</vt:lpstr>
      <vt:lpstr>q1.04</vt:lpstr>
      <vt:lpstr>q1.05</vt:lpstr>
      <vt:lpstr>q1.06</vt:lpstr>
      <vt:lpstr>q1.07</vt:lpstr>
      <vt:lpstr>q1.08</vt:lpstr>
      <vt:lpstr>q1.09</vt:lpstr>
      <vt:lpstr>q1.10</vt:lpstr>
      <vt:lpstr>q1.11</vt:lpstr>
      <vt:lpstr>q1.12</vt:lpstr>
      <vt:lpstr>q1.13</vt:lpstr>
      <vt:lpstr>q1.14</vt:lpstr>
      <vt:lpstr>q1.15</vt:lpstr>
      <vt:lpstr>q1.16</vt:lpstr>
      <vt:lpstr>q1.17</vt:lpstr>
      <vt:lpstr>q1.18</vt:lpstr>
      <vt:lpstr>q1.19</vt:lpstr>
      <vt:lpstr>q1.20</vt:lpstr>
      <vt:lpstr>q1.21</vt:lpstr>
      <vt:lpstr>q1.22</vt:lpstr>
      <vt:lpstr>q1.23</vt:lpstr>
      <vt:lpstr>q1.24</vt:lpstr>
      <vt:lpstr>q1.25</vt:lpstr>
      <vt:lpstr>q2.04</vt:lpstr>
      <vt:lpstr>q2.05</vt:lpstr>
      <vt:lpstr>q2.06</vt:lpstr>
      <vt:lpstr>q2.07</vt:lpstr>
      <vt:lpstr>q2.08</vt:lpstr>
      <vt:lpstr>q2.09</vt:lpstr>
      <vt:lpstr>q2.10</vt:lpstr>
      <vt:lpstr>q2.11</vt:lpstr>
      <vt:lpstr>q2.12</vt:lpstr>
      <vt:lpstr>q2.13</vt:lpstr>
      <vt:lpstr>q2.14</vt:lpstr>
      <vt:lpstr>q2.15</vt:lpstr>
      <vt:lpstr>q2.16</vt:lpstr>
      <vt:lpstr>q2.17</vt:lpstr>
      <vt:lpstr>q2.18</vt:lpstr>
      <vt:lpstr>q2.19</vt:lpstr>
      <vt:lpstr>q2.20</vt:lpstr>
      <vt:lpstr>q2.21</vt:lpstr>
      <vt:lpstr>q2.22</vt:lpstr>
      <vt:lpstr>q2.23</vt:lpstr>
      <vt:lpstr>q2.24</vt:lpstr>
      <vt:lpstr>q2.25</vt:lpstr>
      <vt:lpstr>q3.04</vt:lpstr>
      <vt:lpstr>q3.05</vt:lpstr>
      <vt:lpstr>q3.06</vt:lpstr>
      <vt:lpstr>q3.07</vt:lpstr>
      <vt:lpstr>q3.08</vt:lpstr>
      <vt:lpstr>q3.09</vt:lpstr>
      <vt:lpstr>q3.10</vt:lpstr>
      <vt:lpstr>q3.11</vt:lpstr>
      <vt:lpstr>q3.12</vt:lpstr>
      <vt:lpstr>q3.13</vt:lpstr>
      <vt:lpstr>q3.14</vt:lpstr>
      <vt:lpstr>q3.15</vt:lpstr>
      <vt:lpstr>q3.16</vt:lpstr>
      <vt:lpstr>q3.17</vt:lpstr>
      <vt:lpstr>q3.18</vt:lpstr>
      <vt:lpstr>q3.19</vt:lpstr>
      <vt:lpstr>q3.20</vt:lpstr>
      <vt:lpstr>q3.21</vt:lpstr>
      <vt:lpstr>q3.22</vt:lpstr>
      <vt:lpstr>q3.23</vt:lpstr>
      <vt:lpstr>q3.24</vt:lpstr>
      <vt:lpstr>q3.25</vt:lpstr>
      <vt:lpstr>q4.04</vt:lpstr>
      <vt:lpstr>q4.05</vt:lpstr>
      <vt:lpstr>q4.06</vt:lpstr>
      <vt:lpstr>q4.07</vt:lpstr>
      <vt:lpstr>q4.08</vt:lpstr>
      <vt:lpstr>q4.09</vt:lpstr>
      <vt:lpstr>q4.10</vt:lpstr>
      <vt:lpstr>q4.11</vt:lpstr>
      <vt:lpstr>q4.12</vt:lpstr>
      <vt:lpstr>q4.13</vt:lpstr>
      <vt:lpstr>q4.14</vt:lpstr>
      <vt:lpstr>q4.15</vt:lpstr>
      <vt:lpstr>q4.16</vt:lpstr>
      <vt:lpstr>q4.17</vt:lpstr>
      <vt:lpstr>q4.18</vt:lpstr>
      <vt:lpstr>q4.19</vt:lpstr>
      <vt:lpstr>q4.20</vt:lpstr>
      <vt:lpstr>q4.21</vt:lpstr>
      <vt:lpstr>q4.22</vt:lpstr>
      <vt:lpstr>q4.23</vt:lpstr>
      <vt:lpstr>q4.24</vt:lpstr>
      <vt:lpstr>q4.25</vt:lpstr>
      <vt:lpstr>rd</vt:lpstr>
      <vt:lpstr>re</vt:lpstr>
      <vt:lpstr>ROIC</vt:lpstr>
      <vt:lpstr>sales</vt:lpstr>
      <vt:lpstr>sga</vt:lpstr>
      <vt:lpstr>sharebb</vt:lpstr>
      <vt:lpstr>shares</vt:lpstr>
      <vt:lpstr>sharesfd</vt:lpstr>
      <vt:lpstr>stdebt</vt:lpstr>
      <vt:lpstr>taxes</vt:lpstr>
      <vt:lpstr>taxrate</vt:lpstr>
      <vt:lpstr>totalassets</vt:lpstr>
      <vt:lpstr>treasury</vt:lpstr>
      <vt:lpstr>wc</vt:lpstr>
    </vt:vector>
  </TitlesOfParts>
  <Company>Goldman Sachs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krissa</dc:creator>
  <cp:lastModifiedBy>Mesani, Nizar M [GIR]</cp:lastModifiedBy>
  <cp:lastPrinted>2024-10-23T13:19:27Z</cp:lastPrinted>
  <dcterms:created xsi:type="dcterms:W3CDTF">2009-04-28T13:49:10Z</dcterms:created>
  <dcterms:modified xsi:type="dcterms:W3CDTF">2026-07-30T08:51:29Z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4b15fa6b-aadb-4708-826e-63e93df97213</vt:lpwstr>
  </property>
  <property fmtid="{D5CDD505-2E9C-101B-9397-08002B2CF9AE}" pid="3" name="Classification">
    <vt:lpwstr>EB</vt:lpwstr>
  </property>
  <property fmtid="{D5CDD505-2E9C-101B-9397-08002B2CF9AE}" pid="4" name="DocNoClass">
    <vt:lpwstr>Not In Use</vt:lpwstr>
  </property>
</Properties>
</file>